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stage\data\"/>
    </mc:Choice>
  </mc:AlternateContent>
  <bookViews>
    <workbookView xWindow="0" yWindow="0" windowWidth="21600" windowHeight="9600" activeTab="24"/>
  </bookViews>
  <sheets>
    <sheet name="criblage" sheetId="1" r:id="rId1"/>
    <sheet name="les arrets" sheetId="2" r:id="rId2"/>
    <sheet name="chargement" sheetId="3" r:id="rId3"/>
    <sheet name="arrets Chargement" sheetId="4" r:id="rId4"/>
    <sheet name="Etat parc" sheetId="24" r:id="rId5"/>
    <sheet name="Feuil10" sheetId="5" state="hidden" r:id="rId6"/>
    <sheet name="Feuil16" sheetId="6" state="hidden" r:id="rId7"/>
    <sheet name="Feuil9" sheetId="7" state="hidden" r:id="rId8"/>
    <sheet name="Feuil17" sheetId="8" state="hidden" r:id="rId9"/>
    <sheet name="Feuil11" sheetId="9" state="hidden" r:id="rId10"/>
    <sheet name="Feuil12" sheetId="10" state="hidden" r:id="rId11"/>
    <sheet name="Feuil13" sheetId="11" state="hidden" r:id="rId12"/>
    <sheet name="Feuil14" sheetId="12" state="hidden" r:id="rId13"/>
    <sheet name="Feuil20" sheetId="13" state="hidden" r:id="rId14"/>
    <sheet name="Feuil18" sheetId="14" state="hidden" r:id="rId15"/>
    <sheet name="Feuil19" sheetId="15" state="hidden" r:id="rId16"/>
    <sheet name="Feuil15" sheetId="16" state="hidden" r:id="rId17"/>
    <sheet name="Feuil8" sheetId="17" state="hidden" r:id="rId18"/>
    <sheet name="Feuil3" sheetId="18" state="hidden" r:id="rId19"/>
    <sheet name="Feuil5" sheetId="19" state="hidden" r:id="rId20"/>
    <sheet name="Feuil6" sheetId="20" state="hidden" r:id="rId21"/>
    <sheet name="Feuil4" sheetId="21" state="hidden" r:id="rId22"/>
    <sheet name="Feuil7" sheetId="22" state="hidden" r:id="rId23"/>
    <sheet name="Feuil2" sheetId="23" state="hidden" r:id="rId24"/>
    <sheet name="synthèse 312" sheetId="33" r:id="rId25"/>
    <sheet name="I FILM" sheetId="27" r:id="rId26"/>
    <sheet name="KPI" sheetId="29" r:id="rId27"/>
    <sheet name="Feuil27" sheetId="38" r:id="rId28"/>
    <sheet name="Feuil26" sheetId="37" r:id="rId29"/>
    <sheet name="Feuil24" sheetId="35" r:id="rId30"/>
    <sheet name="Feuil25" sheetId="36" r:id="rId31"/>
    <sheet name="Feuil1" sheetId="30" r:id="rId32"/>
    <sheet name="Feuil22" sheetId="31" r:id="rId33"/>
    <sheet name="Feuil21" sheetId="32" r:id="rId34"/>
    <sheet name="Feuil23" sheetId="34" r:id="rId35"/>
  </sheets>
  <externalReferences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</externalReferences>
  <definedNames>
    <definedName name="\8" localSheetId="25">#REF!</definedName>
    <definedName name="\8">#REF!</definedName>
    <definedName name="\a" localSheetId="25">#REF!</definedName>
    <definedName name="\a">#REF!</definedName>
    <definedName name="\b" localSheetId="25">#REF!</definedName>
    <definedName name="\b">#REF!</definedName>
    <definedName name="\c" localSheetId="25">#REF!</definedName>
    <definedName name="\c">#REF!</definedName>
    <definedName name="\d" localSheetId="25">#REF!</definedName>
    <definedName name="\d">#REF!</definedName>
    <definedName name="\F" localSheetId="25">[1]A!#REF!</definedName>
    <definedName name="\F">[1]A!#REF!</definedName>
    <definedName name="\G" localSheetId="25">#REF!</definedName>
    <definedName name="\G">#REF!</definedName>
    <definedName name="\h" localSheetId="25">#REF!</definedName>
    <definedName name="\h">#REF!</definedName>
    <definedName name="\i" localSheetId="25">'[2]Prévu DEG 99'!#REF!</definedName>
    <definedName name="\i">'[2]Prévu DEG 99'!#REF!</definedName>
    <definedName name="\J" localSheetId="25">#REF!</definedName>
    <definedName name="\J">#REF!</definedName>
    <definedName name="\K" localSheetId="25">[1]A!#REF!</definedName>
    <definedName name="\K">[1]A!#REF!</definedName>
    <definedName name="\l" localSheetId="25">#REF!</definedName>
    <definedName name="\l">#REF!</definedName>
    <definedName name="\M" localSheetId="25">#REF!</definedName>
    <definedName name="\M">#REF!</definedName>
    <definedName name="\n" localSheetId="25">#REF!</definedName>
    <definedName name="\n">#REF!</definedName>
    <definedName name="\q" localSheetId="25">#REF!</definedName>
    <definedName name="\q">#REF!</definedName>
    <definedName name="\r" localSheetId="25">#REF!</definedName>
    <definedName name="\r">#REF!</definedName>
    <definedName name="\S" localSheetId="25">#REF!</definedName>
    <definedName name="\S">#REF!</definedName>
    <definedName name="\T" localSheetId="25">#REF!</definedName>
    <definedName name="\T">#REF!</definedName>
    <definedName name="\u" localSheetId="25">#REF!</definedName>
    <definedName name="\u">#REF!</definedName>
    <definedName name="\w" localSheetId="25">#REF!</definedName>
    <definedName name="\w">#REF!</definedName>
    <definedName name="\X" localSheetId="25">#REF!</definedName>
    <definedName name="\X">#REF!</definedName>
    <definedName name="\Z" localSheetId="25">#REF!</definedName>
    <definedName name="\Z">#REF!</definedName>
    <definedName name="_________bf04" hidden="1">{"Analyse écart CA",#N/A,FALSE,"Analyse CA"}</definedName>
    <definedName name="_______bf04" hidden="1">{"Analyse écart CA",#N/A,FALSE,"Analyse CA"}</definedName>
    <definedName name="______bf04" hidden="1">{"Analyse écart CA",#N/A,FALSE,"Analyse CA"}</definedName>
    <definedName name="______cmm152" localSheetId="25">#REF!</definedName>
    <definedName name="______cmm152">#REF!</definedName>
    <definedName name="______lpr1" hidden="1">{"Analyse écart CA",#N/A,FALSE,"Analyse CA"}</definedName>
    <definedName name="______pf6" localSheetId="25">#REF!</definedName>
    <definedName name="______pf6">#REF!</definedName>
    <definedName name="______r">'[3]BF R8 Net '!$B$7:$AC$984</definedName>
    <definedName name="______R6">'[3]BF R9 Net'!$B$7:$AI$984</definedName>
    <definedName name="______R8_Net" localSheetId="25">#REF!</definedName>
    <definedName name="______R8_Net">#REF!</definedName>
    <definedName name="______sa1" hidden="1">{"Analyse écart CA",#N/A,FALSE,"Analyse CA"}</definedName>
    <definedName name="______TB76">'[4]Tableau de bord'!$B$3:$G$32</definedName>
    <definedName name="______TB77">'[4]Tableau de bord'!$B$36:$G$55</definedName>
    <definedName name="______TB78">'[4]PR7-8'!$A$1:$Q$31</definedName>
    <definedName name="______TB79">'[4]Tableau de bord'!$B$90:$G$113</definedName>
    <definedName name="______TB80">'[4]Tableau de bord'!$B$116:$G$135</definedName>
    <definedName name="______TB81">'[4]Tableau de bord'!$B$138:$G$157</definedName>
    <definedName name="______TB82">'[4]Tableau de bord'!$B$161:$G$181</definedName>
    <definedName name="______TB83">'[4]PR1-2'!$A$1:$AS$34</definedName>
    <definedName name="______TB84">'[4]Tableau de bord'!$B$211:$G$230</definedName>
    <definedName name="______TB85">'[4]Tableau de bord'!$B$233:$G$252</definedName>
    <definedName name="______TB86">'[4]Tableau de bord'!$B$255:$G$276</definedName>
    <definedName name="______TB87">'[4]Tableau de bord'!$B$279:$G$300</definedName>
    <definedName name="______TB88">'[4]Tableau de bord'!$B$303:$G$324</definedName>
    <definedName name="______TB89">'[4]Tableau de bord'!$B$327:$G$348</definedName>
    <definedName name="______TB90">'[4]Tableau de bord'!$B$351:$G$372</definedName>
    <definedName name="_____bf04" hidden="1">{"Analyse écart CA",#N/A,FALSE,"Analyse CA"}</definedName>
    <definedName name="_____BF06" hidden="1">{"Analyse écart CA",#N/A,FALSE,"Analyse CA"}</definedName>
    <definedName name="_____Bf6" hidden="1">{"Analyse écart CA",#N/A,FALSE,"Analyse CA"}</definedName>
    <definedName name="_____cmm152" localSheetId="25">#REF!</definedName>
    <definedName name="_____cmm152">#REF!</definedName>
    <definedName name="_____F2" localSheetId="25">#REF!</definedName>
    <definedName name="_____F2">#REF!</definedName>
    <definedName name="_____f3" hidden="1">{"Analyse écart CA",#N/A,FALSE,"Analyse CA"}</definedName>
    <definedName name="_____F4" hidden="1">{"Analyse écart CA",#N/A,FALSE,"Analyse CA"}</definedName>
    <definedName name="_____F5" hidden="1">{#N/A,#N/A,FALSE,"DEK-PR(34)";#N/A,#N/A,FALSE,"DEK (13)";"Chffre d'affaires DEK",#N/A,FALSE,"Chiffre d'affaires";#N/A,#N/A,FALSE,"Dotations";#N/A,#N/A,FALSE,"Frais Financiers ";#N/A,#N/A,FALSE,"Redevance"}</definedName>
    <definedName name="_____F6" hidden="1">{"Listing 103",#N/A,FALSE,"Listing 103"}</definedName>
    <definedName name="_____F7" hidden="1">{"Analyse écart CA",#N/A,FALSE,"Analyse CA"}</definedName>
    <definedName name="_____F8" hidden="1">{"Analyse écart CA",#N/A,FALSE,"Analyse CA"}</definedName>
    <definedName name="_____G100" localSheetId="25">#REF!</definedName>
    <definedName name="_____G100">#REF!</definedName>
    <definedName name="_____G50" localSheetId="25">#REF!</definedName>
    <definedName name="_____G50">#REF!</definedName>
    <definedName name="_____GDL14" localSheetId="25">#REF!</definedName>
    <definedName name="_____GDL14">#REF!</definedName>
    <definedName name="_____HM3" localSheetId="25">#REF!</definedName>
    <definedName name="_____HM3">#REF!</definedName>
    <definedName name="_____IMA1" hidden="1">{"fax-dis",#N/A,FALSE,"FAX";"fax-dij",#N/A,FALSE,"FAX"}</definedName>
    <definedName name="_____IMA2" hidden="1">{#N/A,#N/A,FALSE,"MP (15)";#N/A,#N/A,FALSE,"DIS (16)";#N/A,#N/A,FALSE,"DIJ (17)";#N/A,#N/A,FALSE,"GP(18)";#N/A,#N/A,FALSE,"EPHOS(19)";#N/A,#N/A,FALSE,"HYPOan (20)";#N/A,#N/A,FALSE,"HYPMOIS (21)"}</definedName>
    <definedName name="_____IMA3" hidden="1">{"fax-dis",#N/A,FALSE,"FAX";"fax-dij",#N/A,FALSE,"FAX"}</definedName>
    <definedName name="_____LPR1" hidden="1">{"Analyse écart CA",#N/A,FALSE,"Analyse CA"}</definedName>
    <definedName name="_____MP1" hidden="1">{"Listing 103",#N/A,FALSE,"Listing 103"}</definedName>
    <definedName name="_____MP12" hidden="1">{"fax-dis",#N/A,FALSE,"FAX";"fax-dij",#N/A,FALSE,"FAX"}</definedName>
    <definedName name="_____MP25" hidden="1">{"Analyse écart CA",#N/A,FALSE,"Analyse CA"}</definedName>
    <definedName name="_____MP3" hidden="1">{"fax-dis",#N/A,FALSE,"FAX";"fax-dij",#N/A,FALSE,"FAX"}</definedName>
    <definedName name="_____MP6" hidden="1">{"Analyse écart CA",#N/A,FALSE,"Analyse CA"}</definedName>
    <definedName name="_____pf6" localSheetId="25">#REF!</definedName>
    <definedName name="_____pf6">#REF!</definedName>
    <definedName name="_____PR1" localSheetId="25">#REF!</definedName>
    <definedName name="_____PR1">#REF!</definedName>
    <definedName name="_____PR8" localSheetId="25">#REF!</definedName>
    <definedName name="_____PR8">#REF!</definedName>
    <definedName name="_____PR9" localSheetId="25">#REF!</definedName>
    <definedName name="_____PR9">#REF!</definedName>
    <definedName name="_____r">'[3]BF R8 Net '!$B$7:$AC$984</definedName>
    <definedName name="_____R1_" localSheetId="25">[5]Production!#REF!</definedName>
    <definedName name="_____R1_">[5]Production!#REF!</definedName>
    <definedName name="_____R6">'[3]BF R9 Net'!$B$7:$AI$984</definedName>
    <definedName name="_____R8_Net" localSheetId="25">#REF!</definedName>
    <definedName name="_____R8_Net">#REF!</definedName>
    <definedName name="_____res1" localSheetId="25">#REF!</definedName>
    <definedName name="_____res1">#REF!</definedName>
    <definedName name="_____RES2" localSheetId="25">#REF!</definedName>
    <definedName name="_____RES2">#REF!</definedName>
    <definedName name="_____res3" localSheetId="25">#REF!</definedName>
    <definedName name="_____res3">#REF!</definedName>
    <definedName name="_____res4" localSheetId="25">#REF!</definedName>
    <definedName name="_____res4">#REF!</definedName>
    <definedName name="_____RJ2" localSheetId="25">#REF!</definedName>
    <definedName name="_____RJ2">#REF!</definedName>
    <definedName name="_____RM7" localSheetId="25">#REF!</definedName>
    <definedName name="_____RM7">#REF!</definedName>
    <definedName name="_____SA1" hidden="1">{"Analyse écart CA",#N/A,FALSE,"Analyse CA"}</definedName>
    <definedName name="_____sa41" hidden="1">{#N/A,#N/A,FALSE,"DEK-PR(34)";#N/A,#N/A,FALSE,"DEK (13)";"Chffre d'affaires DEK",#N/A,FALSE,"Chiffre d'affaires";#N/A,#N/A,FALSE,"Dotations";#N/A,#N/A,FALSE,"Frais Financiers ";#N/A,#N/A,FALSE,"Redevance"}</definedName>
    <definedName name="_____SC2" hidden="1">{"Analyse écart CA",#N/A,FALSE,"Analyse CA"}</definedName>
    <definedName name="_____SC3" hidden="1">{"Analyse écart CA",#N/A,FALSE,"Analyse CA"}</definedName>
    <definedName name="_____SIQ1" localSheetId="25">#REF!</definedName>
    <definedName name="_____SIQ1">#REF!</definedName>
    <definedName name="_____SIQ2" localSheetId="25">#REF!</definedName>
    <definedName name="_____SIQ2">#REF!</definedName>
    <definedName name="_____SIQ3" localSheetId="25">#REF!</definedName>
    <definedName name="_____SIQ3">#REF!</definedName>
    <definedName name="_____SIQ4" localSheetId="25">#REF!</definedName>
    <definedName name="_____SIQ4">#REF!</definedName>
    <definedName name="_____SIQ5" localSheetId="25">#REF!</definedName>
    <definedName name="_____SIQ5">#REF!</definedName>
    <definedName name="_____SIQ6" localSheetId="25">#REF!</definedName>
    <definedName name="_____SIQ6">#REF!</definedName>
    <definedName name="_____SIQ7" localSheetId="25">#REF!</definedName>
    <definedName name="_____SIQ7">#REF!</definedName>
    <definedName name="_____SIQ8" localSheetId="25">#REF!</definedName>
    <definedName name="_____SIQ8">#REF!</definedName>
    <definedName name="_____SY1" localSheetId="25">#REF!</definedName>
    <definedName name="_____SY1">#REF!</definedName>
    <definedName name="_____SY2" localSheetId="25">#REF!</definedName>
    <definedName name="_____SY2">#REF!</definedName>
    <definedName name="_____TB76">'[6]Tableau de bord'!$B$3:$G$32</definedName>
    <definedName name="_____TB77">'[6]Tableau de bord'!$B$36:$G$55</definedName>
    <definedName name="_____TB78">'[6]PR7-8'!$A$1:$Q$31</definedName>
    <definedName name="_____TB79">'[6]Tableau de bord'!$B$90:$G$113</definedName>
    <definedName name="_____TB80">'[6]Tableau de bord'!$B$116:$G$135</definedName>
    <definedName name="_____TB81">'[6]Tableau de bord'!$B$138:$G$157</definedName>
    <definedName name="_____TB82">'[6]Tableau de bord'!$B$161:$G$181</definedName>
    <definedName name="_____TB83">'[6]PR1-2'!$A$1:$AS$34</definedName>
    <definedName name="_____TB84">'[6]Tableau de bord'!$B$211:$G$230</definedName>
    <definedName name="_____TB85">'[6]Tableau de bord'!$B$233:$G$252</definedName>
    <definedName name="_____TB86">'[6]Tableau de bord'!$B$255:$G$276</definedName>
    <definedName name="_____TB87">'[6]Tableau de bord'!$B$279:$G$300</definedName>
    <definedName name="_____TB88">'[6]Tableau de bord'!$B$303:$G$324</definedName>
    <definedName name="_____TB89">'[6]Tableau de bord'!$B$327:$G$348</definedName>
    <definedName name="_____TB90">'[6]Tableau de bord'!$B$351:$G$372</definedName>
    <definedName name="_____TC1" localSheetId="25">#REF!</definedName>
    <definedName name="_____TC1">#REF!</definedName>
    <definedName name="_____val1" localSheetId="25">#REF!</definedName>
    <definedName name="_____val1">#REF!</definedName>
    <definedName name="_____VAL2" localSheetId="25">#REF!</definedName>
    <definedName name="_____VAL2">#REF!</definedName>
    <definedName name="_____VAL3" localSheetId="25">#REF!</definedName>
    <definedName name="_____VAL3">#REF!</definedName>
    <definedName name="_____VAL4" localSheetId="25">#REF!</definedName>
    <definedName name="_____VAL4">#REF!</definedName>
    <definedName name="____bf04" hidden="1">{"Analyse écart CA",#N/A,FALSE,"Analyse CA"}</definedName>
    <definedName name="____BF06" hidden="1">{"Analyse écart CA",#N/A,FALSE,"Analyse CA"}</definedName>
    <definedName name="____Bf6" hidden="1">{"Analyse écart CA",#N/A,FALSE,"Analyse CA"}</definedName>
    <definedName name="____cmm152" localSheetId="25">#REF!</definedName>
    <definedName name="____cmm152">#REF!</definedName>
    <definedName name="____F2" localSheetId="25">#REF!</definedName>
    <definedName name="____F2">#REF!</definedName>
    <definedName name="____f3" hidden="1">{"Analyse écart CA",#N/A,FALSE,"Analyse CA"}</definedName>
    <definedName name="____F4" hidden="1">{"Analyse écart CA",#N/A,FALSE,"Analyse CA"}</definedName>
    <definedName name="____F5" hidden="1">{#N/A,#N/A,FALSE,"DEK-PR(34)";#N/A,#N/A,FALSE,"DEK (13)";"Chffre d'affaires DEK",#N/A,FALSE,"Chiffre d'affaires";#N/A,#N/A,FALSE,"Dotations";#N/A,#N/A,FALSE,"Frais Financiers ";#N/A,#N/A,FALSE,"Redevance"}</definedName>
    <definedName name="____F6" hidden="1">{"Listing 103",#N/A,FALSE,"Listing 103"}</definedName>
    <definedName name="____F7" hidden="1">{"Analyse écart CA",#N/A,FALSE,"Analyse CA"}</definedName>
    <definedName name="____F8" hidden="1">{"Analyse écart CA",#N/A,FALSE,"Analyse CA"}</definedName>
    <definedName name="____G100" localSheetId="25">#REF!</definedName>
    <definedName name="____G100">#REF!</definedName>
    <definedName name="____G50" localSheetId="25">#REF!</definedName>
    <definedName name="____G50">#REF!</definedName>
    <definedName name="____GDL14" localSheetId="25">#REF!</definedName>
    <definedName name="____GDL14">#REF!</definedName>
    <definedName name="____HM3" localSheetId="25">#REF!</definedName>
    <definedName name="____HM3">#REF!</definedName>
    <definedName name="____IMA1" hidden="1">{"fax-dis",#N/A,FALSE,"FAX";"fax-dij",#N/A,FALSE,"FAX"}</definedName>
    <definedName name="____IMA2" hidden="1">{#N/A,#N/A,FALSE,"MP (15)";#N/A,#N/A,FALSE,"DIS (16)";#N/A,#N/A,FALSE,"DIJ (17)";#N/A,#N/A,FALSE,"GP(18)";#N/A,#N/A,FALSE,"EPHOS(19)";#N/A,#N/A,FALSE,"HYPOan (20)";#N/A,#N/A,FALSE,"HYPMOIS (21)"}</definedName>
    <definedName name="____IMA3" hidden="1">{"fax-dis",#N/A,FALSE,"FAX";"fax-dij",#N/A,FALSE,"FAX"}</definedName>
    <definedName name="____LPR1" hidden="1">{"Analyse écart CA",#N/A,FALSE,"Analyse CA"}</definedName>
    <definedName name="____MP1" hidden="1">{"Listing 103",#N/A,FALSE,"Listing 103"}</definedName>
    <definedName name="____MP12" hidden="1">{"fax-dis",#N/A,FALSE,"FAX";"fax-dij",#N/A,FALSE,"FAX"}</definedName>
    <definedName name="____MP25" hidden="1">{"Analyse écart CA",#N/A,FALSE,"Analyse CA"}</definedName>
    <definedName name="____MP3" hidden="1">{"fax-dis",#N/A,FALSE,"FAX";"fax-dij",#N/A,FALSE,"FAX"}</definedName>
    <definedName name="____MP6" hidden="1">{"Analyse écart CA",#N/A,FALSE,"Analyse CA"}</definedName>
    <definedName name="____pf6" localSheetId="25">#REF!</definedName>
    <definedName name="____pf6">#REF!</definedName>
    <definedName name="____PR1" localSheetId="25">#REF!</definedName>
    <definedName name="____PR1">#REF!</definedName>
    <definedName name="____PR8" localSheetId="25">#REF!</definedName>
    <definedName name="____PR8">#REF!</definedName>
    <definedName name="____PR9" localSheetId="25">#REF!</definedName>
    <definedName name="____PR9">#REF!</definedName>
    <definedName name="____r">'[3]BF R8 Net '!$B$7:$AC$984</definedName>
    <definedName name="____R1_" localSheetId="25">[5]Production!#REF!</definedName>
    <definedName name="____R1_">[5]Production!#REF!</definedName>
    <definedName name="____R6">'[3]BF R9 Net'!$B$7:$AI$984</definedName>
    <definedName name="____R8_Net" localSheetId="25">#REF!</definedName>
    <definedName name="____R8_Net">#REF!</definedName>
    <definedName name="____res1" localSheetId="25">#REF!</definedName>
    <definedName name="____res1">#REF!</definedName>
    <definedName name="____RES2" localSheetId="25">#REF!</definedName>
    <definedName name="____RES2">#REF!</definedName>
    <definedName name="____res3" localSheetId="25">#REF!</definedName>
    <definedName name="____res3">#REF!</definedName>
    <definedName name="____res4" localSheetId="25">#REF!</definedName>
    <definedName name="____res4">#REF!</definedName>
    <definedName name="____RJ2" localSheetId="25">#REF!</definedName>
    <definedName name="____RJ2">#REF!</definedName>
    <definedName name="____RM7" localSheetId="25">#REF!</definedName>
    <definedName name="____RM7">#REF!</definedName>
    <definedName name="____SA1" hidden="1">{"Analyse écart CA",#N/A,FALSE,"Analyse CA"}</definedName>
    <definedName name="____sa41" hidden="1">{#N/A,#N/A,FALSE,"DEK-PR(34)";#N/A,#N/A,FALSE,"DEK (13)";"Chffre d'affaires DEK",#N/A,FALSE,"Chiffre d'affaires";#N/A,#N/A,FALSE,"Dotations";#N/A,#N/A,FALSE,"Frais Financiers ";#N/A,#N/A,FALSE,"Redevance"}</definedName>
    <definedName name="____SC2" hidden="1">{"Analyse écart CA",#N/A,FALSE,"Analyse CA"}</definedName>
    <definedName name="____SC3" hidden="1">{"Analyse écart CA",#N/A,FALSE,"Analyse CA"}</definedName>
    <definedName name="____SIQ1" localSheetId="25">#REF!</definedName>
    <definedName name="____SIQ1">#REF!</definedName>
    <definedName name="____SIQ2" localSheetId="25">#REF!</definedName>
    <definedName name="____SIQ2">#REF!</definedName>
    <definedName name="____SIQ3" localSheetId="25">#REF!</definedName>
    <definedName name="____SIQ3">#REF!</definedName>
    <definedName name="____SIQ4" localSheetId="25">#REF!</definedName>
    <definedName name="____SIQ4">#REF!</definedName>
    <definedName name="____SIQ5" localSheetId="25">#REF!</definedName>
    <definedName name="____SIQ5">#REF!</definedName>
    <definedName name="____SIQ6" localSheetId="25">#REF!</definedName>
    <definedName name="____SIQ6">#REF!</definedName>
    <definedName name="____SIQ7" localSheetId="25">#REF!</definedName>
    <definedName name="____SIQ7">#REF!</definedName>
    <definedName name="____SIQ8" localSheetId="25">#REF!</definedName>
    <definedName name="____SIQ8">#REF!</definedName>
    <definedName name="____SY1" localSheetId="25">#REF!</definedName>
    <definedName name="____SY1">#REF!</definedName>
    <definedName name="____SY2" localSheetId="25">#REF!</definedName>
    <definedName name="____SY2">#REF!</definedName>
    <definedName name="____TB76">'[6]Tableau de bord'!$B$3:$G$32</definedName>
    <definedName name="____TB77">'[6]Tableau de bord'!$B$36:$G$55</definedName>
    <definedName name="____TB78">'[6]PR7-8'!$A$1:$Q$31</definedName>
    <definedName name="____TB79">'[6]Tableau de bord'!$B$90:$G$113</definedName>
    <definedName name="____TB80">'[6]Tableau de bord'!$B$116:$G$135</definedName>
    <definedName name="____TB81">'[6]Tableau de bord'!$B$138:$G$157</definedName>
    <definedName name="____TB82">'[6]Tableau de bord'!$B$161:$G$181</definedName>
    <definedName name="____TB83">'[6]PR1-2'!$A$1:$AS$34</definedName>
    <definedName name="____TB84">'[6]Tableau de bord'!$B$211:$G$230</definedName>
    <definedName name="____TB85">'[6]Tableau de bord'!$B$233:$G$252</definedName>
    <definedName name="____TB86">'[6]Tableau de bord'!$B$255:$G$276</definedName>
    <definedName name="____TB87">'[6]Tableau de bord'!$B$279:$G$300</definedName>
    <definedName name="____TB88">'[6]Tableau de bord'!$B$303:$G$324</definedName>
    <definedName name="____TB89">'[6]Tableau de bord'!$B$327:$G$348</definedName>
    <definedName name="____TB90">'[6]Tableau de bord'!$B$351:$G$372</definedName>
    <definedName name="____TC1" localSheetId="25">#REF!</definedName>
    <definedName name="____TC1">#REF!</definedName>
    <definedName name="____val1" localSheetId="25">#REF!</definedName>
    <definedName name="____val1">#REF!</definedName>
    <definedName name="____VAL2" localSheetId="25">#REF!</definedName>
    <definedName name="____VAL2">#REF!</definedName>
    <definedName name="____VAL3" localSheetId="25">#REF!</definedName>
    <definedName name="____VAL3">#REF!</definedName>
    <definedName name="____VAL4" localSheetId="25">#REF!</definedName>
    <definedName name="____VAL4">#REF!</definedName>
    <definedName name="___bf04" hidden="1">{"Analyse écart CA",#N/A,FALSE,"Analyse CA"}</definedName>
    <definedName name="___BF06" hidden="1">{"Analyse écart CA",#N/A,FALSE,"Analyse CA"}</definedName>
    <definedName name="___Bf6" hidden="1">{"Analyse écart CA",#N/A,FALSE,"Analyse CA"}</definedName>
    <definedName name="___cmm152" localSheetId="25">#REF!</definedName>
    <definedName name="___cmm152">#REF!</definedName>
    <definedName name="___DXZ1" hidden="1">{"V3",#N/A,FALSE,"N GAS ELEC_PV";"V2",#N/A,FALSE,"N GAS ELEC_PV";"V1",#N/A,FALSE,"N GAS ELEC_PV"}</definedName>
    <definedName name="___F2" localSheetId="25">#REF!</definedName>
    <definedName name="___F2">#REF!</definedName>
    <definedName name="___f3" hidden="1">{"Analyse écart CA",#N/A,FALSE,"Analyse CA"}</definedName>
    <definedName name="___F4" hidden="1">{"Analyse écart CA",#N/A,FALSE,"Analyse CA"}</definedName>
    <definedName name="___F5" hidden="1">{#N/A,#N/A,FALSE,"DEK-PR(34)";#N/A,#N/A,FALSE,"DEK (13)";"Chffre d'affaires DEK",#N/A,FALSE,"Chiffre d'affaires";#N/A,#N/A,FALSE,"Dotations";#N/A,#N/A,FALSE,"Frais Financiers ";#N/A,#N/A,FALSE,"Redevance"}</definedName>
    <definedName name="___F6" hidden="1">{"Listing 103",#N/A,FALSE,"Listing 103"}</definedName>
    <definedName name="___F7" hidden="1">{"Analyse écart CA",#N/A,FALSE,"Analyse CA"}</definedName>
    <definedName name="___F8" hidden="1">{"Analyse écart CA",#N/A,FALSE,"Analyse CA"}</definedName>
    <definedName name="___G100" localSheetId="25">#REF!</definedName>
    <definedName name="___G100">#REF!</definedName>
    <definedName name="___G50" localSheetId="25">#REF!</definedName>
    <definedName name="___G50">#REF!</definedName>
    <definedName name="___GDL14" localSheetId="25">#REF!</definedName>
    <definedName name="___GDL14">#REF!</definedName>
    <definedName name="___HM3" localSheetId="25">#REF!</definedName>
    <definedName name="___HM3">#REF!</definedName>
    <definedName name="___IMA1" hidden="1">{"fax-dis",#N/A,FALSE,"FAX";"fax-dij",#N/A,FALSE,"FAX"}</definedName>
    <definedName name="___IMA2" hidden="1">{#N/A,#N/A,FALSE,"MP (15)";#N/A,#N/A,FALSE,"DIS (16)";#N/A,#N/A,FALSE,"DIJ (17)";#N/A,#N/A,FALSE,"GP(18)";#N/A,#N/A,FALSE,"EPHOS(19)";#N/A,#N/A,FALSE,"HYPOan (20)";#N/A,#N/A,FALSE,"HYPMOIS (21)"}</definedName>
    <definedName name="___IMA3" hidden="1">{"fax-dis",#N/A,FALSE,"FAX";"fax-dij",#N/A,FALSE,"FAX"}</definedName>
    <definedName name="___LPR1" hidden="1">{"Analyse écart CA",#N/A,FALSE,"Analyse CA"}</definedName>
    <definedName name="___MP1" hidden="1">{"Listing 103",#N/A,FALSE,"Listing 103"}</definedName>
    <definedName name="___MP12" hidden="1">{"fax-dis",#N/A,FALSE,"FAX";"fax-dij",#N/A,FALSE,"FAX"}</definedName>
    <definedName name="___MP25" hidden="1">{"Analyse écart CA",#N/A,FALSE,"Analyse CA"}</definedName>
    <definedName name="___MP3" hidden="1">{"fax-dis",#N/A,FALSE,"FAX";"fax-dij",#N/A,FALSE,"FAX"}</definedName>
    <definedName name="___MP6" hidden="1">{"Analyse écart CA",#N/A,FALSE,"Analyse CA"}</definedName>
    <definedName name="___pf6" localSheetId="25">#REF!</definedName>
    <definedName name="___pf6">#REF!</definedName>
    <definedName name="___PR1" localSheetId="25">#REF!</definedName>
    <definedName name="___PR1">#REF!</definedName>
    <definedName name="___PR8" localSheetId="25">#REF!</definedName>
    <definedName name="___PR8">#REF!</definedName>
    <definedName name="___PR9" localSheetId="25">#REF!</definedName>
    <definedName name="___PR9">#REF!</definedName>
    <definedName name="___r">'[3]BF R8 Net '!$B$7:$AC$984</definedName>
    <definedName name="___R1_" localSheetId="25">[5]Production!#REF!</definedName>
    <definedName name="___R1_">[5]Production!#REF!</definedName>
    <definedName name="___R6">'[3]BF R9 Net'!$B$7:$AI$984</definedName>
    <definedName name="___R8_Net" localSheetId="25">#REF!</definedName>
    <definedName name="___R8_Net">#REF!</definedName>
    <definedName name="___res1" localSheetId="25">#REF!</definedName>
    <definedName name="___res1">#REF!</definedName>
    <definedName name="___RES2" localSheetId="25">#REF!</definedName>
    <definedName name="___RES2">#REF!</definedName>
    <definedName name="___res3" localSheetId="25">#REF!</definedName>
    <definedName name="___res3">#REF!</definedName>
    <definedName name="___res4" localSheetId="25">#REF!</definedName>
    <definedName name="___res4">#REF!</definedName>
    <definedName name="___RJ2" localSheetId="25">#REF!</definedName>
    <definedName name="___RJ2">#REF!</definedName>
    <definedName name="___RM7" localSheetId="25">#REF!</definedName>
    <definedName name="___RM7">#REF!</definedName>
    <definedName name="___SA1" hidden="1">{"Analyse écart CA",#N/A,FALSE,"Analyse CA"}</definedName>
    <definedName name="___sa41" hidden="1">{#N/A,#N/A,FALSE,"DEK-PR(34)";#N/A,#N/A,FALSE,"DEK (13)";"Chffre d'affaires DEK",#N/A,FALSE,"Chiffre d'affaires";#N/A,#N/A,FALSE,"Dotations";#N/A,#N/A,FALSE,"Frais Financiers ";#N/A,#N/A,FALSE,"Redevance"}</definedName>
    <definedName name="___SC2" hidden="1">{"Analyse écart CA",#N/A,FALSE,"Analyse CA"}</definedName>
    <definedName name="___SC3" hidden="1">{"Analyse écart CA",#N/A,FALSE,"Analyse CA"}</definedName>
    <definedName name="___SIQ1" localSheetId="25">#REF!</definedName>
    <definedName name="___SIQ1">#REF!</definedName>
    <definedName name="___SIQ2" localSheetId="25">#REF!</definedName>
    <definedName name="___SIQ2">#REF!</definedName>
    <definedName name="___SIQ3" localSheetId="25">#REF!</definedName>
    <definedName name="___SIQ3">#REF!</definedName>
    <definedName name="___SIQ4" localSheetId="25">#REF!</definedName>
    <definedName name="___SIQ4">#REF!</definedName>
    <definedName name="___SIQ5" localSheetId="25">#REF!</definedName>
    <definedName name="___SIQ5">#REF!</definedName>
    <definedName name="___SIQ6" localSheetId="25">#REF!</definedName>
    <definedName name="___SIQ6">#REF!</definedName>
    <definedName name="___SIQ7" localSheetId="25">#REF!</definedName>
    <definedName name="___SIQ7">#REF!</definedName>
    <definedName name="___SIQ8" localSheetId="25">#REF!</definedName>
    <definedName name="___SIQ8">#REF!</definedName>
    <definedName name="___SY1" localSheetId="25">#REF!</definedName>
    <definedName name="___SY1">#REF!</definedName>
    <definedName name="___SY2" localSheetId="25">#REF!</definedName>
    <definedName name="___SY2">#REF!</definedName>
    <definedName name="___TB76">'[6]Tableau de bord'!$B$3:$G$32</definedName>
    <definedName name="___TB77">'[6]Tableau de bord'!$B$36:$G$55</definedName>
    <definedName name="___TB78">'[6]PR7-8'!$A$1:$Q$31</definedName>
    <definedName name="___TB79">'[6]Tableau de bord'!$B$90:$G$113</definedName>
    <definedName name="___TB80">'[6]Tableau de bord'!$B$116:$G$135</definedName>
    <definedName name="___TB81">'[6]Tableau de bord'!$B$138:$G$157</definedName>
    <definedName name="___TB82">'[6]Tableau de bord'!$B$161:$G$181</definedName>
    <definedName name="___TB83">'[6]PR1-2'!$A$1:$AS$34</definedName>
    <definedName name="___TB84">'[6]Tableau de bord'!$B$211:$G$230</definedName>
    <definedName name="___TB85">'[6]Tableau de bord'!$B$233:$G$252</definedName>
    <definedName name="___TB86">'[6]Tableau de bord'!$B$255:$G$276</definedName>
    <definedName name="___TB87">'[6]Tableau de bord'!$B$279:$G$300</definedName>
    <definedName name="___TB88">'[6]Tableau de bord'!$B$303:$G$324</definedName>
    <definedName name="___TB89">'[6]Tableau de bord'!$B$327:$G$348</definedName>
    <definedName name="___TB90">'[6]Tableau de bord'!$B$351:$G$372</definedName>
    <definedName name="___TC1" localSheetId="25">#REF!</definedName>
    <definedName name="___TC1">#REF!</definedName>
    <definedName name="___val1" localSheetId="25">#REF!</definedName>
    <definedName name="___val1">#REF!</definedName>
    <definedName name="___VAL2" localSheetId="25">#REF!</definedName>
    <definedName name="___VAL2">#REF!</definedName>
    <definedName name="___VAL3" localSheetId="25">#REF!</definedName>
    <definedName name="___VAL3">#REF!</definedName>
    <definedName name="___VAL4" localSheetId="25">#REF!</definedName>
    <definedName name="___VAL4">#REF!</definedName>
    <definedName name="__123Graph_A" localSheetId="25" hidden="1">#REF!</definedName>
    <definedName name="__123Graph_A" hidden="1">#REF!</definedName>
    <definedName name="__123Graph_B" localSheetId="25" hidden="1">[7]CACONSOLIDE!#REF!</definedName>
    <definedName name="__123Graph_B" hidden="1">[7]CACONSOLIDE!#REF!</definedName>
    <definedName name="__123Graph_C" localSheetId="25" hidden="1">#REF!</definedName>
    <definedName name="__123Graph_C" hidden="1">#REF!</definedName>
    <definedName name="__123Graph_D" localSheetId="25" hidden="1">[8]Proforma!#REF!</definedName>
    <definedName name="__123Graph_D" hidden="1">[8]Proforma!#REF!</definedName>
    <definedName name="__123Graph_E" localSheetId="25" hidden="1">#REF!</definedName>
    <definedName name="__123Graph_E" hidden="1">#REF!</definedName>
    <definedName name="__123Graph_F" localSheetId="25" hidden="1">[7]CACONSOLIDE!#REF!</definedName>
    <definedName name="__123Graph_F" hidden="1">[7]CACONSOLIDE!#REF!</definedName>
    <definedName name="__123Graph_LBL_A" localSheetId="25" hidden="1">[9]ARDECIDE!#REF!</definedName>
    <definedName name="__123Graph_LBL_A" hidden="1">[9]ARDECIDE!#REF!</definedName>
    <definedName name="__123Graph_X" localSheetId="25" hidden="1">[7]CACONSOLIDE!#REF!</definedName>
    <definedName name="__123Graph_X" hidden="1">[7]CACONSOLIDE!#REF!</definedName>
    <definedName name="__bf04" hidden="1">{"Analyse écart CA",#N/A,FALSE,"Analyse CA"}</definedName>
    <definedName name="__BF06" hidden="1">{"Analyse écart CA",#N/A,FALSE,"Analyse CA"}</definedName>
    <definedName name="__Bf6" hidden="1">{"Analyse écart CA",#N/A,FALSE,"Analyse CA"}</definedName>
    <definedName name="__cmm152" localSheetId="25">#REF!</definedName>
    <definedName name="__cmm152">#REF!</definedName>
    <definedName name="__DXZ1" hidden="1">{"V3",#N/A,FALSE,"N GAS ELEC_PV";"V2",#N/A,FALSE,"N GAS ELEC_PV";"V1",#N/A,FALSE,"N GAS ELEC_PV"}</definedName>
    <definedName name="__F2" localSheetId="25">#REF!</definedName>
    <definedName name="__F2">#REF!</definedName>
    <definedName name="__f3" hidden="1">{"Analyse écart CA",#N/A,FALSE,"Analyse CA"}</definedName>
    <definedName name="__F4" hidden="1">{"Analyse écart CA",#N/A,FALSE,"Analyse CA"}</definedName>
    <definedName name="__F5" hidden="1">{#N/A,#N/A,FALSE,"DEK-PR(34)";#N/A,#N/A,FALSE,"DEK (13)";"Chffre d'affaires DEK",#N/A,FALSE,"Chiffre d'affaires";#N/A,#N/A,FALSE,"Dotations";#N/A,#N/A,FALSE,"Frais Financiers ";#N/A,#N/A,FALSE,"Redevance"}</definedName>
    <definedName name="__F6" hidden="1">{"Listing 103",#N/A,FALSE,"Listing 103"}</definedName>
    <definedName name="__F7" hidden="1">{"Analyse écart CA",#N/A,FALSE,"Analyse CA"}</definedName>
    <definedName name="__F8" hidden="1">{"Analyse écart CA",#N/A,FALSE,"Analyse CA"}</definedName>
    <definedName name="__FYE2">[10]Inputs!$D$17</definedName>
    <definedName name="__G100" localSheetId="25">#REF!</definedName>
    <definedName name="__G100">#REF!</definedName>
    <definedName name="__g12" hidden="1">{"HM3",#N/A,FALSE,"HM(2002)V1";"HM4",#N/A,FALSE,"HM(2002)V1"}</definedName>
    <definedName name="__G50" localSheetId="25">#REF!</definedName>
    <definedName name="__G50">#REF!</definedName>
    <definedName name="__g78" hidden="1">{"HM",#N/A,TRUE,"HM(2002)V2";"RecpHM",#N/A,TRUE,"HM(2002)V2";"HMIF",#N/A,TRUE,"HM(2002)V2";"VS et Ratio",#N/A,TRUE,"HM(2002)V2";"F et Sautage",#N/A,TRUE,"HM(2002)V2"}</definedName>
    <definedName name="__GDL14" localSheetId="25">#REF!</definedName>
    <definedName name="__GDL14">#REF!</definedName>
    <definedName name="__h1" hidden="1">{"HM3",#N/A,FALSE,"HM(2002)V1";"HM4",#N/A,FALSE,"HM(2002)V1"}</definedName>
    <definedName name="__h12" hidden="1">{"HM3",#N/A,FALSE,"HM(2002)V1";"HM4",#N/A,FALSE,"HM(2002)V1"}</definedName>
    <definedName name="__h13" hidden="1">{"HM3",#N/A,FALSE,"HM(2002)V1";"HM4",#N/A,FALSE,"HM(2002)V1"}</definedName>
    <definedName name="__h14" hidden="1">{"HM3",#N/A,FALSE,"HM(2002)V1";"HM4",#N/A,FALSE,"HM(2002)V1"}</definedName>
    <definedName name="__h9" hidden="1">{"HM3",#N/A,FALSE,"HM(2002)V1";"HM4",#N/A,FALSE,"HM(2002)V1"}</definedName>
    <definedName name="__HM3" localSheetId="25">#REF!</definedName>
    <definedName name="__HM3">#REF!</definedName>
    <definedName name="__IMA1" hidden="1">{"fax-dis",#N/A,FALSE,"FAX";"fax-dij",#N/A,FALSE,"FAX"}</definedName>
    <definedName name="__IMA2" hidden="1">{#N/A,#N/A,FALSE,"MP (15)";#N/A,#N/A,FALSE,"DIS (16)";#N/A,#N/A,FALSE,"DIJ (17)";#N/A,#N/A,FALSE,"GP(18)";#N/A,#N/A,FALSE,"EPHOS(19)";#N/A,#N/A,FALSE,"HYPOan (20)";#N/A,#N/A,FALSE,"HYPMOIS (21)"}</definedName>
    <definedName name="__IMA3" hidden="1">{"fax-dis",#N/A,FALSE,"FAX";"fax-dij",#N/A,FALSE,"FAX"}</definedName>
    <definedName name="__IntlFixup" hidden="1">TRUE</definedName>
    <definedName name="__LPR1" hidden="1">{"Analyse écart CA",#N/A,FALSE,"Analyse CA"}</definedName>
    <definedName name="__m25" hidden="1">{"HM3",#N/A,FALSE,"HM(2002)V1";"HM4",#N/A,FALSE,"HM(2002)V1"}</definedName>
    <definedName name="__MP1" hidden="1">{"Listing 103",#N/A,FALSE,"Listing 103"}</definedName>
    <definedName name="__MP12" hidden="1">{"fax-dis",#N/A,FALSE,"FAX";"fax-dij",#N/A,FALSE,"FAX"}</definedName>
    <definedName name="__MP25" hidden="1">{"Analyse écart CA",#N/A,FALSE,"Analyse CA"}</definedName>
    <definedName name="__MP3" hidden="1">{"fax-dis",#N/A,FALSE,"FAX";"fax-dij",#N/A,FALSE,"FAX"}</definedName>
    <definedName name="__MP6" hidden="1">{"Analyse écart CA",#N/A,FALSE,"Analyse CA"}</definedName>
    <definedName name="__Nat1" localSheetId="25">#REF!</definedName>
    <definedName name="__Nat1">#REF!</definedName>
    <definedName name="__p78" hidden="1">{"RecpHM",#N/A,FALSE,"HM(2002)V1";"VS et Ratio",#N/A,FALSE,"HM(2002)V1";"HMIF",#N/A,FALSE,"HM(2002)V1"}</definedName>
    <definedName name="__pf6" localSheetId="25">#REF!</definedName>
    <definedName name="__pf6">#REF!</definedName>
    <definedName name="__PR1" localSheetId="25">#REF!</definedName>
    <definedName name="__PR1">#REF!</definedName>
    <definedName name="__PR8" localSheetId="25">#REF!</definedName>
    <definedName name="__PR8">#REF!</definedName>
    <definedName name="__PR9" localSheetId="25">#REF!</definedName>
    <definedName name="__PR9">#REF!</definedName>
    <definedName name="__QTE1" localSheetId="25">#REF!</definedName>
    <definedName name="__QTE1">#REF!</definedName>
    <definedName name="__r">'[3]BF R8 Net '!$B$7:$AC$984</definedName>
    <definedName name="__R1_" localSheetId="25">[11]Production!#REF!</definedName>
    <definedName name="__R1_">[11]Production!#REF!</definedName>
    <definedName name="__R6">'[3]BF R9 Net'!$B$7:$AI$984</definedName>
    <definedName name="__R8_Net" localSheetId="25">#REF!</definedName>
    <definedName name="__R8_Net">#REF!</definedName>
    <definedName name="__res1" localSheetId="25">#REF!</definedName>
    <definedName name="__res1">#REF!</definedName>
    <definedName name="__RES2" localSheetId="25">#REF!</definedName>
    <definedName name="__RES2">#REF!</definedName>
    <definedName name="__res3" localSheetId="25">#REF!</definedName>
    <definedName name="__res3">#REF!</definedName>
    <definedName name="__res4" localSheetId="25">#REF!</definedName>
    <definedName name="__res4">#REF!</definedName>
    <definedName name="__RJ2" localSheetId="25">#REF!</definedName>
    <definedName name="__RJ2">#REF!</definedName>
    <definedName name="__RM7" localSheetId="25">#REF!</definedName>
    <definedName name="__RM7">#REF!</definedName>
    <definedName name="__SA1" hidden="1">{"Analyse écart CA",#N/A,FALSE,"Analyse CA"}</definedName>
    <definedName name="__sa41" hidden="1">{#N/A,#N/A,FALSE,"DEK-PR(34)";#N/A,#N/A,FALSE,"DEK (13)";"Chffre d'affaires DEK",#N/A,FALSE,"Chiffre d'affaires";#N/A,#N/A,FALSE,"Dotations";#N/A,#N/A,FALSE,"Frais Financiers ";#N/A,#N/A,FALSE,"Redevance"}</definedName>
    <definedName name="__SC2" hidden="1">{"Analyse écart CA",#N/A,FALSE,"Analyse CA"}</definedName>
    <definedName name="__SC3" hidden="1">{"Analyse écart CA",#N/A,FALSE,"Analyse CA"}</definedName>
    <definedName name="__SIQ1" localSheetId="25">#REF!</definedName>
    <definedName name="__SIQ1">#REF!</definedName>
    <definedName name="__SIQ2" localSheetId="25">#REF!</definedName>
    <definedName name="__SIQ2">#REF!</definedName>
    <definedName name="__SIQ3" localSheetId="25">#REF!</definedName>
    <definedName name="__SIQ3">#REF!</definedName>
    <definedName name="__SIQ4" localSheetId="25">#REF!</definedName>
    <definedName name="__SIQ4">#REF!</definedName>
    <definedName name="__SIQ5" localSheetId="25">#REF!</definedName>
    <definedName name="__SIQ5">#REF!</definedName>
    <definedName name="__SIQ6" localSheetId="25">#REF!</definedName>
    <definedName name="__SIQ6">#REF!</definedName>
    <definedName name="__SIQ7" localSheetId="25">#REF!</definedName>
    <definedName name="__SIQ7">#REF!</definedName>
    <definedName name="__SIQ8" localSheetId="25">#REF!</definedName>
    <definedName name="__SIQ8">#REF!</definedName>
    <definedName name="__SY1" localSheetId="25">#REF!</definedName>
    <definedName name="__SY1">#REF!</definedName>
    <definedName name="__SY2" localSheetId="25">#REF!</definedName>
    <definedName name="__SY2">#REF!</definedName>
    <definedName name="__TB76">'[6]Tableau de bord'!$B$3:$G$32</definedName>
    <definedName name="__TB77">'[6]Tableau de bord'!$B$36:$G$55</definedName>
    <definedName name="__TB78">'[6]PR7-8'!$A$1:$Q$31</definedName>
    <definedName name="__TB79">'[6]Tableau de bord'!$B$90:$G$113</definedName>
    <definedName name="__TB80">'[6]Tableau de bord'!$B$116:$G$135</definedName>
    <definedName name="__TB81">'[6]Tableau de bord'!$B$138:$G$157</definedName>
    <definedName name="__TB82">'[6]Tableau de bord'!$B$161:$G$181</definedName>
    <definedName name="__TB83">'[6]PR1-2'!$A$1:$AS$34</definedName>
    <definedName name="__TB84">'[6]Tableau de bord'!$B$211:$G$230</definedName>
    <definedName name="__TB85">'[6]Tableau de bord'!$B$233:$G$252</definedName>
    <definedName name="__TB86">'[6]Tableau de bord'!$B$255:$G$276</definedName>
    <definedName name="__TB87">'[6]Tableau de bord'!$B$279:$G$300</definedName>
    <definedName name="__TB88">'[6]Tableau de bord'!$B$303:$G$324</definedName>
    <definedName name="__TB89">'[6]Tableau de bord'!$B$327:$G$348</definedName>
    <definedName name="__TB90">'[6]Tableau de bord'!$B$351:$G$372</definedName>
    <definedName name="__TC1" localSheetId="25">#REF!</definedName>
    <definedName name="__TC1">#REF!</definedName>
    <definedName name="__val1" localSheetId="25">#REF!</definedName>
    <definedName name="__val1">#REF!</definedName>
    <definedName name="__VAL2" localSheetId="25">#REF!</definedName>
    <definedName name="__VAL2">#REF!</definedName>
    <definedName name="__VAL3" localSheetId="25">#REF!</definedName>
    <definedName name="__VAL3">#REF!</definedName>
    <definedName name="__VAL4" localSheetId="25">#REF!</definedName>
    <definedName name="__VAL4">#REF!</definedName>
    <definedName name="__y58" hidden="1">{"HM3",#N/A,FALSE,"HM(2002)V1";"HM4",#N/A,FALSE,"HM(2002)V1"}</definedName>
    <definedName name="_1" localSheetId="25">#REF!</definedName>
    <definedName name="_1">#REF!</definedName>
    <definedName name="_1.Q">#N/A</definedName>
    <definedName name="_13_MOIS_1997" localSheetId="25">#REF!</definedName>
    <definedName name="_13_MOIS_1997">#REF!</definedName>
    <definedName name="_1g" localSheetId="25">[8]CSCCincSKR!#REF!</definedName>
    <definedName name="_1g">[8]CSCCincSKR!#REF!</definedName>
    <definedName name="_2" localSheetId="25">#REF!</definedName>
    <definedName name="_2">#REF!</definedName>
    <definedName name="_2.Q">#N/A</definedName>
    <definedName name="_3" localSheetId="25">#REF!</definedName>
    <definedName name="_3">#REF!</definedName>
    <definedName name="_3.Q">#N/A</definedName>
    <definedName name="_4" localSheetId="25">#REF!</definedName>
    <definedName name="_4">#REF!</definedName>
    <definedName name="_4.Q">#N/A</definedName>
    <definedName name="_5" localSheetId="25">#REF!</definedName>
    <definedName name="_5">#REF!</definedName>
    <definedName name="_bf04" hidden="1">{"Analyse écart CA",#N/A,FALSE,"Analyse CA"}</definedName>
    <definedName name="_BF06" hidden="1">{"Analyse écart CA",#N/A,FALSE,"Analyse CA"}</definedName>
    <definedName name="_Bf6" hidden="1">{"Analyse écart CA",#N/A,FALSE,"Analyse CA"}</definedName>
    <definedName name="_c" localSheetId="25">#REF!</definedName>
    <definedName name="_c">#REF!</definedName>
    <definedName name="_cmm152" localSheetId="25">#REF!</definedName>
    <definedName name="_cmm152">#REF!</definedName>
    <definedName name="_dte" localSheetId="25">#REF!</definedName>
    <definedName name="_dte">#REF!</definedName>
    <definedName name="_DXZ1" hidden="1">{"V3",#N/A,FALSE,"N GAS ELEC_PV";"V2",#N/A,FALSE,"N GAS ELEC_PV";"V1",#N/A,FALSE,"N GAS ELEC_PV"}</definedName>
    <definedName name="_F2" localSheetId="25">#REF!</definedName>
    <definedName name="_F2">#REF!</definedName>
    <definedName name="_f3" hidden="1">{"Analyse écart CA",#N/A,FALSE,"Analyse CA"}</definedName>
    <definedName name="_F4" hidden="1">{"Analyse écart CA",#N/A,FALSE,"Analyse CA"}</definedName>
    <definedName name="_F5" hidden="1">{#N/A,#N/A,FALSE,"DEK-PR(34)";#N/A,#N/A,FALSE,"DEK (13)";"Chffre d'affaires DEK",#N/A,FALSE,"Chiffre d'affaires";#N/A,#N/A,FALSE,"Dotations";#N/A,#N/A,FALSE,"Frais Financiers ";#N/A,#N/A,FALSE,"Redevance"}</definedName>
    <definedName name="_F6" hidden="1">{"Listing 103",#N/A,FALSE,"Listing 103"}</definedName>
    <definedName name="_F7" hidden="1">{"Analyse écart CA",#N/A,FALSE,"Analyse CA"}</definedName>
    <definedName name="_F8" hidden="1">{"Analyse écart CA",#N/A,FALSE,"Analyse CA"}</definedName>
    <definedName name="_xlnm._FilterDatabase" localSheetId="2" hidden="1">chargement!$A$1:$AV$157</definedName>
    <definedName name="_xlnm._FilterDatabase" localSheetId="0" hidden="1">criblage!$L$1:$L$802</definedName>
    <definedName name="_xlnm._FilterDatabase" localSheetId="34" hidden="1">Feuil23!$C$14:$D$35</definedName>
    <definedName name="_xlnm._FilterDatabase" localSheetId="1" hidden="1">'les arrets'!$A$1:$Q$1572</definedName>
    <definedName name="_xlnm._FilterDatabase" localSheetId="24" hidden="1">'synthèse 312'!$A$2:$U$370</definedName>
    <definedName name="_FYE2">[12]Inputs!$D$17</definedName>
    <definedName name="_G100" localSheetId="25">#REF!</definedName>
    <definedName name="_G100">#REF!</definedName>
    <definedName name="_g12" hidden="1">{"HM3",#N/A,FALSE,"HM(2002)V1";"HM4",#N/A,FALSE,"HM(2002)V1"}</definedName>
    <definedName name="_G50" localSheetId="25">#REF!</definedName>
    <definedName name="_G50">#REF!</definedName>
    <definedName name="_g78" hidden="1">{"HM",#N/A,TRUE,"HM(2002)V2";"RecpHM",#N/A,TRUE,"HM(2002)V2";"HMIF",#N/A,TRUE,"HM(2002)V2";"VS et Ratio",#N/A,TRUE,"HM(2002)V2";"F et Sautage",#N/A,TRUE,"HM(2002)V2"}</definedName>
    <definedName name="_GDL14" localSheetId="25">#REF!</definedName>
    <definedName name="_GDL14">#REF!</definedName>
    <definedName name="_h1" hidden="1">{"HM3",#N/A,FALSE,"HM(2002)V1";"HM4",#N/A,FALSE,"HM(2002)V1"}</definedName>
    <definedName name="_h12" hidden="1">{"HM3",#N/A,FALSE,"HM(2002)V1";"HM4",#N/A,FALSE,"HM(2002)V1"}</definedName>
    <definedName name="_h13" hidden="1">{"HM3",#N/A,FALSE,"HM(2002)V1";"HM4",#N/A,FALSE,"HM(2002)V1"}</definedName>
    <definedName name="_h14" hidden="1">{"HM3",#N/A,FALSE,"HM(2002)V1";"HM4",#N/A,FALSE,"HM(2002)V1"}</definedName>
    <definedName name="_h9" hidden="1">{"HM3",#N/A,FALSE,"HM(2002)V1";"HM4",#N/A,FALSE,"HM(2002)V1"}</definedName>
    <definedName name="_HM3" localSheetId="25">#REF!</definedName>
    <definedName name="_HM3">#REF!</definedName>
    <definedName name="_IMA1" hidden="1">{"fax-dis",#N/A,FALSE,"FAX";"fax-dij",#N/A,FALSE,"FAX"}</definedName>
    <definedName name="_IMA2" hidden="1">{#N/A,#N/A,FALSE,"MP (15)";#N/A,#N/A,FALSE,"DIS (16)";#N/A,#N/A,FALSE,"DIJ (17)";#N/A,#N/A,FALSE,"GP(18)";#N/A,#N/A,FALSE,"EPHOS(19)";#N/A,#N/A,FALSE,"HYPOan (20)";#N/A,#N/A,FALSE,"HYPMOIS (21)"}</definedName>
    <definedName name="_IMA3" hidden="1">{"fax-dis",#N/A,FALSE,"FAX";"fax-dij",#N/A,FALSE,"FAX"}</definedName>
    <definedName name="_Key1" localSheetId="25" hidden="1">#REF!</definedName>
    <definedName name="_Key1" hidden="1">#REF!</definedName>
    <definedName name="_LPR1" hidden="1">{"Analyse écart CA",#N/A,FALSE,"Analyse CA"}</definedName>
    <definedName name="_m25" hidden="1">{"HM3",#N/A,FALSE,"HM(2002)V1";"HM4",#N/A,FALSE,"HM(2002)V1"}</definedName>
    <definedName name="_mat3" localSheetId="25">#REF!</definedName>
    <definedName name="_mat3">#REF!</definedName>
    <definedName name="_mat4" localSheetId="25">#REF!</definedName>
    <definedName name="_mat4">#REF!</definedName>
    <definedName name="_mat6" localSheetId="25">#REF!</definedName>
    <definedName name="_mat6">#REF!</definedName>
    <definedName name="_mat7" localSheetId="25">#REF!</definedName>
    <definedName name="_mat7">#REF!</definedName>
    <definedName name="_MP1" hidden="1">{"Listing 103",#N/A,FALSE,"Listing 103"}</definedName>
    <definedName name="_MP12" hidden="1">{"fax-dis",#N/A,FALSE,"FAX";"fax-dij",#N/A,FALSE,"FAX"}</definedName>
    <definedName name="_MP25" hidden="1">{"Analyse écart CA",#N/A,FALSE,"Analyse CA"}</definedName>
    <definedName name="_MP3" hidden="1">{"fax-dis",#N/A,FALSE,"FAX";"fax-dij",#N/A,FALSE,"FAX"}</definedName>
    <definedName name="_MP6" hidden="1">{"Analyse écart CA",#N/A,FALSE,"Analyse CA"}</definedName>
    <definedName name="_Nat1" localSheetId="25">#REF!</definedName>
    <definedName name="_Nat1">#REF!</definedName>
    <definedName name="_Order1" hidden="1">255</definedName>
    <definedName name="_Order2" hidden="1">0</definedName>
    <definedName name="_p78" hidden="1">{"RecpHM",#N/A,FALSE,"HM(2002)V1";"VS et Ratio",#N/A,FALSE,"HM(2002)V1";"HMIF",#N/A,FALSE,"HM(2002)V1"}</definedName>
    <definedName name="_Parse_In" localSheetId="25" hidden="1">#REF!</definedName>
    <definedName name="_Parse_In" hidden="1">#REF!</definedName>
    <definedName name="_Parse_Out" localSheetId="25" hidden="1">#REF!</definedName>
    <definedName name="_Parse_Out" hidden="1">#REF!</definedName>
    <definedName name="_pf6" localSheetId="25">#REF!</definedName>
    <definedName name="_pf6">#REF!</definedName>
    <definedName name="_PR1" localSheetId="25">#REF!</definedName>
    <definedName name="_PR1">#REF!</definedName>
    <definedName name="_PR8" localSheetId="25">#REF!</definedName>
    <definedName name="_PR8">#REF!</definedName>
    <definedName name="_PR9" localSheetId="25">#REF!</definedName>
    <definedName name="_PR9">#REF!</definedName>
    <definedName name="_QTE1" localSheetId="25">#REF!</definedName>
    <definedName name="_QTE1">#REF!</definedName>
    <definedName name="_r">'[3]BF R8 Net '!$B$7:$AC$984</definedName>
    <definedName name="_R1_" localSheetId="25">[11]Production!#REF!</definedName>
    <definedName name="_R1_">[11]Production!#REF!</definedName>
    <definedName name="_R6">'[3]BF R9 Net'!$B$7:$AI$984</definedName>
    <definedName name="_R8_Net" localSheetId="25">#REF!</definedName>
    <definedName name="_R8_Net">#REF!</definedName>
    <definedName name="_Regression_Int" hidden="1">1</definedName>
    <definedName name="_Regression_X" localSheetId="25" hidden="1">#REF!</definedName>
    <definedName name="_Regression_X" hidden="1">#REF!</definedName>
    <definedName name="_res1" localSheetId="25">#REF!</definedName>
    <definedName name="_res1">#REF!</definedName>
    <definedName name="_RES2" localSheetId="25">#REF!</definedName>
    <definedName name="_RES2">#REF!</definedName>
    <definedName name="_res3" localSheetId="25">#REF!</definedName>
    <definedName name="_res3">#REF!</definedName>
    <definedName name="_res4" localSheetId="25">#REF!</definedName>
    <definedName name="_res4">#REF!</definedName>
    <definedName name="_RJ2" localSheetId="25">#REF!</definedName>
    <definedName name="_RJ2">#REF!</definedName>
    <definedName name="_RM7" localSheetId="25">#REF!</definedName>
    <definedName name="_RM7">#REF!</definedName>
    <definedName name="_SA1" hidden="1">{"Analyse écart CA",#N/A,FALSE,"Analyse CA"}</definedName>
    <definedName name="_sa41" hidden="1">{#N/A,#N/A,FALSE,"DEK-PR(34)";#N/A,#N/A,FALSE,"DEK (13)";"Chffre d'affaires DEK",#N/A,FALSE,"Chiffre d'affaires";#N/A,#N/A,FALSE,"Dotations";#N/A,#N/A,FALSE,"Frais Financiers ";#N/A,#N/A,FALSE,"Redevance"}</definedName>
    <definedName name="_SC2" hidden="1">{"Analyse écart CA",#N/A,FALSE,"Analyse CA"}</definedName>
    <definedName name="_SC3" hidden="1">{"Analyse écart CA",#N/A,FALSE,"Analyse CA"}</definedName>
    <definedName name="_SIQ">'[13]EY-C-P6'!$Z$56:$AK$65</definedName>
    <definedName name="_SIQ1" localSheetId="25">#REF!</definedName>
    <definedName name="_SIQ1">#REF!</definedName>
    <definedName name="_SIQ2" localSheetId="25">#REF!</definedName>
    <definedName name="_SIQ2">#REF!</definedName>
    <definedName name="_SIQ3" localSheetId="25">#REF!</definedName>
    <definedName name="_SIQ3">#REF!</definedName>
    <definedName name="_SIQ4" localSheetId="25">#REF!</definedName>
    <definedName name="_SIQ4">#REF!</definedName>
    <definedName name="_SIQ5" localSheetId="25">#REF!</definedName>
    <definedName name="_SIQ5">#REF!</definedName>
    <definedName name="_SIQ6" localSheetId="25">#REF!</definedName>
    <definedName name="_SIQ6">#REF!</definedName>
    <definedName name="_SIQ7" localSheetId="25">#REF!</definedName>
    <definedName name="_SIQ7">#REF!</definedName>
    <definedName name="_SIQ8" localSheetId="25">#REF!</definedName>
    <definedName name="_SIQ8">#REF!</definedName>
    <definedName name="_Sort" localSheetId="25" hidden="1">#REF!</definedName>
    <definedName name="_Sort" hidden="1">#REF!</definedName>
    <definedName name="_SY1" localSheetId="25">#REF!</definedName>
    <definedName name="_SY1">#REF!</definedName>
    <definedName name="_SY2" localSheetId="25">#REF!</definedName>
    <definedName name="_SY2">#REF!</definedName>
    <definedName name="_Table1_In1" localSheetId="25" hidden="1">'[8]#REF'!#REF!</definedName>
    <definedName name="_Table1_In1" hidden="1">'[8]#REF'!#REF!</definedName>
    <definedName name="_Table1_Out" hidden="1">'[8]#REF'!$Q$47:$R$52</definedName>
    <definedName name="_Table2_In1" localSheetId="25" hidden="1">'[8]#REF'!#REF!</definedName>
    <definedName name="_Table2_In1" hidden="1">'[8]#REF'!#REF!</definedName>
    <definedName name="_Table2_In2" hidden="1">'[8]#REF'!$M$14</definedName>
    <definedName name="_Table2_Out" localSheetId="25" hidden="1">#REF!</definedName>
    <definedName name="_Table2_Out" hidden="1">#REF!</definedName>
    <definedName name="_TB76">'[14]Tableau de bord'!$B$3:$G$32</definedName>
    <definedName name="_TB77">'[14]Tableau de bord'!$B$36:$G$55</definedName>
    <definedName name="_TB78">'[14]PR7-8'!$A$1:$Q$31</definedName>
    <definedName name="_TB79">'[14]Tableau de bord'!$B$90:$G$113</definedName>
    <definedName name="_TB80">'[14]Tableau de bord'!$B$116:$G$135</definedName>
    <definedName name="_TB81">'[14]Tableau de bord'!$B$138:$G$157</definedName>
    <definedName name="_TB82">'[14]Tableau de bord'!$B$161:$G$181</definedName>
    <definedName name="_TB83">'[14]PR1-2'!$A$1:$AS$34</definedName>
    <definedName name="_TB84">'[14]Tableau de bord'!$B$211:$G$230</definedName>
    <definedName name="_TB85">'[14]Tableau de bord'!$B$233:$G$252</definedName>
    <definedName name="_TB86">'[14]Tableau de bord'!$B$255:$G$276</definedName>
    <definedName name="_TB87">'[14]Tableau de bord'!$B$279:$G$300</definedName>
    <definedName name="_TB88">'[14]Tableau de bord'!$B$303:$G$324</definedName>
    <definedName name="_TB89">'[14]Tableau de bord'!$B$327:$G$348</definedName>
    <definedName name="_TB90">'[14]Tableau de bord'!$B$351:$G$372</definedName>
    <definedName name="_TC1" localSheetId="25">#REF!</definedName>
    <definedName name="_TC1">#REF!</definedName>
    <definedName name="_val1" localSheetId="25">#REF!</definedName>
    <definedName name="_val1">#REF!</definedName>
    <definedName name="_VAL2" localSheetId="25">#REF!</definedName>
    <definedName name="_VAL2">#REF!</definedName>
    <definedName name="_VAL3" localSheetId="25">#REF!</definedName>
    <definedName name="_VAL3">#REF!</definedName>
    <definedName name="_VAL4" localSheetId="25">#REF!</definedName>
    <definedName name="_VAL4">#REF!</definedName>
    <definedName name="_y58" hidden="1">{"HM3",#N/A,FALSE,"HM(2002)V1";"HM4",#N/A,FALSE,"HM(2002)V1"}</definedName>
    <definedName name="A" localSheetId="25">#REF!</definedName>
    <definedName name="A">#REF!</definedName>
    <definedName name="A.c" hidden="1">{"Fax DEG",#N/A,FALSE,"FAX DEG DEK DB";"Fax DEK",#N/A,FALSE,"FAX DEG DEK DB"}</definedName>
    <definedName name="aa" localSheetId="25">#REF!</definedName>
    <definedName name="aa">#REF!</definedName>
    <definedName name="AAA" localSheetId="25">[15]REPPORT!#REF!</definedName>
    <definedName name="AAA">[15]REPPORT!#REF!</definedName>
    <definedName name="aaaa" localSheetId="25">#REF!</definedName>
    <definedName name="aaaa">#REF!</definedName>
    <definedName name="aaaaaaa">#REF!</definedName>
    <definedName name="AAAALLLLAAAASSSS">[16]Feuil1!$O$4:$O$9</definedName>
    <definedName name="AAAD" hidden="1">{"V3",#N/A,FALSE,"N GAS ELEC_PV";"V2",#N/A,FALSE,"N GAS ELEC_PV";"V1",#N/A,FALSE,"N GAS ELEC_PV"}</definedName>
    <definedName name="ab" hidden="1">{"HM",#N/A,TRUE,"HM(2002)V2";"RecpHM",#N/A,TRUE,"HM(2002)V2";"HMIF",#N/A,TRUE,"HM(2002)V2";"VS et Ratio",#N/A,TRUE,"HM(2002)V2";"F et Sautage",#N/A,TRUE,"HM(2002)V2"}</definedName>
    <definedName name="abcd" hidden="1">{"HM3",#N/A,FALSE,"HM(2002)V1";"HM4",#N/A,FALSE,"HM(2002)V1"}</definedName>
    <definedName name="ACC_COS" localSheetId="25">#REF!</definedName>
    <definedName name="ACC_COS">#REF!</definedName>
    <definedName name="ACC_COS2" localSheetId="25">#REF!</definedName>
    <definedName name="ACC_COS2">#REF!</definedName>
    <definedName name="ACHATS" localSheetId="25">#REF!</definedName>
    <definedName name="ACHATS">#REF!</definedName>
    <definedName name="ACHIR" localSheetId="25">'[17]BE externe'!#REF!</definedName>
    <definedName name="ACHIR">'[17]BE externe'!#REF!</definedName>
    <definedName name="ACT_FEE" localSheetId="25">#REF!</definedName>
    <definedName name="ACT_FEE">#REF!</definedName>
    <definedName name="ad" hidden="1">{"V3",#N/A,FALSE,"N GAS ELEC_PV";"V2",#N/A,FALSE,"N GAS ELEC_PV";"V1",#N/A,FALSE,"N GAS ELEC_PV"}</definedName>
    <definedName name="AE" hidden="1">{"Analyse écart CA",#N/A,FALSE,"Analyse CA"}</definedName>
    <definedName name="af" localSheetId="25">#REF!</definedName>
    <definedName name="af">#REF!</definedName>
    <definedName name="AG" hidden="1">{"Analyse écart CA",#N/A,FALSE,"Analyse CA"}</definedName>
    <definedName name="AH" hidden="1">{"Chffre d'affaires DEK",#N/A,FALSE,"Chiffre d'affaires";"Chiffre d'affaires DEG",#N/A,FALSE,"Chiffre d'affaires";"Chiffre d'affaires OCP",#N/A,FALSE,"Chiffre d'affaires"}</definedName>
    <definedName name="AI" localSheetId="25">#REF!</definedName>
    <definedName name="AI">#REF!</definedName>
    <definedName name="aktualizace" localSheetId="25">[18]Data!#REF!</definedName>
    <definedName name="aktualizace">[18]Data!#REF!</definedName>
    <definedName name="aktualizace_01" localSheetId="25">[18]Data!#REF!</definedName>
    <definedName name="aktualizace_01">[18]Data!#REF!</definedName>
    <definedName name="AL" localSheetId="25">#REF!</definedName>
    <definedName name="AL">#REF!</definedName>
    <definedName name="an">'[19]Caisse Retraite'!$A$1</definedName>
    <definedName name="ANALYSE_PRIX_DE_REVIENT___P2O5_30" localSheetId="25">#REF!</definedName>
    <definedName name="ANALYSE_PRIX_DE_REVIENT___P2O5_30">#REF!</definedName>
    <definedName name="ANALYSE_PRIX_DE_REVIENT___SOUFRE_LIQUIDE" localSheetId="25">#REF!</definedName>
    <definedName name="ANALYSE_PRIX_DE_REVIENT___SOUFRE_LIQUIDE">#REF!</definedName>
    <definedName name="ann">[20]Redevance!$H$1</definedName>
    <definedName name="anné">[21]F1!$I$6</definedName>
    <definedName name="année">'[22]Page de garde'!$B$15</definedName>
    <definedName name="Années">[23]F1!$I$6</definedName>
    <definedName name="anscount" hidden="1">1</definedName>
    <definedName name="ANTERIEURS" localSheetId="25">'[24]RECAP. ENTITES'!#REF!</definedName>
    <definedName name="ANTERIEURS">'[24]RECAP. ENTITES'!#REF!</definedName>
    <definedName name="ao" localSheetId="25">#REF!</definedName>
    <definedName name="ao">#REF!</definedName>
    <definedName name="aoro1" hidden="1">{#N/A,#N/A,FALSE,"DEG-PR(28)";#N/A,#N/A,FALSE,"DEG (12)";#N/A,#N/A,FALSE,"Frais Financiers ";#N/A,#N/A,FALSE,"Redevance";"Chiffre d'affaires DEG",#N/A,FALSE,"Chiffre d'affaires";#N/A,#N/A,FALSE,"Dotations"}</definedName>
    <definedName name="approvisionnemnt" localSheetId="25">#REF!</definedName>
    <definedName name="approvisionnemnt">#REF!</definedName>
    <definedName name="AQ" hidden="1">{"Analyse écart CA",#N/A,FALSE,"Analyse CA"}</definedName>
    <definedName name="aqa" hidden="1">{#N/A,#N/A,FALSE,"Contrôle"}</definedName>
    <definedName name="AQX">#N/A</definedName>
    <definedName name="arret">Feuil1!$V$4:$V$73</definedName>
    <definedName name="Arrêts_Electrique">Feuil21!$G$12:$G$53</definedName>
    <definedName name="Arrêts_Electronique">Feuil21!$H$12:$H$20</definedName>
    <definedName name="Arrêts_Exploitation">Feuil21!$E$12:$E$70</definedName>
    <definedName name="Arrêts_Extérieur">Feuil21!$I$12:$I$43</definedName>
    <definedName name="Arrêts_Mécanique">Feuil21!$F$12:$F$85</definedName>
    <definedName name="arrets1">Feuil1!$J$4:$J$57</definedName>
    <definedName name="AS" hidden="1">{"p1",#N/A,FALSE,"N GAS ELEC";"p2",#N/A,FALSE,"N GAS ELEC";"p3",#N/A,FALSE,"N GAS ELEC"}</definedName>
    <definedName name="AS_T" localSheetId="25">#REF!</definedName>
    <definedName name="AS_T">#REF!</definedName>
    <definedName name="AU" localSheetId="25">#REF!</definedName>
    <definedName name="AU">#REF!</definedName>
    <definedName name="AV" hidden="1">{"p1",#N/A,FALSE,"N GAS ELEC";"p2",#N/A,FALSE,"N GAS ELEC";"p3",#N/A,FALSE,"N GAS ELEC"}</definedName>
    <definedName name="avance" hidden="1">{"p1",#N/A,FALSE,"N GAS ELEC";"p2",#N/A,FALSE,"N GAS ELEC";"p3",#N/A,FALSE,"N GAS ELEC"}</definedName>
    <definedName name="AVRIL" localSheetId="25">#REF!</definedName>
    <definedName name="AVRIL">#REF!</definedName>
    <definedName name="AW" localSheetId="25">'[25]FORMULATION SITUATION TRAITEM.'!#REF!</definedName>
    <definedName name="AW">'[25]FORMULATION SITUATION TRAITEM.'!#REF!</definedName>
    <definedName name="AX" hidden="1">{"Analyse écart CA",#N/A,FALSE,"Analyse CA"}</definedName>
    <definedName name="ax46." localSheetId="25">#REF!</definedName>
    <definedName name="ax46.">#REF!</definedName>
    <definedName name="AZ" hidden="1">{#N/A,#N/A,FALSE,"DEG (12)";#N/A,#N/A,FALSE,"OCP (11)";#N/A,#N/A,FALSE,"DEK (13)"}</definedName>
    <definedName name="AZER" hidden="1">{"Fax DEG",#N/A,FALSE,"FAX DEG DEK DB";"Fax DEK",#N/A,FALSE,"FAX DEG DEK DB"}</definedName>
    <definedName name="AZERTY" localSheetId="25" hidden="1">[26]ARDECIDE!#REF!</definedName>
    <definedName name="AZERTY" hidden="1">[26]ARDECIDE!#REF!</definedName>
    <definedName name="B" localSheetId="25">#REF!</definedName>
    <definedName name="B">#REF!</definedName>
    <definedName name="B1111111">#REF!</definedName>
    <definedName name="BACK_A" localSheetId="25">[10]Acquiror!#REF!</definedName>
    <definedName name="BACK_A">[10]Acquiror!#REF!</definedName>
    <definedName name="BALANCE" localSheetId="25">#REF!</definedName>
    <definedName name="BALANCE">#REF!</definedName>
    <definedName name="bar" hidden="1">{"V3",#N/A,FALSE,"N GAS ELEC_PV";"V2",#N/A,FALSE,"N GAS ELEC_PV";"V1",#N/A,FALSE,"N GAS ELEC_PV"}</definedName>
    <definedName name="BAROUD" hidden="1">{"V3",#N/A,FALSE,"N GAS ELEC_PV";"V2",#N/A,FALSE,"N GAS ELEC_PV";"V1",#N/A,FALSE,"N GAS ELEC_PV"}</definedName>
    <definedName name="BASE" hidden="1">{#N/A,#N/A,FALSE,"OCP (11)";#N/A,#N/A,FALSE,"DEG (12)";#N/A,#N/A,FALSE,"DEK (13)";#N/A,#N/A,FALSE,"OCP-PR(23)";#N/A,#N/A,FALSE,"DEP.FONC (24)";#N/A,#N/A,FALSE,"DEG-PR(28)";#N/A,#N/A,FALSE,"DEK-PR(34)"}</definedName>
    <definedName name="Base_de_Donnée_1" localSheetId="25">#REF!</definedName>
    <definedName name="Base_de_Donnée_1">#REF!</definedName>
    <definedName name="Base_de_Donnée_2" localSheetId="25">#REF!</definedName>
    <definedName name="Base_de_Donnée_2">#REF!</definedName>
    <definedName name="BASE_DE_DONNEES_1" localSheetId="25">[27]REPPORT!#REF!</definedName>
    <definedName name="BASE_DE_DONNEES_1">[27]REPPORT!#REF!</definedName>
    <definedName name="BASE1" localSheetId="25">#REF!</definedName>
    <definedName name="BASE1">#REF!</definedName>
    <definedName name="BASE2" localSheetId="25">#REF!</definedName>
    <definedName name="BASE2">#REF!</definedName>
    <definedName name="base3" localSheetId="25">#REF!</definedName>
    <definedName name="base3">#REF!</definedName>
    <definedName name="base4" localSheetId="25">#REF!</definedName>
    <definedName name="base4">#REF!</definedName>
    <definedName name="BASE5" localSheetId="25">#REF!</definedName>
    <definedName name="BASE5">#REF!</definedName>
    <definedName name="BASELPR" localSheetId="25">#REF!</definedName>
    <definedName name="BASELPR">#REF!</definedName>
    <definedName name="basepmk">[28]TCD!$A$5:$F$178</definedName>
    <definedName name="BATEAU">#REF!</definedName>
    <definedName name="bateauuuuuuuuuu">#REF!</definedName>
    <definedName name="bbb" hidden="1">{"P1",#N/A,FALSE,"Feuil5";"P2",#N/A,FALSE,"Feuil5";"P3",#N/A,FALSE,"Feuil5";"P4",#N/A,FALSE,"Feuil5";"P5",#N/A,FALSE,"Feuil5"}</definedName>
    <definedName name="bbbbb" hidden="1">{"Analyse écart CA",#N/A,FALSE,"Analyse CA"}</definedName>
    <definedName name="bbcc" hidden="1">{"Listing 103",#N/A,FALSE,"Listing 103"}</definedName>
    <definedName name="BF" hidden="1">{"Analyse écart CA",#N/A,FALSE,"Analyse CA"}</definedName>
    <definedName name="BFAG0" hidden="1">{"Analyse écart CA",#N/A,FALSE,"Analyse CA"}</definedName>
    <definedName name="bg" hidden="1">{"RecpHM",#N/A,FALSE,"HM(2002)V1";"VS et Ratio",#N/A,FALSE,"HM(2002)V1";"HMIF",#N/A,FALSE,"HM(2002)V1"}</definedName>
    <definedName name="BI" hidden="1">{"Analyse écart CA",#N/A,FALSE,"Analyse CA"}</definedName>
    <definedName name="BILAN" localSheetId="25">#REF!</definedName>
    <definedName name="BILAN">#REF!</definedName>
    <definedName name="BILAN_H2SO4" localSheetId="25">#REF!</definedName>
    <definedName name="BILAN_H2SO4">#REF!</definedName>
    <definedName name="BILAN_KCL" localSheetId="25">#REF!</definedName>
    <definedName name="BILAN_KCL">#REF!</definedName>
    <definedName name="BILAN_NH3" localSheetId="25">#REF!</definedName>
    <definedName name="BILAN_NH3">#REF!</definedName>
    <definedName name="BILAN_P2O5" localSheetId="25">#REF!</definedName>
    <definedName name="BILAN_P2O5">#REF!</definedName>
    <definedName name="BILAN_PHOSPHATE" localSheetId="25">#REF!</definedName>
    <definedName name="BILAN_PHOSPHATE">#REF!</definedName>
    <definedName name="BILAN_SL" localSheetId="25">#REF!</definedName>
    <definedName name="BILAN_SL">#REF!</definedName>
    <definedName name="BILAN_SS" localSheetId="25">#REF!</definedName>
    <definedName name="BILAN_SS">#REF!</definedName>
    <definedName name="Billed_MOU_EUR" localSheetId="25">#REF!</definedName>
    <definedName name="Billed_MOU_EUR">#REF!</definedName>
    <definedName name="Billed_MOU_USD" localSheetId="25">#REF!</definedName>
    <definedName name="Billed_MOU_USD">#REF!</definedName>
    <definedName name="BNAE">#N/A</definedName>
    <definedName name="bncsd" hidden="1">{"Fax DEG",#N/A,FALSE,"FAX DEG DEK DB";"Fax DEK",#N/A,FALSE,"FAX DEG DEK DB"}</definedName>
    <definedName name="bnv" hidden="1">{"Listing 103",#N/A,FALSE,"Listing 103"}</definedName>
    <definedName name="boucha" hidden="1">{#N/A,#N/A,FALSE,"DEG (12)";#N/A,#N/A,FALSE,"OCP (11)";#N/A,#N/A,FALSE,"DEK (13)"}</definedName>
    <definedName name="BS" hidden="1">{#N/A,#N/A,FALSE,"OCP (11)";#N/A,#N/A,FALSE,"DEG (12)";#N/A,#N/A,FALSE,"DEK (13)";#N/A,#N/A,FALSE,"OCP-PR(23)";#N/A,#N/A,FALSE,"DEP.FONC (24)";#N/A,#N/A,FALSE,"DEG-PR(28)";#N/A,#N/A,FALSE,"DEK-PR(34)"}</definedName>
    <definedName name="BS_Run_Rates" localSheetId="25">#REF!</definedName>
    <definedName name="BS_Run_Rates">#REF!</definedName>
    <definedName name="Budget" localSheetId="25">#REF!</definedName>
    <definedName name="Budget">#REF!</definedName>
    <definedName name="budget2000" localSheetId="25">#REF!</definedName>
    <definedName name="budget2000">#REF!</definedName>
    <definedName name="Buildings">[29]Capex!$D$6:$L$6</definedName>
    <definedName name="BUNO98" localSheetId="25">'[30]Budget administratif EY, BG &amp;TG'!#REF!</definedName>
    <definedName name="BUNO98">'[30]Budget administratif EY, BG &amp;TG'!#REF!</definedName>
    <definedName name="c.chgf" hidden="1">{"Chffre d'affaires DEK",#N/A,FALSE,"Chiffre d'affaires";"Chiffre d'affaires DEG",#N/A,FALSE,"Chiffre d'affaires";"Chiffre d'affaires OCP",#N/A,FALSE,"Chiffre d'affaires"}</definedName>
    <definedName name="CallRevenue_Seg">'[31]Interconnect cost'!$A$3:$I$42</definedName>
    <definedName name="CallRevSegement2" localSheetId="25">#REF!</definedName>
    <definedName name="CallRevSegement2">#REF!</definedName>
    <definedName name="CallRevSegment" localSheetId="25">#REF!</definedName>
    <definedName name="CallRevSegment">#REF!</definedName>
    <definedName name="CAMEMBER" localSheetId="25">#REF!</definedName>
    <definedName name="CAMEMBER">#REF!</definedName>
    <definedName name="CASE">[12]Summary_Sheet!$Z$50</definedName>
    <definedName name="CB" hidden="1">{#N/A,#N/A,FALSE,"DEG-PR(28)";#N/A,#N/A,FALSE,"DEG (12)";#N/A,#N/A,FALSE,"Frais Financiers ";#N/A,#N/A,FALSE,"Redevance";"Chiffre d'affaires DEG",#N/A,FALSE,"Chiffre d'affaires";#N/A,#N/A,FALSE,"Dotations"}</definedName>
    <definedName name="cc" localSheetId="25">#REF!</definedName>
    <definedName name="cc">#REF!</definedName>
    <definedName name="CCCZK" localSheetId="25">#REF!</definedName>
    <definedName name="CCCZK">#REF!</definedName>
    <definedName name="CCDEM" localSheetId="25">#REF!</definedName>
    <definedName name="CCDEM">#REF!</definedName>
    <definedName name="CCEUR" localSheetId="25">#REF!</definedName>
    <definedName name="CCEUR">#REF!</definedName>
    <definedName name="CCUSD" localSheetId="25">#REF!</definedName>
    <definedName name="CCUSD">#REF!</definedName>
    <definedName name="CE_months" localSheetId="25">#REF!</definedName>
    <definedName name="CE_months">#REF!</definedName>
    <definedName name="CF" localSheetId="25">#REF!</definedName>
    <definedName name="CF">#REF!</definedName>
    <definedName name="Changes_CON" localSheetId="25">#REF!</definedName>
    <definedName name="Changes_CON">#REF!</definedName>
    <definedName name="Changes_PRE" localSheetId="25">#REF!</definedName>
    <definedName name="Changes_PRE">#REF!</definedName>
    <definedName name="Changes_TIP" localSheetId="25">#REF!</definedName>
    <definedName name="Changes_TIP">#REF!</definedName>
    <definedName name="Changes_Total" localSheetId="25">#REF!</definedName>
    <definedName name="Changes_Total">#REF!</definedName>
    <definedName name="Chefdeposte">Feuil1!$A$5:$A$14</definedName>
    <definedName name="CK" hidden="1">{#N/A,#N/A,FALSE,"DEG (12)";#N/A,#N/A,FALSE,"OCP (11)";#N/A,#N/A,FALSE,"DEK (13)"}</definedName>
    <definedName name="CLAIR" localSheetId="25">#REF!</definedName>
    <definedName name="CLAIR">#REF!</definedName>
    <definedName name="CLAIR_NOIR" localSheetId="25">#REF!</definedName>
    <definedName name="CLAIR_NOIR">#REF!</definedName>
    <definedName name="CLES" localSheetId="25">#REF!</definedName>
    <definedName name="CLES">#REF!</definedName>
    <definedName name="cloroz1p" localSheetId="25">'[32]Sumář jm. sez. Přípravy'!#REF!</definedName>
    <definedName name="cloroz1p">'[32]Sumář jm. sez. Přípravy'!#REF!</definedName>
    <definedName name="clozah1p" localSheetId="25">'[32]Sumář jm. sez. Přípravy'!#REF!</definedName>
    <definedName name="clozah1p">'[32]Sumář jm. sez. Přípravy'!#REF!</definedName>
    <definedName name="COMH" localSheetId="25">#REF!</definedName>
    <definedName name="COMH">#REF!</definedName>
    <definedName name="COMM" localSheetId="25">#REF!</definedName>
    <definedName name="COMM">#REF!</definedName>
    <definedName name="CommonSize_CON" localSheetId="25">#REF!</definedName>
    <definedName name="CommonSize_CON">#REF!</definedName>
    <definedName name="CommonSize_PRE" localSheetId="25">#REF!</definedName>
    <definedName name="CommonSize_PRE">#REF!</definedName>
    <definedName name="CommonSize_TIP" localSheetId="25">#REF!</definedName>
    <definedName name="CommonSize_TIP">#REF!</definedName>
    <definedName name="CommonSize_Total" localSheetId="25">#REF!</definedName>
    <definedName name="CommonSize_Total">#REF!</definedName>
    <definedName name="COMP" localSheetId="25">#REF!</definedName>
    <definedName name="COMP">#REF!</definedName>
    <definedName name="company" localSheetId="25">#REF!</definedName>
    <definedName name="company">#REF!</definedName>
    <definedName name="Comparison" localSheetId="25">#REF!</definedName>
    <definedName name="Comparison">#REF!</definedName>
    <definedName name="cons3" localSheetId="25">#REF!</definedName>
    <definedName name="cons3">#REF!</definedName>
    <definedName name="consommation_Pr" localSheetId="25">#REF!</definedName>
    <definedName name="consommation_Pr">#REF!</definedName>
    <definedName name="CONTENU" localSheetId="25">[1]A!#REF!</definedName>
    <definedName name="CONTENU">[1]A!#REF!</definedName>
    <definedName name="cos" localSheetId="25">#REF!</definedName>
    <definedName name="cos">#REF!</definedName>
    <definedName name="Cost_of_Sales" localSheetId="25">#REF!</definedName>
    <definedName name="Cost_of_Sales">#REF!</definedName>
    <definedName name="couche">Feuil1!$M$4:$M$12</definedName>
    <definedName name="couches">#REF!</definedName>
    <definedName name="COUT" localSheetId="25">#REF!</definedName>
    <definedName name="COUT">#REF!</definedName>
    <definedName name="Coût.synthèse.R9" localSheetId="25">#REF!</definedName>
    <definedName name="Coût.synthèse.R9">#REF!</definedName>
    <definedName name="Couverture" localSheetId="25">#REF!</definedName>
    <definedName name="Couverture">#REF!</definedName>
    <definedName name="CPC" hidden="1">{#N/A,#N/A,FALSE,"PRODUCTION(39)";#N/A,#N/A,FALSE,"DB-Pr(40)";#N/A,#N/A,FALSE,"DB-EB (41)";#N/A,#N/A,FALSE,"DB-TL TRAIT.(42)";#N/A,#N/A,FALSE,"DB-TL EMB.(43)"}</definedName>
    <definedName name="_xlnm.Criteria" localSheetId="25">#REF!</definedName>
    <definedName name="_xlnm.Criteria">#REF!</definedName>
    <definedName name="CUB_BUREAUX_PLANS" localSheetId="25">#REF!</definedName>
    <definedName name="CUB_BUREAUX_PLANS">#REF!</definedName>
    <definedName name="CUM" localSheetId="25">#REF!</definedName>
    <definedName name="CUM">#REF!</definedName>
    <definedName name="CUM_1" localSheetId="25">#REF!</definedName>
    <definedName name="CUM_1">#REF!</definedName>
    <definedName name="CUMUL_absent">'[33]H-supplementaires'!$Q$26:$Y$41</definedName>
    <definedName name="CUMUL_ANNEE" localSheetId="25">#REF!</definedName>
    <definedName name="CUMUL_ANNEE">#REF!</definedName>
    <definedName name="CUMUL_FIN_MOIS" localSheetId="25">#REF!</definedName>
    <definedName name="CUMUL_FIN_MOIS">#REF!</definedName>
    <definedName name="CUMUL_MC" localSheetId="25">#REF!</definedName>
    <definedName name="CUMUL_MC">#REF!</definedName>
    <definedName name="CUMUL_MP" localSheetId="25">#REF!</definedName>
    <definedName name="CUMUL_MP">#REF!</definedName>
    <definedName name="CUST_LP" localSheetId="25">#REF!</definedName>
    <definedName name="CUST_LP">#REF!</definedName>
    <definedName name="CX" localSheetId="25">#REF!</definedName>
    <definedName name="CX">#REF!</definedName>
    <definedName name="CZK_interest_expense" localSheetId="25">#REF!</definedName>
    <definedName name="CZK_interest_expense">#REF!</definedName>
    <definedName name="D" hidden="1">{"Analyse écart CA",#N/A,FALSE,"Analyse CA"}</definedName>
    <definedName name="D1_" localSheetId="25">#REF!</definedName>
    <definedName name="D1_">#REF!</definedName>
    <definedName name="damx">[34]Calcul!$N$3</definedName>
    <definedName name="DAOU" hidden="1">{"p1",#N/A,FALSE,"N GAS ELEC";"p2",#N/A,FALSE,"N GAS ELEC";"p3",#N/A,FALSE,"N GAS ELEC"}</definedName>
    <definedName name="DATA" localSheetId="25">#REF!</definedName>
    <definedName name="DATA">#REF!</definedName>
    <definedName name="data_status" localSheetId="25">#REF!</definedName>
    <definedName name="data_status">#REF!</definedName>
    <definedName name="_xlnm.Database" localSheetId="25">#REF!</definedName>
    <definedName name="DBR" localSheetId="25">#REF!</definedName>
    <definedName name="DBR">#REF!</definedName>
    <definedName name="DCF_Valuation" localSheetId="25">#REF!</definedName>
    <definedName name="DCF_Valuation">#REF!</definedName>
    <definedName name="dd" hidden="1">{"Analyse écart CA",#N/A,FALSE,"Analyse CA"}</definedName>
    <definedName name="dec" localSheetId="25">#REF!</definedName>
    <definedName name="dec">#REF!</definedName>
    <definedName name="DEF" localSheetId="25">#REF!</definedName>
    <definedName name="DEF">#REF!</definedName>
    <definedName name="DEG_EA" localSheetId="25">#REF!</definedName>
    <definedName name="DEG_EA">#REF!</definedName>
    <definedName name="DEM_AVG" localSheetId="25">#REF!</definedName>
    <definedName name="DEM_AVG">#REF!</definedName>
    <definedName name="DEM_BOP" localSheetId="25">#REF!</definedName>
    <definedName name="DEM_BOP">#REF!</definedName>
    <definedName name="DEM_EOP" localSheetId="25">#REF!</definedName>
    <definedName name="DEM_EOP">#REF!</definedName>
    <definedName name="DEPASS_CLAIR" localSheetId="25">#REF!</definedName>
    <definedName name="DEPASS_CLAIR">#REF!</definedName>
    <definedName name="DEPASS_NOIR_1" localSheetId="25">#REF!</definedName>
    <definedName name="DEPASS_NOIR_1">#REF!</definedName>
    <definedName name="DEPASS_NOIR_2" localSheetId="25">#REF!</definedName>
    <definedName name="DEPASS_NOIR_2">#REF!</definedName>
    <definedName name="depmar" localSheetId="25">#REF!</definedName>
    <definedName name="depmar">#REF!</definedName>
    <definedName name="DEPNS.SG" localSheetId="25">#REF!</definedName>
    <definedName name="DEPNS.SG">#REF!</definedName>
    <definedName name="DEPNS.SP" localSheetId="25">#REF!</definedName>
    <definedName name="DEPNS.SP">#REF!</definedName>
    <definedName name="description" localSheetId="25">#REF!</definedName>
    <definedName name="description">#REF!</definedName>
    <definedName name="DéstinationCouche">[35]Feuil1!#REF!</definedName>
    <definedName name="détai">'[36]BF RTTE 8'!$AY$1:$FR$212</definedName>
    <definedName name="Détail.RsurP.R8" localSheetId="25">#REF!</definedName>
    <definedName name="Détail.RsurP.R8">#REF!</definedName>
    <definedName name="df" hidden="1">{"Analyse écart CA",#N/A,FALSE,"Analyse CA"}</definedName>
    <definedName name="DF_CG" localSheetId="25">#REF!</definedName>
    <definedName name="DF_CG">#REF!</definedName>
    <definedName name="dff" hidden="1">{"Analyse écart CA",#N/A,FALSE,"Analyse CA"}</definedName>
    <definedName name="Diff_AME" localSheetId="25">#REF!</definedName>
    <definedName name="Diff_AME">#REF!</definedName>
    <definedName name="DiffA" localSheetId="25">#REF!</definedName>
    <definedName name="DiffA">#REF!</definedName>
    <definedName name="DiffB" localSheetId="25">#REF!</definedName>
    <definedName name="DiffB">#REF!</definedName>
    <definedName name="DIJ" localSheetId="25">#REF!</definedName>
    <definedName name="DIJ">#REF!</definedName>
    <definedName name="DIS_MC" localSheetId="25">#REF!</definedName>
    <definedName name="DIS_MC">#REF!</definedName>
    <definedName name="DIS_MP" localSheetId="25">#REF!</definedName>
    <definedName name="DIS_MP">#REF!</definedName>
    <definedName name="DL14A1" localSheetId="25">#REF!</definedName>
    <definedName name="DL14A1">#REF!</definedName>
    <definedName name="DOCNAME" localSheetId="25">#REF!</definedName>
    <definedName name="DOCNAME">#REF!</definedName>
    <definedName name="document_name" localSheetId="25">#REF!</definedName>
    <definedName name="document_name">#REF!</definedName>
    <definedName name="DSTGFDUYJGIMG" localSheetId="25">#REF!</definedName>
    <definedName name="DSTGFDUYJGIMG">#REF!</definedName>
    <definedName name="DVD" localSheetId="25">#REF!</definedName>
    <definedName name="DVD">#REF!</definedName>
    <definedName name="e" localSheetId="25">#REF!</definedName>
    <definedName name="e">#REF!</definedName>
    <definedName name="EBIT95" localSheetId="25">#REF!</definedName>
    <definedName name="EBIT95">#REF!</definedName>
    <definedName name="EBITSENS" localSheetId="25">#REF!</definedName>
    <definedName name="EBITSENS">#REF!</definedName>
    <definedName name="ee" hidden="1">{"Analyse écart CA",#N/A,FALSE,"Analyse CA"}</definedName>
    <definedName name="eeee" hidden="1">{#N/A,#N/A,FALSE,"OCP-PR(23)";#N/A,#N/A,FALSE,"DEP.FONC (24)";#N/A,#N/A,FALSE,"DEG-PR(28)";#N/A,#N/A,FALSE,"DEK-PR(35)";#N/A,#N/A,FALSE,"OCP (11)";#N/A,#N/A,FALSE,"DEG (12)";#N/A,#N/A,FALSE,"DEK (13)"}</definedName>
    <definedName name="effectif" localSheetId="25">#REF!</definedName>
    <definedName name="effectif">#REF!</definedName>
    <definedName name="EH" localSheetId="25">'[37]BASE REPORTING'!#REF!</definedName>
    <definedName name="EH">'[37]BASE REPORTING'!#REF!</definedName>
    <definedName name="ELEC" hidden="1">{"V3",#N/A,FALSE,"N GAS ELEC_PV";"V2",#N/A,FALSE,"N GAS ELEC_PV";"V1",#N/A,FALSE,"N GAS ELEC_PV"}</definedName>
    <definedName name="ELEC_UNITES" localSheetId="25">#REF!</definedName>
    <definedName name="ELEC_UNITES">#REF!</definedName>
    <definedName name="ELECTRICITE">'[38]Courbe Bascule SA'!$B$2:$P$39</definedName>
    <definedName name="engrais_1" localSheetId="25">#REF!</definedName>
    <definedName name="engrais_1">#REF!</definedName>
    <definedName name="engrais_2" localSheetId="25">#REF!</definedName>
    <definedName name="engrais_2">#REF!</definedName>
    <definedName name="engrais_3" localSheetId="25">#REF!</definedName>
    <definedName name="engrais_3">#REF!</definedName>
    <definedName name="ENL.TK" hidden="1">{"P1",#N/A,FALSE,"Feuil5";"P2",#N/A,FALSE,"Feuil5";"P3",#N/A,FALSE,"Feuil5";"P4",#N/A,FALSE,"Feuil5";"P5",#N/A,FALSE,"Feuil5"}</definedName>
    <definedName name="EO" localSheetId="25">#REF!</definedName>
    <definedName name="EO">#REF!</definedName>
    <definedName name="EQ_COS" localSheetId="25">#REF!</definedName>
    <definedName name="EQ_COS">#REF!</definedName>
    <definedName name="EQS_T" localSheetId="25">#REF!</definedName>
    <definedName name="EQS_T">#REF!</definedName>
    <definedName name="equipement">Feuil1!$W$4:$W$32</definedName>
    <definedName name="equipement1">Feuil1!$K$4:$K$16</definedName>
    <definedName name="ETAPES" localSheetId="25">#REF!</definedName>
    <definedName name="ETAPES">#REF!</definedName>
    <definedName name="ETAT" hidden="1">{"V3",#N/A,FALSE,"N GAS ELEC_PV";"V2",#N/A,FALSE,"N GAS ELEC_PV";"V1",#N/A,FALSE,"N GAS ELEC_PV"}</definedName>
    <definedName name="ETAT_1" localSheetId="25">#REF!</definedName>
    <definedName name="ETAT_1">#REF!</definedName>
    <definedName name="ETAT_2" localSheetId="25">#REF!</definedName>
    <definedName name="ETAT_2">#REF!</definedName>
    <definedName name="ETAT_3" localSheetId="25">#REF!</definedName>
    <definedName name="ETAT_3">#REF!</definedName>
    <definedName name="ETAT_STATISTIQUE" localSheetId="25">#REF!</definedName>
    <definedName name="ETAT_STATISTIQUE">#REF!</definedName>
    <definedName name="EUR_0_AVG" localSheetId="25">#REF!</definedName>
    <definedName name="EUR_0_AVG">#REF!</definedName>
    <definedName name="EUR_0_BOP" localSheetId="25">#REF!</definedName>
    <definedName name="EUR_0_BOP">#REF!</definedName>
    <definedName name="EUR_0_EOP" localSheetId="25">#REF!</definedName>
    <definedName name="EUR_0_EOP">#REF!</definedName>
    <definedName name="EUR_1_AVG" localSheetId="25">#REF!</definedName>
    <definedName name="EUR_1_AVG">#REF!</definedName>
    <definedName name="EUR_1_BOP" localSheetId="25">#REF!</definedName>
    <definedName name="EUR_1_BOP">#REF!</definedName>
    <definedName name="EUR_1_EOP" localSheetId="25">#REF!</definedName>
    <definedName name="EUR_1_EOP">#REF!</definedName>
    <definedName name="EUR_AVG" localSheetId="25">#REF!</definedName>
    <definedName name="EUR_AVG">#REF!</definedName>
    <definedName name="EUR_BOP" localSheetId="25">#REF!</definedName>
    <definedName name="EUR_BOP">#REF!</definedName>
    <definedName name="EUR_EOP" localSheetId="25">#REF!</definedName>
    <definedName name="EUR_EOP">#REF!</definedName>
    <definedName name="EUR_interest_expense" localSheetId="25">#REF!</definedName>
    <definedName name="EUR_interest_expense">#REF!</definedName>
    <definedName name="EV" localSheetId="25">#REF!</definedName>
    <definedName name="EV">#REF!</definedName>
    <definedName name="EX" localSheetId="25">#REF!</definedName>
    <definedName name="EX">#REF!</definedName>
    <definedName name="EXTR" localSheetId="25">[1]A!#REF!</definedName>
    <definedName name="EXTR">[1]A!#REF!</definedName>
    <definedName name="Extra.Fin.10.2001.R8" localSheetId="25">#REF!</definedName>
    <definedName name="Extra.Fin.10.2001.R8">#REF!</definedName>
    <definedName name="_xlnm.Extract" localSheetId="25">#REF!</definedName>
    <definedName name="_xlnm.Extract">#REF!</definedName>
    <definedName name="ey" localSheetId="25">#REF!</definedName>
    <definedName name="ey">#REF!</definedName>
    <definedName name="F">[39]GASOIL!$Y$55:$AJ$64</definedName>
    <definedName name="FACTURES_APPOINTEMENT_HC">'[40]ACIDE SULFURIQUE 8-9'!$CE$14:$CH$31</definedName>
    <definedName name="FADEP" localSheetId="25">#REF!</definedName>
    <definedName name="FADEP">#REF!</definedName>
    <definedName name="fbsr" hidden="1">{#N/A,#N/A,FALSE,"DEK-PR(34)";#N/A,#N/A,FALSE,"DEK (13)";"Chffre d'affaires DEK",#N/A,FALSE,"Chiffre d'affaires";#N/A,#N/A,FALSE,"Dotations";#N/A,#N/A,FALSE,"Frais Financiers ";#N/A,#N/A,FALSE,"Redevance"}</definedName>
    <definedName name="FD" hidden="1">{"Chffre d'affaires DEK",#N/A,FALSE,"Chiffre d'affaires";"Chiffre d'affaires DEG",#N/A,FALSE,"Chiffre d'affaires"}</definedName>
    <definedName name="fdd" localSheetId="25">#REF!</definedName>
    <definedName name="fdd">#REF!</definedName>
    <definedName name="fddcx" hidden="1">{"Chffre d'affaires DEK",#N/A,FALSE,"Chiffre d'affaires";"Chiffre d'affaires DEG",#N/A,FALSE,"Chiffre d'affaires"}</definedName>
    <definedName name="fddffd" hidden="1">{"Analyse écart CA",#N/A,FALSE,"Analyse CA"}</definedName>
    <definedName name="fdgdyru" localSheetId="25">#REF!</definedName>
    <definedName name="fdgdyru">#REF!</definedName>
    <definedName name="fe" hidden="1">{#N/A,#N/A,FALSE,"OCP-PR(23)";#N/A,#N/A,FALSE,"DEP.FONC (24)";#N/A,#N/A,FALSE,"DEG-PR(28)";#N/A,#N/A,FALSE,"DEK-PR(35)";#N/A,#N/A,FALSE,"OCP (11)";#N/A,#N/A,FALSE,"DEG (12)";#N/A,#N/A,FALSE,"DEK (13)"}</definedName>
    <definedName name="Feuil1" localSheetId="25">#REF!</definedName>
    <definedName name="Feuil1">#REF!</definedName>
    <definedName name="FEUILLE" hidden="1">{#N/A,#N/A,FALSE,"DEK-PR(34)";#N/A,#N/A,FALSE,"DEK (13)";"Chffre d'affaires DEK",#N/A,FALSE,"Chiffre d'affaires";#N/A,#N/A,FALSE,"Dotations";#N/A,#N/A,FALSE,"Frais Financiers ";#N/A,#N/A,FALSE,"Redevance"}</definedName>
    <definedName name="FEVRIER99" localSheetId="25">#REF!</definedName>
    <definedName name="FEVRIER99">#REF!</definedName>
    <definedName name="ff" hidden="1">{#N/A,#N/A,FALSE,"OCP (11)";#N/A,#N/A,FALSE,"DEG (12)";#N/A,#N/A,FALSE,"DEK (13)";#N/A,#N/A,FALSE,"OCP-PR(23)";#N/A,#N/A,FALSE,"DEP.FONC (24)";#N/A,#N/A,FALSE,"DEG-PR(28)";#N/A,#N/A,FALSE,"DEK-PR(34)"}</definedName>
    <definedName name="FFD" hidden="1">{"Analyse écart CA",#N/A,FALSE,"Analyse CA"}</definedName>
    <definedName name="fg" hidden="1">{"Fax DEG",#N/A,FALSE,"FAX DEG DEK DB";"Fax DEK",#N/A,FALSE,"FAX DEG DEK DB"}</definedName>
    <definedName name="FGGH" hidden="1">{#N/A,#N/A,FALSE,"DEK-PR(34)";#N/A,#N/A,FALSE,"DEK (13)";"Chffre d'affaires DEK",#N/A,FALSE,"Chiffre d'affaires";#N/A,#N/A,FALSE,"Dotations";#N/A,#N/A,FALSE,"Frais Financiers ";#N/A,#N/A,FALSE,"Redevance"}</definedName>
    <definedName name="fgyfgil" localSheetId="25">#REF!</definedName>
    <definedName name="fgyfgil">#REF!</definedName>
    <definedName name="formule" localSheetId="25">#REF!</definedName>
    <definedName name="formule">#REF!</definedName>
    <definedName name="formule1" localSheetId="25">#REF!</definedName>
    <definedName name="formule1">#REF!</definedName>
    <definedName name="FORMULE2" localSheetId="25">#REF!</definedName>
    <definedName name="FORMULE2">#REF!</definedName>
    <definedName name="FR">'[40]ACIDE SULFURIQUE 8-9'!$CJ$13:$CM$29</definedName>
    <definedName name="FRAIS_DE__STOCKAGE_P2O5">'[40]ACIDE SULFURIQUE 8-9'!$AU$14:$AX$29</definedName>
    <definedName name="FRAIS_DE_MANUTENTION_ET_STOCKAGE_DU_PHOSPHATE">'[40]ACIDE SULFURIQUE 8-9'!$AJ$14:$AM$29</definedName>
    <definedName name="FRAIS_DE_MISE_A_FOB_DU_P2O5">'[40]ACIDE SULFURIQUE 8-9'!$AP$14:$AS$29</definedName>
    <definedName name="FRAIS_DE_PERSONNEL_OE___TAMCA">'[40]ACIDE SULFURIQUE 8-9'!$CJ$14:$CM$29</definedName>
    <definedName name="FRE" hidden="1">{"Listing 103",#N/A,FALSE,"Listing 103"}</definedName>
    <definedName name="FRS" hidden="1">{#N/A,#N/A,FALSE,"PRODUCTION(39)";#N/A,#N/A,FALSE,"DB-Pr(40)";#N/A,#N/A,FALSE,"DB-EB (41)";#N/A,#N/A,FALSE,"DB-TL TRAIT.(42)";#N/A,#N/A,FALSE,"DB-TL EMB.(43)"}</definedName>
    <definedName name="FUEL" localSheetId="25">#REF!</definedName>
    <definedName name="FUEL">#REF!</definedName>
    <definedName name="FUEL_UNITES" localSheetId="25">#REF!</definedName>
    <definedName name="FUEL_UNITES">#REF!</definedName>
    <definedName name="FYE">[12]Inputs!$D$15</definedName>
    <definedName name="g" hidden="1">{"p1",#N/A,FALSE,"N GAS ELEC";"p2",#N/A,FALSE,"N GAS ELEC";"p3",#N/A,FALSE,"N GAS ELEC"}</definedName>
    <definedName name="G_01" localSheetId="25">#REF!</definedName>
    <definedName name="G_01">#REF!</definedName>
    <definedName name="G_03" localSheetId="25">#REF!</definedName>
    <definedName name="G_03">#REF!</definedName>
    <definedName name="G_10" localSheetId="25">#REF!</definedName>
    <definedName name="G_10">#REF!</definedName>
    <definedName name="G_11" localSheetId="25">#REF!</definedName>
    <definedName name="G_11">#REF!</definedName>
    <definedName name="G_12" localSheetId="25">#REF!</definedName>
    <definedName name="G_12">#REF!</definedName>
    <definedName name="G_20" localSheetId="25">#REF!</definedName>
    <definedName name="G_20">#REF!</definedName>
    <definedName name="G_31" localSheetId="25">#REF!</definedName>
    <definedName name="G_31">#REF!</definedName>
    <definedName name="G_33" localSheetId="25">#REF!</definedName>
    <definedName name="G_33">#REF!</definedName>
    <definedName name="G_40" localSheetId="25">#REF!</definedName>
    <definedName name="G_40">#REF!</definedName>
    <definedName name="G_40_41_42" localSheetId="25">#REF!</definedName>
    <definedName name="G_40_41_42">#REF!</definedName>
    <definedName name="G_42" localSheetId="25">#REF!</definedName>
    <definedName name="G_42">#REF!</definedName>
    <definedName name="G_44" localSheetId="25">#REF!</definedName>
    <definedName name="G_44">#REF!</definedName>
    <definedName name="G_45" localSheetId="25">#REF!</definedName>
    <definedName name="G_45">#REF!</definedName>
    <definedName name="G_54" localSheetId="25">#REF!</definedName>
    <definedName name="G_54">#REF!</definedName>
    <definedName name="G_55" localSheetId="25">#REF!</definedName>
    <definedName name="G_55">#REF!</definedName>
    <definedName name="G_70" localSheetId="25">#REF!</definedName>
    <definedName name="G_70">#REF!</definedName>
    <definedName name="G_71" localSheetId="25">#REF!</definedName>
    <definedName name="G_71">#REF!</definedName>
    <definedName name="G_90" localSheetId="25">#REF!</definedName>
    <definedName name="G_90">#REF!</definedName>
    <definedName name="G_91" localSheetId="25">#REF!</definedName>
    <definedName name="G_91">#REF!</definedName>
    <definedName name="G31_2000" localSheetId="25">#REF!</definedName>
    <definedName name="G31_2000">#REF!</definedName>
    <definedName name="G31_G34" localSheetId="25">#REF!</definedName>
    <definedName name="G31_G34">#REF!</definedName>
    <definedName name="G33_2000" localSheetId="25">#REF!</definedName>
    <definedName name="G33_2000">#REF!</definedName>
    <definedName name="G40_G41" localSheetId="25">#REF!</definedName>
    <definedName name="G40_G41">#REF!</definedName>
    <definedName name="G40_G41_2000" localSheetId="25">#REF!</definedName>
    <definedName name="G40_G41_2000">#REF!</definedName>
    <definedName name="G40_G41_G42" localSheetId="25">#REF!</definedName>
    <definedName name="G40_G41_G42">#REF!</definedName>
    <definedName name="G42_2000" localSheetId="25">#REF!</definedName>
    <definedName name="G42_2000">#REF!</definedName>
    <definedName name="G44.45" localSheetId="25">#REF!</definedName>
    <definedName name="G44.45">#REF!</definedName>
    <definedName name="G44_2000" localSheetId="25">#REF!</definedName>
    <definedName name="G44_2000">#REF!</definedName>
    <definedName name="G45_2000" localSheetId="25">#REF!</definedName>
    <definedName name="G45_2000">#REF!</definedName>
    <definedName name="G50_G52" localSheetId="25">#REF!</definedName>
    <definedName name="G50_G52">#REF!</definedName>
    <definedName name="G70_2000" localSheetId="25">#REF!</definedName>
    <definedName name="G70_2000">#REF!</definedName>
    <definedName name="G71_2000" localSheetId="25">#REF!</definedName>
    <definedName name="G71_2000">#REF!</definedName>
    <definedName name="G90_2000" localSheetId="25">#REF!</definedName>
    <definedName name="G90_2000">#REF!</definedName>
    <definedName name="G91_2000" localSheetId="25">#REF!</definedName>
    <definedName name="G91_2000">#REF!</definedName>
    <definedName name="GAS" hidden="1">{"V3",#N/A,FALSE,"N GAS ELEC_PV";"V2",#N/A,FALSE,"N GAS ELEC_PV";"V1",#N/A,FALSE,"N GAS ELEC_PV"}</definedName>
    <definedName name="GASOIL" hidden="1">{"p1",#N/A,FALSE,"N GAS ELEC";"p2",#N/A,FALSE,"N GAS ELEC";"p3",#N/A,FALSE,"N GAS ELEC"}</definedName>
    <definedName name="GAZ" localSheetId="25">'[38]Courbe Bascule SA'!#REF!</definedName>
    <definedName name="GAZ">'[38]Courbe Bascule SA'!#REF!</definedName>
    <definedName name="GAZ_UNITES" localSheetId="25">#REF!</definedName>
    <definedName name="GAZ_UNITES">#REF!</definedName>
    <definedName name="gbqvy" hidden="1">{"Listing 103",#N/A,FALSE,"Listing 103"}</definedName>
    <definedName name="gg">'[41]BF R8 Net '!$B$7:$AC$984</definedName>
    <definedName name="gggggggggg" localSheetId="25">#REF!</definedName>
    <definedName name="gggggggggg">#REF!</definedName>
    <definedName name="ghf" hidden="1">{"V3",#N/A,FALSE,"N GAS ELEC_PV";"V2",#N/A,FALSE,"N GAS ELEC_PV";"V1",#N/A,FALSE,"N GAS ELEC_PV"}</definedName>
    <definedName name="ghjfht" hidden="1">{"Chffre d'affaires DEK",#N/A,FALSE,"Chiffre d'affaires";"Chiffre d'affaires DEG",#N/A,FALSE,"Chiffre d'affaires"}</definedName>
    <definedName name="GM" localSheetId="25">#REF!</definedName>
    <definedName name="GM">#REF!</definedName>
    <definedName name="gm_structure" localSheetId="25">#REF!</definedName>
    <definedName name="gm_structure">#REF!</definedName>
    <definedName name="gr6k" localSheetId="25">'[32]Krycí list'!#REF!</definedName>
    <definedName name="gr6k">'[32]Krycí list'!#REF!</definedName>
    <definedName name="GRAPH_CUMUL" localSheetId="25">#REF!</definedName>
    <definedName name="GRAPH_CUMUL">#REF!</definedName>
    <definedName name="GRAPH_MOIS" localSheetId="25">#REF!</definedName>
    <definedName name="GRAPH_MOIS">#REF!</definedName>
    <definedName name="GRF" hidden="1">{"Fax DEG",#N/A,FALSE,"FAX DEG DEK DB";"Fax DEK",#N/A,FALSE,"FAX DEG DEK DB"}</definedName>
    <definedName name="GSM_NW_CAPEX" localSheetId="25">#REF!</definedName>
    <definedName name="GSM_NW_CAPEX">#REF!</definedName>
    <definedName name="GSM_NW_CIP" localSheetId="25">#REF!</definedName>
    <definedName name="GSM_NW_CIP">#REF!</definedName>
    <definedName name="GSM_NW_Statistics" localSheetId="25">#REF!</definedName>
    <definedName name="GSM_NW_Statistics">#REF!</definedName>
    <definedName name="h" localSheetId="25">#REF!</definedName>
    <definedName name="h">#REF!</definedName>
    <definedName name="h0" hidden="1">{"HM3",#N/A,FALSE,"HM(2002)V1";"HM4",#N/A,FALSE,"HM(2002)V1"}</definedName>
    <definedName name="H2SO4MC" localSheetId="25">#REF!</definedName>
    <definedName name="H2SO4MC">#REF!</definedName>
    <definedName name="H2SO4MP">'[42]PR-P'!$P$131:$T$172</definedName>
    <definedName name="H2SO4MP1">'[42]PR-P'!$V$64:$Y$82</definedName>
    <definedName name="HALF1" localSheetId="25">[10]Acc_Dil!#REF!</definedName>
    <definedName name="HALF1">[10]Acc_Dil!#REF!</definedName>
    <definedName name="HALF2" localSheetId="25">[10]Acc_Dil!#REF!</definedName>
    <definedName name="HALF2">[10]Acc_Dil!#REF!</definedName>
    <definedName name="HALF3" localSheetId="25">[10]Acc_Dil!#REF!</definedName>
    <definedName name="HALF3">[10]Acc_Dil!#REF!</definedName>
    <definedName name="HEAD" localSheetId="25">#REF!,#REF!,#REF!</definedName>
    <definedName name="HEAD">#REF!,#REF!,#REF!</definedName>
    <definedName name="HEAD1" localSheetId="25">#REF!</definedName>
    <definedName name="HEAD1">#REF!</definedName>
    <definedName name="HEAD2" localSheetId="25">#REF!</definedName>
    <definedName name="HEAD2">#REF!</definedName>
    <definedName name="HEAD3" localSheetId="25">#REF!</definedName>
    <definedName name="HEAD3">#REF!</definedName>
    <definedName name="HEAD4" localSheetId="25">#REF!</definedName>
    <definedName name="HEAD4">#REF!</definedName>
    <definedName name="Headcount" localSheetId="25">#REF!</definedName>
    <definedName name="Headcount">#REF!</definedName>
    <definedName name="heures1" localSheetId="25">#REF!</definedName>
    <definedName name="heures1">#REF!</definedName>
    <definedName name="heures2" localSheetId="25">#REF!</definedName>
    <definedName name="heures2">#REF!</definedName>
    <definedName name="HG" localSheetId="25">#REF!</definedName>
    <definedName name="HG">#REF!</definedName>
    <definedName name="hggg" hidden="1">{"Analyse écart CA",#N/A,FALSE,"Analyse CA"}</definedName>
    <definedName name="hghgh" localSheetId="25">#REF!</definedName>
    <definedName name="hghgh">#REF!</definedName>
    <definedName name="hhh" localSheetId="25">[18]Data!#REF!</definedName>
    <definedName name="hhh">[18]Data!#REF!</definedName>
    <definedName name="HM" localSheetId="25">#REF!</definedName>
    <definedName name="HM">#REF!</definedName>
    <definedName name="Hodnoty" localSheetId="25">#REF!</definedName>
    <definedName name="Hodnoty">#REF!</definedName>
    <definedName name="HOHP" localSheetId="25">#REF!</definedName>
    <definedName name="HOHP">#REF!</definedName>
    <definedName name="Hosp_výsledek" localSheetId="25">#REF!</definedName>
    <definedName name="Hosp_výsledek">#REF!</definedName>
    <definedName name="hs" hidden="1">{"P1",#N/A,FALSE,"Feuil5";"P2",#N/A,FALSE,"Feuil5";"P3",#N/A,FALSE,"Feuil5";"P4",#N/A,FALSE,"Feuil5";"P5",#N/A,FALSE,"Feuil5"}</definedName>
    <definedName name="HS_C">'[33]H-supplementaires'!$A$24:$O$42</definedName>
    <definedName name="HS_M">'[33]H-supplementaires'!$A$3:$O$22</definedName>
    <definedName name="HTML_CodePage" hidden="1">1252</definedName>
    <definedName name="HTML_Control" hidden="1">{"'DataPageWeb'!$A$1:$G$17"}</definedName>
    <definedName name="HTML_Description" hidden="1">""</definedName>
    <definedName name="HTML_Email" hidden="1">""</definedName>
    <definedName name="HTML_Header" hidden="1">"DataPageWeb"</definedName>
    <definedName name="HTML_LastUpdate" hidden="1">"17/04/01"</definedName>
    <definedName name="HTML_LineAfter" hidden="1">FALSE</definedName>
    <definedName name="HTML_LineBefore" hidden="1">FALSE</definedName>
    <definedName name="HTML_Name" hidden="1">"DEK/TK/C"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"D:\FrontPage Webs\Content\index.htm"</definedName>
    <definedName name="HTML_PathTemplate" hidden="1">"C:\Mes documents\HTMLELO.htm"</definedName>
    <definedName name="HTML_Title" hidden="1">"PrixRevient"</definedName>
    <definedName name="hypotèse" localSheetId="25">#REF!</definedName>
    <definedName name="hypotèse">#REF!</definedName>
    <definedName name="hypotèse_1" localSheetId="25">#REF!</definedName>
    <definedName name="hypotèse_1">#REF!</definedName>
    <definedName name="I" hidden="1">{"Analyse écart CA",#N/A,FALSE,"Analyse CA"}</definedName>
    <definedName name="i7k7" localSheetId="25">#REF!</definedName>
    <definedName name="i7k7">#REF!</definedName>
    <definedName name="ima" hidden="1">{"fax-dis",#N/A,FALSE,"FAX";"fax-dij",#N/A,FALSE,"FAX"}</definedName>
    <definedName name="IMAC" hidden="1">{"fax-dis",#N/A,FALSE,"FAX";"fax-dij",#N/A,FALSE,"FAX"}</definedName>
    <definedName name="INCON_COS" localSheetId="25">#REF!</definedName>
    <definedName name="INCON_COS">#REF!</definedName>
    <definedName name="INR_D" localSheetId="25">#REF!</definedName>
    <definedName name="INR_D">#REF!</definedName>
    <definedName name="INR_DGO" localSheetId="25">#REF!</definedName>
    <definedName name="INR_DGO">#REF!</definedName>
    <definedName name="INR_DN" localSheetId="25">#REF!</definedName>
    <definedName name="INR_DN">#REF!</definedName>
    <definedName name="INR_I" localSheetId="25">#REF!</definedName>
    <definedName name="INR_I">#REF!</definedName>
    <definedName name="INR_IGO" localSheetId="25">#REF!</definedName>
    <definedName name="INR_IGO">#REF!</definedName>
    <definedName name="INR_IN" localSheetId="25">#REF!</definedName>
    <definedName name="INR_IN">#REF!</definedName>
    <definedName name="INR_OMO" localSheetId="25">#REF!</definedName>
    <definedName name="INR_OMO">#REF!</definedName>
    <definedName name="INR_OMOGO" localSheetId="25">#REF!</definedName>
    <definedName name="INR_OMOGO">#REF!</definedName>
    <definedName name="INR_OMON" localSheetId="25">#REF!</definedName>
    <definedName name="INR_OMON">#REF!</definedName>
    <definedName name="INR_T" localSheetId="25">#REF!</definedName>
    <definedName name="INR_T">#REF!</definedName>
    <definedName name="Interest_income" localSheetId="25">#REF!</definedName>
    <definedName name="Interest_income">#REF!</definedName>
    <definedName name="io" hidden="1">{#N/A,#N/A,FALSE,"PRODUCTION(39)";#N/A,#N/A,FALSE,"DB-Pr(40)";#N/A,#N/A,FALSE,"DB-EB (41)";#N/A,#N/A,FALSE,"DB-TL TRAIT.(42)";#N/A,#N/A,FALSE,"DB-TL EMB.(43)"}</definedName>
    <definedName name="J">#N/A</definedName>
    <definedName name="jaa" localSheetId="25">#REF!</definedName>
    <definedName name="jaa">#REF!</definedName>
    <definedName name="jaabari" localSheetId="25">#REF!</definedName>
    <definedName name="jaabari">#REF!</definedName>
    <definedName name="JANINDECF_AN" localSheetId="25">#REF!</definedName>
    <definedName name="JANINDECF_AN">#REF!</definedName>
    <definedName name="jh" hidden="1">{"p1",#N/A,FALSE,"N GAS ELEC";"p2",#N/A,FALSE,"N GAS ELEC";"p3",#N/A,FALSE,"N GAS ELEC"}</definedName>
    <definedName name="JHN?" hidden="1">{"Analyse écart CA",#N/A,FALSE,"Analyse CA"}</definedName>
    <definedName name="jid" hidden="1">{"V3",#N/A,FALSE,"N GAS ELEC_PV";"V2",#N/A,FALSE,"N GAS ELEC_PV";"V1",#N/A,FALSE,"N GAS ELEC_PV"}</definedName>
    <definedName name="JJ">#N/A</definedName>
    <definedName name="JO" localSheetId="25">#REF!</definedName>
    <definedName name="JO">#REF!</definedName>
    <definedName name="JOC" localSheetId="25">#REF!</definedName>
    <definedName name="JOC">#REF!</definedName>
    <definedName name="k">[43]GASOIL!$Y$55:$AJ$64</definedName>
    <definedName name="Key_assumptions" localSheetId="25">#REF!</definedName>
    <definedName name="Key_assumptions">#REF!</definedName>
    <definedName name="Key_assumptions_CE" localSheetId="25">#REF!</definedName>
    <definedName name="Key_assumptions_CE">#REF!</definedName>
    <definedName name="Key_Bus1" localSheetId="25">#REF!</definedName>
    <definedName name="Key_Bus1">#REF!</definedName>
    <definedName name="Key_Bus2" localSheetId="25">#REF!</definedName>
    <definedName name="Key_Bus2">#REF!</definedName>
    <definedName name="Key_financial_data" localSheetId="25">#REF!</definedName>
    <definedName name="Key_financial_data">#REF!</definedName>
    <definedName name="Key_financial_ratios" localSheetId="25">#REF!</definedName>
    <definedName name="Key_financial_ratios">#REF!</definedName>
    <definedName name="kj" hidden="1">{"Analyse écart CA",#N/A,FALSE,"Analyse CA"}</definedName>
    <definedName name="kj.kj" hidden="1">{"Frais financiers",#N/A,FALSE,"Frais Financiers ";"Charges de Personnel",#N/A,FALSE,"Données CPC";#N/A,#N/A,FALSE,"Dotations";"Chiffre d'affaires",#N/A,FALSE,"Chiffre d'affaires";"Redevance",#N/A,FALSE,"Redevance"}</definedName>
    <definedName name="kkk" hidden="1">{#N/A,#N/A,FALSE,"DEK-PR(34)";#N/A,#N/A,FALSE,"DEK (13)";"Chffre d'affaires DEK",#N/A,FALSE,"Chiffre d'affaires";#N/A,#N/A,FALSE,"Dotations";#N/A,#N/A,FALSE,"Frais Financiers ";#N/A,#N/A,FALSE,"Redevance"}</definedName>
    <definedName name="KKKK" hidden="1">{"'DataPageWeb'!$A$1:$G$17"}</definedName>
    <definedName name="kkyuk" hidden="1">{"Frais financiers",#N/A,FALSE,"Frais Financiers ";"Charges de Personnel",#N/A,FALSE,"Données CPC";#N/A,#N/A,FALSE,"Dotations";"Chiffre d'affaires",#N/A,FALSE,"Chiffre d'affaires";"Redevance",#N/A,FALSE,"Redevance"}</definedName>
    <definedName name="kljh" hidden="1">{"Chffre d'affaires DEK",#N/A,FALSE,"Chiffre d'affaires";"Chiffre d'affaires DEG",#N/A,FALSE,"Chiffre d'affaires"}</definedName>
    <definedName name="Kontroly2" localSheetId="25">#REF!</definedName>
    <definedName name="Kontroly2">#REF!</definedName>
    <definedName name="l.k" hidden="1">{"Fax DEG",#N/A,FALSE,"FAX DEG DEK DB";"Fax DEK",#N/A,FALSE,"FAX DEG DEK DB"}</definedName>
    <definedName name="lavage" localSheetId="25">#REF!</definedName>
    <definedName name="lavage">#REF!</definedName>
    <definedName name="laverie" localSheetId="25">#REF!</definedName>
    <definedName name="laverie">#REF!</definedName>
    <definedName name="LBud_Compte" localSheetId="25">#REF!</definedName>
    <definedName name="LBud_Compte">#REF!</definedName>
    <definedName name="LE_G33" localSheetId="25">#REF!</definedName>
    <definedName name="LE_G33">#REF!</definedName>
    <definedName name="LE_G44" localSheetId="25">#REF!</definedName>
    <definedName name="LE_G44">#REF!</definedName>
    <definedName name="LE_G45" localSheetId="25">#REF!</definedName>
    <definedName name="LE_G45">#REF!</definedName>
    <definedName name="LE_G70" localSheetId="25">#REF!</definedName>
    <definedName name="LE_G70">#REF!</definedName>
    <definedName name="LE_G71" localSheetId="25">#REF!</definedName>
    <definedName name="LE_G71">#REF!</definedName>
    <definedName name="LE_G90" localSheetId="25">#REF!</definedName>
    <definedName name="LE_G90">#REF!</definedName>
    <definedName name="LE_G91" localSheetId="25">#REF!</definedName>
    <definedName name="LE_G91">#REF!</definedName>
    <definedName name="LETTREA" localSheetId="25">#REF!</definedName>
    <definedName name="LETTREA">#REF!</definedName>
    <definedName name="LIB" localSheetId="25">#REF!</definedName>
    <definedName name="LIB">#REF!</definedName>
    <definedName name="LISTE">Feuil1!$B$5:$B$41</definedName>
    <definedName name="ListORPL">[35]Feuil1!$E$2:$E$26</definedName>
    <definedName name="ListResponsable">[35]Feuil1!$C$4:$C$26</definedName>
    <definedName name="LITIGES" localSheetId="25">#REF!</definedName>
    <definedName name="LITIGES">#REF!</definedName>
    <definedName name="LK" localSheetId="25">'[44]RECAP. ENTITES'!#REF!</definedName>
    <definedName name="LK">'[44]RECAP. ENTITES'!#REF!</definedName>
    <definedName name="LL" hidden="1">{#N/A,#N/A,FALSE,"DEK-PR(34)";#N/A,#N/A,FALSE,"DEK (13)";"Chffre d'affaires DEK",#N/A,FALSE,"Chiffre d'affaires";#N/A,#N/A,FALSE,"Dotations";#N/A,#N/A,FALSE,"Frais Financiers ";#N/A,#N/A,FALSE,"Redevance"}</definedName>
    <definedName name="llll" hidden="1">{"Frais financiers",#N/A,FALSE,"Frais Financiers ";"Charges de Personnel",#N/A,FALSE,"Données CPC";#N/A,#N/A,FALSE,"Dotations";"Chiffre d'affaires",#N/A,FALSE,"Chiffre d'affaires";"Redevance",#N/A,FALSE,"Redevance"}</definedName>
    <definedName name="lo" hidden="1">{"P1",#N/A,FALSE,"Feuil5";"P2",#N/A,FALSE,"Feuil5";"P3",#N/A,FALSE,"Feuil5";"P4",#N/A,FALSE,"Feuil5";"P5",#N/A,FALSE,"Feuil5"}</definedName>
    <definedName name="LOCATION_LONGUE_DUREE_DES_V2HICULES" localSheetId="25">#REF!</definedName>
    <definedName name="LOCATION_LONGUE_DUREE_DES_V2HICULES">#REF!</definedName>
    <definedName name="LOTFI" hidden="1">{"Listing 103",#N/A,FALSE,"Listing 103"}</definedName>
    <definedName name="LPMOU" localSheetId="25">#REF!</definedName>
    <definedName name="LPMOU">#REF!</definedName>
    <definedName name="LPR" hidden="1">{"Analyse écart CA",#N/A,FALSE,"Analyse CA"}</definedName>
    <definedName name="m.k" hidden="1">{"Listing 103",#N/A,FALSE,"Listing 103"}</definedName>
    <definedName name="M_Planifiée">Feuil21!$J$12</definedName>
    <definedName name="MANUT.CLAIR" localSheetId="25">#REF!</definedName>
    <definedName name="MANUT.CLAIR">#REF!</definedName>
    <definedName name="MANUT.NOIR" localSheetId="25">#REF!</definedName>
    <definedName name="MANUT.NOIR">#REF!</definedName>
    <definedName name="MARGIN" localSheetId="25">#REF!</definedName>
    <definedName name="MARGIN">#REF!</definedName>
    <definedName name="MARS99" localSheetId="25">#REF!</definedName>
    <definedName name="MARS99">#REF!</definedName>
    <definedName name="mat" localSheetId="25">#REF!</definedName>
    <definedName name="mat">#REF!</definedName>
    <definedName name="materiel">Feuil1!$P$12:$P$13</definedName>
    <definedName name="Matrice">'[45] INV'!$A$1:$H$787</definedName>
    <definedName name="Matrice1" localSheetId="25">#REF!</definedName>
    <definedName name="Matrice1">#REF!</definedName>
    <definedName name="Matrice2">'[46]Feuil1 (2)'!$A$1:$Z$1005</definedName>
    <definedName name="Matrice4">[47]GT!$B$4:$S$204</definedName>
    <definedName name="Matrice5" localSheetId="25">#REF!</definedName>
    <definedName name="Matrice5">#REF!</definedName>
    <definedName name="Matrice6">'[47] INV'!$B$4:$X$821</definedName>
    <definedName name="MENU" localSheetId="25">#REF!</definedName>
    <definedName name="MENU">#REF!</definedName>
    <definedName name="MF" localSheetId="25">#REF!</definedName>
    <definedName name="MF">#REF!</definedName>
    <definedName name="mm" hidden="1">{"Fax DEG",#N/A,FALSE,"FAX DEG DEK DB";"Fax DEK",#N/A,FALSE,"FAX DEG DEK DB"}</definedName>
    <definedName name="Mois" localSheetId="25">#REF!</definedName>
    <definedName name="Mois">#REF!</definedName>
    <definedName name="mois_10" localSheetId="25">#REF!</definedName>
    <definedName name="mois_10">#REF!</definedName>
    <definedName name="MOIS_11" localSheetId="25">#REF!</definedName>
    <definedName name="MOIS_11">#REF!</definedName>
    <definedName name="MOIS_12" localSheetId="25">#REF!</definedName>
    <definedName name="MOIS_12">#REF!</definedName>
    <definedName name="MOIS_13" localSheetId="25">#REF!</definedName>
    <definedName name="MOIS_13">#REF!</definedName>
    <definedName name="MOIS_2" localSheetId="25">#REF!</definedName>
    <definedName name="MOIS_2">#REF!</definedName>
    <definedName name="MOIS_3" localSheetId="25">#REF!</definedName>
    <definedName name="MOIS_3">#REF!</definedName>
    <definedName name="MOIS_4" localSheetId="25">#REF!</definedName>
    <definedName name="MOIS_4">#REF!</definedName>
    <definedName name="mois_5" localSheetId="25">#REF!</definedName>
    <definedName name="mois_5">#REF!</definedName>
    <definedName name="MOIS_5bis" localSheetId="25">#REF!</definedName>
    <definedName name="MOIS_5bis">#REF!</definedName>
    <definedName name="mois_6" localSheetId="25">#REF!</definedName>
    <definedName name="mois_6">#REF!</definedName>
    <definedName name="mois_7" localSheetId="25">#REF!</definedName>
    <definedName name="mois_7">#REF!</definedName>
    <definedName name="mois_8" localSheetId="25">#REF!</definedName>
    <definedName name="mois_8">#REF!</definedName>
    <definedName name="mois_9" localSheetId="25">#REF!</definedName>
    <definedName name="mois_9">#REF!</definedName>
    <definedName name="Mois_semestre1" localSheetId="25">#REF!</definedName>
    <definedName name="Mois_semestre1">#REF!</definedName>
    <definedName name="Mois_semestre2" localSheetId="25">#REF!</definedName>
    <definedName name="Mois_semestre2">#REF!</definedName>
    <definedName name="MOIS_SS_TIERS" localSheetId="25">#REF!</definedName>
    <definedName name="MOIS_SS_TIERS">#REF!</definedName>
    <definedName name="MONTANT" localSheetId="25">#REF!</definedName>
    <definedName name="MONTANT">#REF!</definedName>
    <definedName name="MONTANT_1" localSheetId="25">#REF!</definedName>
    <definedName name="MONTANT_1">#REF!</definedName>
    <definedName name="MONTANT_2" localSheetId="25">#REF!</definedName>
    <definedName name="MONTANT_2">#REF!</definedName>
    <definedName name="MONTANT_3" localSheetId="25">#REF!</definedName>
    <definedName name="MONTANT_3">#REF!</definedName>
    <definedName name="MONTANT_4" localSheetId="25">#REF!</definedName>
    <definedName name="MONTANT_4">#REF!</definedName>
    <definedName name="MONTANT_DH" localSheetId="25">#REF!:#REF!</definedName>
    <definedName name="MONTANT_DH">#REF!:#REF!</definedName>
    <definedName name="MONTANT_DH_2" localSheetId="25">#REF!</definedName>
    <definedName name="MONTANT_DH_2">#REF!</definedName>
    <definedName name="MONTANT_DH_3" localSheetId="25">#REF!</definedName>
    <definedName name="MONTANT_DH_3">#REF!</definedName>
    <definedName name="MONTANT_DH_4" localSheetId="25">#REF!</definedName>
    <definedName name="MONTANT_DH_4">#REF!</definedName>
    <definedName name="MONTANT_MAP" localSheetId="25">#REF!</definedName>
    <definedName name="MONTANT_MAP">#REF!</definedName>
    <definedName name="MONTANT_MAPDH" localSheetId="25">#REF!</definedName>
    <definedName name="MONTANT_MAPDH">#REF!</definedName>
    <definedName name="MONTANT_US" localSheetId="25">#REF!:#REF!</definedName>
    <definedName name="MONTANT_US">#REF!:#REF!</definedName>
    <definedName name="MONTANT_US_2" localSheetId="25">#REF!</definedName>
    <definedName name="MONTANT_US_2">#REF!</definedName>
    <definedName name="MONTANT_US_3" localSheetId="25">#REF!</definedName>
    <definedName name="MONTANT_US_3">#REF!</definedName>
    <definedName name="MONTANT_US_4" localSheetId="25">#REF!</definedName>
    <definedName name="MONTANT_US_4">#REF!</definedName>
    <definedName name="montroz1p" localSheetId="25">'[32]Sumář jm. sez. Přípravy'!#REF!</definedName>
    <definedName name="montroz1p">'[32]Sumář jm. sez. Přípravy'!#REF!</definedName>
    <definedName name="montzah1p" localSheetId="25">'[32]Sumář jm. sez. Přípravy'!#REF!</definedName>
    <definedName name="montzah1p">'[32]Sumář jm. sez. Přípravy'!#REF!</definedName>
    <definedName name="MOU_GO_out" localSheetId="25">#REF!</definedName>
    <definedName name="MOU_GO_out">#REF!</definedName>
    <definedName name="MOU_Total" localSheetId="25">#REF!</definedName>
    <definedName name="MOU_Total">#REF!</definedName>
    <definedName name="MP" hidden="1">{#N/A,#N/A,FALSE,"Contrôle"}</definedName>
    <definedName name="MT_ACHAT" localSheetId="25">#REF!</definedName>
    <definedName name="MT_ACHAT">#REF!</definedName>
    <definedName name="MT_ACHAT_11" localSheetId="25">#REF!</definedName>
    <definedName name="MT_ACHAT_11">#REF!</definedName>
    <definedName name="MT_ACHAT_2" localSheetId="25">#REF!</definedName>
    <definedName name="MT_ACHAT_2">#REF!</definedName>
    <definedName name="MT_ACHAT_3" localSheetId="25">#REF!</definedName>
    <definedName name="MT_ACHAT_3">#REF!</definedName>
    <definedName name="MT_ACHAT_4" localSheetId="25">#REF!</definedName>
    <definedName name="MT_ACHAT_4">#REF!</definedName>
    <definedName name="MT_ACHAT_5" localSheetId="25">#REF!</definedName>
    <definedName name="MT_ACHAT_5">#REF!</definedName>
    <definedName name="MT_FRET" localSheetId="25">#REF!</definedName>
    <definedName name="MT_FRET">#REF!</definedName>
    <definedName name="MT_FRET_11" localSheetId="25">#REF!</definedName>
    <definedName name="MT_FRET_11">#REF!</definedName>
    <definedName name="MT_FRET_2" localSheetId="25">#REF!</definedName>
    <definedName name="MT_FRET_2">#REF!</definedName>
    <definedName name="MT_FRET_3" localSheetId="25">#REF!</definedName>
    <definedName name="MT_FRET_3">#REF!</definedName>
    <definedName name="MT_FRET_4" localSheetId="25">#REF!</definedName>
    <definedName name="MT_FRET_4">#REF!</definedName>
    <definedName name="MT_FRET_5" localSheetId="25">#REF!</definedName>
    <definedName name="MT_FRET_5">#REF!</definedName>
    <definedName name="MW_hop" localSheetId="25">#REF!</definedName>
    <definedName name="MW_hop">#REF!</definedName>
    <definedName name="MW_lease" localSheetId="25">#REF!</definedName>
    <definedName name="MW_lease">#REF!</definedName>
    <definedName name="N" hidden="1">{#N/A,#N/A,FALSE,"DEK-PR(34)";#N/A,#N/A,FALSE,"DEK (13)";"Chffre d'affaires DEK",#N/A,FALSE,"Chiffre d'affaires";#N/A,#N/A,FALSE,"Dotations";#N/A,#N/A,FALSE,"Frais Financiers ";#N/A,#N/A,FALSE,"Redevance"}</definedName>
    <definedName name="N.E" hidden="1">{"p1",#N/A,FALSE,"N GAS ELEC";"p2",#N/A,FALSE,"N GAS ELEC";"p3",#N/A,FALSE,"N GAS ELEC"}</definedName>
    <definedName name="N.mois">[23]F1!$A$1</definedName>
    <definedName name="Naklady" localSheetId="25">#REF!</definedName>
    <definedName name="Naklady">#REF!</definedName>
    <definedName name="Náklady" localSheetId="25">#REF!</definedName>
    <definedName name="Náklady">#REF!</definedName>
    <definedName name="nature">Feuil1!$X$4:$X$9</definedName>
    <definedName name="NATURE_DE_VENTE" localSheetId="25">#REF!:#REF!</definedName>
    <definedName name="NATURE_DE_VENTE">#REF!:#REF!</definedName>
    <definedName name="NATURE_DE_VENTE_2" localSheetId="25">#REF!</definedName>
    <definedName name="NATURE_DE_VENTE_2">#REF!</definedName>
    <definedName name="NATURE_DE_VENTE_3" localSheetId="25">#REF!</definedName>
    <definedName name="NATURE_DE_VENTE_3">#REF!</definedName>
    <definedName name="NATURE_DE_VENTE_4" localSheetId="25">#REF!</definedName>
    <definedName name="NATURE_DE_VENTE_4">#REF!</definedName>
    <definedName name="Nazvy_ticku_MI" localSheetId="25">#REF!</definedName>
    <definedName name="Nazvy_ticku_MI">#REF!</definedName>
    <definedName name="Názvy_tisku_MI" localSheetId="25">#REF!</definedName>
    <definedName name="Názvy_tisku_MI">#REF!</definedName>
    <definedName name="názvy_tisku_MI_02" localSheetId="25">#REF!</definedName>
    <definedName name="názvy_tisku_MI_02">#REF!</definedName>
    <definedName name="NB" hidden="1">{"Listing 103",#N/A,FALSE,"Listing 103"}</definedName>
    <definedName name="nb.lk" hidden="1">{#N/A,#N/A,FALSE,"DEK-PR(34)";#N/A,#N/A,FALSE,"DEK (13)";"Chffre d'affaires DEK",#N/A,FALSE,"Chiffre d'affaires";#N/A,#N/A,FALSE,"Dotations";#N/A,#N/A,FALSE,"Frais Financiers ";#N/A,#N/A,FALSE,"Redevance"}</definedName>
    <definedName name="NB_J_PROD" localSheetId="25">#REF!</definedName>
    <definedName name="NB_J_PROD">#REF!</definedName>
    <definedName name="nbae">#N/A</definedName>
    <definedName name="nbhg" hidden="1">{#N/A,#N/A,FALSE,"DEG-PR(28)";#N/A,#N/A,FALSE,"DEG (12)";#N/A,#N/A,FALSE,"Frais Financiers ";#N/A,#N/A,FALSE,"Redevance";"Chiffre d'affaires DEG",#N/A,FALSE,"Chiffre d'affaires";#N/A,#N/A,FALSE,"Dotations"}</definedName>
    <definedName name="Nbre">[48]Menu!$A$1</definedName>
    <definedName name="Nbre_mois" localSheetId="25">#REF!</definedName>
    <definedName name="Nbre_mois">#REF!</definedName>
    <definedName name="Net_Income" localSheetId="25">#REF!</definedName>
    <definedName name="Net_Income">#REF!</definedName>
    <definedName name="NI" hidden="1">{"Frais financiers",#N/A,FALSE,"Frais Financiers ";"Charges de Personnel",#N/A,FALSE,"Données CPC";#N/A,#N/A,FALSE,"Dotations";"Chiffre d'affaires",#N/A,FALSE,"Chiffre d'affaires";"Redevance",#N/A,FALSE,"Redevance"}</definedName>
    <definedName name="NMT_NW_CAPEX" localSheetId="25">#REF!</definedName>
    <definedName name="NMT_NW_CAPEX">#REF!</definedName>
    <definedName name="NMT_NW_CIP" localSheetId="25">#REF!</definedName>
    <definedName name="NMT_NW_CIP">#REF!</definedName>
    <definedName name="NMT_NW_Statistics" localSheetId="25">#REF!</definedName>
    <definedName name="NMT_NW_Statistics">#REF!</definedName>
    <definedName name="nn" hidden="1">{"Analyse écart CA",#N/A,FALSE,"Analyse CA"}</definedName>
    <definedName name="NOIR" localSheetId="25">#REF!</definedName>
    <definedName name="NOIR">#REF!</definedName>
    <definedName name="non" hidden="1">{"P1",#N/A,FALSE,"Feuil5";"P2",#N/A,FALSE,"Feuil5";"P3",#N/A,FALSE,"Feuil5";"P4",#N/A,FALSE,"Feuil5";"P5",#N/A,FALSE,"Feuil5"}</definedName>
    <definedName name="nouveau" localSheetId="25">#REF!</definedName>
    <definedName name="nouveau">#REF!</definedName>
    <definedName name="numero">Feuil1!$P$4:$P$11</definedName>
    <definedName name="NUMLIG" localSheetId="25">[1]A!#REF!</definedName>
    <definedName name="NUMLIG">[1]A!#REF!</definedName>
    <definedName name="nvhbv" hidden="1">{"Fax DEG",#N/A,FALSE,"FAX DEG DEK DB";"Fax DEK",#N/A,FALSE,"FAX DEG DEK DB"}</definedName>
    <definedName name="O" hidden="1">{#N/A,#N/A,FALSE,"DEK-PR(34)";#N/A,#N/A,FALSE,"DEK (13)";"Chffre d'affaires DEK",#N/A,FALSE,"Chiffre d'affaires";#N/A,#N/A,FALSE,"Dotations";#N/A,#N/A,FALSE,"Frais Financiers ";#N/A,#N/A,FALSE,"Redevance"}</definedName>
    <definedName name="Oblast" localSheetId="25">#REF!</definedName>
    <definedName name="Oblast">#REF!</definedName>
    <definedName name="oblast_formatu" localSheetId="25">#REF!</definedName>
    <definedName name="oblast_formatu">#REF!</definedName>
    <definedName name="OC" localSheetId="25">#REF!</definedName>
    <definedName name="OC">#REF!</definedName>
    <definedName name="OCAP" localSheetId="25">#REF!</definedName>
    <definedName name="OCAP">#REF!</definedName>
    <definedName name="op" hidden="1">{"p1",#N/A,FALSE,"N GAS ELEC";"p2",#N/A,FALSE,"N GAS ELEC";"p3",#N/A,FALSE,"N GAS ELEC"}</definedName>
    <definedName name="OPEX1" localSheetId="25">#REF!</definedName>
    <definedName name="OPEX1">#REF!</definedName>
    <definedName name="OPEX10" localSheetId="25">#REF!</definedName>
    <definedName name="OPEX10">#REF!</definedName>
    <definedName name="OPEX2" localSheetId="25">#REF!</definedName>
    <definedName name="OPEX2">#REF!</definedName>
    <definedName name="OPEX3" localSheetId="25">#REF!</definedName>
    <definedName name="OPEX3">#REF!</definedName>
    <definedName name="OPEX4" localSheetId="25">#REF!</definedName>
    <definedName name="OPEX4">#REF!</definedName>
    <definedName name="OPEX5" localSheetId="25">#REF!</definedName>
    <definedName name="OPEX5">#REF!</definedName>
    <definedName name="OPEX6" localSheetId="25">#REF!</definedName>
    <definedName name="OPEX6">#REF!</definedName>
    <definedName name="OPEX7" localSheetId="25">#REF!</definedName>
    <definedName name="OPEX7">#REF!</definedName>
    <definedName name="OPEX8" localSheetId="25">#REF!</definedName>
    <definedName name="OPEX8">#REF!</definedName>
    <definedName name="OPEX9" localSheetId="25">#REF!</definedName>
    <definedName name="OPEX9">#REF!</definedName>
    <definedName name="OR" localSheetId="25">#REF!</definedName>
    <definedName name="OR">#REF!</definedName>
    <definedName name="OrigineCouche">[35]Feuil1!#REF!</definedName>
    <definedName name="OUTR_GO" localSheetId="25">#REF!</definedName>
    <definedName name="OUTR_GO">#REF!</definedName>
    <definedName name="OUTR_N" localSheetId="25">#REF!</definedName>
    <definedName name="OUTR_N">#REF!</definedName>
    <definedName name="OUTR_T" localSheetId="25">#REF!</definedName>
    <definedName name="OUTR_T">#REF!</definedName>
    <definedName name="oz6k" localSheetId="25">'[32]Krycí list'!#REF!</definedName>
    <definedName name="oz6k">'[32]Krycí list'!#REF!</definedName>
    <definedName name="p">#REF!</definedName>
    <definedName name="P.Garde" localSheetId="25">#REF!</definedName>
    <definedName name="P.Garde">#REF!</definedName>
    <definedName name="p_11" localSheetId="25">#REF!</definedName>
    <definedName name="p_11">#REF!</definedName>
    <definedName name="P2O5MC" localSheetId="25">#REF!</definedName>
    <definedName name="P2O5MC">#REF!</definedName>
    <definedName name="P2O5MC2" localSheetId="25">#REF!</definedName>
    <definedName name="P2O5MC2">#REF!</definedName>
    <definedName name="P2O5MC3" localSheetId="25">#REF!</definedName>
    <definedName name="P2O5MC3">#REF!</definedName>
    <definedName name="P2O5MP">'[42]PR-P'!$P$397:$T$432</definedName>
    <definedName name="P2O5MP1">'[42]PR-P'!$V$172:$Y$187</definedName>
    <definedName name="pa1ge" hidden="1">{"Analyse écart CA",#N/A,FALSE,"Analyse CA"}</definedName>
    <definedName name="page_1">[49]CAMP972!$B$2:$C$84</definedName>
    <definedName name="page_2">[49]CAMP972!$G$1:$P$48</definedName>
    <definedName name="page_3">[49]CAMP972!$S$1:$AC$41</definedName>
    <definedName name="page_4">[49]CAMP972!$AS$1:$BA$47</definedName>
    <definedName name="PAGE1" localSheetId="25">#REF!</definedName>
    <definedName name="PAGE1">#REF!</definedName>
    <definedName name="PAGE10" localSheetId="25">#REF!</definedName>
    <definedName name="PAGE10">#REF!</definedName>
    <definedName name="PAGE11" localSheetId="25">#REF!</definedName>
    <definedName name="PAGE11">#REF!</definedName>
    <definedName name="PAGE12" localSheetId="25">#REF!</definedName>
    <definedName name="PAGE12">#REF!</definedName>
    <definedName name="PAGE13" localSheetId="25">#REF!</definedName>
    <definedName name="PAGE13">#REF!</definedName>
    <definedName name="PAGE14" localSheetId="25">#REF!</definedName>
    <definedName name="PAGE14">#REF!</definedName>
    <definedName name="PAGE15" localSheetId="25">#REF!</definedName>
    <definedName name="PAGE15">#REF!</definedName>
    <definedName name="PAGE16" localSheetId="25">#REF!</definedName>
    <definedName name="PAGE16">#REF!</definedName>
    <definedName name="PAGE17" localSheetId="25">#REF!</definedName>
    <definedName name="PAGE17">#REF!</definedName>
    <definedName name="PAGE18" localSheetId="25">#REF!</definedName>
    <definedName name="PAGE18">#REF!</definedName>
    <definedName name="PAGE19" localSheetId="25">#REF!</definedName>
    <definedName name="PAGE19">#REF!</definedName>
    <definedName name="PAGE2" localSheetId="25">#REF!</definedName>
    <definedName name="PAGE2">#REF!</definedName>
    <definedName name="PAGE20" localSheetId="25">#REF!</definedName>
    <definedName name="PAGE20">#REF!</definedName>
    <definedName name="PAGE22" localSheetId="25">#REF!</definedName>
    <definedName name="PAGE22">#REF!</definedName>
    <definedName name="PAGE24" localSheetId="25">#REF!</definedName>
    <definedName name="PAGE24">#REF!</definedName>
    <definedName name="PAGE25" localSheetId="25">#REF!</definedName>
    <definedName name="PAGE25">#REF!</definedName>
    <definedName name="PAGE26" localSheetId="25">#REF!</definedName>
    <definedName name="PAGE26">#REF!</definedName>
    <definedName name="PAGE3" localSheetId="25">#REF!</definedName>
    <definedName name="PAGE3">#REF!</definedName>
    <definedName name="PAGE4" localSheetId="25">#REF!</definedName>
    <definedName name="PAGE4">#REF!</definedName>
    <definedName name="PAGE5" localSheetId="25">#REF!</definedName>
    <definedName name="PAGE5">#REF!</definedName>
    <definedName name="PAGE6" localSheetId="25">#REF!</definedName>
    <definedName name="PAGE6">#REF!</definedName>
    <definedName name="PAGE7" localSheetId="25">#REF!</definedName>
    <definedName name="PAGE7">#REF!</definedName>
    <definedName name="PAGE8" localSheetId="25">#REF!</definedName>
    <definedName name="PAGE8">#REF!</definedName>
    <definedName name="PAGE9" localSheetId="25">#REF!</definedName>
    <definedName name="PAGE9">#REF!</definedName>
    <definedName name="parc">Feuil1!$S$4:$S$7</definedName>
    <definedName name="ParcDistination">[35]Feuil1!$G$2:$G$26</definedName>
    <definedName name="PARCS">#REF!</definedName>
    <definedName name="PARITE" localSheetId="25">#REF!</definedName>
    <definedName name="PARITE">#REF!</definedName>
    <definedName name="parité" localSheetId="25">#REF!</definedName>
    <definedName name="parité">#REF!</definedName>
    <definedName name="PARITE_11" localSheetId="25">#REF!</definedName>
    <definedName name="PARITE_11">#REF!</definedName>
    <definedName name="PARITE_2" localSheetId="25">#REF!</definedName>
    <definedName name="PARITE_2">#REF!</definedName>
    <definedName name="PARITE_3" localSheetId="25">#REF!</definedName>
    <definedName name="PARITE_3">#REF!</definedName>
    <definedName name="PARITE_4" localSheetId="25">#REF!</definedName>
    <definedName name="PARITE_4">#REF!</definedName>
    <definedName name="PARITE_5" localSheetId="25">#REF!</definedName>
    <definedName name="PARITE_5">#REF!</definedName>
    <definedName name="Parité_clôture" localSheetId="25">#REF!</definedName>
    <definedName name="Parité_clôture">#REF!</definedName>
    <definedName name="Parité_clôture_pb" localSheetId="25">'[50]Chiffre d''affaires'!#REF!</definedName>
    <definedName name="Parité_clôture_pb">'[50]Chiffre d''affaires'!#REF!</definedName>
    <definedName name="Parité_fin_mois" localSheetId="25">#REF!</definedName>
    <definedName name="Parité_fin_mois">#REF!</definedName>
    <definedName name="Parité_mois_pb" localSheetId="25">'[50]Chiffre d''affaires'!#REF!</definedName>
    <definedName name="Parité_mois_pb">'[50]Chiffre d''affaires'!#REF!</definedName>
    <definedName name="Parité_prévue" localSheetId="25">#REF!</definedName>
    <definedName name="Parité_prévue">#REF!</definedName>
    <definedName name="PARTIE_A" localSheetId="25">#REF!</definedName>
    <definedName name="PARTIE_A">#REF!</definedName>
    <definedName name="PARTIE_B" localSheetId="25">#REF!</definedName>
    <definedName name="PARTIE_B">#REF!</definedName>
    <definedName name="PARTIE_C" localSheetId="25">#REF!</definedName>
    <definedName name="PARTIE_C">#REF!</definedName>
    <definedName name="PARTIE_D" localSheetId="25">#REF!</definedName>
    <definedName name="PARTIE_D">#REF!</definedName>
    <definedName name="PARTIE_V1" localSheetId="25">#REF!</definedName>
    <definedName name="PARTIE_V1">#REF!</definedName>
    <definedName name="PARTIE_V2" localSheetId="25">#REF!</definedName>
    <definedName name="PARTIE_V2">#REF!</definedName>
    <definedName name="PARTIE_V3" localSheetId="25">#REF!</definedName>
    <definedName name="PARTIE_V3">#REF!</definedName>
    <definedName name="PARTIE_V4" localSheetId="25">#REF!</definedName>
    <definedName name="PARTIE_V4">#REF!</definedName>
    <definedName name="PASSA" localSheetId="25">#REF!</definedName>
    <definedName name="PASSA">#REF!</definedName>
    <definedName name="PC" localSheetId="25">#REF!</definedName>
    <definedName name="PC">#REF!</definedName>
    <definedName name="PC_CLAIR" localSheetId="25">#REF!</definedName>
    <definedName name="PC_CLAIR">#REF!</definedName>
    <definedName name="PC_ELECTRICITE" localSheetId="25">#REF!</definedName>
    <definedName name="PC_ELECTRICITE">#REF!</definedName>
    <definedName name="PC_GAZ_FUEL_EAU" localSheetId="25">#REF!</definedName>
    <definedName name="PC_GAZ_FUEL_EAU">#REF!</definedName>
    <definedName name="PC_NOIR" localSheetId="25">#REF!</definedName>
    <definedName name="PC_NOIR">#REF!</definedName>
    <definedName name="pcis" localSheetId="25">[51]!pcis</definedName>
    <definedName name="pcis">[51]!pcis</definedName>
    <definedName name="pcis_01" localSheetId="25">[51]!pcis</definedName>
    <definedName name="pcis_01">[51]!pcis</definedName>
    <definedName name="PCUM" localSheetId="25">#REF!</definedName>
    <definedName name="PCUM">#REF!</definedName>
    <definedName name="period" localSheetId="25">#REF!</definedName>
    <definedName name="period">#REF!</definedName>
    <definedName name="période">[52]Redevance!$F$1</definedName>
    <definedName name="PFPRICE" localSheetId="25">#REF!</definedName>
    <definedName name="PFPRICE">#REF!</definedName>
    <definedName name="PFPRICE2" localSheetId="25">#REF!</definedName>
    <definedName name="PFPRICE2">#REF!</definedName>
    <definedName name="phosphorique" localSheetId="25">#REF!</definedName>
    <definedName name="phosphorique">#REF!</definedName>
    <definedName name="pk" hidden="1">{"V3",#N/A,FALSE,"N GAS ELEC_PV";"V2",#N/A,FALSE,"N GAS ELEC_PV";"V1",#N/A,FALSE,"N GAS ELEC_PV"}</definedName>
    <definedName name="PL_Run_Rates" localSheetId="25">#REF!</definedName>
    <definedName name="PL_Run_Rates">#REF!</definedName>
    <definedName name="PM" localSheetId="25">#REF!</definedName>
    <definedName name="PM">#REF!</definedName>
    <definedName name="PMG.PS" localSheetId="25">#REF!</definedName>
    <definedName name="PMG.PS">#REF!</definedName>
    <definedName name="PMK" hidden="1">{"Chffre d'affaires DEK",#N/A,FALSE,"Chiffre d'affaires";"Chiffre d'affaires DEG",#N/A,FALSE,"Chiffre d'affaires"}</definedName>
    <definedName name="poste">Feuil1!$R$9:$R$11</definedName>
    <definedName name="pp" localSheetId="25">#REF!</definedName>
    <definedName name="pp">#REF!</definedName>
    <definedName name="pppp" hidden="1">{"Analyse écart CA",#N/A,FALSE,"Analyse CA"}</definedName>
    <definedName name="PR" localSheetId="25" hidden="1">[53]PRODUCTION!#REF!</definedName>
    <definedName name="PR" hidden="1">[53]PRODUCTION!#REF!</definedName>
    <definedName name="PR_12_2004" localSheetId="25">#REF!</definedName>
    <definedName name="PR_12_2004">#REF!</definedName>
    <definedName name="PREC" localSheetId="25">#REF!</definedName>
    <definedName name="PREC">#REF!</definedName>
    <definedName name="PREST" localSheetId="25">#REF!</definedName>
    <definedName name="PREST">#REF!</definedName>
    <definedName name="PREST_ODEP" localSheetId="25">#REF!</definedName>
    <definedName name="PREST_ODEP">#REF!</definedName>
    <definedName name="PREST_ODEP_2" localSheetId="25">#REF!</definedName>
    <definedName name="PREST_ODEP_2">#REF!</definedName>
    <definedName name="Prévu.2002.R8" localSheetId="25">#REF!</definedName>
    <definedName name="Prévu.2002.R8">#REF!</definedName>
    <definedName name="_xlnm.Print_Area" localSheetId="25">'I FILM'!$A$1:$BT$164</definedName>
    <definedName name="Print_Area_1" localSheetId="25">#REF!</definedName>
    <definedName name="Print_Area_1">#REF!</definedName>
    <definedName name="Print_Area_10" localSheetId="25">#REF!</definedName>
    <definedName name="Print_Area_10">#REF!</definedName>
    <definedName name="Print_Area_11" localSheetId="25">#REF!</definedName>
    <definedName name="Print_Area_11">#REF!</definedName>
    <definedName name="Print_Area_12" localSheetId="25">#REF!</definedName>
    <definedName name="Print_Area_12">#REF!</definedName>
    <definedName name="Print_Area_13" localSheetId="25">#REF!</definedName>
    <definedName name="Print_Area_13">#REF!</definedName>
    <definedName name="Print_Area_14" localSheetId="25">#REF!</definedName>
    <definedName name="Print_Area_14">#REF!</definedName>
    <definedName name="Print_Area_15" localSheetId="25">#REF!</definedName>
    <definedName name="Print_Area_15">#REF!</definedName>
    <definedName name="Print_Area_16" localSheetId="25">#REF!</definedName>
    <definedName name="Print_Area_16">#REF!</definedName>
    <definedName name="Print_Area_17" localSheetId="25">#REF!</definedName>
    <definedName name="Print_Area_17">#REF!</definedName>
    <definedName name="Print_Area_18" localSheetId="25">#REF!</definedName>
    <definedName name="Print_Area_18">#REF!</definedName>
    <definedName name="Print_Area_19" localSheetId="25">#REF!</definedName>
    <definedName name="Print_Area_19">#REF!</definedName>
    <definedName name="Print_Area_2" localSheetId="25">#REF!</definedName>
    <definedName name="Print_Area_2">#REF!</definedName>
    <definedName name="Print_Area_3" localSheetId="25">#REF!</definedName>
    <definedName name="Print_Area_3">#REF!</definedName>
    <definedName name="Print_Area_4" localSheetId="25">#REF!</definedName>
    <definedName name="Print_Area_4">#REF!</definedName>
    <definedName name="Print_Area_5" localSheetId="25">#REF!</definedName>
    <definedName name="Print_Area_5">#REF!</definedName>
    <definedName name="Print_Area_6" localSheetId="25">#REF!</definedName>
    <definedName name="Print_Area_6">#REF!</definedName>
    <definedName name="Print_Area_7" localSheetId="25">#REF!</definedName>
    <definedName name="Print_Area_7">#REF!</definedName>
    <definedName name="Print_Area_8" localSheetId="25">#REF!</definedName>
    <definedName name="Print_Area_8">#REF!</definedName>
    <definedName name="Print_Area_9" localSheetId="25">#REF!</definedName>
    <definedName name="Print_Area_9">#REF!</definedName>
    <definedName name="Prod_Avan_Cumulés" localSheetId="25">#REF!</definedName>
    <definedName name="Prod_Avan_Cumulés">#REF!</definedName>
    <definedName name="Production">[54]Production!$A$2:$L$61</definedName>
    <definedName name="PRODUCTION_MOIS" localSheetId="25">#REF!</definedName>
    <definedName name="PRODUCTION_MOIS">#REF!</definedName>
    <definedName name="PRODUCTIONS" localSheetId="25">#REF!</definedName>
    <definedName name="PRODUCTIONS">#REF!</definedName>
    <definedName name="Produit">[35]Feuil1!$I$4:$I$15</definedName>
    <definedName name="PRODUIT_CLAIR" localSheetId="25">#REF!</definedName>
    <definedName name="PRODUIT_CLAIR">#REF!</definedName>
    <definedName name="PRODUIT_NOIR" localSheetId="25">#REF!</definedName>
    <definedName name="PRODUIT_NOIR">#REF!</definedName>
    <definedName name="Proj_PL" localSheetId="25">#REF!</definedName>
    <definedName name="Proj_PL">#REF!</definedName>
    <definedName name="pstr" localSheetId="25">[51]!pstr</definedName>
    <definedName name="pstr">[51]!pstr</definedName>
    <definedName name="pstr_01" localSheetId="25">[51]!pstr</definedName>
    <definedName name="pstr_01">[51]!pstr</definedName>
    <definedName name="Q">#N/A</definedName>
    <definedName name="qerqerqerqer" localSheetId="25">#REF!</definedName>
    <definedName name="qerqerqerqer">#REF!</definedName>
    <definedName name="qqq" localSheetId="25">#REF!</definedName>
    <definedName name="qqq">#REF!</definedName>
    <definedName name="qqqqq" hidden="1">{#N/A,#N/A,FALSE,"DEG-PR(28)";#N/A,#N/A,FALSE,"DEG (12)";#N/A,#N/A,FALSE,"Frais Financiers ";#N/A,#N/A,FALSE,"Redevance";"Chiffre d'affaires DEG",#N/A,FALSE,"Chiffre d'affaires";#N/A,#N/A,FALSE,"Dotations"}</definedName>
    <definedName name="qualite">Feuil1!$M$11:$M$12</definedName>
    <definedName name="QUANTITE" localSheetId="25">#REF!</definedName>
    <definedName name="QUANTITE">#REF!</definedName>
    <definedName name="QUANTITE_10" localSheetId="25">#REF!</definedName>
    <definedName name="QUANTITE_10">#REF!</definedName>
    <definedName name="QUANTITE_12" localSheetId="25">#REF!</definedName>
    <definedName name="QUANTITE_12">#REF!</definedName>
    <definedName name="QUANTITE_13" localSheetId="25">#REF!</definedName>
    <definedName name="QUANTITE_13">#REF!</definedName>
    <definedName name="QUANTITE_14" localSheetId="25">#REF!</definedName>
    <definedName name="QUANTITE_14">#REF!</definedName>
    <definedName name="QUANTITE_15" localSheetId="25">#REF!</definedName>
    <definedName name="QUANTITE_15">#REF!</definedName>
    <definedName name="QUANTITE_2" localSheetId="25">#REF!</definedName>
    <definedName name="QUANTITE_2">#REF!</definedName>
    <definedName name="QUANTITE_3" localSheetId="25">#REF!</definedName>
    <definedName name="QUANTITE_3">#REF!</definedName>
    <definedName name="QUANTITE_4" localSheetId="25">#REF!</definedName>
    <definedName name="QUANTITE_4">#REF!</definedName>
    <definedName name="QUANTITE_5" localSheetId="25">#REF!</definedName>
    <definedName name="QUANTITE_5">#REF!</definedName>
    <definedName name="QUANTITE_6" localSheetId="25">#REF!</definedName>
    <definedName name="QUANTITE_6">#REF!</definedName>
    <definedName name="QUANTITE_7" localSheetId="25">#REF!</definedName>
    <definedName name="QUANTITE_7">#REF!</definedName>
    <definedName name="QUANTITE_8" localSheetId="25">#REF!</definedName>
    <definedName name="QUANTITE_8">#REF!</definedName>
    <definedName name="QUANTITE_9" localSheetId="25">#REF!</definedName>
    <definedName name="QUANTITE_9">#REF!</definedName>
    <definedName name="QUIT" hidden="1">{"Fax DEG",#N/A,FALSE,"FAX DEG DEK DB";"Fax DEK",#N/A,FALSE,"FAX DEG DEK DB"}</definedName>
    <definedName name="R.8" localSheetId="25">#REF!</definedName>
    <definedName name="R.8">#REF!</definedName>
    <definedName name="R.9" localSheetId="25">#REF!</definedName>
    <definedName name="R.9">#REF!</definedName>
    <definedName name="RA_COS" localSheetId="25">#REF!</definedName>
    <definedName name="RA_COS">#REF!</definedName>
    <definedName name="rame">Feuil1!$P$4:$P$14</definedName>
    <definedName name="Rap_division" localSheetId="25">#REF!</definedName>
    <definedName name="Rap_division">#REF!</definedName>
    <definedName name="RAPPORT_MENSUEL" localSheetId="25">#REF!</definedName>
    <definedName name="RAPPORT_MENSUEL">#REF!</definedName>
    <definedName name="RAR_GO" localSheetId="25">#REF!</definedName>
    <definedName name="RAR_GO">#REF!</definedName>
    <definedName name="RAR_T" localSheetId="25">#REF!</definedName>
    <definedName name="RAR_T">#REF!</definedName>
    <definedName name="RATE_A" localSheetId="25">#REF!</definedName>
    <definedName name="RATE_A">#REF!</definedName>
    <definedName name="RATE_B" localSheetId="25">#REF!</definedName>
    <definedName name="RATE_B">#REF!</definedName>
    <definedName name="razdav">[29]Build!$E$6:$F$6</definedName>
    <definedName name="Réalisé.2001.R8" localSheetId="25">#REF!</definedName>
    <definedName name="Réalisé.2001.R8">#REF!</definedName>
    <definedName name="RECT" localSheetId="25">#REF!</definedName>
    <definedName name="RECT">#REF!</definedName>
    <definedName name="redo" hidden="1">{#N/A,#N/A,FALSE,"ACQ_GRAPHS";#N/A,#N/A,FALSE,"T_1 GRAPHS";#N/A,#N/A,FALSE,"T_2 GRAPHS";#N/A,#N/A,FALSE,"COMB_GRAPHS"}</definedName>
    <definedName name="REF" localSheetId="25">#REF!</definedName>
    <definedName name="REF">#REF!</definedName>
    <definedName name="rem" localSheetId="25">#REF!</definedName>
    <definedName name="rem">#REF!</definedName>
    <definedName name="RENS">[55]PERS1!$A$1:$BI$1908</definedName>
    <definedName name="REPERE" localSheetId="25">#REF!</definedName>
    <definedName name="REPERE">#REF!</definedName>
    <definedName name="RES" localSheetId="25">#REF!</definedName>
    <definedName name="RES">#REF!</definedName>
    <definedName name="RETURN" localSheetId="25">#REF!</definedName>
    <definedName name="RETURN">#REF!</definedName>
    <definedName name="REVENUE" localSheetId="25">#REF!</definedName>
    <definedName name="REVENUE">#REF!</definedName>
    <definedName name="RevenueSplit">'[31]Rev summary'!$A$26:$I$35</definedName>
    <definedName name="RevenueSum">'[31]Rev summary'!$A$3:$I$24</definedName>
    <definedName name="rex">[34]Calcul!$N$2</definedName>
    <definedName name="ROK">#N/A</definedName>
    <definedName name="rouepelle">Feuil1!$D$4:$D$27</definedName>
    <definedName name="rrr" hidden="1">{"Chffre d'affaires DEK",#N/A,FALSE,"Chiffre d'affaires";"Chiffre d'affaires DEG",#N/A,FALSE,"Chiffre d'affaires"}</definedName>
    <definedName name="rty" hidden="1">{"p1",#N/A,FALSE,"N GAS ELEC";"p2",#N/A,FALSE,"N GAS ELEC";"p3",#N/A,FALSE,"N GAS ELEC"}</definedName>
    <definedName name="RV_COS" localSheetId="25">#REF!</definedName>
    <definedName name="RV_COS">#REF!</definedName>
    <definedName name="RVR_T" localSheetId="25">#REF!</definedName>
    <definedName name="RVR_T">#REF!</definedName>
    <definedName name="S" localSheetId="25">#REF!</definedName>
    <definedName name="S">#REF!</definedName>
    <definedName name="S.A" localSheetId="25">#REF!</definedName>
    <definedName name="S.A">#REF!</definedName>
    <definedName name="S.GENER" localSheetId="25">#REF!</definedName>
    <definedName name="S.GENER">#REF!</definedName>
    <definedName name="S_A" localSheetId="25">#REF!</definedName>
    <definedName name="S_A">#REF!</definedName>
    <definedName name="sa" hidden="1">{"Analyse écart CA",#N/A,FALSE,"Analyse CA"}</definedName>
    <definedName name="saida" localSheetId="25">#REF!</definedName>
    <definedName name="saida">#REF!</definedName>
    <definedName name="SAISIE" localSheetId="25">#REF!</definedName>
    <definedName name="SAISIE">#REF!</definedName>
    <definedName name="salledecontrole">Feuil1!$AC$5:$AC$14</definedName>
    <definedName name="SALMI">[56]PRODUCTION!$A$1</definedName>
    <definedName name="SAMIR" localSheetId="25">[57]indicateurs!#REF!</definedName>
    <definedName name="SAMIR">[57]indicateurs!#REF!</definedName>
    <definedName name="sbaai">[58]Feuil1!$A$5:$A$14</definedName>
    <definedName name="Scénario_2" localSheetId="25">#REF!</definedName>
    <definedName name="Scénario_2">#REF!</definedName>
    <definedName name="Sces.PS" localSheetId="25">#REF!</definedName>
    <definedName name="Sces.PS">#REF!</definedName>
    <definedName name="scs" hidden="1">{"Frais financiers",#N/A,FALSE,"Frais Financiers ";"Charges de Personnel",#N/A,FALSE,"Données CPC";#N/A,#N/A,FALSE,"Dotations";"Chiffre d'affaires",#N/A,FALSE,"Chiffre d'affaires";"Redevance",#N/A,FALSE,"Redevance"}</definedName>
    <definedName name="SDC">Feuil1!$AC$5:$AC$20</definedName>
    <definedName name="sdz" hidden="1">{"Fax DEG",#N/A,FALSE,"FAX DEG DEK DB";"Fax DEK",#N/A,FALSE,"FAX DEG DEK DB"}</definedName>
    <definedName name="SECT" hidden="1">{"V3",#N/A,FALSE,"N GAS ELEC_PV";"V2",#N/A,FALSE,"N GAS ELEC_PV";"V1",#N/A,FALSE,"N GAS ELEC_PV"}</definedName>
    <definedName name="SECTEURS" localSheetId="25">#REF!</definedName>
    <definedName name="SECTEURS">#REF!</definedName>
    <definedName name="Sel_Prest" localSheetId="25">#REF!</definedName>
    <definedName name="Sel_Prest">#REF!</definedName>
    <definedName name="Sel_R8_Net" localSheetId="25">#REF!</definedName>
    <definedName name="Sel_R8_Net">#REF!</definedName>
    <definedName name="select" localSheetId="25">#REF!</definedName>
    <definedName name="select">#REF!</definedName>
    <definedName name="select_R6" localSheetId="25">#REF!</definedName>
    <definedName name="select_R6">#REF!</definedName>
    <definedName name="select_R8" localSheetId="25">#REF!</definedName>
    <definedName name="select_R8">#REF!</definedName>
    <definedName name="select_R9" localSheetId="25">#REF!</definedName>
    <definedName name="select_R9">#REF!</definedName>
    <definedName name="service" localSheetId="25">#REF!</definedName>
    <definedName name="service">#REF!</definedName>
    <definedName name="SERVICE_1" localSheetId="25">#REF!</definedName>
    <definedName name="SERVICE_1">#REF!</definedName>
    <definedName name="SERVICE_2" localSheetId="25">#REF!</definedName>
    <definedName name="SERVICE_2">#REF!</definedName>
    <definedName name="SERVICE_3" localSheetId="25">#REF!</definedName>
    <definedName name="SERVICE_3">#REF!</definedName>
    <definedName name="SERVICE_4" localSheetId="25">#REF!</definedName>
    <definedName name="SERVICE_4">#REF!</definedName>
    <definedName name="SIM_COS" localSheetId="25">#REF!</definedName>
    <definedName name="SIM_COS">#REF!</definedName>
    <definedName name="SIQ_1_4" localSheetId="25">#REF!,#REF!,#REF!,#REF!,#REF!,#REF!,#REF!,#REF!</definedName>
    <definedName name="SIQ_1_4">#REF!,#REF!,#REF!,#REF!,#REF!,#REF!,#REF!,#REF!</definedName>
    <definedName name="SIQ_2" localSheetId="25">#REF!,#REF!,#REF!,#REF!,#REF!,#REF!,#REF!,#REF!</definedName>
    <definedName name="SIQ_2">#REF!,#REF!,#REF!,#REF!,#REF!,#REF!,#REF!,#REF!</definedName>
    <definedName name="social" localSheetId="25">'[59]Budget administratif EY, BG &amp;TG'!#REF!</definedName>
    <definedName name="social">'[59]Budget administratif EY, BG &amp;TG'!#REF!</definedName>
    <definedName name="SofV" localSheetId="25">#REF!</definedName>
    <definedName name="SofV">#REF!</definedName>
    <definedName name="SOM_ANNEE" localSheetId="25">#REF!</definedName>
    <definedName name="SOM_ANNEE">#REF!</definedName>
    <definedName name="SOMMAIRE">[14]SOMMAIRE!$A$1:$I$25</definedName>
    <definedName name="SOMMAIRE.A" localSheetId="25">[60]SOMMAIRE!#REF!</definedName>
    <definedName name="SOMMAIRE.A">[60]SOMMAIRE!#REF!</definedName>
    <definedName name="source" localSheetId="25">#REF!</definedName>
    <definedName name="source">#REF!</definedName>
    <definedName name="sq" localSheetId="25">#REF!</definedName>
    <definedName name="sq">#REF!</definedName>
    <definedName name="SRMR" localSheetId="25">#REF!</definedName>
    <definedName name="SRMR">#REF!</definedName>
    <definedName name="ss" hidden="1">{"'DataPageWeb'!$A$1:$G$17"}</definedName>
    <definedName name="SSSJJ" localSheetId="25">#REF!</definedName>
    <definedName name="SSSJJ">#REF!</definedName>
    <definedName name="SSSSAAAALLLLAAAA">[16]Feuil1!$C$4:$C$27</definedName>
    <definedName name="STAT" localSheetId="25">#REF!</definedName>
    <definedName name="STAT">#REF!</definedName>
    <definedName name="Stat_Total" localSheetId="25">#REF!</definedName>
    <definedName name="Stat_Total">#REF!</definedName>
    <definedName name="STAT1" localSheetId="25">#REF!</definedName>
    <definedName name="STAT1">#REF!</definedName>
    <definedName name="statistics_structure" localSheetId="25">#REF!</definedName>
    <definedName name="statistics_structure">#REF!</definedName>
    <definedName name="stav_akce" localSheetId="25">[61]!stav_akce</definedName>
    <definedName name="stav_akce">[61]!stav_akce</definedName>
    <definedName name="stav_akce_01" localSheetId="25">[61]!stav_akce</definedName>
    <definedName name="stav_akce_01">[61]!stav_akce</definedName>
    <definedName name="stock" hidden="1">{"Analyse écart CA",#N/A,FALSE,"Analyse CA"}</definedName>
    <definedName name="STOCK_JOUR" localSheetId="25">#REF!</definedName>
    <definedName name="STOCK_JOUR">#REF!</definedName>
    <definedName name="STOCK1" localSheetId="25">[10]Acc_Dil!#REF!</definedName>
    <definedName name="STOCK1">[10]Acc_Dil!#REF!</definedName>
    <definedName name="STOCK2" localSheetId="25">[10]Acc_Dil!#REF!</definedName>
    <definedName name="STOCK2">[10]Acc_Dil!#REF!</definedName>
    <definedName name="STOCK3" localSheetId="25">[10]Acc_Dil!#REF!</definedName>
    <definedName name="STOCK3">[10]Acc_Dil!#REF!</definedName>
    <definedName name="stockage">Feuil1!$AB$12:$AB$25</definedName>
    <definedName name="STRUC_C">'[33]H-STR_CONJ.'!$B$25:$L$42</definedName>
    <definedName name="STRUC_M">'[33]H-STR_CONJ.'!$B$1:$L$19</definedName>
    <definedName name="STRUCT.PR" localSheetId="25">#REF!</definedName>
    <definedName name="STRUCT.PR">#REF!</definedName>
    <definedName name="SUIVI_DES_FACTURES_D__EAU_BRUTE">'[40]ACIDE SULFURIQUE 8-9'!$BZ$14:$CC$31</definedName>
    <definedName name="SUIVI_DES_FACTURES_DE__L_EAU_ALIMENTAIRE">'[40]ACIDE SULFURIQUE 8-9'!$BP$14:$BS$30</definedName>
    <definedName name="SUIVI_DES_FACTURES_DE_LA_VAPEUR">'[40]ACIDE SULFURIQUE 8-9'!$BU$14:$BX$30</definedName>
    <definedName name="sulfurique" localSheetId="25">#REF!</definedName>
    <definedName name="sulfurique">#REF!</definedName>
    <definedName name="SumaLim">[62]Servco_LIM!$C$3:$D$3,[62]Servco_LIM!$C$6:$C$10,[62]Servco_LIM!$F$6:$F$9,[62]Servco_LIM!$C$13:$D$13,[62]Servco_LIM!$C$18:$D$18,[62]Servco_LIM!$C$23:$D$23</definedName>
    <definedName name="sup" hidden="1">{"V3",#N/A,FALSE,"N GAS ELEC_PV";"V2",#N/A,FALSE,"N GAS ELEC_PV";"V1",#N/A,FALSE,"N GAS ELEC_PV"}</definedName>
    <definedName name="SX" hidden="1">{"V3",#N/A,FALSE,"N GAS ELEC_PV";"V2",#N/A,FALSE,"N GAS ELEC_PV";"V1",#N/A,FALSE,"N GAS ELEC_PV"}</definedName>
    <definedName name="SY_1" localSheetId="25">#REF!</definedName>
    <definedName name="SY_1">#REF!</definedName>
    <definedName name="SY_2" localSheetId="25">#REF!</definedName>
    <definedName name="SY_2">#REF!</definedName>
    <definedName name="SY_3" localSheetId="25">#REF!</definedName>
    <definedName name="SY_3">#REF!</definedName>
    <definedName name="SYNT1" localSheetId="25">#REF!</definedName>
    <definedName name="SYNT1">#REF!</definedName>
    <definedName name="SYNT2" localSheetId="25">#REF!</definedName>
    <definedName name="SYNT2">#REF!</definedName>
    <definedName name="SYNTHESE" localSheetId="25">#REF!</definedName>
    <definedName name="SYNTHESE">#REF!</definedName>
    <definedName name="synthése" localSheetId="25">#REF!</definedName>
    <definedName name="synthése">#REF!</definedName>
    <definedName name="Synthèse.BF.MM" localSheetId="25">#REF!</definedName>
    <definedName name="Synthèse.BF.MM">#REF!</definedName>
    <definedName name="Synthèse.BF.R5plusR7" localSheetId="25">#REF!</definedName>
    <definedName name="Synthèse.BF.R5plusR7">#REF!</definedName>
    <definedName name="Synthèse.BF.R6" localSheetId="25">#REF!</definedName>
    <definedName name="Synthèse.BF.R6">#REF!</definedName>
    <definedName name="Synthèse.BF.R8" localSheetId="25">#REF!</definedName>
    <definedName name="Synthèse.BF.R8">#REF!</definedName>
    <definedName name="Synthèse.BF.R9" localSheetId="25">#REF!</definedName>
    <definedName name="Synthèse.BF.R9">#REF!</definedName>
    <definedName name="Synthèse.BF.Sce.Prest" localSheetId="25">#REF!</definedName>
    <definedName name="Synthèse.BF.Sce.Prest">#REF!</definedName>
    <definedName name="Synthèse.R6" localSheetId="25">#REF!</definedName>
    <definedName name="Synthèse.R6">#REF!</definedName>
    <definedName name="synthèse.y1.y2" localSheetId="25">#REF!</definedName>
    <definedName name="synthèse.y1.y2">#REF!</definedName>
    <definedName name="Synthèse.Y2" localSheetId="25">#REF!</definedName>
    <definedName name="Synthèse.Y2">#REF!</definedName>
    <definedName name="T" localSheetId="25">#REF!</definedName>
    <definedName name="T">#REF!</definedName>
    <definedName name="T.V" hidden="1">{"p1",#N/A,FALSE,"N GAS ELEC";"p2",#N/A,FALSE,"N GAS ELEC";"p3",#N/A,FALSE,"N GAS ELEC"}</definedName>
    <definedName name="T_FACT" localSheetId="25">#REF!</definedName>
    <definedName name="T_FACT">#REF!</definedName>
    <definedName name="T_FACT_11" localSheetId="25">#REF!</definedName>
    <definedName name="T_FACT_11">#REF!</definedName>
    <definedName name="T_FACT_2" localSheetId="25">#REF!</definedName>
    <definedName name="T_FACT_2">#REF!</definedName>
    <definedName name="T_FACT_3" localSheetId="25">#REF!</definedName>
    <definedName name="T_FACT_3">#REF!</definedName>
    <definedName name="T_FACT_4" localSheetId="25">#REF!</definedName>
    <definedName name="T_FACT_4">#REF!</definedName>
    <definedName name="T_FACT_5" localSheetId="25">#REF!</definedName>
    <definedName name="T_FACT_5">#REF!</definedName>
    <definedName name="TA">[63]MOIS0904!$B$1:$K$217</definedName>
    <definedName name="TAB" localSheetId="25">#REF!</definedName>
    <definedName name="TAB">#REF!</definedName>
    <definedName name="Table1" localSheetId="25">#REF!</definedName>
    <definedName name="Table1">#REF!</definedName>
    <definedName name="Table2" localSheetId="25">#REF!</definedName>
    <definedName name="Table2">#REF!</definedName>
    <definedName name="tableau" localSheetId="25">#REF!</definedName>
    <definedName name="tableau">#REF!</definedName>
    <definedName name="Tabulka" localSheetId="25">#REF!</definedName>
    <definedName name="Tabulka">#REF!</definedName>
    <definedName name="Target_AME" localSheetId="25">#REF!</definedName>
    <definedName name="Target_AME">#REF!</definedName>
    <definedName name="taux">Feuil1!$Q$4:$R$5</definedName>
    <definedName name="TAX_DEPR_1" localSheetId="25">#REF!</definedName>
    <definedName name="TAX_DEPR_1">#REF!</definedName>
    <definedName name="TAXES" localSheetId="25">#REF!</definedName>
    <definedName name="TAXES">#REF!</definedName>
    <definedName name="Teneurs">[54]Teneurs!$A$1:$L$225</definedName>
    <definedName name="test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XTE">"Image 1"</definedName>
    <definedName name="TG_C___st_TG" localSheetId="25">#REF!</definedName>
    <definedName name="TG_C___st_TG">#REF!</definedName>
    <definedName name="th" hidden="1">{"p1",#N/A,FALSE,"N GAS ELEC";"p2",#N/A,FALSE,"N GAS ELEC";"p3",#N/A,FALSE,"N GAS ELEC"}</definedName>
    <definedName name="TITRE" localSheetId="25">#REF!</definedName>
    <definedName name="TITRE">#REF!</definedName>
    <definedName name="TITULEK">#N/A</definedName>
    <definedName name="TON.V" hidden="1">{"V3",#N/A,FALSE,"N GAS ELEC_PV";"V2",#N/A,FALSE,"N GAS ELEC_PV";"V1",#N/A,FALSE,"N GAS ELEC_PV"}</definedName>
    <definedName name="tot" localSheetId="25">#REF!</definedName>
    <definedName name="tot">#REF!</definedName>
    <definedName name="Tot_Penetr1" localSheetId="25">#REF!</definedName>
    <definedName name="Tot_Penetr1">#REF!</definedName>
    <definedName name="Tot_Penetr2" localSheetId="25">#REF!</definedName>
    <definedName name="Tot_Penetr2">#REF!</definedName>
    <definedName name="Tot_Penetr3" localSheetId="25">#REF!</definedName>
    <definedName name="Tot_Penetr3">#REF!</definedName>
    <definedName name="TOT_TG_2000" localSheetId="25">#REF!</definedName>
    <definedName name="TOT_TG_2000">#REF!</definedName>
    <definedName name="TOTAL.TG" localSheetId="25">#REF!</definedName>
    <definedName name="TOTAL.TG">#REF!</definedName>
    <definedName name="Total_BS" localSheetId="25">#REF!</definedName>
    <definedName name="Total_BS">#REF!</definedName>
    <definedName name="Total_CAPEX" localSheetId="25">#REF!</definedName>
    <definedName name="Total_CAPEX">#REF!</definedName>
    <definedName name="Total_CF" localSheetId="25">#REF!</definedName>
    <definedName name="Total_CF">#REF!</definedName>
    <definedName name="TOTAL_DIVISION" localSheetId="25">#REF!</definedName>
    <definedName name="TOTAL_DIVISION">#REF!</definedName>
    <definedName name="Total_NW_CIP" localSheetId="25">#REF!</definedName>
    <definedName name="Total_NW_CIP">#REF!</definedName>
    <definedName name="Total_OPEX" localSheetId="25">#REF!</definedName>
    <definedName name="Total_OPEX">#REF!</definedName>
    <definedName name="TOTAL_TG" localSheetId="25">#REF!</definedName>
    <definedName name="TOTAL_TG">#REF!</definedName>
    <definedName name="tout">chargement!$1:$1048576</definedName>
    <definedName name="Tout_Gr_2000">'[64]BUDGET 2000 V.Réctifiée 2'!$AS$5:$AW$99,'[64]BUDGET 2000 V.Réctifiée 2'!$AK$5:$AQ$100,'[64]BUDGET 2000 V.Réctifiée 2'!$B$5:$I$94,'[64]BUDGET 2000 V.Réctifiée 2'!$K$5:$Q$94,'[64]BUDGET 2000 V.Réctifiée 2'!$S$5:$Y$100,'[64]BUDGET 2000 V.Réctifiée 2'!$AA$5:$AI$100,'[64]BUDGET 2000 V.Réctifiée 2'!$CC$5:$CL$101</definedName>
    <definedName name="TP">[65]RAP!$B$310:$K$336</definedName>
    <definedName name="train">Feuil1!$Q$4:$Q$5</definedName>
    <definedName name="TRAIT.clair" localSheetId="25">#REF!</definedName>
    <definedName name="TRAIT.clair">#REF!</definedName>
    <definedName name="TRAIT.NOIR" localSheetId="25">#REF!</definedName>
    <definedName name="TRAIT.NOIR">#REF!</definedName>
    <definedName name="TRALIG" localSheetId="25">[1]A!#REF!</definedName>
    <definedName name="TRALIG">[1]A!#REF!</definedName>
    <definedName name="TRAPAG" localSheetId="25">[1]A!#REF!</definedName>
    <definedName name="TRAPAG">[1]A!#REF!</definedName>
    <definedName name="TSP" localSheetId="25">#REF!</definedName>
    <definedName name="TSP">#REF!</definedName>
    <definedName name="tt">[65]RAP!$B$1:$M$391</definedName>
    <definedName name="ttt" hidden="1">{#N/A,#N/A,FALSE,"Contrôle"}</definedName>
    <definedName name="ttttt" hidden="1">{#N/A,#N/A,FALSE,"DEG (12)";#N/A,#N/A,FALSE,"OCP (11)";#N/A,#N/A,FALSE,"DEK (13)"}</definedName>
    <definedName name="tuzdroz1p" localSheetId="25">'[32]Sumář jm. sez. Přípravy'!#REF!</definedName>
    <definedName name="tuzdroz1p">'[32]Sumář jm. sez. Přípravy'!#REF!</definedName>
    <definedName name="tuzdzah1" localSheetId="25">'[32]Sumář jm. sez. Přípravy'!#REF!</definedName>
    <definedName name="tuzdzah1">'[32]Sumář jm. sez. Přípravy'!#REF!</definedName>
    <definedName name="TY">[65]RAP!$B$1:$M$309</definedName>
    <definedName name="u" hidden="1">{"Fax DEG",#N/A,FALSE,"FAX DEG DEK DB";"Fax DEK",#N/A,FALSE,"FAX DEG DEK DB"}</definedName>
    <definedName name="U_OEUVRES" localSheetId="25">#REF!</definedName>
    <definedName name="U_OEUVRES">#REF!</definedName>
    <definedName name="UMTS_NW_CAPEX" localSheetId="25">#REF!</definedName>
    <definedName name="UMTS_NW_CAPEX">#REF!</definedName>
    <definedName name="UMTS_NW_Statistics" localSheetId="25">#REF!</definedName>
    <definedName name="UMTS_NW_Statistics">#REF!</definedName>
    <definedName name="UNEPGE" localSheetId="25">[1]A!#REF!</definedName>
    <definedName name="UNEPGE">[1]A!#REF!</definedName>
    <definedName name="Untitled">[66]Untitled!$A$1:$AI$15704</definedName>
    <definedName name="USD_AVG" localSheetId="25">#REF!</definedName>
    <definedName name="USD_AVG">#REF!</definedName>
    <definedName name="USD_BOP" localSheetId="25">#REF!</definedName>
    <definedName name="USD_BOP">#REF!</definedName>
    <definedName name="USD_EOP" localSheetId="25">#REF!</definedName>
    <definedName name="USD_EOP">#REF!</definedName>
    <definedName name="UTILITES" localSheetId="25">#REF!</definedName>
    <definedName name="UTILITES">#REF!</definedName>
    <definedName name="uuu" hidden="1">{"Frais financiers",#N/A,FALSE,"Frais Financiers ";"Charges de Personnel",#N/A,FALSE,"Données CPC";#N/A,#N/A,FALSE,"Dotations";"Chiffre d'affaires",#N/A,FALSE,"Chiffre d'affaires";"Redevance",#N/A,FALSE,"Redevance"}</definedName>
    <definedName name="uuuu" hidden="1">{"Listing 103",#N/A,FALSE,"Listing 103"}</definedName>
    <definedName name="v" localSheetId="25">'[67]RECAP. ENTITES'!#REF!</definedName>
    <definedName name="v">'[67]RECAP. ENTITES'!#REF!</definedName>
    <definedName name="VARIANTE" localSheetId="25">[1]A!#REF!</definedName>
    <definedName name="VARIANTE">[1]A!#REF!</definedName>
    <definedName name="VAS_T" localSheetId="25">#REF!</definedName>
    <definedName name="VAS_T">#REF!</definedName>
    <definedName name="VAS_TGO" localSheetId="25">#REF!</definedName>
    <definedName name="VAS_TGO">#REF!</definedName>
    <definedName name="VAS_TN" localSheetId="25">#REF!</definedName>
    <definedName name="VAS_TN">#REF!</definedName>
    <definedName name="VBE" hidden="1">{"P1",#N/A,FALSE,"Feuil5";"P2",#N/A,FALSE,"Feuil5";"P3",#N/A,FALSE,"Feuil5";"P4",#N/A,FALSE,"Feuil5";"P5",#N/A,FALSE,"Feuil5"}</definedName>
    <definedName name="VC" localSheetId="25">#REF!</definedName>
    <definedName name="VC">#REF!</definedName>
    <definedName name="ventes" localSheetId="25">#REF!</definedName>
    <definedName name="ventes">#REF!</definedName>
    <definedName name="VENTES.MEA" hidden="1">{"V3",#N/A,FALSE,"N GAS ELEC_PV";"V2",#N/A,FALSE,"N GAS ELEC_PV";"V1",#N/A,FALSE,"N GAS ELEC_PV"}</definedName>
    <definedName name="Version">[68]MENU!$A$38</definedName>
    <definedName name="VO_COS" localSheetId="25">#REF!</definedName>
    <definedName name="VO_COS">#REF!</definedName>
    <definedName name="Vstup1" localSheetId="25">#REF!</definedName>
    <definedName name="Vstup1">#REF!</definedName>
    <definedName name="Vstup10" localSheetId="25">#REF!</definedName>
    <definedName name="Vstup10">#REF!</definedName>
    <definedName name="Vstup11" localSheetId="25">#REF!</definedName>
    <definedName name="Vstup11">#REF!</definedName>
    <definedName name="Vstup2" localSheetId="25">#REF!</definedName>
    <definedName name="Vstup2">#REF!</definedName>
    <definedName name="Vstup3" localSheetId="25">#REF!</definedName>
    <definedName name="Vstup3">#REF!</definedName>
    <definedName name="Vstup5" localSheetId="25">#REF!</definedName>
    <definedName name="Vstup5">#REF!</definedName>
    <definedName name="Vstup6" localSheetId="25">#REF!</definedName>
    <definedName name="Vstup6">#REF!</definedName>
    <definedName name="Vstup7" localSheetId="25">#REF!</definedName>
    <definedName name="Vstup7">#REF!</definedName>
    <definedName name="Vstup8" localSheetId="25">#REF!</definedName>
    <definedName name="Vstup8">#REF!</definedName>
    <definedName name="Vstup9" localSheetId="25">#REF!</definedName>
    <definedName name="Vstup9">#REF!</definedName>
    <definedName name="vyber_sdroj_01" localSheetId="25">[18]Data!#REF!</definedName>
    <definedName name="vyber_sdroj_01">[18]Data!#REF!</definedName>
    <definedName name="výběr_zdroj1" localSheetId="25">[18]Data!#REF!</definedName>
    <definedName name="výběr_zdroj1">[18]Data!#REF!</definedName>
    <definedName name="výběr_zdroj2" localSheetId="25">[18]Data!#REF!</definedName>
    <definedName name="výběr_zdroj2">[18]Data!#REF!</definedName>
    <definedName name="vyber_zdroj2_01" localSheetId="25">[18]Data!#REF!</definedName>
    <definedName name="vyber_zdroj2_01">[18]Data!#REF!</definedName>
    <definedName name="VymazLim">[62]Servco_LIM!$E$3:$G$3,[62]Servco_LIM!$E$6:$E$9,[62]Servco_LIM!$E$13:$G$13,[62]Servco_LIM!$E$18,[62]Servco_LIM!$E$23</definedName>
    <definedName name="Vynosy" localSheetId="25">#REF!</definedName>
    <definedName name="Vynosy">#REF!</definedName>
    <definedName name="Výnosy" localSheetId="25">#REF!</definedName>
    <definedName name="Výnosy">#REF!</definedName>
    <definedName name="W">#N/A</definedName>
    <definedName name="WASP" hidden="1">{#N/A,#N/A,FALSE,"OCP-PR(23)";#N/A,#N/A,FALSE,"DEP.FONC (24)";#N/A,#N/A,FALSE,"DEG-PR(28)";#N/A,#N/A,FALSE,"DEK-PR(35)";#N/A,#N/A,FALSE,"OCP (11)";#N/A,#N/A,FALSE,"DEG (12)";#N/A,#N/A,FALSE,"DEK (13)"}</definedName>
    <definedName name="WDF" hidden="1">{"Analyse écart CA",#N/A,FALSE,"Analyse CA"}</definedName>
    <definedName name="wrf.cpc" hidden="1">{#N/A,#N/A,FALSE,"DEG (12)";#N/A,#N/A,FALSE,"OCP (11)";#N/A,#N/A,FALSE,"DEK (13)"}</definedName>
    <definedName name="wrn.aa." hidden="1">{"a1",#N/A,FALSE,"DEP ELECTRICITE  R-prev02 ";"a2",#N/A,FALSE,"DEP ELECTRICITE  R-prev02 ";"a3",#N/A,FALSE,"DEP ELECTRICITE  R-prev02 ";"a4",#N/A,FALSE,"DEP ELECTRICITE  R-prev02 ";"a5",#N/A,FALSE,"DEP ELECTRICITE  R-prev02 ";"a6",#N/A,FALSE,"DEP ELECTRICITE  R-prev02 "}</definedName>
    <definedName name="wrn.ALL.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nalyse._.écart._.CA." hidden="1">{"Analyse écart CA",#N/A,FALSE,"Analyse CA"}</definedName>
    <definedName name="wrn.Budget." hidden="1">{#N/A,#N/A,FALSE,"OCP (11)";#N/A,#N/A,FALSE,"DEG (12)";#N/A,#N/A,FALSE,"DEK (13)";#N/A,#N/A,FALSE,"OCP-PR(23)";#N/A,#N/A,FALSE,"DEP.FONC (24)";#N/A,#N/A,FALSE,"DEG-PR(28)";#N/A,#N/A,FALSE,"DEK-PR(34)"}</definedName>
    <definedName name="wrn.Chiffre._.d._.affaires." hidden="1">{#N/A,#N/A,FALSE,"Chiffre d'affaires"}</definedName>
    <definedName name="wrn.Chiffre._.d_affaires." hidden="1">{"Chffre d'affaires DEK",#N/A,FALSE,"Chiffre d'affaires";"Chiffre d'affaires DEG",#N/A,FALSE,"Chiffre d'affaires";"Chiffre d'affaires OCP",#N/A,FALSE,"Chiffre d'affaires"}</definedName>
    <definedName name="wrn.COMBINED." hidden="1">{#N/A,#N/A,FALSE,"INPUTS";#N/A,#N/A,FALSE,"PROFORMA BSHEET";#N/A,#N/A,FALSE,"COMBINED";#N/A,#N/A,FALSE,"HIGH YIELD";#N/A,#N/A,FALSE,"COMB_GRAPHS"}</definedName>
    <definedName name="wrn.Contrôle." hidden="1">{#N/A,#N/A,FALSE,"Contrôle"}</definedName>
    <definedName name="wrn.CPC." hidden="1">{#N/A,#N/A,FALSE,"DEG (12)";#N/A,#N/A,FALSE,"OCP (11)";#N/A,#N/A,FALSE,"DEK (13)"}</definedName>
    <definedName name="wrn.DEG." hidden="1">{#N/A,#N/A,FALSE,"DEG-PR(28)";#N/A,#N/A,FALSE,"DEG (12)";#N/A,#N/A,FALSE,"Frais Financiers ";#N/A,#N/A,FALSE,"Redevance";"Chiffre d'affaires DEG",#N/A,FALSE,"Chiffre d'affaires";#N/A,#N/A,FALSE,"Dotations"}</definedName>
    <definedName name="wrn.DEK." hidden="1">{#N/A,#N/A,FALSE,"DEK-PR(34)";#N/A,#N/A,FALSE,"DEK (13)";"Chffre d'affaires DEK",#N/A,FALSE,"Chiffre d'affaires";#N/A,#N/A,FALSE,"Dotations";#N/A,#N/A,FALSE,"Frais Financiers ";#N/A,#N/A,FALSE,"Redevance"}</definedName>
    <definedName name="wrn.Etats._.de._.calcul." hidden="1">{"Frais financiers",#N/A,FALSE,"Frais Financiers ";"Charges de Personnel",#N/A,FALSE,"Données CPC";#N/A,#N/A,FALSE,"Dotations";"Chiffre d'affaires",#N/A,FALSE,"Chiffre d'affaires";"Redevance",#N/A,FALSE,"Redevance"}</definedName>
    <definedName name="wrn.evolution._.chiffre._.daffaires." hidden="1">{"chiffre d'affaires88-98",#N/A,FALSE,"CACONSOLIDE (66)";"chiffre d'affaires99-04",#N/A,FALSE,"CACONSOLIDE (66)"}</definedName>
    <definedName name="wrn.Exportation." hidden="1">{"Export88-98",#N/A,FALSE,"EXPORT. (G4) (41)";"Export99-04",#N/A,FALSE,"EXPORT. (G4) (41)"}</definedName>
    <definedName name="wrn.ExportationBIS." hidden="1">{"ExportBIS88-98",#N/A,FALSE,"EXPORT. (G6) (41bis) ";"ExportBIS99-04",#N/A,FALSE,"EXPORT. (G6) (41bis) "}</definedName>
    <definedName name="wrn.ExportationP2O5." hidden="1">{"ExportP2O588-98",#N/A,FALSE,"EXPORT. (G4) (42)";"ExportP2O599-04",#N/A,FALSE,"EXPORT. (G4) (42)"}</definedName>
    <definedName name="wrn.ExportationP2O5BIS." hidden="1">{"ExportP2O5BIS88-98",#N/A,FALSE,"EXPORT. (G6) (42bis)";"ExportP2O5BIS99-04",#N/A,FALSE,"EXPORT. (G6) (42bis)"}</definedName>
    <definedName name="wrn.Exposé." hidden="1">{#N/A,#N/A,TRUE,"Qualité PQG";#N/A,#N/A,TRUE,"Qualité 4000";#N/A,#N/A,TRUE,"exp DIS";#N/A,#N/A,TRUE,"expC4 (2)";#N/A,#N/A,TRUE,"exp 80 à finSept"}</definedName>
    <definedName name="wrn.FAX." hidden="1">{"Fax DEG",#N/A,FALSE,"FAX DEG DEK DB";"Fax DEK",#N/A,FALSE,"FAX DEG DEK DB"}</definedName>
    <definedName name="wrn.fx" hidden="1">{"Fax DEG",#N/A,FALSE,"FAX DEG DEK DB";"Fax DEK",#N/A,FALSE,"FAX DEG DEK DB"}</definedName>
    <definedName name="wrn.GRAPHS." hidden="1">{#N/A,#N/A,FALSE,"ACQ_GRAPHS";#N/A,#N/A,FALSE,"T_1 GRAPHS";#N/A,#N/A,FALSE,"T_2 GRAPHS";#N/A,#N/A,FALSE,"COMB_GRAPHS"}</definedName>
    <definedName name="wrn.imp." hidden="1">{"p4",#N/A,FALSE,"ANNEXES";"p3",#N/A,FALSE,"ANNEXES";"p2",#N/A,FALSE,"ANNEXES";"p1",#N/A,FALSE,"ANNEXES"}</definedName>
    <definedName name="wrn.Listing._.103." hidden="1">{"Listing 103",#N/A,FALSE,"Listing 103"}</definedName>
    <definedName name="wrn.locales._.TP2O5." hidden="1">{"localTP2O588-98",#N/A,FALSE,"Ven.locTP2O5";"locaTP2O599-04",#N/A,FALSE,"Ven.locTP2O5"}</definedName>
    <definedName name="wrn.pmg" hidden="1">{#N/A,#N/A,FALSE,"DEG-PR(28)";#N/A,#N/A,FALSE,"DEG (12)";#N/A,#N/A,FALSE,"Frais Financiers ";#N/A,#N/A,FALSE,"Redevance";"Chiffre d'affaires DEG",#N/A,FALSE,"Chiffre d'affaires";#N/A,#N/A,FALSE,"Dotations"}</definedName>
    <definedName name="wrn.Prix._.de._.revient." hidden="1">{#N/A,#N/A,FALSE,"PRODUCTION(39)";#N/A,#N/A,FALSE,"DB-Pr(40)";#N/A,#N/A,FALSE,"DB-EB (41)";#N/A,#N/A,FALSE,"DB-TL TRAIT.(42)";#N/A,#N/A,FALSE,"DB-TL EMB.(43)"}</definedName>
    <definedName name="wrn.Production." hidden="1">{"Prod88-98",#N/A,FALSE," PRODCT. (G4) (39)";"Prod99-04",#N/A,FALSE," PRODCT. (G4) (39)"}</definedName>
    <definedName name="wrn.ProductionBIS." hidden="1">{"ProdBIS88-98",#N/A,FALSE," PRODCT. G6 (39bis)";"ProdBIS99-04",#N/A,FALSE," PRODCT. G6 (39bis)"}</definedName>
    <definedName name="wrn.ProductionBISP2O5." hidden="1">{"ProdBISP2O588-98",#N/A,FALSE," PRODCT. G6 (40bis)";"ProdBISP2O599-04",#N/A,FALSE," PRODCT. G6 (40bis)"}</definedName>
    <definedName name="wrn.ProductionP2O5." hidden="1">{"ProdP2O588-98",#N/A,FALSE," PRODCT. (G4) (40)";"ProdP2O599-04",#N/A,FALSE," PRODCT. (G4) (40)"}</definedName>
    <definedName name="wrn.Projet._.2002." hidden="1">{"HM",#N/A,TRUE,"HM(2002)V2";"RecpHM",#N/A,TRUE,"HM(2002)V2";"HMIF",#N/A,TRUE,"HM(2002)V2";"VS et Ratio",#N/A,TRUE,"HM(2002)V2";"F et Sautage",#N/A,TRUE,"HM(2002)V2"}</definedName>
    <definedName name="wrn.Projet._.20021." hidden="1">{"RecpHM",#N/A,FALSE,"HM(2002)V1";"VS et Ratio",#N/A,FALSE,"HM(2002)V1";"HMIF",#N/A,FALSE,"HM(2002)V1"}</definedName>
    <definedName name="wrn.tot." hidden="1">{"p1",#N/A,FALSE,"N GAS ELEC";"p2",#N/A,FALSE,"N GAS ELEC";"p3",#N/A,FALSE,"N GAS ELEC"}</definedName>
    <definedName name="wrn.TOTAL." hidden="1">{"p1",#N/A,FALSE,"RECAP";"p1_6",#N/A,FALSE,"RECAP";"p7",#N/A,FALSE,"RECAP";"p8",#N/A,FALSE,"RECAP";"p9",#N/A,FALSE,"RECAP";"p10",#N/A,FALSE,"RECAP";"p11",#N/A,FALSE,"RECAP";"p12",#N/A,FALSE,"RECAP";"p13",#N/A,FALSE,"RECAP";"p14",#N/A,FALSE,"RECAP";"p15",#N/A,FALSE,"RECAP";"p16_17",#N/A,FALSE,"RECAP";"p18-19",#N/A,FALSE,"RECAP";"p20",#N/A,FALSE,"RECAP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T." hidden="1">{"P1",#N/A,FALSE,"Feuil5";"P2",#N/A,FALSE,"Feuil5";"P3",#N/A,FALSE,"Feuil5";"P4",#N/A,FALSE,"Feuil5";"P5",#N/A,FALSE,"Feuil5"}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ventes._.locales." hidden="1">{"local88-98",#N/A,FALSE,"VEN.LOCALES (66-67)";"local99-04",#N/A,FALSE,"VEN.LOCALES (66-67)"}</definedName>
    <definedName name="wrn.ventes._.totales." hidden="1">{"ventestotales88-98",#N/A,FALSE,"Ventes totales";"Ventes totales99-04",#N/A,FALSE,"Ventes totales"}</definedName>
    <definedName name="wrn.ventes._.totTP2O5." hidden="1">{"ventes totTP2O588-98",#N/A,FALSE,"Ventes totales TP2O5";"ventestotTP2O599-04",#N/A,FALSE,"Ventes totales TP2O5"}</definedName>
    <definedName name="wrn.vv." hidden="1">{"V3",#N/A,FALSE,"N GAS ELEC_PV";"V2",#N/A,FALSE,"N GAS ELEC_PV";"V1",#N/A,FALSE,"N GAS ELEC_PV"}</definedName>
    <definedName name="WW" hidden="1">{#N/A,#N/A,FALSE,"MP (15)";#N/A,#N/A,FALSE,"DIS (16)";#N/A,#N/A,FALSE,"DIJ (17)";#N/A,#N/A,FALSE,"GP(18)";#N/A,#N/A,FALSE,"EPHOS(19)";#N/A,#N/A,FALSE,"HYPOan (20)";#N/A,#N/A,FALSE,"HYPMOIS (21)"}</definedName>
    <definedName name="wx.hg" hidden="1">{#N/A,#N/A,FALSE,"DEG-PR(28)";#N/A,#N/A,FALSE,"DEG (12)";#N/A,#N/A,FALSE,"Frais Financiers ";#N/A,#N/A,FALSE,"Redevance";"Chiffre d'affaires DEG",#N/A,FALSE,"Chiffre d'affaires";#N/A,#N/A,FALSE,"Dotations"}</definedName>
    <definedName name="wxc.dfghj" hidden="1">{#N/A,#N/A,FALSE,"DEG (12)";#N/A,#N/A,FALSE,"OCP (11)";#N/A,#N/A,FALSE,"DEK (13)"}</definedName>
    <definedName name="wxcdvr" hidden="1">{"Analyse écart CA",#N/A,FALSE,"Analyse CA"}</definedName>
    <definedName name="x" localSheetId="25">#REF!</definedName>
    <definedName name="x">#REF!</definedName>
    <definedName name="xx">'[41]BF R9 Net'!$B$7:$AI$984</definedName>
    <definedName name="XXX" localSheetId="25" hidden="1">[69]ARDECIDE!#REF!</definedName>
    <definedName name="XXX" hidden="1">[69]ARDECIDE!#REF!</definedName>
    <definedName name="xxxxx" hidden="1">{"Chffre d'affaires DEK",#N/A,FALSE,"Chiffre d'affaires";"Chiffre d'affaires DEG",#N/A,FALSE,"Chiffre d'affaires";"Chiffre d'affaires OCP",#N/A,FALSE,"Chiffre d'affaires"}</definedName>
    <definedName name="XXXXXXXXXXXXXX" hidden="1">{"Analyse écart CA",#N/A,FALSE,"Analyse CA"}</definedName>
    <definedName name="XY" localSheetId="25">#REF!</definedName>
    <definedName name="XY">#REF!</definedName>
    <definedName name="y" localSheetId="25">#REF!</definedName>
    <definedName name="y">#REF!</definedName>
    <definedName name="YEAR">[12]Inputs!$D$16</definedName>
    <definedName name="YEAR2">[12]Inputs!$D$18</definedName>
    <definedName name="yy" localSheetId="25">#REF!</definedName>
    <definedName name="yy">#REF!</definedName>
    <definedName name="yyy" hidden="1">{#N/A,#N/A,FALSE,"DEG-PR(28)";#N/A,#N/A,FALSE,"DEG (12)";#N/A,#N/A,FALSE,"Frais Financiers ";#N/A,#N/A,FALSE,"Redevance";"Chiffre d'affaires DEG",#N/A,FALSE,"Chiffre d'affaires";#N/A,#N/A,FALSE,"Dotations"}</definedName>
    <definedName name="YYYY" hidden="1">{"V3",#N/A,FALSE,"N GAS ELEC_PV";"V2",#N/A,FALSE,"N GAS ELEC_PV";"V1",#N/A,FALSE,"N GAS ELEC_PV"}</definedName>
    <definedName name="yyyyy" hidden="1">{#N/A,#N/A,FALSE,"DEK-PR(34)";#N/A,#N/A,FALSE,"DEK (13)";"Chffre d'affaires DEK",#N/A,FALSE,"Chiffre d'affaires";#N/A,#N/A,FALSE,"Dotations";#N/A,#N/A,FALSE,"Frais Financiers ";#N/A,#N/A,FALSE,"Redevance"}</definedName>
    <definedName name="Z" hidden="1">{"p1",#N/A,FALSE,"N GAS ELEC";"p2",#N/A,FALSE,"N GAS ELEC";"p3",#N/A,FALSE,"N GAS ELEC"}</definedName>
    <definedName name="Z_3E6EB34F_E2F7_456F_8B3B_5F84BD050AA2_.wvu.Cols" localSheetId="2" hidden="1">chargement!$A:$A</definedName>
    <definedName name="Z_3E6EB34F_E2F7_456F_8B3B_5F84BD050AA2_.wvu.PrintArea" localSheetId="25" hidden="1">'I FILM'!$A$1:$BT$164</definedName>
    <definedName name="Z_4F232D79_B707_4527_B1C5_2E1BF2995FFF_.wvu.Cols" localSheetId="3" hidden="1">'arrets Chargement'!$A:$A</definedName>
    <definedName name="Z_4F232D79_B707_4527_B1C5_2E1BF2995FFF_.wvu.Cols" localSheetId="2" hidden="1">chargement!$A:$A</definedName>
    <definedName name="Z_4F232D79_B707_4527_B1C5_2E1BF2995FFF_.wvu.Cols" localSheetId="0" hidden="1">criblage!$A:$A</definedName>
    <definedName name="Z_4F232D79_B707_4527_B1C5_2E1BF2995FFF_.wvu.Cols" localSheetId="25" hidden="1">'I FILM'!$AJ:$AP</definedName>
    <definedName name="Z_4F232D79_B707_4527_B1C5_2E1BF2995FFF_.wvu.Cols" localSheetId="1" hidden="1">'les arrets'!$A:$A</definedName>
    <definedName name="Z_4F232D79_B707_4527_B1C5_2E1BF2995FFF_.wvu.FilterData" localSheetId="2" hidden="1">chargement!$M$1:$M$306</definedName>
    <definedName name="Z_4F232D79_B707_4527_B1C5_2E1BF2995FFF_.wvu.FilterData" localSheetId="0" hidden="1">criblage!$L$1:$L$1</definedName>
    <definedName name="Z_4F232D79_B707_4527_B1C5_2E1BF2995FFF_.wvu.FilterData" localSheetId="1" hidden="1">'les arrets'!$B$1:$K$1</definedName>
    <definedName name="Z_4F232D79_B707_4527_B1C5_2E1BF2995FFF_.wvu.PrintArea" localSheetId="25" hidden="1">'I FILM'!$A$1:$BT$164</definedName>
    <definedName name="Záhlaví" localSheetId="25">#REF!</definedName>
    <definedName name="Záhlaví">#REF!</definedName>
    <definedName name="Zone_impres_MI" localSheetId="25">#REF!</definedName>
    <definedName name="Zone_impres_MI">#REF!</definedName>
    <definedName name="ZZ" localSheetId="25">#REF!</definedName>
    <definedName name="ZZ">#REF!</definedName>
    <definedName name="zzz" hidden="1">{"Fax DEG",#N/A,FALSE,"FAX DEG DEK DB";"Fax DEK",#N/A,FALSE,"FAX DEG DEK DB"}</definedName>
  </definedNames>
  <calcPr calcId="162913"/>
  <customWorkbookViews>
    <customWorkbookView name="HP - Affichage personnalisé" guid="{3E6EB34F-E2F7-456F-8B3B-5F84BD050AA2}" mergeInterval="0" personalView="1" maximized="1" xWindow="1" yWindow="1" windowWidth="1600" windowHeight="647" tabRatio="713" activeSheetId="27"/>
    <customWorkbookView name="Salle de Contrôle Criblage Benguerir - Affichage personnalisé" guid="{4F232D79-B707-4527-B1C5-2E1BF2995FFF}" mergeInterval="0" personalView="1" maximized="1" xWindow="-8" yWindow="-8" windowWidth="1456" windowHeight="876" tabRatio="660" activeSheetId="2"/>
  </customWorkbookViews>
</workbook>
</file>

<file path=xl/calcChain.xml><?xml version="1.0" encoding="utf-8"?>
<calcChain xmlns="http://schemas.openxmlformats.org/spreadsheetml/2006/main">
  <c r="L386" i="3" l="1"/>
  <c r="G1942" i="2"/>
  <c r="G1944" i="2"/>
  <c r="G1941" i="2"/>
  <c r="G1940" i="2"/>
  <c r="G1939" i="2"/>
  <c r="G1938" i="2"/>
  <c r="G1937" i="2"/>
  <c r="L383" i="3"/>
  <c r="G1936" i="2"/>
  <c r="G1935" i="2"/>
  <c r="L382" i="3" l="1"/>
  <c r="G1934" i="2" l="1"/>
  <c r="G1933" i="2"/>
  <c r="L381" i="3"/>
  <c r="G1932" i="2"/>
  <c r="G1931" i="2"/>
  <c r="G1930" i="2"/>
  <c r="T378" i="3" l="1"/>
  <c r="T379" i="3"/>
  <c r="T380" i="3"/>
  <c r="S378" i="3"/>
  <c r="S379" i="3"/>
  <c r="S380" i="3"/>
  <c r="S381" i="3"/>
  <c r="T381" i="3" s="1"/>
  <c r="L380" i="3"/>
  <c r="G1924" i="2"/>
  <c r="G1925" i="2"/>
  <c r="G1926" i="2"/>
  <c r="G1927" i="2"/>
  <c r="G1928" i="2"/>
  <c r="G1929" i="2"/>
  <c r="L379" i="3" l="1"/>
  <c r="G1923" i="2"/>
  <c r="G1916" i="2" l="1"/>
  <c r="G1917" i="2"/>
  <c r="G1918" i="2"/>
  <c r="G1919" i="2"/>
  <c r="G1920" i="2"/>
  <c r="G1921" i="2"/>
  <c r="G1922" i="2"/>
  <c r="R811" i="1"/>
  <c r="O811" i="1"/>
  <c r="G1915" i="2" l="1"/>
  <c r="L378" i="3" l="1"/>
  <c r="G1914" i="2"/>
  <c r="G1913" i="2"/>
  <c r="G1912" i="2" l="1"/>
  <c r="G1910" i="2"/>
  <c r="G1911" i="2"/>
  <c r="G1909" i="2" l="1"/>
  <c r="G1908" i="2"/>
  <c r="R809" i="1"/>
  <c r="Q809" i="1"/>
  <c r="O809" i="1"/>
  <c r="G1907" i="2"/>
  <c r="L377" i="3"/>
  <c r="G1906" i="2"/>
  <c r="G1903" i="2"/>
  <c r="G1905" i="2"/>
  <c r="G1899" i="2"/>
  <c r="G1900" i="2"/>
  <c r="G1901" i="2"/>
  <c r="G1902" i="2"/>
  <c r="T375" i="3"/>
  <c r="T376" i="3"/>
  <c r="S374" i="3"/>
  <c r="S375" i="3"/>
  <c r="S376" i="3"/>
  <c r="S377" i="3"/>
  <c r="T377" i="3" s="1"/>
  <c r="L376" i="3"/>
  <c r="G1896" i="2"/>
  <c r="G1897" i="2"/>
  <c r="G1898" i="2"/>
  <c r="G1895" i="2" l="1"/>
  <c r="R804" i="1"/>
  <c r="Q804" i="1"/>
  <c r="O804" i="1"/>
  <c r="R803" i="1"/>
  <c r="Q803" i="1"/>
  <c r="O803" i="1"/>
  <c r="L375" i="3"/>
  <c r="G1894" i="2"/>
  <c r="G1893" i="2"/>
  <c r="Q801" i="1"/>
  <c r="O801" i="1"/>
  <c r="G1892" i="2"/>
  <c r="G1891" i="2"/>
  <c r="G1890" i="2"/>
  <c r="L374" i="3"/>
  <c r="G1889" i="2"/>
  <c r="G1888" i="2"/>
  <c r="G1887" i="2"/>
  <c r="G1883" i="2"/>
  <c r="G1884" i="2"/>
  <c r="G1885" i="2"/>
  <c r="G1886" i="2"/>
  <c r="T372" i="3"/>
  <c r="T373" i="3"/>
  <c r="S371" i="3"/>
  <c r="S372" i="3"/>
  <c r="S373" i="3"/>
  <c r="T374" i="3"/>
  <c r="R796" i="1"/>
  <c r="R797" i="1" s="1"/>
  <c r="R798" i="1" s="1"/>
  <c r="O796" i="1"/>
  <c r="O797" i="1" s="1"/>
  <c r="O798" i="1" s="1"/>
  <c r="L373" i="3"/>
  <c r="G1879" i="2"/>
  <c r="G1880" i="2"/>
  <c r="G1881" i="2"/>
  <c r="G1882" i="2"/>
  <c r="L372" i="3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57" i="2" l="1"/>
  <c r="G1856" i="2"/>
  <c r="G1855" i="2"/>
  <c r="G1854" i="2"/>
  <c r="G1853" i="2"/>
  <c r="G1852" i="2"/>
  <c r="L371" i="3"/>
  <c r="L370" i="3"/>
  <c r="L369" i="3"/>
  <c r="L368" i="3"/>
  <c r="S370" i="3"/>
  <c r="T370" i="3" s="1"/>
  <c r="T371" i="3"/>
  <c r="T369" i="3"/>
  <c r="T368" i="3"/>
  <c r="G1850" i="2"/>
  <c r="G1849" i="2"/>
  <c r="G1844" i="2"/>
  <c r="G1845" i="2"/>
  <c r="G1846" i="2"/>
  <c r="G1847" i="2"/>
  <c r="G1848" i="2"/>
  <c r="G1843" i="2" l="1"/>
  <c r="G1840" i="2"/>
  <c r="G1841" i="2"/>
  <c r="G1842" i="2"/>
  <c r="G1838" i="2"/>
  <c r="G1839" i="2"/>
  <c r="R773" i="1"/>
  <c r="Q773" i="1"/>
  <c r="O773" i="1"/>
  <c r="G1837" i="2"/>
  <c r="G1836" i="2"/>
  <c r="G1835" i="2"/>
  <c r="G1834" i="2"/>
  <c r="G1829" i="2"/>
  <c r="G1830" i="2"/>
  <c r="G1831" i="2"/>
  <c r="G1832" i="2"/>
  <c r="G1833" i="2"/>
  <c r="G1827" i="2" l="1"/>
  <c r="G1826" i="2"/>
  <c r="G1824" i="2" l="1"/>
  <c r="G1823" i="2" l="1"/>
  <c r="G1822" i="2"/>
  <c r="G1821" i="2"/>
  <c r="G1820" i="2"/>
  <c r="G1819" i="2"/>
  <c r="G1818" i="2"/>
  <c r="S363" i="3"/>
  <c r="T363" i="3" s="1"/>
  <c r="L363" i="3"/>
  <c r="G1817" i="2"/>
  <c r="S362" i="3"/>
  <c r="T362" i="3" s="1"/>
  <c r="G1814" i="2" l="1"/>
  <c r="G1815" i="2"/>
  <c r="G1816" i="2"/>
  <c r="L362" i="3"/>
  <c r="G1807" i="2"/>
  <c r="G1808" i="2"/>
  <c r="G1809" i="2"/>
  <c r="G1810" i="2"/>
  <c r="G1811" i="2"/>
  <c r="G1812" i="2"/>
  <c r="G1813" i="2"/>
  <c r="L361" i="3"/>
  <c r="G1805" i="2"/>
  <c r="G1806" i="2"/>
  <c r="G1804" i="2"/>
  <c r="G1803" i="2" l="1"/>
  <c r="R758" i="1"/>
  <c r="Q758" i="1"/>
  <c r="O758" i="1"/>
  <c r="G1798" i="2"/>
  <c r="G1799" i="2"/>
  <c r="G1800" i="2"/>
  <c r="G1801" i="2"/>
  <c r="G1802" i="2"/>
  <c r="L360" i="3"/>
  <c r="L359" i="3"/>
  <c r="T356" i="3" l="1"/>
  <c r="T357" i="3"/>
  <c r="T358" i="3"/>
  <c r="T360" i="3"/>
  <c r="T361" i="3"/>
  <c r="S356" i="3"/>
  <c r="S357" i="3"/>
  <c r="S358" i="3"/>
  <c r="S359" i="3"/>
  <c r="T359" i="3" s="1"/>
  <c r="S360" i="3"/>
  <c r="S361" i="3"/>
  <c r="L358" i="3"/>
  <c r="G1788" i="2"/>
  <c r="G1789" i="2"/>
  <c r="G1790" i="2"/>
  <c r="G1791" i="2"/>
  <c r="G1792" i="2"/>
  <c r="G1793" i="2"/>
  <c r="G1794" i="2"/>
  <c r="G1795" i="2"/>
  <c r="G1796" i="2"/>
  <c r="G1797" i="2"/>
  <c r="G1787" i="2"/>
  <c r="G1785" i="2"/>
  <c r="G1786" i="2"/>
  <c r="L357" i="3"/>
  <c r="G1784" i="2"/>
  <c r="G1783" i="2"/>
  <c r="G1782" i="2"/>
  <c r="T355" i="3"/>
  <c r="S355" i="3"/>
  <c r="L356" i="3"/>
  <c r="L355" i="3"/>
  <c r="G1781" i="2"/>
  <c r="G1780" i="2"/>
  <c r="G1779" i="2"/>
  <c r="G1773" i="2"/>
  <c r="G1774" i="2"/>
  <c r="G1775" i="2"/>
  <c r="G1776" i="2"/>
  <c r="G1777" i="2"/>
  <c r="G1778" i="2"/>
  <c r="R749" i="1"/>
  <c r="R750" i="1" s="1"/>
  <c r="Q749" i="1"/>
  <c r="Q750" i="1" s="1"/>
  <c r="O749" i="1"/>
  <c r="O750" i="1" s="1"/>
  <c r="G1771" i="2" l="1"/>
  <c r="G1772" i="2"/>
  <c r="R747" i="1"/>
  <c r="Q747" i="1"/>
  <c r="O747" i="1"/>
  <c r="G1770" i="2"/>
  <c r="T354" i="3"/>
  <c r="S354" i="3"/>
  <c r="L354" i="3"/>
  <c r="G1769" i="2"/>
  <c r="G1768" i="2"/>
  <c r="G1767" i="2"/>
  <c r="R745" i="1"/>
  <c r="Q745" i="1"/>
  <c r="O745" i="1"/>
  <c r="G1766" i="2"/>
  <c r="G1765" i="2"/>
  <c r="G1764" i="2"/>
  <c r="G1763" i="2"/>
  <c r="S353" i="3"/>
  <c r="T353" i="3" s="1"/>
  <c r="L353" i="3"/>
  <c r="G1762" i="2"/>
  <c r="T352" i="3"/>
  <c r="L352" i="3"/>
  <c r="G1749" i="2" l="1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48" i="2" l="1"/>
  <c r="R741" i="1"/>
  <c r="Q741" i="1"/>
  <c r="O741" i="1"/>
  <c r="G1747" i="2"/>
  <c r="G1746" i="2"/>
  <c r="G1745" i="2"/>
  <c r="S349" i="3"/>
  <c r="T349" i="3" s="1"/>
  <c r="L349" i="3"/>
  <c r="G1744" i="2"/>
  <c r="G1743" i="2"/>
  <c r="G1742" i="2"/>
  <c r="G1739" i="2"/>
  <c r="G1740" i="2"/>
  <c r="G1741" i="2"/>
  <c r="G1738" i="2"/>
  <c r="T348" i="3"/>
  <c r="S348" i="3"/>
  <c r="L348" i="3"/>
  <c r="R738" i="1"/>
  <c r="Q738" i="1"/>
  <c r="O738" i="1"/>
  <c r="G1735" i="2"/>
  <c r="G1736" i="2"/>
  <c r="G1737" i="2"/>
  <c r="G1731" i="2"/>
  <c r="G1732" i="2"/>
  <c r="G1733" i="2"/>
  <c r="G1734" i="2"/>
  <c r="T346" i="3"/>
  <c r="T347" i="3"/>
  <c r="S346" i="3"/>
  <c r="S347" i="3"/>
  <c r="L347" i="3"/>
  <c r="G1729" i="2" l="1"/>
  <c r="G1730" i="2"/>
  <c r="G1728" i="2" l="1"/>
  <c r="G1727" i="2"/>
  <c r="G1726" i="2"/>
  <c r="G1725" i="2"/>
  <c r="T343" i="3"/>
  <c r="T344" i="3"/>
  <c r="T345" i="3"/>
  <c r="L346" i="3"/>
  <c r="S343" i="3"/>
  <c r="S344" i="3"/>
  <c r="S345" i="3"/>
  <c r="G1718" i="2"/>
  <c r="G1719" i="2"/>
  <c r="G1720" i="2"/>
  <c r="G1721" i="2"/>
  <c r="G1722" i="2"/>
  <c r="G1723" i="2"/>
  <c r="G1724" i="2"/>
  <c r="L345" i="3"/>
  <c r="G1714" i="2"/>
  <c r="G1715" i="2"/>
  <c r="G1716" i="2"/>
  <c r="G1717" i="2"/>
  <c r="G1713" i="2" l="1"/>
  <c r="G1712" i="2"/>
  <c r="G1711" i="2"/>
  <c r="G1710" i="2"/>
  <c r="G1709" i="2"/>
  <c r="G1708" i="2"/>
  <c r="G1707" i="2"/>
  <c r="G1704" i="2"/>
  <c r="G1705" i="2"/>
  <c r="G1706" i="2"/>
  <c r="L344" i="3"/>
  <c r="L343" i="3"/>
  <c r="G1702" i="2"/>
  <c r="G1703" i="2"/>
  <c r="G1700" i="2"/>
  <c r="G1701" i="2"/>
  <c r="G1699" i="2"/>
  <c r="R725" i="1"/>
  <c r="Q725" i="1"/>
  <c r="S342" i="3"/>
  <c r="T342" i="3" s="1"/>
  <c r="L342" i="3"/>
  <c r="G1698" i="2"/>
  <c r="G1697" i="2"/>
  <c r="T340" i="3"/>
  <c r="T339" i="3"/>
  <c r="T338" i="3"/>
  <c r="T337" i="3"/>
  <c r="T336" i="3"/>
  <c r="T335" i="3"/>
  <c r="S339" i="3"/>
  <c r="S340" i="3"/>
  <c r="S341" i="3"/>
  <c r="T341" i="3" s="1"/>
  <c r="G1696" i="2"/>
  <c r="G1695" i="2"/>
  <c r="G1689" i="2"/>
  <c r="G1690" i="2"/>
  <c r="G1691" i="2"/>
  <c r="G1692" i="2"/>
  <c r="G1693" i="2"/>
  <c r="G1694" i="2"/>
  <c r="L341" i="3"/>
  <c r="G1686" i="2"/>
  <c r="G1687" i="2"/>
  <c r="G1688" i="2"/>
  <c r="L338" i="3"/>
  <c r="L339" i="3"/>
  <c r="L340" i="3"/>
  <c r="G1685" i="2"/>
  <c r="G1682" i="2"/>
  <c r="G1683" i="2"/>
  <c r="G1684" i="2"/>
  <c r="G1681" i="2"/>
  <c r="G1680" i="2"/>
  <c r="G1679" i="2"/>
  <c r="G1677" i="2"/>
  <c r="R719" i="1"/>
  <c r="Q719" i="1"/>
  <c r="G1674" i="2"/>
  <c r="G1675" i="2"/>
  <c r="G1676" i="2"/>
  <c r="G1668" i="2"/>
  <c r="G1669" i="2"/>
  <c r="G1670" i="2"/>
  <c r="G1671" i="2"/>
  <c r="G1672" i="2"/>
  <c r="G1673" i="2"/>
  <c r="S334" i="3"/>
  <c r="S335" i="3"/>
  <c r="S336" i="3"/>
  <c r="S337" i="3"/>
  <c r="S338" i="3"/>
  <c r="G1667" i="2"/>
  <c r="L337" i="3"/>
  <c r="L336" i="3"/>
  <c r="G1657" i="2"/>
  <c r="G1658" i="2"/>
  <c r="G1659" i="2"/>
  <c r="G1660" i="2"/>
  <c r="G1661" i="2"/>
  <c r="G1662" i="2"/>
  <c r="G1663" i="2"/>
  <c r="G1664" i="2"/>
  <c r="G1665" i="2"/>
  <c r="G1666" i="2"/>
  <c r="G1656" i="2"/>
  <c r="O27" i="1"/>
  <c r="G1651" i="2"/>
  <c r="G1652" i="2"/>
  <c r="G1653" i="2"/>
  <c r="G1654" i="2"/>
  <c r="G1655" i="2"/>
  <c r="L335" i="3"/>
  <c r="G1649" i="2"/>
  <c r="G1650" i="2"/>
  <c r="R708" i="1"/>
  <c r="Q708" i="1"/>
  <c r="T334" i="3"/>
  <c r="L334" i="3"/>
  <c r="G1648" i="2"/>
  <c r="G1647" i="2"/>
  <c r="G1646" i="2"/>
  <c r="T332" i="3"/>
  <c r="S332" i="3"/>
  <c r="S333" i="3"/>
  <c r="T333" i="3" s="1"/>
  <c r="L333" i="3"/>
  <c r="G1645" i="2"/>
  <c r="G1644" i="2"/>
  <c r="G1643" i="2"/>
  <c r="G1642" i="2"/>
  <c r="L331" i="3"/>
  <c r="L332" i="3"/>
  <c r="G1641" i="2"/>
  <c r="G1639" i="2"/>
  <c r="G1640" i="2"/>
  <c r="G1636" i="2"/>
  <c r="G1637" i="2"/>
  <c r="G1638" i="2"/>
  <c r="R704" i="1"/>
  <c r="Q704" i="1"/>
  <c r="T330" i="3"/>
  <c r="T331" i="3"/>
  <c r="S330" i="3"/>
  <c r="S331" i="3"/>
  <c r="G1632" i="2"/>
  <c r="G1633" i="2"/>
  <c r="G1634" i="2"/>
  <c r="G1635" i="2"/>
  <c r="G1630" i="2"/>
  <c r="G1631" i="2"/>
  <c r="G1627" i="2"/>
  <c r="G1628" i="2"/>
  <c r="G1629" i="2"/>
  <c r="L330" i="3"/>
  <c r="T329" i="3"/>
  <c r="T327" i="3"/>
  <c r="S329" i="3"/>
  <c r="S327" i="3"/>
  <c r="S328" i="3"/>
  <c r="T328" i="3" s="1"/>
  <c r="L329" i="3"/>
  <c r="L321" i="3"/>
  <c r="L172" i="3"/>
  <c r="L326" i="3"/>
  <c r="L324" i="3"/>
  <c r="L323" i="3"/>
  <c r="G1624" i="2"/>
  <c r="G1625" i="2"/>
  <c r="G1626" i="2"/>
  <c r="S326" i="3" l="1"/>
  <c r="T326" i="3" s="1"/>
  <c r="S322" i="3"/>
  <c r="S321" i="3"/>
  <c r="S320" i="3"/>
  <c r="S325" i="3"/>
  <c r="S324" i="3"/>
  <c r="T324" i="3" s="1"/>
  <c r="S323" i="3"/>
  <c r="T325" i="3"/>
  <c r="L325" i="3"/>
  <c r="G1622" i="2"/>
  <c r="G1623" i="2"/>
  <c r="R697" i="1"/>
  <c r="Q697" i="1"/>
  <c r="O697" i="1"/>
  <c r="G1620" i="2"/>
  <c r="G1621" i="2"/>
  <c r="G1619" i="2"/>
  <c r="S319" i="3"/>
  <c r="G1612" i="2"/>
  <c r="G1613" i="2"/>
  <c r="G1614" i="2"/>
  <c r="G1615" i="2"/>
  <c r="G1616" i="2"/>
  <c r="G1617" i="2"/>
  <c r="G1618" i="2"/>
  <c r="G1611" i="2"/>
  <c r="G1610" i="2"/>
  <c r="G1609" i="2"/>
  <c r="G1608" i="2"/>
  <c r="G1607" i="2"/>
  <c r="T323" i="3"/>
  <c r="L322" i="3"/>
  <c r="Q323" i="3"/>
  <c r="O323" i="3"/>
  <c r="G1606" i="2"/>
  <c r="G1605" i="2"/>
  <c r="G1603" i="2"/>
  <c r="G1604" i="2"/>
  <c r="G1600" i="2"/>
  <c r="G1601" i="2"/>
  <c r="G1602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L320" i="3"/>
  <c r="R688" i="1"/>
  <c r="Q688" i="1"/>
  <c r="O688" i="1"/>
  <c r="L319" i="3" l="1"/>
  <c r="G1586" i="2"/>
  <c r="S318" i="3"/>
  <c r="L318" i="3"/>
  <c r="S317" i="3"/>
  <c r="S316" i="3"/>
  <c r="G1579" i="2"/>
  <c r="G1580" i="2"/>
  <c r="G1581" i="2"/>
  <c r="G1582" i="2"/>
  <c r="G1583" i="2"/>
  <c r="G1584" i="2"/>
  <c r="G1585" i="2"/>
  <c r="R677" i="1"/>
  <c r="Q677" i="1"/>
  <c r="O677" i="1"/>
  <c r="L317" i="3"/>
  <c r="G1574" i="2"/>
  <c r="G1575" i="2"/>
  <c r="G1576" i="2"/>
  <c r="G1577" i="2"/>
  <c r="G1578" i="2"/>
  <c r="R675" i="1" l="1"/>
  <c r="Q675" i="1"/>
  <c r="O675" i="1"/>
  <c r="L316" i="3"/>
  <c r="S315" i="3"/>
  <c r="L315" i="3"/>
  <c r="S314" i="3"/>
  <c r="G1573" i="2"/>
  <c r="G1572" i="2"/>
  <c r="L314" i="3"/>
  <c r="O635" i="1"/>
  <c r="R671" i="1"/>
  <c r="Q671" i="1"/>
  <c r="O671" i="1"/>
  <c r="G1571" i="2"/>
  <c r="G1570" i="2"/>
  <c r="G1565" i="2"/>
  <c r="G1566" i="2"/>
  <c r="G1567" i="2"/>
  <c r="G1568" i="2"/>
  <c r="G1569" i="2"/>
  <c r="S313" i="3"/>
  <c r="L313" i="3"/>
  <c r="G1564" i="2"/>
  <c r="G1563" i="2"/>
  <c r="G1562" i="2" l="1"/>
  <c r="G1561" i="2"/>
  <c r="G1560" i="2"/>
  <c r="G1559" i="2"/>
  <c r="L312" i="3"/>
  <c r="S311" i="3"/>
  <c r="S312" i="3"/>
  <c r="G1554" i="2"/>
  <c r="G1555" i="2"/>
  <c r="G1556" i="2"/>
  <c r="G1557" i="2"/>
  <c r="G1558" i="2"/>
  <c r="G1553" i="2"/>
  <c r="R665" i="1" l="1"/>
  <c r="Q665" i="1"/>
  <c r="O665" i="1"/>
  <c r="G1552" i="2"/>
  <c r="G1551" i="2"/>
  <c r="G1550" i="2"/>
  <c r="G1549" i="2"/>
  <c r="G1548" i="2"/>
  <c r="G1547" i="2"/>
  <c r="G1546" i="2"/>
  <c r="G1545" i="2"/>
  <c r="G1544" i="2"/>
  <c r="G1537" i="2"/>
  <c r="G1538" i="2"/>
  <c r="G1539" i="2"/>
  <c r="G1540" i="2"/>
  <c r="G1541" i="2"/>
  <c r="G1542" i="2"/>
  <c r="G1543" i="2"/>
  <c r="G1534" i="2"/>
  <c r="G1535" i="2"/>
  <c r="G1536" i="2"/>
  <c r="T292" i="3" l="1"/>
  <c r="Q660" i="2"/>
  <c r="G1514" i="2"/>
  <c r="G1515" i="2"/>
  <c r="G1516" i="2"/>
  <c r="G1517" i="2"/>
  <c r="G1518" i="2"/>
  <c r="G1512" i="2"/>
  <c r="G1513" i="2"/>
  <c r="G1519" i="2"/>
  <c r="G1533" i="2"/>
  <c r="G1531" i="2"/>
  <c r="G1532" i="2"/>
  <c r="G1529" i="2"/>
  <c r="G1530" i="2"/>
  <c r="G1528" i="2"/>
  <c r="G1527" i="2"/>
  <c r="R659" i="1"/>
  <c r="R660" i="1" s="1"/>
  <c r="Q659" i="1"/>
  <c r="Q660" i="1" s="1"/>
  <c r="O659" i="1"/>
  <c r="O660" i="1" s="1"/>
  <c r="G1526" i="2"/>
  <c r="R657" i="1"/>
  <c r="Q657" i="1"/>
  <c r="O657" i="1"/>
  <c r="G1524" i="2"/>
  <c r="G1525" i="2"/>
  <c r="G1523" i="2"/>
  <c r="G1522" i="2"/>
  <c r="G1521" i="2"/>
  <c r="G1520" i="2"/>
  <c r="G1507" i="2"/>
  <c r="G1506" i="2"/>
  <c r="G1504" i="2"/>
  <c r="G1505" i="2"/>
  <c r="G1503" i="2"/>
  <c r="G1502" i="2"/>
  <c r="G1501" i="2"/>
  <c r="G1500" i="2"/>
  <c r="G1498" i="2"/>
  <c r="G1499" i="2"/>
  <c r="L311" i="3"/>
  <c r="G1493" i="2"/>
  <c r="G1494" i="2"/>
  <c r="G1495" i="2"/>
  <c r="G1496" i="2"/>
  <c r="G1497" i="2"/>
  <c r="G1491" i="2"/>
  <c r="G1492" i="2"/>
  <c r="S310" i="3" l="1"/>
  <c r="L310" i="3"/>
  <c r="S309" i="3" l="1"/>
  <c r="L309" i="3"/>
  <c r="S308" i="3"/>
  <c r="G1490" i="2"/>
  <c r="G1489" i="2"/>
  <c r="G1488" i="2"/>
  <c r="G1482" i="2"/>
  <c r="G1483" i="2"/>
  <c r="G1484" i="2"/>
  <c r="G1485" i="2"/>
  <c r="G1486" i="2"/>
  <c r="G1487" i="2"/>
  <c r="R639" i="1"/>
  <c r="Q639" i="1"/>
  <c r="O639" i="1"/>
  <c r="G1480" i="2"/>
  <c r="G1481" i="2"/>
  <c r="L308" i="3"/>
  <c r="S307" i="3"/>
  <c r="L307" i="3"/>
  <c r="G1479" i="2" l="1"/>
  <c r="G1452" i="2"/>
  <c r="G1449" i="2"/>
  <c r="G1478" i="2"/>
  <c r="S306" i="3"/>
  <c r="L306" i="3"/>
  <c r="G1477" i="2"/>
  <c r="G1476" i="2"/>
  <c r="G1475" i="2"/>
  <c r="G1474" i="2"/>
  <c r="S305" i="3"/>
  <c r="G1473" i="2"/>
  <c r="G1472" i="2"/>
  <c r="G1471" i="2"/>
  <c r="L305" i="3"/>
  <c r="G1465" i="2"/>
  <c r="G1466" i="2"/>
  <c r="G1467" i="2"/>
  <c r="G1468" i="2"/>
  <c r="G1470" i="2"/>
  <c r="S304" i="3"/>
  <c r="L304" i="3"/>
  <c r="S303" i="3" l="1"/>
  <c r="L303" i="3"/>
  <c r="S302" i="3"/>
  <c r="L302" i="3"/>
  <c r="S300" i="3"/>
  <c r="S301" i="3"/>
  <c r="G1464" i="2"/>
  <c r="L301" i="3"/>
  <c r="G1463" i="2"/>
  <c r="G1462" i="2" l="1"/>
  <c r="H9" i="4"/>
  <c r="S299" i="3"/>
  <c r="S298" i="3"/>
  <c r="L300" i="3"/>
  <c r="G1461" i="2"/>
  <c r="G1460" i="2"/>
  <c r="G1459" i="2"/>
  <c r="G1458" i="2"/>
  <c r="L299" i="3"/>
  <c r="G1453" i="2" l="1"/>
  <c r="G1454" i="2"/>
  <c r="G1455" i="2"/>
  <c r="G1456" i="2"/>
  <c r="G1457" i="2"/>
  <c r="G1451" i="2"/>
  <c r="L298" i="3" l="1"/>
  <c r="L297" i="3"/>
  <c r="S296" i="3"/>
  <c r="S297" i="3"/>
  <c r="G1450" i="2" l="1"/>
  <c r="G1444" i="2"/>
  <c r="G1445" i="2"/>
  <c r="G1446" i="2"/>
  <c r="G1447" i="2"/>
  <c r="G1448" i="2"/>
  <c r="L296" i="3" l="1"/>
  <c r="G1442" i="2"/>
  <c r="G1443" i="2"/>
  <c r="S295" i="3"/>
  <c r="L295" i="3"/>
  <c r="G1437" i="2"/>
  <c r="G1438" i="2"/>
  <c r="G1439" i="2"/>
  <c r="G1440" i="2"/>
  <c r="G1441" i="2"/>
  <c r="S294" i="3"/>
  <c r="S293" i="3"/>
  <c r="G1434" i="2"/>
  <c r="G1436" i="2"/>
  <c r="Q292" i="3"/>
  <c r="Q293" i="3"/>
  <c r="L294" i="3"/>
  <c r="S292" i="3"/>
  <c r="G1435" i="2"/>
  <c r="G1433" i="2"/>
  <c r="G1431" i="2"/>
  <c r="G1432" i="2"/>
  <c r="R613" i="1"/>
  <c r="Q613" i="1"/>
  <c r="L293" i="3"/>
  <c r="G1428" i="2"/>
  <c r="G1429" i="2"/>
  <c r="G1430" i="2"/>
  <c r="L292" i="3"/>
  <c r="S290" i="3" l="1"/>
  <c r="T290" i="3" s="1"/>
  <c r="S291" i="3"/>
  <c r="T291" i="3" s="1"/>
  <c r="G1427" i="2"/>
  <c r="Q291" i="3"/>
  <c r="T287" i="3"/>
  <c r="T288" i="3"/>
  <c r="S288" i="3"/>
  <c r="S289" i="3"/>
  <c r="T289" i="3" s="1"/>
  <c r="G1421" i="2"/>
  <c r="G1422" i="2"/>
  <c r="G1424" i="2"/>
  <c r="G1425" i="2"/>
  <c r="L289" i="3"/>
  <c r="L290" i="3"/>
  <c r="L291" i="3"/>
  <c r="G1418" i="2" l="1"/>
  <c r="G1419" i="2"/>
  <c r="T286" i="3"/>
  <c r="G1417" i="2"/>
  <c r="G1415" i="2"/>
  <c r="G1416" i="2"/>
  <c r="L288" i="3"/>
  <c r="G1414" i="2" l="1"/>
  <c r="O583" i="1" l="1"/>
  <c r="G1413" i="2"/>
  <c r="L8" i="4"/>
  <c r="H8" i="4"/>
  <c r="H7" i="4"/>
  <c r="L287" i="3"/>
  <c r="L245" i="3"/>
  <c r="G1412" i="2"/>
  <c r="G1390" i="2"/>
  <c r="S287" i="3"/>
  <c r="G1409" i="2" l="1"/>
  <c r="G1400" i="2" l="1"/>
  <c r="G1406" i="2"/>
  <c r="S286" i="3" l="1"/>
  <c r="S285" i="3"/>
  <c r="T285" i="3" s="1"/>
  <c r="S284" i="3"/>
  <c r="T284" i="3" s="1"/>
  <c r="S283" i="3" l="1"/>
  <c r="T283" i="3" s="1"/>
  <c r="T282" i="3"/>
  <c r="S282" i="3"/>
  <c r="L282" i="3"/>
  <c r="G1401" i="2" l="1"/>
  <c r="G1397" i="2" l="1"/>
  <c r="G1398" i="2"/>
  <c r="S281" i="3" l="1"/>
  <c r="T281" i="3" s="1"/>
  <c r="G1394" i="2"/>
  <c r="G1395" i="2"/>
  <c r="G1396" i="2"/>
  <c r="G1301" i="2"/>
  <c r="L281" i="3"/>
  <c r="G1387" i="2"/>
  <c r="G1389" i="2"/>
  <c r="R583" i="1"/>
  <c r="Q583" i="1"/>
  <c r="G1393" i="2"/>
  <c r="R581" i="1"/>
  <c r="Q581" i="1"/>
  <c r="O581" i="1"/>
  <c r="G1392" i="2"/>
  <c r="G1391" i="2"/>
  <c r="T280" i="3"/>
  <c r="S280" i="3"/>
  <c r="L280" i="3"/>
  <c r="T279" i="3"/>
  <c r="S279" i="3"/>
  <c r="L279" i="3"/>
  <c r="J26" i="38"/>
  <c r="J17" i="38"/>
  <c r="J9" i="38"/>
  <c r="G1386" i="2"/>
  <c r="G1388" i="2"/>
  <c r="G1385" i="2"/>
  <c r="T278" i="3"/>
  <c r="S278" i="3"/>
  <c r="L278" i="3"/>
  <c r="G1382" i="2"/>
  <c r="G1383" i="2"/>
  <c r="G1384" i="2"/>
  <c r="G1377" i="2"/>
  <c r="G1381" i="2"/>
  <c r="R576" i="1"/>
  <c r="Q576" i="1"/>
  <c r="O576" i="1"/>
  <c r="S277" i="3"/>
  <c r="T277" i="3" s="1"/>
  <c r="L277" i="3"/>
  <c r="G1380" i="2"/>
  <c r="G1379" i="2"/>
  <c r="G1378" i="2"/>
  <c r="S276" i="3"/>
  <c r="T276" i="3" s="1"/>
  <c r="L276" i="3"/>
  <c r="G1376" i="2"/>
  <c r="G1374" i="2"/>
  <c r="G1375" i="2"/>
  <c r="G1373" i="2"/>
  <c r="G1372" i="2"/>
  <c r="T274" i="3"/>
  <c r="T275" i="3"/>
  <c r="S274" i="3"/>
  <c r="S275" i="3"/>
  <c r="L275" i="3"/>
  <c r="G1371" i="2"/>
  <c r="G1369" i="2"/>
  <c r="G1370" i="2"/>
  <c r="G1367" i="2"/>
  <c r="G1364" i="2"/>
  <c r="G1352" i="2"/>
  <c r="G1368" i="2"/>
  <c r="G1366" i="2"/>
  <c r="G1363" i="2"/>
  <c r="G1365" i="2"/>
  <c r="G1359" i="2"/>
  <c r="G1360" i="2"/>
  <c r="G1361" i="2"/>
  <c r="G1362" i="2"/>
  <c r="G1356" i="2"/>
  <c r="G1357" i="2"/>
  <c r="G1358" i="2"/>
  <c r="O567" i="1"/>
  <c r="G1351" i="2"/>
  <c r="G1353" i="2"/>
  <c r="G1354" i="2"/>
  <c r="G1355" i="2"/>
  <c r="L274" i="3"/>
  <c r="G1350" i="2"/>
  <c r="G1349" i="2"/>
  <c r="G1345" i="2"/>
  <c r="G1346" i="2"/>
  <c r="G1347" i="2"/>
  <c r="G1348" i="2"/>
  <c r="G1344" i="2"/>
  <c r="T273" i="3"/>
  <c r="S272" i="3"/>
  <c r="T272" i="3" s="1"/>
  <c r="S273" i="3"/>
  <c r="L273" i="3"/>
  <c r="G1314" i="2"/>
  <c r="G1315" i="2"/>
  <c r="G1316" i="2"/>
  <c r="G1317" i="2"/>
  <c r="G1318" i="2"/>
  <c r="G1319" i="2"/>
  <c r="G1310" i="2"/>
  <c r="G1313" i="2"/>
  <c r="G1328" i="2"/>
  <c r="G1329" i="2"/>
  <c r="G1330" i="2"/>
  <c r="G1331" i="2"/>
  <c r="G1332" i="2"/>
  <c r="G1333" i="2"/>
  <c r="G1334" i="2"/>
  <c r="G1335" i="2"/>
  <c r="G1336" i="2"/>
  <c r="G1338" i="2"/>
  <c r="G1339" i="2"/>
  <c r="G1340" i="2"/>
  <c r="G1341" i="2"/>
  <c r="G1342" i="2"/>
  <c r="G1343" i="2"/>
  <c r="L272" i="3"/>
  <c r="S271" i="3"/>
  <c r="T271" i="3" s="1"/>
  <c r="L271" i="3"/>
  <c r="T270" i="3"/>
  <c r="L270" i="3"/>
  <c r="S270" i="3"/>
  <c r="S269" i="3" l="1"/>
  <c r="T269" i="3" s="1"/>
  <c r="L269" i="3"/>
  <c r="T267" i="3"/>
  <c r="T268" i="3"/>
  <c r="S261" i="3"/>
  <c r="S262" i="3"/>
  <c r="S263" i="3"/>
  <c r="S264" i="3"/>
  <c r="T264" i="3" s="1"/>
  <c r="S265" i="3"/>
  <c r="T265" i="3" s="1"/>
  <c r="S266" i="3"/>
  <c r="T266" i="3" s="1"/>
  <c r="S267" i="3"/>
  <c r="S268" i="3"/>
  <c r="L268" i="3"/>
  <c r="Q554" i="1"/>
  <c r="L267" i="3"/>
  <c r="G1326" i="2"/>
  <c r="G1327" i="2"/>
  <c r="O555" i="1"/>
  <c r="L266" i="3"/>
  <c r="R550" i="1"/>
  <c r="Q550" i="1"/>
  <c r="O550" i="1"/>
  <c r="L265" i="3"/>
  <c r="G1323" i="2"/>
  <c r="G1324" i="2"/>
  <c r="G1325" i="2"/>
  <c r="G1311" i="2"/>
  <c r="G1312" i="2"/>
  <c r="G1320" i="2"/>
  <c r="G1321" i="2"/>
  <c r="G1322" i="2"/>
  <c r="T263" i="3"/>
  <c r="L264" i="3"/>
  <c r="L263" i="3"/>
  <c r="S259" i="3" l="1"/>
  <c r="T259" i="3" s="1"/>
  <c r="S260" i="3"/>
  <c r="T260" i="3" s="1"/>
  <c r="T258" i="3"/>
  <c r="T261" i="3"/>
  <c r="T262" i="3"/>
  <c r="L262" i="3"/>
  <c r="G1306" i="2"/>
  <c r="G1307" i="2"/>
  <c r="G1308" i="2"/>
  <c r="G1309" i="2"/>
  <c r="L261" i="3"/>
  <c r="Q257" i="3" l="1"/>
  <c r="T257" i="3" s="1"/>
  <c r="Q258" i="3"/>
  <c r="L260" i="3"/>
  <c r="R534" i="1"/>
  <c r="Q534" i="1"/>
  <c r="G1305" i="2"/>
  <c r="AC259" i="3"/>
  <c r="AB259" i="3"/>
  <c r="AA259" i="3"/>
  <c r="U259" i="3"/>
  <c r="O259" i="3"/>
  <c r="L259" i="3"/>
  <c r="G1304" i="2"/>
  <c r="S258" i="3"/>
  <c r="G1303" i="2"/>
  <c r="G1302" i="2"/>
  <c r="R533" i="1"/>
  <c r="Q533" i="1"/>
  <c r="L258" i="3"/>
  <c r="R531" i="1"/>
  <c r="Q531" i="1"/>
  <c r="G1300" i="2"/>
  <c r="G1299" i="2"/>
  <c r="L257" i="3"/>
  <c r="S257" i="3"/>
  <c r="G1298" i="2"/>
  <c r="S256" i="3"/>
  <c r="T256" i="3" s="1"/>
  <c r="S255" i="3"/>
  <c r="S254" i="3"/>
  <c r="L253" i="3"/>
  <c r="L254" i="3"/>
  <c r="L255" i="3"/>
  <c r="L256" i="3"/>
  <c r="G1295" i="2"/>
  <c r="G1296" i="2"/>
  <c r="G1297" i="2"/>
  <c r="G1293" i="2"/>
  <c r="G1294" i="2"/>
  <c r="G1292" i="2"/>
  <c r="R527" i="1"/>
  <c r="Q527" i="1"/>
  <c r="S253" i="3" l="1"/>
  <c r="T253" i="3" s="1"/>
  <c r="T254" i="3"/>
  <c r="S252" i="3"/>
  <c r="T252" i="3" s="1"/>
  <c r="T251" i="3"/>
  <c r="T255" i="3"/>
  <c r="G1289" i="2"/>
  <c r="G1290" i="2"/>
  <c r="G1291" i="2"/>
  <c r="G1288" i="2"/>
  <c r="R524" i="1"/>
  <c r="Q524" i="1"/>
  <c r="G1286" i="2"/>
  <c r="G1285" i="2"/>
  <c r="G1283" i="2"/>
  <c r="G1282" i="2"/>
  <c r="G1280" i="2"/>
  <c r="G1279" i="2"/>
  <c r="G1277" i="2"/>
  <c r="G1276" i="2"/>
  <c r="G1274" i="2"/>
  <c r="G1269" i="2"/>
  <c r="G1270" i="2"/>
  <c r="G1271" i="2"/>
  <c r="G1273" i="2"/>
  <c r="L252" i="3"/>
  <c r="T250" i="3"/>
  <c r="T249" i="3"/>
  <c r="S251" i="3"/>
  <c r="L251" i="3"/>
  <c r="G1265" i="2"/>
  <c r="G1266" i="2"/>
  <c r="G1267" i="2"/>
  <c r="G1268" i="2"/>
  <c r="G1264" i="2" l="1"/>
  <c r="S250" i="3"/>
  <c r="L250" i="3"/>
  <c r="G1262" i="2"/>
  <c r="G1259" i="2"/>
  <c r="G1260" i="2"/>
  <c r="G1263" i="2"/>
  <c r="G1258" i="2"/>
  <c r="G1257" i="2"/>
  <c r="G1256" i="2"/>
  <c r="G1255" i="2"/>
  <c r="G1254" i="2"/>
  <c r="G1253" i="2"/>
  <c r="G1250" i="2"/>
  <c r="G1251" i="2"/>
  <c r="G1252" i="2"/>
  <c r="G1245" i="2"/>
  <c r="G1246" i="2"/>
  <c r="G1247" i="2"/>
  <c r="G1248" i="2"/>
  <c r="G1249" i="2"/>
  <c r="G1244" i="2"/>
  <c r="S249" i="3"/>
  <c r="L249" i="3"/>
  <c r="G1242" i="2"/>
  <c r="G1243" i="2"/>
  <c r="G1241" i="2"/>
  <c r="G1239" i="2"/>
  <c r="G1240" i="2"/>
  <c r="G1238" i="2"/>
  <c r="G1234" i="2"/>
  <c r="G1224" i="2" l="1"/>
  <c r="G1225" i="2"/>
  <c r="G1226" i="2"/>
  <c r="G1227" i="2"/>
  <c r="G1228" i="2"/>
  <c r="G1229" i="2"/>
  <c r="G1230" i="2"/>
  <c r="G1231" i="2"/>
  <c r="G1232" i="2"/>
  <c r="G1233" i="2"/>
  <c r="G1235" i="2"/>
  <c r="G1236" i="2"/>
  <c r="G1237" i="2"/>
  <c r="G1223" i="2"/>
  <c r="R496" i="1"/>
  <c r="Q496" i="1"/>
  <c r="O496" i="1"/>
  <c r="G1222" i="2"/>
  <c r="G1218" i="2"/>
  <c r="G1219" i="2"/>
  <c r="G1220" i="2"/>
  <c r="G1221" i="2"/>
  <c r="G1217" i="2"/>
  <c r="G1216" i="2"/>
  <c r="G1215" i="2" l="1"/>
  <c r="G1214" i="2"/>
  <c r="G1210" i="2"/>
  <c r="G1211" i="2"/>
  <c r="G1212" i="2"/>
  <c r="G1213" i="2"/>
  <c r="G1209" i="2"/>
  <c r="U493" i="1"/>
  <c r="G1208" i="2"/>
  <c r="G1204" i="2"/>
  <c r="G1205" i="2"/>
  <c r="G1206" i="2"/>
  <c r="G1207" i="2"/>
  <c r="G1200" i="2"/>
  <c r="G1203" i="2"/>
  <c r="G1202" i="2" l="1"/>
  <c r="S248" i="3"/>
  <c r="T248" i="3" s="1"/>
  <c r="L248" i="3"/>
  <c r="G1198" i="2"/>
  <c r="G1199" i="2"/>
  <c r="G1189" i="2"/>
  <c r="G1190" i="2"/>
  <c r="G1191" i="2"/>
  <c r="G1192" i="2"/>
  <c r="G1193" i="2"/>
  <c r="G1194" i="2"/>
  <c r="G1195" i="2"/>
  <c r="G1196" i="2"/>
  <c r="G1197" i="2"/>
  <c r="G1188" i="2"/>
  <c r="R485" i="1"/>
  <c r="G1187" i="2"/>
  <c r="G1186" i="2"/>
  <c r="S247" i="3"/>
  <c r="T247" i="3" s="1"/>
  <c r="L247" i="3"/>
  <c r="G1185" i="2"/>
  <c r="G1184" i="2"/>
  <c r="G1181" i="2"/>
  <c r="G1182" i="2"/>
  <c r="G1183" i="2"/>
  <c r="G1178" i="2"/>
  <c r="G1179" i="2"/>
  <c r="G1180" i="2"/>
  <c r="G1177" i="2"/>
  <c r="G1174" i="2"/>
  <c r="G1175" i="2"/>
  <c r="G1176" i="2"/>
  <c r="G1173" i="2"/>
  <c r="G1172" i="2"/>
  <c r="S246" i="3"/>
  <c r="T246" i="3" s="1"/>
  <c r="L246" i="3"/>
  <c r="G1171" i="2"/>
  <c r="G1170" i="2"/>
  <c r="T245" i="3"/>
  <c r="S245" i="3"/>
  <c r="G1166" i="2"/>
  <c r="G1167" i="2"/>
  <c r="G1168" i="2"/>
  <c r="G1169" i="2"/>
  <c r="G1164" i="2"/>
  <c r="G1165" i="2"/>
  <c r="G1155" i="2"/>
  <c r="G1156" i="2"/>
  <c r="G1157" i="2"/>
  <c r="G1158" i="2"/>
  <c r="G1159" i="2"/>
  <c r="G1160" i="2"/>
  <c r="G1161" i="2"/>
  <c r="G1162" i="2"/>
  <c r="G1163" i="2"/>
  <c r="Q245" i="3"/>
  <c r="R476" i="1"/>
  <c r="Q476" i="1"/>
  <c r="G1146" i="2"/>
  <c r="S244" i="3"/>
  <c r="G1153" i="2"/>
  <c r="G1154" i="2"/>
  <c r="G1150" i="2"/>
  <c r="G1151" i="2"/>
  <c r="G1152" i="2"/>
  <c r="L244" i="3"/>
  <c r="G1139" i="2" l="1"/>
  <c r="G1140" i="2"/>
  <c r="G1141" i="2"/>
  <c r="G1142" i="2"/>
  <c r="G1143" i="2"/>
  <c r="G1144" i="2"/>
  <c r="G1145" i="2"/>
  <c r="G1147" i="2"/>
  <c r="G1148" i="2"/>
  <c r="G1149" i="2"/>
  <c r="S243" i="3"/>
  <c r="T243" i="3" s="1"/>
  <c r="L243" i="3"/>
  <c r="G1138" i="2"/>
  <c r="G1137" i="2"/>
  <c r="G1136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L242" i="3"/>
  <c r="R467" i="1"/>
  <c r="Q467" i="1"/>
  <c r="T237" i="3"/>
  <c r="T238" i="3"/>
  <c r="T239" i="3"/>
  <c r="T240" i="3"/>
  <c r="T242" i="3"/>
  <c r="T244" i="3"/>
  <c r="S239" i="3"/>
  <c r="S240" i="3"/>
  <c r="S241" i="3"/>
  <c r="T241" i="3" s="1"/>
  <c r="S242" i="3"/>
  <c r="L239" i="3"/>
  <c r="L240" i="3"/>
  <c r="L241" i="3"/>
  <c r="S238" i="3"/>
  <c r="R457" i="1" l="1"/>
  <c r="Q457" i="1"/>
  <c r="O457" i="1"/>
  <c r="S237" i="3"/>
  <c r="L237" i="3"/>
  <c r="T236" i="3"/>
  <c r="S235" i="3"/>
  <c r="S236" i="3"/>
  <c r="L236" i="3"/>
  <c r="T235" i="3"/>
  <c r="G1093" i="2"/>
  <c r="R455" i="1"/>
  <c r="Q455" i="1"/>
  <c r="G1090" i="2"/>
  <c r="G1092" i="2"/>
  <c r="G1088" i="2"/>
  <c r="G1089" i="2"/>
  <c r="L235" i="3"/>
  <c r="G1082" i="2"/>
  <c r="G1083" i="2"/>
  <c r="G1084" i="2"/>
  <c r="G1085" i="2"/>
  <c r="G1086" i="2"/>
  <c r="G1087" i="2"/>
  <c r="R452" i="1"/>
  <c r="Q452" i="1"/>
  <c r="O452" i="1"/>
  <c r="G1081" i="2"/>
  <c r="S234" i="3"/>
  <c r="T234" i="3" s="1"/>
  <c r="L234" i="3"/>
  <c r="G1080" i="2"/>
  <c r="G1079" i="2"/>
  <c r="R450" i="1"/>
  <c r="Q450" i="1"/>
  <c r="O450" i="1"/>
  <c r="V156" i="3"/>
  <c r="V143" i="3"/>
  <c r="V144" i="3"/>
  <c r="V145" i="3"/>
  <c r="V146" i="3"/>
  <c r="V147" i="3"/>
  <c r="V148" i="3"/>
  <c r="V149" i="3"/>
  <c r="V150" i="3"/>
  <c r="V151" i="3"/>
  <c r="V152" i="3"/>
  <c r="T224" i="3"/>
  <c r="T225" i="3"/>
  <c r="T226" i="3"/>
  <c r="T227" i="3"/>
  <c r="T228" i="3"/>
  <c r="S218" i="3"/>
  <c r="T218" i="3" s="1"/>
  <c r="S219" i="3"/>
  <c r="T219" i="3" s="1"/>
  <c r="S220" i="3"/>
  <c r="T220" i="3" s="1"/>
  <c r="S221" i="3"/>
  <c r="S222" i="3"/>
  <c r="T217" i="3"/>
  <c r="T221" i="3"/>
  <c r="T222" i="3"/>
  <c r="T223" i="3"/>
  <c r="T229" i="3"/>
  <c r="T230" i="3"/>
  <c r="T231" i="3"/>
  <c r="T232" i="3"/>
  <c r="T233" i="3"/>
  <c r="T216" i="3"/>
  <c r="S229" i="3"/>
  <c r="S230" i="3"/>
  <c r="S231" i="3"/>
  <c r="S232" i="3"/>
  <c r="S233" i="3"/>
  <c r="S228" i="3"/>
  <c r="G1075" i="2"/>
  <c r="G1076" i="2"/>
  <c r="G1077" i="2"/>
  <c r="G1078" i="2"/>
  <c r="L233" i="3"/>
  <c r="G1074" i="2"/>
  <c r="Q231" i="3"/>
  <c r="L232" i="3"/>
  <c r="O448" i="1" l="1"/>
  <c r="G1071" i="2"/>
  <c r="G1072" i="2"/>
  <c r="G1073" i="2"/>
  <c r="G1070" i="2"/>
  <c r="L231" i="3"/>
  <c r="R446" i="1"/>
  <c r="Q446" i="1"/>
  <c r="O446" i="1"/>
  <c r="G1068" i="2"/>
  <c r="G1069" i="2"/>
  <c r="G1067" i="2"/>
  <c r="G1066" i="2"/>
  <c r="G1065" i="2"/>
  <c r="G1064" i="2"/>
  <c r="G1058" i="2"/>
  <c r="G1059" i="2"/>
  <c r="G1060" i="2"/>
  <c r="G1061" i="2"/>
  <c r="G1062" i="2"/>
  <c r="G1063" i="2"/>
  <c r="G1056" i="2"/>
  <c r="G1057" i="2"/>
  <c r="L229" i="3"/>
  <c r="S227" i="3"/>
  <c r="G1054" i="2"/>
  <c r="G1055" i="2"/>
  <c r="G1053" i="2"/>
  <c r="G1052" i="2"/>
  <c r="L228" i="3"/>
  <c r="G1050" i="2"/>
  <c r="G1051" i="2"/>
  <c r="G1049" i="2"/>
  <c r="G1048" i="2"/>
  <c r="G1047" i="2"/>
  <c r="O441" i="1"/>
  <c r="L227" i="3"/>
  <c r="G1042" i="2"/>
  <c r="G1043" i="2"/>
  <c r="G1044" i="2"/>
  <c r="G1045" i="2"/>
  <c r="G1046" i="2"/>
  <c r="G1038" i="2"/>
  <c r="G1039" i="2"/>
  <c r="G1040" i="2"/>
  <c r="G1041" i="2"/>
  <c r="G1036" i="2"/>
  <c r="G1037" i="2"/>
  <c r="T438" i="1"/>
  <c r="S438" i="1"/>
  <c r="G1035" i="2"/>
  <c r="T437" i="1"/>
  <c r="S437" i="1"/>
  <c r="S223" i="3"/>
  <c r="S224" i="3"/>
  <c r="S225" i="3"/>
  <c r="S226" i="3"/>
  <c r="L226" i="3"/>
  <c r="T436" i="1"/>
  <c r="S436" i="1"/>
  <c r="G1030" i="2"/>
  <c r="G1031" i="2"/>
  <c r="G1032" i="2"/>
  <c r="G1033" i="2"/>
  <c r="G1034" i="2"/>
  <c r="G1027" i="2"/>
  <c r="G1028" i="2"/>
  <c r="G1029" i="2"/>
  <c r="S433" i="1"/>
  <c r="T433" i="1"/>
  <c r="S435" i="1"/>
  <c r="T435" i="1"/>
  <c r="G1025" i="2"/>
  <c r="G1026" i="2"/>
  <c r="G1021" i="2"/>
  <c r="G1022" i="2"/>
  <c r="G1023" i="2"/>
  <c r="G1024" i="2"/>
  <c r="L225" i="3"/>
  <c r="G1017" i="2"/>
  <c r="G1018" i="2"/>
  <c r="G1019" i="2"/>
  <c r="G1020" i="2"/>
  <c r="R434" i="1"/>
  <c r="Q434" i="1"/>
  <c r="O434" i="1"/>
  <c r="S434" i="1" s="1"/>
  <c r="L224" i="3"/>
  <c r="T431" i="1"/>
  <c r="T432" i="1"/>
  <c r="S431" i="1"/>
  <c r="S432" i="1"/>
  <c r="L223" i="3"/>
  <c r="G1015" i="2"/>
  <c r="G1016" i="2"/>
  <c r="G1006" i="2"/>
  <c r="G1007" i="2"/>
  <c r="G1008" i="2"/>
  <c r="G1009" i="2"/>
  <c r="G1010" i="2"/>
  <c r="G1011" i="2"/>
  <c r="G1012" i="2"/>
  <c r="G1013" i="2"/>
  <c r="G1014" i="2"/>
  <c r="G1003" i="2"/>
  <c r="G1004" i="2"/>
  <c r="G1005" i="2"/>
  <c r="L222" i="3"/>
  <c r="R430" i="1"/>
  <c r="Q430" i="1"/>
  <c r="O430" i="1"/>
  <c r="G999" i="2"/>
  <c r="G1000" i="2"/>
  <c r="G1001" i="2"/>
  <c r="G1002" i="2"/>
  <c r="L221" i="3"/>
  <c r="T429" i="1"/>
  <c r="S429" i="1"/>
  <c r="T428" i="1"/>
  <c r="S428" i="1"/>
  <c r="G997" i="2"/>
  <c r="G998" i="2"/>
  <c r="L220" i="3"/>
  <c r="G994" i="2"/>
  <c r="G995" i="2"/>
  <c r="G996" i="2"/>
  <c r="T427" i="1"/>
  <c r="S427" i="1"/>
  <c r="G993" i="2"/>
  <c r="L219" i="3"/>
  <c r="G992" i="2"/>
  <c r="G991" i="2"/>
  <c r="G990" i="2"/>
  <c r="T426" i="1"/>
  <c r="S426" i="1"/>
  <c r="G983" i="2"/>
  <c r="G984" i="2"/>
  <c r="G985" i="2"/>
  <c r="G986" i="2"/>
  <c r="G987" i="2"/>
  <c r="G988" i="2"/>
  <c r="G989" i="2"/>
  <c r="T425" i="1"/>
  <c r="S425" i="1"/>
  <c r="G981" i="2"/>
  <c r="G982" i="2"/>
  <c r="T424" i="1"/>
  <c r="S424" i="1"/>
  <c r="S217" i="3"/>
  <c r="T210" i="3"/>
  <c r="T211" i="3"/>
  <c r="T212" i="3"/>
  <c r="T213" i="3"/>
  <c r="T214" i="3"/>
  <c r="T215" i="3"/>
  <c r="S211" i="3"/>
  <c r="S212" i="3"/>
  <c r="S213" i="3"/>
  <c r="S214" i="3"/>
  <c r="S215" i="3"/>
  <c r="S216" i="3"/>
  <c r="L218" i="3"/>
  <c r="T423" i="1"/>
  <c r="S423" i="1"/>
  <c r="T430" i="1" l="1"/>
  <c r="T434" i="1"/>
  <c r="S430" i="1"/>
  <c r="T422" i="1"/>
  <c r="S422" i="1"/>
  <c r="T421" i="1"/>
  <c r="S421" i="1"/>
  <c r="G977" i="2"/>
  <c r="G978" i="2"/>
  <c r="G979" i="2"/>
  <c r="G980" i="2"/>
  <c r="G976" i="2"/>
  <c r="G975" i="2"/>
  <c r="G974" i="2"/>
  <c r="L217" i="3"/>
  <c r="T420" i="1"/>
  <c r="S420" i="1"/>
  <c r="G973" i="2"/>
  <c r="G972" i="2"/>
  <c r="T419" i="1"/>
  <c r="S419" i="1"/>
  <c r="T418" i="1"/>
  <c r="S418" i="1"/>
  <c r="G971" i="2"/>
  <c r="G970" i="2"/>
  <c r="L216" i="3"/>
  <c r="G966" i="2"/>
  <c r="G967" i="2"/>
  <c r="G968" i="2"/>
  <c r="G969" i="2"/>
  <c r="T417" i="1"/>
  <c r="S417" i="1"/>
  <c r="T416" i="1"/>
  <c r="S416" i="1"/>
  <c r="L215" i="3"/>
  <c r="G965" i="2"/>
  <c r="T415" i="1"/>
  <c r="G963" i="2"/>
  <c r="G964" i="2"/>
  <c r="G961" i="2"/>
  <c r="G962" i="2"/>
  <c r="L214" i="3"/>
  <c r="G960" i="2"/>
  <c r="G959" i="2"/>
  <c r="G958" i="2"/>
  <c r="G957" i="2"/>
  <c r="T414" i="1"/>
  <c r="S414" i="1"/>
  <c r="S415" i="1"/>
  <c r="T413" i="1"/>
  <c r="S413" i="1"/>
  <c r="T412" i="1"/>
  <c r="S412" i="1"/>
  <c r="G951" i="2"/>
  <c r="G952" i="2"/>
  <c r="G953" i="2"/>
  <c r="G954" i="2"/>
  <c r="G955" i="2"/>
  <c r="G956" i="2"/>
  <c r="L213" i="3"/>
  <c r="T411" i="1" l="1"/>
  <c r="S411" i="1"/>
  <c r="T410" i="1"/>
  <c r="S410" i="1"/>
  <c r="G950" i="2"/>
  <c r="L212" i="3"/>
  <c r="G949" i="2"/>
  <c r="T409" i="1"/>
  <c r="S409" i="1"/>
  <c r="G944" i="2"/>
  <c r="G945" i="2"/>
  <c r="G946" i="2"/>
  <c r="G947" i="2"/>
  <c r="G948" i="2"/>
  <c r="L211" i="3"/>
  <c r="G943" i="2"/>
  <c r="T408" i="1"/>
  <c r="S408" i="1"/>
  <c r="S210" i="3"/>
  <c r="L210" i="3"/>
  <c r="T407" i="1"/>
  <c r="S407" i="1"/>
  <c r="T209" i="3"/>
  <c r="L209" i="3"/>
  <c r="S209" i="3"/>
  <c r="G942" i="2"/>
  <c r="G941" i="2"/>
  <c r="G940" i="2"/>
  <c r="S208" i="3"/>
  <c r="T208" i="3" s="1"/>
  <c r="L208" i="3"/>
  <c r="S207" i="3" l="1"/>
  <c r="T207" i="3"/>
  <c r="T406" i="1"/>
  <c r="S406" i="1"/>
  <c r="G939" i="2" l="1"/>
  <c r="T405" i="1"/>
  <c r="S405" i="1"/>
  <c r="L207" i="3"/>
  <c r="G938" i="2"/>
  <c r="G937" i="2"/>
  <c r="T404" i="1"/>
  <c r="S404" i="1"/>
  <c r="L6" i="4"/>
  <c r="H6" i="4"/>
  <c r="S206" i="3"/>
  <c r="T206" i="3" s="1"/>
  <c r="L206" i="3"/>
  <c r="G936" i="2"/>
  <c r="T403" i="1"/>
  <c r="S403" i="1"/>
  <c r="T402" i="1"/>
  <c r="S402" i="1"/>
  <c r="T401" i="1"/>
  <c r="S401" i="1"/>
  <c r="T400" i="1"/>
  <c r="S400" i="1"/>
  <c r="G935" i="2"/>
  <c r="G934" i="2"/>
  <c r="G933" i="2"/>
  <c r="G932" i="2"/>
  <c r="G931" i="2"/>
  <c r="G929" i="2"/>
  <c r="G928" i="2"/>
  <c r="G927" i="2"/>
  <c r="T202" i="3"/>
  <c r="T203" i="3"/>
  <c r="T204" i="3"/>
  <c r="T205" i="3"/>
  <c r="L205" i="3"/>
  <c r="S205" i="3"/>
  <c r="S202" i="3"/>
  <c r="S203" i="3"/>
  <c r="S204" i="3"/>
  <c r="L203" i="3"/>
  <c r="L204" i="3"/>
  <c r="L202" i="3"/>
  <c r="T399" i="1"/>
  <c r="S399" i="1"/>
  <c r="G918" i="2"/>
  <c r="G919" i="2"/>
  <c r="G920" i="2"/>
  <c r="G921" i="2"/>
  <c r="G922" i="2"/>
  <c r="G924" i="2"/>
  <c r="G925" i="2"/>
  <c r="S201" i="3" l="1"/>
  <c r="T201" i="3" s="1"/>
  <c r="L201" i="3"/>
  <c r="T200" i="3"/>
  <c r="S200" i="3"/>
  <c r="S199" i="3"/>
  <c r="T199" i="3" s="1"/>
  <c r="L200" i="3"/>
  <c r="L199" i="3"/>
  <c r="T198" i="3" l="1"/>
  <c r="S198" i="3"/>
  <c r="L198" i="3"/>
  <c r="T197" i="3" l="1"/>
  <c r="L197" i="3"/>
  <c r="L196" i="3"/>
  <c r="T392" i="1"/>
  <c r="S392" i="1"/>
  <c r="T391" i="1"/>
  <c r="S391" i="1"/>
  <c r="T194" i="3"/>
  <c r="T195" i="3"/>
  <c r="T196" i="3"/>
  <c r="S194" i="3"/>
  <c r="S195" i="3"/>
  <c r="S196" i="3"/>
  <c r="S197" i="3"/>
  <c r="L195" i="3"/>
  <c r="G917" i="2"/>
  <c r="T390" i="1"/>
  <c r="S390" i="1"/>
  <c r="T193" i="3" l="1"/>
  <c r="L194" i="3"/>
  <c r="G916" i="2"/>
  <c r="G914" i="2"/>
  <c r="G915" i="2"/>
  <c r="G913" i="2"/>
  <c r="T389" i="1"/>
  <c r="S389" i="1"/>
  <c r="S193" i="3"/>
  <c r="L193" i="3"/>
  <c r="T192" i="3"/>
  <c r="T191" i="3"/>
  <c r="S192" i="3"/>
  <c r="S191" i="3"/>
  <c r="G912" i="2"/>
  <c r="T388" i="1"/>
  <c r="S388" i="1"/>
  <c r="G906" i="2"/>
  <c r="G907" i="2"/>
  <c r="G908" i="2"/>
  <c r="G909" i="2"/>
  <c r="G910" i="2"/>
  <c r="G904" i="2"/>
  <c r="G905" i="2"/>
  <c r="G911" i="2"/>
  <c r="T190" i="3"/>
  <c r="S190" i="3"/>
  <c r="L192" i="3"/>
  <c r="T387" i="1"/>
  <c r="S387" i="1"/>
  <c r="L191" i="3"/>
  <c r="T386" i="1"/>
  <c r="S386" i="1"/>
  <c r="L190" i="3"/>
  <c r="G903" i="2"/>
  <c r="T189" i="3"/>
  <c r="S189" i="3"/>
  <c r="T385" i="1"/>
  <c r="S385" i="1"/>
  <c r="T384" i="1"/>
  <c r="S384" i="1"/>
  <c r="S383" i="1"/>
  <c r="G896" i="2"/>
  <c r="G897" i="2"/>
  <c r="G898" i="2"/>
  <c r="G899" i="2"/>
  <c r="G900" i="2"/>
  <c r="G901" i="2"/>
  <c r="G902" i="2"/>
  <c r="L189" i="3"/>
  <c r="T188" i="3"/>
  <c r="L188" i="3"/>
  <c r="S188" i="3"/>
  <c r="T187" i="3"/>
  <c r="G892" i="2"/>
  <c r="G893" i="2"/>
  <c r="G894" i="2"/>
  <c r="G895" i="2"/>
  <c r="R383" i="1"/>
  <c r="T383" i="1" s="1"/>
  <c r="G878" i="2"/>
  <c r="G891" i="2"/>
  <c r="S187" i="3"/>
  <c r="L187" i="3"/>
  <c r="T382" i="1"/>
  <c r="S382" i="1"/>
  <c r="G889" i="2"/>
  <c r="G890" i="2"/>
  <c r="G886" i="2"/>
  <c r="G887" i="2"/>
  <c r="G888" i="2"/>
  <c r="T381" i="1"/>
  <c r="S381" i="1"/>
  <c r="G885" i="2"/>
  <c r="G884" i="2"/>
  <c r="S186" i="3"/>
  <c r="T186" i="3" s="1"/>
  <c r="L186" i="3"/>
  <c r="S185" i="3"/>
  <c r="T185" i="3" s="1"/>
  <c r="G882" i="2"/>
  <c r="T380" i="1"/>
  <c r="S380" i="1"/>
  <c r="S182" i="3"/>
  <c r="T182" i="3" s="1"/>
  <c r="S183" i="3"/>
  <c r="T183" i="3" s="1"/>
  <c r="S184" i="3"/>
  <c r="T184" i="3" s="1"/>
  <c r="L185" i="3"/>
  <c r="G879" i="2"/>
  <c r="G880" i="2"/>
  <c r="G881" i="2"/>
  <c r="G873" i="2"/>
  <c r="G874" i="2"/>
  <c r="G875" i="2"/>
  <c r="G876" i="2"/>
  <c r="G877" i="2"/>
  <c r="S376" i="1"/>
  <c r="T376" i="1"/>
  <c r="S377" i="1"/>
  <c r="T377" i="1"/>
  <c r="L184" i="3"/>
  <c r="R378" i="1"/>
  <c r="R379" i="1" s="1"/>
  <c r="Q378" i="1"/>
  <c r="Q379" i="1" s="1"/>
  <c r="O378" i="1"/>
  <c r="L183" i="3"/>
  <c r="G870" i="2"/>
  <c r="G871" i="2"/>
  <c r="G872" i="2"/>
  <c r="G869" i="2"/>
  <c r="G868" i="2"/>
  <c r="G867" i="2"/>
  <c r="G866" i="2"/>
  <c r="G865" i="2"/>
  <c r="L182" i="3"/>
  <c r="T181" i="3"/>
  <c r="T180" i="3"/>
  <c r="T179" i="3"/>
  <c r="T178" i="3"/>
  <c r="G864" i="2"/>
  <c r="G860" i="2"/>
  <c r="G861" i="2"/>
  <c r="G862" i="2"/>
  <c r="G863" i="2"/>
  <c r="S177" i="3"/>
  <c r="S178" i="3"/>
  <c r="S179" i="3"/>
  <c r="S180" i="3"/>
  <c r="S181" i="3"/>
  <c r="L181" i="3"/>
  <c r="G859" i="2"/>
  <c r="G857" i="2"/>
  <c r="G858" i="2"/>
  <c r="L180" i="3"/>
  <c r="G856" i="2"/>
  <c r="S378" i="1" l="1"/>
  <c r="T378" i="1"/>
  <c r="O379" i="1"/>
  <c r="S379" i="1" s="1"/>
  <c r="L179" i="3"/>
  <c r="G851" i="2"/>
  <c r="G852" i="2"/>
  <c r="G853" i="2"/>
  <c r="G854" i="2"/>
  <c r="G855" i="2"/>
  <c r="G849" i="2"/>
  <c r="G850" i="2"/>
  <c r="L178" i="3"/>
  <c r="G848" i="2"/>
  <c r="G847" i="2"/>
  <c r="G846" i="2"/>
  <c r="S368" i="1"/>
  <c r="T368" i="1"/>
  <c r="T176" i="3"/>
  <c r="T177" i="3"/>
  <c r="S176" i="3"/>
  <c r="L177" i="3"/>
  <c r="G844" i="2"/>
  <c r="G845" i="2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2" i="1"/>
  <c r="T363" i="1"/>
  <c r="T365" i="1"/>
  <c r="T366" i="1"/>
  <c r="T369" i="1"/>
  <c r="T371" i="1"/>
  <c r="T372" i="1"/>
  <c r="T373" i="1"/>
  <c r="T374" i="1"/>
  <c r="T375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2" i="1"/>
  <c r="S363" i="1"/>
  <c r="S365" i="1"/>
  <c r="S366" i="1"/>
  <c r="S369" i="1"/>
  <c r="S371" i="1"/>
  <c r="S372" i="1"/>
  <c r="S373" i="1"/>
  <c r="S374" i="1"/>
  <c r="S375" i="1"/>
  <c r="R370" i="1"/>
  <c r="Q370" i="1"/>
  <c r="O370" i="1"/>
  <c r="G843" i="2"/>
  <c r="L176" i="3"/>
  <c r="G842" i="2"/>
  <c r="G841" i="2"/>
  <c r="G838" i="2"/>
  <c r="G839" i="2"/>
  <c r="G840" i="2"/>
  <c r="Q367" i="1"/>
  <c r="O367" i="1"/>
  <c r="S172" i="3"/>
  <c r="T172" i="3"/>
  <c r="S173" i="3"/>
  <c r="T173" i="3"/>
  <c r="S174" i="3"/>
  <c r="T174" i="3"/>
  <c r="S175" i="3"/>
  <c r="T175" i="3" s="1"/>
  <c r="L175" i="3"/>
  <c r="G837" i="2"/>
  <c r="G835" i="2"/>
  <c r="G836" i="2"/>
  <c r="G834" i="2"/>
  <c r="L170" i="3"/>
  <c r="L173" i="3"/>
  <c r="L174" i="3"/>
  <c r="U174" i="3"/>
  <c r="R364" i="1"/>
  <c r="Q364" i="1"/>
  <c r="O364" i="1"/>
  <c r="G833" i="2"/>
  <c r="T171" i="3"/>
  <c r="S171" i="3"/>
  <c r="G832" i="2"/>
  <c r="G831" i="2"/>
  <c r="G824" i="2"/>
  <c r="G825" i="2"/>
  <c r="G826" i="2"/>
  <c r="G827" i="2"/>
  <c r="G828" i="2"/>
  <c r="G829" i="2"/>
  <c r="G830" i="2"/>
  <c r="S170" i="3"/>
  <c r="T170" i="3" s="1"/>
  <c r="R361" i="1"/>
  <c r="Q361" i="1"/>
  <c r="O361" i="1"/>
  <c r="T169" i="3"/>
  <c r="S169" i="3"/>
  <c r="G823" i="2"/>
  <c r="G819" i="2"/>
  <c r="G820" i="2"/>
  <c r="G821" i="2"/>
  <c r="G822" i="2"/>
  <c r="G817" i="2"/>
  <c r="G818" i="2"/>
  <c r="L169" i="3"/>
  <c r="G814" i="2"/>
  <c r="G815" i="2"/>
  <c r="G816" i="2"/>
  <c r="G813" i="2"/>
  <c r="L168" i="3"/>
  <c r="T168" i="3"/>
  <c r="S168" i="3"/>
  <c r="G810" i="2"/>
  <c r="G811" i="2"/>
  <c r="G812" i="2"/>
  <c r="T167" i="3"/>
  <c r="S167" i="3"/>
  <c r="S166" i="3"/>
  <c r="T166" i="3" s="1"/>
  <c r="S165" i="3"/>
  <c r="S164" i="3"/>
  <c r="S163" i="3"/>
  <c r="L167" i="3"/>
  <c r="G808" i="2"/>
  <c r="G809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785" i="2"/>
  <c r="L166" i="3"/>
  <c r="T165" i="3"/>
  <c r="L165" i="3"/>
  <c r="T164" i="3"/>
  <c r="L164" i="3"/>
  <c r="T163" i="3"/>
  <c r="L163" i="3"/>
  <c r="S161" i="3"/>
  <c r="T161" i="3" s="1"/>
  <c r="S162" i="3"/>
  <c r="T162" i="3" s="1"/>
  <c r="L162" i="3"/>
  <c r="L161" i="3"/>
  <c r="T159" i="3"/>
  <c r="T160" i="3"/>
  <c r="Q160" i="3"/>
  <c r="S159" i="3"/>
  <c r="S160" i="3"/>
  <c r="L160" i="3"/>
  <c r="T379" i="1" l="1"/>
  <c r="S367" i="1"/>
  <c r="T370" i="1"/>
  <c r="S370" i="1"/>
  <c r="S361" i="1"/>
  <c r="S364" i="1"/>
  <c r="T364" i="1"/>
  <c r="T361" i="1"/>
  <c r="T367" i="1"/>
  <c r="T158" i="3"/>
  <c r="V155" i="3"/>
  <c r="L159" i="3"/>
  <c r="S158" i="3"/>
  <c r="L158" i="3"/>
  <c r="P152" i="3"/>
  <c r="G783" i="2"/>
  <c r="T157" i="3"/>
  <c r="L157" i="3"/>
  <c r="S156" i="3"/>
  <c r="S157" i="3"/>
  <c r="T156" i="3" l="1"/>
  <c r="L156" i="3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4" i="2"/>
  <c r="T155" i="3"/>
  <c r="S155" i="3"/>
  <c r="P155" i="3"/>
  <c r="L155" i="3"/>
  <c r="T154" i="3"/>
  <c r="S154" i="3"/>
  <c r="T153" i="3"/>
  <c r="V154" i="3"/>
  <c r="P153" i="3"/>
  <c r="P154" i="3"/>
  <c r="L154" i="3"/>
  <c r="S153" i="3" l="1"/>
  <c r="V153" i="3"/>
  <c r="L153" i="3"/>
  <c r="T339" i="1"/>
  <c r="S339" i="1"/>
  <c r="T152" i="3"/>
  <c r="S152" i="3"/>
  <c r="L152" i="3"/>
  <c r="T151" i="3"/>
  <c r="S151" i="3"/>
  <c r="L151" i="3"/>
  <c r="P151" i="3"/>
  <c r="T150" i="3"/>
  <c r="S150" i="3"/>
  <c r="T338" i="1"/>
  <c r="T337" i="1"/>
  <c r="T336" i="1"/>
  <c r="T335" i="1"/>
  <c r="T334" i="1"/>
  <c r="T333" i="1"/>
  <c r="S338" i="1"/>
  <c r="L150" i="3"/>
  <c r="S149" i="3" l="1"/>
  <c r="S337" i="1"/>
  <c r="L149" i="3"/>
  <c r="S336" i="1"/>
  <c r="L148" i="3"/>
  <c r="S335" i="1"/>
  <c r="L147" i="3"/>
  <c r="L146" i="3"/>
  <c r="S145" i="3"/>
  <c r="S146" i="3"/>
  <c r="S147" i="3"/>
  <c r="S148" i="3"/>
  <c r="S334" i="1"/>
  <c r="S333" i="1"/>
  <c r="L145" i="3"/>
  <c r="S144" i="3"/>
  <c r="L144" i="3"/>
  <c r="T332" i="1"/>
  <c r="S332" i="1"/>
  <c r="T331" i="1"/>
  <c r="S331" i="1"/>
  <c r="T330" i="1"/>
  <c r="S330" i="1"/>
  <c r="T329" i="1"/>
  <c r="S329" i="1"/>
  <c r="T328" i="1"/>
  <c r="S328" i="1"/>
  <c r="L143" i="3"/>
  <c r="S143" i="3"/>
  <c r="G761" i="2"/>
  <c r="G762" i="2"/>
  <c r="G759" i="2"/>
  <c r="G760" i="2"/>
  <c r="G758" i="2"/>
  <c r="G757" i="2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194" i="1"/>
  <c r="T195" i="1"/>
  <c r="T196" i="1"/>
  <c r="T197" i="1"/>
  <c r="S196" i="1"/>
  <c r="S197" i="1"/>
  <c r="T319" i="1"/>
  <c r="S319" i="1"/>
  <c r="T318" i="1"/>
  <c r="S318" i="1"/>
  <c r="T317" i="1"/>
  <c r="S317" i="1"/>
  <c r="T316" i="1"/>
  <c r="S316" i="1"/>
  <c r="S315" i="1"/>
  <c r="T315" i="1"/>
  <c r="G743" i="2"/>
  <c r="T314" i="1" l="1"/>
  <c r="S314" i="1"/>
  <c r="T311" i="1" l="1"/>
  <c r="G741" i="2"/>
  <c r="G742" i="2"/>
  <c r="G744" i="2"/>
  <c r="G745" i="2"/>
  <c r="G738" i="2"/>
  <c r="G739" i="2"/>
  <c r="G740" i="2"/>
  <c r="T312" i="1"/>
  <c r="T313" i="1"/>
  <c r="S311" i="1"/>
  <c r="S312" i="1"/>
  <c r="S313" i="1"/>
  <c r="G737" i="2"/>
  <c r="G736" i="2"/>
  <c r="T310" i="1"/>
  <c r="S310" i="1"/>
  <c r="G733" i="2"/>
  <c r="G734" i="2"/>
  <c r="G735" i="2"/>
  <c r="G732" i="2"/>
  <c r="T309" i="1"/>
  <c r="S309" i="1"/>
  <c r="G731" i="2"/>
  <c r="T308" i="1"/>
  <c r="S308" i="1"/>
  <c r="G730" i="2"/>
  <c r="G729" i="2"/>
  <c r="T307" i="1"/>
  <c r="S307" i="1"/>
  <c r="T306" i="1"/>
  <c r="S306" i="1"/>
  <c r="G727" i="2"/>
  <c r="G728" i="2"/>
  <c r="R305" i="1"/>
  <c r="T305" i="1" s="1"/>
  <c r="Q305" i="1"/>
  <c r="S305" i="1" s="1"/>
  <c r="T304" i="1"/>
  <c r="S304" i="1"/>
  <c r="G724" i="2"/>
  <c r="G725" i="2"/>
  <c r="G726" i="2"/>
  <c r="T303" i="1"/>
  <c r="S303" i="1"/>
  <c r="G719" i="2"/>
  <c r="G720" i="2"/>
  <c r="G721" i="2"/>
  <c r="G722" i="2"/>
  <c r="G723" i="2"/>
  <c r="T302" i="1"/>
  <c r="S302" i="1"/>
  <c r="T301" i="1"/>
  <c r="S301" i="1"/>
  <c r="T300" i="1"/>
  <c r="S300" i="1"/>
  <c r="G718" i="2"/>
  <c r="T299" i="1"/>
  <c r="S299" i="1"/>
  <c r="G716" i="2" l="1"/>
  <c r="G717" i="2"/>
  <c r="G715" i="2"/>
  <c r="T298" i="1"/>
  <c r="S298" i="1"/>
  <c r="G713" i="2"/>
  <c r="G714" i="2"/>
  <c r="T297" i="1"/>
  <c r="S297" i="1"/>
  <c r="S142" i="3"/>
  <c r="S141" i="3"/>
  <c r="L142" i="3"/>
  <c r="T296" i="1"/>
  <c r="S296" i="1"/>
  <c r="G706" i="2"/>
  <c r="AC141" i="3"/>
  <c r="L141" i="3"/>
  <c r="R294" i="1"/>
  <c r="R295" i="1" s="1"/>
  <c r="T295" i="1" s="1"/>
  <c r="Q294" i="1"/>
  <c r="Q295" i="1" s="1"/>
  <c r="S295" i="1" s="1"/>
  <c r="G707" i="2"/>
  <c r="G708" i="2"/>
  <c r="G709" i="2"/>
  <c r="G710" i="2"/>
  <c r="G711" i="2"/>
  <c r="G712" i="2"/>
  <c r="AC140" i="3"/>
  <c r="S140" i="3"/>
  <c r="L140" i="3"/>
  <c r="T293" i="1"/>
  <c r="S293" i="1"/>
  <c r="T292" i="1"/>
  <c r="S292" i="1"/>
  <c r="G705" i="2"/>
  <c r="G704" i="2"/>
  <c r="L139" i="3"/>
  <c r="G703" i="2"/>
  <c r="S138" i="3"/>
  <c r="S137" i="3"/>
  <c r="S139" i="3"/>
  <c r="L138" i="3"/>
  <c r="T291" i="1"/>
  <c r="S291" i="1"/>
  <c r="R290" i="1"/>
  <c r="T290" i="1" s="1"/>
  <c r="Q290" i="1"/>
  <c r="S290" i="1" s="1"/>
  <c r="L137" i="3"/>
  <c r="T289" i="1"/>
  <c r="S289" i="1"/>
  <c r="G699" i="2"/>
  <c r="G700" i="2"/>
  <c r="G701" i="2"/>
  <c r="G702" i="2"/>
  <c r="T288" i="1"/>
  <c r="S288" i="1"/>
  <c r="G698" i="2"/>
  <c r="G694" i="2"/>
  <c r="G697" i="2"/>
  <c r="L136" i="3"/>
  <c r="S136" i="3"/>
  <c r="S135" i="3"/>
  <c r="S134" i="3"/>
  <c r="G696" i="2"/>
  <c r="T287" i="1"/>
  <c r="S287" i="1"/>
  <c r="G692" i="2"/>
  <c r="G693" i="2"/>
  <c r="G695" i="2"/>
  <c r="L135" i="3"/>
  <c r="T286" i="1"/>
  <c r="S286" i="1"/>
  <c r="G691" i="2"/>
  <c r="S285" i="1"/>
  <c r="T285" i="1"/>
  <c r="L134" i="3"/>
  <c r="AC133" i="3"/>
  <c r="AB133" i="3"/>
  <c r="AA133" i="3"/>
  <c r="T284" i="1"/>
  <c r="S284" i="1"/>
  <c r="S133" i="3"/>
  <c r="U133" i="3"/>
  <c r="V133" i="3" s="1"/>
  <c r="O133" i="3"/>
  <c r="L133" i="3"/>
  <c r="T283" i="1"/>
  <c r="S283" i="1"/>
  <c r="G690" i="2"/>
  <c r="G689" i="2"/>
  <c r="G688" i="2"/>
  <c r="S132" i="3"/>
  <c r="L132" i="3"/>
  <c r="G687" i="2"/>
  <c r="S131" i="3"/>
  <c r="S130" i="3"/>
  <c r="G685" i="2"/>
  <c r="T282" i="1"/>
  <c r="S282" i="1"/>
  <c r="L131" i="3"/>
  <c r="S278" i="1"/>
  <c r="T278" i="1"/>
  <c r="S279" i="1"/>
  <c r="T279" i="1"/>
  <c r="S280" i="1"/>
  <c r="T280" i="1"/>
  <c r="S281" i="1"/>
  <c r="T281" i="1"/>
  <c r="G683" i="2"/>
  <c r="G684" i="2"/>
  <c r="G686" i="2"/>
  <c r="L130" i="3"/>
  <c r="G682" i="2"/>
  <c r="S129" i="3"/>
  <c r="L129" i="3"/>
  <c r="G680" i="2"/>
  <c r="G681" i="2"/>
  <c r="G678" i="2"/>
  <c r="G679" i="2"/>
  <c r="G677" i="2"/>
  <c r="S128" i="3"/>
  <c r="S294" i="1" l="1"/>
  <c r="T294" i="1"/>
  <c r="G675" i="2"/>
  <c r="G676" i="2"/>
  <c r="G673" i="2"/>
  <c r="G674" i="2"/>
  <c r="V128" i="3"/>
  <c r="Q128" i="3"/>
  <c r="T128" i="3" s="1"/>
  <c r="P128" i="3"/>
  <c r="L128" i="3"/>
  <c r="R277" i="1"/>
  <c r="Q277" i="1"/>
  <c r="S276" i="1"/>
  <c r="T276" i="1" l="1"/>
  <c r="T277" i="1" l="1"/>
  <c r="S277" i="1"/>
  <c r="S274" i="1" l="1"/>
  <c r="T274" i="1"/>
  <c r="R275" i="1"/>
  <c r="T275" i="1" s="1"/>
  <c r="Q275" i="1"/>
  <c r="S275" i="1" s="1"/>
  <c r="G670" i="2"/>
  <c r="G671" i="2"/>
  <c r="G672" i="2"/>
  <c r="G668" i="2"/>
  <c r="G669" i="2"/>
  <c r="S127" i="3"/>
  <c r="L127" i="3"/>
  <c r="R273" i="1"/>
  <c r="T273" i="1" s="1"/>
  <c r="Q273" i="1"/>
  <c r="S273" i="1" s="1"/>
  <c r="T272" i="1"/>
  <c r="S272" i="1"/>
  <c r="G667" i="2"/>
  <c r="S126" i="3"/>
  <c r="L126" i="3"/>
  <c r="G666" i="2"/>
  <c r="G665" i="2"/>
  <c r="S125" i="3"/>
  <c r="T271" i="1"/>
  <c r="S271" i="1"/>
  <c r="G664" i="2"/>
  <c r="L125" i="3"/>
  <c r="T270" i="1"/>
  <c r="S270" i="1"/>
  <c r="L124" i="3"/>
  <c r="G663" i="2"/>
  <c r="S124" i="3" l="1"/>
  <c r="G658" i="2"/>
  <c r="G659" i="2"/>
  <c r="G660" i="2"/>
  <c r="G661" i="2"/>
  <c r="G662" i="2"/>
  <c r="T269" i="1"/>
  <c r="S269" i="1"/>
  <c r="G657" i="2"/>
  <c r="S122" i="3"/>
  <c r="S123" i="3"/>
  <c r="L123" i="3"/>
  <c r="G656" i="2"/>
  <c r="G655" i="2"/>
  <c r="T268" i="1"/>
  <c r="S268" i="1"/>
  <c r="L122" i="3"/>
  <c r="G653" i="2"/>
  <c r="T267" i="1"/>
  <c r="S267" i="1"/>
  <c r="S121" i="3"/>
  <c r="L121" i="3"/>
  <c r="G652" i="2"/>
  <c r="T264" i="1" l="1"/>
  <c r="T265" i="1"/>
  <c r="T266" i="1"/>
  <c r="S265" i="1"/>
  <c r="S266" i="1"/>
  <c r="G651" i="2" l="1"/>
  <c r="S119" i="3"/>
  <c r="S120" i="3"/>
  <c r="L120" i="3"/>
  <c r="G648" i="2"/>
  <c r="G649" i="2"/>
  <c r="G650" i="2"/>
  <c r="G596" i="2"/>
  <c r="G647" i="2"/>
  <c r="G646" i="2"/>
  <c r="G645" i="2"/>
  <c r="G639" i="2"/>
  <c r="G640" i="2"/>
  <c r="G641" i="2"/>
  <c r="G642" i="2"/>
  <c r="G643" i="2"/>
  <c r="G644" i="2"/>
  <c r="L119" i="3"/>
  <c r="R263" i="1"/>
  <c r="T263" i="1" s="1"/>
  <c r="Q264" i="1"/>
  <c r="S264" i="1" s="1"/>
  <c r="G638" i="2"/>
  <c r="S263" i="1"/>
  <c r="T262" i="1"/>
  <c r="S262" i="1"/>
  <c r="T261" i="1"/>
  <c r="S261" i="1"/>
  <c r="G636" i="2"/>
  <c r="S118" i="3"/>
  <c r="L118" i="3"/>
  <c r="G635" i="2" l="1"/>
  <c r="G634" i="2"/>
  <c r="G633" i="2"/>
  <c r="G632" i="2"/>
  <c r="S117" i="3"/>
  <c r="S116" i="3"/>
  <c r="L117" i="3"/>
  <c r="G622" i="2"/>
  <c r="G623" i="2"/>
  <c r="G624" i="2"/>
  <c r="G625" i="2"/>
  <c r="G626" i="2"/>
  <c r="G627" i="2"/>
  <c r="G628" i="2"/>
  <c r="G629" i="2"/>
  <c r="G630" i="2"/>
  <c r="G631" i="2"/>
  <c r="G590" i="2" l="1"/>
  <c r="L116" i="3"/>
  <c r="R260" i="1"/>
  <c r="T260" i="1" s="1"/>
  <c r="Q260" i="1"/>
  <c r="S260" i="1" s="1"/>
  <c r="T259" i="1"/>
  <c r="S259" i="1"/>
  <c r="S115" i="3"/>
  <c r="L115" i="3"/>
  <c r="G621" i="2"/>
  <c r="G620" i="2"/>
  <c r="T258" i="1"/>
  <c r="S258" i="1"/>
  <c r="L114" i="3"/>
  <c r="S114" i="3"/>
  <c r="G619" i="2"/>
  <c r="G615" i="2"/>
  <c r="G616" i="2"/>
  <c r="G617" i="2"/>
  <c r="G618" i="2"/>
  <c r="V111" i="3" l="1"/>
  <c r="V112" i="3"/>
  <c r="V113" i="3"/>
  <c r="S112" i="3"/>
  <c r="S113" i="3"/>
  <c r="AC113" i="3"/>
  <c r="L111" i="3"/>
  <c r="L113" i="3"/>
  <c r="L110" i="3"/>
  <c r="R257" i="1"/>
  <c r="Q257" i="1"/>
  <c r="G608" i="2"/>
  <c r="G609" i="2"/>
  <c r="G610" i="2"/>
  <c r="G611" i="2"/>
  <c r="G612" i="2"/>
  <c r="G613" i="2"/>
  <c r="G614" i="2"/>
  <c r="S256" i="1"/>
  <c r="T256" i="1"/>
  <c r="S252" i="1"/>
  <c r="T252" i="1"/>
  <c r="S254" i="1"/>
  <c r="T254" i="1"/>
  <c r="R255" i="1"/>
  <c r="Q255" i="1"/>
  <c r="G602" i="2"/>
  <c r="G603" i="2"/>
  <c r="G604" i="2"/>
  <c r="G605" i="2"/>
  <c r="G606" i="2"/>
  <c r="G607" i="2"/>
  <c r="R253" i="1"/>
  <c r="T253" i="1" s="1"/>
  <c r="Q253" i="1"/>
  <c r="S253" i="1" s="1"/>
  <c r="S111" i="3"/>
  <c r="T251" i="1"/>
  <c r="S251" i="1"/>
  <c r="T250" i="1"/>
  <c r="S250" i="1"/>
  <c r="T249" i="1"/>
  <c r="S249" i="1"/>
  <c r="T248" i="1"/>
  <c r="S248" i="1"/>
  <c r="T247" i="1"/>
  <c r="S247" i="1"/>
  <c r="T246" i="1"/>
  <c r="S246" i="1"/>
  <c r="T245" i="1"/>
  <c r="S245" i="1"/>
  <c r="T244" i="1"/>
  <c r="S244" i="1"/>
  <c r="T243" i="1"/>
  <c r="S243" i="1"/>
  <c r="T242" i="1"/>
  <c r="S242" i="1"/>
  <c r="T241" i="1"/>
  <c r="S241" i="1"/>
  <c r="G601" i="2"/>
  <c r="S110" i="3"/>
  <c r="S109" i="3"/>
  <c r="S108" i="3"/>
  <c r="G598" i="2"/>
  <c r="G599" i="2"/>
  <c r="G600" i="2"/>
  <c r="L102" i="3"/>
  <c r="L103" i="3"/>
  <c r="L104" i="3"/>
  <c r="L105" i="3"/>
  <c r="L106" i="3"/>
  <c r="L107" i="3"/>
  <c r="L108" i="3"/>
  <c r="L109" i="3"/>
  <c r="S255" i="1" l="1"/>
  <c r="T255" i="1"/>
  <c r="T257" i="1"/>
  <c r="S257" i="1"/>
  <c r="G597" i="2"/>
  <c r="S107" i="3"/>
  <c r="S105" i="3"/>
  <c r="S106" i="3"/>
  <c r="G586" i="2" l="1"/>
  <c r="G587" i="2"/>
  <c r="G588" i="2"/>
  <c r="G589" i="2"/>
  <c r="G591" i="2"/>
  <c r="G592" i="2"/>
  <c r="G594" i="2"/>
  <c r="G595" i="2"/>
  <c r="S104" i="3"/>
  <c r="S103" i="3" l="1"/>
  <c r="S102" i="3"/>
  <c r="AC102" i="3"/>
  <c r="AB102" i="3"/>
  <c r="AA102" i="3"/>
  <c r="U102" i="3"/>
  <c r="O102" i="3"/>
  <c r="T240" i="1"/>
  <c r="S240" i="1"/>
  <c r="T239" i="1"/>
  <c r="S239" i="1"/>
  <c r="S101" i="3"/>
  <c r="L101" i="3"/>
  <c r="L98" i="3"/>
  <c r="L99" i="3"/>
  <c r="L100" i="3"/>
  <c r="L97" i="3"/>
  <c r="L96" i="3"/>
  <c r="L95" i="3"/>
  <c r="L94" i="3"/>
  <c r="L93" i="3"/>
  <c r="U100" i="3"/>
  <c r="S99" i="3"/>
  <c r="S100" i="3"/>
  <c r="S98" i="3"/>
  <c r="G585" i="2"/>
  <c r="G584" i="2"/>
  <c r="G582" i="2"/>
  <c r="G583" i="2"/>
  <c r="R238" i="1"/>
  <c r="T238" i="1" s="1"/>
  <c r="Q238" i="1"/>
  <c r="S238" i="1" s="1"/>
  <c r="T237" i="1"/>
  <c r="S237" i="1"/>
  <c r="G578" i="2"/>
  <c r="G579" i="2"/>
  <c r="G580" i="2"/>
  <c r="G581" i="2"/>
  <c r="T236" i="1"/>
  <c r="S236" i="1"/>
  <c r="G577" i="2"/>
  <c r="G576" i="2"/>
  <c r="S97" i="3"/>
  <c r="G574" i="2"/>
  <c r="G575" i="2"/>
  <c r="G573" i="2" l="1"/>
  <c r="G572" i="2"/>
  <c r="T235" i="1"/>
  <c r="S235" i="1"/>
  <c r="S96" i="3"/>
  <c r="G571" i="2"/>
  <c r="G570" i="2"/>
  <c r="T234" i="1"/>
  <c r="S234" i="1"/>
  <c r="S95" i="3"/>
  <c r="T233" i="1"/>
  <c r="S233" i="1"/>
  <c r="G566" i="2"/>
  <c r="G567" i="2"/>
  <c r="G568" i="2"/>
  <c r="G569" i="2"/>
  <c r="T232" i="1"/>
  <c r="S232" i="1"/>
  <c r="S94" i="3"/>
  <c r="L92" i="3"/>
  <c r="G561" i="2"/>
  <c r="G562" i="2"/>
  <c r="G563" i="2"/>
  <c r="G564" i="2"/>
  <c r="G565" i="2"/>
  <c r="T231" i="1"/>
  <c r="S231" i="1"/>
  <c r="G560" i="2"/>
  <c r="G559" i="2"/>
  <c r="S93" i="3"/>
  <c r="T230" i="1"/>
  <c r="S230" i="1"/>
  <c r="T229" i="1"/>
  <c r="S229" i="1"/>
  <c r="T227" i="1"/>
  <c r="S227" i="1"/>
  <c r="T226" i="1"/>
  <c r="G558" i="2"/>
  <c r="G557" i="2"/>
  <c r="S91" i="3"/>
  <c r="S92" i="3"/>
  <c r="G554" i="2"/>
  <c r="G555" i="2"/>
  <c r="G556" i="2"/>
  <c r="S228" i="1"/>
  <c r="G553" i="2"/>
  <c r="G552" i="2"/>
  <c r="L91" i="3"/>
  <c r="G551" i="2"/>
  <c r="L90" i="3"/>
  <c r="S226" i="1"/>
  <c r="G550" i="2"/>
  <c r="G549" i="2"/>
  <c r="T225" i="1"/>
  <c r="G548" i="2"/>
  <c r="G547" i="2"/>
  <c r="S89" i="3"/>
  <c r="S90" i="3"/>
  <c r="T223" i="1"/>
  <c r="T224" i="1"/>
  <c r="S223" i="1"/>
  <c r="S224" i="1"/>
  <c r="S225" i="1"/>
  <c r="R222" i="1"/>
  <c r="Q222" i="1"/>
  <c r="L89" i="3"/>
  <c r="G542" i="2"/>
  <c r="G543" i="2"/>
  <c r="G544" i="2"/>
  <c r="G545" i="2"/>
  <c r="G546" i="2"/>
  <c r="S221" i="1"/>
  <c r="T219" i="1"/>
  <c r="T220" i="1"/>
  <c r="T221" i="1"/>
  <c r="S220" i="1"/>
  <c r="G540" i="2"/>
  <c r="G541" i="2"/>
  <c r="V78" i="3"/>
  <c r="V79" i="3"/>
  <c r="V80" i="3"/>
  <c r="V81" i="3"/>
  <c r="V88" i="3"/>
  <c r="S87" i="3"/>
  <c r="S88" i="3"/>
  <c r="L88" i="3"/>
  <c r="G537" i="2"/>
  <c r="G538" i="2"/>
  <c r="G539" i="2"/>
  <c r="S219" i="1"/>
  <c r="G536" i="2"/>
  <c r="G535" i="2"/>
  <c r="G534" i="2"/>
  <c r="G533" i="2"/>
  <c r="G532" i="2"/>
  <c r="G531" i="2"/>
  <c r="G530" i="2"/>
  <c r="G529" i="2"/>
  <c r="G528" i="2"/>
  <c r="G527" i="2"/>
  <c r="T218" i="1"/>
  <c r="S218" i="1"/>
  <c r="S217" i="1"/>
  <c r="S216" i="1"/>
  <c r="S215" i="1"/>
  <c r="S214" i="1"/>
  <c r="G526" i="2"/>
  <c r="G525" i="2"/>
  <c r="G524" i="2"/>
  <c r="G523" i="2"/>
  <c r="G522" i="2"/>
  <c r="G521" i="2"/>
  <c r="G520" i="2"/>
  <c r="G519" i="2"/>
  <c r="G518" i="2"/>
  <c r="L87" i="3"/>
  <c r="S222" i="1" l="1"/>
  <c r="T222" i="1"/>
  <c r="T228" i="1"/>
  <c r="G497" i="2"/>
  <c r="G498" i="2"/>
  <c r="G500" i="2"/>
  <c r="G501" i="2"/>
  <c r="G504" i="2"/>
  <c r="G495" i="2"/>
  <c r="G488" i="2"/>
  <c r="G489" i="2"/>
  <c r="G490" i="2"/>
  <c r="G491" i="2"/>
  <c r="G492" i="2"/>
  <c r="G493" i="2"/>
  <c r="G494" i="2"/>
  <c r="G486" i="2"/>
  <c r="L86" i="3"/>
  <c r="S86" i="3"/>
  <c r="S85" i="3"/>
  <c r="L85" i="3"/>
  <c r="V77" i="3"/>
  <c r="V83" i="3"/>
  <c r="V84" i="3"/>
  <c r="S82" i="3"/>
  <c r="S83" i="3"/>
  <c r="S84" i="3"/>
  <c r="L84" i="3"/>
  <c r="L83" i="3"/>
  <c r="S213" i="1"/>
  <c r="P81" i="3"/>
  <c r="P82" i="3"/>
  <c r="L82" i="3"/>
  <c r="S211" i="1"/>
  <c r="S212" i="1"/>
  <c r="L81" i="3"/>
  <c r="S210" i="1"/>
  <c r="S208" i="1"/>
  <c r="S207" i="1"/>
  <c r="S206" i="1"/>
  <c r="S209" i="1"/>
  <c r="S80" i="3"/>
  <c r="S81" i="3"/>
  <c r="L80" i="3"/>
  <c r="G442" i="2" l="1"/>
  <c r="G423" i="2"/>
  <c r="S79" i="3" l="1"/>
  <c r="L79" i="3"/>
  <c r="S78" i="3"/>
  <c r="L78" i="3"/>
  <c r="S77" i="3"/>
  <c r="L77" i="3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S195" i="1"/>
  <c r="S194" i="1"/>
  <c r="T193" i="1"/>
  <c r="S193" i="1"/>
  <c r="T192" i="1"/>
  <c r="S192" i="1"/>
  <c r="T191" i="1"/>
  <c r="S191" i="1"/>
  <c r="T190" i="1"/>
  <c r="S190" i="1"/>
  <c r="T189" i="1"/>
  <c r="S189" i="1"/>
  <c r="S76" i="3"/>
  <c r="L76" i="3"/>
  <c r="S75" i="3"/>
  <c r="L75" i="3"/>
  <c r="L74" i="3" l="1"/>
  <c r="L73" i="3" l="1"/>
  <c r="S72" i="3" l="1"/>
  <c r="L72" i="3"/>
  <c r="L71" i="3" l="1"/>
  <c r="L70" i="3" l="1"/>
  <c r="L69" i="3"/>
  <c r="G484" i="2"/>
  <c r="S188" i="1"/>
  <c r="L68" i="3"/>
  <c r="L67" i="3"/>
  <c r="G485" i="2" l="1"/>
  <c r="G482" i="2"/>
  <c r="G483" i="2"/>
  <c r="V63" i="3"/>
  <c r="V64" i="3"/>
  <c r="V65" i="3"/>
  <c r="V66" i="3"/>
  <c r="L66" i="3"/>
  <c r="L65" i="3"/>
  <c r="T188" i="1"/>
  <c r="L64" i="3"/>
  <c r="G480" i="2"/>
  <c r="G481" i="2"/>
  <c r="G479" i="2"/>
  <c r="G478" i="2"/>
  <c r="T187" i="1"/>
  <c r="S187" i="1"/>
  <c r="G477" i="2"/>
  <c r="T186" i="1"/>
  <c r="S186" i="1"/>
  <c r="G476" i="2"/>
  <c r="L63" i="3"/>
  <c r="G475" i="2"/>
  <c r="G474" i="2"/>
  <c r="G473" i="2"/>
  <c r="G472" i="2"/>
  <c r="T185" i="1"/>
  <c r="S185" i="1"/>
  <c r="T184" i="1"/>
  <c r="S184" i="1"/>
  <c r="L62" i="3"/>
  <c r="L48" i="3"/>
  <c r="L49" i="3"/>
  <c r="L50" i="3"/>
  <c r="L51" i="3"/>
  <c r="L52" i="3"/>
  <c r="L53" i="3"/>
  <c r="L54" i="3"/>
  <c r="L55" i="3"/>
  <c r="L56" i="3"/>
  <c r="L57" i="3"/>
  <c r="L58" i="3"/>
  <c r="L59" i="3"/>
  <c r="L61" i="3"/>
  <c r="G470" i="2"/>
  <c r="G471" i="2"/>
  <c r="G468" i="2"/>
  <c r="G469" i="2"/>
  <c r="G466" i="2"/>
  <c r="G467" i="2"/>
  <c r="G464" i="2"/>
  <c r="G465" i="2"/>
  <c r="G463" i="2"/>
  <c r="T181" i="1"/>
  <c r="T183" i="1"/>
  <c r="S181" i="1"/>
  <c r="S183" i="1"/>
  <c r="R182" i="1"/>
  <c r="Q182" i="1"/>
  <c r="O182" i="1"/>
  <c r="T182" i="1" s="1"/>
  <c r="G462" i="2"/>
  <c r="G461" i="2"/>
  <c r="T179" i="1"/>
  <c r="S179" i="1"/>
  <c r="T177" i="1"/>
  <c r="S177" i="1"/>
  <c r="T176" i="1"/>
  <c r="S176" i="1"/>
  <c r="T174" i="1"/>
  <c r="S174" i="1"/>
  <c r="T173" i="1"/>
  <c r="S173" i="1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R180" i="1"/>
  <c r="Q180" i="1"/>
  <c r="O180" i="1"/>
  <c r="R178" i="1"/>
  <c r="Q178" i="1"/>
  <c r="O178" i="1"/>
  <c r="R175" i="1"/>
  <c r="Q175" i="1"/>
  <c r="O175" i="1"/>
  <c r="G444" i="2"/>
  <c r="G441" i="2"/>
  <c r="G443" i="2"/>
  <c r="R170" i="1"/>
  <c r="T170" i="1" s="1"/>
  <c r="Q170" i="1"/>
  <c r="S170" i="1" s="1"/>
  <c r="G439" i="2"/>
  <c r="G440" i="2"/>
  <c r="G435" i="2"/>
  <c r="G436" i="2"/>
  <c r="G437" i="2"/>
  <c r="G438" i="2"/>
  <c r="G431" i="2"/>
  <c r="G432" i="2"/>
  <c r="G433" i="2"/>
  <c r="G434" i="2"/>
  <c r="T178" i="1" l="1"/>
  <c r="S182" i="1"/>
  <c r="T175" i="1"/>
  <c r="S180" i="1"/>
  <c r="T180" i="1"/>
  <c r="S178" i="1"/>
  <c r="S175" i="1"/>
  <c r="S167" i="1"/>
  <c r="T167" i="1"/>
  <c r="S168" i="1"/>
  <c r="T168" i="1"/>
  <c r="S169" i="1"/>
  <c r="T169" i="1"/>
  <c r="S171" i="1"/>
  <c r="T171" i="1"/>
  <c r="R172" i="1"/>
  <c r="Q172" i="1"/>
  <c r="O172" i="1"/>
  <c r="G420" i="2"/>
  <c r="G421" i="2"/>
  <c r="G422" i="2"/>
  <c r="G424" i="2"/>
  <c r="G425" i="2"/>
  <c r="G426" i="2"/>
  <c r="G427" i="2"/>
  <c r="G428" i="2"/>
  <c r="G429" i="2"/>
  <c r="G430" i="2"/>
  <c r="G419" i="2"/>
  <c r="G417" i="2"/>
  <c r="G418" i="2"/>
  <c r="S164" i="1"/>
  <c r="T164" i="1"/>
  <c r="S165" i="1"/>
  <c r="T165" i="1"/>
  <c r="R166" i="1"/>
  <c r="Q166" i="1"/>
  <c r="G412" i="2"/>
  <c r="G413" i="2"/>
  <c r="G414" i="2"/>
  <c r="G415" i="2"/>
  <c r="G416" i="2"/>
  <c r="O166" i="1"/>
  <c r="T163" i="1"/>
  <c r="S163" i="1"/>
  <c r="G411" i="2"/>
  <c r="T162" i="1"/>
  <c r="S162" i="1"/>
  <c r="G407" i="2"/>
  <c r="G408" i="2"/>
  <c r="G409" i="2"/>
  <c r="G410" i="2"/>
  <c r="R161" i="1"/>
  <c r="Q161" i="1"/>
  <c r="T160" i="1"/>
  <c r="S160" i="1"/>
  <c r="O161" i="1"/>
  <c r="G402" i="2"/>
  <c r="G403" i="2"/>
  <c r="G404" i="2"/>
  <c r="G405" i="2"/>
  <c r="G406" i="2"/>
  <c r="G400" i="2"/>
  <c r="G401" i="2"/>
  <c r="T159" i="1"/>
  <c r="S159" i="1"/>
  <c r="V54" i="3"/>
  <c r="G394" i="2"/>
  <c r="G395" i="2"/>
  <c r="G396" i="2"/>
  <c r="G397" i="2"/>
  <c r="G398" i="2"/>
  <c r="G399" i="2"/>
  <c r="D15" i="34"/>
  <c r="T158" i="1"/>
  <c r="S158" i="1"/>
  <c r="T172" i="1" l="1"/>
  <c r="T166" i="1"/>
  <c r="T161" i="1"/>
  <c r="S172" i="1"/>
  <c r="S166" i="1"/>
  <c r="S161" i="1"/>
  <c r="S155" i="1"/>
  <c r="T155" i="1"/>
  <c r="S157" i="1"/>
  <c r="T157" i="1"/>
  <c r="G391" i="2"/>
  <c r="G392" i="2"/>
  <c r="G393" i="2"/>
  <c r="R156" i="1"/>
  <c r="Q156" i="1"/>
  <c r="O156" i="1"/>
  <c r="S156" i="1" s="1"/>
  <c r="G390" i="2"/>
  <c r="G389" i="2"/>
  <c r="G388" i="2"/>
  <c r="G387" i="2"/>
  <c r="T156" i="1" l="1"/>
  <c r="T154" i="1"/>
  <c r="S154" i="1"/>
  <c r="G386" i="2" l="1"/>
  <c r="G385" i="2"/>
  <c r="G384" i="2"/>
  <c r="G383" i="2"/>
  <c r="T153" i="1"/>
  <c r="S153" i="1"/>
  <c r="S150" i="1"/>
  <c r="T150" i="1"/>
  <c r="S152" i="1"/>
  <c r="T152" i="1"/>
  <c r="G379" i="2"/>
  <c r="G380" i="2"/>
  <c r="G381" i="2"/>
  <c r="G382" i="2"/>
  <c r="G374" i="2"/>
  <c r="G375" i="2"/>
  <c r="G376" i="2"/>
  <c r="G377" i="2"/>
  <c r="G378" i="2"/>
  <c r="R151" i="1"/>
  <c r="Q151" i="1"/>
  <c r="O151" i="1"/>
  <c r="T151" i="1" s="1"/>
  <c r="G373" i="2"/>
  <c r="G372" i="2"/>
  <c r="T149" i="1"/>
  <c r="S149" i="1"/>
  <c r="T148" i="1"/>
  <c r="S148" i="1"/>
  <c r="G371" i="2"/>
  <c r="G370" i="2"/>
  <c r="S143" i="1"/>
  <c r="T143" i="1"/>
  <c r="S144" i="1"/>
  <c r="T144" i="1"/>
  <c r="S146" i="1"/>
  <c r="T146" i="1"/>
  <c r="R147" i="1"/>
  <c r="Q147" i="1"/>
  <c r="G368" i="2"/>
  <c r="G369" i="2"/>
  <c r="G367" i="2"/>
  <c r="O147" i="1"/>
  <c r="G366" i="2"/>
  <c r="G364" i="2"/>
  <c r="G365" i="2"/>
  <c r="R145" i="1"/>
  <c r="Q145" i="1"/>
  <c r="O145" i="1"/>
  <c r="G363" i="2"/>
  <c r="G362" i="2"/>
  <c r="G361" i="2"/>
  <c r="G360" i="2"/>
  <c r="G359" i="2"/>
  <c r="G358" i="2"/>
  <c r="G357" i="2"/>
  <c r="G356" i="2"/>
  <c r="G352" i="2"/>
  <c r="G353" i="2"/>
  <c r="G354" i="2"/>
  <c r="G355" i="2"/>
  <c r="T142" i="1"/>
  <c r="S138" i="1"/>
  <c r="S139" i="1"/>
  <c r="S140" i="1"/>
  <c r="S141" i="1"/>
  <c r="S142" i="1"/>
  <c r="T141" i="1"/>
  <c r="G351" i="2"/>
  <c r="G349" i="2"/>
  <c r="G350" i="2"/>
  <c r="G346" i="2"/>
  <c r="G347" i="2"/>
  <c r="G348" i="2"/>
  <c r="G345" i="2"/>
  <c r="G344" i="2"/>
  <c r="G343" i="2"/>
  <c r="S137" i="1"/>
  <c r="G342" i="2"/>
  <c r="G341" i="2"/>
  <c r="G340" i="2"/>
  <c r="G339" i="2"/>
  <c r="G338" i="2"/>
  <c r="G337" i="2"/>
  <c r="G336" i="2"/>
  <c r="S136" i="1"/>
  <c r="S135" i="1"/>
  <c r="L47" i="3"/>
  <c r="S134" i="1"/>
  <c r="S133" i="1"/>
  <c r="G335" i="2"/>
  <c r="S132" i="1"/>
  <c r="T131" i="1"/>
  <c r="T132" i="1"/>
  <c r="T134" i="1"/>
  <c r="T135" i="1"/>
  <c r="T136" i="1"/>
  <c r="T137" i="1"/>
  <c r="T138" i="1"/>
  <c r="T139" i="1"/>
  <c r="T140" i="1"/>
  <c r="S131" i="1"/>
  <c r="G333" i="2"/>
  <c r="G334" i="2"/>
  <c r="G297" i="2"/>
  <c r="G331" i="2"/>
  <c r="G332" i="2"/>
  <c r="G329" i="2"/>
  <c r="G330" i="2"/>
  <c r="G328" i="2"/>
  <c r="G327" i="2"/>
  <c r="G326" i="2"/>
  <c r="G325" i="2"/>
  <c r="T130" i="1"/>
  <c r="S130" i="1"/>
  <c r="G324" i="2"/>
  <c r="G323" i="2"/>
  <c r="G322" i="2"/>
  <c r="G321" i="2"/>
  <c r="T129" i="1"/>
  <c r="S129" i="1"/>
  <c r="G320" i="2"/>
  <c r="G319" i="2"/>
  <c r="T128" i="1"/>
  <c r="S128" i="1"/>
  <c r="T126" i="1"/>
  <c r="S126" i="1"/>
  <c r="T125" i="1"/>
  <c r="S125" i="1"/>
  <c r="T124" i="1"/>
  <c r="S124" i="1"/>
  <c r="T123" i="1"/>
  <c r="S123" i="1"/>
  <c r="T122" i="1"/>
  <c r="S122" i="1"/>
  <c r="G318" i="2"/>
  <c r="G315" i="2"/>
  <c r="G316" i="2"/>
  <c r="G317" i="2"/>
  <c r="G314" i="2"/>
  <c r="L45" i="3"/>
  <c r="R127" i="1"/>
  <c r="T127" i="1" s="1"/>
  <c r="Q127" i="1"/>
  <c r="S127" i="1" s="1"/>
  <c r="G311" i="2"/>
  <c r="G312" i="2"/>
  <c r="G313" i="2"/>
  <c r="G310" i="2"/>
  <c r="G309" i="2"/>
  <c r="L44" i="3"/>
  <c r="G307" i="2"/>
  <c r="G308" i="2"/>
  <c r="G306" i="2"/>
  <c r="G305" i="2"/>
  <c r="G304" i="2"/>
  <c r="G303" i="2"/>
  <c r="T121" i="1"/>
  <c r="S121" i="1"/>
  <c r="G302" i="2"/>
  <c r="G301" i="2"/>
  <c r="G300" i="2"/>
  <c r="G299" i="2"/>
  <c r="G298" i="2"/>
  <c r="T120" i="1"/>
  <c r="S120" i="1"/>
  <c r="T119" i="1"/>
  <c r="S119" i="1"/>
  <c r="T118" i="1"/>
  <c r="S118" i="1"/>
  <c r="T117" i="1"/>
  <c r="S117" i="1"/>
  <c r="T116" i="1"/>
  <c r="S116" i="1"/>
  <c r="AB43" i="3"/>
  <c r="AA43" i="3"/>
  <c r="L43" i="3"/>
  <c r="G296" i="2"/>
  <c r="G293" i="2"/>
  <c r="G294" i="2"/>
  <c r="G295" i="2"/>
  <c r="L42" i="3"/>
  <c r="G291" i="2"/>
  <c r="G292" i="2"/>
  <c r="G290" i="2"/>
  <c r="G289" i="2"/>
  <c r="G288" i="2"/>
  <c r="G287" i="2"/>
  <c r="G284" i="2"/>
  <c r="G285" i="2"/>
  <c r="G286" i="2"/>
  <c r="G283" i="2"/>
  <c r="G282" i="2"/>
  <c r="T115" i="1"/>
  <c r="S115" i="1"/>
  <c r="G281" i="2"/>
  <c r="G280" i="2"/>
  <c r="T114" i="1"/>
  <c r="S114" i="1"/>
  <c r="T112" i="1"/>
  <c r="S112" i="1"/>
  <c r="T111" i="1"/>
  <c r="S111" i="1"/>
  <c r="T110" i="1"/>
  <c r="S110" i="1"/>
  <c r="G279" i="2"/>
  <c r="L41" i="3"/>
  <c r="G277" i="2"/>
  <c r="G278" i="2"/>
  <c r="G276" i="2"/>
  <c r="G275" i="2"/>
  <c r="R113" i="1"/>
  <c r="Q113" i="1"/>
  <c r="O113" i="1"/>
  <c r="G274" i="2"/>
  <c r="G273" i="2"/>
  <c r="G272" i="2"/>
  <c r="G271" i="2"/>
  <c r="G269" i="2"/>
  <c r="G270" i="2"/>
  <c r="G268" i="2"/>
  <c r="G267" i="2"/>
  <c r="T109" i="1"/>
  <c r="S109" i="1"/>
  <c r="G266" i="2"/>
  <c r="G265" i="2"/>
  <c r="G264" i="2"/>
  <c r="T108" i="1"/>
  <c r="S108" i="1"/>
  <c r="T107" i="1"/>
  <c r="S107" i="1"/>
  <c r="G263" i="2"/>
  <c r="G262" i="2"/>
  <c r="G257" i="2"/>
  <c r="G258" i="2"/>
  <c r="G259" i="2"/>
  <c r="G260" i="2"/>
  <c r="G261" i="2"/>
  <c r="L40" i="3"/>
  <c r="G256" i="2"/>
  <c r="G255" i="2"/>
  <c r="S104" i="1"/>
  <c r="T104" i="1"/>
  <c r="S105" i="1"/>
  <c r="T105" i="1"/>
  <c r="R106" i="1"/>
  <c r="T106" i="1" s="1"/>
  <c r="Q106" i="1"/>
  <c r="S106" i="1" s="1"/>
  <c r="G254" i="2"/>
  <c r="G253" i="2"/>
  <c r="G251" i="2"/>
  <c r="G252" i="2"/>
  <c r="G249" i="2"/>
  <c r="G250" i="2"/>
  <c r="G247" i="2"/>
  <c r="G248" i="2"/>
  <c r="G234" i="2"/>
  <c r="G246" i="2"/>
  <c r="T103" i="1"/>
  <c r="S103" i="1"/>
  <c r="G245" i="2"/>
  <c r="T102" i="1"/>
  <c r="S102" i="1"/>
  <c r="L39" i="3"/>
  <c r="G244" i="2"/>
  <c r="G243" i="2"/>
  <c r="T101" i="1"/>
  <c r="S101" i="1"/>
  <c r="G242" i="2"/>
  <c r="T100" i="1"/>
  <c r="S100" i="1"/>
  <c r="S151" i="1" l="1"/>
  <c r="T113" i="1"/>
  <c r="AC43" i="3"/>
  <c r="S147" i="1"/>
  <c r="T145" i="1"/>
  <c r="S145" i="1"/>
  <c r="S113" i="1"/>
  <c r="T147" i="1"/>
  <c r="T99" i="1"/>
  <c r="S99" i="1"/>
  <c r="G241" i="2"/>
  <c r="G240" i="2"/>
  <c r="G239" i="2"/>
  <c r="G238" i="2"/>
  <c r="G237" i="2" l="1"/>
  <c r="G236" i="2"/>
  <c r="T98" i="1"/>
  <c r="G235" i="2"/>
  <c r="G233" i="2"/>
  <c r="T95" i="1"/>
  <c r="T96" i="1"/>
  <c r="T97" i="1"/>
  <c r="S95" i="1"/>
  <c r="S96" i="1"/>
  <c r="S97" i="1"/>
  <c r="S98" i="1"/>
  <c r="G232" i="2" l="1"/>
  <c r="L38" i="3"/>
  <c r="G231" i="2"/>
  <c r="G228" i="2"/>
  <c r="G229" i="2"/>
  <c r="G230" i="2"/>
  <c r="G226" i="2" l="1"/>
  <c r="G227" i="2"/>
  <c r="G224" i="2" l="1"/>
  <c r="G225" i="2"/>
  <c r="G222" i="2"/>
  <c r="G223" i="2"/>
  <c r="S92" i="1"/>
  <c r="T92" i="1"/>
  <c r="G221" i="2"/>
  <c r="L37" i="3"/>
  <c r="G220" i="2"/>
  <c r="G219" i="2"/>
  <c r="S91" i="1"/>
  <c r="G218" i="2"/>
  <c r="G217" i="2"/>
  <c r="T90" i="1"/>
  <c r="S90" i="1"/>
  <c r="L36" i="3"/>
  <c r="T89" i="1"/>
  <c r="S89" i="1"/>
  <c r="T88" i="1"/>
  <c r="S88" i="1"/>
  <c r="G213" i="2"/>
  <c r="G214" i="2"/>
  <c r="G215" i="2"/>
  <c r="G216" i="2"/>
  <c r="G211" i="2"/>
  <c r="G212" i="2"/>
  <c r="G208" i="2"/>
  <c r="G209" i="2"/>
  <c r="G210" i="2"/>
  <c r="G207" i="2"/>
  <c r="L35" i="3"/>
  <c r="Q35" i="3"/>
  <c r="T87" i="1"/>
  <c r="G206" i="2"/>
  <c r="S86" i="1"/>
  <c r="T86" i="1"/>
  <c r="G205" i="2"/>
  <c r="G204" i="2"/>
  <c r="T85" i="1"/>
  <c r="S85" i="1"/>
  <c r="G202" i="2"/>
  <c r="G203" i="2"/>
  <c r="G197" i="2"/>
  <c r="G198" i="2"/>
  <c r="G199" i="2"/>
  <c r="G200" i="2"/>
  <c r="G201" i="2"/>
  <c r="S83" i="1"/>
  <c r="T83" i="1"/>
  <c r="S84" i="1"/>
  <c r="T84" i="1"/>
  <c r="L34" i="3"/>
  <c r="S87" i="1" l="1"/>
  <c r="T91" i="1"/>
  <c r="S94" i="1"/>
  <c r="T94" i="1"/>
  <c r="T93" i="1"/>
  <c r="S93" i="1"/>
  <c r="T82" i="1"/>
  <c r="S82" i="1"/>
  <c r="L33" i="3"/>
  <c r="L32" i="3"/>
  <c r="T81" i="1"/>
  <c r="S81" i="1"/>
  <c r="G194" i="2"/>
  <c r="G195" i="2"/>
  <c r="G196" i="2"/>
  <c r="G189" i="2"/>
  <c r="G190" i="2"/>
  <c r="G191" i="2"/>
  <c r="G192" i="2"/>
  <c r="G193" i="2"/>
  <c r="T80" i="1"/>
  <c r="S80" i="1"/>
  <c r="S77" i="1"/>
  <c r="T75" i="1"/>
  <c r="S76" i="1"/>
  <c r="T76" i="1"/>
  <c r="G187" i="2"/>
  <c r="G188" i="2"/>
  <c r="S75" i="1"/>
  <c r="G179" i="2"/>
  <c r="G180" i="2"/>
  <c r="G181" i="2"/>
  <c r="G182" i="2"/>
  <c r="G183" i="2"/>
  <c r="G184" i="2"/>
  <c r="G185" i="2"/>
  <c r="G186" i="2"/>
  <c r="T74" i="1"/>
  <c r="S74" i="1"/>
  <c r="T73" i="1"/>
  <c r="S73" i="1"/>
  <c r="T72" i="1"/>
  <c r="S72" i="1"/>
  <c r="L31" i="3"/>
  <c r="T71" i="1"/>
  <c r="S71" i="1"/>
  <c r="T70" i="1"/>
  <c r="S70" i="1"/>
  <c r="G178" i="2"/>
  <c r="G177" i="2"/>
  <c r="T69" i="1"/>
  <c r="S69" i="1"/>
  <c r="G175" i="2"/>
  <c r="G176" i="2"/>
  <c r="L30" i="3"/>
  <c r="G173" i="2"/>
  <c r="G174" i="2"/>
  <c r="G172" i="2"/>
  <c r="G171" i="2"/>
  <c r="S68" i="1"/>
  <c r="G170" i="2"/>
  <c r="G169" i="2"/>
  <c r="G168" i="2"/>
  <c r="G167" i="2"/>
  <c r="T77" i="1" l="1"/>
  <c r="T79" i="1"/>
  <c r="S79" i="1"/>
  <c r="S78" i="1"/>
  <c r="T78" i="1"/>
  <c r="G166" i="2"/>
  <c r="L29" i="3"/>
  <c r="G162" i="2"/>
  <c r="G163" i="2"/>
  <c r="G164" i="2"/>
  <c r="G165" i="2"/>
  <c r="T67" i="1" l="1"/>
  <c r="T68" i="1"/>
  <c r="S67" i="1"/>
  <c r="G160" i="2"/>
  <c r="G161" i="2"/>
  <c r="L28" i="3"/>
  <c r="R65" i="1"/>
  <c r="R66" i="1" s="1"/>
  <c r="Q65" i="1"/>
  <c r="Q66" i="1" s="1"/>
  <c r="T64" i="1"/>
  <c r="S64" i="1"/>
  <c r="T63" i="1"/>
  <c r="S63" i="1"/>
  <c r="G156" i="2"/>
  <c r="G157" i="2"/>
  <c r="G158" i="2"/>
  <c r="G159" i="2"/>
  <c r="G153" i="2"/>
  <c r="G154" i="2"/>
  <c r="G155" i="2"/>
  <c r="T62" i="1"/>
  <c r="S62" i="1"/>
  <c r="L27" i="3"/>
  <c r="G152" i="2"/>
  <c r="G151" i="2"/>
  <c r="T61" i="1"/>
  <c r="S61" i="1"/>
  <c r="G150" i="2"/>
  <c r="G149" i="2"/>
  <c r="G148" i="2"/>
  <c r="T60" i="1"/>
  <c r="G147" i="2"/>
  <c r="S25" i="3"/>
  <c r="T66" i="1" l="1"/>
  <c r="S66" i="1"/>
  <c r="T65" i="1"/>
  <c r="S65" i="1"/>
  <c r="T52" i="1"/>
  <c r="T54" i="1"/>
  <c r="T57" i="1"/>
  <c r="T59" i="1"/>
  <c r="S54" i="1"/>
  <c r="S57" i="1"/>
  <c r="S59" i="1"/>
  <c r="S60" i="1"/>
  <c r="G144" i="2"/>
  <c r="G145" i="2"/>
  <c r="G146" i="2"/>
  <c r="G143" i="2"/>
  <c r="L26" i="3"/>
  <c r="R58" i="1"/>
  <c r="Q58" i="1"/>
  <c r="S58" i="1" s="1"/>
  <c r="G142" i="2"/>
  <c r="G139" i="2"/>
  <c r="G140" i="2"/>
  <c r="G141" i="2"/>
  <c r="Q56" i="1"/>
  <c r="G138" i="2"/>
  <c r="G137" i="2"/>
  <c r="R55" i="1"/>
  <c r="R56" i="1" s="1"/>
  <c r="Q55" i="1"/>
  <c r="S55" i="1" s="1"/>
  <c r="G136" i="2"/>
  <c r="G135" i="2"/>
  <c r="G134" i="2"/>
  <c r="AC25" i="3"/>
  <c r="AB25" i="3"/>
  <c r="AA25" i="3"/>
  <c r="U25" i="3"/>
  <c r="L25" i="3"/>
  <c r="R53" i="1"/>
  <c r="Q53" i="1"/>
  <c r="S53" i="1" s="1"/>
  <c r="S52" i="1"/>
  <c r="G133" i="2"/>
  <c r="G132" i="2"/>
  <c r="G131" i="2"/>
  <c r="G130" i="2"/>
  <c r="G129" i="2"/>
  <c r="G128" i="2"/>
  <c r="G127" i="2"/>
  <c r="G126" i="2"/>
  <c r="T51" i="1"/>
  <c r="S51" i="1"/>
  <c r="T50" i="1"/>
  <c r="T49" i="1"/>
  <c r="T48" i="1"/>
  <c r="T47" i="1"/>
  <c r="T46" i="1"/>
  <c r="S46" i="1"/>
  <c r="T45" i="1"/>
  <c r="S24" i="3"/>
  <c r="G125" i="2"/>
  <c r="G124" i="2"/>
  <c r="G119" i="2"/>
  <c r="G120" i="2"/>
  <c r="G121" i="2"/>
  <c r="G122" i="2"/>
  <c r="G123" i="2"/>
  <c r="S56" i="1" l="1"/>
  <c r="T58" i="1"/>
  <c r="T56" i="1"/>
  <c r="T55" i="1"/>
  <c r="T53" i="1"/>
  <c r="L24" i="3"/>
  <c r="G118" i="2"/>
  <c r="G117" i="2"/>
  <c r="G115" i="2"/>
  <c r="G116" i="2"/>
  <c r="G114" i="2"/>
  <c r="Q49" i="1"/>
  <c r="S49" i="1" s="1"/>
  <c r="Q48" i="1"/>
  <c r="S48" i="1" s="1"/>
  <c r="S23" i="3"/>
  <c r="L23" i="3"/>
  <c r="G112" i="2"/>
  <c r="G113" i="2"/>
  <c r="G111" i="2"/>
  <c r="G109" i="2"/>
  <c r="G110" i="2"/>
  <c r="Q47" i="1"/>
  <c r="S47" i="1" s="1"/>
  <c r="G108" i="2"/>
  <c r="G106" i="2"/>
  <c r="G107" i="2"/>
  <c r="Q45" i="1"/>
  <c r="S45" i="1" s="1"/>
  <c r="G105" i="2"/>
  <c r="G104" i="2"/>
  <c r="G103" i="2"/>
  <c r="L22" i="3"/>
  <c r="T42" i="1"/>
  <c r="T43" i="1"/>
  <c r="S42" i="1"/>
  <c r="S43" i="1"/>
  <c r="G102" i="2"/>
  <c r="L21" i="3"/>
  <c r="T41" i="1"/>
  <c r="S41" i="1"/>
  <c r="G99" i="2"/>
  <c r="G100" i="2"/>
  <c r="G101" i="2"/>
  <c r="T40" i="1"/>
  <c r="S40" i="1"/>
  <c r="L20" i="3"/>
  <c r="Q50" i="1" l="1"/>
  <c r="S50" i="1" s="1"/>
  <c r="S39" i="1"/>
  <c r="S38" i="1"/>
  <c r="T39" i="1"/>
  <c r="G98" i="2"/>
  <c r="G97" i="2"/>
  <c r="T38" i="1"/>
  <c r="G96" i="2"/>
  <c r="G95" i="2" l="1"/>
  <c r="G94" i="2"/>
  <c r="T34" i="1"/>
  <c r="T35" i="1"/>
  <c r="T36" i="1"/>
  <c r="T37" i="1"/>
  <c r="S34" i="1"/>
  <c r="S35" i="1"/>
  <c r="S36" i="1"/>
  <c r="S37" i="1"/>
  <c r="L19" i="3"/>
  <c r="G93" i="2"/>
  <c r="G92" i="2"/>
  <c r="G91" i="2"/>
  <c r="G90" i="2"/>
  <c r="G89" i="2"/>
  <c r="G88" i="2"/>
  <c r="L18" i="3"/>
  <c r="G87" i="2"/>
  <c r="G86" i="2"/>
  <c r="T33" i="1"/>
  <c r="S33" i="1"/>
  <c r="G85" i="2"/>
  <c r="T32" i="1"/>
  <c r="S32" i="1"/>
  <c r="G84" i="2"/>
  <c r="G83" i="2"/>
  <c r="G82" i="2"/>
  <c r="G81" i="2"/>
  <c r="T31" i="1"/>
  <c r="S31" i="1"/>
  <c r="G80" i="2"/>
  <c r="G79" i="2"/>
  <c r="T30" i="1"/>
  <c r="S30" i="1"/>
  <c r="G78" i="2"/>
  <c r="G77" i="2"/>
  <c r="L17" i="3"/>
  <c r="G76" i="2"/>
  <c r="G74" i="2"/>
  <c r="G75" i="2"/>
  <c r="G71" i="2"/>
  <c r="G72" i="2"/>
  <c r="G73" i="2"/>
  <c r="S29" i="1"/>
  <c r="S28" i="1"/>
  <c r="G69" i="2"/>
  <c r="G70" i="2"/>
  <c r="G68" i="2"/>
  <c r="L16" i="3"/>
  <c r="G67" i="2"/>
  <c r="G66" i="2"/>
  <c r="S27" i="1"/>
  <c r="G65" i="2"/>
  <c r="S15" i="3"/>
  <c r="L15" i="3"/>
  <c r="G64" i="2"/>
  <c r="G63" i="2"/>
  <c r="G62" i="2"/>
  <c r="G61" i="2"/>
  <c r="G60" i="2"/>
  <c r="G59" i="2"/>
  <c r="G57" i="2"/>
  <c r="G58" i="2"/>
  <c r="G56" i="2"/>
  <c r="G53" i="2"/>
  <c r="G54" i="2"/>
  <c r="G55" i="2"/>
  <c r="G51" i="2" l="1"/>
  <c r="G52" i="2"/>
  <c r="G50" i="2" l="1"/>
  <c r="S23" i="1"/>
  <c r="S22" i="1"/>
  <c r="S21" i="1"/>
  <c r="G48" i="2"/>
  <c r="G49" i="2"/>
  <c r="G47" i="2"/>
  <c r="S14" i="3"/>
  <c r="L14" i="3"/>
  <c r="L13" i="3"/>
  <c r="G46" i="2"/>
  <c r="T20" i="1"/>
  <c r="L12" i="3"/>
  <c r="S11" i="3"/>
  <c r="L11" i="3"/>
  <c r="G37" i="2"/>
  <c r="G38" i="2"/>
  <c r="G39" i="2"/>
  <c r="G40" i="2"/>
  <c r="G41" i="2"/>
  <c r="G42" i="2"/>
  <c r="G43" i="2"/>
  <c r="G44" i="2"/>
  <c r="G45" i="2"/>
  <c r="L10" i="3"/>
  <c r="G34" i="2"/>
  <c r="G35" i="2"/>
  <c r="G36" i="2"/>
  <c r="G33" i="2"/>
  <c r="G31" i="2" l="1"/>
  <c r="G30" i="2"/>
  <c r="G32" i="2"/>
  <c r="G29" i="2"/>
  <c r="L9" i="3"/>
  <c r="S9" i="3"/>
  <c r="G27" i="2"/>
  <c r="G28" i="2"/>
  <c r="B6" i="33"/>
  <c r="G26" i="2"/>
  <c r="G25" i="2"/>
  <c r="S14" i="1"/>
  <c r="S8" i="3"/>
  <c r="L8" i="3"/>
  <c r="R13" i="1"/>
  <c r="T13" i="1" s="1"/>
  <c r="S13" i="1"/>
  <c r="G23" i="2"/>
  <c r="G24" i="2"/>
  <c r="R11" i="1"/>
  <c r="Q11" i="1"/>
  <c r="G22" i="2"/>
  <c r="G21" i="2"/>
  <c r="G20" i="2"/>
  <c r="L7" i="3"/>
  <c r="G19" i="2"/>
  <c r="T6" i="1"/>
  <c r="T7" i="1"/>
  <c r="T8" i="1"/>
  <c r="T9" i="1"/>
  <c r="T10" i="1"/>
  <c r="T12" i="1"/>
  <c r="T15" i="1"/>
  <c r="T16" i="1"/>
  <c r="T17" i="1"/>
  <c r="T18" i="1"/>
  <c r="T19" i="1"/>
  <c r="T21" i="1"/>
  <c r="T22" i="1"/>
  <c r="T23" i="1"/>
  <c r="T24" i="1"/>
  <c r="T25" i="1"/>
  <c r="T26" i="1"/>
  <c r="T27" i="1"/>
  <c r="T28" i="1"/>
  <c r="T29" i="1"/>
  <c r="S6" i="1"/>
  <c r="S7" i="1"/>
  <c r="S8" i="1"/>
  <c r="S9" i="1"/>
  <c r="S10" i="1"/>
  <c r="S12" i="1"/>
  <c r="S15" i="1"/>
  <c r="S16" i="1"/>
  <c r="S17" i="1"/>
  <c r="S18" i="1"/>
  <c r="S19" i="1"/>
  <c r="S20" i="1"/>
  <c r="S24" i="1"/>
  <c r="S25" i="1"/>
  <c r="S26" i="1"/>
  <c r="G18" i="2"/>
  <c r="G17" i="2"/>
  <c r="G16" i="2"/>
  <c r="L6" i="3"/>
  <c r="G15" i="2"/>
  <c r="S11" i="1" l="1"/>
  <c r="T11" i="1"/>
  <c r="T14" i="1"/>
  <c r="D12" i="29"/>
  <c r="F11" i="29"/>
  <c r="F10" i="29"/>
  <c r="D10" i="29"/>
  <c r="D17" i="29" s="1"/>
  <c r="E10" i="29"/>
  <c r="E17" i="29" s="1"/>
  <c r="G10" i="29"/>
  <c r="H10" i="29"/>
  <c r="I10" i="29"/>
  <c r="J10" i="29"/>
  <c r="L10" i="29"/>
  <c r="M10" i="29"/>
  <c r="N10" i="29"/>
  <c r="O10" i="29"/>
  <c r="P10" i="29"/>
  <c r="Q10" i="29"/>
  <c r="R10" i="29"/>
  <c r="T10" i="29"/>
  <c r="U10" i="29"/>
  <c r="V10" i="29"/>
  <c r="W10" i="29"/>
  <c r="X10" i="29"/>
  <c r="Y10" i="29"/>
  <c r="Z10" i="29"/>
  <c r="AB10" i="29"/>
  <c r="AC10" i="29"/>
  <c r="AD10" i="29"/>
  <c r="AE10" i="29"/>
  <c r="AF10" i="29"/>
  <c r="AG10" i="29"/>
  <c r="AH10" i="29"/>
  <c r="AJ10" i="29"/>
  <c r="AK10" i="29"/>
  <c r="AL10" i="29"/>
  <c r="AM10" i="29"/>
  <c r="AN10" i="29"/>
  <c r="AO10" i="29"/>
  <c r="AP10" i="29"/>
  <c r="AR10" i="29"/>
  <c r="AS10" i="29"/>
  <c r="AT10" i="29"/>
  <c r="AU10" i="29"/>
  <c r="AV10" i="29"/>
  <c r="AW10" i="29"/>
  <c r="AX10" i="29"/>
  <c r="AZ10" i="29"/>
  <c r="BA10" i="29"/>
  <c r="BB10" i="29"/>
  <c r="BC10" i="29"/>
  <c r="BD10" i="29"/>
  <c r="BE10" i="29"/>
  <c r="BF10" i="29"/>
  <c r="BH10" i="29"/>
  <c r="BI10" i="29"/>
  <c r="BJ10" i="29"/>
  <c r="BK10" i="29"/>
  <c r="BL10" i="29"/>
  <c r="BM10" i="29"/>
  <c r="BN10" i="29"/>
  <c r="BP10" i="29"/>
  <c r="BQ10" i="29"/>
  <c r="BR10" i="29"/>
  <c r="BS10" i="29"/>
  <c r="BT10" i="29"/>
  <c r="BU10" i="29"/>
  <c r="BV10" i="29"/>
  <c r="BX10" i="29"/>
  <c r="BY10" i="29"/>
  <c r="BZ10" i="29"/>
  <c r="CA10" i="29"/>
  <c r="CB10" i="29"/>
  <c r="CC10" i="29"/>
  <c r="CD10" i="29"/>
  <c r="CF10" i="29"/>
  <c r="CG10" i="29"/>
  <c r="CH10" i="29"/>
  <c r="CI10" i="29"/>
  <c r="CJ10" i="29"/>
  <c r="CK10" i="29"/>
  <c r="CL10" i="29"/>
  <c r="CN10" i="29"/>
  <c r="CO10" i="29"/>
  <c r="CP10" i="29"/>
  <c r="CQ10" i="29"/>
  <c r="CR10" i="29"/>
  <c r="CS10" i="29"/>
  <c r="CT10" i="29"/>
  <c r="CV10" i="29"/>
  <c r="CW10" i="29"/>
  <c r="CX10" i="29"/>
  <c r="CY10" i="29"/>
  <c r="CZ10" i="29"/>
  <c r="DA10" i="29"/>
  <c r="DB10" i="29"/>
  <c r="DD10" i="29"/>
  <c r="DE10" i="29"/>
  <c r="DF10" i="29"/>
  <c r="DG10" i="29"/>
  <c r="DH10" i="29"/>
  <c r="DI10" i="29"/>
  <c r="DJ10" i="29"/>
  <c r="DL10" i="29"/>
  <c r="DM10" i="29"/>
  <c r="DN10" i="29"/>
  <c r="DO10" i="29"/>
  <c r="DP10" i="29"/>
  <c r="DQ10" i="29"/>
  <c r="DR10" i="29"/>
  <c r="DT10" i="29"/>
  <c r="DU10" i="29"/>
  <c r="DV10" i="29"/>
  <c r="DW10" i="29"/>
  <c r="DX10" i="29"/>
  <c r="DY10" i="29"/>
  <c r="DZ10" i="29"/>
  <c r="EB10" i="29"/>
  <c r="EC10" i="29"/>
  <c r="ED10" i="29"/>
  <c r="EE10" i="29"/>
  <c r="EF10" i="29"/>
  <c r="EG10" i="29"/>
  <c r="EH10" i="29"/>
  <c r="EJ10" i="29"/>
  <c r="EK10" i="29"/>
  <c r="EL10" i="29"/>
  <c r="EM10" i="29"/>
  <c r="EN10" i="29"/>
  <c r="EO10" i="29"/>
  <c r="EP10" i="29"/>
  <c r="ER10" i="29"/>
  <c r="ES10" i="29"/>
  <c r="ET10" i="29"/>
  <c r="EU10" i="29"/>
  <c r="EV10" i="29"/>
  <c r="EW10" i="29"/>
  <c r="EX10" i="29"/>
  <c r="EZ10" i="29"/>
  <c r="FA10" i="29"/>
  <c r="FB10" i="29"/>
  <c r="FC10" i="29"/>
  <c r="FD10" i="29"/>
  <c r="FE10" i="29"/>
  <c r="FF10" i="29"/>
  <c r="FH10" i="29"/>
  <c r="FI10" i="29"/>
  <c r="FJ10" i="29"/>
  <c r="FK10" i="29"/>
  <c r="FL10" i="29"/>
  <c r="FM10" i="29"/>
  <c r="FN10" i="29"/>
  <c r="FP10" i="29"/>
  <c r="FQ10" i="29"/>
  <c r="FR10" i="29"/>
  <c r="FS10" i="29"/>
  <c r="FT10" i="29"/>
  <c r="FU10" i="29"/>
  <c r="FV10" i="29"/>
  <c r="FX10" i="29"/>
  <c r="FY10" i="29"/>
  <c r="FZ10" i="29"/>
  <c r="GA10" i="29"/>
  <c r="GB10" i="29"/>
  <c r="GC10" i="29"/>
  <c r="GD10" i="29"/>
  <c r="GF10" i="29"/>
  <c r="GG10" i="29"/>
  <c r="GH10" i="29"/>
  <c r="GI10" i="29"/>
  <c r="GJ10" i="29"/>
  <c r="GK10" i="29"/>
  <c r="GL10" i="29"/>
  <c r="GN10" i="29"/>
  <c r="GO10" i="29"/>
  <c r="GP10" i="29"/>
  <c r="GQ10" i="29"/>
  <c r="GR10" i="29"/>
  <c r="GS10" i="29"/>
  <c r="GT10" i="29"/>
  <c r="GV10" i="29"/>
  <c r="GW10" i="29"/>
  <c r="GX10" i="29"/>
  <c r="GY10" i="29"/>
  <c r="GZ10" i="29"/>
  <c r="HA10" i="29"/>
  <c r="HB10" i="29"/>
  <c r="HD10" i="29"/>
  <c r="HE10" i="29"/>
  <c r="HF10" i="29"/>
  <c r="HG10" i="29"/>
  <c r="HH10" i="29"/>
  <c r="HI10" i="29"/>
  <c r="HJ10" i="29"/>
  <c r="HL10" i="29"/>
  <c r="HM10" i="29"/>
  <c r="HN10" i="29"/>
  <c r="HO10" i="29"/>
  <c r="HP10" i="29"/>
  <c r="HQ10" i="29"/>
  <c r="HR10" i="29"/>
  <c r="HT10" i="29"/>
  <c r="HU10" i="29"/>
  <c r="HV10" i="29"/>
  <c r="HW10" i="29"/>
  <c r="HX10" i="29"/>
  <c r="HY10" i="29"/>
  <c r="HZ10" i="29"/>
  <c r="IB10" i="29"/>
  <c r="IC10" i="29"/>
  <c r="ID10" i="29"/>
  <c r="IE10" i="29"/>
  <c r="IF10" i="29"/>
  <c r="IG10" i="29"/>
  <c r="IH10" i="29"/>
  <c r="IJ10" i="29"/>
  <c r="IK10" i="29"/>
  <c r="IL10" i="29"/>
  <c r="IM10" i="29"/>
  <c r="IN10" i="29"/>
  <c r="IO10" i="29"/>
  <c r="IP10" i="29"/>
  <c r="IR10" i="29"/>
  <c r="IS10" i="29"/>
  <c r="IT10" i="29"/>
  <c r="IU10" i="29"/>
  <c r="IV10" i="29"/>
  <c r="IW10" i="29"/>
  <c r="IX10" i="29"/>
  <c r="IZ10" i="29"/>
  <c r="JA10" i="29"/>
  <c r="JB10" i="29"/>
  <c r="JC10" i="29"/>
  <c r="JD10" i="29"/>
  <c r="JE10" i="29"/>
  <c r="JF10" i="29"/>
  <c r="JH10" i="29"/>
  <c r="JI10" i="29"/>
  <c r="JJ10" i="29"/>
  <c r="JK10" i="29"/>
  <c r="JL10" i="29"/>
  <c r="JM10" i="29"/>
  <c r="JN10" i="29"/>
  <c r="JP10" i="29"/>
  <c r="JQ10" i="29"/>
  <c r="JR10" i="29"/>
  <c r="JS10" i="29"/>
  <c r="JT10" i="29"/>
  <c r="JU10" i="29"/>
  <c r="JV10" i="29"/>
  <c r="JX10" i="29"/>
  <c r="JY10" i="29"/>
  <c r="JZ10" i="29"/>
  <c r="KA10" i="29"/>
  <c r="KB10" i="29"/>
  <c r="KC10" i="29"/>
  <c r="KD10" i="29"/>
  <c r="KF10" i="29"/>
  <c r="KG10" i="29"/>
  <c r="KH10" i="29"/>
  <c r="KI10" i="29"/>
  <c r="KJ10" i="29"/>
  <c r="KK10" i="29"/>
  <c r="KL10" i="29"/>
  <c r="KN10" i="29"/>
  <c r="KO10" i="29"/>
  <c r="KP10" i="29"/>
  <c r="KQ10" i="29"/>
  <c r="KR10" i="29"/>
  <c r="KS10" i="29"/>
  <c r="KT10" i="29"/>
  <c r="KV10" i="29"/>
  <c r="KW10" i="29"/>
  <c r="KX10" i="29"/>
  <c r="KY10" i="29"/>
  <c r="KZ10" i="29"/>
  <c r="LA10" i="29"/>
  <c r="LB10" i="29"/>
  <c r="LD10" i="29"/>
  <c r="LE10" i="29"/>
  <c r="LF10" i="29"/>
  <c r="LG10" i="29"/>
  <c r="LH10" i="29"/>
  <c r="LI10" i="29"/>
  <c r="LJ10" i="29"/>
  <c r="LL10" i="29"/>
  <c r="LM10" i="29"/>
  <c r="LN10" i="29"/>
  <c r="LO10" i="29"/>
  <c r="LP10" i="29"/>
  <c r="LQ10" i="29"/>
  <c r="LR10" i="29"/>
  <c r="LT10" i="29"/>
  <c r="LU10" i="29"/>
  <c r="LV10" i="29"/>
  <c r="LW10" i="29"/>
  <c r="LX10" i="29"/>
  <c r="LY10" i="29"/>
  <c r="LZ10" i="29"/>
  <c r="MB10" i="29"/>
  <c r="MC10" i="29"/>
  <c r="MD10" i="29"/>
  <c r="ME10" i="29"/>
  <c r="MF10" i="29"/>
  <c r="MG10" i="29"/>
  <c r="MH10" i="29"/>
  <c r="MJ10" i="29"/>
  <c r="MK10" i="29"/>
  <c r="ML10" i="29"/>
  <c r="MM10" i="29"/>
  <c r="MN10" i="29"/>
  <c r="MO10" i="29"/>
  <c r="MP10" i="29"/>
  <c r="MR10" i="29"/>
  <c r="MS10" i="29"/>
  <c r="MT10" i="29"/>
  <c r="MU10" i="29"/>
  <c r="MV10" i="29"/>
  <c r="MW10" i="29"/>
  <c r="MX10" i="29"/>
  <c r="MZ10" i="29"/>
  <c r="NA10" i="29"/>
  <c r="NB10" i="29"/>
  <c r="NC10" i="29"/>
  <c r="ND10" i="29"/>
  <c r="NE10" i="29"/>
  <c r="NF10" i="29"/>
  <c r="NH10" i="29"/>
  <c r="NI10" i="29"/>
  <c r="NJ10" i="29"/>
  <c r="NK10" i="29"/>
  <c r="NL10" i="29"/>
  <c r="NM10" i="29"/>
  <c r="NN10" i="29"/>
  <c r="NP10" i="29"/>
  <c r="NQ10" i="29"/>
  <c r="NR10" i="29"/>
  <c r="NS10" i="29"/>
  <c r="NT10" i="29"/>
  <c r="NU10" i="29"/>
  <c r="NV10" i="29"/>
  <c r="D11" i="29"/>
  <c r="E11" i="29"/>
  <c r="G11" i="29"/>
  <c r="H11" i="29"/>
  <c r="I11" i="29"/>
  <c r="J11" i="29"/>
  <c r="E12" i="29"/>
  <c r="D19" i="29"/>
  <c r="E13" i="29"/>
  <c r="E19" i="29" s="1"/>
  <c r="D14" i="29"/>
  <c r="E14" i="29"/>
  <c r="D15" i="29"/>
  <c r="E15" i="29"/>
  <c r="D16" i="29"/>
  <c r="E16" i="29"/>
  <c r="FG10" i="29" l="1"/>
  <c r="CU10" i="29"/>
  <c r="KE10" i="29"/>
  <c r="MQ10" i="29"/>
  <c r="HS10" i="29"/>
  <c r="AI10" i="29"/>
  <c r="MY10" i="29"/>
  <c r="KM10" i="29"/>
  <c r="IA10" i="29"/>
  <c r="FO10" i="29"/>
  <c r="DC10" i="29"/>
  <c r="AQ10" i="29"/>
  <c r="NG10" i="29"/>
  <c r="KU10" i="29"/>
  <c r="II10" i="29"/>
  <c r="FW10" i="29"/>
  <c r="DK10" i="29"/>
  <c r="AY10" i="29"/>
  <c r="NO10" i="29"/>
  <c r="LC10" i="29"/>
  <c r="IQ10" i="29"/>
  <c r="GE10" i="29"/>
  <c r="DS10" i="29"/>
  <c r="BG10" i="29"/>
  <c r="NW10" i="29"/>
  <c r="LK10" i="29"/>
  <c r="IY10" i="29"/>
  <c r="GM10" i="29"/>
  <c r="EA10" i="29"/>
  <c r="BO10" i="29"/>
  <c r="LS10" i="29"/>
  <c r="JG10" i="29"/>
  <c r="GU10" i="29"/>
  <c r="EI10" i="29"/>
  <c r="BW10" i="29"/>
  <c r="MA10" i="29"/>
  <c r="JO10" i="29"/>
  <c r="HC10" i="29"/>
  <c r="EQ10" i="29"/>
  <c r="CE10" i="29"/>
  <c r="S10" i="29"/>
  <c r="MI10" i="29"/>
  <c r="JW10" i="29"/>
  <c r="HK10" i="29"/>
  <c r="EY10" i="29"/>
  <c r="CM10" i="29"/>
  <c r="AA10" i="29"/>
  <c r="K10" i="29"/>
  <c r="D18" i="29"/>
  <c r="E18" i="29"/>
  <c r="G14" i="2"/>
  <c r="G13" i="2"/>
  <c r="G12" i="2"/>
  <c r="G11" i="2"/>
  <c r="G10" i="2"/>
  <c r="T5" i="1"/>
  <c r="S5" i="1"/>
  <c r="T4" i="1"/>
  <c r="S4" i="1"/>
  <c r="L5" i="3"/>
  <c r="G9" i="2"/>
  <c r="T3" i="1"/>
  <c r="S3" i="1"/>
  <c r="G6" i="2"/>
  <c r="G7" i="2"/>
  <c r="G8" i="2"/>
  <c r="L4" i="3"/>
  <c r="G4" i="2"/>
  <c r="G5" i="2"/>
  <c r="T2" i="1"/>
  <c r="S2" i="1"/>
  <c r="G3" i="2"/>
  <c r="G2" i="2"/>
  <c r="L3" i="3"/>
  <c r="P2" i="3" l="1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N1924" i="24" l="1"/>
  <c r="S3" i="3" l="1"/>
  <c r="S4" i="3"/>
  <c r="S5" i="3"/>
  <c r="S6" i="3"/>
  <c r="S7" i="3"/>
  <c r="S10" i="3"/>
  <c r="S12" i="3"/>
  <c r="S13" i="3"/>
  <c r="S16" i="3"/>
  <c r="S17" i="3"/>
  <c r="S18" i="3"/>
  <c r="S19" i="3"/>
  <c r="S20" i="3"/>
  <c r="S21" i="3"/>
  <c r="S22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3" i="3"/>
  <c r="S74" i="3"/>
  <c r="V2" i="3"/>
  <c r="V4" i="3"/>
  <c r="V6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5" i="3"/>
  <c r="V56" i="3"/>
  <c r="V57" i="3"/>
  <c r="V58" i="3"/>
  <c r="V59" i="3"/>
  <c r="V60" i="3"/>
  <c r="V61" i="3"/>
  <c r="V62" i="3"/>
  <c r="V67" i="3"/>
  <c r="V68" i="3"/>
  <c r="V69" i="3"/>
  <c r="V70" i="3"/>
  <c r="V71" i="3"/>
  <c r="V72" i="3"/>
  <c r="V73" i="3"/>
  <c r="V74" i="3"/>
  <c r="V75" i="3"/>
  <c r="V76" i="3"/>
  <c r="V85" i="3"/>
  <c r="V86" i="3"/>
  <c r="V87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9" i="3"/>
  <c r="V130" i="3"/>
  <c r="V131" i="3"/>
  <c r="V132" i="3"/>
  <c r="V134" i="3"/>
  <c r="V135" i="3"/>
  <c r="V136" i="3"/>
  <c r="V137" i="3"/>
  <c r="V138" i="3"/>
  <c r="V139" i="3"/>
  <c r="V140" i="3"/>
  <c r="V141" i="3"/>
  <c r="V142" i="3"/>
  <c r="Q2" i="3" l="1"/>
  <c r="T2" i="3" s="1"/>
  <c r="Q3" i="3"/>
  <c r="T3" i="3" s="1"/>
  <c r="Q4" i="3"/>
  <c r="T4" i="3" s="1"/>
  <c r="Q5" i="3"/>
  <c r="T5" i="3" s="1"/>
  <c r="Q6" i="3"/>
  <c r="T6" i="3" s="1"/>
  <c r="Q7" i="3"/>
  <c r="T7" i="3" s="1"/>
  <c r="Q8" i="3"/>
  <c r="T8" i="3" s="1"/>
  <c r="Q9" i="3"/>
  <c r="T9" i="3" s="1"/>
  <c r="Q10" i="3"/>
  <c r="T10" i="3" s="1"/>
  <c r="Q11" i="3"/>
  <c r="T11" i="3" s="1"/>
  <c r="Q12" i="3"/>
  <c r="T12" i="3" s="1"/>
  <c r="Q13" i="3"/>
  <c r="T13" i="3" s="1"/>
  <c r="Q14" i="3"/>
  <c r="T14" i="3" s="1"/>
  <c r="Q15" i="3"/>
  <c r="T15" i="3" s="1"/>
  <c r="Q16" i="3"/>
  <c r="T16" i="3" s="1"/>
  <c r="Q17" i="3"/>
  <c r="T17" i="3" s="1"/>
  <c r="Q18" i="3"/>
  <c r="T18" i="3" s="1"/>
  <c r="Q19" i="3"/>
  <c r="T19" i="3" s="1"/>
  <c r="Q20" i="3"/>
  <c r="T20" i="3" s="1"/>
  <c r="Q21" i="3"/>
  <c r="T21" i="3" s="1"/>
  <c r="Q22" i="3"/>
  <c r="T22" i="3" s="1"/>
  <c r="Q23" i="3"/>
  <c r="T23" i="3" s="1"/>
  <c r="Q24" i="3"/>
  <c r="T24" i="3" s="1"/>
  <c r="Q25" i="3"/>
  <c r="T25" i="3" s="1"/>
  <c r="Q26" i="3"/>
  <c r="T26" i="3" s="1"/>
  <c r="Q27" i="3"/>
  <c r="T27" i="3" s="1"/>
  <c r="Q28" i="3"/>
  <c r="T28" i="3" s="1"/>
  <c r="Q29" i="3"/>
  <c r="T29" i="3" s="1"/>
  <c r="Q30" i="3"/>
  <c r="T30" i="3" s="1"/>
  <c r="Q31" i="3"/>
  <c r="T31" i="3" s="1"/>
  <c r="Q32" i="3"/>
  <c r="T32" i="3" s="1"/>
  <c r="Q33" i="3"/>
  <c r="T33" i="3" s="1"/>
  <c r="Q34" i="3"/>
  <c r="T34" i="3" s="1"/>
  <c r="T35" i="3"/>
  <c r="Q36" i="3"/>
  <c r="T36" i="3" s="1"/>
  <c r="Q37" i="3"/>
  <c r="T37" i="3" s="1"/>
  <c r="Q38" i="3"/>
  <c r="T38" i="3" s="1"/>
  <c r="Q39" i="3"/>
  <c r="T39" i="3" s="1"/>
  <c r="Q40" i="3"/>
  <c r="T40" i="3" s="1"/>
  <c r="Q41" i="3"/>
  <c r="T41" i="3" s="1"/>
  <c r="Q42" i="3"/>
  <c r="T42" i="3" s="1"/>
  <c r="Q43" i="3"/>
  <c r="T43" i="3" s="1"/>
  <c r="Q44" i="3"/>
  <c r="T44" i="3" s="1"/>
  <c r="T45" i="3"/>
  <c r="Q46" i="3"/>
  <c r="T46" i="3" s="1"/>
  <c r="Q47" i="3"/>
  <c r="T47" i="3" s="1"/>
  <c r="Q48" i="3"/>
  <c r="T48" i="3" s="1"/>
  <c r="Q49" i="3"/>
  <c r="T49" i="3" s="1"/>
  <c r="Q50" i="3"/>
  <c r="T50" i="3" s="1"/>
  <c r="Q51" i="3"/>
  <c r="T51" i="3" s="1"/>
  <c r="Q52" i="3"/>
  <c r="T52" i="3" s="1"/>
  <c r="Q53" i="3"/>
  <c r="T53" i="3" s="1"/>
  <c r="Q54" i="3"/>
  <c r="T54" i="3" s="1"/>
  <c r="Q55" i="3"/>
  <c r="T55" i="3" s="1"/>
  <c r="Q56" i="3"/>
  <c r="T56" i="3" s="1"/>
  <c r="Q57" i="3"/>
  <c r="T57" i="3" s="1"/>
  <c r="Q58" i="3"/>
  <c r="T58" i="3" s="1"/>
  <c r="Q59" i="3"/>
  <c r="T59" i="3" s="1"/>
  <c r="Q60" i="3"/>
  <c r="T60" i="3" s="1"/>
  <c r="Q61" i="3"/>
  <c r="T61" i="3" s="1"/>
  <c r="Q62" i="3"/>
  <c r="T62" i="3" s="1"/>
  <c r="Q63" i="3"/>
  <c r="T63" i="3" s="1"/>
  <c r="Q64" i="3"/>
  <c r="T64" i="3" s="1"/>
  <c r="Q65" i="3"/>
  <c r="T65" i="3" s="1"/>
  <c r="Q66" i="3"/>
  <c r="T66" i="3" s="1"/>
  <c r="Q67" i="3"/>
  <c r="T67" i="3" s="1"/>
  <c r="Q68" i="3"/>
  <c r="T68" i="3" s="1"/>
  <c r="Q69" i="3"/>
  <c r="T69" i="3" s="1"/>
  <c r="Q70" i="3"/>
  <c r="T70" i="3" s="1"/>
  <c r="Q71" i="3"/>
  <c r="T71" i="3" s="1"/>
  <c r="Q72" i="3"/>
  <c r="T72" i="3" s="1"/>
  <c r="Q73" i="3"/>
  <c r="T73" i="3" s="1"/>
  <c r="Q74" i="3"/>
  <c r="T74" i="3" s="1"/>
  <c r="Q75" i="3"/>
  <c r="T75" i="3" s="1"/>
  <c r="Q76" i="3"/>
  <c r="T76" i="3" s="1"/>
  <c r="Q77" i="3"/>
  <c r="T77" i="3" s="1"/>
  <c r="Q78" i="3"/>
  <c r="T78" i="3" s="1"/>
  <c r="Q79" i="3"/>
  <c r="T79" i="3" s="1"/>
  <c r="Q80" i="3"/>
  <c r="T80" i="3" s="1"/>
  <c r="T81" i="3"/>
  <c r="Q82" i="3"/>
  <c r="T82" i="3" s="1"/>
  <c r="Q83" i="3"/>
  <c r="T83" i="3" s="1"/>
  <c r="Q84" i="3"/>
  <c r="T84" i="3" s="1"/>
  <c r="Q85" i="3"/>
  <c r="T85" i="3" s="1"/>
  <c r="Q86" i="3"/>
  <c r="T86" i="3" s="1"/>
  <c r="Q87" i="3"/>
  <c r="T87" i="3" s="1"/>
  <c r="Q88" i="3"/>
  <c r="T88" i="3" s="1"/>
  <c r="Q89" i="3"/>
  <c r="T89" i="3" s="1"/>
  <c r="Q90" i="3"/>
  <c r="T90" i="3" s="1"/>
  <c r="Q91" i="3"/>
  <c r="T91" i="3" s="1"/>
  <c r="Q92" i="3"/>
  <c r="T92" i="3" s="1"/>
  <c r="Q93" i="3"/>
  <c r="T93" i="3" s="1"/>
  <c r="Q94" i="3"/>
  <c r="T94" i="3" s="1"/>
  <c r="Q95" i="3"/>
  <c r="T95" i="3" s="1"/>
  <c r="Q96" i="3"/>
  <c r="T96" i="3" s="1"/>
  <c r="Q97" i="3"/>
  <c r="T97" i="3" s="1"/>
  <c r="Q98" i="3"/>
  <c r="T98" i="3" s="1"/>
  <c r="Q99" i="3"/>
  <c r="T99" i="3" s="1"/>
  <c r="Q100" i="3"/>
  <c r="T100" i="3" s="1"/>
  <c r="Q101" i="3"/>
  <c r="T101" i="3" s="1"/>
  <c r="Q102" i="3"/>
  <c r="T102" i="3" s="1"/>
  <c r="Q103" i="3"/>
  <c r="T103" i="3" s="1"/>
  <c r="Q104" i="3"/>
  <c r="T104" i="3" s="1"/>
  <c r="Q105" i="3"/>
  <c r="T105" i="3" s="1"/>
  <c r="Q106" i="3"/>
  <c r="T106" i="3" s="1"/>
  <c r="Q107" i="3"/>
  <c r="T107" i="3" s="1"/>
  <c r="Q108" i="3"/>
  <c r="T108" i="3" s="1"/>
  <c r="Q109" i="3"/>
  <c r="T109" i="3" s="1"/>
  <c r="Q110" i="3"/>
  <c r="T110" i="3" s="1"/>
  <c r="Q111" i="3"/>
  <c r="T111" i="3" s="1"/>
  <c r="Q112" i="3"/>
  <c r="T112" i="3" s="1"/>
  <c r="Q113" i="3"/>
  <c r="T113" i="3" s="1"/>
  <c r="Q114" i="3"/>
  <c r="T114" i="3" s="1"/>
  <c r="Q115" i="3"/>
  <c r="T115" i="3" s="1"/>
  <c r="Q116" i="3"/>
  <c r="T116" i="3" s="1"/>
  <c r="Q117" i="3"/>
  <c r="T117" i="3" s="1"/>
  <c r="Q118" i="3"/>
  <c r="T118" i="3" s="1"/>
  <c r="Q119" i="3"/>
  <c r="T119" i="3" s="1"/>
  <c r="Q120" i="3"/>
  <c r="T120" i="3" s="1"/>
  <c r="Q121" i="3"/>
  <c r="T121" i="3" s="1"/>
  <c r="Q122" i="3"/>
  <c r="T122" i="3" s="1"/>
  <c r="Q123" i="3"/>
  <c r="T123" i="3" s="1"/>
  <c r="Q124" i="3"/>
  <c r="T124" i="3" s="1"/>
  <c r="Q125" i="3"/>
  <c r="T125" i="3" s="1"/>
  <c r="Q126" i="3"/>
  <c r="T126" i="3" s="1"/>
  <c r="Q127" i="3"/>
  <c r="T127" i="3" s="1"/>
  <c r="Q129" i="3"/>
  <c r="T129" i="3" s="1"/>
  <c r="Q130" i="3"/>
  <c r="T130" i="3" s="1"/>
  <c r="Q131" i="3"/>
  <c r="T131" i="3" s="1"/>
  <c r="Q132" i="3"/>
  <c r="T132" i="3" s="1"/>
  <c r="Q133" i="3"/>
  <c r="T133" i="3" s="1"/>
  <c r="Q134" i="3"/>
  <c r="T134" i="3" s="1"/>
  <c r="Q135" i="3"/>
  <c r="T135" i="3" s="1"/>
  <c r="Q136" i="3"/>
  <c r="T136" i="3" s="1"/>
  <c r="Q137" i="3"/>
  <c r="T137" i="3" s="1"/>
  <c r="Q138" i="3"/>
  <c r="T138" i="3" s="1"/>
  <c r="Q139" i="3"/>
  <c r="T139" i="3" s="1"/>
  <c r="Q140" i="3"/>
  <c r="T140" i="3" s="1"/>
  <c r="Q141" i="3"/>
  <c r="T141" i="3" s="1"/>
  <c r="Q142" i="3"/>
  <c r="T142" i="3" s="1"/>
  <c r="Q143" i="3"/>
  <c r="T143" i="3" s="1"/>
  <c r="Q144" i="3"/>
  <c r="T144" i="3" s="1"/>
  <c r="Q145" i="3"/>
  <c r="T145" i="3" s="1"/>
  <c r="Q146" i="3"/>
  <c r="T146" i="3" s="1"/>
  <c r="Q147" i="3"/>
  <c r="T147" i="3" s="1"/>
  <c r="Q148" i="3"/>
  <c r="T148" i="3" s="1"/>
  <c r="Q149" i="3"/>
  <c r="T149" i="3" s="1"/>
  <c r="Q150" i="3"/>
  <c r="L15" i="33" l="1"/>
  <c r="K128" i="33"/>
  <c r="J140" i="33"/>
  <c r="J188" i="33" l="1"/>
  <c r="K190" i="33"/>
  <c r="K141" i="33"/>
  <c r="L26" i="33"/>
  <c r="K30" i="33"/>
  <c r="J31" i="33"/>
  <c r="K31" i="33"/>
  <c r="L32" i="33"/>
  <c r="K35" i="33"/>
  <c r="L35" i="33"/>
  <c r="K39" i="33"/>
  <c r="K44" i="33"/>
  <c r="L44" i="33"/>
  <c r="J45" i="33"/>
  <c r="K47" i="33"/>
  <c r="J51" i="33"/>
  <c r="L54" i="33"/>
  <c r="K58" i="33"/>
  <c r="L61" i="33"/>
  <c r="K62" i="33"/>
  <c r="L63" i="33"/>
  <c r="K72" i="33"/>
  <c r="K78" i="33"/>
  <c r="L78" i="33"/>
  <c r="J84" i="33"/>
  <c r="K84" i="33"/>
  <c r="L86" i="33"/>
  <c r="J87" i="33"/>
  <c r="K87" i="33"/>
  <c r="L89" i="33"/>
  <c r="K94" i="33"/>
  <c r="L94" i="33"/>
  <c r="J95" i="33"/>
  <c r="K95" i="33"/>
  <c r="L95" i="33"/>
  <c r="J96" i="33"/>
  <c r="K96" i="33"/>
  <c r="J97" i="33"/>
  <c r="K97" i="33"/>
  <c r="L100" i="33"/>
  <c r="J102" i="33"/>
  <c r="J104" i="33"/>
  <c r="J105" i="33"/>
  <c r="L106" i="33"/>
  <c r="K113" i="33"/>
  <c r="K114" i="33"/>
  <c r="J125" i="33"/>
  <c r="K125" i="33"/>
  <c r="J129" i="33"/>
  <c r="K132" i="33"/>
  <c r="K135" i="33"/>
  <c r="K148" i="33"/>
  <c r="K149" i="33"/>
  <c r="L152" i="33"/>
  <c r="J155" i="33"/>
  <c r="K156" i="33"/>
  <c r="K159" i="33"/>
  <c r="K162" i="33"/>
  <c r="K165" i="33"/>
  <c r="L165" i="33"/>
  <c r="J170" i="33"/>
  <c r="K176" i="33"/>
  <c r="L176" i="33"/>
  <c r="J178" i="33"/>
  <c r="K23" i="33"/>
  <c r="K16" i="33"/>
  <c r="J16" i="33"/>
  <c r="L14" i="33"/>
  <c r="L13" i="33"/>
  <c r="L10" i="33"/>
  <c r="G355" i="4"/>
  <c r="L2" i="4"/>
  <c r="L3" i="4"/>
  <c r="L4" i="4"/>
  <c r="L5" i="4"/>
  <c r="L7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FP118" i="27"/>
  <c r="FQ118" i="27"/>
  <c r="FR118" i="27"/>
  <c r="FO118" i="27"/>
  <c r="FP117" i="27"/>
  <c r="FQ117" i="27"/>
  <c r="FR117" i="27"/>
  <c r="FO117" i="27"/>
  <c r="FP116" i="27"/>
  <c r="FQ116" i="27"/>
  <c r="FR116" i="27"/>
  <c r="FO116" i="27"/>
  <c r="Y12" i="27"/>
  <c r="Y14" i="27" s="1"/>
  <c r="NX7" i="29"/>
  <c r="NY7" i="29"/>
  <c r="NZ7" i="29"/>
  <c r="OA7" i="29"/>
  <c r="OB7" i="29"/>
  <c r="OC7" i="29"/>
  <c r="OD7" i="29"/>
  <c r="OE7" i="29"/>
  <c r="OF7" i="29"/>
  <c r="OG7" i="29"/>
  <c r="OH7" i="29"/>
  <c r="OI7" i="29"/>
  <c r="OJ7" i="29"/>
  <c r="OK7" i="29"/>
  <c r="OL7" i="29"/>
  <c r="AJ17" i="29"/>
  <c r="AR17" i="29"/>
  <c r="AR11" i="29"/>
  <c r="AJ12" i="29"/>
  <c r="AR12" i="29"/>
  <c r="AR13" i="29"/>
  <c r="AR22" i="29" s="1"/>
  <c r="AR14" i="29"/>
  <c r="AR24" i="29" s="1"/>
  <c r="AJ15" i="29"/>
  <c r="AR15" i="29"/>
  <c r="AJ16" i="29"/>
  <c r="AJ23" i="29" s="1"/>
  <c r="AR16" i="29"/>
  <c r="AR23" i="29" s="1"/>
  <c r="AA34" i="29"/>
  <c r="AI34" i="29"/>
  <c r="AJ34" i="29"/>
  <c r="AQ34" i="29"/>
  <c r="AR34" i="29"/>
  <c r="AY34" i="29"/>
  <c r="BG34" i="29"/>
  <c r="BO34" i="29"/>
  <c r="BW34" i="29"/>
  <c r="CE34" i="29"/>
  <c r="CM34" i="29"/>
  <c r="CU34" i="29"/>
  <c r="DC34" i="29"/>
  <c r="DK34" i="29"/>
  <c r="DS34" i="29"/>
  <c r="EA34" i="29"/>
  <c r="EI34" i="29"/>
  <c r="EQ34" i="29"/>
  <c r="EY34" i="29"/>
  <c r="FG34" i="29"/>
  <c r="FO34" i="29"/>
  <c r="FW34" i="29"/>
  <c r="GE34" i="29"/>
  <c r="GM34" i="29"/>
  <c r="GU34" i="29"/>
  <c r="HC34" i="29"/>
  <c r="HK34" i="29"/>
  <c r="HS34" i="29"/>
  <c r="IA34" i="29"/>
  <c r="II34" i="29"/>
  <c r="IQ34" i="29"/>
  <c r="IY34" i="29"/>
  <c r="JG34" i="29"/>
  <c r="JO34" i="29"/>
  <c r="JW34" i="29"/>
  <c r="KE34" i="29"/>
  <c r="KM34" i="29"/>
  <c r="KU34" i="29"/>
  <c r="LC34" i="29"/>
  <c r="LK34" i="29"/>
  <c r="LS34" i="29"/>
  <c r="MA34" i="29"/>
  <c r="MI34" i="29"/>
  <c r="MQ34" i="29"/>
  <c r="MY34" i="29"/>
  <c r="NG34" i="29"/>
  <c r="NO34" i="29"/>
  <c r="NW34" i="29"/>
  <c r="D34" i="29"/>
  <c r="E34" i="29"/>
  <c r="E9" i="29"/>
  <c r="E29" i="29" s="1"/>
  <c r="D9" i="29"/>
  <c r="D29" i="29" s="1"/>
  <c r="D23" i="29"/>
  <c r="D25" i="29"/>
  <c r="D22" i="29"/>
  <c r="E8" i="29"/>
  <c r="E30" i="29" s="1"/>
  <c r="D8" i="29"/>
  <c r="D30" i="29" s="1"/>
  <c r="E5" i="29"/>
  <c r="E35" i="29" s="1"/>
  <c r="D5" i="29"/>
  <c r="D35" i="29" s="1"/>
  <c r="K35" i="29" s="1"/>
  <c r="AS4" i="29"/>
  <c r="AK4" i="29"/>
  <c r="AK12" i="29"/>
  <c r="AK15" i="29"/>
  <c r="AK16" i="29"/>
  <c r="AK23" i="29" s="1"/>
  <c r="AS34" i="29"/>
  <c r="AS17" i="29"/>
  <c r="AS11" i="29"/>
  <c r="AS14" i="29"/>
  <c r="AS25" i="29" s="1"/>
  <c r="AS12" i="29"/>
  <c r="AS13" i="29"/>
  <c r="AS22" i="29" s="1"/>
  <c r="AS15" i="29"/>
  <c r="AK34" i="29"/>
  <c r="F34" i="29"/>
  <c r="F14" i="29"/>
  <c r="F25" i="29" s="1"/>
  <c r="AL4" i="29"/>
  <c r="F17" i="29"/>
  <c r="F12" i="29"/>
  <c r="F15" i="29"/>
  <c r="AM4" i="29"/>
  <c r="AT4" i="29"/>
  <c r="F13" i="29"/>
  <c r="F22" i="29" s="1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T14" i="29"/>
  <c r="AT17" i="29"/>
  <c r="AT13" i="29"/>
  <c r="AT22" i="29" s="1"/>
  <c r="AT12" i="29"/>
  <c r="AT15" i="29"/>
  <c r="AT11" i="29"/>
  <c r="AL13" i="29"/>
  <c r="AL19" i="29" s="1"/>
  <c r="AL12" i="29"/>
  <c r="AL15" i="29"/>
  <c r="AM17" i="29"/>
  <c r="AM11" i="29"/>
  <c r="AM12" i="29"/>
  <c r="AM15" i="29"/>
  <c r="AM13" i="29"/>
  <c r="AM22" i="29" s="1"/>
  <c r="AM14" i="29"/>
  <c r="AM24" i="29" s="1"/>
  <c r="AM34" i="29"/>
  <c r="AL34" i="29"/>
  <c r="G34" i="29"/>
  <c r="AT34" i="29"/>
  <c r="G15" i="29"/>
  <c r="G12" i="29"/>
  <c r="G14" i="29"/>
  <c r="G25" i="29" s="1"/>
  <c r="G13" i="29"/>
  <c r="G19" i="29" s="1"/>
  <c r="AU4" i="29"/>
  <c r="AN4" i="29"/>
  <c r="A45" i="27"/>
  <c r="B46" i="27"/>
  <c r="DC94" i="27"/>
  <c r="DD94" i="27"/>
  <c r="DE94" i="27"/>
  <c r="DF94" i="27"/>
  <c r="DG94" i="27"/>
  <c r="DH94" i="27"/>
  <c r="X27" i="27" s="1"/>
  <c r="W27" i="27" s="1"/>
  <c r="W28" i="27" s="1"/>
  <c r="DI94" i="27"/>
  <c r="DJ94" i="27"/>
  <c r="A46" i="27"/>
  <c r="B45" i="27"/>
  <c r="DC93" i="27"/>
  <c r="DD93" i="27"/>
  <c r="DE93" i="27"/>
  <c r="DF93" i="27"/>
  <c r="DG93" i="27"/>
  <c r="DH93" i="27"/>
  <c r="L27" i="27" s="1"/>
  <c r="K27" i="27" s="1"/>
  <c r="K28" i="27" s="1"/>
  <c r="DI93" i="27"/>
  <c r="DJ93" i="27"/>
  <c r="B44" i="27"/>
  <c r="DC92" i="27"/>
  <c r="DD92" i="27"/>
  <c r="DE92" i="27"/>
  <c r="DF92" i="27"/>
  <c r="DG92" i="27"/>
  <c r="DH92" i="27"/>
  <c r="E27" i="27" s="1"/>
  <c r="DI92" i="27"/>
  <c r="DJ92" i="27"/>
  <c r="A44" i="27"/>
  <c r="E23" i="29"/>
  <c r="Y27" i="27"/>
  <c r="G16" i="29"/>
  <c r="G23" i="29" s="1"/>
  <c r="F16" i="29"/>
  <c r="F23" i="29" s="1"/>
  <c r="AN17" i="29"/>
  <c r="AN11" i="29"/>
  <c r="AN12" i="29"/>
  <c r="AN13" i="29"/>
  <c r="AN19" i="29" s="1"/>
  <c r="AN14" i="29"/>
  <c r="AN15" i="29"/>
  <c r="AU11" i="29"/>
  <c r="AU13" i="29"/>
  <c r="AU22" i="29" s="1"/>
  <c r="AU17" i="29"/>
  <c r="AU12" i="29"/>
  <c r="AU14" i="29"/>
  <c r="AU15" i="29"/>
  <c r="D27" i="27"/>
  <c r="C27" i="27" s="1"/>
  <c r="C28" i="27" s="1"/>
  <c r="AN34" i="29"/>
  <c r="H34" i="29"/>
  <c r="AU34" i="29"/>
  <c r="AO4" i="29"/>
  <c r="H15" i="29"/>
  <c r="H12" i="29"/>
  <c r="H16" i="29"/>
  <c r="H23" i="29" s="1"/>
  <c r="AV4" i="29"/>
  <c r="AV17" i="29"/>
  <c r="AV12" i="29"/>
  <c r="AV11" i="29"/>
  <c r="AV13" i="29"/>
  <c r="AV19" i="29" s="1"/>
  <c r="AV15" i="29"/>
  <c r="AV14" i="29"/>
  <c r="AV25" i="29" s="1"/>
  <c r="AO11" i="29"/>
  <c r="AO12" i="29"/>
  <c r="AO13" i="29"/>
  <c r="AO19" i="29" s="1"/>
  <c r="AO14" i="29"/>
  <c r="AO15" i="29"/>
  <c r="AO16" i="29"/>
  <c r="AO23" i="29" s="1"/>
  <c r="AV34" i="29"/>
  <c r="AO34" i="29"/>
  <c r="I34" i="29"/>
  <c r="AW4" i="29"/>
  <c r="AP4" i="29"/>
  <c r="I16" i="29"/>
  <c r="I23" i="29" s="1"/>
  <c r="I14" i="29"/>
  <c r="I24" i="29" s="1"/>
  <c r="I15" i="29"/>
  <c r="I12" i="29"/>
  <c r="I17" i="29"/>
  <c r="FX114" i="27"/>
  <c r="FX113" i="27"/>
  <c r="FX112" i="27"/>
  <c r="FX111" i="27"/>
  <c r="O13" i="27"/>
  <c r="L13" i="27"/>
  <c r="AW17" i="29"/>
  <c r="AW12" i="29"/>
  <c r="AW11" i="29"/>
  <c r="AW14" i="29"/>
  <c r="AW24" i="29" s="1"/>
  <c r="AW15" i="29"/>
  <c r="AW13" i="29"/>
  <c r="AW19" i="29" s="1"/>
  <c r="AW16" i="29"/>
  <c r="AW23" i="29" s="1"/>
  <c r="AP12" i="29"/>
  <c r="AP15" i="29"/>
  <c r="AP14" i="29"/>
  <c r="AP25" i="29" s="1"/>
  <c r="J34" i="29"/>
  <c r="AW34" i="29"/>
  <c r="AP34" i="29"/>
  <c r="L4" i="29"/>
  <c r="J15" i="29"/>
  <c r="J14" i="29"/>
  <c r="J25" i="29" s="1"/>
  <c r="J12" i="29"/>
  <c r="J17" i="29"/>
  <c r="AX4" i="29"/>
  <c r="FX110" i="27"/>
  <c r="AX11" i="29"/>
  <c r="AX12" i="29"/>
  <c r="AX14" i="29"/>
  <c r="AX24" i="29" s="1"/>
  <c r="AX15" i="29"/>
  <c r="AX16" i="29"/>
  <c r="AX23" i="29" s="1"/>
  <c r="AX13" i="29"/>
  <c r="AX19" i="29" s="1"/>
  <c r="L17" i="29"/>
  <c r="L11" i="29"/>
  <c r="L13" i="29"/>
  <c r="L19" i="29" s="1"/>
  <c r="L15" i="29"/>
  <c r="L14" i="29"/>
  <c r="L25" i="29" s="1"/>
  <c r="L12" i="29"/>
  <c r="L34" i="29"/>
  <c r="AX34" i="29"/>
  <c r="AZ4" i="29"/>
  <c r="M4" i="29"/>
  <c r="M14" i="29" s="1"/>
  <c r="M25" i="29" s="1"/>
  <c r="FX109" i="27"/>
  <c r="M17" i="29"/>
  <c r="M12" i="29"/>
  <c r="M11" i="29"/>
  <c r="M13" i="29"/>
  <c r="M22" i="29" s="1"/>
  <c r="AZ17" i="29"/>
  <c r="AZ11" i="29"/>
  <c r="AZ13" i="29"/>
  <c r="AZ22" i="29" s="1"/>
  <c r="AZ12" i="29"/>
  <c r="AZ15" i="29"/>
  <c r="AZ14" i="29"/>
  <c r="AZ24" i="29" s="1"/>
  <c r="AZ34" i="29"/>
  <c r="BA4" i="29"/>
  <c r="BF5" i="27"/>
  <c r="FY117" i="27" s="1"/>
  <c r="BA11" i="29"/>
  <c r="BA13" i="29"/>
  <c r="BA22" i="29" s="1"/>
  <c r="BA17" i="29"/>
  <c r="BA14" i="29"/>
  <c r="BA24" i="29" s="1"/>
  <c r="BA12" i="29"/>
  <c r="BA15" i="29"/>
  <c r="BA34" i="29"/>
  <c r="BB4" i="29"/>
  <c r="BB17" i="29"/>
  <c r="BB11" i="29"/>
  <c r="BB12" i="29"/>
  <c r="BB13" i="29"/>
  <c r="BB19" i="29" s="1"/>
  <c r="BB15" i="29"/>
  <c r="BB14" i="29"/>
  <c r="BB24" i="29" s="1"/>
  <c r="BB34" i="29"/>
  <c r="BC4" i="29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5" i="4"/>
  <c r="H4" i="4"/>
  <c r="H3" i="4"/>
  <c r="H2" i="4"/>
  <c r="L1" i="4"/>
  <c r="BC17" i="29"/>
  <c r="BC14" i="29"/>
  <c r="BC25" i="29" s="1"/>
  <c r="BC11" i="29"/>
  <c r="BC12" i="29"/>
  <c r="BC13" i="29"/>
  <c r="BC22" i="29" s="1"/>
  <c r="BC15" i="29"/>
  <c r="BC34" i="29"/>
  <c r="BD4" i="29"/>
  <c r="AX5" i="29"/>
  <c r="G5" i="29"/>
  <c r="G31" i="29" s="1"/>
  <c r="AP17" i="29"/>
  <c r="AN16" i="29"/>
  <c r="AN23" i="29" s="1"/>
  <c r="AJ14" i="29"/>
  <c r="AJ24" i="29" s="1"/>
  <c r="AP11" i="29"/>
  <c r="AP13" i="29"/>
  <c r="AP22" i="29" s="1"/>
  <c r="AS16" i="29"/>
  <c r="AL16" i="29"/>
  <c r="AL23" i="29" s="1"/>
  <c r="AT16" i="29"/>
  <c r="AT23" i="29" s="1"/>
  <c r="AV16" i="29"/>
  <c r="AV23" i="29" s="1"/>
  <c r="BB16" i="29"/>
  <c r="BB23" i="29" s="1"/>
  <c r="BC16" i="29"/>
  <c r="BC23" i="29" s="1"/>
  <c r="AU16" i="29"/>
  <c r="AZ16" i="29"/>
  <c r="AJ11" i="29"/>
  <c r="AM16" i="29"/>
  <c r="AM23" i="29" s="1"/>
  <c r="AP16" i="29"/>
  <c r="BA16" i="29"/>
  <c r="BA23" i="29" s="1"/>
  <c r="BA5" i="29"/>
  <c r="BA35" i="29" s="1"/>
  <c r="AW5" i="29"/>
  <c r="AW31" i="29" s="1"/>
  <c r="AL17" i="29"/>
  <c r="AL14" i="29"/>
  <c r="AL25" i="29" s="1"/>
  <c r="AL11" i="29"/>
  <c r="AK11" i="29"/>
  <c r="AK14" i="29"/>
  <c r="AK25" i="29" s="1"/>
  <c r="AK17" i="29"/>
  <c r="AK13" i="29"/>
  <c r="AK22" i="29" s="1"/>
  <c r="AJ13" i="29"/>
  <c r="AJ22" i="29" s="1"/>
  <c r="I13" i="29"/>
  <c r="L16" i="29"/>
  <c r="H13" i="29"/>
  <c r="H19" i="29" s="1"/>
  <c r="J13" i="29"/>
  <c r="J22" i="29" s="1"/>
  <c r="J16" i="29"/>
  <c r="H14" i="29"/>
  <c r="BD11" i="29"/>
  <c r="BD17" i="29"/>
  <c r="BD13" i="29"/>
  <c r="BD22" i="29" s="1"/>
  <c r="BD14" i="29"/>
  <c r="BD24" i="29" s="1"/>
  <c r="BD16" i="29"/>
  <c r="BD23" i="29" s="1"/>
  <c r="BD15" i="29"/>
  <c r="BD12" i="29"/>
  <c r="AO5" i="29"/>
  <c r="AO31" i="29" s="1"/>
  <c r="BD34" i="29"/>
  <c r="BE4" i="29"/>
  <c r="BC5" i="29"/>
  <c r="AM5" i="29"/>
  <c r="AZ5" i="29"/>
  <c r="AZ35" i="29" s="1"/>
  <c r="AU5" i="29"/>
  <c r="AN5" i="29"/>
  <c r="BE12" i="29"/>
  <c r="BE11" i="29"/>
  <c r="BE15" i="29"/>
  <c r="BE13" i="29"/>
  <c r="BE22" i="29" s="1"/>
  <c r="BE14" i="29"/>
  <c r="BE25" i="29" s="1"/>
  <c r="BE16" i="29"/>
  <c r="BE23" i="29" s="1"/>
  <c r="F5" i="29"/>
  <c r="BE34" i="29"/>
  <c r="BF4" i="29"/>
  <c r="AV5" i="29"/>
  <c r="AV31" i="29" s="1"/>
  <c r="AT5" i="29"/>
  <c r="AT31" i="29" s="1"/>
  <c r="AP5" i="29"/>
  <c r="BE5" i="29"/>
  <c r="BD5" i="29"/>
  <c r="BD35" i="29" s="1"/>
  <c r="BB5" i="29"/>
  <c r="BB35" i="29" s="1"/>
  <c r="AS5" i="29"/>
  <c r="AR5" i="29"/>
  <c r="AR31" i="29" s="1"/>
  <c r="AL5" i="29"/>
  <c r="AK5" i="29"/>
  <c r="AK35" i="29" s="1"/>
  <c r="AJ5" i="29"/>
  <c r="H5" i="29"/>
  <c r="H35" i="29" s="1"/>
  <c r="BF17" i="29"/>
  <c r="BF13" i="29"/>
  <c r="BF22" i="29" s="1"/>
  <c r="BF11" i="29"/>
  <c r="BF12" i="29"/>
  <c r="BF15" i="29"/>
  <c r="BF14" i="29"/>
  <c r="BF16" i="29"/>
  <c r="BF5" i="29"/>
  <c r="BF35" i="29" s="1"/>
  <c r="J5" i="29"/>
  <c r="M5" i="29"/>
  <c r="M35" i="29" s="1"/>
  <c r="I5" i="29"/>
  <c r="I35" i="29" s="1"/>
  <c r="L5" i="29"/>
  <c r="BF34" i="29"/>
  <c r="BH4" i="29"/>
  <c r="BH11" i="29"/>
  <c r="BH17" i="29"/>
  <c r="BH12" i="29"/>
  <c r="BH14" i="29"/>
  <c r="BH24" i="29" s="1"/>
  <c r="BH15" i="29"/>
  <c r="BH13" i="29"/>
  <c r="BH19" i="29" s="1"/>
  <c r="BH16" i="29"/>
  <c r="BH23" i="29" s="1"/>
  <c r="BH5" i="29"/>
  <c r="BH34" i="29"/>
  <c r="BI4" i="29"/>
  <c r="BI17" i="29"/>
  <c r="BI11" i="29"/>
  <c r="BI13" i="29"/>
  <c r="BI22" i="29" s="1"/>
  <c r="BI14" i="29"/>
  <c r="BI24" i="29" s="1"/>
  <c r="BI15" i="29"/>
  <c r="BI16" i="29"/>
  <c r="BI23" i="29" s="1"/>
  <c r="BI12" i="29"/>
  <c r="BI5" i="29"/>
  <c r="BI31" i="29" s="1"/>
  <c r="BI34" i="29"/>
  <c r="BJ4" i="29"/>
  <c r="BJ17" i="29"/>
  <c r="BJ12" i="29"/>
  <c r="BJ11" i="29"/>
  <c r="BJ14" i="29"/>
  <c r="BJ24" i="29" s="1"/>
  <c r="BJ13" i="29"/>
  <c r="BJ22" i="29" s="1"/>
  <c r="BJ15" i="29"/>
  <c r="BJ16" i="29"/>
  <c r="BJ23" i="29" s="1"/>
  <c r="BJ5" i="29"/>
  <c r="BJ34" i="29"/>
  <c r="BK4" i="29"/>
  <c r="BK11" i="29"/>
  <c r="BK17" i="29"/>
  <c r="BK13" i="29"/>
  <c r="BK22" i="29" s="1"/>
  <c r="BK12" i="29"/>
  <c r="BK16" i="29"/>
  <c r="BK23" i="29" s="1"/>
  <c r="BK15" i="29"/>
  <c r="BK14" i="29"/>
  <c r="BK24" i="29" s="1"/>
  <c r="BK5" i="29"/>
  <c r="BK35" i="29" s="1"/>
  <c r="BK34" i="29"/>
  <c r="BL4" i="29"/>
  <c r="BL14" i="29"/>
  <c r="BL24" i="29" s="1"/>
  <c r="BL11" i="29"/>
  <c r="BL17" i="29"/>
  <c r="BL12" i="29"/>
  <c r="BL15" i="29"/>
  <c r="BL16" i="29"/>
  <c r="BL13" i="29"/>
  <c r="BL22" i="29" s="1"/>
  <c r="BL5" i="29"/>
  <c r="BL35" i="29" s="1"/>
  <c r="BL34" i="29"/>
  <c r="BM4" i="29"/>
  <c r="BM11" i="29"/>
  <c r="BM13" i="29"/>
  <c r="BM19" i="29" s="1"/>
  <c r="BM12" i="29"/>
  <c r="BM16" i="29"/>
  <c r="BM23" i="29" s="1"/>
  <c r="BM14" i="29"/>
  <c r="BM24" i="29" s="1"/>
  <c r="BM15" i="29"/>
  <c r="BM5" i="29"/>
  <c r="BM31" i="29" s="1"/>
  <c r="BM34" i="29"/>
  <c r="BN4" i="29"/>
  <c r="BN17" i="29"/>
  <c r="BN12" i="29"/>
  <c r="BN11" i="29"/>
  <c r="BN14" i="29"/>
  <c r="BN25" i="29" s="1"/>
  <c r="BN15" i="29"/>
  <c r="BN13" i="29"/>
  <c r="BN22" i="29" s="1"/>
  <c r="BN16" i="29"/>
  <c r="BN23" i="29" s="1"/>
  <c r="BN5" i="29"/>
  <c r="BN34" i="29"/>
  <c r="BP4" i="29"/>
  <c r="BP17" i="29"/>
  <c r="BP11" i="29"/>
  <c r="BP12" i="29"/>
  <c r="BP13" i="29"/>
  <c r="BP19" i="29" s="1"/>
  <c r="BP15" i="29"/>
  <c r="BP16" i="29"/>
  <c r="BP23" i="29" s="1"/>
  <c r="BP14" i="29"/>
  <c r="BP25" i="29" s="1"/>
  <c r="BP5" i="29"/>
  <c r="BP31" i="29" s="1"/>
  <c r="BP34" i="29"/>
  <c r="BQ4" i="29"/>
  <c r="BQ11" i="29"/>
  <c r="BQ17" i="29"/>
  <c r="BQ12" i="29"/>
  <c r="BQ13" i="29"/>
  <c r="BQ19" i="29" s="1"/>
  <c r="BQ14" i="29"/>
  <c r="BQ15" i="29"/>
  <c r="BQ16" i="29"/>
  <c r="BQ23" i="29" s="1"/>
  <c r="BQ5" i="29"/>
  <c r="BQ34" i="29"/>
  <c r="BR4" i="29"/>
  <c r="BR17" i="29"/>
  <c r="BR11" i="29"/>
  <c r="BR14" i="29"/>
  <c r="BR24" i="29" s="1"/>
  <c r="BR12" i="29"/>
  <c r="BR13" i="29"/>
  <c r="BR22" i="29" s="1"/>
  <c r="BR15" i="29"/>
  <c r="BR16" i="29"/>
  <c r="BR23" i="29" s="1"/>
  <c r="BR5" i="29"/>
  <c r="BR31" i="29" s="1"/>
  <c r="BR34" i="29"/>
  <c r="BS4" i="29"/>
  <c r="BS17" i="29"/>
  <c r="BS11" i="29"/>
  <c r="BS14" i="29"/>
  <c r="BS24" i="29" s="1"/>
  <c r="BS12" i="29"/>
  <c r="BS13" i="29"/>
  <c r="BS19" i="29" s="1"/>
  <c r="BS15" i="29"/>
  <c r="BS16" i="29"/>
  <c r="BS23" i="29" s="1"/>
  <c r="BS5" i="29"/>
  <c r="BS34" i="29"/>
  <c r="BT4" i="29"/>
  <c r="BT17" i="29"/>
  <c r="BT11" i="29"/>
  <c r="BT12" i="29"/>
  <c r="BT14" i="29"/>
  <c r="BT25" i="29" s="1"/>
  <c r="BT13" i="29"/>
  <c r="BT15" i="29"/>
  <c r="BT16" i="29"/>
  <c r="BT23" i="29" s="1"/>
  <c r="BT5" i="29"/>
  <c r="BT31" i="29" s="1"/>
  <c r="BT34" i="29"/>
  <c r="BU4" i="29"/>
  <c r="BU14" i="29"/>
  <c r="BU17" i="29"/>
  <c r="BU12" i="29"/>
  <c r="BU13" i="29"/>
  <c r="BU19" i="29" s="1"/>
  <c r="BU11" i="29"/>
  <c r="BU15" i="29"/>
  <c r="BU16" i="29"/>
  <c r="BU23" i="29" s="1"/>
  <c r="BU5" i="29"/>
  <c r="BU31" i="29" s="1"/>
  <c r="BU34" i="29"/>
  <c r="BV4" i="29"/>
  <c r="BV11" i="29"/>
  <c r="BV13" i="29"/>
  <c r="BV22" i="29" s="1"/>
  <c r="BV17" i="29"/>
  <c r="BV16" i="29"/>
  <c r="BV23" i="29" s="1"/>
  <c r="BV15" i="29"/>
  <c r="BV12" i="29"/>
  <c r="BV14" i="29"/>
  <c r="BV25" i="29" s="1"/>
  <c r="BV5" i="29"/>
  <c r="BV34" i="29"/>
  <c r="BX4" i="29"/>
  <c r="BX17" i="29"/>
  <c r="BX11" i="29"/>
  <c r="BX12" i="29"/>
  <c r="BX13" i="29"/>
  <c r="BX15" i="29"/>
  <c r="BX14" i="29"/>
  <c r="BX24" i="29" s="1"/>
  <c r="BX16" i="29"/>
  <c r="BX23" i="29" s="1"/>
  <c r="BX5" i="29"/>
  <c r="BX34" i="29"/>
  <c r="BY4" i="29"/>
  <c r="BY17" i="29"/>
  <c r="BY11" i="29"/>
  <c r="BY12" i="29"/>
  <c r="BY14" i="29"/>
  <c r="BY25" i="29" s="1"/>
  <c r="BY16" i="29"/>
  <c r="BY23" i="29" s="1"/>
  <c r="BY13" i="29"/>
  <c r="BY19" i="29" s="1"/>
  <c r="BY15" i="29"/>
  <c r="BY5" i="29"/>
  <c r="BY34" i="29"/>
  <c r="BZ4" i="29"/>
  <c r="BZ11" i="29"/>
  <c r="BZ12" i="29"/>
  <c r="BZ13" i="29"/>
  <c r="BZ19" i="29" s="1"/>
  <c r="BZ14" i="29"/>
  <c r="BZ24" i="29" s="1"/>
  <c r="BZ15" i="29"/>
  <c r="BZ16" i="29"/>
  <c r="BZ5" i="29"/>
  <c r="BZ34" i="29"/>
  <c r="CA4" i="29"/>
  <c r="CA11" i="29"/>
  <c r="CA13" i="29"/>
  <c r="CA22" i="29" s="1"/>
  <c r="CA12" i="29"/>
  <c r="CA16" i="29"/>
  <c r="CA23" i="29" s="1"/>
  <c r="CA14" i="29"/>
  <c r="CA25" i="29" s="1"/>
  <c r="CA15" i="29"/>
  <c r="CA5" i="29"/>
  <c r="CA34" i="29"/>
  <c r="CB4" i="29"/>
  <c r="CB11" i="29"/>
  <c r="CB12" i="29"/>
  <c r="CB13" i="29"/>
  <c r="CB22" i="29" s="1"/>
  <c r="CB14" i="29"/>
  <c r="CB15" i="29"/>
  <c r="CB16" i="29"/>
  <c r="CB23" i="29" s="1"/>
  <c r="CB5" i="29"/>
  <c r="CB34" i="29"/>
  <c r="CC4" i="29"/>
  <c r="CC11" i="29"/>
  <c r="CC17" i="29"/>
  <c r="CC13" i="29"/>
  <c r="CC19" i="29" s="1"/>
  <c r="CC14" i="29"/>
  <c r="CC25" i="29" s="1"/>
  <c r="CC12" i="29"/>
  <c r="CC15" i="29"/>
  <c r="CC16" i="29"/>
  <c r="CC23" i="29" s="1"/>
  <c r="CC5" i="29"/>
  <c r="CC34" i="29"/>
  <c r="CD4" i="29"/>
  <c r="CD17" i="29"/>
  <c r="CD14" i="29"/>
  <c r="CD24" i="29" s="1"/>
  <c r="CD11" i="29"/>
  <c r="CD12" i="29"/>
  <c r="CD15" i="29"/>
  <c r="CD16" i="29"/>
  <c r="CD23" i="29" s="1"/>
  <c r="CD13" i="29"/>
  <c r="CD22" i="29" s="1"/>
  <c r="CD5" i="29"/>
  <c r="CD31" i="29" s="1"/>
  <c r="CD34" i="29"/>
  <c r="CF4" i="29"/>
  <c r="CF11" i="29"/>
  <c r="CF13" i="29"/>
  <c r="CF22" i="29" s="1"/>
  <c r="CF16" i="29"/>
  <c r="CF12" i="29"/>
  <c r="CF14" i="29"/>
  <c r="CF24" i="29" s="1"/>
  <c r="CF15" i="29"/>
  <c r="CF5" i="29"/>
  <c r="CF35" i="29" s="1"/>
  <c r="CF34" i="29"/>
  <c r="CG4" i="29"/>
  <c r="CG17" i="29"/>
  <c r="CG12" i="29"/>
  <c r="CG11" i="29"/>
  <c r="CG13" i="29"/>
  <c r="CG22" i="29" s="1"/>
  <c r="CG15" i="29"/>
  <c r="CG14" i="29"/>
  <c r="CG24" i="29" s="1"/>
  <c r="CG16" i="29"/>
  <c r="CG23" i="29" s="1"/>
  <c r="CG5" i="29"/>
  <c r="CG34" i="29"/>
  <c r="CH4" i="29"/>
  <c r="CH17" i="29"/>
  <c r="CH12" i="29"/>
  <c r="CH11" i="29"/>
  <c r="CH15" i="29"/>
  <c r="CH13" i="29"/>
  <c r="CH19" i="29" s="1"/>
  <c r="CH14" i="29"/>
  <c r="CH24" i="29" s="1"/>
  <c r="CH16" i="29"/>
  <c r="CH23" i="29" s="1"/>
  <c r="CH5" i="29"/>
  <c r="CH34" i="29"/>
  <c r="CI4" i="29"/>
  <c r="CI11" i="29"/>
  <c r="CI17" i="29"/>
  <c r="CI12" i="29"/>
  <c r="CI14" i="29"/>
  <c r="CI13" i="29"/>
  <c r="CI19" i="29" s="1"/>
  <c r="CI15" i="29"/>
  <c r="CI16" i="29"/>
  <c r="CI23" i="29" s="1"/>
  <c r="CI5" i="29"/>
  <c r="CH31" i="29"/>
  <c r="CI34" i="29"/>
  <c r="CJ4" i="29"/>
  <c r="CJ11" i="29"/>
  <c r="CJ13" i="29"/>
  <c r="CJ22" i="29" s="1"/>
  <c r="CJ12" i="29"/>
  <c r="CJ15" i="29"/>
  <c r="CJ14" i="29"/>
  <c r="CJ24" i="29" s="1"/>
  <c r="CJ16" i="29"/>
  <c r="CJ23" i="29" s="1"/>
  <c r="CJ5" i="29"/>
  <c r="CJ31" i="29" s="1"/>
  <c r="CJ34" i="29"/>
  <c r="CK4" i="29"/>
  <c r="CK17" i="29"/>
  <c r="CK11" i="29"/>
  <c r="CK13" i="29"/>
  <c r="CK12" i="29"/>
  <c r="CK14" i="29"/>
  <c r="CK16" i="29"/>
  <c r="CK23" i="29" s="1"/>
  <c r="CK15" i="29"/>
  <c r="CK5" i="29"/>
  <c r="CK34" i="29"/>
  <c r="CL4" i="29"/>
  <c r="CL17" i="29"/>
  <c r="CL11" i="29"/>
  <c r="CL12" i="29"/>
  <c r="CL14" i="29"/>
  <c r="CL25" i="29" s="1"/>
  <c r="CL13" i="29"/>
  <c r="CL19" i="29" s="1"/>
  <c r="CL15" i="29"/>
  <c r="CL16" i="29"/>
  <c r="CL23" i="29" s="1"/>
  <c r="CL5" i="29"/>
  <c r="CL34" i="29"/>
  <c r="CN4" i="29"/>
  <c r="CN14" i="29"/>
  <c r="CN17" i="29"/>
  <c r="CN11" i="29"/>
  <c r="CN12" i="29"/>
  <c r="CN13" i="29"/>
  <c r="CN22" i="29" s="1"/>
  <c r="CN15" i="29"/>
  <c r="CN16" i="29"/>
  <c r="CN23" i="29" s="1"/>
  <c r="CN5" i="29"/>
  <c r="CN34" i="29"/>
  <c r="CO4" i="29"/>
  <c r="CO11" i="29"/>
  <c r="CO13" i="29"/>
  <c r="CO19" i="29" s="1"/>
  <c r="CO16" i="29"/>
  <c r="CO23" i="29" s="1"/>
  <c r="CO14" i="29"/>
  <c r="CO25" i="29" s="1"/>
  <c r="CO15" i="29"/>
  <c r="CO12" i="29"/>
  <c r="CO5" i="29"/>
  <c r="CO31" i="29" s="1"/>
  <c r="CO34" i="29"/>
  <c r="CP4" i="29"/>
  <c r="CP17" i="29"/>
  <c r="CP12" i="29"/>
  <c r="CP11" i="29"/>
  <c r="CP15" i="29"/>
  <c r="CP13" i="29"/>
  <c r="CP19" i="29" s="1"/>
  <c r="CP16" i="29"/>
  <c r="CP23" i="29" s="1"/>
  <c r="CP14" i="29"/>
  <c r="CP24" i="29" s="1"/>
  <c r="CP5" i="29"/>
  <c r="CP34" i="29"/>
  <c r="CQ4" i="29"/>
  <c r="CQ17" i="29"/>
  <c r="CQ13" i="29"/>
  <c r="CQ19" i="29" s="1"/>
  <c r="CQ12" i="29"/>
  <c r="CQ14" i="29"/>
  <c r="CQ24" i="29" s="1"/>
  <c r="CQ11" i="29"/>
  <c r="CQ15" i="29"/>
  <c r="CQ16" i="29"/>
  <c r="CQ23" i="29" s="1"/>
  <c r="CQ5" i="29"/>
  <c r="CQ35" i="29" s="1"/>
  <c r="CQ34" i="29"/>
  <c r="CR4" i="29"/>
  <c r="CR11" i="29"/>
  <c r="CR12" i="29"/>
  <c r="CR17" i="29"/>
  <c r="CR13" i="29"/>
  <c r="CR19" i="29" s="1"/>
  <c r="CR15" i="29"/>
  <c r="CR14" i="29"/>
  <c r="CR24" i="29" s="1"/>
  <c r="CR16" i="29"/>
  <c r="CR23" i="29" s="1"/>
  <c r="CR5" i="29"/>
  <c r="CR34" i="29"/>
  <c r="CS4" i="29"/>
  <c r="CS17" i="29"/>
  <c r="CS11" i="29"/>
  <c r="CS12" i="29"/>
  <c r="CS14" i="29"/>
  <c r="CS25" i="29" s="1"/>
  <c r="CS13" i="29"/>
  <c r="CS19" i="29" s="1"/>
  <c r="CS15" i="29"/>
  <c r="CS16" i="29"/>
  <c r="CS23" i="29" s="1"/>
  <c r="CS5" i="29"/>
  <c r="CS34" i="29"/>
  <c r="CT4" i="29"/>
  <c r="CT17" i="29"/>
  <c r="CT12" i="29"/>
  <c r="CT11" i="29"/>
  <c r="CT14" i="29"/>
  <c r="CT15" i="29"/>
  <c r="CT13" i="29"/>
  <c r="CT19" i="29" s="1"/>
  <c r="CT16" i="29"/>
  <c r="CT23" i="29" s="1"/>
  <c r="CT5" i="29"/>
  <c r="CT35" i="29" s="1"/>
  <c r="CT34" i="29"/>
  <c r="CV4" i="29"/>
  <c r="CV17" i="29"/>
  <c r="CV11" i="29"/>
  <c r="CV13" i="29"/>
  <c r="CV22" i="29" s="1"/>
  <c r="CV12" i="29"/>
  <c r="CV14" i="29"/>
  <c r="CV24" i="29" s="1"/>
  <c r="CV15" i="29"/>
  <c r="CV16" i="29"/>
  <c r="CV23" i="29" s="1"/>
  <c r="CV5" i="29"/>
  <c r="CV34" i="29"/>
  <c r="CW4" i="29"/>
  <c r="CW17" i="29"/>
  <c r="CW14" i="29"/>
  <c r="CW25" i="29" s="1"/>
  <c r="CW11" i="29"/>
  <c r="CW13" i="29"/>
  <c r="CW22" i="29" s="1"/>
  <c r="CW12" i="29"/>
  <c r="CW15" i="29"/>
  <c r="CW16" i="29"/>
  <c r="CW23" i="29" s="1"/>
  <c r="CW5" i="29"/>
  <c r="CW35" i="29" s="1"/>
  <c r="CW34" i="29"/>
  <c r="CX4" i="29"/>
  <c r="CX11" i="29"/>
  <c r="CX13" i="29"/>
  <c r="CX19" i="29" s="1"/>
  <c r="CX17" i="29"/>
  <c r="CX12" i="29"/>
  <c r="CX16" i="29"/>
  <c r="CX23" i="29" s="1"/>
  <c r="CX14" i="29"/>
  <c r="CX15" i="29"/>
  <c r="CX5" i="29"/>
  <c r="CX34" i="29"/>
  <c r="CY4" i="29"/>
  <c r="CY12" i="29"/>
  <c r="CY11" i="29"/>
  <c r="CY13" i="29"/>
  <c r="CY22" i="29" s="1"/>
  <c r="CY15" i="29"/>
  <c r="CY14" i="29"/>
  <c r="CY25" i="29" s="1"/>
  <c r="CY16" i="29"/>
  <c r="CY23" i="29" s="1"/>
  <c r="CY5" i="29"/>
  <c r="CX35" i="29"/>
  <c r="CY34" i="29"/>
  <c r="CZ4" i="29"/>
  <c r="CZ17" i="29"/>
  <c r="CZ11" i="29"/>
  <c r="CZ12" i="29"/>
  <c r="CZ14" i="29"/>
  <c r="CZ25" i="29" s="1"/>
  <c r="CZ15" i="29"/>
  <c r="CZ16" i="29"/>
  <c r="CZ23" i="29" s="1"/>
  <c r="CZ13" i="29"/>
  <c r="CZ19" i="29" s="1"/>
  <c r="CZ5" i="29"/>
  <c r="CZ34" i="29"/>
  <c r="DA4" i="29"/>
  <c r="DA11" i="29"/>
  <c r="DA17" i="29"/>
  <c r="DA12" i="29"/>
  <c r="DA13" i="29"/>
  <c r="DA19" i="29" s="1"/>
  <c r="DA14" i="29"/>
  <c r="DA24" i="29" s="1"/>
  <c r="DA16" i="29"/>
  <c r="DA23" i="29" s="1"/>
  <c r="DA15" i="29"/>
  <c r="DA5" i="29"/>
  <c r="DA34" i="29"/>
  <c r="DB4" i="29"/>
  <c r="DB17" i="29"/>
  <c r="DB11" i="29"/>
  <c r="DB12" i="29"/>
  <c r="DB15" i="29"/>
  <c r="DB13" i="29"/>
  <c r="DB19" i="29" s="1"/>
  <c r="DB14" i="29"/>
  <c r="DB16" i="29"/>
  <c r="DB23" i="29" s="1"/>
  <c r="DB5" i="29"/>
  <c r="DB35" i="29" s="1"/>
  <c r="DB34" i="29"/>
  <c r="DD4" i="29"/>
  <c r="DD17" i="29"/>
  <c r="DD11" i="29"/>
  <c r="DD14" i="29"/>
  <c r="DD25" i="29" s="1"/>
  <c r="DD13" i="29"/>
  <c r="DD19" i="29" s="1"/>
  <c r="DD12" i="29"/>
  <c r="DD16" i="29"/>
  <c r="DD23" i="29" s="1"/>
  <c r="DD15" i="29"/>
  <c r="DD5" i="29"/>
  <c r="DD34" i="29"/>
  <c r="DE4" i="29"/>
  <c r="DE17" i="29"/>
  <c r="DE11" i="29"/>
  <c r="DE13" i="29"/>
  <c r="DE22" i="29" s="1"/>
  <c r="DE15" i="29"/>
  <c r="DE12" i="29"/>
  <c r="DE16" i="29"/>
  <c r="DE23" i="29" s="1"/>
  <c r="DE14" i="29"/>
  <c r="DE25" i="29" s="1"/>
  <c r="DE5" i="29"/>
  <c r="DE35" i="29" s="1"/>
  <c r="DE34" i="29"/>
  <c r="DF4" i="29"/>
  <c r="DF14" i="29"/>
  <c r="DF24" i="29" s="1"/>
  <c r="DF12" i="29"/>
  <c r="DF13" i="29"/>
  <c r="DF22" i="29" s="1"/>
  <c r="DF17" i="29"/>
  <c r="DF11" i="29"/>
  <c r="DF16" i="29"/>
  <c r="DF23" i="29" s="1"/>
  <c r="DF15" i="29"/>
  <c r="DF5" i="29"/>
  <c r="DF35" i="29" s="1"/>
  <c r="DF34" i="29"/>
  <c r="DG4" i="29"/>
  <c r="DG11" i="29"/>
  <c r="DG17" i="29"/>
  <c r="DG13" i="29"/>
  <c r="DG19" i="29" s="1"/>
  <c r="DG14" i="29"/>
  <c r="DG24" i="29" s="1"/>
  <c r="DG12" i="29"/>
  <c r="DG15" i="29"/>
  <c r="DG16" i="29"/>
  <c r="DG23" i="29" s="1"/>
  <c r="DG5" i="29"/>
  <c r="DG35" i="29" s="1"/>
  <c r="DG34" i="29"/>
  <c r="DH4" i="29"/>
  <c r="DH17" i="29"/>
  <c r="DH11" i="29"/>
  <c r="DH12" i="29"/>
  <c r="DH15" i="29"/>
  <c r="DH14" i="29"/>
  <c r="DH25" i="29" s="1"/>
  <c r="DH16" i="29"/>
  <c r="DH23" i="29" s="1"/>
  <c r="DH13" i="29"/>
  <c r="DH19" i="29" s="1"/>
  <c r="DH5" i="29"/>
  <c r="DH34" i="29"/>
  <c r="DI4" i="29"/>
  <c r="DI17" i="29"/>
  <c r="DI11" i="29"/>
  <c r="DI14" i="29"/>
  <c r="DI25" i="29" s="1"/>
  <c r="DI13" i="29"/>
  <c r="DI22" i="29" s="1"/>
  <c r="DI12" i="29"/>
  <c r="DI15" i="29"/>
  <c r="DI16" i="29"/>
  <c r="DI23" i="29" s="1"/>
  <c r="DI5" i="29"/>
  <c r="DI34" i="29"/>
  <c r="DJ4" i="29"/>
  <c r="DJ11" i="29"/>
  <c r="DJ17" i="29"/>
  <c r="DJ12" i="29"/>
  <c r="DJ13" i="29"/>
  <c r="DJ19" i="29" s="1"/>
  <c r="DJ15" i="29"/>
  <c r="DJ14" i="29"/>
  <c r="DJ25" i="29" s="1"/>
  <c r="DJ16" i="29"/>
  <c r="DJ23" i="29" s="1"/>
  <c r="DJ5" i="29"/>
  <c r="DJ34" i="29"/>
  <c r="DL4" i="29"/>
  <c r="DL17" i="29"/>
  <c r="DL11" i="29"/>
  <c r="DL12" i="29"/>
  <c r="DL13" i="29"/>
  <c r="DL19" i="29" s="1"/>
  <c r="DL14" i="29"/>
  <c r="DL15" i="29"/>
  <c r="DL16" i="29"/>
  <c r="DL23" i="29" s="1"/>
  <c r="DL5" i="29"/>
  <c r="DL34" i="29"/>
  <c r="DM4" i="29"/>
  <c r="DM17" i="29"/>
  <c r="DM11" i="29"/>
  <c r="DM12" i="29"/>
  <c r="DM13" i="29"/>
  <c r="DM22" i="29" s="1"/>
  <c r="DM15" i="29"/>
  <c r="DM16" i="29"/>
  <c r="DM23" i="29" s="1"/>
  <c r="DM14" i="29"/>
  <c r="DM24" i="29" s="1"/>
  <c r="DM5" i="29"/>
  <c r="DM34" i="29"/>
  <c r="DN4" i="29"/>
  <c r="DN17" i="29"/>
  <c r="DN11" i="29"/>
  <c r="DN12" i="29"/>
  <c r="DN14" i="29"/>
  <c r="DN24" i="29" s="1"/>
  <c r="DN13" i="29"/>
  <c r="DN22" i="29" s="1"/>
  <c r="DN15" i="29"/>
  <c r="DN16" i="29"/>
  <c r="DN23" i="29" s="1"/>
  <c r="DN5" i="29"/>
  <c r="DN34" i="29"/>
  <c r="DO4" i="29"/>
  <c r="DO14" i="29"/>
  <c r="DO25" i="29" s="1"/>
  <c r="DO11" i="29"/>
  <c r="DO15" i="29"/>
  <c r="DO12" i="29"/>
  <c r="DO16" i="29"/>
  <c r="DO23" i="29" s="1"/>
  <c r="DO13" i="29"/>
  <c r="DO22" i="29" s="1"/>
  <c r="DO5" i="29"/>
  <c r="DO31" i="29" s="1"/>
  <c r="DO34" i="29"/>
  <c r="DP4" i="29"/>
  <c r="DP11" i="29"/>
  <c r="DP13" i="29"/>
  <c r="DP22" i="29" s="1"/>
  <c r="DP17" i="29"/>
  <c r="DP14" i="29"/>
  <c r="DP15" i="29"/>
  <c r="DP16" i="29"/>
  <c r="DP23" i="29" s="1"/>
  <c r="DP12" i="29"/>
  <c r="DP5" i="29"/>
  <c r="DP34" i="29"/>
  <c r="DQ4" i="29"/>
  <c r="DQ17" i="29"/>
  <c r="DQ12" i="29"/>
  <c r="DQ11" i="29"/>
  <c r="DQ13" i="29"/>
  <c r="DQ15" i="29"/>
  <c r="DQ14" i="29"/>
  <c r="DQ25" i="29" s="1"/>
  <c r="DQ16" i="29"/>
  <c r="DQ23" i="29" s="1"/>
  <c r="DQ5" i="29"/>
  <c r="DQ34" i="29"/>
  <c r="DR4" i="29"/>
  <c r="DR17" i="29"/>
  <c r="DR12" i="29"/>
  <c r="DR11" i="29"/>
  <c r="DR13" i="29"/>
  <c r="DR19" i="29" s="1"/>
  <c r="DR14" i="29"/>
  <c r="DR25" i="29" s="1"/>
  <c r="DR15" i="29"/>
  <c r="DR16" i="29"/>
  <c r="DR23" i="29" s="1"/>
  <c r="DR5" i="29"/>
  <c r="DR34" i="29"/>
  <c r="DT4" i="29"/>
  <c r="DT11" i="29"/>
  <c r="DT12" i="29"/>
  <c r="DT13" i="29"/>
  <c r="DT22" i="29" s="1"/>
  <c r="DT14" i="29"/>
  <c r="DT24" i="29" s="1"/>
  <c r="DT15" i="29"/>
  <c r="DT16" i="29"/>
  <c r="DT23" i="29" s="1"/>
  <c r="DT5" i="29"/>
  <c r="DT35" i="29" s="1"/>
  <c r="DT34" i="29"/>
  <c r="DU4" i="29"/>
  <c r="DU17" i="29"/>
  <c r="DU11" i="29"/>
  <c r="DU12" i="29"/>
  <c r="DU13" i="29"/>
  <c r="DU19" i="29" s="1"/>
  <c r="DU14" i="29"/>
  <c r="DU25" i="29" s="1"/>
  <c r="DU15" i="29"/>
  <c r="DU16" i="29"/>
  <c r="DU23" i="29" s="1"/>
  <c r="DU5" i="29"/>
  <c r="DU34" i="29"/>
  <c r="DV4" i="29"/>
  <c r="DV17" i="29"/>
  <c r="DV11" i="29"/>
  <c r="DV13" i="29"/>
  <c r="DV19" i="29" s="1"/>
  <c r="DV12" i="29"/>
  <c r="DV15" i="29"/>
  <c r="DV14" i="29"/>
  <c r="DV24" i="29" s="1"/>
  <c r="DV16" i="29"/>
  <c r="DV23" i="29" s="1"/>
  <c r="DV5" i="29"/>
  <c r="DV34" i="29"/>
  <c r="DW4" i="29"/>
  <c r="DW17" i="29"/>
  <c r="DW11" i="29"/>
  <c r="DW12" i="29"/>
  <c r="DW14" i="29"/>
  <c r="DW24" i="29" s="1"/>
  <c r="DW15" i="29"/>
  <c r="DW13" i="29"/>
  <c r="DW22" i="29" s="1"/>
  <c r="DW16" i="29"/>
  <c r="DW5" i="29"/>
  <c r="DW35" i="29" s="1"/>
  <c r="DW34" i="29"/>
  <c r="DX4" i="29"/>
  <c r="DX17" i="29"/>
  <c r="DX14" i="29"/>
  <c r="DX24" i="29" s="1"/>
  <c r="DX11" i="29"/>
  <c r="DX12" i="29"/>
  <c r="DX13" i="29"/>
  <c r="DX22" i="29" s="1"/>
  <c r="DX16" i="29"/>
  <c r="DX23" i="29" s="1"/>
  <c r="DX15" i="29"/>
  <c r="DX5" i="29"/>
  <c r="DX35" i="29" s="1"/>
  <c r="DX34" i="29"/>
  <c r="DY4" i="29"/>
  <c r="DY11" i="29"/>
  <c r="DY17" i="29"/>
  <c r="DY13" i="29"/>
  <c r="DY22" i="29" s="1"/>
  <c r="DY14" i="29"/>
  <c r="DY24" i="29" s="1"/>
  <c r="DY12" i="29"/>
  <c r="DY15" i="29"/>
  <c r="DY16" i="29"/>
  <c r="DY23" i="29" s="1"/>
  <c r="DY5" i="29"/>
  <c r="DY34" i="29"/>
  <c r="DZ4" i="29"/>
  <c r="DZ17" i="29"/>
  <c r="DZ12" i="29"/>
  <c r="DZ11" i="29"/>
  <c r="DZ13" i="29"/>
  <c r="DZ22" i="29" s="1"/>
  <c r="DZ15" i="29"/>
  <c r="DZ16" i="29"/>
  <c r="DZ23" i="29" s="1"/>
  <c r="DZ14" i="29"/>
  <c r="DZ25" i="29" s="1"/>
  <c r="DZ5" i="29"/>
  <c r="DZ31" i="29" s="1"/>
  <c r="DZ34" i="29"/>
  <c r="EB4" i="29"/>
  <c r="EB17" i="29"/>
  <c r="EB13" i="29"/>
  <c r="EB19" i="29" s="1"/>
  <c r="EB11" i="29"/>
  <c r="EB12" i="29"/>
  <c r="EB14" i="29"/>
  <c r="EB25" i="29" s="1"/>
  <c r="EB16" i="29"/>
  <c r="EB15" i="29"/>
  <c r="EB5" i="29"/>
  <c r="EB35" i="29" s="1"/>
  <c r="EB34" i="29"/>
  <c r="EC4" i="29"/>
  <c r="EC11" i="29"/>
  <c r="EC12" i="29"/>
  <c r="EC14" i="29"/>
  <c r="EC25" i="29" s="1"/>
  <c r="EC15" i="29"/>
  <c r="EC13" i="29"/>
  <c r="EC19" i="29" s="1"/>
  <c r="EC16" i="29"/>
  <c r="EC23" i="29" s="1"/>
  <c r="EC5" i="29"/>
  <c r="EC35" i="29" s="1"/>
  <c r="EC34" i="29"/>
  <c r="ED4" i="29"/>
  <c r="ED17" i="29"/>
  <c r="ED11" i="29"/>
  <c r="ED14" i="29"/>
  <c r="ED25" i="29" s="1"/>
  <c r="ED12" i="29"/>
  <c r="ED13" i="29"/>
  <c r="ED15" i="29"/>
  <c r="ED16" i="29"/>
  <c r="ED23" i="29" s="1"/>
  <c r="ED5" i="29"/>
  <c r="ED34" i="29"/>
  <c r="EE4" i="29"/>
  <c r="EE17" i="29"/>
  <c r="EE11" i="29"/>
  <c r="EE12" i="29"/>
  <c r="EE13" i="29"/>
  <c r="EE19" i="29" s="1"/>
  <c r="EE15" i="29"/>
  <c r="EE14" i="29"/>
  <c r="EE24" i="29" s="1"/>
  <c r="EE16" i="29"/>
  <c r="EE23" i="29" s="1"/>
  <c r="EE5" i="29"/>
  <c r="EE31" i="29" s="1"/>
  <c r="EE34" i="29"/>
  <c r="EF4" i="29"/>
  <c r="EF11" i="29"/>
  <c r="EF17" i="29"/>
  <c r="EF13" i="29"/>
  <c r="EF19" i="29" s="1"/>
  <c r="EF12" i="29"/>
  <c r="EF14" i="29"/>
  <c r="EF16" i="29"/>
  <c r="EF23" i="29" s="1"/>
  <c r="EF15" i="29"/>
  <c r="EF5" i="29"/>
  <c r="EF34" i="29"/>
  <c r="EG4" i="29"/>
  <c r="EG14" i="29"/>
  <c r="EG17" i="29"/>
  <c r="EG13" i="29"/>
  <c r="EG19" i="29" s="1"/>
  <c r="EG15" i="29"/>
  <c r="EG12" i="29"/>
  <c r="EG11" i="29"/>
  <c r="EG16" i="29"/>
  <c r="EG23" i="29" s="1"/>
  <c r="EG5" i="29"/>
  <c r="EG35" i="29" s="1"/>
  <c r="EG34" i="29"/>
  <c r="EH4" i="29"/>
  <c r="EH11" i="29"/>
  <c r="EH13" i="29"/>
  <c r="EH12" i="29"/>
  <c r="EH17" i="29"/>
  <c r="EH14" i="29"/>
  <c r="EH15" i="29"/>
  <c r="EH16" i="29"/>
  <c r="EH23" i="29" s="1"/>
  <c r="EH5" i="29"/>
  <c r="EH31" i="29" s="1"/>
  <c r="EH34" i="29"/>
  <c r="EJ4" i="29"/>
  <c r="EJ17" i="29"/>
  <c r="EJ12" i="29"/>
  <c r="EJ11" i="29"/>
  <c r="EJ14" i="29"/>
  <c r="EJ25" i="29" s="1"/>
  <c r="EJ15" i="29"/>
  <c r="EJ13" i="29"/>
  <c r="EJ16" i="29"/>
  <c r="EJ23" i="29" s="1"/>
  <c r="EJ5" i="29"/>
  <c r="EJ34" i="29"/>
  <c r="EK4" i="29"/>
  <c r="EK17" i="29"/>
  <c r="EK11" i="29"/>
  <c r="EK12" i="29"/>
  <c r="EK15" i="29"/>
  <c r="EK13" i="29"/>
  <c r="EK19" i="29" s="1"/>
  <c r="EK14" i="29"/>
  <c r="EK16" i="29"/>
  <c r="EK23" i="29" s="1"/>
  <c r="EK5" i="29"/>
  <c r="EK35" i="29" s="1"/>
  <c r="EK34" i="29"/>
  <c r="EJ31" i="29"/>
  <c r="EL4" i="29"/>
  <c r="EL11" i="29"/>
  <c r="EL12" i="29"/>
  <c r="EL13" i="29"/>
  <c r="EL22" i="29" s="1"/>
  <c r="EL15" i="29"/>
  <c r="EL16" i="29"/>
  <c r="EL23" i="29" s="1"/>
  <c r="EL14" i="29"/>
  <c r="EL25" i="29" s="1"/>
  <c r="EL5" i="29"/>
  <c r="EL34" i="29"/>
  <c r="EM4" i="29"/>
  <c r="EM17" i="29"/>
  <c r="EM11" i="29"/>
  <c r="EM14" i="29"/>
  <c r="EM24" i="29" s="1"/>
  <c r="EM12" i="29"/>
  <c r="EM15" i="29"/>
  <c r="EM16" i="29"/>
  <c r="EM23" i="29" s="1"/>
  <c r="EM13" i="29"/>
  <c r="EM19" i="29" s="1"/>
  <c r="EM5" i="29"/>
  <c r="EM34" i="29"/>
  <c r="EN4" i="29"/>
  <c r="EN17" i="29"/>
  <c r="EN11" i="29"/>
  <c r="EN13" i="29"/>
  <c r="EN12" i="29"/>
  <c r="EN14" i="29"/>
  <c r="EN15" i="29"/>
  <c r="EN16" i="29"/>
  <c r="EN23" i="29" s="1"/>
  <c r="EN5" i="29"/>
  <c r="EN35" i="29" s="1"/>
  <c r="EM31" i="29"/>
  <c r="EN34" i="29"/>
  <c r="EO4" i="29"/>
  <c r="EO17" i="29"/>
  <c r="EO11" i="29"/>
  <c r="EO12" i="29"/>
  <c r="EO13" i="29"/>
  <c r="EO19" i="29" s="1"/>
  <c r="EO14" i="29"/>
  <c r="EO24" i="29" s="1"/>
  <c r="EO15" i="29"/>
  <c r="EO16" i="29"/>
  <c r="EO23" i="29" s="1"/>
  <c r="EO5" i="29"/>
  <c r="EO35" i="29" s="1"/>
  <c r="EO34" i="29"/>
  <c r="EP4" i="29"/>
  <c r="EP14" i="29"/>
  <c r="EP24" i="29" s="1"/>
  <c r="EP17" i="29"/>
  <c r="EP12" i="29"/>
  <c r="EP11" i="29"/>
  <c r="EP13" i="29"/>
  <c r="EP19" i="29" s="1"/>
  <c r="EP15" i="29"/>
  <c r="EP16" i="29"/>
  <c r="EP23" i="29" s="1"/>
  <c r="EP5" i="29"/>
  <c r="EP34" i="29"/>
  <c r="ER4" i="29"/>
  <c r="ER11" i="29"/>
  <c r="ER13" i="29"/>
  <c r="ER19" i="29" s="1"/>
  <c r="ER17" i="29"/>
  <c r="ER15" i="29"/>
  <c r="ER12" i="29"/>
  <c r="ER14" i="29"/>
  <c r="ER24" i="29" s="1"/>
  <c r="ER16" i="29"/>
  <c r="ER23" i="29" s="1"/>
  <c r="ER5" i="29"/>
  <c r="ER31" i="29" s="1"/>
  <c r="ER34" i="29"/>
  <c r="ES4" i="29"/>
  <c r="ES17" i="29"/>
  <c r="ES11" i="29"/>
  <c r="ES12" i="29"/>
  <c r="ES15" i="29"/>
  <c r="ES14" i="29"/>
  <c r="ES16" i="29"/>
  <c r="ES23" i="29" s="1"/>
  <c r="ES13" i="29"/>
  <c r="ES19" i="29" s="1"/>
  <c r="ES5" i="29"/>
  <c r="ES34" i="29"/>
  <c r="ET4" i="29"/>
  <c r="ET17" i="29"/>
  <c r="ET11" i="29"/>
  <c r="ET14" i="29"/>
  <c r="ET13" i="29"/>
  <c r="ET19" i="29" s="1"/>
  <c r="ET12" i="29"/>
  <c r="ET16" i="29"/>
  <c r="ET23" i="29" s="1"/>
  <c r="ET15" i="29"/>
  <c r="ET5" i="29"/>
  <c r="ET34" i="29"/>
  <c r="ES35" i="29"/>
  <c r="EU4" i="29"/>
  <c r="EU11" i="29"/>
  <c r="EU12" i="29"/>
  <c r="EU17" i="29"/>
  <c r="EU13" i="29"/>
  <c r="EU19" i="29" s="1"/>
  <c r="EU15" i="29"/>
  <c r="EU14" i="29"/>
  <c r="EU24" i="29" s="1"/>
  <c r="EU16" i="29"/>
  <c r="EU23" i="29" s="1"/>
  <c r="EU5" i="29"/>
  <c r="EU31" i="29" s="1"/>
  <c r="EU34" i="29"/>
  <c r="EV4" i="29"/>
  <c r="EV17" i="29"/>
  <c r="EV11" i="29"/>
  <c r="EV13" i="29"/>
  <c r="EV19" i="29" s="1"/>
  <c r="EV12" i="29"/>
  <c r="EV14" i="29"/>
  <c r="EV15" i="29"/>
  <c r="EV16" i="29"/>
  <c r="EV23" i="29" s="1"/>
  <c r="EV5" i="29"/>
  <c r="EV34" i="29"/>
  <c r="EW4" i="29"/>
  <c r="EW12" i="29"/>
  <c r="EW14" i="29"/>
  <c r="EW11" i="29"/>
  <c r="EW13" i="29"/>
  <c r="EW19" i="29" s="1"/>
  <c r="EW15" i="29"/>
  <c r="EW16" i="29"/>
  <c r="EW23" i="29" s="1"/>
  <c r="EW5" i="29"/>
  <c r="EW34" i="29"/>
  <c r="EX4" i="29"/>
  <c r="EX11" i="29"/>
  <c r="EX17" i="29"/>
  <c r="EX14" i="29"/>
  <c r="EX24" i="29" s="1"/>
  <c r="EX15" i="29"/>
  <c r="EX13" i="29"/>
  <c r="EX19" i="29" s="1"/>
  <c r="EX16" i="29"/>
  <c r="EX23" i="29" s="1"/>
  <c r="EX12" i="29"/>
  <c r="EX5" i="29"/>
  <c r="EX35" i="29" s="1"/>
  <c r="EX34" i="29"/>
  <c r="EZ4" i="29"/>
  <c r="EZ17" i="29"/>
  <c r="EZ11" i="29"/>
  <c r="EZ12" i="29"/>
  <c r="EZ13" i="29"/>
  <c r="EZ22" i="29" s="1"/>
  <c r="EZ14" i="29"/>
  <c r="EZ24" i="29" s="1"/>
  <c r="EZ15" i="29"/>
  <c r="EZ16" i="29"/>
  <c r="EZ23" i="29" s="1"/>
  <c r="EZ5" i="29"/>
  <c r="EZ35" i="29" s="1"/>
  <c r="EZ34" i="29"/>
  <c r="FA4" i="29"/>
  <c r="FA11" i="29"/>
  <c r="FA17" i="29"/>
  <c r="FA13" i="29"/>
  <c r="FA22" i="29" s="1"/>
  <c r="FA12" i="29"/>
  <c r="FA14" i="29"/>
  <c r="FA25" i="29" s="1"/>
  <c r="FA16" i="29"/>
  <c r="FA23" i="29" s="1"/>
  <c r="FA15" i="29"/>
  <c r="FA5" i="29"/>
  <c r="FA31" i="29" s="1"/>
  <c r="FA34" i="29"/>
  <c r="FB4" i="29"/>
  <c r="FB17" i="29"/>
  <c r="FB12" i="29"/>
  <c r="FB13" i="29"/>
  <c r="FB22" i="29" s="1"/>
  <c r="FB11" i="29"/>
  <c r="FB15" i="29"/>
  <c r="FB16" i="29"/>
  <c r="FB14" i="29"/>
  <c r="FB24" i="29" s="1"/>
  <c r="FB5" i="29"/>
  <c r="FB34" i="29"/>
  <c r="FC4" i="29"/>
  <c r="FC17" i="29"/>
  <c r="FC11" i="29"/>
  <c r="FC12" i="29"/>
  <c r="FC13" i="29"/>
  <c r="FC19" i="29" s="1"/>
  <c r="FC14" i="29"/>
  <c r="FC25" i="29" s="1"/>
  <c r="FC15" i="29"/>
  <c r="FC16" i="29"/>
  <c r="FC23" i="29" s="1"/>
  <c r="FC5" i="29"/>
  <c r="FC34" i="29"/>
  <c r="FD4" i="29"/>
  <c r="FD11" i="29"/>
  <c r="FD17" i="29"/>
  <c r="FD12" i="29"/>
  <c r="FD14" i="29"/>
  <c r="FD24" i="29" s="1"/>
  <c r="FD13" i="29"/>
  <c r="FD19" i="29" s="1"/>
  <c r="FD16" i="29"/>
  <c r="FD23" i="29" s="1"/>
  <c r="FD15" i="29"/>
  <c r="FD5" i="29"/>
  <c r="FD35" i="29" s="1"/>
  <c r="FD34" i="29"/>
  <c r="FE4" i="29"/>
  <c r="FE17" i="29"/>
  <c r="FE11" i="29"/>
  <c r="FE12" i="29"/>
  <c r="FE15" i="29"/>
  <c r="FE13" i="29"/>
  <c r="FE19" i="29" s="1"/>
  <c r="FE16" i="29"/>
  <c r="FE23" i="29" s="1"/>
  <c r="FE14" i="29"/>
  <c r="FE24" i="29" s="1"/>
  <c r="FE5" i="29"/>
  <c r="FE35" i="29" s="1"/>
  <c r="FE34" i="29"/>
  <c r="FF4" i="29"/>
  <c r="FF17" i="29"/>
  <c r="FF13" i="29"/>
  <c r="FF19" i="29" s="1"/>
  <c r="FF12" i="29"/>
  <c r="FF14" i="29"/>
  <c r="FF25" i="29" s="1"/>
  <c r="FF11" i="29"/>
  <c r="FF16" i="29"/>
  <c r="FF23" i="29" s="1"/>
  <c r="FF15" i="29"/>
  <c r="FF5" i="29"/>
  <c r="FF35" i="29" s="1"/>
  <c r="FF34" i="29"/>
  <c r="FH4" i="29"/>
  <c r="FH11" i="29"/>
  <c r="FH17" i="29"/>
  <c r="FH12" i="29"/>
  <c r="FH13" i="29"/>
  <c r="FH19" i="29" s="1"/>
  <c r="FH14" i="29"/>
  <c r="FO14" i="29" s="1"/>
  <c r="FH15" i="29"/>
  <c r="FH16" i="29"/>
  <c r="FH23" i="29" s="1"/>
  <c r="FH5" i="29"/>
  <c r="FH35" i="29" s="1"/>
  <c r="FH34" i="29"/>
  <c r="FI4" i="29"/>
  <c r="FI17" i="29"/>
  <c r="FI11" i="29"/>
  <c r="FI12" i="29"/>
  <c r="FI13" i="29"/>
  <c r="FI22" i="29" s="1"/>
  <c r="FI14" i="29"/>
  <c r="FI15" i="29"/>
  <c r="FI16" i="29"/>
  <c r="FI5" i="29"/>
  <c r="FI34" i="29"/>
  <c r="FJ4" i="29"/>
  <c r="FJ11" i="29"/>
  <c r="FJ13" i="29"/>
  <c r="FJ22" i="29" s="1"/>
  <c r="FJ17" i="29"/>
  <c r="FJ12" i="29"/>
  <c r="FJ15" i="29"/>
  <c r="FJ16" i="29"/>
  <c r="FJ23" i="29" s="1"/>
  <c r="FJ14" i="29"/>
  <c r="FJ5" i="29"/>
  <c r="FJ31" i="29" s="1"/>
  <c r="FJ34" i="29"/>
  <c r="FK4" i="29"/>
  <c r="FK17" i="29"/>
  <c r="FK12" i="29"/>
  <c r="FK11" i="29"/>
  <c r="FK15" i="29"/>
  <c r="FK14" i="29"/>
  <c r="FK24" i="29" s="1"/>
  <c r="FK16" i="29"/>
  <c r="FK23" i="29" s="1"/>
  <c r="FK13" i="29"/>
  <c r="FK19" i="29" s="1"/>
  <c r="FK5" i="29"/>
  <c r="FK31" i="29" s="1"/>
  <c r="FK34" i="29"/>
  <c r="FL4" i="29"/>
  <c r="FL17" i="29"/>
  <c r="FL11" i="29"/>
  <c r="FL13" i="29"/>
  <c r="FL19" i="29" s="1"/>
  <c r="FL14" i="29"/>
  <c r="FL25" i="29" s="1"/>
  <c r="FL12" i="29"/>
  <c r="FL16" i="29"/>
  <c r="FL23" i="29" s="1"/>
  <c r="FL15" i="29"/>
  <c r="FL5" i="29"/>
  <c r="FL31" i="29" s="1"/>
  <c r="FL34" i="29"/>
  <c r="FM4" i="29"/>
  <c r="FM11" i="29"/>
  <c r="FM17" i="29"/>
  <c r="FM12" i="29"/>
  <c r="FM13" i="29"/>
  <c r="FM19" i="29" s="1"/>
  <c r="FM15" i="29"/>
  <c r="FM14" i="29"/>
  <c r="FM24" i="29" s="1"/>
  <c r="FM16" i="29"/>
  <c r="FM23" i="29" s="1"/>
  <c r="FM5" i="29"/>
  <c r="FM34" i="29"/>
  <c r="FN4" i="29"/>
  <c r="FN17" i="29"/>
  <c r="FN11" i="29"/>
  <c r="FN12" i="29"/>
  <c r="FN14" i="29"/>
  <c r="FN25" i="29" s="1"/>
  <c r="FN15" i="29"/>
  <c r="FN13" i="29"/>
  <c r="FN19" i="29" s="1"/>
  <c r="FN16" i="29"/>
  <c r="FN23" i="29" s="1"/>
  <c r="FN5" i="29"/>
  <c r="FN34" i="29"/>
  <c r="FP4" i="29"/>
  <c r="FP17" i="29"/>
  <c r="FP12" i="29"/>
  <c r="FP13" i="29"/>
  <c r="FP22" i="29" s="1"/>
  <c r="FP11" i="29"/>
  <c r="FP14" i="29"/>
  <c r="FP24" i="29" s="1"/>
  <c r="FP15" i="29"/>
  <c r="FP16" i="29"/>
  <c r="FP23" i="29" s="1"/>
  <c r="FP5" i="29"/>
  <c r="FP35" i="29" s="1"/>
  <c r="FP34" i="29"/>
  <c r="FQ4" i="29"/>
  <c r="FQ11" i="29"/>
  <c r="FQ17" i="29"/>
  <c r="FQ13" i="29"/>
  <c r="FQ19" i="29" s="1"/>
  <c r="FQ14" i="29"/>
  <c r="FQ25" i="29" s="1"/>
  <c r="FQ12" i="29"/>
  <c r="FQ15" i="29"/>
  <c r="FQ16" i="29"/>
  <c r="FQ23" i="29" s="1"/>
  <c r="FQ5" i="29"/>
  <c r="FQ31" i="29" s="1"/>
  <c r="FQ34" i="29"/>
  <c r="FP31" i="29"/>
  <c r="FR4" i="29"/>
  <c r="FR17" i="29"/>
  <c r="FR11" i="29"/>
  <c r="FR12" i="29"/>
  <c r="FR13" i="29"/>
  <c r="FR22" i="29" s="1"/>
  <c r="FR15" i="29"/>
  <c r="FR14" i="29"/>
  <c r="FR25" i="29" s="1"/>
  <c r="FR16" i="29"/>
  <c r="FR23" i="29" s="1"/>
  <c r="FR5" i="29"/>
  <c r="FR34" i="29"/>
  <c r="FS4" i="29"/>
  <c r="FS11" i="29"/>
  <c r="FS13" i="29"/>
  <c r="FS22" i="29" s="1"/>
  <c r="FS17" i="29"/>
  <c r="FS12" i="29"/>
  <c r="FS14" i="29"/>
  <c r="FS25" i="29" s="1"/>
  <c r="FS15" i="29"/>
  <c r="FS16" i="29"/>
  <c r="FS23" i="29" s="1"/>
  <c r="FS5" i="29"/>
  <c r="FS35" i="29" s="1"/>
  <c r="FS34" i="29"/>
  <c r="FT4" i="29"/>
  <c r="FT17" i="29"/>
  <c r="FT12" i="29"/>
  <c r="FT11" i="29"/>
  <c r="FT15" i="29"/>
  <c r="FT16" i="29"/>
  <c r="FT23" i="29" s="1"/>
  <c r="FT14" i="29"/>
  <c r="FT13" i="29"/>
  <c r="FT22" i="29" s="1"/>
  <c r="FT5" i="29"/>
  <c r="FT34" i="29"/>
  <c r="FU4" i="29"/>
  <c r="FU17" i="29"/>
  <c r="FU12" i="29"/>
  <c r="FU14" i="29"/>
  <c r="FU25" i="29" s="1"/>
  <c r="FU11" i="29"/>
  <c r="FU13" i="29"/>
  <c r="FU19" i="29" s="1"/>
  <c r="FU15" i="29"/>
  <c r="FU16" i="29"/>
  <c r="FU23" i="29" s="1"/>
  <c r="FU5" i="29"/>
  <c r="FU34" i="29"/>
  <c r="FV4" i="29"/>
  <c r="FV11" i="29"/>
  <c r="FV12" i="29"/>
  <c r="FV17" i="29"/>
  <c r="FV13" i="29"/>
  <c r="FV19" i="29" s="1"/>
  <c r="FV14" i="29"/>
  <c r="FV25" i="29" s="1"/>
  <c r="FV16" i="29"/>
  <c r="FV23" i="29" s="1"/>
  <c r="FV15" i="29"/>
  <c r="FV5" i="29"/>
  <c r="FU35" i="29"/>
  <c r="FV34" i="29"/>
  <c r="FX4" i="29"/>
  <c r="FX17" i="29"/>
  <c r="FX11" i="29"/>
  <c r="FX13" i="29"/>
  <c r="FX22" i="29" s="1"/>
  <c r="FX15" i="29"/>
  <c r="FX12" i="29"/>
  <c r="FX16" i="29"/>
  <c r="FX23" i="29" s="1"/>
  <c r="FX14" i="29"/>
  <c r="FX25" i="29" s="1"/>
  <c r="FX5" i="29"/>
  <c r="FX34" i="29"/>
  <c r="FY4" i="29"/>
  <c r="FY17" i="29"/>
  <c r="FY11" i="29"/>
  <c r="FY14" i="29"/>
  <c r="FY24" i="29" s="1"/>
  <c r="FY13" i="29"/>
  <c r="FY19" i="29" s="1"/>
  <c r="FY12" i="29"/>
  <c r="FY16" i="29"/>
  <c r="FY15" i="29"/>
  <c r="FY5" i="29"/>
  <c r="FY35" i="29" s="1"/>
  <c r="FY34" i="29"/>
  <c r="FZ4" i="29"/>
  <c r="FZ17" i="29"/>
  <c r="FZ12" i="29"/>
  <c r="FZ11" i="29"/>
  <c r="FZ14" i="29"/>
  <c r="FZ25" i="29" s="1"/>
  <c r="FZ15" i="29"/>
  <c r="FZ13" i="29"/>
  <c r="FZ19" i="29" s="1"/>
  <c r="FZ16" i="29"/>
  <c r="FZ23" i="29" s="1"/>
  <c r="FZ5" i="29"/>
  <c r="FZ31" i="29" s="1"/>
  <c r="FZ34" i="29"/>
  <c r="GA4" i="29"/>
  <c r="GA17" i="29"/>
  <c r="GA12" i="29"/>
  <c r="GA13" i="29"/>
  <c r="GA11" i="29"/>
  <c r="GA14" i="29"/>
  <c r="GA24" i="29" s="1"/>
  <c r="GA15" i="29"/>
  <c r="GA16" i="29"/>
  <c r="GA23" i="29" s="1"/>
  <c r="GA5" i="29"/>
  <c r="GA34" i="29"/>
  <c r="GB4" i="29"/>
  <c r="GB11" i="29"/>
  <c r="GB13" i="29"/>
  <c r="GB19" i="29" s="1"/>
  <c r="GB17" i="29"/>
  <c r="GB12" i="29"/>
  <c r="GB15" i="29"/>
  <c r="GB14" i="29"/>
  <c r="GB25" i="29" s="1"/>
  <c r="GB16" i="29"/>
  <c r="GB23" i="29" s="1"/>
  <c r="GB5" i="29"/>
  <c r="GB31" i="29" s="1"/>
  <c r="GB34" i="29"/>
  <c r="GC4" i="29"/>
  <c r="GC17" i="29"/>
  <c r="GC11" i="29"/>
  <c r="GC12" i="29"/>
  <c r="GC15" i="29"/>
  <c r="GC16" i="29"/>
  <c r="GC23" i="29" s="1"/>
  <c r="GC13" i="29"/>
  <c r="GC19" i="29" s="1"/>
  <c r="GC14" i="29"/>
  <c r="GC25" i="29" s="1"/>
  <c r="GC5" i="29"/>
  <c r="GC31" i="29" s="1"/>
  <c r="GC34" i="29"/>
  <c r="GD4" i="29"/>
  <c r="GD17" i="29"/>
  <c r="GD11" i="29"/>
  <c r="GD13" i="29"/>
  <c r="GD22" i="29" s="1"/>
  <c r="GD14" i="29"/>
  <c r="GD25" i="29" s="1"/>
  <c r="GD15" i="29"/>
  <c r="GD16" i="29"/>
  <c r="GD23" i="29" s="1"/>
  <c r="GD12" i="29"/>
  <c r="GD5" i="29"/>
  <c r="GD34" i="29"/>
  <c r="GF4" i="29"/>
  <c r="GF11" i="29"/>
  <c r="GF12" i="29"/>
  <c r="GF17" i="29"/>
  <c r="GF15" i="29"/>
  <c r="GF14" i="29"/>
  <c r="GF25" i="29" s="1"/>
  <c r="GF13" i="29"/>
  <c r="GF19" i="29" s="1"/>
  <c r="GF16" i="29"/>
  <c r="GF23" i="29" s="1"/>
  <c r="GF5" i="29"/>
  <c r="GF35" i="29" s="1"/>
  <c r="GE14" i="29"/>
  <c r="GE24" i="29" s="1"/>
  <c r="GF34" i="29"/>
  <c r="GG4" i="29"/>
  <c r="GG17" i="29"/>
  <c r="GG11" i="29"/>
  <c r="GG12" i="29"/>
  <c r="GG13" i="29"/>
  <c r="GG19" i="29" s="1"/>
  <c r="GG14" i="29"/>
  <c r="GG15" i="29"/>
  <c r="GG16" i="29"/>
  <c r="GG23" i="29" s="1"/>
  <c r="GG5" i="29"/>
  <c r="GG34" i="29"/>
  <c r="GH4" i="29"/>
  <c r="GH17" i="29"/>
  <c r="GH11" i="29"/>
  <c r="GH12" i="29"/>
  <c r="GH14" i="29"/>
  <c r="GH13" i="29"/>
  <c r="GH22" i="29" s="1"/>
  <c r="GH15" i="29"/>
  <c r="GH16" i="29"/>
  <c r="GH23" i="29" s="1"/>
  <c r="GH5" i="29"/>
  <c r="GH34" i="29"/>
  <c r="GI4" i="29"/>
  <c r="GI11" i="29"/>
  <c r="GI17" i="29"/>
  <c r="GI13" i="29"/>
  <c r="GI22" i="29" s="1"/>
  <c r="GI14" i="29"/>
  <c r="GI24" i="29" s="1"/>
  <c r="GI12" i="29"/>
  <c r="GI16" i="29"/>
  <c r="GI23" i="29" s="1"/>
  <c r="GI15" i="29"/>
  <c r="GI5" i="29"/>
  <c r="GI35" i="29" s="1"/>
  <c r="GI34" i="29"/>
  <c r="GJ4" i="29"/>
  <c r="GJ11" i="29"/>
  <c r="GJ13" i="29"/>
  <c r="GJ19" i="29" s="1"/>
  <c r="GJ12" i="29"/>
  <c r="GJ15" i="29"/>
  <c r="GJ16" i="29"/>
  <c r="GJ23" i="29" s="1"/>
  <c r="GJ14" i="29"/>
  <c r="GJ25" i="29" s="1"/>
  <c r="GJ5" i="29"/>
  <c r="GJ34" i="29"/>
  <c r="GK4" i="29"/>
  <c r="GK11" i="29"/>
  <c r="GK17" i="29"/>
  <c r="GK13" i="29"/>
  <c r="GK12" i="29"/>
  <c r="GK14" i="29"/>
  <c r="GK16" i="29"/>
  <c r="GK23" i="29" s="1"/>
  <c r="GK15" i="29"/>
  <c r="GK5" i="29"/>
  <c r="GK34" i="29"/>
  <c r="GL4" i="29"/>
  <c r="GL17" i="29"/>
  <c r="GL12" i="29"/>
  <c r="GL11" i="29"/>
  <c r="GL13" i="29"/>
  <c r="GL22" i="29" s="1"/>
  <c r="GL15" i="29"/>
  <c r="GL16" i="29"/>
  <c r="GL14" i="29"/>
  <c r="GL24" i="29" s="1"/>
  <c r="GL5" i="29"/>
  <c r="GL34" i="29"/>
  <c r="GN4" i="29"/>
  <c r="GN17" i="29"/>
  <c r="GN12" i="29"/>
  <c r="GN14" i="29"/>
  <c r="GN25" i="29" s="1"/>
  <c r="GN11" i="29"/>
  <c r="GN15" i="29"/>
  <c r="GN16" i="29"/>
  <c r="GN13" i="29"/>
  <c r="GN22" i="29" s="1"/>
  <c r="GN5" i="29"/>
  <c r="GN34" i="29"/>
  <c r="GO4" i="29"/>
  <c r="GO11" i="29"/>
  <c r="GO17" i="29"/>
  <c r="GO12" i="29"/>
  <c r="GO13" i="29"/>
  <c r="GO19" i="29" s="1"/>
  <c r="GO14" i="29"/>
  <c r="GO24" i="29" s="1"/>
  <c r="GO15" i="29"/>
  <c r="GO16" i="29"/>
  <c r="GO23" i="29" s="1"/>
  <c r="GO5" i="29"/>
  <c r="GO31" i="29" s="1"/>
  <c r="GN35" i="29"/>
  <c r="GO34" i="29"/>
  <c r="GP4" i="29"/>
  <c r="GP17" i="29"/>
  <c r="GP11" i="29"/>
  <c r="GP12" i="29"/>
  <c r="GP14" i="29"/>
  <c r="GP24" i="29" s="1"/>
  <c r="GP15" i="29"/>
  <c r="GP16" i="29"/>
  <c r="GP23" i="29" s="1"/>
  <c r="GP13" i="29"/>
  <c r="GP19" i="29" s="1"/>
  <c r="GP5" i="29"/>
  <c r="GP31" i="29" s="1"/>
  <c r="GP34" i="29"/>
  <c r="GQ4" i="29"/>
  <c r="GQ17" i="29"/>
  <c r="GQ11" i="29"/>
  <c r="GQ13" i="29"/>
  <c r="GQ22" i="29" s="1"/>
  <c r="GQ14" i="29"/>
  <c r="GQ25" i="29" s="1"/>
  <c r="GQ12" i="29"/>
  <c r="GQ15" i="29"/>
  <c r="GQ16" i="29"/>
  <c r="GQ23" i="29" s="1"/>
  <c r="GQ5" i="29"/>
  <c r="GQ35" i="29" s="1"/>
  <c r="GQ34" i="29"/>
  <c r="GR4" i="29"/>
  <c r="GR11" i="29"/>
  <c r="GR17" i="29"/>
  <c r="GR12" i="29"/>
  <c r="GR13" i="29"/>
  <c r="GR19" i="29" s="1"/>
  <c r="GR14" i="29"/>
  <c r="GR24" i="29" s="1"/>
  <c r="GR15" i="29"/>
  <c r="GR16" i="29"/>
  <c r="GR23" i="29" s="1"/>
  <c r="GR5" i="29"/>
  <c r="GR34" i="29"/>
  <c r="GS4" i="29"/>
  <c r="GS17" i="29"/>
  <c r="GS12" i="29"/>
  <c r="GS11" i="29"/>
  <c r="GS13" i="29"/>
  <c r="GS19" i="29" s="1"/>
  <c r="GS14" i="29"/>
  <c r="GS24" i="29" s="1"/>
  <c r="GS16" i="29"/>
  <c r="GS23" i="29" s="1"/>
  <c r="GS15" i="29"/>
  <c r="GS5" i="29"/>
  <c r="GS35" i="29" s="1"/>
  <c r="GS34" i="29"/>
  <c r="GT4" i="29"/>
  <c r="GT11" i="29"/>
  <c r="GT13" i="29"/>
  <c r="GT22" i="29" s="1"/>
  <c r="GT17" i="29"/>
  <c r="GT12" i="29"/>
  <c r="GT15" i="29"/>
  <c r="GT16" i="29"/>
  <c r="GT23" i="29" s="1"/>
  <c r="GT14" i="29"/>
  <c r="GT5" i="29"/>
  <c r="GT34" i="29"/>
  <c r="GV4" i="29"/>
  <c r="GV17" i="29"/>
  <c r="GV12" i="29"/>
  <c r="GV11" i="29"/>
  <c r="GV15" i="29"/>
  <c r="GV14" i="29"/>
  <c r="GV13" i="29"/>
  <c r="GV22" i="29" s="1"/>
  <c r="GV16" i="29"/>
  <c r="GV23" i="29" s="1"/>
  <c r="GV5" i="29"/>
  <c r="GV35" i="29" s="1"/>
  <c r="GV34" i="29"/>
  <c r="GW4" i="29"/>
  <c r="GW17" i="29"/>
  <c r="GW13" i="29"/>
  <c r="GW22" i="29" s="1"/>
  <c r="GW14" i="29"/>
  <c r="GW25" i="29" s="1"/>
  <c r="GW12" i="29"/>
  <c r="GW11" i="29"/>
  <c r="GW16" i="29"/>
  <c r="GW23" i="29" s="1"/>
  <c r="GW15" i="29"/>
  <c r="GW5" i="29"/>
  <c r="GW31" i="29" s="1"/>
  <c r="GW34" i="29"/>
  <c r="GX4" i="29"/>
  <c r="GX11" i="29"/>
  <c r="GX17" i="29"/>
  <c r="GX12" i="29"/>
  <c r="GX13" i="29"/>
  <c r="GX22" i="29" s="1"/>
  <c r="GX15" i="29"/>
  <c r="GX16" i="29"/>
  <c r="GX23" i="29" s="1"/>
  <c r="GX14" i="29"/>
  <c r="GX24" i="29" s="1"/>
  <c r="GX5" i="29"/>
  <c r="GX35" i="29" s="1"/>
  <c r="GX34" i="29"/>
  <c r="GY4" i="29"/>
  <c r="GY17" i="29"/>
  <c r="GY11" i="29"/>
  <c r="GY13" i="29"/>
  <c r="GY19" i="29" s="1"/>
  <c r="GY14" i="29"/>
  <c r="GY24" i="29" s="1"/>
  <c r="GY12" i="29"/>
  <c r="GY15" i="29"/>
  <c r="GY16" i="29"/>
  <c r="GY23" i="29" s="1"/>
  <c r="GY5" i="29"/>
  <c r="GY34" i="29"/>
  <c r="GZ4" i="29"/>
  <c r="GZ17" i="29"/>
  <c r="GZ12" i="29"/>
  <c r="GZ11" i="29"/>
  <c r="GZ14" i="29"/>
  <c r="GZ24" i="29" s="1"/>
  <c r="GZ13" i="29"/>
  <c r="GZ19" i="29" s="1"/>
  <c r="GZ15" i="29"/>
  <c r="GZ16" i="29"/>
  <c r="GZ23" i="29" s="1"/>
  <c r="GZ5" i="29"/>
  <c r="GZ34" i="29"/>
  <c r="HA4" i="29"/>
  <c r="HA11" i="29"/>
  <c r="HA13" i="29"/>
  <c r="HA19" i="29" s="1"/>
  <c r="HA14" i="29"/>
  <c r="HA25" i="29" s="1"/>
  <c r="HA12" i="29"/>
  <c r="HA15" i="29"/>
  <c r="HA16" i="29"/>
  <c r="HA23" i="29" s="1"/>
  <c r="HA5" i="29"/>
  <c r="HA34" i="29"/>
  <c r="HB4" i="29"/>
  <c r="HB17" i="29"/>
  <c r="HB11" i="29"/>
  <c r="HB15" i="29"/>
  <c r="HB12" i="29"/>
  <c r="HB13" i="29"/>
  <c r="HB22" i="29" s="1"/>
  <c r="HB14" i="29"/>
  <c r="HB25" i="29" s="1"/>
  <c r="HB16" i="29"/>
  <c r="HB23" i="29" s="1"/>
  <c r="HB5" i="29"/>
  <c r="HB34" i="29"/>
  <c r="HD4" i="29"/>
  <c r="HD11" i="29"/>
  <c r="HD13" i="29"/>
  <c r="HD17" i="29"/>
  <c r="HD12" i="29"/>
  <c r="HD14" i="29"/>
  <c r="HD24" i="29" s="1"/>
  <c r="HD15" i="29"/>
  <c r="HD16" i="29"/>
  <c r="HD23" i="29" s="1"/>
  <c r="HD5" i="29"/>
  <c r="HD34" i="29"/>
  <c r="HE4" i="29"/>
  <c r="HE12" i="29"/>
  <c r="HE11" i="29"/>
  <c r="HE15" i="29"/>
  <c r="HE13" i="29"/>
  <c r="HE22" i="29" s="1"/>
  <c r="HE14" i="29"/>
  <c r="HE25" i="29" s="1"/>
  <c r="HE16" i="29"/>
  <c r="HE23" i="29" s="1"/>
  <c r="HE5" i="29"/>
  <c r="HE31" i="29" s="1"/>
  <c r="HE34" i="29"/>
  <c r="HF4" i="29"/>
  <c r="HF17" i="29"/>
  <c r="HF12" i="29"/>
  <c r="HF13" i="29"/>
  <c r="HF14" i="29"/>
  <c r="HF25" i="29" s="1"/>
  <c r="HF11" i="29"/>
  <c r="HF15" i="29"/>
  <c r="HF16" i="29"/>
  <c r="HF23" i="29" s="1"/>
  <c r="HF5" i="29"/>
  <c r="HF34" i="29"/>
  <c r="HG4" i="29"/>
  <c r="HG11" i="29"/>
  <c r="HG12" i="29"/>
  <c r="HG13" i="29"/>
  <c r="HG22" i="29" s="1"/>
  <c r="HG17" i="29"/>
  <c r="HG14" i="29"/>
  <c r="HG25" i="29" s="1"/>
  <c r="HG16" i="29"/>
  <c r="HG23" i="29" s="1"/>
  <c r="HG15" i="29"/>
  <c r="HG5" i="29"/>
  <c r="HG31" i="29" s="1"/>
  <c r="HG34" i="29"/>
  <c r="HH4" i="29"/>
  <c r="HH17" i="29"/>
  <c r="HH11" i="29"/>
  <c r="HH12" i="29"/>
  <c r="HH15" i="29"/>
  <c r="HH13" i="29"/>
  <c r="HH22" i="29" s="1"/>
  <c r="HH14" i="29"/>
  <c r="HH16" i="29"/>
  <c r="HH23" i="29" s="1"/>
  <c r="HH5" i="29"/>
  <c r="HH35" i="29" s="1"/>
  <c r="HH34" i="29"/>
  <c r="HI4" i="29"/>
  <c r="HI17" i="29"/>
  <c r="HI14" i="29"/>
  <c r="HI24" i="29" s="1"/>
  <c r="HI11" i="29"/>
  <c r="HI13" i="29"/>
  <c r="HI19" i="29" s="1"/>
  <c r="HI15" i="29"/>
  <c r="HI12" i="29"/>
  <c r="HI16" i="29"/>
  <c r="HI23" i="29" s="1"/>
  <c r="HI5" i="29"/>
  <c r="HI34" i="29"/>
  <c r="HJ4" i="29"/>
  <c r="HJ17" i="29"/>
  <c r="HJ11" i="29"/>
  <c r="HJ13" i="29"/>
  <c r="HJ22" i="29" s="1"/>
  <c r="HJ14" i="29"/>
  <c r="HJ12" i="29"/>
  <c r="HJ15" i="29"/>
  <c r="HJ16" i="29"/>
  <c r="HJ23" i="29" s="1"/>
  <c r="HJ5" i="29"/>
  <c r="HJ31" i="29" s="1"/>
  <c r="HJ34" i="29"/>
  <c r="HL4" i="29"/>
  <c r="HL17" i="29"/>
  <c r="HL12" i="29"/>
  <c r="HL13" i="29"/>
  <c r="HL22" i="29" s="1"/>
  <c r="HL14" i="29"/>
  <c r="HL11" i="29"/>
  <c r="HL16" i="29"/>
  <c r="HL15" i="29"/>
  <c r="HL5" i="29"/>
  <c r="HL34" i="29"/>
  <c r="HM4" i="29"/>
  <c r="HM11" i="29"/>
  <c r="HM13" i="29"/>
  <c r="HM22" i="29" s="1"/>
  <c r="HM12" i="29"/>
  <c r="HM15" i="29"/>
  <c r="HM14" i="29"/>
  <c r="HM24" i="29" s="1"/>
  <c r="HM16" i="29"/>
  <c r="HM23" i="29" s="1"/>
  <c r="HM5" i="29"/>
  <c r="HM31" i="29" s="1"/>
  <c r="HM34" i="29"/>
  <c r="HN4" i="29"/>
  <c r="HN17" i="29"/>
  <c r="HN11" i="29"/>
  <c r="HN12" i="29"/>
  <c r="HN15" i="29"/>
  <c r="HN13" i="29"/>
  <c r="HN19" i="29" s="1"/>
  <c r="HN14" i="29"/>
  <c r="HN25" i="29" s="1"/>
  <c r="HN16" i="29"/>
  <c r="HN23" i="29" s="1"/>
  <c r="HN5" i="29"/>
  <c r="HN31" i="29" s="1"/>
  <c r="HN34" i="29"/>
  <c r="HO4" i="29"/>
  <c r="HO17" i="29"/>
  <c r="HO11" i="29"/>
  <c r="HO14" i="29"/>
  <c r="HO24" i="29" s="1"/>
  <c r="HO12" i="29"/>
  <c r="HO16" i="29"/>
  <c r="HO23" i="29" s="1"/>
  <c r="HO13" i="29"/>
  <c r="HO22" i="29" s="1"/>
  <c r="HO15" i="29"/>
  <c r="HO5" i="29"/>
  <c r="HO31" i="29" s="1"/>
  <c r="HO34" i="29"/>
  <c r="HP4" i="29"/>
  <c r="HP11" i="29"/>
  <c r="HP12" i="29"/>
  <c r="HP17" i="29"/>
  <c r="HP15" i="29"/>
  <c r="HP13" i="29"/>
  <c r="HP19" i="29" s="1"/>
  <c r="HP14" i="29"/>
  <c r="HP24" i="29" s="1"/>
  <c r="HP16" i="29"/>
  <c r="HP23" i="29" s="1"/>
  <c r="HP5" i="29"/>
  <c r="HP35" i="29" s="1"/>
  <c r="HP34" i="29"/>
  <c r="HQ4" i="29"/>
  <c r="HQ17" i="29"/>
  <c r="HQ11" i="29"/>
  <c r="HQ13" i="29"/>
  <c r="HQ22" i="29" s="1"/>
  <c r="HQ12" i="29"/>
  <c r="HQ14" i="29"/>
  <c r="HQ24" i="29" s="1"/>
  <c r="HQ15" i="29"/>
  <c r="HQ16" i="29"/>
  <c r="HQ23" i="29" s="1"/>
  <c r="HQ5" i="29"/>
  <c r="HQ34" i="29"/>
  <c r="HR4" i="29"/>
  <c r="HR17" i="29"/>
  <c r="HR11" i="29"/>
  <c r="HR12" i="29"/>
  <c r="HR14" i="29"/>
  <c r="HR24" i="29" s="1"/>
  <c r="HR15" i="29"/>
  <c r="HR13" i="29"/>
  <c r="HR19" i="29" s="1"/>
  <c r="HR16" i="29"/>
  <c r="HR23" i="29" s="1"/>
  <c r="HR5" i="29"/>
  <c r="HR34" i="29"/>
  <c r="HT4" i="29"/>
  <c r="HT11" i="29"/>
  <c r="HT17" i="29"/>
  <c r="HT13" i="29"/>
  <c r="HT19" i="29" s="1"/>
  <c r="HT14" i="29"/>
  <c r="HT25" i="29" s="1"/>
  <c r="HT12" i="29"/>
  <c r="HT15" i="29"/>
  <c r="HT16" i="29"/>
  <c r="HT23" i="29" s="1"/>
  <c r="HT5" i="29"/>
  <c r="HT35" i="29" s="1"/>
  <c r="HT34" i="29"/>
  <c r="HU4" i="29"/>
  <c r="HU17" i="29"/>
  <c r="HU11" i="29"/>
  <c r="HU12" i="29"/>
  <c r="HU14" i="29"/>
  <c r="HU24" i="29" s="1"/>
  <c r="HU13" i="29"/>
  <c r="HU19" i="29" s="1"/>
  <c r="HU15" i="29"/>
  <c r="HU16" i="29"/>
  <c r="HU23" i="29" s="1"/>
  <c r="HU5" i="29"/>
  <c r="HU35" i="29" s="1"/>
  <c r="HU34" i="29"/>
  <c r="HV4" i="29"/>
  <c r="HV11" i="29"/>
  <c r="HV17" i="29"/>
  <c r="HV13" i="29"/>
  <c r="HV19" i="29" s="1"/>
  <c r="HV12" i="29"/>
  <c r="HV14" i="29"/>
  <c r="HV24" i="29" s="1"/>
  <c r="HV15" i="29"/>
  <c r="HV16" i="29"/>
  <c r="HV23" i="29" s="1"/>
  <c r="HV5" i="29"/>
  <c r="HV34" i="29"/>
  <c r="HW4" i="29"/>
  <c r="HW17" i="29"/>
  <c r="HW12" i="29"/>
  <c r="HW13" i="29"/>
  <c r="HW19" i="29" s="1"/>
  <c r="HW15" i="29"/>
  <c r="HW16" i="29"/>
  <c r="HW23" i="29" s="1"/>
  <c r="HW11" i="29"/>
  <c r="HW14" i="29"/>
  <c r="HW24" i="29" s="1"/>
  <c r="HW5" i="29"/>
  <c r="HW31" i="29" s="1"/>
  <c r="HW34" i="29"/>
  <c r="HX4" i="29"/>
  <c r="HX17" i="29"/>
  <c r="HX12" i="29"/>
  <c r="HX11" i="29"/>
  <c r="HX14" i="29"/>
  <c r="HX25" i="29" s="1"/>
  <c r="HX15" i="29"/>
  <c r="HX16" i="29"/>
  <c r="HX23" i="29" s="1"/>
  <c r="HX13" i="29"/>
  <c r="HX5" i="29"/>
  <c r="HX34" i="29"/>
  <c r="HY4" i="29"/>
  <c r="HY11" i="29"/>
  <c r="HY17" i="29"/>
  <c r="HY12" i="29"/>
  <c r="HY13" i="29"/>
  <c r="HY19" i="29" s="1"/>
  <c r="HY14" i="29"/>
  <c r="HY25" i="29" s="1"/>
  <c r="HY15" i="29"/>
  <c r="HY16" i="29"/>
  <c r="HY23" i="29" s="1"/>
  <c r="HY5" i="29"/>
  <c r="HY34" i="29"/>
  <c r="HZ4" i="29"/>
  <c r="HZ17" i="29"/>
  <c r="HZ11" i="29"/>
  <c r="HZ12" i="29"/>
  <c r="HZ13" i="29"/>
  <c r="HZ19" i="29" s="1"/>
  <c r="HZ15" i="29"/>
  <c r="HZ14" i="29"/>
  <c r="HZ24" i="29" s="1"/>
  <c r="HZ16" i="29"/>
  <c r="HZ23" i="29" s="1"/>
  <c r="HZ5" i="29"/>
  <c r="HZ31" i="29" s="1"/>
  <c r="HZ34" i="29"/>
  <c r="IB4" i="29"/>
  <c r="IB17" i="29"/>
  <c r="IB13" i="29"/>
  <c r="IB19" i="29" s="1"/>
  <c r="IB14" i="29"/>
  <c r="IB24" i="29" s="1"/>
  <c r="IB12" i="29"/>
  <c r="IB11" i="29"/>
  <c r="IB15" i="29"/>
  <c r="IB16" i="29"/>
  <c r="IB23" i="29" s="1"/>
  <c r="IB5" i="29"/>
  <c r="IB31" i="29" s="1"/>
  <c r="IB34" i="29"/>
  <c r="IC4" i="29"/>
  <c r="IC11" i="29"/>
  <c r="IC12" i="29"/>
  <c r="IC14" i="29"/>
  <c r="IC24" i="29" s="1"/>
  <c r="IC13" i="29"/>
  <c r="IC22" i="29" s="1"/>
  <c r="IC15" i="29"/>
  <c r="IC16" i="29"/>
  <c r="IC23" i="29" s="1"/>
  <c r="IC5" i="29"/>
  <c r="IC34" i="29"/>
  <c r="ID4" i="29"/>
  <c r="ID17" i="29"/>
  <c r="ID11" i="29"/>
  <c r="ID12" i="29"/>
  <c r="ID14" i="29"/>
  <c r="ID25" i="29" s="1"/>
  <c r="ID15" i="29"/>
  <c r="ID16" i="29"/>
  <c r="ID23" i="29" s="1"/>
  <c r="ID13" i="29"/>
  <c r="ID22" i="29" s="1"/>
  <c r="ID5" i="29"/>
  <c r="ID34" i="29"/>
  <c r="IE4" i="29"/>
  <c r="IE11" i="29"/>
  <c r="IE13" i="29"/>
  <c r="IE22" i="29" s="1"/>
  <c r="IE17" i="29"/>
  <c r="IE12" i="29"/>
  <c r="IE15" i="29"/>
  <c r="IE16" i="29"/>
  <c r="IE23" i="29" s="1"/>
  <c r="IE14" i="29"/>
  <c r="IE5" i="29"/>
  <c r="IE34" i="29"/>
  <c r="IF4" i="29"/>
  <c r="IF12" i="29"/>
  <c r="IF11" i="29"/>
  <c r="IF15" i="29"/>
  <c r="IF13" i="29"/>
  <c r="IF19" i="29" s="1"/>
  <c r="IF14" i="29"/>
  <c r="IF25" i="29" s="1"/>
  <c r="IF16" i="29"/>
  <c r="IF23" i="29" s="1"/>
  <c r="IF5" i="29"/>
  <c r="IF35" i="29" s="1"/>
  <c r="IF34" i="29"/>
  <c r="IG4" i="29"/>
  <c r="IG17" i="29"/>
  <c r="IG13" i="29"/>
  <c r="IG19" i="29" s="1"/>
  <c r="IG14" i="29"/>
  <c r="IG11" i="29"/>
  <c r="IG12" i="29"/>
  <c r="IG16" i="29"/>
  <c r="IG23" i="29" s="1"/>
  <c r="IG15" i="29"/>
  <c r="IG5" i="29"/>
  <c r="IG35" i="29" s="1"/>
  <c r="IG34" i="29"/>
  <c r="IH4" i="29"/>
  <c r="IH11" i="29"/>
  <c r="IH17" i="29"/>
  <c r="IH12" i="29"/>
  <c r="IH13" i="29"/>
  <c r="IH19" i="29" s="1"/>
  <c r="IH15" i="29"/>
  <c r="IH14" i="29"/>
  <c r="IH16" i="29"/>
  <c r="IH23" i="29" s="1"/>
  <c r="IH5" i="29"/>
  <c r="IH31" i="29" s="1"/>
  <c r="IH34" i="29"/>
  <c r="IJ4" i="29"/>
  <c r="IJ17" i="29"/>
  <c r="IJ11" i="29"/>
  <c r="IJ12" i="29"/>
  <c r="IJ14" i="29"/>
  <c r="IJ24" i="29" s="1"/>
  <c r="IJ16" i="29"/>
  <c r="IJ23" i="29" s="1"/>
  <c r="IJ13" i="29"/>
  <c r="IJ22" i="29" s="1"/>
  <c r="IJ15" i="29"/>
  <c r="IJ5" i="29"/>
  <c r="IH35" i="29"/>
  <c r="IJ34" i="29"/>
  <c r="IK4" i="29"/>
  <c r="IK17" i="29"/>
  <c r="IK12" i="29"/>
  <c r="IK11" i="29"/>
  <c r="IK14" i="29"/>
  <c r="IK15" i="29"/>
  <c r="IK13" i="29"/>
  <c r="IK19" i="29" s="1"/>
  <c r="IK16" i="29"/>
  <c r="IK23" i="29" s="1"/>
  <c r="IK5" i="29"/>
  <c r="IK34" i="29"/>
  <c r="IL4" i="29"/>
  <c r="IL11" i="29"/>
  <c r="IL17" i="29"/>
  <c r="IL13" i="29"/>
  <c r="IL19" i="29" s="1"/>
  <c r="IL14" i="29"/>
  <c r="IL24" i="29" s="1"/>
  <c r="IL12" i="29"/>
  <c r="IL16" i="29"/>
  <c r="IL23" i="29" s="1"/>
  <c r="IL15" i="29"/>
  <c r="IL5" i="29"/>
  <c r="IL34" i="29"/>
  <c r="IM4" i="29"/>
  <c r="IM17" i="29"/>
  <c r="IM11" i="29"/>
  <c r="IM13" i="29"/>
  <c r="IM22" i="29" s="1"/>
  <c r="IM15" i="29"/>
  <c r="IM12" i="29"/>
  <c r="IM14" i="29"/>
  <c r="IM24" i="29" s="1"/>
  <c r="IM16" i="29"/>
  <c r="IM23" i="29" s="1"/>
  <c r="IM5" i="29"/>
  <c r="IM35" i="29" s="1"/>
  <c r="IM34" i="29"/>
  <c r="IN4" i="29"/>
  <c r="IN11" i="29"/>
  <c r="IN13" i="29"/>
  <c r="IN22" i="29" s="1"/>
  <c r="IN17" i="29"/>
  <c r="IN12" i="29"/>
  <c r="IN14" i="29"/>
  <c r="IN24" i="29" s="1"/>
  <c r="IN15" i="29"/>
  <c r="IN16" i="29"/>
  <c r="IN23" i="29" s="1"/>
  <c r="IN5" i="29"/>
  <c r="IN35" i="29" s="1"/>
  <c r="IN34" i="29"/>
  <c r="IO4" i="29"/>
  <c r="IO17" i="29"/>
  <c r="IO12" i="29"/>
  <c r="IO11" i="29"/>
  <c r="IO15" i="29"/>
  <c r="IO13" i="29"/>
  <c r="IO19" i="29" s="1"/>
  <c r="IO16" i="29"/>
  <c r="IO23" i="29" s="1"/>
  <c r="IO14" i="29"/>
  <c r="IO25" i="29" s="1"/>
  <c r="IO5" i="29"/>
  <c r="IO31" i="29" s="1"/>
  <c r="IO34" i="29"/>
  <c r="IP4" i="29"/>
  <c r="IP17" i="29"/>
  <c r="IP12" i="29"/>
  <c r="IP14" i="29"/>
  <c r="IP25" i="29" s="1"/>
  <c r="IP11" i="29"/>
  <c r="IP13" i="29"/>
  <c r="IP22" i="29" s="1"/>
  <c r="IP15" i="29"/>
  <c r="IP16" i="29"/>
  <c r="IP23" i="29" s="1"/>
  <c r="IP5" i="29"/>
  <c r="IP35" i="29" s="1"/>
  <c r="IP34" i="29"/>
  <c r="IR4" i="29"/>
  <c r="IR11" i="29"/>
  <c r="IR12" i="29"/>
  <c r="IR17" i="29"/>
  <c r="IR13" i="29"/>
  <c r="IR22" i="29" s="1"/>
  <c r="IR14" i="29"/>
  <c r="IR25" i="29" s="1"/>
  <c r="IR16" i="29"/>
  <c r="IR23" i="29" s="1"/>
  <c r="IR15" i="29"/>
  <c r="IR5" i="29"/>
  <c r="IR35" i="29" s="1"/>
  <c r="IR34" i="29"/>
  <c r="IS4" i="29"/>
  <c r="IS11" i="29"/>
  <c r="IS12" i="29"/>
  <c r="IS15" i="29"/>
  <c r="IS13" i="29"/>
  <c r="IS19" i="29" s="1"/>
  <c r="IS14" i="29"/>
  <c r="IS24" i="29" s="1"/>
  <c r="IS16" i="29"/>
  <c r="IS23" i="29" s="1"/>
  <c r="IS5" i="29"/>
  <c r="IS34" i="29"/>
  <c r="IT4" i="29"/>
  <c r="IT17" i="29"/>
  <c r="IT12" i="29"/>
  <c r="IT14" i="29"/>
  <c r="IT24" i="29" s="1"/>
  <c r="IT11" i="29"/>
  <c r="IT15" i="29"/>
  <c r="IT13" i="29"/>
  <c r="IT19" i="29" s="1"/>
  <c r="IT16" i="29"/>
  <c r="IT23" i="29" s="1"/>
  <c r="IT5" i="29"/>
  <c r="IT34" i="29"/>
  <c r="IU4" i="29"/>
  <c r="IU17" i="29"/>
  <c r="IU11" i="29"/>
  <c r="IU13" i="29"/>
  <c r="IU22" i="29" s="1"/>
  <c r="IU14" i="29"/>
  <c r="IU12" i="29"/>
  <c r="IU15" i="29"/>
  <c r="IU16" i="29"/>
  <c r="IU23" i="29" s="1"/>
  <c r="IU5" i="29"/>
  <c r="IU34" i="29"/>
  <c r="IV4" i="29"/>
  <c r="IV17" i="29"/>
  <c r="IV11" i="29"/>
  <c r="IV12" i="29"/>
  <c r="IV13" i="29"/>
  <c r="IV19" i="29" s="1"/>
  <c r="IV14" i="29"/>
  <c r="IV24" i="29" s="1"/>
  <c r="IV15" i="29"/>
  <c r="IV16" i="29"/>
  <c r="IV23" i="29" s="1"/>
  <c r="IV5" i="29"/>
  <c r="IV34" i="29"/>
  <c r="IW4" i="29"/>
  <c r="IW11" i="29"/>
  <c r="IW13" i="29"/>
  <c r="IW19" i="29" s="1"/>
  <c r="IW17" i="29"/>
  <c r="IW12" i="29"/>
  <c r="IW15" i="29"/>
  <c r="IW14" i="29"/>
  <c r="IW25" i="29" s="1"/>
  <c r="IW16" i="29"/>
  <c r="IW23" i="29" s="1"/>
  <c r="IW5" i="29"/>
  <c r="IW35" i="29" s="1"/>
  <c r="IW34" i="29"/>
  <c r="IX4" i="29"/>
  <c r="IX17" i="29"/>
  <c r="IX11" i="29"/>
  <c r="IX12" i="29"/>
  <c r="IX15" i="29"/>
  <c r="IX13" i="29"/>
  <c r="IX19" i="29" s="1"/>
  <c r="IX16" i="29"/>
  <c r="IX23" i="29" s="1"/>
  <c r="IX14" i="29"/>
  <c r="IX25" i="29" s="1"/>
  <c r="IX5" i="29"/>
  <c r="IX31" i="29" s="1"/>
  <c r="IX34" i="29"/>
  <c r="IZ4" i="29"/>
  <c r="IZ17" i="29"/>
  <c r="IZ14" i="29"/>
  <c r="IZ12" i="29"/>
  <c r="IZ11" i="29"/>
  <c r="IZ15" i="29"/>
  <c r="IZ16" i="29"/>
  <c r="IZ13" i="29"/>
  <c r="IZ22" i="29" s="1"/>
  <c r="IZ5" i="29"/>
  <c r="IZ35" i="29" s="1"/>
  <c r="IZ34" i="29"/>
  <c r="JA4" i="29"/>
  <c r="JA11" i="29"/>
  <c r="JA17" i="29"/>
  <c r="JA12" i="29"/>
  <c r="JA13" i="29"/>
  <c r="JA19" i="29" s="1"/>
  <c r="JA15" i="29"/>
  <c r="JA14" i="29"/>
  <c r="JA25" i="29" s="1"/>
  <c r="JA16" i="29"/>
  <c r="JA23" i="29" s="1"/>
  <c r="JA5" i="29"/>
  <c r="JA34" i="29"/>
  <c r="JB4" i="29"/>
  <c r="JB17" i="29"/>
  <c r="JB11" i="29"/>
  <c r="JB12" i="29"/>
  <c r="JB13" i="29"/>
  <c r="JB19" i="29" s="1"/>
  <c r="JB14" i="29"/>
  <c r="JB24" i="29" s="1"/>
  <c r="JB15" i="29"/>
  <c r="JB16" i="29"/>
  <c r="JB23" i="29" s="1"/>
  <c r="JB5" i="29"/>
  <c r="JB35" i="29" s="1"/>
  <c r="JB34" i="29"/>
  <c r="JC4" i="29"/>
  <c r="JC17" i="29"/>
  <c r="JC11" i="29"/>
  <c r="JC12" i="29"/>
  <c r="JC13" i="29"/>
  <c r="JC19" i="29" s="1"/>
  <c r="JC15" i="29"/>
  <c r="JC16" i="29"/>
  <c r="JC23" i="29" s="1"/>
  <c r="JC14" i="29"/>
  <c r="JC25" i="29" s="1"/>
  <c r="JC5" i="29"/>
  <c r="JC34" i="29"/>
  <c r="JD4" i="29"/>
  <c r="JD11" i="29"/>
  <c r="JD14" i="29"/>
  <c r="JD25" i="29" s="1"/>
  <c r="JD13" i="29"/>
  <c r="JD19" i="29" s="1"/>
  <c r="JD12" i="29"/>
  <c r="JD17" i="29"/>
  <c r="JD16" i="29"/>
  <c r="JD23" i="29" s="1"/>
  <c r="JD15" i="29"/>
  <c r="JD5" i="29"/>
  <c r="JD34" i="29"/>
  <c r="JE4" i="29"/>
  <c r="JE17" i="29"/>
  <c r="JE11" i="29"/>
  <c r="JE14" i="29"/>
  <c r="JE15" i="29"/>
  <c r="JE12" i="29"/>
  <c r="JE13" i="29"/>
  <c r="JE19" i="29" s="1"/>
  <c r="JE16" i="29"/>
  <c r="JE23" i="29" s="1"/>
  <c r="JE5" i="29"/>
  <c r="JE35" i="29" s="1"/>
  <c r="JE34" i="29"/>
  <c r="JF4" i="29"/>
  <c r="JF11" i="29"/>
  <c r="JF17" i="29"/>
  <c r="JF13" i="29"/>
  <c r="JF19" i="29" s="1"/>
  <c r="JF12" i="29"/>
  <c r="JF16" i="29"/>
  <c r="JF23" i="29" s="1"/>
  <c r="JF14" i="29"/>
  <c r="JF25" i="29" s="1"/>
  <c r="JF15" i="29"/>
  <c r="JF5" i="29"/>
  <c r="JF34" i="29"/>
  <c r="JH4" i="29"/>
  <c r="JH17" i="29"/>
  <c r="JH12" i="29"/>
  <c r="JH13" i="29"/>
  <c r="JH22" i="29" s="1"/>
  <c r="JH11" i="29"/>
  <c r="JH15" i="29"/>
  <c r="JH14" i="29"/>
  <c r="JO14" i="29" s="1"/>
  <c r="JH16" i="29"/>
  <c r="JH23" i="29" s="1"/>
  <c r="JH5" i="29"/>
  <c r="JH31" i="29" s="1"/>
  <c r="JH34" i="29"/>
  <c r="JI4" i="29"/>
  <c r="JI14" i="29"/>
  <c r="JI11" i="29"/>
  <c r="JI13" i="29"/>
  <c r="JI22" i="29" s="1"/>
  <c r="JI15" i="29"/>
  <c r="JI12" i="29"/>
  <c r="JI16" i="29"/>
  <c r="JI5" i="29"/>
  <c r="JI31" i="29" s="1"/>
  <c r="JI34" i="29"/>
  <c r="JJ4" i="29"/>
  <c r="JJ11" i="29"/>
  <c r="JJ12" i="29"/>
  <c r="JJ13" i="29"/>
  <c r="JJ19" i="29" s="1"/>
  <c r="JJ14" i="29"/>
  <c r="JJ24" i="29" s="1"/>
  <c r="JJ15" i="29"/>
  <c r="JJ16" i="29"/>
  <c r="JJ23" i="29" s="1"/>
  <c r="JJ5" i="29"/>
  <c r="JJ34" i="29"/>
  <c r="JK4" i="29"/>
  <c r="JK17" i="29"/>
  <c r="JK11" i="29"/>
  <c r="JK13" i="29"/>
  <c r="JK19" i="29" s="1"/>
  <c r="JK12" i="29"/>
  <c r="JK14" i="29"/>
  <c r="JK15" i="29"/>
  <c r="JK16" i="29"/>
  <c r="JK23" i="29" s="1"/>
  <c r="JK5" i="29"/>
  <c r="JK34" i="29"/>
  <c r="JL4" i="29"/>
  <c r="JL17" i="29"/>
  <c r="JL12" i="29"/>
  <c r="JL13" i="29"/>
  <c r="JL22" i="29" s="1"/>
  <c r="JL11" i="29"/>
  <c r="JL14" i="29"/>
  <c r="JL24" i="29" s="1"/>
  <c r="JL15" i="29"/>
  <c r="JL16" i="29"/>
  <c r="JL23" i="29" s="1"/>
  <c r="JL5" i="29"/>
  <c r="JL31" i="29" s="1"/>
  <c r="JL34" i="29"/>
  <c r="JM4" i="29"/>
  <c r="JM11" i="29"/>
  <c r="JM17" i="29"/>
  <c r="JM14" i="29"/>
  <c r="JM25" i="29" s="1"/>
  <c r="JM15" i="29"/>
  <c r="JM13" i="29"/>
  <c r="JM12" i="29"/>
  <c r="JM16" i="29"/>
  <c r="JM23" i="29" s="1"/>
  <c r="JM5" i="29"/>
  <c r="JM34" i="29"/>
  <c r="JN4" i="29"/>
  <c r="JN17" i="29"/>
  <c r="JN11" i="29"/>
  <c r="JN12" i="29"/>
  <c r="JN13" i="29"/>
  <c r="JN14" i="29"/>
  <c r="JN24" i="29" s="1"/>
  <c r="JN16" i="29"/>
  <c r="JN23" i="29" s="1"/>
  <c r="JN15" i="29"/>
  <c r="JN5" i="29"/>
  <c r="JN35" i="29" s="1"/>
  <c r="JN34" i="29"/>
  <c r="JP4" i="29"/>
  <c r="JP11" i="29"/>
  <c r="JP13" i="29"/>
  <c r="JP22" i="29" s="1"/>
  <c r="JP17" i="29"/>
  <c r="JP12" i="29"/>
  <c r="JP15" i="29"/>
  <c r="JP16" i="29"/>
  <c r="JP23" i="29" s="1"/>
  <c r="JP14" i="29"/>
  <c r="JP24" i="29" s="1"/>
  <c r="JP5" i="29"/>
  <c r="JP34" i="29"/>
  <c r="JQ4" i="29"/>
  <c r="JQ17" i="29"/>
  <c r="JQ12" i="29"/>
  <c r="JQ11" i="29"/>
  <c r="JQ15" i="29"/>
  <c r="JQ13" i="29"/>
  <c r="JQ19" i="29" s="1"/>
  <c r="JQ14" i="29"/>
  <c r="JQ24" i="29" s="1"/>
  <c r="JQ16" i="29"/>
  <c r="JQ5" i="29"/>
  <c r="JQ35" i="29" s="1"/>
  <c r="JP35" i="29"/>
  <c r="JQ34" i="29"/>
  <c r="JR4" i="29"/>
  <c r="JR17" i="29"/>
  <c r="JR11" i="29"/>
  <c r="JR12" i="29"/>
  <c r="JR13" i="29"/>
  <c r="JR19" i="29" s="1"/>
  <c r="JR14" i="29"/>
  <c r="JR16" i="29"/>
  <c r="JR23" i="29" s="1"/>
  <c r="JR15" i="29"/>
  <c r="JR5" i="29"/>
  <c r="JR34" i="29"/>
  <c r="JS4" i="29"/>
  <c r="JS11" i="29"/>
  <c r="JS17" i="29"/>
  <c r="JS12" i="29"/>
  <c r="JS15" i="29"/>
  <c r="JS13" i="29"/>
  <c r="JS22" i="29" s="1"/>
  <c r="JS16" i="29"/>
  <c r="JS23" i="29" s="1"/>
  <c r="JS14" i="29"/>
  <c r="JS24" i="29" s="1"/>
  <c r="JS5" i="29"/>
  <c r="JS35" i="29" s="1"/>
  <c r="JS34" i="29"/>
  <c r="JT4" i="29"/>
  <c r="JT17" i="29"/>
  <c r="JT11" i="29"/>
  <c r="JT13" i="29"/>
  <c r="JT12" i="29"/>
  <c r="JT14" i="29"/>
  <c r="JT25" i="29" s="1"/>
  <c r="JT15" i="29"/>
  <c r="JT16" i="29"/>
  <c r="JT23" i="29" s="1"/>
  <c r="JT5" i="29"/>
  <c r="JT34" i="29"/>
  <c r="JU4" i="29"/>
  <c r="JU17" i="29"/>
  <c r="JU12" i="29"/>
  <c r="JU11" i="29"/>
  <c r="JU14" i="29"/>
  <c r="JU25" i="29" s="1"/>
  <c r="JU15" i="29"/>
  <c r="JU13" i="29"/>
  <c r="JU22" i="29" s="1"/>
  <c r="JU16" i="29"/>
  <c r="JU23" i="29" s="1"/>
  <c r="JU5" i="29"/>
  <c r="JU35" i="29" s="1"/>
  <c r="JU34" i="29"/>
  <c r="JV4" i="29"/>
  <c r="JV11" i="29"/>
  <c r="JV17" i="29"/>
  <c r="JV12" i="29"/>
  <c r="JV13" i="29"/>
  <c r="JV19" i="29" s="1"/>
  <c r="JV14" i="29"/>
  <c r="JV15" i="29"/>
  <c r="JV16" i="29"/>
  <c r="JV23" i="29" s="1"/>
  <c r="JV5" i="29"/>
  <c r="JV31" i="29" s="1"/>
  <c r="JV34" i="29"/>
  <c r="JX4" i="29"/>
  <c r="JX17" i="29"/>
  <c r="JX11" i="29"/>
  <c r="JX12" i="29"/>
  <c r="JX13" i="29"/>
  <c r="JX15" i="29"/>
  <c r="JX14" i="29"/>
  <c r="JX24" i="29" s="1"/>
  <c r="JX16" i="29"/>
  <c r="JX23" i="29" s="1"/>
  <c r="JX5" i="29"/>
  <c r="JX31" i="29" s="1"/>
  <c r="JX34" i="29"/>
  <c r="JY4" i="29"/>
  <c r="JY11" i="29"/>
  <c r="JY13" i="29"/>
  <c r="JY17" i="29"/>
  <c r="JY12" i="29"/>
  <c r="JY14" i="29"/>
  <c r="JY24" i="29" s="1"/>
  <c r="JY15" i="29"/>
  <c r="JY16" i="29"/>
  <c r="JY23" i="29" s="1"/>
  <c r="JY5" i="29"/>
  <c r="JY34" i="29"/>
  <c r="JZ4" i="29"/>
  <c r="JZ17" i="29"/>
  <c r="JZ12" i="29"/>
  <c r="JZ11" i="29"/>
  <c r="JZ15" i="29"/>
  <c r="JZ14" i="29"/>
  <c r="JZ25" i="29" s="1"/>
  <c r="JZ13" i="29"/>
  <c r="JZ19" i="29" s="1"/>
  <c r="JZ16" i="29"/>
  <c r="JZ23" i="29" s="1"/>
  <c r="JZ5" i="29"/>
  <c r="JZ31" i="29" s="1"/>
  <c r="JZ34" i="29"/>
  <c r="KA4" i="29"/>
  <c r="KA17" i="29"/>
  <c r="KA11" i="29"/>
  <c r="KA14" i="29"/>
  <c r="KA24" i="29" s="1"/>
  <c r="KA15" i="29"/>
  <c r="KA12" i="29"/>
  <c r="KA16" i="29"/>
  <c r="KA23" i="29" s="1"/>
  <c r="KA13" i="29"/>
  <c r="KA22" i="29" s="1"/>
  <c r="KA5" i="29"/>
  <c r="KA34" i="29"/>
  <c r="KB4" i="29"/>
  <c r="KB11" i="29"/>
  <c r="KB12" i="29"/>
  <c r="KB13" i="29"/>
  <c r="KB16" i="29"/>
  <c r="KB23" i="29" s="1"/>
  <c r="KB14" i="29"/>
  <c r="KB25" i="29" s="1"/>
  <c r="KB15" i="29"/>
  <c r="KB5" i="29"/>
  <c r="KB34" i="29"/>
  <c r="KC4" i="29"/>
  <c r="KC17" i="29"/>
  <c r="KC11" i="29"/>
  <c r="KC12" i="29"/>
  <c r="KC13" i="29"/>
  <c r="KC14" i="29"/>
  <c r="KC15" i="29"/>
  <c r="KC16" i="29"/>
  <c r="KC23" i="29" s="1"/>
  <c r="KC5" i="29"/>
  <c r="KC34" i="29"/>
  <c r="KD4" i="29"/>
  <c r="KD17" i="29"/>
  <c r="KD11" i="29"/>
  <c r="KD12" i="29"/>
  <c r="KD13" i="29"/>
  <c r="KD22" i="29" s="1"/>
  <c r="KD15" i="29"/>
  <c r="KD14" i="29"/>
  <c r="KD24" i="29" s="1"/>
  <c r="KD16" i="29"/>
  <c r="KD23" i="29" s="1"/>
  <c r="KD5" i="29"/>
  <c r="KD34" i="29"/>
  <c r="KF4" i="29"/>
  <c r="KF17" i="29"/>
  <c r="KF14" i="29"/>
  <c r="KM14" i="29" s="1"/>
  <c r="KF11" i="29"/>
  <c r="KF13" i="29"/>
  <c r="KF19" i="29" s="1"/>
  <c r="KF12" i="29"/>
  <c r="KF15" i="29"/>
  <c r="KF16" i="29"/>
  <c r="KF23" i="29" s="1"/>
  <c r="KF5" i="29"/>
  <c r="KF31" i="29" s="1"/>
  <c r="KF34" i="29"/>
  <c r="KG4" i="29"/>
  <c r="KG17" i="29"/>
  <c r="KG12" i="29"/>
  <c r="KG13" i="29"/>
  <c r="KG22" i="29" s="1"/>
  <c r="KG11" i="29"/>
  <c r="KG14" i="29"/>
  <c r="KG15" i="29"/>
  <c r="KG16" i="29"/>
  <c r="KG23" i="29" s="1"/>
  <c r="KG5" i="29"/>
  <c r="KG34" i="29"/>
  <c r="KH4" i="29"/>
  <c r="KH11" i="29"/>
  <c r="KH13" i="29"/>
  <c r="KH19" i="29" s="1"/>
  <c r="KH17" i="29"/>
  <c r="KH15" i="29"/>
  <c r="KH14" i="29"/>
  <c r="KH12" i="29"/>
  <c r="KH16" i="29"/>
  <c r="KH23" i="29" s="1"/>
  <c r="KH5" i="29"/>
  <c r="KH34" i="29"/>
  <c r="KI4" i="29"/>
  <c r="KI11" i="29"/>
  <c r="KI12" i="29"/>
  <c r="KI15" i="29"/>
  <c r="KI13" i="29"/>
  <c r="KI19" i="29" s="1"/>
  <c r="KI16" i="29"/>
  <c r="KI23" i="29" s="1"/>
  <c r="KI14" i="29"/>
  <c r="KI24" i="29" s="1"/>
  <c r="KI5" i="29"/>
  <c r="KI35" i="29" s="1"/>
  <c r="KI34" i="29"/>
  <c r="KJ4" i="29"/>
  <c r="KJ17" i="29"/>
  <c r="KJ11" i="29"/>
  <c r="KJ14" i="29"/>
  <c r="KJ13" i="29"/>
  <c r="KJ22" i="29" s="1"/>
  <c r="KJ16" i="29"/>
  <c r="KJ23" i="29" s="1"/>
  <c r="KJ12" i="29"/>
  <c r="KJ15" i="29"/>
  <c r="KJ5" i="29"/>
  <c r="KJ31" i="29" s="1"/>
  <c r="KJ34" i="29"/>
  <c r="KK4" i="29"/>
  <c r="KK11" i="29"/>
  <c r="KK12" i="29"/>
  <c r="KK13" i="29"/>
  <c r="KK22" i="29" s="1"/>
  <c r="KK15" i="29"/>
  <c r="KK14" i="29"/>
  <c r="KK25" i="29" s="1"/>
  <c r="KK16" i="29"/>
  <c r="KK23" i="29" s="1"/>
  <c r="KK5" i="29"/>
  <c r="KK31" i="29" s="1"/>
  <c r="KK34" i="29"/>
  <c r="KL4" i="29"/>
  <c r="KL17" i="29"/>
  <c r="KL11" i="29"/>
  <c r="KL12" i="29"/>
  <c r="KL13" i="29"/>
  <c r="KL19" i="29" s="1"/>
  <c r="KL14" i="29"/>
  <c r="KL15" i="29"/>
  <c r="KL16" i="29"/>
  <c r="KL23" i="29" s="1"/>
  <c r="KL5" i="29"/>
  <c r="KL34" i="29"/>
  <c r="KN4" i="29"/>
  <c r="KN17" i="29"/>
  <c r="KN12" i="29"/>
  <c r="KN15" i="29"/>
  <c r="KN11" i="29"/>
  <c r="KN16" i="29"/>
  <c r="KN23" i="29" s="1"/>
  <c r="KN13" i="29"/>
  <c r="KN22" i="29" s="1"/>
  <c r="KN14" i="29"/>
  <c r="KN24" i="29" s="1"/>
  <c r="KN5" i="29"/>
  <c r="KN31" i="29" s="1"/>
  <c r="KN34" i="29"/>
  <c r="KO4" i="29"/>
  <c r="KO11" i="29"/>
  <c r="KO17" i="29"/>
  <c r="KO14" i="29"/>
  <c r="KO24" i="29" s="1"/>
  <c r="KO13" i="29"/>
  <c r="KO19" i="29" s="1"/>
  <c r="KO12" i="29"/>
  <c r="KO15" i="29"/>
  <c r="KO16" i="29"/>
  <c r="KO23" i="29" s="1"/>
  <c r="KO5" i="29"/>
  <c r="KO35" i="29" s="1"/>
  <c r="KN35" i="29"/>
  <c r="KO34" i="29"/>
  <c r="KP4" i="29"/>
  <c r="KP11" i="29"/>
  <c r="KP12" i="29"/>
  <c r="KP13" i="29"/>
  <c r="KP19" i="29" s="1"/>
  <c r="KP14" i="29"/>
  <c r="KP25" i="29" s="1"/>
  <c r="KP15" i="29"/>
  <c r="KP16" i="29"/>
  <c r="KP23" i="29" s="1"/>
  <c r="KP5" i="29"/>
  <c r="KP31" i="29" s="1"/>
  <c r="KP34" i="29"/>
  <c r="KQ4" i="29"/>
  <c r="KQ11" i="29"/>
  <c r="KQ17" i="29"/>
  <c r="KQ13" i="29"/>
  <c r="KQ12" i="29"/>
  <c r="KQ16" i="29"/>
  <c r="KQ23" i="29" s="1"/>
  <c r="KQ14" i="29"/>
  <c r="KQ24" i="29" s="1"/>
  <c r="KQ15" i="29"/>
  <c r="KQ5" i="29"/>
  <c r="KQ35" i="29" s="1"/>
  <c r="KQ34" i="29"/>
  <c r="KR4" i="29"/>
  <c r="KR12" i="29"/>
  <c r="KR11" i="29"/>
  <c r="KR13" i="29"/>
  <c r="KR22" i="29" s="1"/>
  <c r="KR15" i="29"/>
  <c r="KR14" i="29"/>
  <c r="KR25" i="29" s="1"/>
  <c r="KR16" i="29"/>
  <c r="KR23" i="29" s="1"/>
  <c r="KR5" i="29"/>
  <c r="KR34" i="29"/>
  <c r="KS4" i="29"/>
  <c r="KS17" i="29"/>
  <c r="KS11" i="29"/>
  <c r="KS14" i="29"/>
  <c r="KS25" i="29" s="1"/>
  <c r="KS12" i="29"/>
  <c r="KS13" i="29"/>
  <c r="KS19" i="29" s="1"/>
  <c r="KS15" i="29"/>
  <c r="KS16" i="29"/>
  <c r="KS23" i="29" s="1"/>
  <c r="KS5" i="29"/>
  <c r="KS31" i="29" s="1"/>
  <c r="KS34" i="29"/>
  <c r="KT4" i="29"/>
  <c r="KT11" i="29"/>
  <c r="KT17" i="29"/>
  <c r="KT12" i="29"/>
  <c r="KT14" i="29"/>
  <c r="KT16" i="29"/>
  <c r="KT23" i="29" s="1"/>
  <c r="KT13" i="29"/>
  <c r="KT19" i="29" s="1"/>
  <c r="KT15" i="29"/>
  <c r="KT5" i="29"/>
  <c r="KT31" i="29" s="1"/>
  <c r="KT34" i="29"/>
  <c r="KV4" i="29"/>
  <c r="KV17" i="29"/>
  <c r="KV11" i="29"/>
  <c r="KV13" i="29"/>
  <c r="KV19" i="29" s="1"/>
  <c r="KV15" i="29"/>
  <c r="KV12" i="29"/>
  <c r="KV14" i="29"/>
  <c r="LC14" i="29" s="1"/>
  <c r="KV16" i="29"/>
  <c r="KV23" i="29" s="1"/>
  <c r="KV5" i="29"/>
  <c r="KV31" i="29" s="1"/>
  <c r="KV34" i="29"/>
  <c r="KW4" i="29"/>
  <c r="KW17" i="29"/>
  <c r="KW12" i="29"/>
  <c r="KW13" i="29"/>
  <c r="KW19" i="29" s="1"/>
  <c r="KW11" i="29"/>
  <c r="KW15" i="29"/>
  <c r="KW16" i="29"/>
  <c r="KW23" i="29" s="1"/>
  <c r="KW14" i="29"/>
  <c r="KW25" i="29" s="1"/>
  <c r="KW5" i="29"/>
  <c r="KW35" i="29" s="1"/>
  <c r="KW34" i="29"/>
  <c r="KX4" i="29"/>
  <c r="KX11" i="29"/>
  <c r="KX17" i="29"/>
  <c r="KX14" i="29"/>
  <c r="KX24" i="29" s="1"/>
  <c r="KX12" i="29"/>
  <c r="KX15" i="29"/>
  <c r="KX13" i="29"/>
  <c r="KX19" i="29" s="1"/>
  <c r="KX16" i="29"/>
  <c r="KX23" i="29" s="1"/>
  <c r="KX5" i="29"/>
  <c r="KX35" i="29" s="1"/>
  <c r="KX34" i="29"/>
  <c r="KY4" i="29"/>
  <c r="KY17" i="29"/>
  <c r="KY12" i="29"/>
  <c r="KY13" i="29"/>
  <c r="KY22" i="29" s="1"/>
  <c r="KY11" i="29"/>
  <c r="KY14" i="29"/>
  <c r="KY24" i="29" s="1"/>
  <c r="KY15" i="29"/>
  <c r="KY16" i="29"/>
  <c r="KY23" i="29" s="1"/>
  <c r="KY5" i="29"/>
  <c r="KY35" i="29" s="1"/>
  <c r="KY34" i="29"/>
  <c r="KZ4" i="29"/>
  <c r="KZ11" i="29"/>
  <c r="KZ13" i="29"/>
  <c r="KZ22" i="29" s="1"/>
  <c r="KZ17" i="29"/>
  <c r="KZ12" i="29"/>
  <c r="KZ15" i="29"/>
  <c r="KZ16" i="29"/>
  <c r="KZ23" i="29" s="1"/>
  <c r="KZ14" i="29"/>
  <c r="KZ25" i="29" s="1"/>
  <c r="KZ5" i="29"/>
  <c r="KZ34" i="29"/>
  <c r="LA4" i="29"/>
  <c r="LA17" i="29"/>
  <c r="LA12" i="29"/>
  <c r="LA11" i="29"/>
  <c r="LA15" i="29"/>
  <c r="LA14" i="29"/>
  <c r="LA25" i="29" s="1"/>
  <c r="LA13" i="29"/>
  <c r="LA22" i="29" s="1"/>
  <c r="LA16" i="29"/>
  <c r="LA23" i="29" s="1"/>
  <c r="LA5" i="29"/>
  <c r="LA35" i="29" s="1"/>
  <c r="LA34" i="29"/>
  <c r="LB4" i="29"/>
  <c r="LB17" i="29"/>
  <c r="LB12" i="29"/>
  <c r="LB13" i="29"/>
  <c r="LB22" i="29" s="1"/>
  <c r="LB14" i="29"/>
  <c r="LB24" i="29" s="1"/>
  <c r="LB11" i="29"/>
  <c r="LB16" i="29"/>
  <c r="LB23" i="29" s="1"/>
  <c r="LB15" i="29"/>
  <c r="LB5" i="29"/>
  <c r="LB31" i="29" s="1"/>
  <c r="LB34" i="29"/>
  <c r="LD4" i="29"/>
  <c r="LD11" i="29"/>
  <c r="LD17" i="29"/>
  <c r="LD13" i="29"/>
  <c r="LD22" i="29" s="1"/>
  <c r="LD12" i="29"/>
  <c r="LD14" i="29"/>
  <c r="LD24" i="29" s="1"/>
  <c r="LD15" i="29"/>
  <c r="LD16" i="29"/>
  <c r="LD5" i="29"/>
  <c r="LD31" i="29" s="1"/>
  <c r="LD34" i="29"/>
  <c r="LE4" i="29"/>
  <c r="LE17" i="29"/>
  <c r="LE11" i="29"/>
  <c r="LE12" i="29"/>
  <c r="LE13" i="29"/>
  <c r="LE22" i="29" s="1"/>
  <c r="LE14" i="29"/>
  <c r="LE24" i="29" s="1"/>
  <c r="LE15" i="29"/>
  <c r="LE16" i="29"/>
  <c r="LE23" i="29" s="1"/>
  <c r="LE5" i="29"/>
  <c r="LE31" i="29" s="1"/>
  <c r="LE34" i="29"/>
  <c r="LF4" i="29"/>
  <c r="LF17" i="29"/>
  <c r="LF11" i="29"/>
  <c r="LF12" i="29"/>
  <c r="LF13" i="29"/>
  <c r="LF19" i="29" s="1"/>
  <c r="LF15" i="29"/>
  <c r="LF14" i="29"/>
  <c r="LF24" i="29" s="1"/>
  <c r="LF16" i="29"/>
  <c r="LF23" i="29" s="1"/>
  <c r="LF5" i="29"/>
  <c r="LF34" i="29"/>
  <c r="LG4" i="29"/>
  <c r="LG11" i="29"/>
  <c r="LG17" i="29"/>
  <c r="LG12" i="29"/>
  <c r="LG13" i="29"/>
  <c r="LG19" i="29" s="1"/>
  <c r="LG14" i="29"/>
  <c r="LG24" i="29" s="1"/>
  <c r="LG15" i="29"/>
  <c r="LG16" i="29"/>
  <c r="LG23" i="29" s="1"/>
  <c r="LG5" i="29"/>
  <c r="LG34" i="29"/>
  <c r="LH4" i="29"/>
  <c r="LH17" i="29"/>
  <c r="LH13" i="29"/>
  <c r="LH22" i="29" s="1"/>
  <c r="LH14" i="29"/>
  <c r="LH25" i="29" s="1"/>
  <c r="LH12" i="29"/>
  <c r="LH15" i="29"/>
  <c r="LH11" i="29"/>
  <c r="LH16" i="29"/>
  <c r="LH23" i="29" s="1"/>
  <c r="LH5" i="29"/>
  <c r="LH31" i="29" s="1"/>
  <c r="LH34" i="29"/>
  <c r="LI4" i="29"/>
  <c r="LI11" i="29"/>
  <c r="LI13" i="29"/>
  <c r="LI19" i="29" s="1"/>
  <c r="LI17" i="29"/>
  <c r="LI12" i="29"/>
  <c r="LI15" i="29"/>
  <c r="LI14" i="29"/>
  <c r="LI24" i="29" s="1"/>
  <c r="LI16" i="29"/>
  <c r="LI23" i="29" s="1"/>
  <c r="LI5" i="29"/>
  <c r="LI34" i="29"/>
  <c r="LJ4" i="29"/>
  <c r="LJ12" i="29"/>
  <c r="LJ11" i="29"/>
  <c r="LJ15" i="29"/>
  <c r="LJ14" i="29"/>
  <c r="LJ24" i="29" s="1"/>
  <c r="LJ16" i="29"/>
  <c r="LJ23" i="29" s="1"/>
  <c r="LJ13" i="29"/>
  <c r="LJ22" i="29" s="1"/>
  <c r="LJ5" i="29"/>
  <c r="LJ31" i="29" s="1"/>
  <c r="LJ34" i="29"/>
  <c r="LL4" i="29"/>
  <c r="LL11" i="29"/>
  <c r="LL14" i="29"/>
  <c r="LL13" i="29"/>
  <c r="LL19" i="29" s="1"/>
  <c r="LL12" i="29"/>
  <c r="LL15" i="29"/>
  <c r="LL16" i="29"/>
  <c r="LL23" i="29" s="1"/>
  <c r="LL5" i="29"/>
  <c r="LL35" i="29" s="1"/>
  <c r="LL34" i="29"/>
  <c r="LM4" i="29"/>
  <c r="LM11" i="29"/>
  <c r="LM17" i="29"/>
  <c r="LM12" i="29"/>
  <c r="LM13" i="29"/>
  <c r="LM22" i="29" s="1"/>
  <c r="LM16" i="29"/>
  <c r="LM14" i="29"/>
  <c r="LM25" i="29" s="1"/>
  <c r="LM15" i="29"/>
  <c r="LM5" i="29"/>
  <c r="LM34" i="29"/>
  <c r="LN4" i="29"/>
  <c r="LN17" i="29"/>
  <c r="LN11" i="29"/>
  <c r="LN12" i="29"/>
  <c r="LN13" i="29"/>
  <c r="LN22" i="29" s="1"/>
  <c r="LN14" i="29"/>
  <c r="LN24" i="29" s="1"/>
  <c r="LN16" i="29"/>
  <c r="LN23" i="29" s="1"/>
  <c r="LN15" i="29"/>
  <c r="LN5" i="29"/>
  <c r="LN34" i="29"/>
  <c r="LO4" i="29"/>
  <c r="LO17" i="29"/>
  <c r="LO11" i="29"/>
  <c r="LO12" i="29"/>
  <c r="LO13" i="29"/>
  <c r="LO19" i="29" s="1"/>
  <c r="LO15" i="29"/>
  <c r="LO16" i="29"/>
  <c r="LO23" i="29" s="1"/>
  <c r="LO14" i="29"/>
  <c r="LO5" i="29"/>
  <c r="LO35" i="29" s="1"/>
  <c r="LO34" i="29"/>
  <c r="LP4" i="29"/>
  <c r="LP17" i="29"/>
  <c r="LP11" i="29"/>
  <c r="LP14" i="29"/>
  <c r="LP13" i="29"/>
  <c r="LP22" i="29" s="1"/>
  <c r="LP15" i="29"/>
  <c r="LP12" i="29"/>
  <c r="LP16" i="29"/>
  <c r="LP23" i="29" s="1"/>
  <c r="LP5" i="29"/>
  <c r="LP34" i="29"/>
  <c r="LQ4" i="29"/>
  <c r="LQ17" i="29"/>
  <c r="LQ12" i="29"/>
  <c r="LQ13" i="29"/>
  <c r="LQ22" i="29" s="1"/>
  <c r="LQ11" i="29"/>
  <c r="LQ14" i="29"/>
  <c r="LQ24" i="29" s="1"/>
  <c r="LQ15" i="29"/>
  <c r="LQ16" i="29"/>
  <c r="LQ23" i="29" s="1"/>
  <c r="LQ5" i="29"/>
  <c r="LQ34" i="29"/>
  <c r="LR4" i="29"/>
  <c r="LR11" i="29"/>
  <c r="LR13" i="29"/>
  <c r="LR19" i="29" s="1"/>
  <c r="LR17" i="29"/>
  <c r="LR12" i="29"/>
  <c r="LR14" i="29"/>
  <c r="LR25" i="29" s="1"/>
  <c r="LR15" i="29"/>
  <c r="LR16" i="29"/>
  <c r="LR23" i="29" s="1"/>
  <c r="LR5" i="29"/>
  <c r="LR34" i="29"/>
  <c r="LT4" i="29"/>
  <c r="LT17" i="29"/>
  <c r="LT11" i="29"/>
  <c r="LT12" i="29"/>
  <c r="LT15" i="29"/>
  <c r="LT13" i="29"/>
  <c r="LT22" i="29" s="1"/>
  <c r="LT16" i="29"/>
  <c r="LT23" i="29" s="1"/>
  <c r="LT14" i="29"/>
  <c r="LT25" i="29" s="1"/>
  <c r="LT5" i="29"/>
  <c r="LT34" i="29"/>
  <c r="LU4" i="29"/>
  <c r="LU17" i="29"/>
  <c r="LU14" i="29"/>
  <c r="LU24" i="29" s="1"/>
  <c r="LU11" i="29"/>
  <c r="LU12" i="29"/>
  <c r="LU13" i="29"/>
  <c r="LU19" i="29" s="1"/>
  <c r="LU15" i="29"/>
  <c r="LU16" i="29"/>
  <c r="LU23" i="29" s="1"/>
  <c r="LU5" i="29"/>
  <c r="LU34" i="29"/>
  <c r="LV4" i="29"/>
  <c r="LV11" i="29"/>
  <c r="LV17" i="29"/>
  <c r="LV12" i="29"/>
  <c r="LV15" i="29"/>
  <c r="LV13" i="29"/>
  <c r="LV22" i="29" s="1"/>
  <c r="LV14" i="29"/>
  <c r="LV25" i="29" s="1"/>
  <c r="LV16" i="29"/>
  <c r="LV23" i="29" s="1"/>
  <c r="LV5" i="29"/>
  <c r="LV35" i="29" s="1"/>
  <c r="LV34" i="29"/>
  <c r="LW4" i="29"/>
  <c r="LW11" i="29"/>
  <c r="LW12" i="29"/>
  <c r="LW13" i="29"/>
  <c r="LW19" i="29" s="1"/>
  <c r="LW14" i="29"/>
  <c r="LW24" i="29" s="1"/>
  <c r="LW15" i="29"/>
  <c r="LW16" i="29"/>
  <c r="LW23" i="29" s="1"/>
  <c r="LW5" i="29"/>
  <c r="LW35" i="29" s="1"/>
  <c r="LW34" i="29"/>
  <c r="LX4" i="29"/>
  <c r="LX17" i="29"/>
  <c r="LX11" i="29"/>
  <c r="LX13" i="29"/>
  <c r="LX19" i="29" s="1"/>
  <c r="LX12" i="29"/>
  <c r="LX16" i="29"/>
  <c r="LX23" i="29" s="1"/>
  <c r="LX15" i="29"/>
  <c r="LX14" i="29"/>
  <c r="LX25" i="29" s="1"/>
  <c r="LX5" i="29"/>
  <c r="LX34" i="29"/>
  <c r="LY4" i="29"/>
  <c r="LY11" i="29"/>
  <c r="LY14" i="29"/>
  <c r="LY25" i="29" s="1"/>
  <c r="LY13" i="29"/>
  <c r="LY19" i="29" s="1"/>
  <c r="LY17" i="29"/>
  <c r="LY12" i="29"/>
  <c r="LY16" i="29"/>
  <c r="LY23" i="29" s="1"/>
  <c r="LY15" i="29"/>
  <c r="LY5" i="29"/>
  <c r="LY34" i="29"/>
  <c r="LZ4" i="29"/>
  <c r="LZ17" i="29"/>
  <c r="LZ12" i="29"/>
  <c r="LZ13" i="29"/>
  <c r="LZ19" i="29" s="1"/>
  <c r="LZ11" i="29"/>
  <c r="LZ14" i="29"/>
  <c r="LZ24" i="29" s="1"/>
  <c r="LZ15" i="29"/>
  <c r="LZ16" i="29"/>
  <c r="LZ23" i="29" s="1"/>
  <c r="LZ5" i="29"/>
  <c r="LZ35" i="29" s="1"/>
  <c r="LZ34" i="29"/>
  <c r="MB4" i="29"/>
  <c r="MB11" i="29"/>
  <c r="MB13" i="29"/>
  <c r="MB22" i="29" s="1"/>
  <c r="MB17" i="29"/>
  <c r="MB12" i="29"/>
  <c r="MB16" i="29"/>
  <c r="MB23" i="29" s="1"/>
  <c r="MB14" i="29"/>
  <c r="MB15" i="29"/>
  <c r="MB5" i="29"/>
  <c r="MB34" i="29"/>
  <c r="MC4" i="29"/>
  <c r="MC17" i="29"/>
  <c r="MC12" i="29"/>
  <c r="MC13" i="29"/>
  <c r="MC19" i="29" s="1"/>
  <c r="MC15" i="29"/>
  <c r="MC11" i="29"/>
  <c r="MC14" i="29"/>
  <c r="MC24" i="29" s="1"/>
  <c r="MC16" i="29"/>
  <c r="MC23" i="29" s="1"/>
  <c r="MC5" i="29"/>
  <c r="MC34" i="29"/>
  <c r="MD4" i="29"/>
  <c r="MD17" i="29"/>
  <c r="MD11" i="29"/>
  <c r="MD14" i="29"/>
  <c r="MD25" i="29" s="1"/>
  <c r="MD13" i="29"/>
  <c r="MD19" i="29" s="1"/>
  <c r="MD16" i="29"/>
  <c r="MD23" i="29" s="1"/>
  <c r="MD12" i="29"/>
  <c r="MD15" i="29"/>
  <c r="MD5" i="29"/>
  <c r="MD34" i="29"/>
  <c r="ME4" i="29"/>
  <c r="ME11" i="29"/>
  <c r="ME17" i="29"/>
  <c r="ME12" i="29"/>
  <c r="ME14" i="29"/>
  <c r="ME25" i="29" s="1"/>
  <c r="ME15" i="29"/>
  <c r="ME13" i="29"/>
  <c r="ME22" i="29" s="1"/>
  <c r="ME16" i="29"/>
  <c r="ME23" i="29" s="1"/>
  <c r="ME5" i="29"/>
  <c r="ME31" i="29" s="1"/>
  <c r="ME34" i="29"/>
  <c r="MF4" i="29"/>
  <c r="MF17" i="29"/>
  <c r="MF11" i="29"/>
  <c r="MF12" i="29"/>
  <c r="MF13" i="29"/>
  <c r="MF22" i="29" s="1"/>
  <c r="MF14" i="29"/>
  <c r="MF24" i="29" s="1"/>
  <c r="MF15" i="29"/>
  <c r="MF16" i="29"/>
  <c r="MF23" i="29" s="1"/>
  <c r="MF5" i="29"/>
  <c r="MF34" i="29"/>
  <c r="MG4" i="29"/>
  <c r="MG17" i="29"/>
  <c r="MG11" i="29"/>
  <c r="MG12" i="29"/>
  <c r="MG13" i="29"/>
  <c r="MG19" i="29" s="1"/>
  <c r="MG15" i="29"/>
  <c r="MG14" i="29"/>
  <c r="MG24" i="29" s="1"/>
  <c r="MG16" i="29"/>
  <c r="MG23" i="29" s="1"/>
  <c r="MG5" i="29"/>
  <c r="MG31" i="29" s="1"/>
  <c r="MG34" i="29"/>
  <c r="MH4" i="29"/>
  <c r="MH11" i="29"/>
  <c r="MH12" i="29"/>
  <c r="MH13" i="29"/>
  <c r="MH19" i="29" s="1"/>
  <c r="MH14" i="29"/>
  <c r="MH25" i="29" s="1"/>
  <c r="MH15" i="29"/>
  <c r="MH16" i="29"/>
  <c r="MH23" i="29" s="1"/>
  <c r="MH5" i="29"/>
  <c r="MH34" i="29"/>
  <c r="MJ4" i="29"/>
  <c r="MJ17" i="29"/>
  <c r="MJ13" i="29"/>
  <c r="MJ19" i="29" s="1"/>
  <c r="MJ14" i="29"/>
  <c r="MJ25" i="29" s="1"/>
  <c r="MJ11" i="29"/>
  <c r="MJ12" i="29"/>
  <c r="MJ16" i="29"/>
  <c r="MJ15" i="29"/>
  <c r="MJ5" i="29"/>
  <c r="MJ35" i="29" s="1"/>
  <c r="MJ34" i="29"/>
  <c r="MK4" i="29"/>
  <c r="MK11" i="29"/>
  <c r="MK13" i="29"/>
  <c r="MK19" i="29" s="1"/>
  <c r="MK17" i="29"/>
  <c r="MK12" i="29"/>
  <c r="MK15" i="29"/>
  <c r="MK14" i="29"/>
  <c r="MK24" i="29" s="1"/>
  <c r="MK16" i="29"/>
  <c r="MK23" i="29" s="1"/>
  <c r="MK5" i="29"/>
  <c r="MK35" i="29" s="1"/>
  <c r="MK34" i="29"/>
  <c r="ML4" i="29"/>
  <c r="ML17" i="29"/>
  <c r="ML12" i="29"/>
  <c r="ML11" i="29"/>
  <c r="ML15" i="29"/>
  <c r="ML14" i="29"/>
  <c r="ML25" i="29" s="1"/>
  <c r="ML16" i="29"/>
  <c r="ML23" i="29" s="1"/>
  <c r="ML13" i="29"/>
  <c r="ML22" i="29" s="1"/>
  <c r="ML5" i="29"/>
  <c r="ML35" i="29" s="1"/>
  <c r="ML34" i="29"/>
  <c r="MM4" i="29"/>
  <c r="MM17" i="29"/>
  <c r="MM12" i="29"/>
  <c r="MM13" i="29"/>
  <c r="MM19" i="29" s="1"/>
  <c r="MM11" i="29"/>
  <c r="MM14" i="29"/>
  <c r="MM25" i="29" s="1"/>
  <c r="MM16" i="29"/>
  <c r="MM23" i="29" s="1"/>
  <c r="MM15" i="29"/>
  <c r="MM5" i="29"/>
  <c r="MM31" i="29" s="1"/>
  <c r="MM34" i="29"/>
  <c r="MN4" i="29"/>
  <c r="MN11" i="29"/>
  <c r="MN17" i="29"/>
  <c r="MN13" i="29"/>
  <c r="MN19" i="29" s="1"/>
  <c r="MN12" i="29"/>
  <c r="MN14" i="29"/>
  <c r="MN16" i="29"/>
  <c r="MN23" i="29" s="1"/>
  <c r="MN15" i="29"/>
  <c r="MN5" i="29"/>
  <c r="MN35" i="29" s="1"/>
  <c r="MN34" i="29"/>
  <c r="MO4" i="29"/>
  <c r="MO17" i="29"/>
  <c r="MO12" i="29"/>
  <c r="MO13" i="29"/>
  <c r="MO11" i="29"/>
  <c r="MO14" i="29"/>
  <c r="MO24" i="29" s="1"/>
  <c r="MO15" i="29"/>
  <c r="MO16" i="29"/>
  <c r="MO23" i="29" s="1"/>
  <c r="MO5" i="29"/>
  <c r="MO34" i="29"/>
  <c r="MP4" i="29"/>
  <c r="MP17" i="29"/>
  <c r="MP11" i="29"/>
  <c r="MP12" i="29"/>
  <c r="MP14" i="29"/>
  <c r="MP25" i="29" s="1"/>
  <c r="MP15" i="29"/>
  <c r="MP13" i="29"/>
  <c r="MP19" i="29" s="1"/>
  <c r="MP16" i="29"/>
  <c r="MP23" i="29" s="1"/>
  <c r="MP5" i="29"/>
  <c r="MP35" i="29" s="1"/>
  <c r="MP34" i="29"/>
  <c r="MR4" i="29"/>
  <c r="MR11" i="29"/>
  <c r="MR17" i="29"/>
  <c r="MR12" i="29"/>
  <c r="MR13" i="29"/>
  <c r="MR14" i="29"/>
  <c r="MR24" i="29" s="1"/>
  <c r="MR15" i="29"/>
  <c r="MR16" i="29"/>
  <c r="MR23" i="29" s="1"/>
  <c r="MR5" i="29"/>
  <c r="MR34" i="29"/>
  <c r="MS4" i="29"/>
  <c r="MS11" i="29"/>
  <c r="MS13" i="29"/>
  <c r="MS22" i="29" s="1"/>
  <c r="MS12" i="29"/>
  <c r="MS14" i="29"/>
  <c r="MS25" i="29" s="1"/>
  <c r="MS16" i="29"/>
  <c r="MS23" i="29" s="1"/>
  <c r="MS15" i="29"/>
  <c r="MS5" i="29"/>
  <c r="MS34" i="29"/>
  <c r="MT4" i="29"/>
  <c r="MT11" i="29"/>
  <c r="MT13" i="29"/>
  <c r="MT22" i="29" s="1"/>
  <c r="MT17" i="29"/>
  <c r="MT12" i="29"/>
  <c r="MT14" i="29"/>
  <c r="MT15" i="29"/>
  <c r="MT16" i="29"/>
  <c r="MT23" i="29" s="1"/>
  <c r="MT5" i="29"/>
  <c r="MS31" i="29"/>
  <c r="MT34" i="29"/>
  <c r="MU4" i="29"/>
  <c r="MU17" i="29"/>
  <c r="MU12" i="29"/>
  <c r="MU11" i="29"/>
  <c r="MU15" i="29"/>
  <c r="MU13" i="29"/>
  <c r="MU19" i="29" s="1"/>
  <c r="MU14" i="29"/>
  <c r="MU24" i="29" s="1"/>
  <c r="MU16" i="29"/>
  <c r="MU23" i="29" s="1"/>
  <c r="MU5" i="29"/>
  <c r="MU34" i="29"/>
  <c r="MV4" i="29"/>
  <c r="MV17" i="29"/>
  <c r="MV14" i="29"/>
  <c r="MV12" i="29"/>
  <c r="MV13" i="29"/>
  <c r="MV19" i="29" s="1"/>
  <c r="MV15" i="29"/>
  <c r="MV11" i="29"/>
  <c r="MV16" i="29"/>
  <c r="MV23" i="29" s="1"/>
  <c r="MV5" i="29"/>
  <c r="MV31" i="29" s="1"/>
  <c r="MV34" i="29"/>
  <c r="MW4" i="29"/>
  <c r="MW11" i="29"/>
  <c r="MW12" i="29"/>
  <c r="MW13" i="29"/>
  <c r="MW22" i="29" s="1"/>
  <c r="MW17" i="29"/>
  <c r="MW15" i="29"/>
  <c r="MW16" i="29"/>
  <c r="MW23" i="29" s="1"/>
  <c r="MW14" i="29"/>
  <c r="MW25" i="29" s="1"/>
  <c r="MW5" i="29"/>
  <c r="MW35" i="29" s="1"/>
  <c r="MW34" i="29"/>
  <c r="MX4" i="29"/>
  <c r="MX11" i="29"/>
  <c r="MX14" i="29"/>
  <c r="MX24" i="29" s="1"/>
  <c r="MX13" i="29"/>
  <c r="MX19" i="29" s="1"/>
  <c r="MX12" i="29"/>
  <c r="MX15" i="29"/>
  <c r="MX16" i="29"/>
  <c r="MX23" i="29" s="1"/>
  <c r="MX5" i="29"/>
  <c r="MX35" i="29" s="1"/>
  <c r="MX34" i="29"/>
  <c r="MZ4" i="29"/>
  <c r="MZ17" i="29"/>
  <c r="MZ11" i="29"/>
  <c r="MZ15" i="29"/>
  <c r="MZ13" i="29"/>
  <c r="MZ22" i="29" s="1"/>
  <c r="MZ12" i="29"/>
  <c r="MZ16" i="29"/>
  <c r="MZ23" i="29" s="1"/>
  <c r="MZ14" i="29"/>
  <c r="NG14" i="29" s="1"/>
  <c r="MZ5" i="29"/>
  <c r="MZ34" i="29"/>
  <c r="NA4" i="29"/>
  <c r="NA11" i="29"/>
  <c r="NA14" i="29"/>
  <c r="NA25" i="29" s="1"/>
  <c r="NA12" i="29"/>
  <c r="NA15" i="29"/>
  <c r="NA16" i="29"/>
  <c r="NA23" i="29" s="1"/>
  <c r="NA13" i="29"/>
  <c r="NA22" i="29" s="1"/>
  <c r="NA5" i="29"/>
  <c r="NA31" i="29" s="1"/>
  <c r="NA34" i="29"/>
  <c r="NB4" i="29"/>
  <c r="NB17" i="29"/>
  <c r="NB12" i="29"/>
  <c r="NB13" i="29"/>
  <c r="NB22" i="29" s="1"/>
  <c r="NB11" i="29"/>
  <c r="NB14" i="29"/>
  <c r="NB24" i="29" s="1"/>
  <c r="NB15" i="29"/>
  <c r="NB16" i="29"/>
  <c r="NB23" i="29" s="1"/>
  <c r="NB5" i="29"/>
  <c r="NB35" i="29" s="1"/>
  <c r="NB34" i="29"/>
  <c r="NC4" i="29"/>
  <c r="NC11" i="29"/>
  <c r="NC13" i="29"/>
  <c r="NC19" i="29" s="1"/>
  <c r="NC17" i="29"/>
  <c r="NC12" i="29"/>
  <c r="NC14" i="29"/>
  <c r="NC25" i="29" s="1"/>
  <c r="NC15" i="29"/>
  <c r="NC16" i="29"/>
  <c r="NC5" i="29"/>
  <c r="NC35" i="29" s="1"/>
  <c r="NC34" i="29"/>
  <c r="ND4" i="29"/>
  <c r="ND17" i="29"/>
  <c r="ND11" i="29"/>
  <c r="ND12" i="29"/>
  <c r="ND15" i="29"/>
  <c r="ND13" i="29"/>
  <c r="ND22" i="29" s="1"/>
  <c r="ND16" i="29"/>
  <c r="ND23" i="29" s="1"/>
  <c r="ND14" i="29"/>
  <c r="ND5" i="29"/>
  <c r="ND35" i="29" s="1"/>
  <c r="ND34" i="29"/>
  <c r="NE4" i="29"/>
  <c r="NE17" i="29"/>
  <c r="NE14" i="29"/>
  <c r="NE25" i="29" s="1"/>
  <c r="NE11" i="29"/>
  <c r="NE12" i="29"/>
  <c r="NE16" i="29"/>
  <c r="NE23" i="29" s="1"/>
  <c r="NE13" i="29"/>
  <c r="NE22" i="29" s="1"/>
  <c r="NE15" i="29"/>
  <c r="NE5" i="29"/>
  <c r="NE34" i="29"/>
  <c r="NF4" i="29"/>
  <c r="NF11" i="29"/>
  <c r="NF13" i="29"/>
  <c r="NF19" i="29" s="1"/>
  <c r="NF12" i="29"/>
  <c r="NF15" i="29"/>
  <c r="NF14" i="29"/>
  <c r="NF25" i="29" s="1"/>
  <c r="NF16" i="29"/>
  <c r="NF23" i="29" s="1"/>
  <c r="NF5" i="29"/>
  <c r="NF34" i="29"/>
  <c r="NH4" i="29"/>
  <c r="NH17" i="29"/>
  <c r="NH11" i="29"/>
  <c r="NH12" i="29"/>
  <c r="NH13" i="29"/>
  <c r="NH19" i="29" s="1"/>
  <c r="NH14" i="29"/>
  <c r="NO14" i="29" s="1"/>
  <c r="NO25" i="29" s="1"/>
  <c r="NH15" i="29"/>
  <c r="NH16" i="29"/>
  <c r="NH23" i="29" s="1"/>
  <c r="NH5" i="29"/>
  <c r="NH35" i="29" s="1"/>
  <c r="NH34" i="29"/>
  <c r="NI4" i="29"/>
  <c r="NI17" i="29"/>
  <c r="NI12" i="29"/>
  <c r="NI11" i="29"/>
  <c r="NI13" i="29"/>
  <c r="NI22" i="29" s="1"/>
  <c r="NI16" i="29"/>
  <c r="NI23" i="29" s="1"/>
  <c r="NI14" i="29"/>
  <c r="NI25" i="29" s="1"/>
  <c r="NI15" i="29"/>
  <c r="NI5" i="29"/>
  <c r="NI34" i="29"/>
  <c r="NJ4" i="29"/>
  <c r="NJ11" i="29"/>
  <c r="NJ12" i="29"/>
  <c r="NJ14" i="29"/>
  <c r="NJ25" i="29" s="1"/>
  <c r="NJ13" i="29"/>
  <c r="NJ19" i="29" s="1"/>
  <c r="NJ15" i="29"/>
  <c r="NJ16" i="29"/>
  <c r="NJ23" i="29" s="1"/>
  <c r="NJ5" i="29"/>
  <c r="NJ35" i="29" s="1"/>
  <c r="NJ34" i="29"/>
  <c r="NK4" i="29"/>
  <c r="NK11" i="29"/>
  <c r="NK14" i="29"/>
  <c r="NK24" i="29" s="1"/>
  <c r="NK12" i="29"/>
  <c r="NK15" i="29"/>
  <c r="NK16" i="29"/>
  <c r="NK23" i="29" s="1"/>
  <c r="NK13" i="29"/>
  <c r="NK19" i="29" s="1"/>
  <c r="NK5" i="29"/>
  <c r="NK35" i="29" s="1"/>
  <c r="NK34" i="29"/>
  <c r="NL4" i="29"/>
  <c r="NL11" i="29"/>
  <c r="NL13" i="29"/>
  <c r="NL22" i="29" s="1"/>
  <c r="NL17" i="29"/>
  <c r="NL12" i="29"/>
  <c r="NL16" i="29"/>
  <c r="NL23" i="29" s="1"/>
  <c r="NL14" i="29"/>
  <c r="NL15" i="29"/>
  <c r="NL5" i="29"/>
  <c r="NL31" i="29" s="1"/>
  <c r="NL34" i="29"/>
  <c r="NM4" i="29"/>
  <c r="NM12" i="29"/>
  <c r="NM15" i="29"/>
  <c r="NM11" i="29"/>
  <c r="NM13" i="29"/>
  <c r="NM22" i="29" s="1"/>
  <c r="NM14" i="29"/>
  <c r="NM24" i="29" s="1"/>
  <c r="NM16" i="29"/>
  <c r="NM23" i="29" s="1"/>
  <c r="NM5" i="29"/>
  <c r="NM34" i="29"/>
  <c r="NN4" i="29"/>
  <c r="NN17" i="29"/>
  <c r="NN11" i="29"/>
  <c r="NN13" i="29"/>
  <c r="NN14" i="29"/>
  <c r="NN24" i="29" s="1"/>
  <c r="NN12" i="29"/>
  <c r="NN16" i="29"/>
  <c r="NN23" i="29" s="1"/>
  <c r="NN15" i="29"/>
  <c r="NN5" i="29"/>
  <c r="NN34" i="29"/>
  <c r="NP4" i="29"/>
  <c r="NP11" i="29"/>
  <c r="NP17" i="29"/>
  <c r="NP12" i="29"/>
  <c r="NP13" i="29"/>
  <c r="NP22" i="29" s="1"/>
  <c r="NP14" i="29"/>
  <c r="NP24" i="29" s="1"/>
  <c r="NP15" i="29"/>
  <c r="NP16" i="29"/>
  <c r="NP23" i="29" s="1"/>
  <c r="NP5" i="29"/>
  <c r="NP34" i="29"/>
  <c r="NQ4" i="29"/>
  <c r="NQ17" i="29"/>
  <c r="NQ11" i="29"/>
  <c r="NQ12" i="29"/>
  <c r="NQ15" i="29"/>
  <c r="NQ13" i="29"/>
  <c r="NQ19" i="29" s="1"/>
  <c r="NQ14" i="29"/>
  <c r="NQ24" i="29" s="1"/>
  <c r="NQ16" i="29"/>
  <c r="NQ23" i="29" s="1"/>
  <c r="NQ5" i="29"/>
  <c r="NQ31" i="29" s="1"/>
  <c r="NQ34" i="29"/>
  <c r="NR4" i="29"/>
  <c r="NR17" i="29"/>
  <c r="NR12" i="29"/>
  <c r="NR13" i="29"/>
  <c r="NR22" i="29" s="1"/>
  <c r="NR11" i="29"/>
  <c r="NR14" i="29"/>
  <c r="NR15" i="29"/>
  <c r="NR16" i="29"/>
  <c r="NR23" i="29" s="1"/>
  <c r="NR5" i="29"/>
  <c r="NR35" i="29" s="1"/>
  <c r="NR34" i="29"/>
  <c r="NS4" i="29"/>
  <c r="NS11" i="29"/>
  <c r="NS17" i="29"/>
  <c r="NS13" i="29"/>
  <c r="NS19" i="29" s="1"/>
  <c r="NS14" i="29"/>
  <c r="NS24" i="29" s="1"/>
  <c r="NS12" i="29"/>
  <c r="NS15" i="29"/>
  <c r="NS16" i="29"/>
  <c r="NS23" i="29" s="1"/>
  <c r="NS5" i="29"/>
  <c r="NS31" i="29" s="1"/>
  <c r="NS34" i="29"/>
  <c r="NT4" i="29"/>
  <c r="NT17" i="29"/>
  <c r="NT11" i="29"/>
  <c r="NT13" i="29"/>
  <c r="NT19" i="29" s="1"/>
  <c r="NT14" i="29"/>
  <c r="NT24" i="29" s="1"/>
  <c r="NT15" i="29"/>
  <c r="NT16" i="29"/>
  <c r="NT12" i="29"/>
  <c r="NT5" i="29"/>
  <c r="NT34" i="29"/>
  <c r="NU4" i="29"/>
  <c r="NU11" i="29"/>
  <c r="NU13" i="29"/>
  <c r="NU19" i="29" s="1"/>
  <c r="NU12" i="29"/>
  <c r="NU15" i="29"/>
  <c r="NU14" i="29"/>
  <c r="NU24" i="29" s="1"/>
  <c r="NU16" i="29"/>
  <c r="NU23" i="29" s="1"/>
  <c r="NU5" i="29"/>
  <c r="NU34" i="29"/>
  <c r="NV4" i="29"/>
  <c r="NV12" i="29"/>
  <c r="NV11" i="29"/>
  <c r="NV15" i="29"/>
  <c r="NV14" i="29"/>
  <c r="NV24" i="29" s="1"/>
  <c r="NV16" i="29"/>
  <c r="NV23" i="29" s="1"/>
  <c r="NV13" i="29"/>
  <c r="NV22" i="29" s="1"/>
  <c r="NV5" i="29"/>
  <c r="NV31" i="29" s="1"/>
  <c r="NV34" i="29"/>
  <c r="M9" i="29"/>
  <c r="M29" i="29" s="1"/>
  <c r="NL9" i="29"/>
  <c r="NL29" i="29" s="1"/>
  <c r="NI9" i="29"/>
  <c r="JP9" i="29"/>
  <c r="JP29" i="29" s="1"/>
  <c r="KW9" i="29"/>
  <c r="KW29" i="29" s="1"/>
  <c r="NJ9" i="29"/>
  <c r="NJ29" i="29" s="1"/>
  <c r="I9" i="29"/>
  <c r="I29" i="29" s="1"/>
  <c r="H9" i="29"/>
  <c r="H29" i="29" s="1"/>
  <c r="DP9" i="29"/>
  <c r="DP29" i="29" s="1"/>
  <c r="FU9" i="29"/>
  <c r="FU29" i="29" s="1"/>
  <c r="MN9" i="29"/>
  <c r="MN29" i="29" s="1"/>
  <c r="AN9" i="29"/>
  <c r="AN29" i="29" s="1"/>
  <c r="CJ9" i="29"/>
  <c r="CJ29" i="29" s="1"/>
  <c r="CD9" i="29"/>
  <c r="CD29" i="29" s="1"/>
  <c r="KX9" i="29"/>
  <c r="KX29" i="29" s="1"/>
  <c r="MH9" i="29"/>
  <c r="MH29" i="29" s="1"/>
  <c r="JI9" i="29"/>
  <c r="JI29" i="29" s="1"/>
  <c r="LR9" i="29"/>
  <c r="LR29" i="29" s="1"/>
  <c r="EK9" i="29"/>
  <c r="EK29" i="29" s="1"/>
  <c r="JF9" i="29"/>
  <c r="JF29" i="29" s="1"/>
  <c r="FT9" i="29"/>
  <c r="FT29" i="29" s="1"/>
  <c r="EW9" i="29"/>
  <c r="EW29" i="29" s="1"/>
  <c r="KR9" i="29"/>
  <c r="KR29" i="29" s="1"/>
  <c r="FS9" i="29"/>
  <c r="FS29" i="29" s="1"/>
  <c r="ND9" i="29"/>
  <c r="ND29" i="29" s="1"/>
  <c r="AU9" i="29"/>
  <c r="AU29" i="29" s="1"/>
  <c r="AP9" i="29"/>
  <c r="AP29" i="29" s="1"/>
  <c r="BB9" i="29"/>
  <c r="BB29" i="29" s="1"/>
  <c r="DT9" i="29"/>
  <c r="DT29" i="29" s="1"/>
  <c r="CG9" i="29"/>
  <c r="CG29" i="29" s="1"/>
  <c r="IV9" i="29"/>
  <c r="IV29" i="29" s="1"/>
  <c r="EM9" i="29"/>
  <c r="EM29" i="29" s="1"/>
  <c r="LD9" i="29"/>
  <c r="LD29" i="29" s="1"/>
  <c r="IU9" i="29"/>
  <c r="IU29" i="29" s="1"/>
  <c r="LJ9" i="29"/>
  <c r="LJ29" i="29" s="1"/>
  <c r="MM9" i="29"/>
  <c r="MM29" i="29" s="1"/>
  <c r="KC9" i="29"/>
  <c r="KC29" i="29" s="1"/>
  <c r="NP9" i="29"/>
  <c r="NP29" i="29" s="1"/>
  <c r="EV9" i="29"/>
  <c r="EV29" i="29" s="1"/>
  <c r="FD9" i="29"/>
  <c r="FD29" i="29" s="1"/>
  <c r="GV9" i="29"/>
  <c r="GV29" i="29" s="1"/>
  <c r="BI9" i="29"/>
  <c r="BI29" i="29" s="1"/>
  <c r="BU9" i="29"/>
  <c r="BU29" i="29" s="1"/>
  <c r="IF9" i="29"/>
  <c r="IF29" i="29" s="1"/>
  <c r="BN9" i="29"/>
  <c r="BN29" i="29" s="1"/>
  <c r="FX9" i="29"/>
  <c r="NS9" i="29"/>
  <c r="NS29" i="29" s="1"/>
  <c r="GZ9" i="29"/>
  <c r="GZ29" i="29" s="1"/>
  <c r="CB9" i="29"/>
  <c r="CB29" i="29" s="1"/>
  <c r="FJ9" i="29"/>
  <c r="FJ29" i="29" s="1"/>
  <c r="GJ9" i="29"/>
  <c r="GJ29" i="29" s="1"/>
  <c r="AW9" i="29"/>
  <c r="AW29" i="29" s="1"/>
  <c r="BZ9" i="29"/>
  <c r="BZ29" i="29" s="1"/>
  <c r="FZ9" i="29"/>
  <c r="FZ29" i="29" s="1"/>
  <c r="KP9" i="29"/>
  <c r="KP29" i="29" s="1"/>
  <c r="AV9" i="29"/>
  <c r="AV29" i="29" s="1"/>
  <c r="DH9" i="29"/>
  <c r="DH29" i="29" s="1"/>
  <c r="JV9" i="29"/>
  <c r="JV29" i="29" s="1"/>
  <c r="DX9" i="29"/>
  <c r="DX29" i="29" s="1"/>
  <c r="CS9" i="29"/>
  <c r="CS29" i="29" s="1"/>
  <c r="GS9" i="29"/>
  <c r="GS29" i="29" s="1"/>
  <c r="DU9" i="29"/>
  <c r="DU29" i="29" s="1"/>
  <c r="EZ9" i="29"/>
  <c r="EZ29" i="29" s="1"/>
  <c r="HP9" i="29"/>
  <c r="HP29" i="29" s="1"/>
  <c r="HZ9" i="29"/>
  <c r="HZ29" i="29" s="1"/>
  <c r="LZ9" i="29"/>
  <c r="LZ29" i="29" s="1"/>
  <c r="CF9" i="29"/>
  <c r="CF29" i="29" s="1"/>
  <c r="DZ9" i="29"/>
  <c r="DZ29" i="29" s="1"/>
  <c r="CQ9" i="29"/>
  <c r="CQ29" i="29" s="1"/>
  <c r="IL9" i="29"/>
  <c r="IL29" i="29" s="1"/>
  <c r="EH9" i="29"/>
  <c r="EH29" i="29" s="1"/>
  <c r="MB9" i="29"/>
  <c r="MB29" i="29" s="1"/>
  <c r="BP9" i="29"/>
  <c r="JE9" i="29"/>
  <c r="JE29" i="29" s="1"/>
  <c r="FY9" i="29"/>
  <c r="FY29" i="29" s="1"/>
  <c r="DQ9" i="29"/>
  <c r="DQ29" i="29" s="1"/>
  <c r="EU9" i="29"/>
  <c r="EU29" i="29" s="1"/>
  <c r="CI9" i="29"/>
  <c r="CI29" i="29" s="1"/>
  <c r="GK9" i="29"/>
  <c r="GK29" i="29" s="1"/>
  <c r="JT9" i="29"/>
  <c r="JT29" i="29" s="1"/>
  <c r="IS9" i="29"/>
  <c r="IS29" i="29" s="1"/>
  <c r="CC9" i="29"/>
  <c r="CC29" i="29" s="1"/>
  <c r="LH9" i="29"/>
  <c r="LH29" i="29" s="1"/>
  <c r="HA9" i="29"/>
  <c r="HA29" i="29" s="1"/>
  <c r="CT9" i="29"/>
  <c r="CT29" i="29" s="1"/>
  <c r="DF9" i="29"/>
  <c r="DF29" i="29" s="1"/>
  <c r="IH9" i="29"/>
  <c r="IH29" i="29" s="1"/>
  <c r="DY9" i="29"/>
  <c r="DY29" i="29" s="1"/>
  <c r="NB9" i="29"/>
  <c r="NB29" i="29" s="1"/>
  <c r="KH9" i="29"/>
  <c r="KH29" i="29" s="1"/>
  <c r="NM9" i="29"/>
  <c r="NM29" i="29" s="1"/>
  <c r="NN9" i="29"/>
  <c r="NN29" i="29" s="1"/>
  <c r="HD9" i="29"/>
  <c r="HD29" i="29" s="1"/>
  <c r="LA9" i="29"/>
  <c r="LA29" i="29" s="1"/>
  <c r="KF9" i="29"/>
  <c r="KF29" i="29" s="1"/>
  <c r="ID9" i="29"/>
  <c r="ID29" i="29" s="1"/>
  <c r="DW9" i="29"/>
  <c r="DW29" i="29" s="1"/>
  <c r="KV9" i="29"/>
  <c r="KV29" i="29" s="1"/>
  <c r="KS9" i="29"/>
  <c r="KS29" i="29" s="1"/>
  <c r="EP9" i="29"/>
  <c r="EP29" i="29" s="1"/>
  <c r="GC9" i="29"/>
  <c r="GC29" i="29" s="1"/>
  <c r="IB9" i="29"/>
  <c r="IB29" i="29" s="1"/>
  <c r="IT9" i="29"/>
  <c r="IT29" i="29" s="1"/>
  <c r="CX9" i="29"/>
  <c r="CX29" i="29" s="1"/>
  <c r="DV9" i="29"/>
  <c r="DV29" i="29" s="1"/>
  <c r="CK9" i="29"/>
  <c r="CK29" i="29" s="1"/>
  <c r="GR9" i="29"/>
  <c r="GR29" i="29" s="1"/>
  <c r="GW9" i="29"/>
  <c r="GW29" i="29" s="1"/>
  <c r="NR9" i="29"/>
  <c r="NR29" i="29" s="1"/>
  <c r="GP9" i="29"/>
  <c r="GP29" i="29" s="1"/>
  <c r="NE9" i="29"/>
  <c r="NE29" i="29" s="1"/>
  <c r="JY9" i="29"/>
  <c r="JY29" i="29" s="1"/>
  <c r="HL9" i="29"/>
  <c r="HL29" i="29" s="1"/>
  <c r="AO9" i="29"/>
  <c r="AO29" i="29" s="1"/>
  <c r="HM9" i="29"/>
  <c r="HM29" i="29" s="1"/>
  <c r="FH9" i="29"/>
  <c r="FH29" i="29" s="1"/>
  <c r="IK9" i="29"/>
  <c r="IK29" i="29" s="1"/>
  <c r="AS9" i="29"/>
  <c r="AS29" i="29" s="1"/>
  <c r="BT9" i="29"/>
  <c r="BT29" i="29" s="1"/>
  <c r="KQ9" i="29"/>
  <c r="KQ29" i="29" s="1"/>
  <c r="FB9" i="29"/>
  <c r="FB29" i="29" s="1"/>
  <c r="DE9" i="29"/>
  <c r="DE29" i="29" s="1"/>
  <c r="EO9" i="29"/>
  <c r="EO29" i="29" s="1"/>
  <c r="KG9" i="29"/>
  <c r="KG29" i="29" s="1"/>
  <c r="KA9" i="29"/>
  <c r="KA29" i="29" s="1"/>
  <c r="GF9" i="29"/>
  <c r="GF29" i="29" s="1"/>
  <c r="GQ9" i="29"/>
  <c r="GQ29" i="29" s="1"/>
  <c r="LE9" i="29"/>
  <c r="LE29" i="29" s="1"/>
  <c r="LO9" i="29"/>
  <c r="LO29" i="29" s="1"/>
  <c r="DB9" i="29"/>
  <c r="DB29" i="29" s="1"/>
  <c r="AR9" i="29"/>
  <c r="CN9" i="29"/>
  <c r="CN29" i="29" s="1"/>
  <c r="LB9" i="29"/>
  <c r="LB29" i="29" s="1"/>
  <c r="LN9" i="29"/>
  <c r="LN29" i="29" s="1"/>
  <c r="HB9" i="29"/>
  <c r="HB29" i="29" s="1"/>
  <c r="KZ9" i="29"/>
  <c r="KZ29" i="29" s="1"/>
  <c r="BH9" i="29"/>
  <c r="BH29" i="29" s="1"/>
  <c r="KK9" i="29"/>
  <c r="KK29" i="29" s="1"/>
  <c r="KB9" i="29"/>
  <c r="KB29" i="29" s="1"/>
  <c r="FK9" i="29"/>
  <c r="FK29" i="29" s="1"/>
  <c r="EF9" i="29"/>
  <c r="EF29" i="29" s="1"/>
  <c r="HH9" i="29"/>
  <c r="HH29" i="29" s="1"/>
  <c r="HU9" i="29"/>
  <c r="HU29" i="29" s="1"/>
  <c r="EL9" i="29"/>
  <c r="EL29" i="29" s="1"/>
  <c r="AK9" i="29"/>
  <c r="AK29" i="29" s="1"/>
  <c r="LP9" i="29"/>
  <c r="LP29" i="29" s="1"/>
  <c r="DR9" i="29"/>
  <c r="DR29" i="29" s="1"/>
  <c r="FR9" i="29"/>
  <c r="DM9" i="29"/>
  <c r="DM29" i="29" s="1"/>
  <c r="MK9" i="29"/>
  <c r="IG9" i="29"/>
  <c r="IG29" i="29" s="1"/>
  <c r="HJ9" i="29"/>
  <c r="HJ29" i="29" s="1"/>
  <c r="BV9" i="29"/>
  <c r="BV29" i="29" s="1"/>
  <c r="FE9" i="29"/>
  <c r="FE29" i="29" s="1"/>
  <c r="GT9" i="29"/>
  <c r="GT29" i="29" s="1"/>
  <c r="HN9" i="29"/>
  <c r="HN29" i="29" s="1"/>
  <c r="HT9" i="29"/>
  <c r="HT29" i="29" s="1"/>
  <c r="MR9" i="29"/>
  <c r="MR29" i="29" s="1"/>
  <c r="FF9" i="29"/>
  <c r="FF29" i="29" s="1"/>
  <c r="BR9" i="29"/>
  <c r="BR29" i="29" s="1"/>
  <c r="LW9" i="29"/>
  <c r="LW29" i="29" s="1"/>
  <c r="JZ9" i="29"/>
  <c r="JZ29" i="29" s="1"/>
  <c r="DL9" i="29"/>
  <c r="DL29" i="29" s="1"/>
  <c r="IR9" i="29"/>
  <c r="GX9" i="29"/>
  <c r="GX29" i="29" s="1"/>
  <c r="HX9" i="29"/>
  <c r="HX29" i="29" s="1"/>
  <c r="KT9" i="29"/>
  <c r="KT29" i="29" s="1"/>
  <c r="GQ8" i="29"/>
  <c r="GQ30" i="29" s="1"/>
  <c r="HF9" i="29"/>
  <c r="HF29" i="29" s="1"/>
  <c r="MJ9" i="29"/>
  <c r="MJ29" i="29" s="1"/>
  <c r="CV9" i="29"/>
  <c r="CV29" i="29" s="1"/>
  <c r="NT9" i="29"/>
  <c r="NT29" i="29" s="1"/>
  <c r="FC9" i="29"/>
  <c r="FC29" i="29" s="1"/>
  <c r="KN9" i="29"/>
  <c r="KN29" i="29" s="1"/>
  <c r="GG9" i="29"/>
  <c r="GG29" i="29" s="1"/>
  <c r="ML9" i="29"/>
  <c r="ML29" i="29" s="1"/>
  <c r="CL9" i="29"/>
  <c r="CL29" i="29" s="1"/>
  <c r="FA9" i="29"/>
  <c r="FA29" i="29" s="1"/>
  <c r="HQ9" i="29"/>
  <c r="HQ29" i="29" s="1"/>
  <c r="NU9" i="29"/>
  <c r="NU29" i="29" s="1"/>
  <c r="NQ9" i="29"/>
  <c r="NQ29" i="29" s="1"/>
  <c r="ER9" i="29"/>
  <c r="LT9" i="29"/>
  <c r="LQ9" i="29"/>
  <c r="LQ29" i="29" s="1"/>
  <c r="MC9" i="29"/>
  <c r="MC29" i="29" s="1"/>
  <c r="BL9" i="29"/>
  <c r="BL29" i="29" s="1"/>
  <c r="MS9" i="29"/>
  <c r="MS29" i="29" s="1"/>
  <c r="MP8" i="29"/>
  <c r="MP30" i="29" s="1"/>
  <c r="BQ9" i="29"/>
  <c r="BQ29" i="29" s="1"/>
  <c r="EE9" i="29"/>
  <c r="EE29" i="29" s="1"/>
  <c r="KJ9" i="29"/>
  <c r="KJ29" i="29" s="1"/>
  <c r="LG9" i="29"/>
  <c r="LG29" i="29" s="1"/>
  <c r="MF9" i="29"/>
  <c r="MF29" i="29" s="1"/>
  <c r="EJ9" i="29"/>
  <c r="EJ29" i="29" s="1"/>
  <c r="NF9" i="29"/>
  <c r="NF29" i="29" s="1"/>
  <c r="AJ9" i="29"/>
  <c r="LX9" i="29"/>
  <c r="LX29" i="29" s="1"/>
  <c r="HW9" i="29"/>
  <c r="HW29" i="29" s="1"/>
  <c r="NK9" i="29"/>
  <c r="NK29" i="29" s="1"/>
  <c r="MG9" i="29"/>
  <c r="MG29" i="29" s="1"/>
  <c r="JB9" i="29"/>
  <c r="JB29" i="29" s="1"/>
  <c r="CR9" i="29"/>
  <c r="CR29" i="29" s="1"/>
  <c r="JS9" i="29"/>
  <c r="JS29" i="29" s="1"/>
  <c r="EB9" i="29"/>
  <c r="EB29" i="29" s="1"/>
  <c r="JX9" i="29"/>
  <c r="JX29" i="29" s="1"/>
  <c r="DO9" i="29"/>
  <c r="DO29" i="29" s="1"/>
  <c r="GL9" i="29"/>
  <c r="GL29" i="29" s="1"/>
  <c r="ES9" i="29"/>
  <c r="ES29" i="29" s="1"/>
  <c r="LM9" i="29"/>
  <c r="LM29" i="29" s="1"/>
  <c r="ET9" i="29"/>
  <c r="ET29" i="29" s="1"/>
  <c r="HI9" i="29"/>
  <c r="HI29" i="29" s="1"/>
  <c r="DJ9" i="29"/>
  <c r="DJ29" i="29" s="1"/>
  <c r="AX9" i="29"/>
  <c r="AX29" i="29" s="1"/>
  <c r="MT9" i="29"/>
  <c r="MT29" i="29" s="1"/>
  <c r="BF9" i="29"/>
  <c r="BF29" i="29" s="1"/>
  <c r="BC9" i="29"/>
  <c r="BC29" i="29" s="1"/>
  <c r="CY9" i="29"/>
  <c r="CY29" i="29" s="1"/>
  <c r="EN9" i="29"/>
  <c r="EN29" i="29" s="1"/>
  <c r="BY9" i="29"/>
  <c r="BY29" i="29" s="1"/>
  <c r="FN9" i="29"/>
  <c r="FN29" i="29" s="1"/>
  <c r="JL9" i="29"/>
  <c r="JL29" i="29" s="1"/>
  <c r="AZ9" i="29"/>
  <c r="AZ29" i="29" s="1"/>
  <c r="IZ9" i="29"/>
  <c r="IZ29" i="29" s="1"/>
  <c r="EX9" i="29"/>
  <c r="EX29" i="29" s="1"/>
  <c r="CP9" i="29"/>
  <c r="CP29" i="29" s="1"/>
  <c r="HY9" i="29"/>
  <c r="HY29" i="29" s="1"/>
  <c r="JN9" i="29"/>
  <c r="JN29" i="29" s="1"/>
  <c r="LI9" i="29"/>
  <c r="LI29" i="29" s="1"/>
  <c r="MW9" i="29"/>
  <c r="MW29" i="29" s="1"/>
  <c r="NA9" i="29"/>
  <c r="NA29" i="29" s="1"/>
  <c r="DA9" i="29"/>
  <c r="DA29" i="29" s="1"/>
  <c r="FI9" i="29"/>
  <c r="FI29" i="29" s="1"/>
  <c r="AZ8" i="29"/>
  <c r="AZ30" i="29" s="1"/>
  <c r="DN9" i="29"/>
  <c r="DN29" i="29" s="1"/>
  <c r="GD9" i="29"/>
  <c r="GD29" i="29" s="1"/>
  <c r="LE8" i="29"/>
  <c r="LE7" i="29" s="1"/>
  <c r="JR9" i="29"/>
  <c r="JR29" i="29" s="1"/>
  <c r="MU9" i="29"/>
  <c r="MU29" i="29" s="1"/>
  <c r="LL9" i="29"/>
  <c r="LL29" i="29" s="1"/>
  <c r="CA9" i="29"/>
  <c r="CA29" i="29" s="1"/>
  <c r="FL9" i="29"/>
  <c r="FL29" i="29" s="1"/>
  <c r="HG9" i="29"/>
  <c r="HG29" i="29" s="1"/>
  <c r="BE9" i="29"/>
  <c r="BE29" i="29" s="1"/>
  <c r="IN9" i="29"/>
  <c r="IN29" i="29" s="1"/>
  <c r="HO9" i="29"/>
  <c r="HO29" i="29" s="1"/>
  <c r="IP9" i="29"/>
  <c r="IP29" i="29" s="1"/>
  <c r="EC9" i="29"/>
  <c r="EC29" i="29" s="1"/>
  <c r="KY9" i="29"/>
  <c r="KY29" i="29" s="1"/>
  <c r="BM9" i="29"/>
  <c r="BM29" i="29" s="1"/>
  <c r="AT9" i="29"/>
  <c r="AT29" i="29" s="1"/>
  <c r="IW9" i="29"/>
  <c r="IW29" i="29" s="1"/>
  <c r="NC9" i="29"/>
  <c r="NC29" i="29" s="1"/>
  <c r="GO9" i="29"/>
  <c r="GO29" i="29" s="1"/>
  <c r="JK9" i="29"/>
  <c r="JK29" i="29" s="1"/>
  <c r="MO9" i="29"/>
  <c r="MO29" i="29" s="1"/>
  <c r="HV9" i="29"/>
  <c r="HV29" i="29" s="1"/>
  <c r="IE9" i="29"/>
  <c r="IE29" i="29" s="1"/>
  <c r="LV9" i="29"/>
  <c r="LV29" i="29" s="1"/>
  <c r="JA9" i="29"/>
  <c r="IX9" i="29"/>
  <c r="IX29" i="29" s="1"/>
  <c r="GA9" i="29"/>
  <c r="GA29" i="29" s="1"/>
  <c r="BQ8" i="29"/>
  <c r="BQ7" i="29" s="1"/>
  <c r="CO9" i="29"/>
  <c r="MD9" i="29"/>
  <c r="MD29" i="29" s="1"/>
  <c r="ME9" i="29"/>
  <c r="ME29" i="29" s="1"/>
  <c r="CW9" i="29"/>
  <c r="CW29" i="29" s="1"/>
  <c r="JJ9" i="29"/>
  <c r="JJ29" i="29" s="1"/>
  <c r="MX9" i="29"/>
  <c r="MX29" i="29" s="1"/>
  <c r="EG9" i="29"/>
  <c r="EG29" i="29" s="1"/>
  <c r="JM9" i="29"/>
  <c r="JM29" i="29" s="1"/>
  <c r="GN9" i="29"/>
  <c r="HR9" i="29"/>
  <c r="HR29" i="29" s="1"/>
  <c r="DD9" i="29"/>
  <c r="DD29" i="29" s="1"/>
  <c r="BS9" i="29"/>
  <c r="BS29" i="29" s="1"/>
  <c r="KI9" i="29"/>
  <c r="KI29" i="29" s="1"/>
  <c r="MZ9" i="29"/>
  <c r="MZ29" i="29" s="1"/>
  <c r="GH9" i="29"/>
  <c r="GH29" i="29" s="1"/>
  <c r="AM9" i="29"/>
  <c r="AM29" i="29" s="1"/>
  <c r="ED9" i="29"/>
  <c r="ED29" i="29" s="1"/>
  <c r="KL9" i="29"/>
  <c r="KL29" i="29" s="1"/>
  <c r="IC9" i="29"/>
  <c r="BN8" i="29"/>
  <c r="BN7" i="29" s="1"/>
  <c r="HE9" i="29"/>
  <c r="CH9" i="29"/>
  <c r="CH29" i="29" s="1"/>
  <c r="MP9" i="29"/>
  <c r="MP29" i="29" s="1"/>
  <c r="MV9" i="29"/>
  <c r="MV29" i="29" s="1"/>
  <c r="GY9" i="29"/>
  <c r="GY29" i="29" s="1"/>
  <c r="IO9" i="29"/>
  <c r="IO29" i="29" s="1"/>
  <c r="LF9" i="29"/>
  <c r="LF29" i="29" s="1"/>
  <c r="JD9" i="29"/>
  <c r="JD29" i="29" s="1"/>
  <c r="JH9" i="29"/>
  <c r="GI9" i="29"/>
  <c r="GI29" i="29" s="1"/>
  <c r="IJ9" i="29"/>
  <c r="FM9" i="29"/>
  <c r="FM29" i="29" s="1"/>
  <c r="CZ9" i="29"/>
  <c r="CZ29" i="29" s="1"/>
  <c r="KO9" i="29"/>
  <c r="KO29" i="29" s="1"/>
  <c r="GB9" i="29"/>
  <c r="GB29" i="29" s="1"/>
  <c r="LU9" i="29"/>
  <c r="LU29" i="29" s="1"/>
  <c r="IM9" i="29"/>
  <c r="IM29" i="29" s="1"/>
  <c r="BX9" i="29"/>
  <c r="BX29" i="29" s="1"/>
  <c r="JU9" i="29"/>
  <c r="JU29" i="29" s="1"/>
  <c r="FQ9" i="29"/>
  <c r="FQ29" i="29" s="1"/>
  <c r="KD9" i="29"/>
  <c r="KD29" i="29" s="1"/>
  <c r="FV9" i="29"/>
  <c r="FV29" i="29" s="1"/>
  <c r="FP9" i="29"/>
  <c r="FP29" i="29" s="1"/>
  <c r="DG9" i="29"/>
  <c r="DG29" i="29" s="1"/>
  <c r="JQ9" i="29"/>
  <c r="JQ29" i="29" s="1"/>
  <c r="NV9" i="29"/>
  <c r="NV29" i="29" s="1"/>
  <c r="JC9" i="29"/>
  <c r="JC29" i="29" s="1"/>
  <c r="BD9" i="29"/>
  <c r="BD29" i="29" s="1"/>
  <c r="LY9" i="29"/>
  <c r="LY29" i="29" s="1"/>
  <c r="DI9" i="29"/>
  <c r="DI29" i="29" s="1"/>
  <c r="BK9" i="29"/>
  <c r="BK29" i="29" s="1"/>
  <c r="NH9" i="29"/>
  <c r="NH29" i="29" s="1"/>
  <c r="BJ9" i="29"/>
  <c r="BJ29" i="29" s="1"/>
  <c r="BA9" i="29"/>
  <c r="BA29" i="29" s="1"/>
  <c r="G9" i="29"/>
  <c r="G29" i="29" s="1"/>
  <c r="FQ8" i="29"/>
  <c r="FQ7" i="29" s="1"/>
  <c r="KS8" i="29"/>
  <c r="KS30" i="29" s="1"/>
  <c r="KS33" i="29" s="1"/>
  <c r="IM8" i="29"/>
  <c r="IM30" i="29" s="1"/>
  <c r="LQ8" i="29"/>
  <c r="LQ30" i="29" s="1"/>
  <c r="MK8" i="29"/>
  <c r="MK7" i="29" s="1"/>
  <c r="AL9" i="29"/>
  <c r="AL29" i="29" s="1"/>
  <c r="IP8" i="29"/>
  <c r="L9" i="29"/>
  <c r="L29" i="29" s="1"/>
  <c r="LW8" i="29"/>
  <c r="LW30" i="29" s="1"/>
  <c r="EX8" i="29"/>
  <c r="EX30" i="29" s="1"/>
  <c r="BS8" i="29"/>
  <c r="HQ8" i="29"/>
  <c r="J9" i="29"/>
  <c r="J29" i="29" s="1"/>
  <c r="F9" i="29"/>
  <c r="F29" i="29" s="1"/>
  <c r="LU8" i="29"/>
  <c r="LU7" i="29" s="1"/>
  <c r="HT8" i="29"/>
  <c r="LA8" i="29"/>
  <c r="LA30" i="29" s="1"/>
  <c r="JS8" i="29"/>
  <c r="JS7" i="29" s="1"/>
  <c r="JI8" i="29"/>
  <c r="HN8" i="29"/>
  <c r="HN30" i="29" s="1"/>
  <c r="HN33" i="29" s="1"/>
  <c r="KT8" i="29"/>
  <c r="CZ8" i="29"/>
  <c r="IC8" i="29"/>
  <c r="NM8" i="29"/>
  <c r="LR8" i="29"/>
  <c r="LR30" i="29" s="1"/>
  <c r="LX8" i="29"/>
  <c r="LX30" i="29" s="1"/>
  <c r="IV8" i="29"/>
  <c r="DP8" i="29"/>
  <c r="DP7" i="29" s="1"/>
  <c r="BP29" i="29"/>
  <c r="Q10" i="27"/>
  <c r="L8" i="29"/>
  <c r="IG8" i="29"/>
  <c r="F8" i="29"/>
  <c r="MU8" i="29"/>
  <c r="MU7" i="29" s="1"/>
  <c r="IT8" i="29"/>
  <c r="LP8" i="29"/>
  <c r="FC8" i="29"/>
  <c r="LF8" i="29"/>
  <c r="AN8" i="29"/>
  <c r="AN30" i="29" s="1"/>
  <c r="JE8" i="29"/>
  <c r="CK8" i="29"/>
  <c r="GI8" i="29"/>
  <c r="GI30" i="29" s="1"/>
  <c r="AU8" i="29"/>
  <c r="FK8" i="29"/>
  <c r="FK30" i="29" s="1"/>
  <c r="FK33" i="29" s="1"/>
  <c r="FV8" i="29"/>
  <c r="FV30" i="29" s="1"/>
  <c r="FB8" i="29"/>
  <c r="FB30" i="29" s="1"/>
  <c r="JM8" i="29"/>
  <c r="JM7" i="29" s="1"/>
  <c r="DY8" i="29"/>
  <c r="DY7" i="29" s="1"/>
  <c r="KH8" i="29"/>
  <c r="EL8" i="29"/>
  <c r="EL30" i="29" s="1"/>
  <c r="GB8" i="29"/>
  <c r="BM8" i="29"/>
  <c r="BM30" i="29" s="1"/>
  <c r="NK8" i="29"/>
  <c r="FP8" i="29"/>
  <c r="FP30" i="29" s="1"/>
  <c r="GD8" i="29"/>
  <c r="BC8" i="29"/>
  <c r="BC30" i="29" s="1"/>
  <c r="IE8" i="29"/>
  <c r="GP8" i="29"/>
  <c r="BX8" i="29"/>
  <c r="BX30" i="29" s="1"/>
  <c r="KN8" i="29"/>
  <c r="KP8" i="29"/>
  <c r="KP30" i="29" s="1"/>
  <c r="MS8" i="29"/>
  <c r="HJ8" i="29"/>
  <c r="HJ30" i="29" s="1"/>
  <c r="HJ33" i="29" s="1"/>
  <c r="KJ8" i="29"/>
  <c r="CW8" i="29"/>
  <c r="CW30" i="29" s="1"/>
  <c r="NI8" i="29"/>
  <c r="NI30" i="29" s="1"/>
  <c r="LT8" i="29"/>
  <c r="KF8" i="29"/>
  <c r="AK8" i="29"/>
  <c r="AK30" i="29" s="1"/>
  <c r="IN8" i="29"/>
  <c r="GO8" i="29"/>
  <c r="NT8" i="29"/>
  <c r="GS8" i="29"/>
  <c r="GS30" i="29" s="1"/>
  <c r="Q11" i="27"/>
  <c r="NH8" i="29"/>
  <c r="NH30" i="29" s="1"/>
  <c r="KZ8" i="29"/>
  <c r="KZ30" i="29" s="1"/>
  <c r="ND8" i="29"/>
  <c r="ND7" i="29" s="1"/>
  <c r="MB8" i="29"/>
  <c r="HA8" i="29"/>
  <c r="LL8" i="29"/>
  <c r="FS8" i="29"/>
  <c r="CC8" i="29"/>
  <c r="CC30" i="29" s="1"/>
  <c r="FE8" i="29"/>
  <c r="CO8" i="29"/>
  <c r="BT8" i="29"/>
  <c r="FR8" i="29"/>
  <c r="FR7" i="29" s="1"/>
  <c r="AL8" i="29"/>
  <c r="BV8" i="29"/>
  <c r="BV7" i="29" s="1"/>
  <c r="GT8" i="29"/>
  <c r="GT7" i="29" s="1"/>
  <c r="EK8" i="29"/>
  <c r="EK30" i="29" s="1"/>
  <c r="HZ8" i="29"/>
  <c r="HZ30" i="29" s="1"/>
  <c r="HZ33" i="29" s="1"/>
  <c r="EJ8" i="29"/>
  <c r="IR8" i="29"/>
  <c r="IR7" i="29" s="1"/>
  <c r="HI8" i="29"/>
  <c r="FH8" i="29"/>
  <c r="FH7" i="29" s="1"/>
  <c r="JP8" i="29"/>
  <c r="CI8" i="29"/>
  <c r="EC8" i="29"/>
  <c r="LV8" i="29"/>
  <c r="LV30" i="29" s="1"/>
  <c r="MH8" i="29"/>
  <c r="MH30" i="29" s="1"/>
  <c r="IS8" i="29"/>
  <c r="IS30" i="29" s="1"/>
  <c r="NP8" i="29"/>
  <c r="GX8" i="29"/>
  <c r="GX7" i="29" s="1"/>
  <c r="ES8" i="29"/>
  <c r="ES7" i="29" s="1"/>
  <c r="JV8" i="29"/>
  <c r="JV7" i="29" s="1"/>
  <c r="EM8" i="29"/>
  <c r="J8" i="29"/>
  <c r="J7" i="29" s="1"/>
  <c r="BL8" i="29"/>
  <c r="FN8" i="29"/>
  <c r="FN30" i="29" s="1"/>
  <c r="JF8" i="29"/>
  <c r="JF30" i="29" s="1"/>
  <c r="BK8" i="29"/>
  <c r="IU8" i="29"/>
  <c r="IU7" i="29" s="1"/>
  <c r="AO8" i="29"/>
  <c r="AO7" i="29" s="1"/>
  <c r="ER8" i="29"/>
  <c r="ER30" i="29" s="1"/>
  <c r="HP8" i="29"/>
  <c r="HP30" i="29" s="1"/>
  <c r="FL8" i="29"/>
  <c r="DI8" i="29"/>
  <c r="NQ8" i="29"/>
  <c r="NQ7" i="29" s="1"/>
  <c r="MF8" i="29"/>
  <c r="MF7" i="29" s="1"/>
  <c r="AM8" i="29"/>
  <c r="BJ8" i="29"/>
  <c r="BJ7" i="29" s="1"/>
  <c r="JX8" i="29"/>
  <c r="EV8" i="29"/>
  <c r="NS8" i="29"/>
  <c r="CH8" i="29"/>
  <c r="CH30" i="29" s="1"/>
  <c r="CH33" i="29" s="1"/>
  <c r="FD8" i="29"/>
  <c r="FD30" i="29" s="1"/>
  <c r="BD8" i="29"/>
  <c r="BD30" i="29" s="1"/>
  <c r="ID8" i="29"/>
  <c r="ID7" i="29" s="1"/>
  <c r="DM8" i="29"/>
  <c r="GY8" i="29"/>
  <c r="GY30" i="29" s="1"/>
  <c r="GW8" i="29"/>
  <c r="FF8" i="29"/>
  <c r="NE8" i="29"/>
  <c r="NE30" i="29" s="1"/>
  <c r="EB8" i="29"/>
  <c r="EB30" i="29" s="1"/>
  <c r="DV8" i="29"/>
  <c r="DV7" i="29" s="1"/>
  <c r="EN8" i="29"/>
  <c r="EN7" i="29" s="1"/>
  <c r="CA8" i="29"/>
  <c r="CA7" i="29" s="1"/>
  <c r="HL8" i="29"/>
  <c r="HL7" i="29" s="1"/>
  <c r="DJ8" i="29"/>
  <c r="DJ7" i="29" s="1"/>
  <c r="IH8" i="29"/>
  <c r="KX8" i="29"/>
  <c r="KX30" i="29" s="1"/>
  <c r="ML8" i="29"/>
  <c r="ML7" i="29" s="1"/>
  <c r="MM8" i="29"/>
  <c r="NN8" i="29"/>
  <c r="NN7" i="29" s="1"/>
  <c r="GZ8" i="29"/>
  <c r="KR8" i="29"/>
  <c r="KR7" i="29" s="1"/>
  <c r="DU8" i="29"/>
  <c r="DU7" i="29" s="1"/>
  <c r="IK8" i="29"/>
  <c r="GC8" i="29"/>
  <c r="GC30" i="29" s="1"/>
  <c r="GC33" i="29" s="1"/>
  <c r="EE8" i="29"/>
  <c r="EE30" i="29" s="1"/>
  <c r="CJ8" i="29"/>
  <c r="AJ8" i="29"/>
  <c r="AJ7" i="29" s="1"/>
  <c r="FA8" i="29"/>
  <c r="KY8" i="29"/>
  <c r="MD8" i="29"/>
  <c r="MD30" i="29" s="1"/>
  <c r="MZ8" i="29"/>
  <c r="MZ7" i="29" s="1"/>
  <c r="MO8" i="29"/>
  <c r="MO30" i="29" s="1"/>
  <c r="NV8" i="29"/>
  <c r="AW8" i="29"/>
  <c r="AW30" i="29" s="1"/>
  <c r="AW33" i="29" s="1"/>
  <c r="CD8" i="29"/>
  <c r="CD7" i="29" s="1"/>
  <c r="DW8" i="29"/>
  <c r="DW30" i="29" s="1"/>
  <c r="AS8" i="29"/>
  <c r="AS30" i="29" s="1"/>
  <c r="LN8" i="29"/>
  <c r="LN30" i="29" s="1"/>
  <c r="BH8" i="29"/>
  <c r="IB8" i="29"/>
  <c r="FX8" i="29"/>
  <c r="FX7" i="29" s="1"/>
  <c r="HX8" i="29"/>
  <c r="HX30" i="29" s="1"/>
  <c r="HU8" i="29"/>
  <c r="HU7" i="29" s="1"/>
  <c r="KB8" i="29"/>
  <c r="KB30" i="29" s="1"/>
  <c r="BB8" i="29"/>
  <c r="BB30" i="29" s="1"/>
  <c r="JN8" i="29"/>
  <c r="JN7" i="29" s="1"/>
  <c r="LG8" i="29"/>
  <c r="LG30" i="29" s="1"/>
  <c r="MT8" i="29"/>
  <c r="MT7" i="29" s="1"/>
  <c r="IO8" i="29"/>
  <c r="IO30" i="29" s="1"/>
  <c r="IO33" i="29" s="1"/>
  <c r="AP8" i="29"/>
  <c r="BZ8" i="29"/>
  <c r="BZ30" i="29" s="1"/>
  <c r="LM8" i="29"/>
  <c r="LM30" i="29" s="1"/>
  <c r="DE8" i="29"/>
  <c r="DE30" i="29" s="1"/>
  <c r="CB8" i="29"/>
  <c r="CB30" i="29" s="1"/>
  <c r="CG8" i="29"/>
  <c r="CG7" i="29" s="1"/>
  <c r="FT8" i="29"/>
  <c r="FT7" i="29" s="1"/>
  <c r="MP7" i="29"/>
  <c r="HO8" i="29"/>
  <c r="HO7" i="29" s="1"/>
  <c r="BY8" i="29"/>
  <c r="BY30" i="29" s="1"/>
  <c r="DL8" i="29"/>
  <c r="DL7" i="29" s="1"/>
  <c r="GJ8" i="29"/>
  <c r="GJ7" i="29" s="1"/>
  <c r="HE8" i="29"/>
  <c r="HE30" i="29" s="1"/>
  <c r="HG8" i="29"/>
  <c r="HG30" i="29" s="1"/>
  <c r="HG33" i="29" s="1"/>
  <c r="EW8" i="29"/>
  <c r="BE8" i="29"/>
  <c r="BE7" i="29" s="1"/>
  <c r="DG8" i="29"/>
  <c r="NA8" i="29"/>
  <c r="NA30" i="29" s="1"/>
  <c r="NA33" i="29" s="1"/>
  <c r="GH8" i="29"/>
  <c r="GH30" i="29" s="1"/>
  <c r="LI8" i="29"/>
  <c r="LI7" i="29" s="1"/>
  <c r="FY8" i="29"/>
  <c r="FY7" i="29" s="1"/>
  <c r="CN8" i="29"/>
  <c r="CN30" i="29" s="1"/>
  <c r="NB8" i="29"/>
  <c r="MN8" i="29"/>
  <c r="MN30" i="29" s="1"/>
  <c r="AX8" i="29"/>
  <c r="AX30" i="29" s="1"/>
  <c r="MJ8" i="29"/>
  <c r="MJ30" i="29" s="1"/>
  <c r="EZ8" i="29"/>
  <c r="LB8" i="29"/>
  <c r="LB30" i="29" s="1"/>
  <c r="LB33" i="29" s="1"/>
  <c r="JC8" i="29"/>
  <c r="JC7" i="29" s="1"/>
  <c r="CR8" i="29"/>
  <c r="CR30" i="29" s="1"/>
  <c r="DR8" i="29"/>
  <c r="DR30" i="29" s="1"/>
  <c r="FZ8" i="29"/>
  <c r="NL8" i="29"/>
  <c r="BP8" i="29"/>
  <c r="LH8" i="29"/>
  <c r="LH30" i="29" s="1"/>
  <c r="LH33" i="29" s="1"/>
  <c r="DX8" i="29"/>
  <c r="DX7" i="29" s="1"/>
  <c r="GV8" i="29"/>
  <c r="GV7" i="29" s="1"/>
  <c r="DO8" i="29"/>
  <c r="DO30" i="29" s="1"/>
  <c r="CQ8" i="29"/>
  <c r="CQ7" i="29" s="1"/>
  <c r="JU8" i="29"/>
  <c r="JU30" i="29" s="1"/>
  <c r="GG8" i="29"/>
  <c r="GG7" i="29" s="1"/>
  <c r="HM8" i="29"/>
  <c r="HM7" i="29" s="1"/>
  <c r="CT8" i="29"/>
  <c r="DD8" i="29"/>
  <c r="DD7" i="29" s="1"/>
  <c r="IJ8" i="29"/>
  <c r="IJ30" i="29" s="1"/>
  <c r="LD8" i="29"/>
  <c r="LD7" i="29" s="1"/>
  <c r="G8" i="29"/>
  <c r="KW8" i="29"/>
  <c r="ET8" i="29"/>
  <c r="ET7" i="29" s="1"/>
  <c r="MR8" i="29"/>
  <c r="MR30" i="29" s="1"/>
  <c r="LZ8" i="29"/>
  <c r="LZ30" i="29" s="1"/>
  <c r="CS8" i="29"/>
  <c r="CS30" i="29" s="1"/>
  <c r="IW8" i="29"/>
  <c r="NF8" i="29"/>
  <c r="NF30" i="29" s="1"/>
  <c r="DH8" i="29"/>
  <c r="DH30" i="29" s="1"/>
  <c r="HR8" i="29"/>
  <c r="MV8" i="29"/>
  <c r="MV7" i="29" s="1"/>
  <c r="CX8" i="29"/>
  <c r="CX7" i="29" s="1"/>
  <c r="DF8" i="29"/>
  <c r="NU8" i="29"/>
  <c r="NU30" i="29" s="1"/>
  <c r="JH8" i="29"/>
  <c r="JH30" i="29" s="1"/>
  <c r="HD8" i="29"/>
  <c r="HD7" i="29" s="1"/>
  <c r="MX8" i="29"/>
  <c r="MX30" i="29" s="1"/>
  <c r="JQ8" i="29"/>
  <c r="JQ30" i="29" s="1"/>
  <c r="GN8" i="29"/>
  <c r="GN7" i="29" s="1"/>
  <c r="KA8" i="29"/>
  <c r="KA7" i="29" s="1"/>
  <c r="NJ8" i="29"/>
  <c r="KV8" i="29"/>
  <c r="KV7" i="29" s="1"/>
  <c r="MW8" i="29"/>
  <c r="MW30" i="29" s="1"/>
  <c r="DT8" i="29"/>
  <c r="FU8" i="29"/>
  <c r="EF8" i="29"/>
  <c r="EF30" i="29" s="1"/>
  <c r="IX8" i="29"/>
  <c r="IX7" i="29" s="1"/>
  <c r="GL8" i="29"/>
  <c r="KI8" i="29"/>
  <c r="KI7" i="29" s="1"/>
  <c r="GK8" i="29"/>
  <c r="GK30" i="29" s="1"/>
  <c r="LY8" i="29"/>
  <c r="LY7" i="29" s="1"/>
  <c r="EU8" i="29"/>
  <c r="EU7" i="29" s="1"/>
  <c r="ME8" i="29"/>
  <c r="ME30" i="29" s="1"/>
  <c r="ME33" i="29" s="1"/>
  <c r="CF8" i="29"/>
  <c r="CF30" i="29" s="1"/>
  <c r="KC8" i="29"/>
  <c r="KC30" i="29" s="1"/>
  <c r="FI8" i="29"/>
  <c r="FI7" i="29" s="1"/>
  <c r="KQ8" i="29"/>
  <c r="KQ7" i="29" s="1"/>
  <c r="BR8" i="29"/>
  <c r="BR30" i="29" s="1"/>
  <c r="BR33" i="29" s="1"/>
  <c r="KO8" i="29"/>
  <c r="KO7" i="29" s="1"/>
  <c r="FJ8" i="29"/>
  <c r="JJ8" i="29"/>
  <c r="JJ30" i="29" s="1"/>
  <c r="DB8" i="29"/>
  <c r="IZ8" i="29"/>
  <c r="EO8" i="29"/>
  <c r="EO7" i="29" s="1"/>
  <c r="DQ8" i="29"/>
  <c r="DQ30" i="29" s="1"/>
  <c r="JD8" i="29"/>
  <c r="JD30" i="29" s="1"/>
  <c r="KK8" i="29"/>
  <c r="KK30" i="29" s="1"/>
  <c r="DN8" i="29"/>
  <c r="GA8" i="29"/>
  <c r="GA30" i="29" s="1"/>
  <c r="CY8" i="29"/>
  <c r="CY7" i="29" s="1"/>
  <c r="JY8" i="29"/>
  <c r="JY7" i="29" s="1"/>
  <c r="NC8" i="29"/>
  <c r="NC30" i="29" s="1"/>
  <c r="LJ8" i="29"/>
  <c r="AR8" i="29"/>
  <c r="AR30" i="29" s="1"/>
  <c r="AR33" i="29" s="1"/>
  <c r="IF8" i="29"/>
  <c r="IF30" i="29" s="1"/>
  <c r="DZ8" i="29"/>
  <c r="DZ30" i="29" s="1"/>
  <c r="DZ33" i="29" s="1"/>
  <c r="LO8" i="29"/>
  <c r="LO7" i="29" s="1"/>
  <c r="FM8" i="29"/>
  <c r="FM7" i="29" s="1"/>
  <c r="ED8" i="29"/>
  <c r="ED30" i="29" s="1"/>
  <c r="GR8" i="29"/>
  <c r="HF8" i="29"/>
  <c r="HF30" i="29" s="1"/>
  <c r="JB8" i="29"/>
  <c r="JB30" i="29" s="1"/>
  <c r="HB8" i="29"/>
  <c r="HB30" i="29" s="1"/>
  <c r="IL8" i="29"/>
  <c r="HW8" i="29"/>
  <c r="HW30" i="29" s="1"/>
  <c r="BA8" i="29"/>
  <c r="BA30" i="29" s="1"/>
  <c r="BI8" i="29"/>
  <c r="BI30" i="29" s="1"/>
  <c r="BI33" i="29" s="1"/>
  <c r="KD8" i="29"/>
  <c r="KD7" i="29" s="1"/>
  <c r="MC8" i="29"/>
  <c r="MC30" i="29" s="1"/>
  <c r="GQ7" i="29"/>
  <c r="JK8" i="29"/>
  <c r="JK30" i="29" s="1"/>
  <c r="JL8" i="29"/>
  <c r="JL30" i="29" s="1"/>
  <c r="JL33" i="29" s="1"/>
  <c r="EP8" i="29"/>
  <c r="EP7" i="29" s="1"/>
  <c r="HY8" i="29"/>
  <c r="HY7" i="29" s="1"/>
  <c r="HV8" i="29"/>
  <c r="HV7" i="29" s="1"/>
  <c r="GF8" i="29"/>
  <c r="JZ8" i="29"/>
  <c r="JZ30" i="29" s="1"/>
  <c r="JZ33" i="29" s="1"/>
  <c r="DA8" i="29"/>
  <c r="DA30" i="29" s="1"/>
  <c r="BU8" i="29"/>
  <c r="BU30" i="29" s="1"/>
  <c r="JR8" i="29"/>
  <c r="JR7" i="29" s="1"/>
  <c r="CP8" i="29"/>
  <c r="CP30" i="29" s="1"/>
  <c r="JA8" i="29"/>
  <c r="AV8" i="29"/>
  <c r="AV7" i="29" s="1"/>
  <c r="EH8" i="29"/>
  <c r="EH30" i="29" s="1"/>
  <c r="NR8" i="29"/>
  <c r="NR7" i="29" s="1"/>
  <c r="AT8" i="29"/>
  <c r="AT30" i="29" s="1"/>
  <c r="AT33" i="29" s="1"/>
  <c r="MG8" i="29"/>
  <c r="MG7" i="29" s="1"/>
  <c r="HH8" i="29"/>
  <c r="HH7" i="29" s="1"/>
  <c r="BF8" i="29"/>
  <c r="BF30" i="29" s="1"/>
  <c r="KG8" i="29"/>
  <c r="KG30" i="29" s="1"/>
  <c r="CV8" i="29"/>
  <c r="KL8" i="29"/>
  <c r="KL7" i="29" s="1"/>
  <c r="JT8" i="29"/>
  <c r="JT30" i="29" s="1"/>
  <c r="EG8" i="29"/>
  <c r="EG7" i="29" s="1"/>
  <c r="CL8" i="29"/>
  <c r="BV30" i="29"/>
  <c r="BT30" i="29"/>
  <c r="BT33" i="29" s="1"/>
  <c r="EN30" i="29"/>
  <c r="ME7" i="29"/>
  <c r="DI24" i="29" l="1"/>
  <c r="MX25" i="29"/>
  <c r="KM32" i="29"/>
  <c r="DO32" i="29"/>
  <c r="BC24" i="29"/>
  <c r="N4" i="29"/>
  <c r="M15" i="29"/>
  <c r="M16" i="29"/>
  <c r="M23" i="29" s="1"/>
  <c r="M34" i="29"/>
  <c r="M32" i="29" s="1"/>
  <c r="M27" i="27"/>
  <c r="J179" i="33"/>
  <c r="K163" i="33"/>
  <c r="L141" i="33"/>
  <c r="L138" i="33"/>
  <c r="L127" i="33"/>
  <c r="L126" i="33"/>
  <c r="J154" i="33"/>
  <c r="J185" i="33"/>
  <c r="J14" i="33"/>
  <c r="JM24" i="29"/>
  <c r="J189" i="33"/>
  <c r="J187" i="33"/>
  <c r="L125" i="33"/>
  <c r="M125" i="33" s="1"/>
  <c r="J121" i="33"/>
  <c r="L190" i="33"/>
  <c r="DF32" i="29"/>
  <c r="J17" i="33"/>
  <c r="L168" i="33"/>
  <c r="J149" i="33"/>
  <c r="K127" i="33"/>
  <c r="J124" i="33"/>
  <c r="K18" i="33"/>
  <c r="L21" i="33"/>
  <c r="K24" i="33"/>
  <c r="K179" i="33"/>
  <c r="L178" i="33"/>
  <c r="L170" i="33"/>
  <c r="J162" i="33"/>
  <c r="J160" i="33"/>
  <c r="J159" i="33"/>
  <c r="K154" i="33"/>
  <c r="L153" i="33"/>
  <c r="L148" i="33"/>
  <c r="K145" i="33"/>
  <c r="L143" i="33"/>
  <c r="L135" i="33"/>
  <c r="J134" i="33"/>
  <c r="K118" i="33"/>
  <c r="K115" i="33"/>
  <c r="J113" i="33"/>
  <c r="K112" i="33"/>
  <c r="J111" i="33"/>
  <c r="J110" i="33"/>
  <c r="K107" i="33"/>
  <c r="L104" i="33"/>
  <c r="L101" i="33"/>
  <c r="J99" i="33"/>
  <c r="K82" i="33"/>
  <c r="L80" i="33"/>
  <c r="J78" i="33"/>
  <c r="M78" i="33" s="1"/>
  <c r="J77" i="33"/>
  <c r="L74" i="33"/>
  <c r="J74" i="33"/>
  <c r="J66" i="33"/>
  <c r="J64" i="33"/>
  <c r="J60" i="33"/>
  <c r="J58" i="33"/>
  <c r="K57" i="33"/>
  <c r="K56" i="33"/>
  <c r="J118" i="33"/>
  <c r="J116" i="33"/>
  <c r="J70" i="33"/>
  <c r="L4" i="33"/>
  <c r="L6" i="33"/>
  <c r="J10" i="33"/>
  <c r="J11" i="33"/>
  <c r="L180" i="33"/>
  <c r="K9" i="33"/>
  <c r="K10" i="33"/>
  <c r="L12" i="33"/>
  <c r="K153" i="33"/>
  <c r="K133" i="33"/>
  <c r="L121" i="33"/>
  <c r="K12" i="33"/>
  <c r="LH24" i="29"/>
  <c r="AZ20" i="27"/>
  <c r="AY20" i="27" s="1"/>
  <c r="EG22" i="29"/>
  <c r="K14" i="29"/>
  <c r="K24" i="29" s="1"/>
  <c r="BO21" i="27"/>
  <c r="BH22" i="27"/>
  <c r="BA20" i="27"/>
  <c r="BH20" i="27"/>
  <c r="AS22" i="27"/>
  <c r="AR22" i="27" s="1"/>
  <c r="BO23" i="27"/>
  <c r="AS21" i="27"/>
  <c r="AR21" i="27" s="1"/>
  <c r="BG22" i="27"/>
  <c r="BF22" i="27" s="1"/>
  <c r="BH21" i="27"/>
  <c r="BO20" i="27"/>
  <c r="BN23" i="27"/>
  <c r="BM23" i="27" s="1"/>
  <c r="BA22" i="27"/>
  <c r="BA23" i="27"/>
  <c r="AZ22" i="27"/>
  <c r="AY22" i="27" s="1"/>
  <c r="AZ21" i="27"/>
  <c r="AY21" i="27" s="1"/>
  <c r="BA21" i="27"/>
  <c r="BN20" i="27"/>
  <c r="BM20" i="27" s="1"/>
  <c r="AS23" i="27"/>
  <c r="AR23" i="27" s="1"/>
  <c r="BG23" i="27"/>
  <c r="BF23" i="27" s="1"/>
  <c r="BN22" i="27"/>
  <c r="BM22" i="27" s="1"/>
  <c r="BN21" i="27"/>
  <c r="BM21" i="27" s="1"/>
  <c r="BG20" i="27"/>
  <c r="BF20" i="27" s="1"/>
  <c r="BO22" i="27"/>
  <c r="AZ23" i="27"/>
  <c r="AY23" i="27" s="1"/>
  <c r="BG21" i="27"/>
  <c r="BF21" i="27" s="1"/>
  <c r="GW24" i="29"/>
  <c r="DV22" i="29"/>
  <c r="DF19" i="29"/>
  <c r="FA19" i="29"/>
  <c r="J54" i="33"/>
  <c r="L49" i="33"/>
  <c r="L45" i="33"/>
  <c r="J39" i="33"/>
  <c r="L37" i="33"/>
  <c r="L191" i="33"/>
  <c r="L112" i="33"/>
  <c r="K111" i="33"/>
  <c r="L109" i="33"/>
  <c r="J107" i="33"/>
  <c r="K104" i="33"/>
  <c r="J94" i="33"/>
  <c r="M94" i="33" s="1"/>
  <c r="L90" i="33"/>
  <c r="J85" i="33"/>
  <c r="J83" i="33"/>
  <c r="J80" i="33"/>
  <c r="J76" i="33"/>
  <c r="J73" i="33"/>
  <c r="L65" i="33"/>
  <c r="J61" i="33"/>
  <c r="L48" i="33"/>
  <c r="J38" i="33"/>
  <c r="L162" i="33"/>
  <c r="HV22" i="29"/>
  <c r="IM19" i="29"/>
  <c r="KG19" i="29"/>
  <c r="L16" i="33"/>
  <c r="J153" i="33"/>
  <c r="L147" i="33"/>
  <c r="J133" i="33"/>
  <c r="J46" i="33"/>
  <c r="K43" i="33"/>
  <c r="L42" i="33"/>
  <c r="L41" i="33"/>
  <c r="L36" i="33"/>
  <c r="L29" i="33"/>
  <c r="L187" i="33"/>
  <c r="L189" i="33"/>
  <c r="K183" i="33"/>
  <c r="L31" i="33"/>
  <c r="J28" i="33"/>
  <c r="K188" i="33"/>
  <c r="L8" i="33"/>
  <c r="K136" i="33"/>
  <c r="L186" i="33"/>
  <c r="J186" i="33"/>
  <c r="K181" i="33"/>
  <c r="L107" i="33"/>
  <c r="L69" i="33"/>
  <c r="L133" i="33"/>
  <c r="L11" i="33"/>
  <c r="J137" i="33"/>
  <c r="L132" i="33"/>
  <c r="K117" i="33"/>
  <c r="J112" i="33"/>
  <c r="L92" i="33"/>
  <c r="L77" i="33"/>
  <c r="J26" i="33"/>
  <c r="L122" i="33"/>
  <c r="L115" i="33"/>
  <c r="K99" i="33"/>
  <c r="J184" i="33"/>
  <c r="L169" i="33"/>
  <c r="L120" i="33"/>
  <c r="J86" i="33"/>
  <c r="J128" i="33"/>
  <c r="K131" i="33"/>
  <c r="K130" i="33"/>
  <c r="L93" i="33"/>
  <c r="J181" i="33"/>
  <c r="J6" i="33"/>
  <c r="K6" i="33"/>
  <c r="J7" i="33"/>
  <c r="L17" i="33"/>
  <c r="J21" i="33"/>
  <c r="K22" i="33"/>
  <c r="L24" i="33"/>
  <c r="K180" i="33"/>
  <c r="L177" i="33"/>
  <c r="J176" i="33"/>
  <c r="J168" i="33"/>
  <c r="J166" i="33"/>
  <c r="L163" i="33"/>
  <c r="K161" i="33"/>
  <c r="L157" i="33"/>
  <c r="L156" i="33"/>
  <c r="L146" i="33"/>
  <c r="J146" i="33"/>
  <c r="K144" i="33"/>
  <c r="J142" i="33"/>
  <c r="J139" i="33"/>
  <c r="K138" i="33"/>
  <c r="K129" i="33"/>
  <c r="J127" i="33"/>
  <c r="J126" i="33"/>
  <c r="K116" i="33"/>
  <c r="L111" i="33"/>
  <c r="K109" i="33"/>
  <c r="J108" i="33"/>
  <c r="L105" i="33"/>
  <c r="L103" i="33"/>
  <c r="K103" i="33"/>
  <c r="L98" i="33"/>
  <c r="J98" i="33"/>
  <c r="M95" i="33"/>
  <c r="J90" i="33"/>
  <c r="L87" i="33"/>
  <c r="K86" i="33"/>
  <c r="L79" i="33"/>
  <c r="J75" i="33"/>
  <c r="K73" i="33"/>
  <c r="L71" i="33"/>
  <c r="J69" i="33"/>
  <c r="K68" i="33"/>
  <c r="L55" i="33"/>
  <c r="K52" i="33"/>
  <c r="L51" i="33"/>
  <c r="K51" i="33"/>
  <c r="J47" i="33"/>
  <c r="L43" i="33"/>
  <c r="J40" i="33"/>
  <c r="J35" i="33"/>
  <c r="K26" i="33"/>
  <c r="J5" i="33"/>
  <c r="K13" i="33"/>
  <c r="K14" i="33"/>
  <c r="L18" i="33"/>
  <c r="K19" i="33"/>
  <c r="L19" i="33"/>
  <c r="L20" i="33"/>
  <c r="J23" i="33"/>
  <c r="L23" i="33"/>
  <c r="J24" i="33"/>
  <c r="L179" i="33"/>
  <c r="K175" i="33"/>
  <c r="L174" i="33"/>
  <c r="L173" i="33"/>
  <c r="L171" i="33"/>
  <c r="K170" i="33"/>
  <c r="J169" i="33"/>
  <c r="K167" i="33"/>
  <c r="K166" i="33"/>
  <c r="L160" i="33"/>
  <c r="K158" i="33"/>
  <c r="L155" i="33"/>
  <c r="L154" i="33"/>
  <c r="K151" i="33"/>
  <c r="L149" i="33"/>
  <c r="J145" i="33"/>
  <c r="J143" i="33"/>
  <c r="J141" i="33"/>
  <c r="K140" i="33"/>
  <c r="J132" i="33"/>
  <c r="J131" i="33"/>
  <c r="J130" i="33"/>
  <c r="J122" i="33"/>
  <c r="K121" i="33"/>
  <c r="K120" i="33"/>
  <c r="J119" i="33"/>
  <c r="L114" i="33"/>
  <c r="L113" i="33"/>
  <c r="K101" i="33"/>
  <c r="L99" i="33"/>
  <c r="K85" i="33"/>
  <c r="L84" i="33"/>
  <c r="M84" i="33" s="1"/>
  <c r="K77" i="33"/>
  <c r="K76" i="33"/>
  <c r="L72" i="33"/>
  <c r="K71" i="33"/>
  <c r="K66" i="33"/>
  <c r="J65" i="33"/>
  <c r="J63" i="33"/>
  <c r="L62" i="33"/>
  <c r="K61" i="33"/>
  <c r="L59" i="33"/>
  <c r="J59" i="33"/>
  <c r="K50" i="33"/>
  <c r="L5" i="33"/>
  <c r="K17" i="33"/>
  <c r="J19" i="33"/>
  <c r="J20" i="33"/>
  <c r="K174" i="33"/>
  <c r="J164" i="33"/>
  <c r="K147" i="33"/>
  <c r="K106" i="33"/>
  <c r="L102" i="33"/>
  <c r="L91" i="33"/>
  <c r="J91" i="33"/>
  <c r="K88" i="33"/>
  <c r="K83" i="33"/>
  <c r="L82" i="33"/>
  <c r="K80" i="33"/>
  <c r="J79" i="33"/>
  <c r="L75" i="33"/>
  <c r="K74" i="33"/>
  <c r="L67" i="33"/>
  <c r="J67" i="33"/>
  <c r="J55" i="33"/>
  <c r="L53" i="33"/>
  <c r="K46" i="33"/>
  <c r="K41" i="33"/>
  <c r="J36" i="33"/>
  <c r="L33" i="33"/>
  <c r="K32" i="33"/>
  <c r="J30" i="33"/>
  <c r="K28" i="33"/>
  <c r="J27" i="33"/>
  <c r="K89" i="33"/>
  <c r="J93" i="33"/>
  <c r="J163" i="33"/>
  <c r="J15" i="33"/>
  <c r="K25" i="33"/>
  <c r="J177" i="33"/>
  <c r="K173" i="33"/>
  <c r="K171" i="33"/>
  <c r="L167" i="33"/>
  <c r="J167" i="33"/>
  <c r="L164" i="33"/>
  <c r="K160" i="33"/>
  <c r="K152" i="33"/>
  <c r="L150" i="33"/>
  <c r="K150" i="33"/>
  <c r="L145" i="33"/>
  <c r="L144" i="33"/>
  <c r="L139" i="33"/>
  <c r="L137" i="33"/>
  <c r="K134" i="33"/>
  <c r="K124" i="33"/>
  <c r="L123" i="33"/>
  <c r="J120" i="33"/>
  <c r="L118" i="33"/>
  <c r="J115" i="33"/>
  <c r="L110" i="33"/>
  <c r="K110" i="33"/>
  <c r="K108" i="33"/>
  <c r="K105" i="33"/>
  <c r="J101" i="33"/>
  <c r="K100" i="33"/>
  <c r="L96" i="33"/>
  <c r="K93" i="33"/>
  <c r="K90" i="33"/>
  <c r="J89" i="33"/>
  <c r="J81" i="33"/>
  <c r="L73" i="33"/>
  <c r="J71" i="33"/>
  <c r="L64" i="33"/>
  <c r="K63" i="33"/>
  <c r="K59" i="33"/>
  <c r="L58" i="33"/>
  <c r="J57" i="33"/>
  <c r="J50" i="33"/>
  <c r="J48" i="33"/>
  <c r="K45" i="33"/>
  <c r="J43" i="33"/>
  <c r="J42" i="33"/>
  <c r="L39" i="33"/>
  <c r="J37" i="33"/>
  <c r="J33" i="33"/>
  <c r="K102" i="33"/>
  <c r="L108" i="33"/>
  <c r="L7" i="33"/>
  <c r="J13" i="33"/>
  <c r="J18" i="33"/>
  <c r="K21" i="33"/>
  <c r="L22" i="33"/>
  <c r="J180" i="33"/>
  <c r="K178" i="33"/>
  <c r="J175" i="33"/>
  <c r="K168" i="33"/>
  <c r="L159" i="33"/>
  <c r="J158" i="33"/>
  <c r="J148" i="33"/>
  <c r="K143" i="33"/>
  <c r="K142" i="33"/>
  <c r="J136" i="33"/>
  <c r="J135" i="33"/>
  <c r="L131" i="33"/>
  <c r="L130" i="33"/>
  <c r="L129" i="33"/>
  <c r="J92" i="33"/>
  <c r="K70" i="33"/>
  <c r="K60" i="33"/>
  <c r="L57" i="33"/>
  <c r="J56" i="33"/>
  <c r="L52" i="33"/>
  <c r="K40" i="33"/>
  <c r="L38" i="33"/>
  <c r="K34" i="33"/>
  <c r="L30" i="33"/>
  <c r="K29" i="33"/>
  <c r="J29" i="33"/>
  <c r="L81" i="33"/>
  <c r="J109" i="33"/>
  <c r="J123" i="33"/>
  <c r="K4" i="33"/>
  <c r="K7" i="33"/>
  <c r="J8" i="33"/>
  <c r="J9" i="33"/>
  <c r="L9" i="33"/>
  <c r="K11" i="33"/>
  <c r="K15" i="33"/>
  <c r="J25" i="33"/>
  <c r="L175" i="33"/>
  <c r="J174" i="33"/>
  <c r="J173" i="33"/>
  <c r="J172" i="33"/>
  <c r="J171" i="33"/>
  <c r="L166" i="33"/>
  <c r="L161" i="33"/>
  <c r="J161" i="33"/>
  <c r="L158" i="33"/>
  <c r="J156" i="33"/>
  <c r="L151" i="33"/>
  <c r="J151" i="33"/>
  <c r="J144" i="33"/>
  <c r="L140" i="33"/>
  <c r="L134" i="33"/>
  <c r="K126" i="33"/>
  <c r="L119" i="33"/>
  <c r="K119" i="33"/>
  <c r="J117" i="33"/>
  <c r="L116" i="33"/>
  <c r="J103" i="33"/>
  <c r="J100" i="33"/>
  <c r="K98" i="33"/>
  <c r="L97" i="33"/>
  <c r="J88" i="33"/>
  <c r="L83" i="33"/>
  <c r="J82" i="33"/>
  <c r="K79" i="33"/>
  <c r="L66" i="33"/>
  <c r="K64" i="33"/>
  <c r="K54" i="33"/>
  <c r="K53" i="33"/>
  <c r="J52" i="33"/>
  <c r="K42" i="33"/>
  <c r="L28" i="33"/>
  <c r="K27" i="33"/>
  <c r="J4" i="33"/>
  <c r="K5" i="33"/>
  <c r="K8" i="33"/>
  <c r="J12" i="33"/>
  <c r="K20" i="33"/>
  <c r="J22" i="33"/>
  <c r="L25" i="33"/>
  <c r="J165" i="33"/>
  <c r="K164" i="33"/>
  <c r="J157" i="33"/>
  <c r="K155" i="33"/>
  <c r="J152" i="33"/>
  <c r="J150" i="33"/>
  <c r="J147" i="33"/>
  <c r="K146" i="33"/>
  <c r="K139" i="33"/>
  <c r="J138" i="33"/>
  <c r="L136" i="33"/>
  <c r="L128" i="33"/>
  <c r="L124" i="33"/>
  <c r="K123" i="33"/>
  <c r="K122" i="33"/>
  <c r="J114" i="33"/>
  <c r="J106" i="33"/>
  <c r="K92" i="33"/>
  <c r="K91" i="33"/>
  <c r="L88" i="33"/>
  <c r="L85" i="33"/>
  <c r="K81" i="33"/>
  <c r="L76" i="33"/>
  <c r="K75" i="33"/>
  <c r="J72" i="33"/>
  <c r="L70" i="33"/>
  <c r="K69" i="33"/>
  <c r="L68" i="33"/>
  <c r="J68" i="33"/>
  <c r="K67" i="33"/>
  <c r="K65" i="33"/>
  <c r="J62" i="33"/>
  <c r="L60" i="33"/>
  <c r="K55" i="33"/>
  <c r="L50" i="33"/>
  <c r="L46" i="33"/>
  <c r="J44" i="33"/>
  <c r="J41" i="33"/>
  <c r="L40" i="33"/>
  <c r="K37" i="33"/>
  <c r="K36" i="33"/>
  <c r="L34" i="33"/>
  <c r="J34" i="33"/>
  <c r="L117" i="33"/>
  <c r="K157" i="33"/>
  <c r="L172" i="33"/>
  <c r="K177" i="33"/>
  <c r="L142" i="33"/>
  <c r="J53" i="33"/>
  <c r="K49" i="33"/>
  <c r="L56" i="33"/>
  <c r="K137" i="33"/>
  <c r="J49" i="33"/>
  <c r="K48" i="33"/>
  <c r="L47" i="33"/>
  <c r="K38" i="33"/>
  <c r="K33" i="33"/>
  <c r="J32" i="33"/>
  <c r="L27" i="33"/>
  <c r="K169" i="33"/>
  <c r="K184" i="33"/>
  <c r="L183" i="33"/>
  <c r="L182" i="33"/>
  <c r="J191" i="33"/>
  <c r="J190" i="33"/>
  <c r="L185" i="33"/>
  <c r="K172" i="33"/>
  <c r="K189" i="33"/>
  <c r="K187" i="33"/>
  <c r="L184" i="33"/>
  <c r="L181" i="33"/>
  <c r="K191" i="33"/>
  <c r="L188" i="33"/>
  <c r="K182" i="33"/>
  <c r="K185" i="33"/>
  <c r="J183" i="33"/>
  <c r="K186" i="33"/>
  <c r="J182" i="33"/>
  <c r="AT14" i="27"/>
  <c r="AZ14" i="27"/>
  <c r="AX10" i="27"/>
  <c r="AY13" i="27"/>
  <c r="AZ10" i="27"/>
  <c r="AZ11" i="27"/>
  <c r="AW12" i="27"/>
  <c r="AX9" i="27"/>
  <c r="AT9" i="27"/>
  <c r="AW11" i="27"/>
  <c r="AZ13" i="27"/>
  <c r="AZ9" i="27"/>
  <c r="AT13" i="27"/>
  <c r="AY14" i="27"/>
  <c r="AV10" i="27"/>
  <c r="AW9" i="27"/>
  <c r="AT12" i="27"/>
  <c r="AX11" i="27"/>
  <c r="AX13" i="27"/>
  <c r="AV9" i="27"/>
  <c r="AT10" i="27"/>
  <c r="AT11" i="27"/>
  <c r="AX12" i="27"/>
  <c r="AY10" i="27"/>
  <c r="AY9" i="27"/>
  <c r="AY11" i="27"/>
  <c r="AX14" i="27"/>
  <c r="AW13" i="27"/>
  <c r="AV12" i="27"/>
  <c r="AW10" i="27"/>
  <c r="AW14" i="27"/>
  <c r="AV11" i="27"/>
  <c r="AY12" i="27"/>
  <c r="AV13" i="27"/>
  <c r="AZ12" i="27"/>
  <c r="AV14" i="27"/>
  <c r="KY19" i="29"/>
  <c r="JD22" i="29"/>
  <c r="MD24" i="29"/>
  <c r="J26" i="29"/>
  <c r="FP115" i="27"/>
  <c r="AT21" i="27" s="1"/>
  <c r="FY116" i="27"/>
  <c r="FO115" i="27"/>
  <c r="AS20" i="27" s="1"/>
  <c r="AR20" i="27" s="1"/>
  <c r="FY112" i="27"/>
  <c r="FR115" i="27"/>
  <c r="AT23" i="27" s="1"/>
  <c r="FY115" i="27"/>
  <c r="BH23" i="27"/>
  <c r="AP26" i="29"/>
  <c r="MM22" i="29"/>
  <c r="F26" i="29"/>
  <c r="HT22" i="29"/>
  <c r="H32" i="29"/>
  <c r="AM26" i="29"/>
  <c r="AY14" i="29"/>
  <c r="AY25" i="29" s="1"/>
  <c r="BG14" i="29"/>
  <c r="BG24" i="29" s="1"/>
  <c r="AS18" i="29"/>
  <c r="AS26" i="29"/>
  <c r="BC26" i="29"/>
  <c r="BA26" i="29"/>
  <c r="AT19" i="29"/>
  <c r="AR25" i="29"/>
  <c r="AR32" i="29"/>
  <c r="F24" i="29"/>
  <c r="AV24" i="29"/>
  <c r="BN19" i="29"/>
  <c r="BK25" i="29"/>
  <c r="AS24" i="29"/>
  <c r="BM25" i="29"/>
  <c r="AX26" i="29"/>
  <c r="MO26" i="29"/>
  <c r="MX32" i="29"/>
  <c r="HF24" i="29"/>
  <c r="IF24" i="29"/>
  <c r="GC32" i="29"/>
  <c r="GS25" i="29"/>
  <c r="BZ25" i="29"/>
  <c r="GP25" i="29"/>
  <c r="CP32" i="29"/>
  <c r="HI22" i="29"/>
  <c r="FB25" i="29"/>
  <c r="AP24" i="29"/>
  <c r="BD32" i="29"/>
  <c r="HD25" i="29"/>
  <c r="NU25" i="29"/>
  <c r="JU24" i="29"/>
  <c r="KD19" i="29"/>
  <c r="AU26" i="29"/>
  <c r="S14" i="29"/>
  <c r="S25" i="29" s="1"/>
  <c r="GL19" i="29"/>
  <c r="BE24" i="29"/>
  <c r="AW25" i="29"/>
  <c r="AW32" i="29"/>
  <c r="IY14" i="29"/>
  <c r="IY24" i="29" s="1"/>
  <c r="NU32" i="29"/>
  <c r="KE14" i="29"/>
  <c r="KE24" i="29" s="1"/>
  <c r="IG32" i="29"/>
  <c r="MR25" i="29"/>
  <c r="FI32" i="29"/>
  <c r="EL32" i="29"/>
  <c r="CW24" i="29"/>
  <c r="CS32" i="29"/>
  <c r="KB24" i="29"/>
  <c r="JY32" i="29"/>
  <c r="IR32" i="29"/>
  <c r="MU32" i="29"/>
  <c r="HB32" i="29"/>
  <c r="GI32" i="29"/>
  <c r="DE32" i="29"/>
  <c r="AL26" i="29"/>
  <c r="ME24" i="29"/>
  <c r="FD25" i="29"/>
  <c r="E32" i="29"/>
  <c r="MH24" i="29"/>
  <c r="FJ32" i="29"/>
  <c r="EK22" i="29"/>
  <c r="DI32" i="29"/>
  <c r="BL25" i="29"/>
  <c r="NS25" i="29"/>
  <c r="KI32" i="29"/>
  <c r="HK14" i="29"/>
  <c r="HK32" i="29" s="1"/>
  <c r="DK14" i="29"/>
  <c r="DK24" i="29" s="1"/>
  <c r="CL32" i="29"/>
  <c r="J32" i="29"/>
  <c r="GJ32" i="29"/>
  <c r="BK14" i="27"/>
  <c r="BJ14" i="27"/>
  <c r="BN14" i="27"/>
  <c r="BL14" i="27"/>
  <c r="BH14" i="27"/>
  <c r="BM14" i="27"/>
  <c r="FY114" i="27"/>
  <c r="FY113" i="27"/>
  <c r="FQ115" i="27"/>
  <c r="AT22" i="27" s="1"/>
  <c r="AT20" i="27"/>
  <c r="CZ24" i="29"/>
  <c r="KO25" i="29"/>
  <c r="FQ32" i="29"/>
  <c r="CR25" i="29"/>
  <c r="GA25" i="29"/>
  <c r="FK32" i="29"/>
  <c r="FF32" i="29"/>
  <c r="DC14" i="29"/>
  <c r="DC25" i="29" s="1"/>
  <c r="CR32" i="29"/>
  <c r="CA24" i="29"/>
  <c r="I18" i="29"/>
  <c r="AU18" i="29"/>
  <c r="NJ24" i="29"/>
  <c r="MG25" i="29"/>
  <c r="KO32" i="29"/>
  <c r="GM14" i="29"/>
  <c r="GM25" i="29" s="1"/>
  <c r="CL24" i="29"/>
  <c r="BO14" i="29"/>
  <c r="BO24" i="29" s="1"/>
  <c r="AK24" i="29"/>
  <c r="NS32" i="29"/>
  <c r="BW14" i="29"/>
  <c r="BW24" i="29" s="1"/>
  <c r="AK32" i="29"/>
  <c r="AZ32" i="29"/>
  <c r="NJ32" i="29"/>
  <c r="BR25" i="29"/>
  <c r="CL22" i="29"/>
  <c r="IZ19" i="29"/>
  <c r="JB32" i="29"/>
  <c r="IX24" i="29"/>
  <c r="FS24" i="29"/>
  <c r="FB26" i="29"/>
  <c r="DQ32" i="29"/>
  <c r="BI32" i="29"/>
  <c r="NQ32" i="29"/>
  <c r="MG22" i="29"/>
  <c r="KR19" i="29"/>
  <c r="FB32" i="29"/>
  <c r="BP32" i="29"/>
  <c r="AJ19" i="29"/>
  <c r="AM19" i="29"/>
  <c r="G32" i="29"/>
  <c r="NC24" i="29"/>
  <c r="JJ26" i="29"/>
  <c r="IL25" i="29"/>
  <c r="HG32" i="29"/>
  <c r="FS32" i="29"/>
  <c r="DH24" i="29"/>
  <c r="BY24" i="29"/>
  <c r="BP24" i="29"/>
  <c r="AQ14" i="29"/>
  <c r="AQ32" i="29" s="1"/>
  <c r="AO32" i="29"/>
  <c r="G24" i="29"/>
  <c r="AM25" i="29"/>
  <c r="NF24" i="29"/>
  <c r="MR32" i="29"/>
  <c r="HV32" i="29"/>
  <c r="HQ25" i="29"/>
  <c r="HH32" i="29"/>
  <c r="DB32" i="29"/>
  <c r="CW32" i="29"/>
  <c r="LT24" i="29"/>
  <c r="LG25" i="29"/>
  <c r="KM25" i="29"/>
  <c r="JZ24" i="29"/>
  <c r="IV22" i="29"/>
  <c r="HM32" i="29"/>
  <c r="FX32" i="29"/>
  <c r="EO25" i="29"/>
  <c r="CO32" i="29"/>
  <c r="HL32" i="29"/>
  <c r="DG32" i="29"/>
  <c r="CO24" i="29"/>
  <c r="FL24" i="29"/>
  <c r="DP32" i="29"/>
  <c r="CV25" i="29"/>
  <c r="L24" i="29"/>
  <c r="AN22" i="29"/>
  <c r="MF25" i="29"/>
  <c r="LY24" i="29"/>
  <c r="LQ25" i="29"/>
  <c r="LN25" i="29"/>
  <c r="LE25" i="29"/>
  <c r="HI25" i="29"/>
  <c r="BE32" i="29"/>
  <c r="NP25" i="29"/>
  <c r="HX32" i="29"/>
  <c r="CY32" i="29"/>
  <c r="CH25" i="29"/>
  <c r="NW14" i="29"/>
  <c r="NW24" i="29" s="1"/>
  <c r="ML32" i="29"/>
  <c r="LY32" i="29"/>
  <c r="LQ32" i="29"/>
  <c r="LI25" i="29"/>
  <c r="LG32" i="29"/>
  <c r="LE32" i="29"/>
  <c r="KA32" i="29"/>
  <c r="JX25" i="29"/>
  <c r="JJ25" i="29"/>
  <c r="JF24" i="29"/>
  <c r="IW24" i="29"/>
  <c r="IF32" i="29"/>
  <c r="IC26" i="29"/>
  <c r="HX26" i="29"/>
  <c r="HA24" i="29"/>
  <c r="EY14" i="29"/>
  <c r="EY24" i="29" s="1"/>
  <c r="EQ14" i="29"/>
  <c r="EQ25" i="29" s="1"/>
  <c r="EI14" i="29"/>
  <c r="EI25" i="29" s="1"/>
  <c r="EE32" i="29"/>
  <c r="DU32" i="29"/>
  <c r="DQ26" i="29"/>
  <c r="CY24" i="29"/>
  <c r="CK32" i="29"/>
  <c r="CD32" i="29"/>
  <c r="CA32" i="29"/>
  <c r="AL24" i="29"/>
  <c r="AM32" i="29"/>
  <c r="AT32" i="29"/>
  <c r="AS32" i="29"/>
  <c r="LF25" i="29"/>
  <c r="LD25" i="29"/>
  <c r="KI25" i="29"/>
  <c r="KB32" i="29"/>
  <c r="JQ32" i="29"/>
  <c r="HW32" i="29"/>
  <c r="HF26" i="29"/>
  <c r="GC24" i="29"/>
  <c r="GA32" i="29"/>
  <c r="CP25" i="29"/>
  <c r="CJ25" i="29"/>
  <c r="BR32" i="29"/>
  <c r="BH25" i="29"/>
  <c r="BF32" i="29"/>
  <c r="AJ25" i="29"/>
  <c r="NP32" i="29"/>
  <c r="KV24" i="29"/>
  <c r="JX32" i="29"/>
  <c r="HA32" i="29"/>
  <c r="GJ24" i="29"/>
  <c r="DZ24" i="29"/>
  <c r="DT32" i="29"/>
  <c r="JJ32" i="29"/>
  <c r="HZ32" i="29"/>
  <c r="HA26" i="29"/>
  <c r="GT26" i="29"/>
  <c r="EJ32" i="29"/>
  <c r="DN32" i="29"/>
  <c r="CJ32" i="29"/>
  <c r="NU26" i="29"/>
  <c r="MU26" i="29"/>
  <c r="MQ14" i="29"/>
  <c r="MQ24" i="29" s="1"/>
  <c r="LK14" i="29"/>
  <c r="LK24" i="29" s="1"/>
  <c r="KU14" i="29"/>
  <c r="KU32" i="29" s="1"/>
  <c r="KQ25" i="29"/>
  <c r="JY25" i="29"/>
  <c r="JK32" i="29"/>
  <c r="IR24" i="29"/>
  <c r="IC25" i="29"/>
  <c r="GY25" i="29"/>
  <c r="GR25" i="29"/>
  <c r="GI25" i="29"/>
  <c r="EJ24" i="29"/>
  <c r="DZ32" i="29"/>
  <c r="DQ24" i="29"/>
  <c r="AX25" i="29"/>
  <c r="AV18" i="29"/>
  <c r="FL22" i="29"/>
  <c r="AM18" i="29"/>
  <c r="LM19" i="29"/>
  <c r="AV22" i="29"/>
  <c r="K16" i="29"/>
  <c r="K23" i="29" s="1"/>
  <c r="K17" i="29"/>
  <c r="NV19" i="29"/>
  <c r="LJ19" i="29"/>
  <c r="EU22" i="29"/>
  <c r="BU22" i="29"/>
  <c r="BA18" i="29"/>
  <c r="AJ18" i="29"/>
  <c r="KK19" i="29"/>
  <c r="DB22" i="29"/>
  <c r="KL22" i="29"/>
  <c r="IG22" i="29"/>
  <c r="HR22" i="29"/>
  <c r="EE22" i="29"/>
  <c r="BK19" i="29"/>
  <c r="LL18" i="29"/>
  <c r="KX22" i="29"/>
  <c r="AQ13" i="29"/>
  <c r="AQ19" i="29" s="1"/>
  <c r="AS23" i="29"/>
  <c r="GZ22" i="29"/>
  <c r="DR22" i="29"/>
  <c r="HM19" i="29"/>
  <c r="NA19" i="29"/>
  <c r="DH22" i="29"/>
  <c r="AZ18" i="29"/>
  <c r="NG11" i="29"/>
  <c r="LQ19" i="29"/>
  <c r="EX22" i="29"/>
  <c r="AU19" i="29"/>
  <c r="KI18" i="29"/>
  <c r="J18" i="29"/>
  <c r="BC19" i="29"/>
  <c r="FB19" i="29"/>
  <c r="CH22" i="29"/>
  <c r="BS22" i="29"/>
  <c r="BQ18" i="29"/>
  <c r="AZ23" i="29"/>
  <c r="BB18" i="29"/>
  <c r="IK22" i="29"/>
  <c r="IE19" i="29"/>
  <c r="DZ19" i="29"/>
  <c r="BF18" i="29"/>
  <c r="I19" i="29"/>
  <c r="MS19" i="29"/>
  <c r="KT22" i="29"/>
  <c r="MF19" i="29"/>
  <c r="MI12" i="29"/>
  <c r="LC15" i="29"/>
  <c r="BP22" i="29"/>
  <c r="CO22" i="29"/>
  <c r="AO18" i="29"/>
  <c r="NK22" i="29"/>
  <c r="NE19" i="29"/>
  <c r="JB22" i="29"/>
  <c r="IJ19" i="29"/>
  <c r="AX22" i="29"/>
  <c r="NI19" i="29"/>
  <c r="KP22" i="29"/>
  <c r="HA22" i="29"/>
  <c r="CB19" i="29"/>
  <c r="AP19" i="29"/>
  <c r="MY17" i="29"/>
  <c r="KS22" i="29"/>
  <c r="IB22" i="29"/>
  <c r="FU22" i="29"/>
  <c r="DW19" i="29"/>
  <c r="CZ22" i="29"/>
  <c r="AQ17" i="29"/>
  <c r="BA19" i="29"/>
  <c r="M19" i="29"/>
  <c r="NR19" i="29"/>
  <c r="NM18" i="29"/>
  <c r="HC13" i="29"/>
  <c r="HC22" i="29" s="1"/>
  <c r="EU18" i="29"/>
  <c r="BR19" i="29"/>
  <c r="BH22" i="29"/>
  <c r="AY12" i="29"/>
  <c r="MQ15" i="29"/>
  <c r="LW22" i="29"/>
  <c r="LD19" i="29"/>
  <c r="II15" i="29"/>
  <c r="HQ19" i="29"/>
  <c r="FN22" i="29"/>
  <c r="EP22" i="29"/>
  <c r="EE18" i="29"/>
  <c r="EB22" i="29"/>
  <c r="BE19" i="29"/>
  <c r="H17" i="29"/>
  <c r="AN18" i="29"/>
  <c r="AP18" i="29"/>
  <c r="AO17" i="29"/>
  <c r="MK18" i="29"/>
  <c r="JZ22" i="29"/>
  <c r="FD18" i="29"/>
  <c r="EA16" i="29"/>
  <c r="EA23" i="29" s="1"/>
  <c r="DK13" i="29"/>
  <c r="DK22" i="29" s="1"/>
  <c r="J19" i="29"/>
  <c r="ME19" i="29"/>
  <c r="IY11" i="29"/>
  <c r="IC19" i="29"/>
  <c r="HG18" i="29"/>
  <c r="EF22" i="29"/>
  <c r="NS22" i="29"/>
  <c r="MD18" i="29"/>
  <c r="LL17" i="29"/>
  <c r="IT22" i="29"/>
  <c r="EM22" i="29"/>
  <c r="CP22" i="29"/>
  <c r="BO16" i="29"/>
  <c r="BO23" i="29" s="1"/>
  <c r="BO11" i="29"/>
  <c r="BG13" i="29"/>
  <c r="BG22" i="29" s="1"/>
  <c r="BG16" i="29"/>
  <c r="BG23" i="29" s="1"/>
  <c r="AQ11" i="29"/>
  <c r="NU18" i="29"/>
  <c r="NM19" i="29"/>
  <c r="MY15" i="29"/>
  <c r="IP19" i="29"/>
  <c r="HU22" i="29"/>
  <c r="GT19" i="29"/>
  <c r="GN19" i="29"/>
  <c r="GK18" i="29"/>
  <c r="EO18" i="29"/>
  <c r="BV19" i="29"/>
  <c r="J23" i="29"/>
  <c r="AU23" i="29"/>
  <c r="K11" i="29"/>
  <c r="L18" i="29"/>
  <c r="AQ15" i="29"/>
  <c r="D28" i="27"/>
  <c r="F29" i="27" s="1"/>
  <c r="MJ18" i="29"/>
  <c r="MG18" i="29"/>
  <c r="KC25" i="29"/>
  <c r="KC32" i="29"/>
  <c r="JV22" i="29"/>
  <c r="JT22" i="29"/>
  <c r="JT19" i="29"/>
  <c r="JI24" i="29"/>
  <c r="JI25" i="29"/>
  <c r="NA32" i="29"/>
  <c r="MN32" i="29"/>
  <c r="MB32" i="29"/>
  <c r="LW25" i="29"/>
  <c r="LS12" i="29"/>
  <c r="LC17" i="29"/>
  <c r="JV25" i="29"/>
  <c r="JV24" i="29"/>
  <c r="JN19" i="29"/>
  <c r="JN22" i="29"/>
  <c r="IZ23" i="29"/>
  <c r="JG16" i="29"/>
  <c r="JG23" i="29" s="1"/>
  <c r="IE24" i="29"/>
  <c r="IE25" i="29"/>
  <c r="NO12" i="29"/>
  <c r="NG17" i="29"/>
  <c r="MT19" i="29"/>
  <c r="MH32" i="29"/>
  <c r="LY22" i="29"/>
  <c r="MA12" i="29"/>
  <c r="LM18" i="29"/>
  <c r="LA19" i="29"/>
  <c r="KQ22" i="29"/>
  <c r="KQ19" i="29"/>
  <c r="KN18" i="29"/>
  <c r="JM22" i="29"/>
  <c r="JM19" i="29"/>
  <c r="JG15" i="29"/>
  <c r="MQ16" i="29"/>
  <c r="MQ23" i="29" s="1"/>
  <c r="JO16" i="29"/>
  <c r="JO23" i="29" s="1"/>
  <c r="HM18" i="29"/>
  <c r="HM17" i="29"/>
  <c r="NT22" i="29"/>
  <c r="NK32" i="29"/>
  <c r="NJ18" i="29"/>
  <c r="NF32" i="29"/>
  <c r="ND19" i="29"/>
  <c r="NG12" i="29"/>
  <c r="MS26" i="29"/>
  <c r="MO25" i="29"/>
  <c r="MP18" i="29"/>
  <c r="MK22" i="29"/>
  <c r="MJ22" i="29"/>
  <c r="MG32" i="29"/>
  <c r="MF32" i="29"/>
  <c r="LW32" i="29"/>
  <c r="LP32" i="29"/>
  <c r="LJ18" i="29"/>
  <c r="LK15" i="29"/>
  <c r="LF32" i="29"/>
  <c r="KP32" i="29"/>
  <c r="KU11" i="29"/>
  <c r="JH18" i="29"/>
  <c r="JA24" i="29"/>
  <c r="IH22" i="29"/>
  <c r="NO11" i="29"/>
  <c r="MT32" i="29"/>
  <c r="MM32" i="29"/>
  <c r="LY18" i="29"/>
  <c r="KW32" i="29"/>
  <c r="KH22" i="29"/>
  <c r="JU19" i="29"/>
  <c r="IZ25" i="29"/>
  <c r="JG14" i="29"/>
  <c r="JG24" i="29" s="1"/>
  <c r="IZ24" i="29"/>
  <c r="MF26" i="29"/>
  <c r="MD32" i="29"/>
  <c r="LV18" i="29"/>
  <c r="LO22" i="29"/>
  <c r="LM32" i="29"/>
  <c r="LL32" i="29"/>
  <c r="KZ19" i="29"/>
  <c r="KV22" i="29"/>
  <c r="KN19" i="29"/>
  <c r="KB22" i="29"/>
  <c r="KB19" i="29"/>
  <c r="JE25" i="29"/>
  <c r="JE26" i="29"/>
  <c r="IS22" i="29"/>
  <c r="NS18" i="29"/>
  <c r="NR32" i="29"/>
  <c r="NE32" i="29"/>
  <c r="MT18" i="29"/>
  <c r="MO32" i="29"/>
  <c r="MI14" i="29"/>
  <c r="MD26" i="29"/>
  <c r="LS15" i="29"/>
  <c r="LH32" i="29"/>
  <c r="KX25" i="29"/>
  <c r="KN25" i="29"/>
  <c r="KF22" i="29"/>
  <c r="JQ25" i="29"/>
  <c r="JO25" i="29"/>
  <c r="JO32" i="29"/>
  <c r="JA32" i="29"/>
  <c r="IY17" i="29"/>
  <c r="IF18" i="29"/>
  <c r="IA14" i="29"/>
  <c r="IA24" i="29" s="1"/>
  <c r="HK11" i="29"/>
  <c r="GG22" i="29"/>
  <c r="GE25" i="29"/>
  <c r="GE13" i="29"/>
  <c r="GE19" i="29" s="1"/>
  <c r="FL32" i="29"/>
  <c r="EL24" i="29"/>
  <c r="DD22" i="29"/>
  <c r="BW17" i="29"/>
  <c r="BV18" i="29"/>
  <c r="BL19" i="29"/>
  <c r="II12" i="29"/>
  <c r="HM25" i="29"/>
  <c r="HE32" i="29"/>
  <c r="GZ32" i="29"/>
  <c r="FT19" i="29"/>
  <c r="FI25" i="29"/>
  <c r="DY32" i="29"/>
  <c r="DX32" i="29"/>
  <c r="DL22" i="29"/>
  <c r="DS12" i="29"/>
  <c r="CI22" i="29"/>
  <c r="CM11" i="29"/>
  <c r="CM16" i="29"/>
  <c r="CM23" i="29" s="1"/>
  <c r="K34" i="29"/>
  <c r="IL32" i="29"/>
  <c r="HU32" i="29"/>
  <c r="HP32" i="29"/>
  <c r="GY32" i="29"/>
  <c r="GR32" i="29"/>
  <c r="GP32" i="29"/>
  <c r="GN18" i="29"/>
  <c r="GM13" i="29"/>
  <c r="GM22" i="29" s="1"/>
  <c r="FX24" i="29"/>
  <c r="FU26" i="29"/>
  <c r="FP32" i="29"/>
  <c r="FK25" i="29"/>
  <c r="FO15" i="29"/>
  <c r="FG14" i="29"/>
  <c r="FG26" i="29" s="1"/>
  <c r="FC18" i="29"/>
  <c r="ER18" i="29"/>
  <c r="EB32" i="29"/>
  <c r="DR24" i="29"/>
  <c r="DN25" i="29"/>
  <c r="CT22" i="29"/>
  <c r="BD25" i="29"/>
  <c r="L22" i="29"/>
  <c r="AO22" i="29"/>
  <c r="AV32" i="29"/>
  <c r="AT25" i="29"/>
  <c r="F19" i="29"/>
  <c r="AS19" i="29"/>
  <c r="KU12" i="29"/>
  <c r="JU32" i="29"/>
  <c r="JH19" i="29"/>
  <c r="JH32" i="29"/>
  <c r="JA22" i="29"/>
  <c r="IO24" i="29"/>
  <c r="IJ18" i="29"/>
  <c r="IH32" i="29"/>
  <c r="IE32" i="29"/>
  <c r="HY22" i="29"/>
  <c r="HT18" i="29"/>
  <c r="GZ25" i="29"/>
  <c r="GV19" i="29"/>
  <c r="GS32" i="29"/>
  <c r="GL32" i="29"/>
  <c r="GF32" i="29"/>
  <c r="FZ24" i="29"/>
  <c r="FY18" i="29"/>
  <c r="FU32" i="29"/>
  <c r="FQ24" i="29"/>
  <c r="FI18" i="29"/>
  <c r="FF24" i="29"/>
  <c r="FA24" i="29"/>
  <c r="EU25" i="29"/>
  <c r="DY25" i="29"/>
  <c r="DO19" i="29"/>
  <c r="DC11" i="29"/>
  <c r="CX32" i="29"/>
  <c r="BZ32" i="29"/>
  <c r="BY22" i="29"/>
  <c r="BV32" i="29"/>
  <c r="BQ22" i="29"/>
  <c r="BH18" i="29"/>
  <c r="BA25" i="29"/>
  <c r="AO24" i="29"/>
  <c r="K12" i="29"/>
  <c r="AU32" i="29"/>
  <c r="AT24" i="29"/>
  <c r="IE26" i="29"/>
  <c r="GG32" i="29"/>
  <c r="FK18" i="29"/>
  <c r="FH32" i="29"/>
  <c r="EY17" i="29"/>
  <c r="EY12" i="29"/>
  <c r="BK32" i="29"/>
  <c r="BH26" i="29"/>
  <c r="H24" i="29"/>
  <c r="CY26" i="29"/>
  <c r="CY18" i="29"/>
  <c r="CR26" i="29"/>
  <c r="CN18" i="29"/>
  <c r="BY32" i="29"/>
  <c r="BS25" i="29"/>
  <c r="H25" i="29"/>
  <c r="E25" i="29"/>
  <c r="AR19" i="29"/>
  <c r="JN32" i="29"/>
  <c r="JW11" i="29"/>
  <c r="IX32" i="29"/>
  <c r="IR18" i="29"/>
  <c r="IN19" i="29"/>
  <c r="IL22" i="29"/>
  <c r="HN24" i="29"/>
  <c r="HL24" i="29"/>
  <c r="HK15" i="29"/>
  <c r="HB19" i="29"/>
  <c r="HK13" i="29"/>
  <c r="HK19" i="29" s="1"/>
  <c r="GW32" i="29"/>
  <c r="GU14" i="29"/>
  <c r="GU24" i="29" s="1"/>
  <c r="GL25" i="29"/>
  <c r="GF22" i="29"/>
  <c r="GB32" i="29"/>
  <c r="FU18" i="29"/>
  <c r="FT32" i="29"/>
  <c r="FQ22" i="29"/>
  <c r="FH24" i="29"/>
  <c r="FC22" i="29"/>
  <c r="FA32" i="29"/>
  <c r="EX25" i="29"/>
  <c r="ET32" i="29"/>
  <c r="EN32" i="29"/>
  <c r="EL19" i="29"/>
  <c r="EB24" i="29"/>
  <c r="DX25" i="29"/>
  <c r="DM19" i="29"/>
  <c r="DJ32" i="29"/>
  <c r="DG25" i="29"/>
  <c r="CS24" i="29"/>
  <c r="CN19" i="29"/>
  <c r="CE14" i="29"/>
  <c r="BX25" i="29"/>
  <c r="BJ25" i="29"/>
  <c r="BH32" i="29"/>
  <c r="BF19" i="29"/>
  <c r="BG11" i="29"/>
  <c r="H18" i="29"/>
  <c r="AL32" i="29"/>
  <c r="AT18" i="29"/>
  <c r="AP32" i="29"/>
  <c r="AY15" i="29"/>
  <c r="AU24" i="29"/>
  <c r="E22" i="29"/>
  <c r="AN32" i="29"/>
  <c r="E24" i="29"/>
  <c r="JR18" i="29"/>
  <c r="JO12" i="29"/>
  <c r="IX22" i="29"/>
  <c r="IQ12" i="29"/>
  <c r="HL25" i="29"/>
  <c r="HG19" i="29"/>
  <c r="HE24" i="29"/>
  <c r="GE32" i="29"/>
  <c r="EZ25" i="29"/>
  <c r="EV32" i="29"/>
  <c r="ER25" i="29"/>
  <c r="EN18" i="29"/>
  <c r="DX19" i="29"/>
  <c r="CZ32" i="29"/>
  <c r="CF32" i="29"/>
  <c r="CD25" i="29"/>
  <c r="CD18" i="29"/>
  <c r="BX32" i="29"/>
  <c r="BE26" i="29"/>
  <c r="AK19" i="29"/>
  <c r="AZ25" i="29"/>
  <c r="AU25" i="29"/>
  <c r="AY11" i="29"/>
  <c r="LC25" i="29"/>
  <c r="LC24" i="29"/>
  <c r="LC32" i="29"/>
  <c r="NN25" i="29"/>
  <c r="NW11" i="29"/>
  <c r="NF22" i="29"/>
  <c r="NU17" i="29"/>
  <c r="NQ25" i="29"/>
  <c r="NM25" i="29"/>
  <c r="NK25" i="29"/>
  <c r="NO15" i="29"/>
  <c r="NE24" i="29"/>
  <c r="NC22" i="29"/>
  <c r="NG16" i="29"/>
  <c r="NG23" i="29" s="1"/>
  <c r="NB25" i="29"/>
  <c r="MZ19" i="29"/>
  <c r="MX22" i="29"/>
  <c r="MS18" i="29"/>
  <c r="MP22" i="29"/>
  <c r="MN18" i="29"/>
  <c r="MJ24" i="29"/>
  <c r="MI17" i="29"/>
  <c r="ME32" i="29"/>
  <c r="MC32" i="29"/>
  <c r="MB19" i="29"/>
  <c r="MB18" i="29"/>
  <c r="LX26" i="29"/>
  <c r="LS17" i="29"/>
  <c r="LO32" i="29"/>
  <c r="LK17" i="29"/>
  <c r="LI18" i="29"/>
  <c r="LH19" i="29"/>
  <c r="LG22" i="29"/>
  <c r="LK11" i="29"/>
  <c r="LA24" i="29"/>
  <c r="KZ24" i="29"/>
  <c r="KY25" i="29"/>
  <c r="KY18" i="29"/>
  <c r="KU17" i="29"/>
  <c r="KS24" i="29"/>
  <c r="KP24" i="29"/>
  <c r="KO22" i="29"/>
  <c r="KP18" i="29"/>
  <c r="NH32" i="29"/>
  <c r="ND32" i="29"/>
  <c r="MU22" i="29"/>
  <c r="MQ11" i="29"/>
  <c r="MC25" i="29"/>
  <c r="LZ22" i="29"/>
  <c r="LH18" i="29"/>
  <c r="LB18" i="29"/>
  <c r="KX18" i="29"/>
  <c r="KV25" i="29"/>
  <c r="KW18" i="29"/>
  <c r="KJ19" i="29"/>
  <c r="MI11" i="29"/>
  <c r="MA15" i="29"/>
  <c r="JW12" i="29"/>
  <c r="FO24" i="29"/>
  <c r="FO25" i="29"/>
  <c r="NE18" i="29"/>
  <c r="NA17" i="29"/>
  <c r="MV18" i="29"/>
  <c r="MU18" i="29"/>
  <c r="MS32" i="29"/>
  <c r="MP24" i="29"/>
  <c r="MJ32" i="29"/>
  <c r="MQ12" i="29"/>
  <c r="MI15" i="29"/>
  <c r="MC18" i="29"/>
  <c r="MB24" i="29"/>
  <c r="MB26" i="29"/>
  <c r="LP18" i="29"/>
  <c r="LN19" i="29"/>
  <c r="LN26" i="29"/>
  <c r="LS11" i="29"/>
  <c r="LA26" i="29"/>
  <c r="KY32" i="29"/>
  <c r="KX32" i="29"/>
  <c r="KW24" i="29"/>
  <c r="KT32" i="29"/>
  <c r="KR24" i="29"/>
  <c r="KM15" i="29"/>
  <c r="NN18" i="29"/>
  <c r="NI32" i="29"/>
  <c r="NM32" i="29"/>
  <c r="NF18" i="29"/>
  <c r="NE26" i="29"/>
  <c r="ND18" i="29"/>
  <c r="MW18" i="29"/>
  <c r="MY13" i="29"/>
  <c r="MY19" i="29" s="1"/>
  <c r="MP32" i="29"/>
  <c r="MH18" i="29"/>
  <c r="MB25" i="29"/>
  <c r="LX24" i="29"/>
  <c r="LP25" i="29"/>
  <c r="LI32" i="29"/>
  <c r="LK16" i="29"/>
  <c r="LK23" i="29" s="1"/>
  <c r="LB25" i="29"/>
  <c r="KZ32" i="29"/>
  <c r="KS32" i="29"/>
  <c r="KR32" i="29"/>
  <c r="JY19" i="29"/>
  <c r="JY18" i="29"/>
  <c r="NC32" i="29"/>
  <c r="MX18" i="29"/>
  <c r="MY12" i="29"/>
  <c r="MR18" i="29"/>
  <c r="MQ13" i="29"/>
  <c r="MQ19" i="29" s="1"/>
  <c r="ML19" i="29"/>
  <c r="MM18" i="29"/>
  <c r="MK32" i="29"/>
  <c r="MF18" i="29"/>
  <c r="MA11" i="29"/>
  <c r="LR32" i="29"/>
  <c r="LL24" i="29"/>
  <c r="LA32" i="29"/>
  <c r="KV32" i="29"/>
  <c r="KQ32" i="29"/>
  <c r="JQ23" i="29"/>
  <c r="JW16" i="29"/>
  <c r="JW23" i="29" s="1"/>
  <c r="NP19" i="29"/>
  <c r="NW12" i="29"/>
  <c r="NK18" i="29"/>
  <c r="NH22" i="29"/>
  <c r="NB32" i="29"/>
  <c r="MW19" i="29"/>
  <c r="MV32" i="29"/>
  <c r="MN25" i="29"/>
  <c r="MM24" i="29"/>
  <c r="MH26" i="29"/>
  <c r="MI16" i="29"/>
  <c r="MI23" i="29" s="1"/>
  <c r="LX32" i="29"/>
  <c r="LV24" i="29"/>
  <c r="LU32" i="29"/>
  <c r="LR22" i="29"/>
  <c r="LR18" i="29"/>
  <c r="LO18" i="29"/>
  <c r="LN32" i="29"/>
  <c r="LM24" i="29"/>
  <c r="LS16" i="29"/>
  <c r="LS23" i="29" s="1"/>
  <c r="KV18" i="29"/>
  <c r="KM11" i="29"/>
  <c r="KD25" i="29"/>
  <c r="KD32" i="29"/>
  <c r="JX22" i="29"/>
  <c r="JX19" i="29"/>
  <c r="JX18" i="29"/>
  <c r="NW16" i="29"/>
  <c r="NW23" i="29" s="1"/>
  <c r="NO16" i="29"/>
  <c r="NO23" i="29" s="1"/>
  <c r="NA18" i="29"/>
  <c r="NG15" i="29"/>
  <c r="MY11" i="29"/>
  <c r="ML18" i="29"/>
  <c r="MC26" i="29"/>
  <c r="LZ18" i="29"/>
  <c r="MA17" i="29"/>
  <c r="LU18" i="29"/>
  <c r="LQ18" i="29"/>
  <c r="LN18" i="29"/>
  <c r="LS13" i="29"/>
  <c r="LS19" i="29" s="1"/>
  <c r="LI22" i="29"/>
  <c r="LG18" i="29"/>
  <c r="LK12" i="29"/>
  <c r="KU15" i="29"/>
  <c r="IA11" i="29"/>
  <c r="HJ18" i="29"/>
  <c r="GH32" i="29"/>
  <c r="GM12" i="29"/>
  <c r="FO16" i="29"/>
  <c r="FO23" i="29" s="1"/>
  <c r="FO11" i="29"/>
  <c r="FG16" i="29"/>
  <c r="FG23" i="29" s="1"/>
  <c r="FG12" i="29"/>
  <c r="ES22" i="29"/>
  <c r="ES24" i="29"/>
  <c r="ES32" i="29"/>
  <c r="KR26" i="29"/>
  <c r="KH26" i="29"/>
  <c r="KE16" i="29"/>
  <c r="KE23" i="29" s="1"/>
  <c r="KF32" i="29"/>
  <c r="JY26" i="29"/>
  <c r="JV32" i="29"/>
  <c r="JT32" i="29"/>
  <c r="JI19" i="29"/>
  <c r="JE32" i="29"/>
  <c r="JC32" i="29"/>
  <c r="IY13" i="29"/>
  <c r="IY22" i="29" s="1"/>
  <c r="IV32" i="29"/>
  <c r="IW18" i="29"/>
  <c r="IS17" i="29"/>
  <c r="IR19" i="29"/>
  <c r="IM18" i="29"/>
  <c r="ID24" i="29"/>
  <c r="IB32" i="29"/>
  <c r="IC18" i="29"/>
  <c r="IA12" i="29"/>
  <c r="HX18" i="29"/>
  <c r="HV26" i="29"/>
  <c r="HS14" i="29"/>
  <c r="HQ18" i="29"/>
  <c r="HS15" i="29"/>
  <c r="GU17" i="29"/>
  <c r="GU13" i="29"/>
  <c r="GU19" i="29" s="1"/>
  <c r="GK32" i="29"/>
  <c r="GG25" i="29"/>
  <c r="GD32" i="29"/>
  <c r="GF18" i="29"/>
  <c r="FZ32" i="29"/>
  <c r="GA18" i="29"/>
  <c r="GE15" i="29"/>
  <c r="FV18" i="29"/>
  <c r="FJ25" i="29"/>
  <c r="FI24" i="29"/>
  <c r="FH22" i="29"/>
  <c r="FG17" i="29"/>
  <c r="FA18" i="29"/>
  <c r="ET24" i="29"/>
  <c r="KE17" i="29"/>
  <c r="KE11" i="29"/>
  <c r="JJ18" i="29"/>
  <c r="IU18" i="29"/>
  <c r="IY15" i="29"/>
  <c r="IQ13" i="29"/>
  <c r="IN18" i="29"/>
  <c r="II14" i="29"/>
  <c r="IG18" i="29"/>
  <c r="HX24" i="29"/>
  <c r="HO19" i="29"/>
  <c r="HS16" i="29"/>
  <c r="HS23" i="29" s="1"/>
  <c r="HJ19" i="29"/>
  <c r="GT18" i="29"/>
  <c r="GR18" i="29"/>
  <c r="GU12" i="29"/>
  <c r="GM16" i="29"/>
  <c r="GM23" i="29" s="1"/>
  <c r="GU11" i="29"/>
  <c r="GK22" i="29"/>
  <c r="GG24" i="29"/>
  <c r="GH18" i="29"/>
  <c r="FQ18" i="29"/>
  <c r="FJ24" i="29"/>
  <c r="FG11" i="29"/>
  <c r="EV24" i="29"/>
  <c r="EW25" i="29"/>
  <c r="EW32" i="29"/>
  <c r="ET25" i="29"/>
  <c r="KM12" i="29"/>
  <c r="KA19" i="29"/>
  <c r="JZ32" i="29"/>
  <c r="JR32" i="29"/>
  <c r="JL18" i="29"/>
  <c r="JI18" i="29"/>
  <c r="JC24" i="29"/>
  <c r="JG11" i="29"/>
  <c r="IT18" i="29"/>
  <c r="IO32" i="29"/>
  <c r="IK32" i="29"/>
  <c r="IH24" i="29"/>
  <c r="IG24" i="29"/>
  <c r="IF17" i="29"/>
  <c r="ID18" i="29"/>
  <c r="HO18" i="29"/>
  <c r="HN18" i="29"/>
  <c r="HL19" i="29"/>
  <c r="HF32" i="29"/>
  <c r="HB24" i="29"/>
  <c r="HC15" i="29"/>
  <c r="GW19" i="29"/>
  <c r="GT32" i="29"/>
  <c r="GN23" i="29"/>
  <c r="GO18" i="29"/>
  <c r="GF24" i="29"/>
  <c r="GB24" i="29"/>
  <c r="GA22" i="29"/>
  <c r="FZ18" i="29"/>
  <c r="FX18" i="29"/>
  <c r="FO12" i="29"/>
  <c r="FH25" i="29"/>
  <c r="FC24" i="29"/>
  <c r="FB18" i="29"/>
  <c r="EV25" i="29"/>
  <c r="EF25" i="29"/>
  <c r="EF24" i="29"/>
  <c r="KH32" i="29"/>
  <c r="KG32" i="29"/>
  <c r="KB17" i="29"/>
  <c r="KE15" i="29"/>
  <c r="JW17" i="29"/>
  <c r="JP32" i="29"/>
  <c r="JL32" i="29"/>
  <c r="JJ22" i="29"/>
  <c r="JI32" i="29"/>
  <c r="JI23" i="29"/>
  <c r="JD32" i="29"/>
  <c r="JB18" i="29"/>
  <c r="JG12" i="29"/>
  <c r="IS32" i="29"/>
  <c r="IN32" i="29"/>
  <c r="IH25" i="29"/>
  <c r="HZ22" i="29"/>
  <c r="HZ18" i="29"/>
  <c r="HY18" i="29"/>
  <c r="HQ32" i="29"/>
  <c r="HJ32" i="29"/>
  <c r="HB18" i="29"/>
  <c r="GS18" i="29"/>
  <c r="GQ32" i="29"/>
  <c r="GP18" i="29"/>
  <c r="GJ18" i="29"/>
  <c r="GI18" i="29"/>
  <c r="GA19" i="29"/>
  <c r="GE16" i="29"/>
  <c r="GE23" i="29" s="1"/>
  <c r="FW13" i="29"/>
  <c r="FW19" i="29" s="1"/>
  <c r="FR18" i="29"/>
  <c r="FW15" i="29"/>
  <c r="FM32" i="29"/>
  <c r="EW18" i="29"/>
  <c r="EN19" i="29"/>
  <c r="EN22" i="29"/>
  <c r="EH24" i="29"/>
  <c r="EH25" i="29"/>
  <c r="JW15" i="29"/>
  <c r="JK25" i="29"/>
  <c r="JK26" i="29"/>
  <c r="JB25" i="29"/>
  <c r="IP18" i="29"/>
  <c r="IN25" i="29"/>
  <c r="IE18" i="29"/>
  <c r="IB25" i="29"/>
  <c r="HV25" i="29"/>
  <c r="HP22" i="29"/>
  <c r="HO32" i="29"/>
  <c r="HG24" i="29"/>
  <c r="HC16" i="29"/>
  <c r="HC23" i="29" s="1"/>
  <c r="GY18" i="29"/>
  <c r="GL18" i="29"/>
  <c r="GC22" i="29"/>
  <c r="GC18" i="29"/>
  <c r="FW12" i="29"/>
  <c r="EY11" i="29"/>
  <c r="EJ22" i="29"/>
  <c r="EJ19" i="29"/>
  <c r="EQ13" i="29"/>
  <c r="EB23" i="29"/>
  <c r="EI16" i="29"/>
  <c r="EI23" i="29" s="1"/>
  <c r="KD26" i="29"/>
  <c r="KA18" i="29"/>
  <c r="JO24" i="29"/>
  <c r="JQ18" i="29"/>
  <c r="JF32" i="29"/>
  <c r="JD24" i="29"/>
  <c r="IS25" i="29"/>
  <c r="IF22" i="29"/>
  <c r="II11" i="29"/>
  <c r="ID32" i="29"/>
  <c r="HW25" i="29"/>
  <c r="HS13" i="29"/>
  <c r="HP25" i="29"/>
  <c r="HL23" i="29"/>
  <c r="HJ25" i="29"/>
  <c r="HI32" i="29"/>
  <c r="HD32" i="29"/>
  <c r="GT25" i="29"/>
  <c r="GP22" i="29"/>
  <c r="GO22" i="29"/>
  <c r="GM15" i="29"/>
  <c r="GJ17" i="29"/>
  <c r="GI19" i="29"/>
  <c r="GH19" i="29"/>
  <c r="GD18" i="29"/>
  <c r="FU24" i="29"/>
  <c r="FS19" i="29"/>
  <c r="FO17" i="29"/>
  <c r="FW11" i="29"/>
  <c r="FC32" i="29"/>
  <c r="EX18" i="29"/>
  <c r="EV22" i="29"/>
  <c r="EP18" i="29"/>
  <c r="KC24" i="29"/>
  <c r="JZ18" i="29"/>
  <c r="JW14" i="29"/>
  <c r="JW25" i="29" s="1"/>
  <c r="JS19" i="29"/>
  <c r="JR26" i="29"/>
  <c r="JN18" i="29"/>
  <c r="JM32" i="29"/>
  <c r="JO15" i="29"/>
  <c r="JE24" i="29"/>
  <c r="IW32" i="29"/>
  <c r="IU32" i="29"/>
  <c r="IQ16" i="29"/>
  <c r="IQ23" i="29" s="1"/>
  <c r="IY12" i="29"/>
  <c r="IQ15" i="29"/>
  <c r="II13" i="29"/>
  <c r="II22" i="29" s="1"/>
  <c r="ID19" i="29"/>
  <c r="IC32" i="29"/>
  <c r="IB18" i="29"/>
  <c r="IA15" i="29"/>
  <c r="IA17" i="29"/>
  <c r="HU18" i="29"/>
  <c r="HN22" i="29"/>
  <c r="HJ24" i="29"/>
  <c r="GY22" i="29"/>
  <c r="GT24" i="29"/>
  <c r="GS22" i="29"/>
  <c r="GU15" i="29"/>
  <c r="GQ18" i="29"/>
  <c r="GJ22" i="29"/>
  <c r="GE12" i="29"/>
  <c r="FY32" i="29"/>
  <c r="FI23" i="29"/>
  <c r="FD32" i="29"/>
  <c r="FB23" i="29"/>
  <c r="EW17" i="29"/>
  <c r="ES25" i="29"/>
  <c r="ED18" i="29"/>
  <c r="CM15" i="29"/>
  <c r="CE11" i="29"/>
  <c r="BM32" i="29"/>
  <c r="EF32" i="29"/>
  <c r="EC22" i="29"/>
  <c r="ED32" i="29"/>
  <c r="EC18" i="29"/>
  <c r="EA15" i="29"/>
  <c r="DT19" i="29"/>
  <c r="DS16" i="29"/>
  <c r="DS23" i="29" s="1"/>
  <c r="DP24" i="29"/>
  <c r="DS15" i="29"/>
  <c r="DF25" i="29"/>
  <c r="DE18" i="29"/>
  <c r="CY17" i="29"/>
  <c r="CX22" i="29"/>
  <c r="CU11" i="29"/>
  <c r="BB32" i="29"/>
  <c r="G18" i="29"/>
  <c r="D32" i="29"/>
  <c r="EY15" i="29"/>
  <c r="EE25" i="29"/>
  <c r="EA14" i="29"/>
  <c r="DU22" i="29"/>
  <c r="DT25" i="29"/>
  <c r="DS11" i="29"/>
  <c r="DP25" i="29"/>
  <c r="DO24" i="29"/>
  <c r="DF18" i="29"/>
  <c r="CY19" i="29"/>
  <c r="CX24" i="29"/>
  <c r="CV26" i="29"/>
  <c r="CT18" i="29"/>
  <c r="CQ22" i="29"/>
  <c r="CU12" i="29"/>
  <c r="CG19" i="29"/>
  <c r="CG32" i="29"/>
  <c r="CD19" i="29"/>
  <c r="CA18" i="29"/>
  <c r="BJ18" i="29"/>
  <c r="BF25" i="29"/>
  <c r="H22" i="29"/>
  <c r="K13" i="29"/>
  <c r="BB25" i="29"/>
  <c r="M24" i="29"/>
  <c r="J24" i="29"/>
  <c r="I25" i="29"/>
  <c r="G22" i="29"/>
  <c r="FG15" i="29"/>
  <c r="ER32" i="29"/>
  <c r="EP32" i="29"/>
  <c r="EQ12" i="29"/>
  <c r="EJ18" i="29"/>
  <c r="EI11" i="29"/>
  <c r="DY19" i="29"/>
  <c r="DY18" i="29"/>
  <c r="EA12" i="29"/>
  <c r="DU24" i="29"/>
  <c r="DN19" i="29"/>
  <c r="DI19" i="29"/>
  <c r="DG22" i="29"/>
  <c r="DD24" i="29"/>
  <c r="DA32" i="29"/>
  <c r="DA18" i="29"/>
  <c r="CX25" i="29"/>
  <c r="CT32" i="29"/>
  <c r="CQ25" i="29"/>
  <c r="CM14" i="29"/>
  <c r="CM24" i="29" s="1"/>
  <c r="CI18" i="29"/>
  <c r="CF19" i="29"/>
  <c r="CA26" i="29"/>
  <c r="BV24" i="29"/>
  <c r="BS32" i="29"/>
  <c r="BK18" i="29"/>
  <c r="BO12" i="29"/>
  <c r="BF24" i="29"/>
  <c r="BG12" i="29"/>
  <c r="AQ16" i="29"/>
  <c r="AQ23" i="29" s="1"/>
  <c r="AX32" i="29"/>
  <c r="AN24" i="29"/>
  <c r="F18" i="29"/>
  <c r="D24" i="29"/>
  <c r="EO32" i="29"/>
  <c r="ED24" i="29"/>
  <c r="EC17" i="29"/>
  <c r="DY26" i="29"/>
  <c r="DX18" i="29"/>
  <c r="DV32" i="29"/>
  <c r="DV18" i="29"/>
  <c r="DH32" i="29"/>
  <c r="DC15" i="29"/>
  <c r="CU15" i="29"/>
  <c r="CF23" i="29"/>
  <c r="CE17" i="29"/>
  <c r="CC22" i="29"/>
  <c r="BL18" i="29"/>
  <c r="BG15" i="29"/>
  <c r="I32" i="29"/>
  <c r="AN25" i="29"/>
  <c r="G17" i="29"/>
  <c r="DK15" i="29"/>
  <c r="DE19" i="29"/>
  <c r="DA22" i="29"/>
  <c r="CZ18" i="29"/>
  <c r="CF25" i="29"/>
  <c r="BX18" i="29"/>
  <c r="BW15" i="29"/>
  <c r="BS18" i="29"/>
  <c r="BO13" i="29"/>
  <c r="BO22" i="29" s="1"/>
  <c r="BL32" i="29"/>
  <c r="BO15" i="29"/>
  <c r="BI25" i="29"/>
  <c r="I22" i="29"/>
  <c r="BA32" i="29"/>
  <c r="L32" i="29"/>
  <c r="AQ12" i="29"/>
  <c r="AO25" i="29"/>
  <c r="F32" i="29"/>
  <c r="DM25" i="29"/>
  <c r="DN18" i="29"/>
  <c r="DM18" i="29"/>
  <c r="DK12" i="29"/>
  <c r="CV18" i="29"/>
  <c r="BU32" i="29"/>
  <c r="AL22" i="29"/>
  <c r="D26" i="29"/>
  <c r="EI13" i="29"/>
  <c r="EI19" i="29" s="1"/>
  <c r="DZ18" i="29"/>
  <c r="DI18" i="29"/>
  <c r="CV32" i="29"/>
  <c r="CG18" i="29"/>
  <c r="BN18" i="29"/>
  <c r="BF23" i="29"/>
  <c r="AY16" i="29"/>
  <c r="AY23" i="29" s="1"/>
  <c r="AX18" i="29"/>
  <c r="K15" i="29"/>
  <c r="AR18" i="29"/>
  <c r="NT18" i="29"/>
  <c r="NM17" i="29"/>
  <c r="NT32" i="29"/>
  <c r="NU22" i="29"/>
  <c r="NV32" i="29"/>
  <c r="NV25" i="29"/>
  <c r="NR18" i="29"/>
  <c r="NL32" i="29"/>
  <c r="NT23" i="29"/>
  <c r="NW15" i="29"/>
  <c r="NT25" i="29"/>
  <c r="NG24" i="29"/>
  <c r="NG25" i="29"/>
  <c r="NG32" i="29"/>
  <c r="NV17" i="29"/>
  <c r="NV18" i="29"/>
  <c r="NL19" i="29"/>
  <c r="NJ17" i="29"/>
  <c r="NI24" i="29"/>
  <c r="NF17" i="29"/>
  <c r="NC18" i="29"/>
  <c r="NC23" i="29"/>
  <c r="NB18" i="29"/>
  <c r="MZ25" i="29"/>
  <c r="MZ18" i="29"/>
  <c r="MX17" i="29"/>
  <c r="MS17" i="29"/>
  <c r="MH17" i="29"/>
  <c r="ME18" i="29"/>
  <c r="MA13" i="29"/>
  <c r="LP24" i="29"/>
  <c r="LM23" i="29"/>
  <c r="LJ17" i="29"/>
  <c r="KL25" i="29"/>
  <c r="KL24" i="29"/>
  <c r="KK17" i="29"/>
  <c r="KK18" i="29"/>
  <c r="NG13" i="29"/>
  <c r="MZ24" i="29"/>
  <c r="MO19" i="29"/>
  <c r="MO18" i="29"/>
  <c r="MI13" i="29"/>
  <c r="MC22" i="29"/>
  <c r="LX18" i="29"/>
  <c r="LT32" i="29"/>
  <c r="LO25" i="29"/>
  <c r="LL25" i="29"/>
  <c r="LF18" i="29"/>
  <c r="LE18" i="29"/>
  <c r="LD23" i="29"/>
  <c r="LC13" i="29"/>
  <c r="KW22" i="29"/>
  <c r="KT18" i="29"/>
  <c r="KR18" i="29"/>
  <c r="KJ24" i="29"/>
  <c r="KJ25" i="29"/>
  <c r="KD18" i="29"/>
  <c r="KC19" i="29"/>
  <c r="KC22" i="29"/>
  <c r="KE12" i="29"/>
  <c r="NR24" i="29"/>
  <c r="NQ18" i="29"/>
  <c r="NO32" i="29"/>
  <c r="NN26" i="29"/>
  <c r="NK17" i="29"/>
  <c r="NH25" i="29"/>
  <c r="ND25" i="29"/>
  <c r="NB19" i="29"/>
  <c r="MZ32" i="29"/>
  <c r="MV24" i="29"/>
  <c r="MO22" i="29"/>
  <c r="ML24" i="29"/>
  <c r="MK25" i="29"/>
  <c r="MJ23" i="29"/>
  <c r="MH22" i="29"/>
  <c r="LU25" i="29"/>
  <c r="LU26" i="29"/>
  <c r="LT19" i="29"/>
  <c r="LP19" i="29"/>
  <c r="LO24" i="29"/>
  <c r="LL22" i="29"/>
  <c r="LJ25" i="29"/>
  <c r="LJ32" i="29"/>
  <c r="LB19" i="29"/>
  <c r="KU16" i="29"/>
  <c r="KU23" i="29" s="1"/>
  <c r="KP17" i="29"/>
  <c r="KM24" i="29"/>
  <c r="KJ32" i="29"/>
  <c r="NP18" i="29"/>
  <c r="NL18" i="29"/>
  <c r="NO13" i="29"/>
  <c r="NT26" i="29"/>
  <c r="NR25" i="29"/>
  <c r="NO24" i="29"/>
  <c r="NN22" i="29"/>
  <c r="NN32" i="29"/>
  <c r="NL25" i="29"/>
  <c r="NI18" i="29"/>
  <c r="NH24" i="29"/>
  <c r="NH18" i="29"/>
  <c r="ND24" i="29"/>
  <c r="MY16" i="29"/>
  <c r="MY23" i="29" s="1"/>
  <c r="MW32" i="29"/>
  <c r="MW24" i="29"/>
  <c r="MV25" i="29"/>
  <c r="MU25" i="29"/>
  <c r="MT25" i="29"/>
  <c r="MS24" i="29"/>
  <c r="MR22" i="29"/>
  <c r="MN22" i="29"/>
  <c r="MA14" i="29"/>
  <c r="LX22" i="29"/>
  <c r="LW17" i="29"/>
  <c r="LV32" i="29"/>
  <c r="LU22" i="29"/>
  <c r="LT18" i="29"/>
  <c r="LS14" i="29"/>
  <c r="LP26" i="29"/>
  <c r="LF22" i="29"/>
  <c r="LE19" i="29"/>
  <c r="LD18" i="29"/>
  <c r="LA18" i="29"/>
  <c r="LC11" i="29"/>
  <c r="KZ18" i="29"/>
  <c r="KN32" i="29"/>
  <c r="KJ18" i="29"/>
  <c r="KH18" i="29"/>
  <c r="KC18" i="29"/>
  <c r="NW13" i="29"/>
  <c r="NQ22" i="29"/>
  <c r="NN19" i="29"/>
  <c r="NL24" i="29"/>
  <c r="NJ22" i="29"/>
  <c r="NA24" i="29"/>
  <c r="MY14" i="29"/>
  <c r="MV22" i="29"/>
  <c r="MT24" i="29"/>
  <c r="MR19" i="29"/>
  <c r="MD22" i="29"/>
  <c r="LZ32" i="29"/>
  <c r="LZ25" i="29"/>
  <c r="LW18" i="29"/>
  <c r="LV19" i="29"/>
  <c r="LR24" i="29"/>
  <c r="LR26" i="29"/>
  <c r="LQ26" i="29"/>
  <c r="LC16" i="29"/>
  <c r="LC23" i="29" s="1"/>
  <c r="LB32" i="29"/>
  <c r="KU13" i="29"/>
  <c r="KT24" i="29"/>
  <c r="KQ18" i="29"/>
  <c r="KL26" i="29"/>
  <c r="KK32" i="29"/>
  <c r="KK24" i="29"/>
  <c r="KG18" i="29"/>
  <c r="MZ26" i="29"/>
  <c r="MR26" i="29"/>
  <c r="MN24" i="29"/>
  <c r="LD32" i="29"/>
  <c r="KT25" i="29"/>
  <c r="KO18" i="29"/>
  <c r="KM16" i="29"/>
  <c r="KM23" i="29" s="1"/>
  <c r="KS18" i="29"/>
  <c r="KL18" i="29"/>
  <c r="NI26" i="29"/>
  <c r="MA16" i="29"/>
  <c r="MA23" i="29" s="1"/>
  <c r="LK13" i="29"/>
  <c r="LC12" i="29"/>
  <c r="KR17" i="29"/>
  <c r="KL32" i="29"/>
  <c r="KF18" i="29"/>
  <c r="KM13" i="29"/>
  <c r="KB18" i="29"/>
  <c r="JT24" i="29"/>
  <c r="JS18" i="29"/>
  <c r="JP18" i="29"/>
  <c r="JO13" i="29"/>
  <c r="JK18" i="29"/>
  <c r="JJ17" i="29"/>
  <c r="HE17" i="29"/>
  <c r="HE18" i="29"/>
  <c r="HC14" i="29"/>
  <c r="GV24" i="29"/>
  <c r="GV25" i="29"/>
  <c r="JE18" i="29"/>
  <c r="IV18" i="29"/>
  <c r="IU19" i="29"/>
  <c r="IT32" i="29"/>
  <c r="IA16" i="29"/>
  <c r="IA23" i="29" s="1"/>
  <c r="HY24" i="29"/>
  <c r="HW18" i="29"/>
  <c r="HR18" i="29"/>
  <c r="HS11" i="29"/>
  <c r="HD22" i="29"/>
  <c r="HD19" i="29"/>
  <c r="KE13" i="29"/>
  <c r="JR22" i="29"/>
  <c r="JK24" i="29"/>
  <c r="JA18" i="29"/>
  <c r="IM32" i="29"/>
  <c r="IK18" i="29"/>
  <c r="HD18" i="29"/>
  <c r="GV18" i="29"/>
  <c r="JO11" i="29"/>
  <c r="JF18" i="29"/>
  <c r="IX18" i="29"/>
  <c r="IW22" i="29"/>
  <c r="IU25" i="29"/>
  <c r="IM25" i="29"/>
  <c r="IJ25" i="29"/>
  <c r="IG25" i="29"/>
  <c r="HZ25" i="29"/>
  <c r="HY32" i="29"/>
  <c r="HW22" i="29"/>
  <c r="HT32" i="29"/>
  <c r="HR32" i="29"/>
  <c r="HR25" i="29"/>
  <c r="HN32" i="29"/>
  <c r="HF18" i="29"/>
  <c r="GV32" i="29"/>
  <c r="KI17" i="29"/>
  <c r="KH24" i="29"/>
  <c r="KG24" i="29"/>
  <c r="KF25" i="29"/>
  <c r="KC26" i="29"/>
  <c r="JV18" i="29"/>
  <c r="JT18" i="29"/>
  <c r="JS32" i="29"/>
  <c r="JR25" i="29"/>
  <c r="JP25" i="29"/>
  <c r="JN25" i="29"/>
  <c r="JL19" i="29"/>
  <c r="JI17" i="29"/>
  <c r="JH25" i="29"/>
  <c r="JD18" i="29"/>
  <c r="JC18" i="29"/>
  <c r="IY16" i="29"/>
  <c r="IY23" i="29" s="1"/>
  <c r="IU24" i="29"/>
  <c r="IT26" i="29"/>
  <c r="IQ14" i="29"/>
  <c r="IO18" i="29"/>
  <c r="IK24" i="29"/>
  <c r="IJ32" i="29"/>
  <c r="HX19" i="29"/>
  <c r="HT24" i="29"/>
  <c r="HP18" i="29"/>
  <c r="HH19" i="29"/>
  <c r="HA17" i="29"/>
  <c r="HA18" i="29"/>
  <c r="KI22" i="29"/>
  <c r="KH25" i="29"/>
  <c r="KG25" i="29"/>
  <c r="KF24" i="29"/>
  <c r="KA25" i="29"/>
  <c r="JY22" i="29"/>
  <c r="JS25" i="29"/>
  <c r="JR24" i="29"/>
  <c r="JM18" i="29"/>
  <c r="JH24" i="29"/>
  <c r="JG13" i="29"/>
  <c r="JE22" i="29"/>
  <c r="IZ18" i="29"/>
  <c r="IZ32" i="29"/>
  <c r="IV25" i="29"/>
  <c r="IT25" i="29"/>
  <c r="IS18" i="29"/>
  <c r="IP32" i="29"/>
  <c r="IP24" i="29"/>
  <c r="IO22" i="29"/>
  <c r="IK25" i="29"/>
  <c r="IH18" i="29"/>
  <c r="ID26" i="29"/>
  <c r="HX22" i="29"/>
  <c r="HV18" i="29"/>
  <c r="HU25" i="29"/>
  <c r="HK16" i="29"/>
  <c r="HK23" i="29" s="1"/>
  <c r="HI18" i="29"/>
  <c r="HC12" i="29"/>
  <c r="GZ18" i="29"/>
  <c r="JW13" i="29"/>
  <c r="JU18" i="29"/>
  <c r="JQ22" i="29"/>
  <c r="JP19" i="29"/>
  <c r="JL25" i="29"/>
  <c r="JK22" i="29"/>
  <c r="JF22" i="29"/>
  <c r="JC22" i="29"/>
  <c r="IV26" i="29"/>
  <c r="IS26" i="29"/>
  <c r="IQ11" i="29"/>
  <c r="IL18" i="29"/>
  <c r="II16" i="29"/>
  <c r="II23" i="29" s="1"/>
  <c r="IC17" i="29"/>
  <c r="HY26" i="29"/>
  <c r="HO25" i="29"/>
  <c r="HH24" i="29"/>
  <c r="HH25" i="29"/>
  <c r="HF19" i="29"/>
  <c r="HF22" i="29"/>
  <c r="GW18" i="29"/>
  <c r="IA13" i="29"/>
  <c r="HS12" i="29"/>
  <c r="HL18" i="29"/>
  <c r="HH18" i="29"/>
  <c r="HK12" i="29"/>
  <c r="GX25" i="29"/>
  <c r="GX32" i="29"/>
  <c r="GX18" i="29"/>
  <c r="GQ19" i="29"/>
  <c r="GL23" i="29"/>
  <c r="GD19" i="29"/>
  <c r="FW16" i="29"/>
  <c r="FW23" i="29" s="1"/>
  <c r="FR32" i="29"/>
  <c r="FR24" i="29"/>
  <c r="FP18" i="29"/>
  <c r="FM18" i="29"/>
  <c r="EZ32" i="29"/>
  <c r="EQ11" i="29"/>
  <c r="EL17" i="29"/>
  <c r="EL18" i="29"/>
  <c r="FT18" i="29"/>
  <c r="FN18" i="29"/>
  <c r="EK24" i="29"/>
  <c r="EK25" i="29"/>
  <c r="EK32" i="29"/>
  <c r="EH22" i="29"/>
  <c r="EH19" i="29"/>
  <c r="DT17" i="29"/>
  <c r="DT18" i="29"/>
  <c r="DO17" i="29"/>
  <c r="DO18" i="29"/>
  <c r="HC11" i="29"/>
  <c r="GQ24" i="29"/>
  <c r="GO32" i="29"/>
  <c r="GN32" i="29"/>
  <c r="GK19" i="29"/>
  <c r="GH25" i="29"/>
  <c r="GD26" i="29"/>
  <c r="GE11" i="29"/>
  <c r="FY25" i="29"/>
  <c r="FV22" i="29"/>
  <c r="FV32" i="29"/>
  <c r="FO32" i="29"/>
  <c r="FP19" i="29"/>
  <c r="FM22" i="29"/>
  <c r="FH18" i="29"/>
  <c r="FF18" i="29"/>
  <c r="FE18" i="29"/>
  <c r="EY16" i="29"/>
  <c r="EY23" i="29" s="1"/>
  <c r="ET22" i="29"/>
  <c r="EN25" i="29"/>
  <c r="EN24" i="29"/>
  <c r="EM32" i="29"/>
  <c r="EM25" i="29"/>
  <c r="EI12" i="29"/>
  <c r="DP18" i="29"/>
  <c r="DL18" i="29"/>
  <c r="GO25" i="29"/>
  <c r="GN24" i="29"/>
  <c r="GK25" i="29"/>
  <c r="GM11" i="29"/>
  <c r="GK26" i="29"/>
  <c r="GH24" i="29"/>
  <c r="GD24" i="29"/>
  <c r="GB22" i="29"/>
  <c r="FZ22" i="29"/>
  <c r="FY22" i="29"/>
  <c r="FT24" i="29"/>
  <c r="FS18" i="29"/>
  <c r="FJ19" i="29"/>
  <c r="EZ18" i="29"/>
  <c r="EQ16" i="29"/>
  <c r="EQ23" i="29" s="1"/>
  <c r="ER22" i="29"/>
  <c r="EY13" i="29"/>
  <c r="EF18" i="29"/>
  <c r="HE19" i="29"/>
  <c r="GX19" i="29"/>
  <c r="GU16" i="29"/>
  <c r="GU23" i="29" s="1"/>
  <c r="GR22" i="29"/>
  <c r="GK24" i="29"/>
  <c r="GG18" i="29"/>
  <c r="FY23" i="29"/>
  <c r="FW14" i="29"/>
  <c r="FV26" i="29"/>
  <c r="FT25" i="29"/>
  <c r="FP25" i="29"/>
  <c r="FN24" i="29"/>
  <c r="FN32" i="29"/>
  <c r="FM25" i="29"/>
  <c r="FM26" i="29"/>
  <c r="FG13" i="29"/>
  <c r="FE32" i="29"/>
  <c r="FE22" i="29"/>
  <c r="EW24" i="29"/>
  <c r="EM18" i="29"/>
  <c r="EG25" i="29"/>
  <c r="EG18" i="29"/>
  <c r="EG24" i="29"/>
  <c r="EG32" i="29"/>
  <c r="DQ22" i="29"/>
  <c r="DQ19" i="29"/>
  <c r="GB18" i="29"/>
  <c r="FX19" i="29"/>
  <c r="FV24" i="29"/>
  <c r="FR19" i="29"/>
  <c r="FL18" i="29"/>
  <c r="FK22" i="29"/>
  <c r="FJ18" i="29"/>
  <c r="FI19" i="29"/>
  <c r="FF22" i="29"/>
  <c r="FE25" i="29"/>
  <c r="FD22" i="29"/>
  <c r="EZ19" i="29"/>
  <c r="EX32" i="29"/>
  <c r="ET18" i="29"/>
  <c r="ES18" i="29"/>
  <c r="EQ15" i="29"/>
  <c r="EB18" i="29"/>
  <c r="FR26" i="29"/>
  <c r="FO13" i="29"/>
  <c r="FN26" i="29"/>
  <c r="EW22" i="29"/>
  <c r="EO22" i="29"/>
  <c r="EK18" i="29"/>
  <c r="EI15" i="29"/>
  <c r="DW23" i="29"/>
  <c r="DW18" i="29"/>
  <c r="DP19" i="29"/>
  <c r="DL32" i="29"/>
  <c r="DS14" i="29"/>
  <c r="DL24" i="29"/>
  <c r="DL25" i="29"/>
  <c r="EV18" i="29"/>
  <c r="EU32" i="29"/>
  <c r="EH18" i="29"/>
  <c r="ED19" i="29"/>
  <c r="ED22" i="29"/>
  <c r="EC32" i="29"/>
  <c r="EC24" i="29"/>
  <c r="CI24" i="29"/>
  <c r="CI25" i="29"/>
  <c r="CB32" i="29"/>
  <c r="CE16" i="29"/>
  <c r="CE23" i="29" s="1"/>
  <c r="BZ23" i="29"/>
  <c r="EP25" i="29"/>
  <c r="DW32" i="29"/>
  <c r="DS13" i="29"/>
  <c r="DJ24" i="29"/>
  <c r="DJ22" i="29"/>
  <c r="DK11" i="29"/>
  <c r="DE24" i="29"/>
  <c r="DD32" i="29"/>
  <c r="DB24" i="29"/>
  <c r="CX18" i="29"/>
  <c r="CW18" i="29"/>
  <c r="CV19" i="29"/>
  <c r="CU13" i="29"/>
  <c r="CS22" i="29"/>
  <c r="CR18" i="29"/>
  <c r="CP26" i="29"/>
  <c r="CP18" i="29"/>
  <c r="CO18" i="29"/>
  <c r="CO17" i="29"/>
  <c r="CL18" i="29"/>
  <c r="CK26" i="29"/>
  <c r="CJ19" i="29"/>
  <c r="CI32" i="29"/>
  <c r="CG25" i="29"/>
  <c r="CC32" i="29"/>
  <c r="BZ22" i="29"/>
  <c r="BW13" i="29"/>
  <c r="EH32" i="29"/>
  <c r="EA11" i="29"/>
  <c r="DR32" i="29"/>
  <c r="DM32" i="29"/>
  <c r="DB25" i="29"/>
  <c r="CU14" i="29"/>
  <c r="CK18" i="29"/>
  <c r="CJ18" i="29"/>
  <c r="CJ17" i="29"/>
  <c r="BW12" i="29"/>
  <c r="DK16" i="29"/>
  <c r="DK23" i="29" s="1"/>
  <c r="CT25" i="29"/>
  <c r="CN32" i="29"/>
  <c r="BT19" i="29"/>
  <c r="BT22" i="29"/>
  <c r="BR18" i="29"/>
  <c r="BW11" i="29"/>
  <c r="EL26" i="29"/>
  <c r="ED26" i="29"/>
  <c r="EA13" i="29"/>
  <c r="DV25" i="29"/>
  <c r="DV26" i="29"/>
  <c r="DR18" i="29"/>
  <c r="DQ18" i="29"/>
  <c r="DB18" i="29"/>
  <c r="DC16" i="29"/>
  <c r="DC23" i="29" s="1"/>
  <c r="DA25" i="29"/>
  <c r="DC12" i="29"/>
  <c r="DC13" i="29"/>
  <c r="CT24" i="29"/>
  <c r="CS26" i="29"/>
  <c r="CQ18" i="29"/>
  <c r="CK25" i="29"/>
  <c r="CK24" i="29"/>
  <c r="CF18" i="29"/>
  <c r="CB24" i="29"/>
  <c r="CB18" i="29"/>
  <c r="BZ18" i="29"/>
  <c r="BW16" i="29"/>
  <c r="BW23" i="29" s="1"/>
  <c r="DW25" i="29"/>
  <c r="DU18" i="29"/>
  <c r="DH18" i="29"/>
  <c r="DD18" i="29"/>
  <c r="CW19" i="29"/>
  <c r="CU16" i="29"/>
  <c r="CU23" i="29" s="1"/>
  <c r="CR22" i="29"/>
  <c r="CQ32" i="29"/>
  <c r="CN24" i="29"/>
  <c r="CH32" i="29"/>
  <c r="CF17" i="29"/>
  <c r="CB25" i="29"/>
  <c r="CC18" i="29"/>
  <c r="CA19" i="29"/>
  <c r="BY18" i="29"/>
  <c r="BU24" i="29"/>
  <c r="BQ24" i="29"/>
  <c r="BQ32" i="29"/>
  <c r="BQ25" i="29"/>
  <c r="DU26" i="29"/>
  <c r="DJ18" i="29"/>
  <c r="DG18" i="29"/>
  <c r="DD26" i="29"/>
  <c r="CS18" i="29"/>
  <c r="CN25" i="29"/>
  <c r="CK22" i="29"/>
  <c r="CK19" i="29"/>
  <c r="CH18" i="29"/>
  <c r="CE12" i="29"/>
  <c r="CE15" i="29"/>
  <c r="BU25" i="29"/>
  <c r="BT18" i="29"/>
  <c r="CM12" i="29"/>
  <c r="CM13" i="29"/>
  <c r="CC24" i="29"/>
  <c r="BX22" i="29"/>
  <c r="CE13" i="29"/>
  <c r="BX19" i="29"/>
  <c r="BU18" i="29"/>
  <c r="BM17" i="29"/>
  <c r="BM18" i="29"/>
  <c r="CX26" i="29"/>
  <c r="CB17" i="29"/>
  <c r="CA17" i="29"/>
  <c r="BZ17" i="29"/>
  <c r="BT32" i="29"/>
  <c r="BP18" i="29"/>
  <c r="BN24" i="29"/>
  <c r="BE18" i="29"/>
  <c r="BD19" i="29"/>
  <c r="L23" i="29"/>
  <c r="AJ32" i="29"/>
  <c r="AZ19" i="29"/>
  <c r="AX17" i="29"/>
  <c r="AW22" i="29"/>
  <c r="BN32" i="29"/>
  <c r="BM22" i="29"/>
  <c r="BE17" i="29"/>
  <c r="BC32" i="29"/>
  <c r="AY13" i="29"/>
  <c r="BL23" i="29"/>
  <c r="BI18" i="29"/>
  <c r="AL18" i="29"/>
  <c r="BJ32" i="29"/>
  <c r="BD18" i="29"/>
  <c r="BB22" i="29"/>
  <c r="BN26" i="29"/>
  <c r="CC26" i="29"/>
  <c r="CB26" i="29"/>
  <c r="BT24" i="29"/>
  <c r="BJ19" i="29"/>
  <c r="BI19" i="29"/>
  <c r="AK18" i="29"/>
  <c r="AP23" i="29"/>
  <c r="BC18" i="29"/>
  <c r="CI26" i="29"/>
  <c r="CH26" i="29"/>
  <c r="CG26" i="29"/>
  <c r="BJ26" i="29"/>
  <c r="AW18" i="29"/>
  <c r="MG26" i="29"/>
  <c r="KC35" i="29"/>
  <c r="JJ7" i="29"/>
  <c r="CR7" i="29"/>
  <c r="ML30" i="29"/>
  <c r="FI30" i="29"/>
  <c r="H8" i="29"/>
  <c r="H30" i="29" s="1"/>
  <c r="JL26" i="29"/>
  <c r="HV31" i="29"/>
  <c r="MN26" i="29"/>
  <c r="CA31" i="29"/>
  <c r="NU31" i="29"/>
  <c r="NU33" i="29" s="1"/>
  <c r="IV35" i="29"/>
  <c r="GS26" i="29"/>
  <c r="GI31" i="29"/>
  <c r="GI33" i="29" s="1"/>
  <c r="KJ35" i="29"/>
  <c r="EC26" i="29"/>
  <c r="BP35" i="29"/>
  <c r="BP26" i="29"/>
  <c r="CN7" i="29"/>
  <c r="CH7" i="29"/>
  <c r="DM7" i="29"/>
  <c r="BT7" i="29"/>
  <c r="GP35" i="29"/>
  <c r="KK35" i="29"/>
  <c r="KK26" i="29"/>
  <c r="DB31" i="29"/>
  <c r="FY30" i="29"/>
  <c r="FP7" i="29"/>
  <c r="JA7" i="29"/>
  <c r="KW7" i="29"/>
  <c r="HG7" i="29"/>
  <c r="LJ7" i="29"/>
  <c r="KK33" i="29"/>
  <c r="IW7" i="29"/>
  <c r="NL7" i="29"/>
  <c r="HE33" i="29"/>
  <c r="BH7" i="29"/>
  <c r="GW7" i="29"/>
  <c r="JR35" i="29"/>
  <c r="DA7" i="29"/>
  <c r="CS31" i="29"/>
  <c r="CS33" i="29" s="1"/>
  <c r="CF26" i="29"/>
  <c r="KZ7" i="29"/>
  <c r="CK7" i="29"/>
  <c r="LA31" i="29"/>
  <c r="LA33" i="29" s="1"/>
  <c r="KJ26" i="29"/>
  <c r="KB7" i="29"/>
  <c r="DZ26" i="29"/>
  <c r="LW26" i="29"/>
  <c r="EH33" i="29"/>
  <c r="NV7" i="29"/>
  <c r="FL7" i="29"/>
  <c r="KO30" i="29"/>
  <c r="NJ7" i="29"/>
  <c r="HX7" i="29"/>
  <c r="HW7" i="29"/>
  <c r="BY7" i="29"/>
  <c r="LN7" i="29"/>
  <c r="LY30" i="29"/>
  <c r="NI7" i="29"/>
  <c r="LE30" i="29"/>
  <c r="LE33" i="29" s="1"/>
  <c r="JH33" i="29"/>
  <c r="DF7" i="29"/>
  <c r="EX7" i="29"/>
  <c r="DO33" i="29"/>
  <c r="EE7" i="29"/>
  <c r="FF7" i="29"/>
  <c r="HA7" i="29"/>
  <c r="FP33" i="29"/>
  <c r="BM33" i="29"/>
  <c r="BS7" i="29"/>
  <c r="JQ26" i="29"/>
  <c r="JE31" i="29"/>
  <c r="E31" i="29"/>
  <c r="E33" i="29" s="1"/>
  <c r="MX26" i="29"/>
  <c r="GP26" i="29"/>
  <c r="IZ7" i="29"/>
  <c r="FU7" i="29"/>
  <c r="EW7" i="29"/>
  <c r="ER33" i="29"/>
  <c r="KH7" i="29"/>
  <c r="MX31" i="29"/>
  <c r="MX33" i="29" s="1"/>
  <c r="BU33" i="29"/>
  <c r="HW33" i="29"/>
  <c r="LO30" i="29"/>
  <c r="LM7" i="29"/>
  <c r="EE33" i="29"/>
  <c r="IL7" i="29"/>
  <c r="DP30" i="29"/>
  <c r="EZ7" i="29"/>
  <c r="DG7" i="29"/>
  <c r="AP7" i="29"/>
  <c r="MO7" i="29"/>
  <c r="NP7" i="29"/>
  <c r="LL7" i="29"/>
  <c r="LW7" i="29"/>
  <c r="NJ26" i="29"/>
  <c r="MH31" i="29"/>
  <c r="MH33" i="29" s="1"/>
  <c r="FP26" i="29"/>
  <c r="BJ31" i="29"/>
  <c r="CD30" i="29"/>
  <c r="CD33" i="29" s="1"/>
  <c r="NI35" i="29"/>
  <c r="KX26" i="29"/>
  <c r="KS35" i="29"/>
  <c r="CV31" i="29"/>
  <c r="CJ35" i="29"/>
  <c r="BR35" i="29"/>
  <c r="KV30" i="29"/>
  <c r="KV33" i="29" s="1"/>
  <c r="LJ30" i="29"/>
  <c r="LJ33" i="29" s="1"/>
  <c r="AZ7" i="29"/>
  <c r="IJ7" i="29"/>
  <c r="KQ30" i="29"/>
  <c r="BF7" i="29"/>
  <c r="EL7" i="29"/>
  <c r="MM7" i="29"/>
  <c r="KP33" i="29"/>
  <c r="LF7" i="29"/>
  <c r="DT31" i="29"/>
  <c r="BN30" i="29"/>
  <c r="BB7" i="29"/>
  <c r="FU30" i="29"/>
  <c r="CQ30" i="29"/>
  <c r="FV7" i="29"/>
  <c r="NS26" i="29"/>
  <c r="LE35" i="29"/>
  <c r="BR26" i="29"/>
  <c r="X28" i="27"/>
  <c r="Z29" i="27" s="1"/>
  <c r="L28" i="27"/>
  <c r="N29" i="27" s="1"/>
  <c r="EW30" i="29"/>
  <c r="GK7" i="29"/>
  <c r="KA30" i="29"/>
  <c r="JN30" i="29"/>
  <c r="JL7" i="29"/>
  <c r="JF7" i="29"/>
  <c r="BM7" i="29"/>
  <c r="EB7" i="29"/>
  <c r="IS7" i="29"/>
  <c r="CW7" i="29"/>
  <c r="JA30" i="29"/>
  <c r="LH7" i="29"/>
  <c r="HV30" i="29"/>
  <c r="HV33" i="29" s="1"/>
  <c r="MM30" i="29"/>
  <c r="MM33" i="29" s="1"/>
  <c r="NH7" i="29"/>
  <c r="LX7" i="29"/>
  <c r="DX30" i="29"/>
  <c r="LA7" i="29"/>
  <c r="BG9" i="29"/>
  <c r="BG29" i="29" s="1"/>
  <c r="ED7" i="29"/>
  <c r="DO7" i="29"/>
  <c r="MV30" i="29"/>
  <c r="MV33" i="29" s="1"/>
  <c r="AV30" i="29"/>
  <c r="AV33" i="29" s="1"/>
  <c r="IO7" i="29"/>
  <c r="DF30" i="29"/>
  <c r="HF7" i="29"/>
  <c r="AS7" i="29"/>
  <c r="MW7" i="29"/>
  <c r="GC7" i="29"/>
  <c r="BD7" i="29"/>
  <c r="IR30" i="29"/>
  <c r="FK7" i="29"/>
  <c r="GY7" i="29"/>
  <c r="HN7" i="29"/>
  <c r="GI7" i="29"/>
  <c r="LD35" i="29"/>
  <c r="LD26" i="29"/>
  <c r="KW26" i="29"/>
  <c r="KS26" i="29"/>
  <c r="HG35" i="29"/>
  <c r="HG26" i="29"/>
  <c r="HE35" i="29"/>
  <c r="GX26" i="29"/>
  <c r="GV31" i="29"/>
  <c r="EK31" i="29"/>
  <c r="EK33" i="29" s="1"/>
  <c r="DZ35" i="29"/>
  <c r="CQ26" i="29"/>
  <c r="CD35" i="29"/>
  <c r="CD26" i="29"/>
  <c r="AR35" i="29"/>
  <c r="NS35" i="29"/>
  <c r="NR26" i="29"/>
  <c r="LU31" i="29"/>
  <c r="LN31" i="29"/>
  <c r="LN33" i="29" s="1"/>
  <c r="AP31" i="29"/>
  <c r="AZ31" i="29"/>
  <c r="AZ33" i="29" s="1"/>
  <c r="AW26" i="29"/>
  <c r="NI31" i="29"/>
  <c r="NI33" i="29" s="1"/>
  <c r="LN35" i="29"/>
  <c r="LE26" i="29"/>
  <c r="DX26" i="29"/>
  <c r="CI35" i="29"/>
  <c r="AZ26" i="29"/>
  <c r="LR7" i="29"/>
  <c r="HT7" i="29"/>
  <c r="HT30" i="29"/>
  <c r="HQ30" i="29"/>
  <c r="HQ7" i="29"/>
  <c r="MJ7" i="29"/>
  <c r="KK7" i="29"/>
  <c r="J30" i="29"/>
  <c r="IP7" i="29"/>
  <c r="IP30" i="29"/>
  <c r="FM30" i="29"/>
  <c r="NV30" i="29"/>
  <c r="NV33" i="29" s="1"/>
  <c r="KX7" i="29"/>
  <c r="IU30" i="29"/>
  <c r="BQ30" i="29"/>
  <c r="NS7" i="29"/>
  <c r="NS30" i="29"/>
  <c r="NS33" i="29" s="1"/>
  <c r="AL30" i="29"/>
  <c r="AL7" i="29"/>
  <c r="MY8" i="29"/>
  <c r="MY30" i="29" s="1"/>
  <c r="DK9" i="29"/>
  <c r="DK29" i="29" s="1"/>
  <c r="CM9" i="29"/>
  <c r="CM29" i="29" s="1"/>
  <c r="CZ7" i="29"/>
  <c r="CZ30" i="29"/>
  <c r="FO9" i="29"/>
  <c r="FO29" i="29" s="1"/>
  <c r="KT30" i="29"/>
  <c r="KT33" i="29" s="1"/>
  <c r="KT7" i="29"/>
  <c r="DE7" i="29"/>
  <c r="MX7" i="29"/>
  <c r="KS7" i="29"/>
  <c r="LC9" i="29"/>
  <c r="LC29" i="29" s="1"/>
  <c r="NM7" i="29"/>
  <c r="NM30" i="29"/>
  <c r="IW30" i="29"/>
  <c r="NC7" i="29"/>
  <c r="BI7" i="29"/>
  <c r="HH30" i="29"/>
  <c r="CY30" i="29"/>
  <c r="CP7" i="29"/>
  <c r="AT7" i="29"/>
  <c r="AO30" i="29"/>
  <c r="AO33" i="29" s="1"/>
  <c r="FH30" i="29"/>
  <c r="IM7" i="29"/>
  <c r="KM9" i="29"/>
  <c r="KM29" i="29" s="1"/>
  <c r="NG9" i="29"/>
  <c r="NG29" i="29" s="1"/>
  <c r="DS9" i="29"/>
  <c r="DS29" i="29" s="1"/>
  <c r="EQ9" i="29"/>
  <c r="EQ29" i="29" s="1"/>
  <c r="NV35" i="29"/>
  <c r="MZ31" i="29"/>
  <c r="MV35" i="29"/>
  <c r="MV26" i="29"/>
  <c r="MU31" i="29"/>
  <c r="MK31" i="29"/>
  <c r="MJ31" i="29"/>
  <c r="MJ33" i="29" s="1"/>
  <c r="LB26" i="29"/>
  <c r="KF35" i="29"/>
  <c r="KF26" i="29"/>
  <c r="IC35" i="29"/>
  <c r="HW35" i="29"/>
  <c r="HW26" i="29"/>
  <c r="HT31" i="29"/>
  <c r="EE35" i="29"/>
  <c r="DX31" i="29"/>
  <c r="DX33" i="29" s="1"/>
  <c r="CR31" i="29"/>
  <c r="CR33" i="29" s="1"/>
  <c r="BB31" i="29"/>
  <c r="BB33" i="29" s="1"/>
  <c r="AV35" i="29"/>
  <c r="AU31" i="29"/>
  <c r="NQ35" i="29"/>
  <c r="NQ26" i="29"/>
  <c r="MN31" i="29"/>
  <c r="MN33" i="29" s="1"/>
  <c r="KR35" i="29"/>
  <c r="IS35" i="29"/>
  <c r="IR26" i="29"/>
  <c r="HP26" i="29"/>
  <c r="HN26" i="29"/>
  <c r="HF31" i="29"/>
  <c r="HF33" i="29" s="1"/>
  <c r="GX31" i="29"/>
  <c r="CR35" i="29"/>
  <c r="CK35" i="29"/>
  <c r="BB26" i="29"/>
  <c r="AU35" i="29"/>
  <c r="MG35" i="29"/>
  <c r="ME35" i="29"/>
  <c r="HP31" i="29"/>
  <c r="HP33" i="29" s="1"/>
  <c r="FN35" i="29"/>
  <c r="AL31" i="29"/>
  <c r="BD31" i="29"/>
  <c r="BD33" i="29" s="1"/>
  <c r="CB7" i="29"/>
  <c r="NL30" i="29"/>
  <c r="NL33" i="29" s="1"/>
  <c r="IF7" i="29"/>
  <c r="DW7" i="29"/>
  <c r="FT30" i="29"/>
  <c r="DL30" i="29"/>
  <c r="LZ7" i="29"/>
  <c r="JZ7" i="29"/>
  <c r="KL30" i="29"/>
  <c r="LI30" i="29"/>
  <c r="NF7" i="29"/>
  <c r="KC7" i="29"/>
  <c r="BA7" i="29"/>
  <c r="DH7" i="29"/>
  <c r="BR7" i="29"/>
  <c r="HB7" i="29"/>
  <c r="NO8" i="29"/>
  <c r="NO30" i="29" s="1"/>
  <c r="DV30" i="29"/>
  <c r="GX30" i="29"/>
  <c r="GX33" i="29" s="1"/>
  <c r="FL30" i="29"/>
  <c r="FL33" i="29" s="1"/>
  <c r="JB7" i="29"/>
  <c r="GJ30" i="29"/>
  <c r="MF30" i="29"/>
  <c r="BH30" i="29"/>
  <c r="HU30" i="29"/>
  <c r="JK7" i="29"/>
  <c r="JT7" i="29"/>
  <c r="CF7" i="29"/>
  <c r="MZ30" i="29"/>
  <c r="CA30" i="29"/>
  <c r="NE7" i="29"/>
  <c r="FD7" i="29"/>
  <c r="GT30" i="29"/>
  <c r="ND30" i="29"/>
  <c r="FR30" i="29"/>
  <c r="CK30" i="29"/>
  <c r="CE9" i="29"/>
  <c r="CE29" i="29" s="1"/>
  <c r="NW9" i="29"/>
  <c r="NW29" i="29" s="1"/>
  <c r="NT31" i="29"/>
  <c r="NC26" i="29"/>
  <c r="MU35" i="29"/>
  <c r="LX35" i="29"/>
  <c r="KI31" i="29"/>
  <c r="KH31" i="29"/>
  <c r="JJ35" i="29"/>
  <c r="IT31" i="29"/>
  <c r="IS31" i="29"/>
  <c r="IS33" i="29" s="1"/>
  <c r="IR31" i="29"/>
  <c r="IR33" i="29" s="1"/>
  <c r="IP26" i="29"/>
  <c r="HE26" i="29"/>
  <c r="GV26" i="29"/>
  <c r="GQ26" i="29"/>
  <c r="FB35" i="29"/>
  <c r="BD26" i="29"/>
  <c r="AV26" i="29"/>
  <c r="G35" i="29"/>
  <c r="NV26" i="29"/>
  <c r="NT35" i="29"/>
  <c r="KI26" i="29"/>
  <c r="KH35" i="29"/>
  <c r="HN35" i="29"/>
  <c r="DD35" i="29"/>
  <c r="CQ31" i="29"/>
  <c r="CQ33" i="29" s="1"/>
  <c r="CP31" i="29"/>
  <c r="CP33" i="29" s="1"/>
  <c r="MH35" i="29"/>
  <c r="KX31" i="29"/>
  <c r="KX33" i="29" s="1"/>
  <c r="KR31" i="29"/>
  <c r="JQ31" i="29"/>
  <c r="JQ33" i="29" s="1"/>
  <c r="IW31" i="29"/>
  <c r="HO35" i="29"/>
  <c r="HM35" i="29"/>
  <c r="HM26" i="29"/>
  <c r="HF35" i="29"/>
  <c r="GW35" i="29"/>
  <c r="GW26" i="29"/>
  <c r="GS31" i="29"/>
  <c r="GS33" i="29" s="1"/>
  <c r="GK31" i="29"/>
  <c r="GK33" i="29" s="1"/>
  <c r="FN31" i="29"/>
  <c r="FN33" i="29" s="1"/>
  <c r="EZ26" i="29"/>
  <c r="EX26" i="29"/>
  <c r="DU35" i="29"/>
  <c r="DG31" i="29"/>
  <c r="CC35" i="29"/>
  <c r="BO5" i="29"/>
  <c r="BO31" i="29" s="1"/>
  <c r="I26" i="29"/>
  <c r="BG5" i="29"/>
  <c r="BG35" i="29" s="1"/>
  <c r="AT35" i="29"/>
  <c r="BA31" i="29"/>
  <c r="BA33" i="29" s="1"/>
  <c r="E26" i="29"/>
  <c r="NK30" i="29"/>
  <c r="NK7" i="29"/>
  <c r="BO9" i="29"/>
  <c r="BO29" i="29" s="1"/>
  <c r="LT29" i="29"/>
  <c r="MA9" i="29"/>
  <c r="MA29" i="29" s="1"/>
  <c r="GV30" i="29"/>
  <c r="HY30" i="29"/>
  <c r="AJ30" i="29"/>
  <c r="BJ30" i="29"/>
  <c r="BJ33" i="29" s="1"/>
  <c r="MU30" i="29"/>
  <c r="FO8" i="29"/>
  <c r="FO30" i="29" s="1"/>
  <c r="G7" i="29"/>
  <c r="G30" i="29"/>
  <c r="G33" i="29" s="1"/>
  <c r="MK30" i="29"/>
  <c r="LU30" i="29"/>
  <c r="GD30" i="29"/>
  <c r="GD7" i="29"/>
  <c r="JW9" i="29"/>
  <c r="JW29" i="29" s="1"/>
  <c r="GM9" i="29"/>
  <c r="GM29" i="29" s="1"/>
  <c r="KU9" i="29"/>
  <c r="KU29" i="29" s="1"/>
  <c r="MI9" i="29"/>
  <c r="MI29" i="29" s="1"/>
  <c r="EI9" i="29"/>
  <c r="EI29" i="29" s="1"/>
  <c r="LP7" i="29"/>
  <c r="LP30" i="29"/>
  <c r="ER29" i="29"/>
  <c r="EY9" i="29"/>
  <c r="EY29" i="29" s="1"/>
  <c r="MK29" i="29"/>
  <c r="MQ9" i="29"/>
  <c r="MQ29" i="29" s="1"/>
  <c r="DQ7" i="29"/>
  <c r="AY8" i="29"/>
  <c r="AY30" i="29" s="1"/>
  <c r="JV30" i="29"/>
  <c r="JV33" i="29" s="1"/>
  <c r="FC30" i="29"/>
  <c r="FC7" i="29"/>
  <c r="FG9" i="29"/>
  <c r="FG29" i="29" s="1"/>
  <c r="JO9" i="29"/>
  <c r="JO29" i="29" s="1"/>
  <c r="AR29" i="29"/>
  <c r="AY9" i="29"/>
  <c r="AY29" i="29" s="1"/>
  <c r="FX29" i="29"/>
  <c r="GE9" i="29"/>
  <c r="GE29" i="29" s="1"/>
  <c r="HE7" i="29"/>
  <c r="EZ30" i="29"/>
  <c r="LS8" i="29"/>
  <c r="LS30" i="29" s="1"/>
  <c r="MG30" i="29"/>
  <c r="MG33" i="29" s="1"/>
  <c r="FF30" i="29"/>
  <c r="LQ7" i="29"/>
  <c r="BS30" i="29"/>
  <c r="IH30" i="29"/>
  <c r="IH33" i="29" s="1"/>
  <c r="IH7" i="29"/>
  <c r="EA9" i="29"/>
  <c r="EA29" i="29" s="1"/>
  <c r="IC7" i="29"/>
  <c r="IC30" i="29"/>
  <c r="JI30" i="29"/>
  <c r="JI33" i="29" s="1"/>
  <c r="JI7" i="29"/>
  <c r="K9" i="29"/>
  <c r="JA29" i="29"/>
  <c r="JG9" i="29"/>
  <c r="JG29" i="29" s="1"/>
  <c r="IR29" i="29"/>
  <c r="IY9" i="29"/>
  <c r="IY29" i="29" s="1"/>
  <c r="MT30" i="29"/>
  <c r="GH7" i="29"/>
  <c r="FJ7" i="29"/>
  <c r="BZ7" i="29"/>
  <c r="AX7" i="29"/>
  <c r="JW8" i="29"/>
  <c r="JW30" i="29" s="1"/>
  <c r="JU7" i="29"/>
  <c r="KU8" i="29"/>
  <c r="KU30" i="29" s="1"/>
  <c r="AW7" i="29"/>
  <c r="ID30" i="29"/>
  <c r="NQ30" i="29"/>
  <c r="NQ33" i="29" s="1"/>
  <c r="LL30" i="29"/>
  <c r="HA30" i="29"/>
  <c r="AK7" i="29"/>
  <c r="DY30" i="29"/>
  <c r="JG8" i="29"/>
  <c r="JG30" i="29" s="1"/>
  <c r="HK8" i="29"/>
  <c r="HK30" i="29" s="1"/>
  <c r="KY7" i="29"/>
  <c r="KY30" i="29"/>
  <c r="JS30" i="29"/>
  <c r="JP7" i="29"/>
  <c r="JP30" i="29"/>
  <c r="NT7" i="29"/>
  <c r="NT30" i="29"/>
  <c r="HJ7" i="29"/>
  <c r="KE9" i="29"/>
  <c r="KE29" i="29" s="1"/>
  <c r="JH29" i="29"/>
  <c r="DC9" i="29"/>
  <c r="DC29" i="29" s="1"/>
  <c r="MY9" i="29"/>
  <c r="MY29" i="29" s="1"/>
  <c r="LK9" i="29"/>
  <c r="LK29" i="29" s="1"/>
  <c r="IA9" i="29"/>
  <c r="IA29" i="29" s="1"/>
  <c r="LS9" i="29"/>
  <c r="LS29" i="29" s="1"/>
  <c r="F30" i="29"/>
  <c r="F7" i="29"/>
  <c r="FQ30" i="29"/>
  <c r="FQ33" i="29" s="1"/>
  <c r="FW8" i="29"/>
  <c r="FW30" i="29" s="1"/>
  <c r="IJ29" i="29"/>
  <c r="IQ9" i="29"/>
  <c r="IQ29" i="29" s="1"/>
  <c r="IC29" i="29"/>
  <c r="II9" i="29"/>
  <c r="II29" i="29" s="1"/>
  <c r="GN29" i="29"/>
  <c r="GU9" i="29"/>
  <c r="GU29" i="29" s="1"/>
  <c r="CO29" i="29"/>
  <c r="CU9" i="29"/>
  <c r="CU29" i="29" s="1"/>
  <c r="IV7" i="29"/>
  <c r="IV30" i="29"/>
  <c r="NI29" i="29"/>
  <c r="NO9" i="29"/>
  <c r="NO29" i="29" s="1"/>
  <c r="IG30" i="29"/>
  <c r="IG7" i="29"/>
  <c r="HE29" i="29"/>
  <c r="HK9" i="29"/>
  <c r="HK29" i="29" s="1"/>
  <c r="AJ29" i="29"/>
  <c r="AQ9" i="29"/>
  <c r="AQ29" i="29" s="1"/>
  <c r="KG7" i="29"/>
  <c r="HZ7" i="29"/>
  <c r="BW9" i="29"/>
  <c r="BW29" i="29" s="1"/>
  <c r="HS9" i="29"/>
  <c r="HS29" i="29" s="1"/>
  <c r="GM8" i="29"/>
  <c r="GM30" i="29" s="1"/>
  <c r="KJ7" i="29"/>
  <c r="KJ30" i="29"/>
  <c r="KJ33" i="29" s="1"/>
  <c r="AU7" i="29"/>
  <c r="AU30" i="29"/>
  <c r="FR29" i="29"/>
  <c r="FW9" i="29"/>
  <c r="FW29" i="29" s="1"/>
  <c r="HC9" i="29"/>
  <c r="HC29" i="29" s="1"/>
  <c r="LR35" i="29"/>
  <c r="LR31" i="29"/>
  <c r="LR33" i="29" s="1"/>
  <c r="LM31" i="29"/>
  <c r="LM35" i="29"/>
  <c r="KG35" i="29"/>
  <c r="KG26" i="29"/>
  <c r="JB26" i="29"/>
  <c r="JA31" i="29"/>
  <c r="JA33" i="29" s="1"/>
  <c r="JA35" i="29"/>
  <c r="IK26" i="29"/>
  <c r="IK31" i="29"/>
  <c r="HV35" i="29"/>
  <c r="HU31" i="29"/>
  <c r="HQ35" i="29"/>
  <c r="HQ26" i="29"/>
  <c r="FG5" i="29"/>
  <c r="FG35" i="29" s="1"/>
  <c r="ES26" i="29"/>
  <c r="ES31" i="29"/>
  <c r="EO26" i="29"/>
  <c r="L26" i="29"/>
  <c r="L35" i="29"/>
  <c r="NN31" i="29"/>
  <c r="NP26" i="29"/>
  <c r="NP31" i="29"/>
  <c r="NJ31" i="29"/>
  <c r="NE31" i="29"/>
  <c r="NE33" i="29" s="1"/>
  <c r="NF26" i="29"/>
  <c r="NF35" i="29"/>
  <c r="ND26" i="29"/>
  <c r="NB26" i="29"/>
  <c r="MO31" i="29"/>
  <c r="MO33" i="29" s="1"/>
  <c r="MO35" i="29"/>
  <c r="LT31" i="29"/>
  <c r="LT26" i="29"/>
  <c r="LT35" i="29"/>
  <c r="KT35" i="29"/>
  <c r="KT26" i="29"/>
  <c r="KQ26" i="29"/>
  <c r="KN26" i="29"/>
  <c r="JC31" i="29"/>
  <c r="JC35" i="29"/>
  <c r="IK35" i="29"/>
  <c r="IG26" i="29"/>
  <c r="IF31" i="29"/>
  <c r="IF33" i="29" s="1"/>
  <c r="HR26" i="29"/>
  <c r="HR35" i="29"/>
  <c r="FQ35" i="29"/>
  <c r="FQ26" i="29"/>
  <c r="EO31" i="29"/>
  <c r="DW26" i="29"/>
  <c r="BU35" i="29"/>
  <c r="BU26" i="29"/>
  <c r="BI26" i="29"/>
  <c r="BI35" i="29"/>
  <c r="J31" i="29"/>
  <c r="AJ31" i="29"/>
  <c r="AQ5" i="29"/>
  <c r="AQ35" i="29" s="1"/>
  <c r="AO35" i="29"/>
  <c r="LK8" i="29"/>
  <c r="LK30" i="29" s="1"/>
  <c r="BW8" i="29"/>
  <c r="BW30" i="29" s="1"/>
  <c r="MQ8" i="29"/>
  <c r="MQ30" i="29" s="1"/>
  <c r="LM33" i="29"/>
  <c r="NP35" i="29"/>
  <c r="NN35" i="29"/>
  <c r="NE35" i="29"/>
  <c r="ND31" i="29"/>
  <c r="NA26" i="29"/>
  <c r="NA35" i="29"/>
  <c r="MT26" i="29"/>
  <c r="MT35" i="29"/>
  <c r="MP26" i="29"/>
  <c r="LX31" i="29"/>
  <c r="LX33" i="29" s="1"/>
  <c r="LB35" i="29"/>
  <c r="KQ31" i="29"/>
  <c r="KC31" i="29"/>
  <c r="KC33" i="29" s="1"/>
  <c r="JY31" i="29"/>
  <c r="JV35" i="29"/>
  <c r="JJ31" i="29"/>
  <c r="JJ33" i="29" s="1"/>
  <c r="JI35" i="29"/>
  <c r="JI26" i="29"/>
  <c r="HY31" i="29"/>
  <c r="HU26" i="29"/>
  <c r="HT26" i="29"/>
  <c r="HQ31" i="29"/>
  <c r="HQ33" i="29" s="1"/>
  <c r="HO26" i="29"/>
  <c r="HJ26" i="29"/>
  <c r="HJ35" i="29"/>
  <c r="GI26" i="29"/>
  <c r="GB35" i="29"/>
  <c r="GB26" i="29"/>
  <c r="FU31" i="29"/>
  <c r="FU33" i="29" s="1"/>
  <c r="FR35" i="29"/>
  <c r="FR31" i="29"/>
  <c r="FM35" i="29"/>
  <c r="FM31" i="29"/>
  <c r="FM33" i="29" s="1"/>
  <c r="EZ31" i="29"/>
  <c r="EN26" i="29"/>
  <c r="EM35" i="29"/>
  <c r="EM26" i="29"/>
  <c r="EK26" i="29"/>
  <c r="EJ26" i="29"/>
  <c r="EJ35" i="29"/>
  <c r="DU31" i="29"/>
  <c r="DG26" i="29"/>
  <c r="CO35" i="29"/>
  <c r="J35" i="29"/>
  <c r="AS35" i="29"/>
  <c r="BC31" i="29"/>
  <c r="BC33" i="29" s="1"/>
  <c r="AO26" i="29"/>
  <c r="G26" i="29"/>
  <c r="E7" i="29"/>
  <c r="NM31" i="29"/>
  <c r="NM26" i="29"/>
  <c r="MC35" i="29"/>
  <c r="MC31" i="29"/>
  <c r="MC33" i="29" s="1"/>
  <c r="IB35" i="29"/>
  <c r="IB26" i="29"/>
  <c r="HI31" i="29"/>
  <c r="HI26" i="29"/>
  <c r="HI35" i="29"/>
  <c r="GA35" i="29"/>
  <c r="GA26" i="29"/>
  <c r="FV31" i="29"/>
  <c r="FV33" i="29" s="1"/>
  <c r="FV35" i="29"/>
  <c r="ET31" i="29"/>
  <c r="ET26" i="29"/>
  <c r="ET35" i="29"/>
  <c r="CN35" i="29"/>
  <c r="CN31" i="29"/>
  <c r="CN33" i="29" s="1"/>
  <c r="CL35" i="29"/>
  <c r="CL26" i="29"/>
  <c r="BT26" i="29"/>
  <c r="BT35" i="29"/>
  <c r="AN31" i="29"/>
  <c r="AN33" i="29" s="1"/>
  <c r="AN26" i="29"/>
  <c r="AX31" i="29"/>
  <c r="AX33" i="29" s="1"/>
  <c r="AX35" i="29"/>
  <c r="GL30" i="29"/>
  <c r="GL7" i="29"/>
  <c r="DT7" i="29"/>
  <c r="DT30" i="29"/>
  <c r="HO30" i="29"/>
  <c r="HO33" i="29" s="1"/>
  <c r="DR7" i="29"/>
  <c r="ET30" i="29"/>
  <c r="NU7" i="29"/>
  <c r="AQ8" i="29"/>
  <c r="JO8" i="29"/>
  <c r="JO30" i="29" s="1"/>
  <c r="EA8" i="29"/>
  <c r="EA30" i="29" s="1"/>
  <c r="IZ30" i="29"/>
  <c r="JY30" i="29"/>
  <c r="NR30" i="29"/>
  <c r="EG30" i="29"/>
  <c r="II8" i="29"/>
  <c r="II30" i="29" s="1"/>
  <c r="AP30" i="29"/>
  <c r="CG30" i="29"/>
  <c r="JC30" i="29"/>
  <c r="GF30" i="29"/>
  <c r="IX30" i="29"/>
  <c r="IX33" i="29" s="1"/>
  <c r="DG30" i="29"/>
  <c r="EY8" i="29"/>
  <c r="EY30" i="29" s="1"/>
  <c r="FB7" i="29"/>
  <c r="CL7" i="29"/>
  <c r="CL30" i="29"/>
  <c r="CT30" i="29"/>
  <c r="CT7" i="29"/>
  <c r="KW30" i="29"/>
  <c r="EF7" i="29"/>
  <c r="FJ30" i="29"/>
  <c r="FJ33" i="29" s="1"/>
  <c r="JH7" i="29"/>
  <c r="JD7" i="29"/>
  <c r="MC7" i="29"/>
  <c r="FX30" i="29"/>
  <c r="HM30" i="29"/>
  <c r="HM33" i="29" s="1"/>
  <c r="KI30" i="29"/>
  <c r="KI33" i="29" s="1"/>
  <c r="GA7" i="29"/>
  <c r="GF7" i="29"/>
  <c r="MR7" i="29"/>
  <c r="CM8" i="29"/>
  <c r="CM30" i="29" s="1"/>
  <c r="AR7" i="29"/>
  <c r="EP30" i="29"/>
  <c r="BU7" i="29"/>
  <c r="GG30" i="29"/>
  <c r="HS8" i="29"/>
  <c r="HS30" i="29" s="1"/>
  <c r="BG8" i="29"/>
  <c r="BG30" i="29" s="1"/>
  <c r="MD7" i="29"/>
  <c r="KR30" i="29"/>
  <c r="ES30" i="29"/>
  <c r="HL30" i="29"/>
  <c r="MH7" i="29"/>
  <c r="GS7" i="29"/>
  <c r="KP7" i="29"/>
  <c r="KH30" i="29"/>
  <c r="DN30" i="29"/>
  <c r="DN7" i="29"/>
  <c r="EQ8" i="29"/>
  <c r="EQ30" i="29" s="1"/>
  <c r="EO30" i="29"/>
  <c r="FZ30" i="29"/>
  <c r="FZ33" i="29" s="1"/>
  <c r="FZ7" i="29"/>
  <c r="NB30" i="29"/>
  <c r="NB7" i="29"/>
  <c r="IA8" i="29"/>
  <c r="IA30" i="29" s="1"/>
  <c r="FA7" i="29"/>
  <c r="FA30" i="29"/>
  <c r="FA33" i="29" s="1"/>
  <c r="BL30" i="29"/>
  <c r="BL7" i="29"/>
  <c r="FE30" i="29"/>
  <c r="FE7" i="29"/>
  <c r="MS7" i="29"/>
  <c r="MS30" i="29"/>
  <c r="MS33" i="29" s="1"/>
  <c r="GP7" i="29"/>
  <c r="GP30" i="29"/>
  <c r="GP33" i="29" s="1"/>
  <c r="GZ7" i="29"/>
  <c r="GZ30" i="29"/>
  <c r="CE8" i="29"/>
  <c r="CE30" i="29" s="1"/>
  <c r="BX7" i="29"/>
  <c r="IT30" i="29"/>
  <c r="IT7" i="29"/>
  <c r="HR7" i="29"/>
  <c r="HR30" i="29"/>
  <c r="CJ7" i="29"/>
  <c r="CJ30" i="29"/>
  <c r="CJ33" i="29" s="1"/>
  <c r="IK30" i="29"/>
  <c r="IK7" i="29"/>
  <c r="GO30" i="29"/>
  <c r="GO33" i="29" s="1"/>
  <c r="GO7" i="29"/>
  <c r="JE7" i="29"/>
  <c r="JE30" i="29"/>
  <c r="JE33" i="29" s="1"/>
  <c r="GR7" i="29"/>
  <c r="GR30" i="29"/>
  <c r="NA7" i="29"/>
  <c r="MN7" i="29"/>
  <c r="IL30" i="29"/>
  <c r="BP7" i="29"/>
  <c r="DB30" i="29"/>
  <c r="DB33" i="29" s="1"/>
  <c r="DB7" i="29"/>
  <c r="IB7" i="29"/>
  <c r="IB30" i="29"/>
  <c r="IB33" i="29" s="1"/>
  <c r="EV7" i="29"/>
  <c r="EV30" i="29"/>
  <c r="AM7" i="29"/>
  <c r="AM30" i="29"/>
  <c r="CI30" i="29"/>
  <c r="CI7" i="29"/>
  <c r="CO30" i="29"/>
  <c r="CO33" i="29" s="1"/>
  <c r="CU8" i="29"/>
  <c r="CU30" i="29" s="1"/>
  <c r="M8" i="29"/>
  <c r="EI8" i="29"/>
  <c r="EI30" i="29" s="1"/>
  <c r="LM26" i="29"/>
  <c r="LL26" i="29"/>
  <c r="KW31" i="29"/>
  <c r="JL35" i="29"/>
  <c r="JH35" i="29"/>
  <c r="JH26" i="29"/>
  <c r="IW26" i="29"/>
  <c r="HX35" i="29"/>
  <c r="HX31" i="29"/>
  <c r="HX33" i="29" s="1"/>
  <c r="GO35" i="29"/>
  <c r="GO26" i="29"/>
  <c r="GJ26" i="29"/>
  <c r="GJ31" i="29"/>
  <c r="GC35" i="29"/>
  <c r="GD31" i="29"/>
  <c r="GD35" i="29"/>
  <c r="GA31" i="29"/>
  <c r="GA33" i="29" s="1"/>
  <c r="FZ35" i="29"/>
  <c r="FZ26" i="29"/>
  <c r="FE26" i="29"/>
  <c r="EX31" i="29"/>
  <c r="EX33" i="29" s="1"/>
  <c r="EV35" i="29"/>
  <c r="EV26" i="29"/>
  <c r="DL26" i="29"/>
  <c r="DL35" i="29"/>
  <c r="DI26" i="29"/>
  <c r="DI31" i="29"/>
  <c r="DA35" i="29"/>
  <c r="DA26" i="29"/>
  <c r="DA31" i="29"/>
  <c r="DA33" i="29" s="1"/>
  <c r="NL35" i="29"/>
  <c r="NC31" i="29"/>
  <c r="NC33" i="29" s="1"/>
  <c r="MZ35" i="29"/>
  <c r="MM26" i="29"/>
  <c r="MJ26" i="29"/>
  <c r="MI5" i="29"/>
  <c r="ME26" i="29"/>
  <c r="MD31" i="29"/>
  <c r="MD33" i="29" s="1"/>
  <c r="LW31" i="29"/>
  <c r="LW33" i="29" s="1"/>
  <c r="LU35" i="29"/>
  <c r="KV35" i="29"/>
  <c r="KV26" i="29"/>
  <c r="KP35" i="29"/>
  <c r="KP26" i="29"/>
  <c r="JV26" i="29"/>
  <c r="JD35" i="29"/>
  <c r="JD31" i="29"/>
  <c r="JD33" i="29" s="1"/>
  <c r="IX26" i="29"/>
  <c r="IX35" i="29"/>
  <c r="IU35" i="29"/>
  <c r="IU26" i="29"/>
  <c r="IY5" i="29"/>
  <c r="IY31" i="29" s="1"/>
  <c r="IN26" i="29"/>
  <c r="IN31" i="29"/>
  <c r="IM31" i="29"/>
  <c r="IM33" i="29" s="1"/>
  <c r="IM26" i="29"/>
  <c r="GY26" i="29"/>
  <c r="GY35" i="29"/>
  <c r="GQ31" i="29"/>
  <c r="GQ33" i="29" s="1"/>
  <c r="GJ35" i="29"/>
  <c r="GH35" i="29"/>
  <c r="GH31" i="29"/>
  <c r="GH33" i="29" s="1"/>
  <c r="FJ35" i="29"/>
  <c r="FJ26" i="29"/>
  <c r="FH26" i="29"/>
  <c r="FH31" i="29"/>
  <c r="FH33" i="29" s="1"/>
  <c r="FE31" i="29"/>
  <c r="EW31" i="29"/>
  <c r="EW26" i="29"/>
  <c r="EU26" i="29"/>
  <c r="EU35" i="29"/>
  <c r="EN31" i="29"/>
  <c r="EN33" i="29" s="1"/>
  <c r="EC31" i="29"/>
  <c r="DY31" i="29"/>
  <c r="DY35" i="29"/>
  <c r="DT26" i="29"/>
  <c r="DI35" i="29"/>
  <c r="NF31" i="29"/>
  <c r="NF33" i="29" s="1"/>
  <c r="MQ5" i="29"/>
  <c r="MD35" i="29"/>
  <c r="LQ35" i="29"/>
  <c r="KL35" i="29"/>
  <c r="KL31" i="29"/>
  <c r="JF26" i="29"/>
  <c r="JF31" i="29"/>
  <c r="JF33" i="29" s="1"/>
  <c r="IO26" i="29"/>
  <c r="IO35" i="29"/>
  <c r="GF31" i="29"/>
  <c r="GF26" i="29"/>
  <c r="FX26" i="29"/>
  <c r="FX35" i="29"/>
  <c r="FS26" i="29"/>
  <c r="FS31" i="29"/>
  <c r="FK35" i="29"/>
  <c r="FK26" i="29"/>
  <c r="FD31" i="29"/>
  <c r="FD33" i="29" s="1"/>
  <c r="FD26" i="29"/>
  <c r="EW35" i="29"/>
  <c r="DV31" i="29"/>
  <c r="DV33" i="29" s="1"/>
  <c r="DV35" i="29"/>
  <c r="NM35" i="29"/>
  <c r="NL26" i="29"/>
  <c r="MT31" i="29"/>
  <c r="MM35" i="29"/>
  <c r="KD35" i="29"/>
  <c r="JU26" i="29"/>
  <c r="JU31" i="29"/>
  <c r="JU33" i="29" s="1"/>
  <c r="JF35" i="29"/>
  <c r="JB31" i="29"/>
  <c r="JB33" i="29" s="1"/>
  <c r="HH31" i="29"/>
  <c r="HH33" i="29" s="1"/>
  <c r="HH26" i="29"/>
  <c r="GG31" i="29"/>
  <c r="GG26" i="29"/>
  <c r="GG35" i="29"/>
  <c r="FY31" i="29"/>
  <c r="FY26" i="29"/>
  <c r="ER26" i="29"/>
  <c r="ER35" i="29"/>
  <c r="EG26" i="29"/>
  <c r="EG31" i="29"/>
  <c r="DQ35" i="29"/>
  <c r="DP26" i="29"/>
  <c r="DP31" i="29"/>
  <c r="DO35" i="29"/>
  <c r="DO26" i="29"/>
  <c r="DL31" i="29"/>
  <c r="DL33" i="29" s="1"/>
  <c r="CF31" i="29"/>
  <c r="CF33" i="29" s="1"/>
  <c r="BH31" i="29"/>
  <c r="JY35" i="29"/>
  <c r="JG5" i="29"/>
  <c r="IV31" i="29"/>
  <c r="IV33" i="29" s="1"/>
  <c r="HY35" i="29"/>
  <c r="HR31" i="29"/>
  <c r="EE26" i="29"/>
  <c r="ED31" i="29"/>
  <c r="ED33" i="29" s="1"/>
  <c r="DD31" i="29"/>
  <c r="DB26" i="29"/>
  <c r="CY31" i="29"/>
  <c r="CX31" i="29"/>
  <c r="CN26" i="29"/>
  <c r="CJ26" i="29"/>
  <c r="CI31" i="29"/>
  <c r="CC31" i="29"/>
  <c r="CC33" i="29" s="1"/>
  <c r="CA35" i="29"/>
  <c r="BM35" i="29"/>
  <c r="BH35" i="29"/>
  <c r="L31" i="29"/>
  <c r="AP35" i="29"/>
  <c r="BE35" i="29"/>
  <c r="BE31" i="29"/>
  <c r="F35" i="29"/>
  <c r="AM35" i="29"/>
  <c r="AM31" i="29"/>
  <c r="CY35" i="29"/>
  <c r="CW26" i="29"/>
  <c r="DK5" i="29"/>
  <c r="DK31" i="29" s="1"/>
  <c r="CO26" i="29"/>
  <c r="CL31" i="29"/>
  <c r="CH35" i="29"/>
  <c r="BL26" i="29"/>
  <c r="M26" i="29"/>
  <c r="AK26" i="29"/>
  <c r="AW35" i="29"/>
  <c r="L7" i="29"/>
  <c r="L30" i="29"/>
  <c r="DC8" i="29"/>
  <c r="MA8" i="29"/>
  <c r="LT30" i="29"/>
  <c r="LT33" i="29" s="1"/>
  <c r="CX30" i="29"/>
  <c r="NJ30" i="29"/>
  <c r="GE8" i="29"/>
  <c r="LB7" i="29"/>
  <c r="DU30" i="29"/>
  <c r="IQ8" i="29"/>
  <c r="FG8" i="29"/>
  <c r="DS8" i="29"/>
  <c r="NN30" i="29"/>
  <c r="DJ30" i="29"/>
  <c r="JX30" i="29"/>
  <c r="JX33" i="29" s="1"/>
  <c r="JX7" i="29"/>
  <c r="EC30" i="29"/>
  <c r="EC7" i="29"/>
  <c r="CO7" i="29"/>
  <c r="CC7" i="29"/>
  <c r="MB7" i="29"/>
  <c r="MB30" i="29"/>
  <c r="AN7" i="29"/>
  <c r="K29" i="29"/>
  <c r="EM7" i="29"/>
  <c r="EM30" i="29"/>
  <c r="EM33" i="29" s="1"/>
  <c r="KF30" i="29"/>
  <c r="KF33" i="29" s="1"/>
  <c r="KM8" i="29"/>
  <c r="LG7" i="29"/>
  <c r="BE30" i="29"/>
  <c r="LD30" i="29"/>
  <c r="LD33" i="29" s="1"/>
  <c r="EU30" i="29"/>
  <c r="EU33" i="29" s="1"/>
  <c r="CV30" i="29"/>
  <c r="CV33" i="29" s="1"/>
  <c r="GN30" i="29"/>
  <c r="DD30" i="29"/>
  <c r="IY8" i="29"/>
  <c r="JM30" i="29"/>
  <c r="NG8" i="29"/>
  <c r="CS7" i="29"/>
  <c r="LC8" i="29"/>
  <c r="CV7" i="29"/>
  <c r="MI8" i="29"/>
  <c r="HC8" i="29"/>
  <c r="KD30" i="29"/>
  <c r="KE8" i="29"/>
  <c r="BP30" i="29"/>
  <c r="BP33" i="29" s="1"/>
  <c r="HD30" i="29"/>
  <c r="GU8" i="29"/>
  <c r="DZ7" i="29"/>
  <c r="JR30" i="29"/>
  <c r="EH7" i="29"/>
  <c r="JQ7" i="29"/>
  <c r="DM30" i="29"/>
  <c r="BC7" i="29"/>
  <c r="LF30" i="29"/>
  <c r="DI30" i="29"/>
  <c r="DI7" i="29"/>
  <c r="HP7" i="29"/>
  <c r="ER7" i="29"/>
  <c r="EJ7" i="29"/>
  <c r="EJ30" i="29"/>
  <c r="EJ33" i="29" s="1"/>
  <c r="EK7" i="29"/>
  <c r="KN7" i="29"/>
  <c r="KN30" i="29"/>
  <c r="KN33" i="29" s="1"/>
  <c r="IE7" i="29"/>
  <c r="IE30" i="29"/>
  <c r="DK8" i="29"/>
  <c r="BO8" i="29"/>
  <c r="GW30" i="29"/>
  <c r="GW33" i="29" s="1"/>
  <c r="BK7" i="29"/>
  <c r="BK30" i="29"/>
  <c r="FN7" i="29"/>
  <c r="NP30" i="29"/>
  <c r="NW8" i="29"/>
  <c r="LV7" i="29"/>
  <c r="HI30" i="29"/>
  <c r="HI7" i="29"/>
  <c r="FS30" i="29"/>
  <c r="FS7" i="29"/>
  <c r="IN7" i="29"/>
  <c r="IN30" i="29"/>
  <c r="IN33" i="29" s="1"/>
  <c r="KF7" i="29"/>
  <c r="LT7" i="29"/>
  <c r="GB30" i="29"/>
  <c r="GB33" i="29" s="1"/>
  <c r="GB7" i="29"/>
  <c r="Q9" i="27"/>
  <c r="KB26" i="29"/>
  <c r="KB35" i="29"/>
  <c r="JT31" i="29"/>
  <c r="JT33" i="29" s="1"/>
  <c r="JT26" i="29"/>
  <c r="JM26" i="29"/>
  <c r="JM35" i="29"/>
  <c r="JM31" i="29"/>
  <c r="IL26" i="29"/>
  <c r="IL35" i="29"/>
  <c r="HZ26" i="29"/>
  <c r="HZ35" i="29"/>
  <c r="IA5" i="29"/>
  <c r="HL35" i="29"/>
  <c r="HS5" i="29"/>
  <c r="HL31" i="29"/>
  <c r="HB26" i="29"/>
  <c r="HB31" i="29"/>
  <c r="HB33" i="29" s="1"/>
  <c r="GR35" i="29"/>
  <c r="GR26" i="29"/>
  <c r="FG31" i="29"/>
  <c r="DM26" i="29"/>
  <c r="DM31" i="29"/>
  <c r="DS5" i="29"/>
  <c r="CZ26" i="29"/>
  <c r="CZ35" i="29"/>
  <c r="DC5" i="29"/>
  <c r="CB35" i="29"/>
  <c r="CB31" i="29"/>
  <c r="CB33" i="29" s="1"/>
  <c r="BZ31" i="29"/>
  <c r="BZ33" i="29" s="1"/>
  <c r="BZ26" i="29"/>
  <c r="BY31" i="29"/>
  <c r="BY33" i="29" s="1"/>
  <c r="BY26" i="29"/>
  <c r="BX26" i="29"/>
  <c r="BX35" i="29"/>
  <c r="BX31" i="29"/>
  <c r="BX33" i="29" s="1"/>
  <c r="CE5" i="29"/>
  <c r="BV31" i="29"/>
  <c r="BV33" i="29" s="1"/>
  <c r="BV26" i="29"/>
  <c r="BS35" i="29"/>
  <c r="BS26" i="29"/>
  <c r="BS31" i="29"/>
  <c r="BS33" i="29" s="1"/>
  <c r="BQ35" i="29"/>
  <c r="BW5" i="29"/>
  <c r="BQ31" i="29"/>
  <c r="BQ33" i="29" s="1"/>
  <c r="NU35" i="29"/>
  <c r="NW5" i="29"/>
  <c r="NK26" i="29"/>
  <c r="NG5" i="29"/>
  <c r="NB31" i="29"/>
  <c r="MW31" i="29"/>
  <c r="MW33" i="29" s="1"/>
  <c r="MW26" i="29"/>
  <c r="MR31" i="29"/>
  <c r="MR33" i="29" s="1"/>
  <c r="ML31" i="29"/>
  <c r="ML33" i="29" s="1"/>
  <c r="ML26" i="29"/>
  <c r="MK26" i="29"/>
  <c r="LI26" i="29"/>
  <c r="LI35" i="29"/>
  <c r="KO26" i="29"/>
  <c r="KG31" i="29"/>
  <c r="KG33" i="29" s="1"/>
  <c r="JZ26" i="29"/>
  <c r="JZ35" i="29"/>
  <c r="JX26" i="29"/>
  <c r="JT35" i="29"/>
  <c r="IJ31" i="29"/>
  <c r="IJ33" i="29" s="1"/>
  <c r="IQ5" i="29"/>
  <c r="IJ26" i="29"/>
  <c r="HL26" i="29"/>
  <c r="HB35" i="29"/>
  <c r="GR31" i="29"/>
  <c r="GL35" i="29"/>
  <c r="GL31" i="29"/>
  <c r="FX31" i="29"/>
  <c r="FX33" i="29" s="1"/>
  <c r="GE5" i="29"/>
  <c r="FT26" i="29"/>
  <c r="FT35" i="29"/>
  <c r="FW5" i="29"/>
  <c r="FT31" i="29"/>
  <c r="FO5" i="29"/>
  <c r="FI35" i="29"/>
  <c r="FI26" i="29"/>
  <c r="FI31" i="29"/>
  <c r="FI33" i="29" s="1"/>
  <c r="FA35" i="29"/>
  <c r="FA26" i="29"/>
  <c r="EH26" i="29"/>
  <c r="EH35" i="29"/>
  <c r="EF31" i="29"/>
  <c r="EF33" i="29" s="1"/>
  <c r="EF26" i="29"/>
  <c r="EF35" i="29"/>
  <c r="DR26" i="29"/>
  <c r="DR35" i="29"/>
  <c r="DN26" i="29"/>
  <c r="DN35" i="29"/>
  <c r="DN31" i="29"/>
  <c r="CT31" i="29"/>
  <c r="CT33" i="29" s="1"/>
  <c r="CT26" i="29"/>
  <c r="BY35" i="29"/>
  <c r="NR31" i="29"/>
  <c r="NR33" i="29" s="1"/>
  <c r="NO5" i="29"/>
  <c r="NK31" i="29"/>
  <c r="NK33" i="29" s="1"/>
  <c r="NH31" i="29"/>
  <c r="NH33" i="29" s="1"/>
  <c r="NH26" i="29"/>
  <c r="MY5" i="29"/>
  <c r="MS35" i="29"/>
  <c r="MR35" i="29"/>
  <c r="MP31" i="29"/>
  <c r="MP33" i="29" s="1"/>
  <c r="MF31" i="29"/>
  <c r="MB35" i="29"/>
  <c r="MB31" i="29"/>
  <c r="MA5" i="29"/>
  <c r="LI31" i="29"/>
  <c r="LJ26" i="29"/>
  <c r="LJ35" i="29"/>
  <c r="LF26" i="29"/>
  <c r="LF35" i="29"/>
  <c r="LK5" i="29"/>
  <c r="LF31" i="29"/>
  <c r="KZ35" i="29"/>
  <c r="KZ26" i="29"/>
  <c r="KZ31" i="29"/>
  <c r="KZ33" i="29" s="1"/>
  <c r="KU5" i="29"/>
  <c r="KO31" i="29"/>
  <c r="KO33" i="29" s="1"/>
  <c r="KM5" i="29"/>
  <c r="KB31" i="29"/>
  <c r="KB33" i="29" s="1"/>
  <c r="JR31" i="29"/>
  <c r="JS31" i="29"/>
  <c r="JS33" i="29" s="1"/>
  <c r="JS26" i="29"/>
  <c r="JP31" i="29"/>
  <c r="JW5" i="29"/>
  <c r="JP26" i="29"/>
  <c r="JK35" i="29"/>
  <c r="JK31" i="29"/>
  <c r="JK33" i="29" s="1"/>
  <c r="JO5" i="29"/>
  <c r="IP31" i="29"/>
  <c r="IP33" i="29" s="1"/>
  <c r="IL31" i="29"/>
  <c r="IL33" i="29" s="1"/>
  <c r="IF26" i="29"/>
  <c r="GT35" i="29"/>
  <c r="GT31" i="29"/>
  <c r="GT33" i="29" s="1"/>
  <c r="GN31" i="29"/>
  <c r="GU5" i="29"/>
  <c r="GN26" i="29"/>
  <c r="GL26" i="29"/>
  <c r="FC35" i="29"/>
  <c r="FC31" i="29"/>
  <c r="FC26" i="29"/>
  <c r="EP35" i="29"/>
  <c r="EP26" i="29"/>
  <c r="EP31" i="29"/>
  <c r="EP33" i="29" s="1"/>
  <c r="EQ5" i="29"/>
  <c r="DR31" i="29"/>
  <c r="DR33" i="29" s="1"/>
  <c r="DM35" i="29"/>
  <c r="DE31" i="29"/>
  <c r="DE33" i="29" s="1"/>
  <c r="DE26" i="29"/>
  <c r="CZ31" i="29"/>
  <c r="CZ33" i="29" s="1"/>
  <c r="BQ26" i="29"/>
  <c r="MF35" i="29"/>
  <c r="LZ26" i="29"/>
  <c r="LZ31" i="29"/>
  <c r="LZ33" i="29" s="1"/>
  <c r="LY35" i="29"/>
  <c r="LY26" i="29"/>
  <c r="LY31" i="29"/>
  <c r="LY33" i="29" s="1"/>
  <c r="LV31" i="29"/>
  <c r="LV33" i="29" s="1"/>
  <c r="LV26" i="29"/>
  <c r="LP31" i="29"/>
  <c r="LP35" i="29"/>
  <c r="LO26" i="29"/>
  <c r="LO31" i="29"/>
  <c r="LO33" i="29" s="1"/>
  <c r="LL31" i="29"/>
  <c r="LL33" i="29" s="1"/>
  <c r="LS5" i="29"/>
  <c r="LH26" i="29"/>
  <c r="LH35" i="29"/>
  <c r="LG35" i="29"/>
  <c r="LG26" i="29"/>
  <c r="LG31" i="29"/>
  <c r="LG33" i="29" s="1"/>
  <c r="KY26" i="29"/>
  <c r="KY31" i="29"/>
  <c r="KA26" i="29"/>
  <c r="KA35" i="29"/>
  <c r="KA31" i="29"/>
  <c r="JX35" i="29"/>
  <c r="KE5" i="29"/>
  <c r="JN26" i="29"/>
  <c r="JN31" i="29"/>
  <c r="JN33" i="29" s="1"/>
  <c r="IZ31" i="29"/>
  <c r="IZ26" i="29"/>
  <c r="IJ35" i="29"/>
  <c r="ID35" i="29"/>
  <c r="ID31" i="29"/>
  <c r="II5" i="29"/>
  <c r="HD35" i="29"/>
  <c r="HD31" i="29"/>
  <c r="HK5" i="29"/>
  <c r="HD26" i="29"/>
  <c r="GZ26" i="29"/>
  <c r="GZ35" i="29"/>
  <c r="GZ31" i="29"/>
  <c r="FL35" i="29"/>
  <c r="FL26" i="29"/>
  <c r="FF31" i="29"/>
  <c r="FF33" i="29" s="1"/>
  <c r="FF26" i="29"/>
  <c r="DJ35" i="29"/>
  <c r="DJ31" i="29"/>
  <c r="DJ26" i="29"/>
  <c r="DH26" i="29"/>
  <c r="DH35" i="29"/>
  <c r="DH31" i="29"/>
  <c r="DH33" i="29" s="1"/>
  <c r="DF31" i="29"/>
  <c r="DF26" i="29"/>
  <c r="CG35" i="29"/>
  <c r="CG31" i="29"/>
  <c r="CG33" i="29" s="1"/>
  <c r="CM5" i="29"/>
  <c r="BZ35" i="29"/>
  <c r="BV35" i="29"/>
  <c r="BK26" i="29"/>
  <c r="BF26" i="29"/>
  <c r="K5" i="29"/>
  <c r="AJ26" i="29"/>
  <c r="AK31" i="29"/>
  <c r="AK33" i="29" s="1"/>
  <c r="AL35" i="29"/>
  <c r="AR26" i="29"/>
  <c r="BC35" i="29"/>
  <c r="JD26" i="29"/>
  <c r="JC26" i="29"/>
  <c r="JA26" i="29"/>
  <c r="IY35" i="29"/>
  <c r="IU31" i="29"/>
  <c r="IH26" i="29"/>
  <c r="IG31" i="29"/>
  <c r="IG33" i="29" s="1"/>
  <c r="IE31" i="29"/>
  <c r="HC5" i="29"/>
  <c r="HA31" i="29"/>
  <c r="GY31" i="29"/>
  <c r="GY33" i="29" s="1"/>
  <c r="GK35" i="29"/>
  <c r="GH26" i="29"/>
  <c r="GC26" i="29"/>
  <c r="EY5" i="29"/>
  <c r="EV31" i="29"/>
  <c r="EL31" i="29"/>
  <c r="EL33" i="29" s="1"/>
  <c r="EI5" i="29"/>
  <c r="ED35" i="29"/>
  <c r="EB31" i="29"/>
  <c r="EB33" i="29" s="1"/>
  <c r="EB26" i="29"/>
  <c r="DW31" i="29"/>
  <c r="DW33" i="29" s="1"/>
  <c r="CW31" i="29"/>
  <c r="CW33" i="29" s="1"/>
  <c r="CS35" i="29"/>
  <c r="BN31" i="29"/>
  <c r="BM26" i="29"/>
  <c r="BL31" i="29"/>
  <c r="BK31" i="29"/>
  <c r="BF31" i="29"/>
  <c r="BF33" i="29" s="1"/>
  <c r="I31" i="29"/>
  <c r="M31" i="29"/>
  <c r="H26" i="29"/>
  <c r="H31" i="29"/>
  <c r="H33" i="29" s="1"/>
  <c r="AJ35" i="29"/>
  <c r="AY5" i="29"/>
  <c r="AS31" i="29"/>
  <c r="AS33" i="29" s="1"/>
  <c r="AT26" i="29"/>
  <c r="F31" i="29"/>
  <c r="AN35" i="29"/>
  <c r="LQ31" i="29"/>
  <c r="LQ33" i="29" s="1"/>
  <c r="LC5" i="29"/>
  <c r="KD31" i="29"/>
  <c r="IT35" i="29"/>
  <c r="IE35" i="29"/>
  <c r="IC31" i="29"/>
  <c r="HA35" i="29"/>
  <c r="GM5" i="29"/>
  <c r="FB31" i="29"/>
  <c r="FB33" i="29" s="1"/>
  <c r="EL35" i="29"/>
  <c r="EA5" i="29"/>
  <c r="DQ31" i="29"/>
  <c r="DQ33" i="29" s="1"/>
  <c r="DP35" i="29"/>
  <c r="CV35" i="29"/>
  <c r="CU5" i="29"/>
  <c r="CP35" i="29"/>
  <c r="CK31" i="29"/>
  <c r="BN35" i="29"/>
  <c r="BJ35" i="29"/>
  <c r="D7" i="29"/>
  <c r="D31" i="29"/>
  <c r="O4" i="29" l="1"/>
  <c r="N11" i="29"/>
  <c r="N5" i="29"/>
  <c r="N12" i="29"/>
  <c r="N15" i="29"/>
  <c r="N14" i="29"/>
  <c r="N8" i="29"/>
  <c r="N9" i="29"/>
  <c r="N29" i="29" s="1"/>
  <c r="N13" i="29"/>
  <c r="N16" i="29"/>
  <c r="N23" i="29" s="1"/>
  <c r="N34" i="29"/>
  <c r="M18" i="29"/>
  <c r="H7" i="29"/>
  <c r="BG7" i="29"/>
  <c r="JG7" i="29"/>
  <c r="M154" i="33"/>
  <c r="FO7" i="29"/>
  <c r="M10" i="33"/>
  <c r="M153" i="33"/>
  <c r="K25" i="29"/>
  <c r="K26" i="29"/>
  <c r="K32" i="29"/>
  <c r="M162" i="33"/>
  <c r="AR26" i="27"/>
  <c r="M31" i="33"/>
  <c r="M159" i="33"/>
  <c r="BN26" i="27"/>
  <c r="BF26" i="27"/>
  <c r="AY26" i="27"/>
  <c r="BM26" i="27"/>
  <c r="AZ26" i="27"/>
  <c r="BG26" i="27"/>
  <c r="AS26" i="27"/>
  <c r="M72" i="33"/>
  <c r="M138" i="33"/>
  <c r="M76" i="33"/>
  <c r="M107" i="33"/>
  <c r="M83" i="33"/>
  <c r="M82" i="33"/>
  <c r="M104" i="33"/>
  <c r="M111" i="33"/>
  <c r="M112" i="33"/>
  <c r="M80" i="33"/>
  <c r="M100" i="33"/>
  <c r="M133" i="33"/>
  <c r="M14" i="33"/>
  <c r="M99" i="33"/>
  <c r="M128" i="33"/>
  <c r="M77" i="33"/>
  <c r="M113" i="33"/>
  <c r="M73" i="33"/>
  <c r="M11" i="33"/>
  <c r="M16" i="33"/>
  <c r="M174" i="33"/>
  <c r="M101" i="33"/>
  <c r="M71" i="33"/>
  <c r="M74" i="33"/>
  <c r="M149" i="33"/>
  <c r="M109" i="33"/>
  <c r="M96" i="33"/>
  <c r="M39" i="33"/>
  <c r="M110" i="33"/>
  <c r="M58" i="33"/>
  <c r="M147" i="33"/>
  <c r="M70" i="33"/>
  <c r="M106" i="33"/>
  <c r="M87" i="33"/>
  <c r="M179" i="33"/>
  <c r="M26" i="33"/>
  <c r="M160" i="33"/>
  <c r="M24" i="33"/>
  <c r="M86" i="33"/>
  <c r="M17" i="33"/>
  <c r="M97" i="33"/>
  <c r="M66" i="33"/>
  <c r="M38" i="33"/>
  <c r="M121" i="33"/>
  <c r="M134" i="33"/>
  <c r="M102" i="33"/>
  <c r="M51" i="33"/>
  <c r="M178" i="33"/>
  <c r="M54" i="33"/>
  <c r="M64" i="33"/>
  <c r="M170" i="33"/>
  <c r="M105" i="33"/>
  <c r="M22" i="33"/>
  <c r="M61" i="33"/>
  <c r="M189" i="33"/>
  <c r="M181" i="33"/>
  <c r="M155" i="33"/>
  <c r="M60" i="33"/>
  <c r="M187" i="33"/>
  <c r="M46" i="33"/>
  <c r="M28" i="33"/>
  <c r="M62" i="33"/>
  <c r="M114" i="33"/>
  <c r="M117" i="33"/>
  <c r="M173" i="33"/>
  <c r="M89" i="33"/>
  <c r="M15" i="33"/>
  <c r="M36" i="33"/>
  <c r="M118" i="33"/>
  <c r="M140" i="33"/>
  <c r="M35" i="33"/>
  <c r="M165" i="33"/>
  <c r="M4" i="33"/>
  <c r="M156" i="33"/>
  <c r="M9" i="33"/>
  <c r="M123" i="33"/>
  <c r="M85" i="33"/>
  <c r="M158" i="33"/>
  <c r="M18" i="33"/>
  <c r="M42" i="33"/>
  <c r="M167" i="33"/>
  <c r="M163" i="33"/>
  <c r="M79" i="33"/>
  <c r="M141" i="33"/>
  <c r="M40" i="33"/>
  <c r="M41" i="33"/>
  <c r="M8" i="33"/>
  <c r="M92" i="33"/>
  <c r="M135" i="33"/>
  <c r="M43" i="33"/>
  <c r="M115" i="33"/>
  <c r="M63" i="33"/>
  <c r="M122" i="33"/>
  <c r="M143" i="33"/>
  <c r="M90" i="33"/>
  <c r="M108" i="33"/>
  <c r="M139" i="33"/>
  <c r="M185" i="33"/>
  <c r="M49" i="33"/>
  <c r="M44" i="33"/>
  <c r="M68" i="33"/>
  <c r="M161" i="33"/>
  <c r="M124" i="33"/>
  <c r="M136" i="33"/>
  <c r="M13" i="33"/>
  <c r="M27" i="33"/>
  <c r="M137" i="33"/>
  <c r="M65" i="33"/>
  <c r="M145" i="33"/>
  <c r="M69" i="33"/>
  <c r="M142" i="33"/>
  <c r="M166" i="33"/>
  <c r="M21" i="33"/>
  <c r="M182" i="33"/>
  <c r="M183" i="33"/>
  <c r="M190" i="33"/>
  <c r="M188" i="33"/>
  <c r="M53" i="33"/>
  <c r="M150" i="33"/>
  <c r="M29" i="33"/>
  <c r="M175" i="33"/>
  <c r="M48" i="33"/>
  <c r="M120" i="33"/>
  <c r="M55" i="33"/>
  <c r="M129" i="33"/>
  <c r="M169" i="33"/>
  <c r="M45" i="33"/>
  <c r="M168" i="33"/>
  <c r="M191" i="33"/>
  <c r="M34" i="33"/>
  <c r="M152" i="33"/>
  <c r="M52" i="33"/>
  <c r="M103" i="33"/>
  <c r="M25" i="33"/>
  <c r="M184" i="33"/>
  <c r="M56" i="33"/>
  <c r="M50" i="33"/>
  <c r="M81" i="33"/>
  <c r="M177" i="33"/>
  <c r="M30" i="33"/>
  <c r="M67" i="33"/>
  <c r="M20" i="33"/>
  <c r="M130" i="33"/>
  <c r="M23" i="33"/>
  <c r="M47" i="33"/>
  <c r="M98" i="33"/>
  <c r="M146" i="33"/>
  <c r="M176" i="33"/>
  <c r="M7" i="33"/>
  <c r="M32" i="33"/>
  <c r="M12" i="33"/>
  <c r="M144" i="33"/>
  <c r="M171" i="33"/>
  <c r="M148" i="33"/>
  <c r="M180" i="33"/>
  <c r="M33" i="33"/>
  <c r="M57" i="33"/>
  <c r="M93" i="33"/>
  <c r="M116" i="33"/>
  <c r="M19" i="33"/>
  <c r="M59" i="33"/>
  <c r="M131" i="33"/>
  <c r="M5" i="33"/>
  <c r="M75" i="33"/>
  <c r="M126" i="33"/>
  <c r="M157" i="33"/>
  <c r="M88" i="33"/>
  <c r="M151" i="33"/>
  <c r="M172" i="33"/>
  <c r="M37" i="33"/>
  <c r="M91" i="33"/>
  <c r="M164" i="33"/>
  <c r="M119" i="33"/>
  <c r="M132" i="33"/>
  <c r="M186" i="33"/>
  <c r="M127" i="33"/>
  <c r="M6" i="33"/>
  <c r="BG32" i="29"/>
  <c r="BL12" i="27"/>
  <c r="BH12" i="27"/>
  <c r="BK12" i="27"/>
  <c r="BN12" i="27"/>
  <c r="BJ12" i="27"/>
  <c r="BM12" i="27"/>
  <c r="BL9" i="27"/>
  <c r="BN9" i="27"/>
  <c r="BJ9" i="27"/>
  <c r="BH9" i="27"/>
  <c r="BM9" i="27"/>
  <c r="BK9" i="27"/>
  <c r="BM13" i="27"/>
  <c r="BN13" i="27"/>
  <c r="BL13" i="27"/>
  <c r="BJ13" i="27"/>
  <c r="BH13" i="27"/>
  <c r="BK13" i="27"/>
  <c r="BG26" i="29"/>
  <c r="BG25" i="29"/>
  <c r="AY32" i="29"/>
  <c r="AY24" i="29"/>
  <c r="CM32" i="29"/>
  <c r="GM24" i="29"/>
  <c r="GM32" i="29"/>
  <c r="DC24" i="29"/>
  <c r="DC32" i="29"/>
  <c r="IY26" i="29"/>
  <c r="EQ32" i="29"/>
  <c r="MQ25" i="29"/>
  <c r="CM25" i="29"/>
  <c r="JG32" i="29"/>
  <c r="KE25" i="29"/>
  <c r="S24" i="29"/>
  <c r="AQ25" i="29"/>
  <c r="AQ24" i="29"/>
  <c r="GU32" i="29"/>
  <c r="MQ22" i="29"/>
  <c r="GU25" i="29"/>
  <c r="BO25" i="29"/>
  <c r="NW32" i="29"/>
  <c r="BW25" i="29"/>
  <c r="BO32" i="29"/>
  <c r="BW32" i="29"/>
  <c r="IY25" i="29"/>
  <c r="HK24" i="29"/>
  <c r="IY32" i="29"/>
  <c r="HK25" i="29"/>
  <c r="EY32" i="29"/>
  <c r="MI18" i="29"/>
  <c r="FG32" i="29"/>
  <c r="HC19" i="29"/>
  <c r="II19" i="29"/>
  <c r="DK19" i="29"/>
  <c r="MY22" i="29"/>
  <c r="FW22" i="29"/>
  <c r="LS22" i="29"/>
  <c r="BG19" i="29"/>
  <c r="EQ24" i="29"/>
  <c r="IA25" i="29"/>
  <c r="IA32" i="29"/>
  <c r="IY19" i="29"/>
  <c r="JG25" i="29"/>
  <c r="MQ32" i="29"/>
  <c r="EY25" i="29"/>
  <c r="NW25" i="29"/>
  <c r="KE32" i="29"/>
  <c r="EI22" i="29"/>
  <c r="GE22" i="29"/>
  <c r="DK32" i="29"/>
  <c r="LK25" i="29"/>
  <c r="LK32" i="29"/>
  <c r="K18" i="29"/>
  <c r="DK25" i="29"/>
  <c r="BJ10" i="27"/>
  <c r="BN10" i="27"/>
  <c r="BH10" i="27"/>
  <c r="BM10" i="27"/>
  <c r="BL10" i="27"/>
  <c r="BK10" i="27"/>
  <c r="BN11" i="27"/>
  <c r="BK11" i="27"/>
  <c r="BM11" i="27"/>
  <c r="BH11" i="27"/>
  <c r="BJ11" i="27"/>
  <c r="BL11" i="27"/>
  <c r="KU25" i="29"/>
  <c r="KU24" i="29"/>
  <c r="EI32" i="29"/>
  <c r="EI24" i="29"/>
  <c r="BO19" i="29"/>
  <c r="MY18" i="29"/>
  <c r="AQ18" i="29"/>
  <c r="LS18" i="29"/>
  <c r="HK22" i="29"/>
  <c r="LK18" i="29"/>
  <c r="AQ22" i="29"/>
  <c r="JW18" i="29"/>
  <c r="GU22" i="29"/>
  <c r="BG18" i="29"/>
  <c r="KU18" i="29"/>
  <c r="CE18" i="29"/>
  <c r="GM19" i="29"/>
  <c r="CE24" i="29"/>
  <c r="CE32" i="29"/>
  <c r="CE25" i="29"/>
  <c r="FG25" i="29"/>
  <c r="FG24" i="29"/>
  <c r="MI32" i="29"/>
  <c r="MI25" i="29"/>
  <c r="MI24" i="29"/>
  <c r="EA25" i="29"/>
  <c r="EA24" i="29"/>
  <c r="EA32" i="29"/>
  <c r="JW24" i="29"/>
  <c r="JW32" i="29"/>
  <c r="HS25" i="29"/>
  <c r="HS24" i="29"/>
  <c r="HS32" i="29"/>
  <c r="K22" i="29"/>
  <c r="K19" i="29"/>
  <c r="BG17" i="29"/>
  <c r="II32" i="29"/>
  <c r="II25" i="29"/>
  <c r="II24" i="29"/>
  <c r="HS22" i="29"/>
  <c r="HS19" i="29"/>
  <c r="BW18" i="29"/>
  <c r="MA18" i="29"/>
  <c r="EQ19" i="29"/>
  <c r="EQ22" i="29"/>
  <c r="IQ19" i="29"/>
  <c r="IQ22" i="29"/>
  <c r="EY22" i="29"/>
  <c r="EY19" i="29"/>
  <c r="FW18" i="29"/>
  <c r="FW17" i="29"/>
  <c r="HS17" i="29"/>
  <c r="HS18" i="29"/>
  <c r="LC18" i="29"/>
  <c r="CU17" i="29"/>
  <c r="CU18" i="29"/>
  <c r="DS22" i="29"/>
  <c r="DS19" i="29"/>
  <c r="EQ18" i="29"/>
  <c r="EQ17" i="29"/>
  <c r="EI17" i="29"/>
  <c r="EI18" i="29"/>
  <c r="FG22" i="29"/>
  <c r="FG19" i="29"/>
  <c r="FW25" i="29"/>
  <c r="FW32" i="29"/>
  <c r="FW24" i="29"/>
  <c r="IA22" i="29"/>
  <c r="IA19" i="29"/>
  <c r="JG19" i="29"/>
  <c r="JG22" i="29"/>
  <c r="IQ24" i="29"/>
  <c r="IQ25" i="29"/>
  <c r="IQ32" i="29"/>
  <c r="JG17" i="29"/>
  <c r="JG18" i="29"/>
  <c r="HK18" i="29"/>
  <c r="HK17" i="29"/>
  <c r="KM19" i="29"/>
  <c r="KM22" i="29"/>
  <c r="KM17" i="29"/>
  <c r="KM18" i="29"/>
  <c r="NW22" i="29"/>
  <c r="NW19" i="29"/>
  <c r="NG19" i="29"/>
  <c r="NG22" i="29"/>
  <c r="DS24" i="29"/>
  <c r="DS25" i="29"/>
  <c r="DS32" i="29"/>
  <c r="FG18" i="29"/>
  <c r="JW19" i="29"/>
  <c r="JW22" i="29"/>
  <c r="MY24" i="29"/>
  <c r="MY25" i="29"/>
  <c r="MY32" i="29"/>
  <c r="NO19" i="29"/>
  <c r="NO22" i="29"/>
  <c r="MA19" i="29"/>
  <c r="MA22" i="29"/>
  <c r="AY17" i="29"/>
  <c r="AY18" i="29"/>
  <c r="BO17" i="29"/>
  <c r="BO18" i="29"/>
  <c r="CE22" i="29"/>
  <c r="CE19" i="29"/>
  <c r="DK18" i="29"/>
  <c r="DK17" i="29"/>
  <c r="DC19" i="29"/>
  <c r="DC22" i="29"/>
  <c r="CU25" i="29"/>
  <c r="CU24" i="29"/>
  <c r="CU32" i="29"/>
  <c r="BW22" i="29"/>
  <c r="BW19" i="29"/>
  <c r="EA17" i="29"/>
  <c r="EA18" i="29"/>
  <c r="IA18" i="29"/>
  <c r="KE18" i="29"/>
  <c r="NG18" i="29"/>
  <c r="AY19" i="29"/>
  <c r="AY22" i="29"/>
  <c r="EA22" i="29"/>
  <c r="EA19" i="29"/>
  <c r="GU18" i="29"/>
  <c r="GE17" i="29"/>
  <c r="GE18" i="29"/>
  <c r="JO17" i="29"/>
  <c r="JO18" i="29"/>
  <c r="KE19" i="29"/>
  <c r="KE22" i="29"/>
  <c r="IQ17" i="29"/>
  <c r="IQ18" i="29"/>
  <c r="JO22" i="29"/>
  <c r="JO19" i="29"/>
  <c r="KU19" i="29"/>
  <c r="KU22" i="29"/>
  <c r="MA24" i="29"/>
  <c r="MA25" i="29"/>
  <c r="MA32" i="29"/>
  <c r="LC19" i="29"/>
  <c r="LC22" i="29"/>
  <c r="DC18" i="29"/>
  <c r="DC17" i="29"/>
  <c r="FO22" i="29"/>
  <c r="FO19" i="29"/>
  <c r="II17" i="29"/>
  <c r="II18" i="29"/>
  <c r="IY18" i="29"/>
  <c r="MI19" i="29"/>
  <c r="MI22" i="29"/>
  <c r="MQ17" i="29"/>
  <c r="MQ18" i="29"/>
  <c r="CM22" i="29"/>
  <c r="CM19" i="29"/>
  <c r="CU19" i="29"/>
  <c r="CU22" i="29"/>
  <c r="CM17" i="29"/>
  <c r="CM18" i="29"/>
  <c r="EY18" i="29"/>
  <c r="DS18" i="29"/>
  <c r="DS17" i="29"/>
  <c r="GM18" i="29"/>
  <c r="GM17" i="29"/>
  <c r="HC17" i="29"/>
  <c r="HC18" i="29"/>
  <c r="FO18" i="29"/>
  <c r="HC24" i="29"/>
  <c r="HC25" i="29"/>
  <c r="HC32" i="29"/>
  <c r="LK19" i="29"/>
  <c r="LK22" i="29"/>
  <c r="NO17" i="29"/>
  <c r="NO18" i="29"/>
  <c r="LS25" i="29"/>
  <c r="LS24" i="29"/>
  <c r="LS32" i="29"/>
  <c r="NW17" i="29"/>
  <c r="NW18" i="29"/>
  <c r="ET33" i="29"/>
  <c r="J33" i="29"/>
  <c r="BE33" i="29"/>
  <c r="MQ7" i="29"/>
  <c r="KQ33" i="29"/>
  <c r="ND33" i="29"/>
  <c r="GV33" i="29"/>
  <c r="CA33" i="29"/>
  <c r="NJ33" i="29"/>
  <c r="BO26" i="29"/>
  <c r="BH33" i="29"/>
  <c r="HU33" i="29"/>
  <c r="AU33" i="29"/>
  <c r="EO33" i="29"/>
  <c r="FS33" i="29"/>
  <c r="LI33" i="29"/>
  <c r="JG35" i="29"/>
  <c r="NN33" i="29"/>
  <c r="FY33" i="29"/>
  <c r="AY7" i="29"/>
  <c r="HA33" i="29"/>
  <c r="EQ7" i="29"/>
  <c r="JO7" i="29"/>
  <c r="GR33" i="29"/>
  <c r="IA7" i="29"/>
  <c r="JG26" i="29"/>
  <c r="DP33" i="29"/>
  <c r="MT33" i="29"/>
  <c r="IK33" i="29"/>
  <c r="DT33" i="29"/>
  <c r="FR33" i="29"/>
  <c r="HK7" i="29"/>
  <c r="F33" i="29"/>
  <c r="GZ33" i="29"/>
  <c r="MQ26" i="29"/>
  <c r="HL33" i="29"/>
  <c r="JG31" i="29"/>
  <c r="EC33" i="29"/>
  <c r="EV33" i="29"/>
  <c r="DF33" i="29"/>
  <c r="KA33" i="29"/>
  <c r="MF33" i="29"/>
  <c r="GL33" i="29"/>
  <c r="IT33" i="29"/>
  <c r="LU33" i="29"/>
  <c r="MA33" i="29" s="1"/>
  <c r="BN33" i="29"/>
  <c r="NP33" i="29"/>
  <c r="DY33" i="29"/>
  <c r="KH33" i="29"/>
  <c r="JC33" i="29"/>
  <c r="HI33" i="29"/>
  <c r="DU33" i="29"/>
  <c r="CX33" i="29"/>
  <c r="CY33" i="29"/>
  <c r="KL33" i="29"/>
  <c r="MK33" i="29"/>
  <c r="MU33" i="29"/>
  <c r="IC33" i="29"/>
  <c r="AQ26" i="29"/>
  <c r="GD33" i="29"/>
  <c r="DG33" i="29"/>
  <c r="IW33" i="29"/>
  <c r="CK33" i="29"/>
  <c r="BG31" i="29"/>
  <c r="BL33" i="29"/>
  <c r="IU33" i="29"/>
  <c r="DN33" i="29"/>
  <c r="FT33" i="29"/>
  <c r="BW7" i="29"/>
  <c r="DK35" i="29"/>
  <c r="AQ31" i="29"/>
  <c r="ID33" i="29"/>
  <c r="IZ33" i="29"/>
  <c r="JG33" i="29" s="1"/>
  <c r="KY33" i="29"/>
  <c r="LP33" i="29"/>
  <c r="LS33" i="29" s="1"/>
  <c r="FC33" i="29"/>
  <c r="JP33" i="29"/>
  <c r="LK7" i="29"/>
  <c r="NB33" i="29"/>
  <c r="DK26" i="29"/>
  <c r="DI33" i="29"/>
  <c r="DD33" i="29"/>
  <c r="L33" i="29"/>
  <c r="EW33" i="29"/>
  <c r="GJ33" i="29"/>
  <c r="AP33" i="29"/>
  <c r="NM33" i="29"/>
  <c r="NT33" i="29"/>
  <c r="MZ33" i="29"/>
  <c r="AL33" i="29"/>
  <c r="HT33" i="29"/>
  <c r="ES33" i="29"/>
  <c r="JY33" i="29"/>
  <c r="BO35" i="29"/>
  <c r="KR33" i="29"/>
  <c r="KU33" i="29" s="1"/>
  <c r="AY33" i="29"/>
  <c r="EZ33" i="29"/>
  <c r="AJ33" i="29"/>
  <c r="CU33" i="29"/>
  <c r="HY33" i="29"/>
  <c r="BG33" i="29"/>
  <c r="GE33" i="29"/>
  <c r="HR33" i="29"/>
  <c r="HS33" i="29" s="1"/>
  <c r="CL33" i="29"/>
  <c r="EG33" i="29"/>
  <c r="EI33" i="29" s="1"/>
  <c r="IY33" i="29"/>
  <c r="M7" i="29"/>
  <c r="M30" i="29"/>
  <c r="M33" i="29" s="1"/>
  <c r="AM33" i="29"/>
  <c r="FE33" i="29"/>
  <c r="GG33" i="29"/>
  <c r="MQ31" i="29"/>
  <c r="MQ35" i="29"/>
  <c r="KW33" i="29"/>
  <c r="FO33" i="29"/>
  <c r="MI31" i="29"/>
  <c r="MI35" i="29"/>
  <c r="MI26" i="29"/>
  <c r="CI33" i="29"/>
  <c r="GF33" i="29"/>
  <c r="AQ30" i="29"/>
  <c r="AQ7" i="29"/>
  <c r="MQ33" i="29"/>
  <c r="CU31" i="29"/>
  <c r="CU35" i="29"/>
  <c r="CU26" i="29"/>
  <c r="EA26" i="29"/>
  <c r="EA35" i="29"/>
  <c r="EA31" i="29"/>
  <c r="CM26" i="29"/>
  <c r="CM35" i="29"/>
  <c r="CM31" i="29"/>
  <c r="KM35" i="29"/>
  <c r="KM31" i="29"/>
  <c r="KM26" i="29"/>
  <c r="MY35" i="29"/>
  <c r="MY31" i="29"/>
  <c r="MY26" i="29"/>
  <c r="NO35" i="29"/>
  <c r="NO26" i="29"/>
  <c r="NO31" i="29"/>
  <c r="FW31" i="29"/>
  <c r="FW35" i="29"/>
  <c r="FW26" i="29"/>
  <c r="FW7" i="29"/>
  <c r="IQ33" i="29"/>
  <c r="DC35" i="29"/>
  <c r="DC26" i="29"/>
  <c r="DC31" i="29"/>
  <c r="HS35" i="29"/>
  <c r="HS31" i="29"/>
  <c r="HS26" i="29"/>
  <c r="IE33" i="29"/>
  <c r="II33" i="29" s="1"/>
  <c r="DM33" i="29"/>
  <c r="GU7" i="29"/>
  <c r="GU30" i="29"/>
  <c r="HC7" i="29"/>
  <c r="HC30" i="29"/>
  <c r="LC30" i="29"/>
  <c r="LC7" i="29"/>
  <c r="GN33" i="29"/>
  <c r="GU33" i="29" s="1"/>
  <c r="EA7" i="29"/>
  <c r="MY7" i="29"/>
  <c r="CM7" i="29"/>
  <c r="LC35" i="29"/>
  <c r="LC31" i="29"/>
  <c r="LC26" i="29"/>
  <c r="EY35" i="29"/>
  <c r="EY26" i="29"/>
  <c r="EY31" i="29"/>
  <c r="MA31" i="29"/>
  <c r="MA35" i="29"/>
  <c r="MA26" i="29"/>
  <c r="NG35" i="29"/>
  <c r="NG31" i="29"/>
  <c r="NG26" i="29"/>
  <c r="DS35" i="29"/>
  <c r="DS26" i="29"/>
  <c r="DS31" i="29"/>
  <c r="I8" i="29"/>
  <c r="BK33" i="29"/>
  <c r="BO33" i="29" s="1"/>
  <c r="LF33" i="29"/>
  <c r="LK33" i="29" s="1"/>
  <c r="HD33" i="29"/>
  <c r="KE7" i="29"/>
  <c r="KE30" i="29"/>
  <c r="DJ33" i="29"/>
  <c r="IQ30" i="29"/>
  <c r="IQ7" i="29"/>
  <c r="MA30" i="29"/>
  <c r="MA7" i="29"/>
  <c r="EI31" i="29"/>
  <c r="EI26" i="29"/>
  <c r="EI35" i="29"/>
  <c r="II26" i="29"/>
  <c r="II31" i="29"/>
  <c r="II35" i="29"/>
  <c r="KE26" i="29"/>
  <c r="KE35" i="29"/>
  <c r="KE31" i="29"/>
  <c r="LS26" i="29"/>
  <c r="LS35" i="29"/>
  <c r="LS31" i="29"/>
  <c r="LS7" i="29"/>
  <c r="EQ31" i="29"/>
  <c r="EQ26" i="29"/>
  <c r="EQ35" i="29"/>
  <c r="JO35" i="29"/>
  <c r="JO26" i="29"/>
  <c r="JO31" i="29"/>
  <c r="JW31" i="29"/>
  <c r="JW35" i="29"/>
  <c r="JW26" i="29"/>
  <c r="KU31" i="29"/>
  <c r="KU35" i="29"/>
  <c r="KU26" i="29"/>
  <c r="FO35" i="29"/>
  <c r="FO31" i="29"/>
  <c r="FO26" i="29"/>
  <c r="CE26" i="29"/>
  <c r="CE31" i="29"/>
  <c r="CE35" i="29"/>
  <c r="IA35" i="29"/>
  <c r="IA26" i="29"/>
  <c r="IA31" i="29"/>
  <c r="AA12" i="27"/>
  <c r="AA14" i="27" s="1"/>
  <c r="Q12" i="27"/>
  <c r="NW30" i="29"/>
  <c r="NW7" i="29"/>
  <c r="NO7" i="29"/>
  <c r="HS7" i="29"/>
  <c r="EQ33" i="29"/>
  <c r="JR33" i="29"/>
  <c r="BW33" i="29"/>
  <c r="KD33" i="29"/>
  <c r="MI30" i="29"/>
  <c r="MI7" i="29"/>
  <c r="NG30" i="29"/>
  <c r="NG7" i="29"/>
  <c r="IY30" i="29"/>
  <c r="IY7" i="29"/>
  <c r="MB33" i="29"/>
  <c r="MI33" i="29" s="1"/>
  <c r="DS7" i="29"/>
  <c r="DS30" i="29"/>
  <c r="GE30" i="29"/>
  <c r="GE7" i="29"/>
  <c r="DC30" i="29"/>
  <c r="DC7" i="29"/>
  <c r="EI7" i="29"/>
  <c r="KU7" i="29"/>
  <c r="K31" i="29"/>
  <c r="GM35" i="29"/>
  <c r="GM31" i="29"/>
  <c r="GM26" i="29"/>
  <c r="GM7" i="29"/>
  <c r="AY26" i="29"/>
  <c r="AY31" i="29"/>
  <c r="AY35" i="29"/>
  <c r="HC31" i="29"/>
  <c r="HC26" i="29"/>
  <c r="HC35" i="29"/>
  <c r="HK31" i="29"/>
  <c r="HK35" i="29"/>
  <c r="HK26" i="29"/>
  <c r="GU26" i="29"/>
  <c r="GU31" i="29"/>
  <c r="GU35" i="29"/>
  <c r="LK35" i="29"/>
  <c r="LK26" i="29"/>
  <c r="LK31" i="29"/>
  <c r="D33" i="29"/>
  <c r="GE35" i="29"/>
  <c r="GE26" i="29"/>
  <c r="GE31" i="29"/>
  <c r="IQ35" i="29"/>
  <c r="IQ31" i="29"/>
  <c r="IQ26" i="29"/>
  <c r="NW35" i="29"/>
  <c r="NW26" i="29"/>
  <c r="NW31" i="29"/>
  <c r="BW31" i="29"/>
  <c r="BW35" i="29"/>
  <c r="BW26" i="29"/>
  <c r="CE33" i="29"/>
  <c r="BO30" i="29"/>
  <c r="BO7" i="29"/>
  <c r="DK7" i="29"/>
  <c r="DK30" i="29"/>
  <c r="CE7" i="29"/>
  <c r="CU7" i="29"/>
  <c r="JM33" i="29"/>
  <c r="JO33" i="29" s="1"/>
  <c r="KM30" i="29"/>
  <c r="KM7" i="29"/>
  <c r="FG30" i="29"/>
  <c r="FG7" i="29"/>
  <c r="II7" i="29"/>
  <c r="JW7" i="29"/>
  <c r="EY7" i="29"/>
  <c r="N7" i="29" l="1"/>
  <c r="N30" i="29"/>
  <c r="N25" i="29"/>
  <c r="N24" i="29"/>
  <c r="N32" i="29"/>
  <c r="N35" i="29"/>
  <c r="N26" i="29"/>
  <c r="N31" i="29"/>
  <c r="N19" i="29"/>
  <c r="N22" i="29"/>
  <c r="O12" i="29"/>
  <c r="O11" i="29"/>
  <c r="O9" i="29"/>
  <c r="O29" i="29" s="1"/>
  <c r="O13" i="29"/>
  <c r="O5" i="29"/>
  <c r="O14" i="29"/>
  <c r="O15" i="29"/>
  <c r="P4" i="29"/>
  <c r="O8" i="29"/>
  <c r="O16" i="29"/>
  <c r="O23" i="29" s="1"/>
  <c r="O34" i="29"/>
  <c r="N17" i="29"/>
  <c r="N18" i="29"/>
  <c r="DC33" i="29"/>
  <c r="EA33" i="29"/>
  <c r="HC33" i="29"/>
  <c r="NO33" i="29"/>
  <c r="MY33" i="29"/>
  <c r="NG33" i="29"/>
  <c r="NW33" i="29"/>
  <c r="FW33" i="29"/>
  <c r="AQ33" i="29"/>
  <c r="KE33" i="29"/>
  <c r="JW33" i="29"/>
  <c r="EY33" i="29"/>
  <c r="KM33" i="29"/>
  <c r="GM33" i="29"/>
  <c r="DK33" i="29"/>
  <c r="CM33" i="29"/>
  <c r="FG33" i="29"/>
  <c r="HK33" i="29"/>
  <c r="DS33" i="29"/>
  <c r="LC33" i="29"/>
  <c r="IA33" i="29"/>
  <c r="Q14" i="27"/>
  <c r="I7" i="29"/>
  <c r="K8" i="29"/>
  <c r="K7" i="29" s="1"/>
  <c r="I30" i="29"/>
  <c r="O22" i="29" l="1"/>
  <c r="O19" i="29"/>
  <c r="O30" i="29"/>
  <c r="O7" i="29"/>
  <c r="O35" i="29"/>
  <c r="O26" i="29"/>
  <c r="O31" i="29"/>
  <c r="O33" i="29" s="1"/>
  <c r="O17" i="29"/>
  <c r="O18" i="29"/>
  <c r="N33" i="29"/>
  <c r="P15" i="29"/>
  <c r="P12" i="29"/>
  <c r="P11" i="29"/>
  <c r="P13" i="29"/>
  <c r="P8" i="29"/>
  <c r="P16" i="29"/>
  <c r="P23" i="29" s="1"/>
  <c r="P5" i="29"/>
  <c r="P9" i="29"/>
  <c r="Q4" i="29"/>
  <c r="P34" i="29"/>
  <c r="P14" i="29"/>
  <c r="O24" i="29"/>
  <c r="O32" i="29"/>
  <c r="O25" i="29"/>
  <c r="I33" i="29"/>
  <c r="K33" i="29" s="1"/>
  <c r="K30" i="29"/>
  <c r="P32" i="29" l="1"/>
  <c r="P25" i="29"/>
  <c r="P24" i="29"/>
  <c r="P19" i="29"/>
  <c r="P22" i="29"/>
  <c r="P30" i="29"/>
  <c r="P7" i="29"/>
  <c r="P17" i="29"/>
  <c r="P18" i="29"/>
  <c r="Q9" i="29"/>
  <c r="Q29" i="29" s="1"/>
  <c r="Q13" i="29"/>
  <c r="Q16" i="29"/>
  <c r="Q23" i="29" s="1"/>
  <c r="Q14" i="29"/>
  <c r="R4" i="29"/>
  <c r="Q5" i="29"/>
  <c r="Q12" i="29"/>
  <c r="Q11" i="29"/>
  <c r="Q8" i="29"/>
  <c r="Q34" i="29"/>
  <c r="Q15" i="29"/>
  <c r="P29" i="29"/>
  <c r="P31" i="29"/>
  <c r="P35" i="29"/>
  <c r="P26" i="29"/>
  <c r="P33" i="29" l="1"/>
  <c r="Q19" i="29"/>
  <c r="Q22" i="29"/>
  <c r="Q7" i="29"/>
  <c r="Q30" i="29"/>
  <c r="Q33" i="29" s="1"/>
  <c r="Q17" i="29"/>
  <c r="Q18" i="29"/>
  <c r="Q25" i="29"/>
  <c r="Q32" i="29"/>
  <c r="Q24" i="29"/>
  <c r="Q31" i="29"/>
  <c r="Q26" i="29"/>
  <c r="Q35" i="29"/>
  <c r="R12" i="29"/>
  <c r="S12" i="29" s="1"/>
  <c r="R5" i="29"/>
  <c r="S5" i="29" s="1"/>
  <c r="S26" i="29" s="1"/>
  <c r="R34" i="29"/>
  <c r="R13" i="29"/>
  <c r="R15" i="29"/>
  <c r="S15" i="29" s="1"/>
  <c r="T4" i="29"/>
  <c r="R14" i="29"/>
  <c r="R11" i="29"/>
  <c r="S11" i="29" s="1"/>
  <c r="R8" i="29"/>
  <c r="R9" i="29"/>
  <c r="R29" i="29" s="1"/>
  <c r="R16" i="29"/>
  <c r="R23" i="29" s="1"/>
  <c r="C183" i="33"/>
  <c r="D137" i="33"/>
  <c r="O166" i="33"/>
  <c r="D110" i="33"/>
  <c r="P94" i="33"/>
  <c r="O188" i="33"/>
  <c r="O103" i="33"/>
  <c r="D56" i="33"/>
  <c r="D87" i="33"/>
  <c r="C11" i="33"/>
  <c r="O5" i="33"/>
  <c r="P100" i="33"/>
  <c r="O72" i="33"/>
  <c r="O128" i="33"/>
  <c r="C149" i="33"/>
  <c r="C60" i="33"/>
  <c r="D188" i="33"/>
  <c r="P93" i="33"/>
  <c r="P166" i="33"/>
  <c r="P56" i="33"/>
  <c r="P126" i="33"/>
  <c r="D51" i="33"/>
  <c r="O89" i="33"/>
  <c r="P77" i="33"/>
  <c r="C125" i="33"/>
  <c r="D114" i="33"/>
  <c r="C145" i="33"/>
  <c r="P125" i="33"/>
  <c r="D103" i="33"/>
  <c r="P20" i="33"/>
  <c r="P129" i="33"/>
  <c r="D113" i="33"/>
  <c r="O152" i="33"/>
  <c r="O185" i="33"/>
  <c r="O75" i="33"/>
  <c r="D17" i="33"/>
  <c r="C102" i="33"/>
  <c r="D59" i="33"/>
  <c r="P88" i="33"/>
  <c r="P133" i="33"/>
  <c r="D91" i="33"/>
  <c r="D43" i="33"/>
  <c r="C48" i="33"/>
  <c r="O93" i="33"/>
  <c r="C72" i="33"/>
  <c r="D147" i="33"/>
  <c r="P155" i="33"/>
  <c r="C130" i="33"/>
  <c r="P134" i="33"/>
  <c r="O175" i="33"/>
  <c r="O122" i="33"/>
  <c r="O126" i="33"/>
  <c r="O145" i="33"/>
  <c r="C19" i="33"/>
  <c r="C156" i="33"/>
  <c r="C54" i="33"/>
  <c r="P79" i="33"/>
  <c r="P28" i="33"/>
  <c r="O50" i="33"/>
  <c r="C154" i="33"/>
  <c r="D156" i="33"/>
  <c r="O39" i="33"/>
  <c r="O22" i="33"/>
  <c r="O38" i="33"/>
  <c r="O43" i="33"/>
  <c r="C64" i="33"/>
  <c r="P169" i="33"/>
  <c r="C91" i="33"/>
  <c r="O136" i="33"/>
  <c r="C138" i="33"/>
  <c r="D173" i="33"/>
  <c r="P73" i="33"/>
  <c r="C67" i="33"/>
  <c r="C127" i="33"/>
  <c r="D104" i="33"/>
  <c r="O151" i="33"/>
  <c r="O132" i="33"/>
  <c r="P17" i="33"/>
  <c r="O155" i="33"/>
  <c r="O139" i="33"/>
  <c r="C71" i="33"/>
  <c r="P78" i="33"/>
  <c r="D35" i="33"/>
  <c r="O115" i="33"/>
  <c r="P29" i="33"/>
  <c r="P174" i="33"/>
  <c r="C105" i="33"/>
  <c r="D6" i="33"/>
  <c r="P36" i="33"/>
  <c r="C107" i="33"/>
  <c r="O124" i="33"/>
  <c r="O95" i="33"/>
  <c r="D190" i="33"/>
  <c r="C80" i="33"/>
  <c r="O44" i="33"/>
  <c r="O74" i="33"/>
  <c r="O8" i="33"/>
  <c r="P55" i="33"/>
  <c r="D152" i="33"/>
  <c r="P19" i="33"/>
  <c r="P152" i="33"/>
  <c r="D57" i="33"/>
  <c r="C103" i="33"/>
  <c r="C33" i="33"/>
  <c r="C190" i="33"/>
  <c r="D76" i="33"/>
  <c r="D30" i="33"/>
  <c r="O77" i="33"/>
  <c r="D150" i="33"/>
  <c r="O174" i="33"/>
  <c r="D158" i="33"/>
  <c r="P52" i="33"/>
  <c r="P50" i="33"/>
  <c r="D75" i="33"/>
  <c r="O135" i="33"/>
  <c r="C23" i="33"/>
  <c r="P71" i="33"/>
  <c r="O181" i="33"/>
  <c r="C47" i="33"/>
  <c r="O26" i="33"/>
  <c r="O34" i="33"/>
  <c r="C129" i="33"/>
  <c r="O125" i="33"/>
  <c r="D180" i="33"/>
  <c r="C114" i="33"/>
  <c r="U11" i="27"/>
  <c r="D115" i="33"/>
  <c r="P109" i="33"/>
  <c r="C186" i="33"/>
  <c r="D33" i="33"/>
  <c r="O49" i="33"/>
  <c r="C124" i="33"/>
  <c r="C36" i="33"/>
  <c r="D65" i="33"/>
  <c r="C83" i="33"/>
  <c r="D143" i="33"/>
  <c r="O183" i="33"/>
  <c r="D58" i="33"/>
  <c r="O111" i="33"/>
  <c r="D80" i="33"/>
  <c r="O130" i="33"/>
  <c r="O45" i="33"/>
  <c r="C68" i="33"/>
  <c r="D90" i="33"/>
  <c r="D134" i="33"/>
  <c r="P184" i="33"/>
  <c r="D61" i="33"/>
  <c r="C141" i="33"/>
  <c r="D178" i="33"/>
  <c r="O53" i="33"/>
  <c r="D21" i="33"/>
  <c r="C31" i="33"/>
  <c r="C15" i="33"/>
  <c r="P180" i="33"/>
  <c r="O189" i="33"/>
  <c r="D60" i="33"/>
  <c r="D163" i="33"/>
  <c r="D170" i="33"/>
  <c r="O158" i="33"/>
  <c r="D175" i="33"/>
  <c r="P185" i="33"/>
  <c r="D189" i="33"/>
  <c r="C51" i="33"/>
  <c r="C63" i="33"/>
  <c r="D66" i="33"/>
  <c r="P6" i="33"/>
  <c r="D121" i="33"/>
  <c r="P171" i="33"/>
  <c r="O42" i="33"/>
  <c r="C87" i="33"/>
  <c r="O33" i="33"/>
  <c r="O153" i="33"/>
  <c r="C7" i="33"/>
  <c r="P138" i="33"/>
  <c r="O121" i="33"/>
  <c r="P127" i="33"/>
  <c r="P106" i="33"/>
  <c r="C66" i="33"/>
  <c r="D181" i="33"/>
  <c r="P97" i="33"/>
  <c r="O118" i="33"/>
  <c r="P156" i="33"/>
  <c r="P15" i="33"/>
  <c r="O17" i="33"/>
  <c r="O15" i="33"/>
  <c r="P189" i="33"/>
  <c r="P65" i="33"/>
  <c r="C111" i="33"/>
  <c r="P27" i="33"/>
  <c r="D52" i="33"/>
  <c r="P103" i="33"/>
  <c r="C153" i="33"/>
  <c r="D179" i="33"/>
  <c r="P40" i="33"/>
  <c r="P81" i="33"/>
  <c r="D185" i="33"/>
  <c r="D16" i="33"/>
  <c r="C169" i="33"/>
  <c r="D72" i="33"/>
  <c r="C42" i="33"/>
  <c r="C162" i="33"/>
  <c r="O119" i="33"/>
  <c r="C14" i="33"/>
  <c r="P69" i="33"/>
  <c r="P107" i="33"/>
  <c r="C65" i="33"/>
  <c r="P172" i="33"/>
  <c r="P57" i="33"/>
  <c r="C21" i="33"/>
  <c r="O32" i="33"/>
  <c r="D18" i="33"/>
  <c r="O63" i="33"/>
  <c r="D160" i="33"/>
  <c r="D117" i="33"/>
  <c r="D41" i="33"/>
  <c r="P115" i="33"/>
  <c r="O91" i="33"/>
  <c r="C38" i="33"/>
  <c r="P121" i="33"/>
  <c r="P58" i="33"/>
  <c r="D86" i="33"/>
  <c r="D112" i="33"/>
  <c r="C112" i="33"/>
  <c r="P63" i="33"/>
  <c r="O184" i="33"/>
  <c r="P23" i="33"/>
  <c r="P130" i="33"/>
  <c r="P183" i="33"/>
  <c r="D119" i="33"/>
  <c r="O187" i="33"/>
  <c r="P170" i="33"/>
  <c r="C139" i="33"/>
  <c r="D159" i="33"/>
  <c r="O113" i="33"/>
  <c r="P182" i="33"/>
  <c r="C69" i="33"/>
  <c r="P76" i="33"/>
  <c r="D92" i="33"/>
  <c r="P176" i="33"/>
  <c r="P54" i="33"/>
  <c r="D7" i="33"/>
  <c r="P150" i="33"/>
  <c r="D77" i="33"/>
  <c r="L10" i="27"/>
  <c r="C135" i="33"/>
  <c r="O134" i="33"/>
  <c r="C108" i="33"/>
  <c r="P143" i="33"/>
  <c r="D29" i="33"/>
  <c r="P9" i="33"/>
  <c r="C106" i="33"/>
  <c r="O102" i="33"/>
  <c r="C86" i="33"/>
  <c r="O52" i="33"/>
  <c r="L11" i="27"/>
  <c r="O137" i="33"/>
  <c r="C173" i="33"/>
  <c r="C109" i="33"/>
  <c r="O191" i="33"/>
  <c r="P136" i="33"/>
  <c r="O117" i="33"/>
  <c r="O56" i="33"/>
  <c r="O106" i="33"/>
  <c r="D38" i="33"/>
  <c r="D131" i="33"/>
  <c r="O67" i="33"/>
  <c r="P21" i="33"/>
  <c r="D88" i="33"/>
  <c r="P175" i="33"/>
  <c r="D183" i="33"/>
  <c r="P32" i="33"/>
  <c r="P68" i="33"/>
  <c r="C34" i="33"/>
  <c r="O41" i="33"/>
  <c r="C17" i="33"/>
  <c r="C44" i="33"/>
  <c r="C61" i="33"/>
  <c r="D133" i="33"/>
  <c r="O36" i="33"/>
  <c r="O55" i="33"/>
  <c r="D123" i="33"/>
  <c r="O120" i="33"/>
  <c r="D48" i="33"/>
  <c r="D15" i="33"/>
  <c r="D82" i="33"/>
  <c r="C28" i="33"/>
  <c r="P11" i="33"/>
  <c r="D8" i="33"/>
  <c r="P38" i="33"/>
  <c r="C49" i="33"/>
  <c r="C56" i="33"/>
  <c r="D67" i="33"/>
  <c r="C143" i="33"/>
  <c r="D111" i="33"/>
  <c r="C70" i="33"/>
  <c r="D85" i="33"/>
  <c r="P70" i="33"/>
  <c r="D64" i="33"/>
  <c r="D53" i="33"/>
  <c r="C93" i="33"/>
  <c r="O150" i="33"/>
  <c r="D93" i="33"/>
  <c r="D95" i="33"/>
  <c r="O61" i="33"/>
  <c r="D28" i="33"/>
  <c r="D172" i="33"/>
  <c r="P101" i="33"/>
  <c r="P92" i="33"/>
  <c r="O20" i="33"/>
  <c r="P181" i="33"/>
  <c r="O154" i="33"/>
  <c r="C22" i="33"/>
  <c r="P45" i="33"/>
  <c r="P4" i="33"/>
  <c r="D36" i="33"/>
  <c r="D140" i="33"/>
  <c r="C39" i="33"/>
  <c r="C97" i="33"/>
  <c r="P85" i="33"/>
  <c r="P34" i="33"/>
  <c r="D20" i="33"/>
  <c r="D157" i="33"/>
  <c r="C165" i="33"/>
  <c r="C164" i="33"/>
  <c r="P146" i="33"/>
  <c r="D184" i="33"/>
  <c r="C84" i="33"/>
  <c r="O87" i="33"/>
  <c r="P102" i="33"/>
  <c r="C170" i="33"/>
  <c r="D83" i="33"/>
  <c r="D125" i="33"/>
  <c r="D166" i="33"/>
  <c r="O10" i="33"/>
  <c r="P33" i="33"/>
  <c r="D10" i="33"/>
  <c r="P44" i="33"/>
  <c r="P74" i="33"/>
  <c r="D171" i="33"/>
  <c r="C184" i="33"/>
  <c r="C185" i="33"/>
  <c r="C104" i="33"/>
  <c r="P24" i="33"/>
  <c r="P118" i="33"/>
  <c r="C40" i="33"/>
  <c r="P105" i="33"/>
  <c r="O19" i="33"/>
  <c r="C100" i="33"/>
  <c r="U10" i="27"/>
  <c r="C155" i="33"/>
  <c r="C119" i="33"/>
  <c r="C187" i="33"/>
  <c r="P110" i="33"/>
  <c r="P10" i="33"/>
  <c r="C188" i="33"/>
  <c r="O64" i="33"/>
  <c r="C122" i="33"/>
  <c r="P119" i="33"/>
  <c r="O51" i="33"/>
  <c r="C52" i="33"/>
  <c r="C62" i="33"/>
  <c r="O92" i="33"/>
  <c r="O147" i="33"/>
  <c r="P161" i="33"/>
  <c r="O127" i="33"/>
  <c r="P39" i="33"/>
  <c r="D132" i="33"/>
  <c r="D155" i="33"/>
  <c r="C160" i="33"/>
  <c r="P25" i="33"/>
  <c r="D101" i="33"/>
  <c r="C46" i="33"/>
  <c r="O14" i="33"/>
  <c r="D14" i="33"/>
  <c r="O96" i="33"/>
  <c r="O37" i="33"/>
  <c r="P47" i="33"/>
  <c r="O179" i="33"/>
  <c r="O105" i="33"/>
  <c r="D164" i="33"/>
  <c r="P51" i="33"/>
  <c r="D139" i="33"/>
  <c r="O40" i="33"/>
  <c r="O30" i="33"/>
  <c r="O99" i="33"/>
  <c r="D63" i="33"/>
  <c r="P132" i="33"/>
  <c r="D169" i="33"/>
  <c r="O173" i="33"/>
  <c r="P53" i="33"/>
  <c r="D167" i="33"/>
  <c r="O81" i="33"/>
  <c r="P67" i="33"/>
  <c r="O85" i="33"/>
  <c r="O172" i="33"/>
  <c r="C126" i="33"/>
  <c r="D69" i="33"/>
  <c r="C13" i="33"/>
  <c r="D31" i="33"/>
  <c r="O109" i="33"/>
  <c r="C180" i="33"/>
  <c r="O71" i="33"/>
  <c r="P111" i="33"/>
  <c r="O114" i="33"/>
  <c r="C75" i="33"/>
  <c r="D84" i="33"/>
  <c r="C181" i="33"/>
  <c r="D108" i="33"/>
  <c r="O82" i="33"/>
  <c r="O79" i="33"/>
  <c r="D127" i="33"/>
  <c r="C9" i="33"/>
  <c r="P142" i="33"/>
  <c r="C5" i="33"/>
  <c r="P98" i="33"/>
  <c r="P141" i="33"/>
  <c r="D177" i="33"/>
  <c r="D96" i="33"/>
  <c r="O76" i="33"/>
  <c r="O131" i="33"/>
  <c r="P159" i="33"/>
  <c r="C6" i="33"/>
  <c r="P122" i="33"/>
  <c r="C151" i="33"/>
  <c r="P72" i="33"/>
  <c r="O84" i="33"/>
  <c r="P112" i="33"/>
  <c r="O148" i="33"/>
  <c r="D109" i="33"/>
  <c r="C163" i="33"/>
  <c r="D165" i="33"/>
  <c r="C35" i="33"/>
  <c r="C174" i="33"/>
  <c r="D186" i="33"/>
  <c r="C79" i="33"/>
  <c r="P151" i="33"/>
  <c r="C82" i="33"/>
  <c r="C10" i="33"/>
  <c r="O162" i="33"/>
  <c r="D138" i="33"/>
  <c r="P48" i="33"/>
  <c r="O142" i="33"/>
  <c r="O143" i="33"/>
  <c r="C137" i="33"/>
  <c r="C177" i="33"/>
  <c r="P66" i="33"/>
  <c r="O110" i="33"/>
  <c r="C189" i="33"/>
  <c r="D191" i="33"/>
  <c r="D102" i="33"/>
  <c r="C178" i="33"/>
  <c r="P164" i="33"/>
  <c r="D62" i="33"/>
  <c r="C98" i="33"/>
  <c r="D26" i="33"/>
  <c r="D124" i="33"/>
  <c r="C18" i="33"/>
  <c r="C133" i="33"/>
  <c r="O88" i="33"/>
  <c r="D70" i="33"/>
  <c r="O54" i="33"/>
  <c r="O86" i="33"/>
  <c r="O138" i="33"/>
  <c r="P59" i="33"/>
  <c r="C12" i="33"/>
  <c r="P123" i="33"/>
  <c r="P91" i="33"/>
  <c r="C121" i="33"/>
  <c r="D106" i="33"/>
  <c r="D46" i="33"/>
  <c r="D39" i="33"/>
  <c r="O107" i="33"/>
  <c r="O168" i="33"/>
  <c r="O12" i="33"/>
  <c r="D44" i="33"/>
  <c r="C171" i="33"/>
  <c r="P13" i="33"/>
  <c r="P84" i="33"/>
  <c r="D182" i="33"/>
  <c r="P42" i="33"/>
  <c r="C115" i="33"/>
  <c r="D12" i="33"/>
  <c r="O180" i="33"/>
  <c r="C117" i="33"/>
  <c r="D50" i="33"/>
  <c r="D105" i="33"/>
  <c r="O161" i="33"/>
  <c r="P96" i="33"/>
  <c r="P49" i="33"/>
  <c r="O16" i="33"/>
  <c r="O24" i="33"/>
  <c r="O7" i="33"/>
  <c r="D78" i="33"/>
  <c r="P26" i="33"/>
  <c r="C148" i="33"/>
  <c r="C150" i="33"/>
  <c r="P83" i="33"/>
  <c r="O165" i="33"/>
  <c r="P137" i="33"/>
  <c r="O4" i="33"/>
  <c r="P188" i="33"/>
  <c r="C147" i="33"/>
  <c r="O25" i="33"/>
  <c r="P8" i="33"/>
  <c r="O9" i="33"/>
  <c r="C172" i="33"/>
  <c r="D73" i="33"/>
  <c r="P31" i="33"/>
  <c r="D71" i="33"/>
  <c r="O186" i="33"/>
  <c r="D79" i="33"/>
  <c r="O94" i="33"/>
  <c r="D5" i="33"/>
  <c r="D144" i="33"/>
  <c r="C29" i="33"/>
  <c r="D129" i="33"/>
  <c r="D42" i="33"/>
  <c r="P30" i="33"/>
  <c r="P149" i="33"/>
  <c r="P113" i="33"/>
  <c r="O98" i="33"/>
  <c r="D118" i="33"/>
  <c r="O164" i="33"/>
  <c r="O70" i="33"/>
  <c r="D98" i="33"/>
  <c r="P144" i="33"/>
  <c r="O6" i="33"/>
  <c r="P173" i="33"/>
  <c r="C90" i="33"/>
  <c r="O163" i="33"/>
  <c r="C123" i="33"/>
  <c r="D74" i="33"/>
  <c r="O108" i="33"/>
  <c r="C78" i="33"/>
  <c r="C131" i="33"/>
  <c r="C88" i="33"/>
  <c r="D40" i="33"/>
  <c r="C74" i="33"/>
  <c r="D187" i="33"/>
  <c r="C89" i="33"/>
  <c r="P80" i="33"/>
  <c r="D68" i="33"/>
  <c r="D94" i="33"/>
  <c r="C73" i="33"/>
  <c r="O176" i="33"/>
  <c r="P131" i="33"/>
  <c r="P145" i="33"/>
  <c r="D11" i="33"/>
  <c r="C55" i="33"/>
  <c r="D49" i="33"/>
  <c r="P35" i="33"/>
  <c r="P104" i="33"/>
  <c r="P89" i="33"/>
  <c r="C136" i="33"/>
  <c r="D120" i="33"/>
  <c r="O104" i="33"/>
  <c r="C144" i="33"/>
  <c r="C176" i="33"/>
  <c r="C142" i="33"/>
  <c r="C132" i="33"/>
  <c r="P75" i="33"/>
  <c r="C77" i="33"/>
  <c r="C45" i="33"/>
  <c r="C182" i="33"/>
  <c r="D151" i="33"/>
  <c r="P117" i="33"/>
  <c r="C113" i="33"/>
  <c r="O13" i="33"/>
  <c r="C50" i="33"/>
  <c r="P86" i="33"/>
  <c r="D23" i="33"/>
  <c r="P190" i="33"/>
  <c r="D146" i="33"/>
  <c r="D116" i="33"/>
  <c r="D54" i="33"/>
  <c r="C146" i="33"/>
  <c r="O78" i="33"/>
  <c r="C95" i="33"/>
  <c r="D19" i="33"/>
  <c r="D176" i="33"/>
  <c r="O97" i="33"/>
  <c r="D149" i="33"/>
  <c r="C57" i="33"/>
  <c r="D37" i="33"/>
  <c r="C167" i="33"/>
  <c r="O47" i="33"/>
  <c r="P168" i="33"/>
  <c r="C59" i="33"/>
  <c r="C20" i="33"/>
  <c r="C116" i="33"/>
  <c r="D81" i="33"/>
  <c r="C53" i="33"/>
  <c r="C24" i="33"/>
  <c r="P158" i="33"/>
  <c r="P64" i="33"/>
  <c r="O80" i="33"/>
  <c r="O190" i="33"/>
  <c r="C118" i="33"/>
  <c r="P22" i="33"/>
  <c r="P187" i="33"/>
  <c r="D34" i="33"/>
  <c r="C37" i="33"/>
  <c r="C110" i="33"/>
  <c r="O159" i="33"/>
  <c r="P177" i="33"/>
  <c r="O140" i="33"/>
  <c r="O73" i="33"/>
  <c r="C134" i="33"/>
  <c r="O141" i="33"/>
  <c r="C81" i="33"/>
  <c r="C175" i="33"/>
  <c r="O100" i="33"/>
  <c r="D162" i="33"/>
  <c r="C43" i="33"/>
  <c r="O167" i="33"/>
  <c r="D32" i="33"/>
  <c r="O157" i="33"/>
  <c r="D126" i="33"/>
  <c r="O177" i="33"/>
  <c r="D122" i="33"/>
  <c r="D161" i="33"/>
  <c r="P139" i="33"/>
  <c r="P82" i="33"/>
  <c r="C101" i="33"/>
  <c r="P186" i="33"/>
  <c r="P12" i="33"/>
  <c r="C157" i="33"/>
  <c r="P62" i="33"/>
  <c r="C41" i="33"/>
  <c r="O112" i="33"/>
  <c r="O160" i="33"/>
  <c r="O83" i="33"/>
  <c r="C158" i="33"/>
  <c r="D97" i="33"/>
  <c r="D136" i="33"/>
  <c r="D22" i="33"/>
  <c r="P162" i="33"/>
  <c r="C128" i="33"/>
  <c r="O123" i="33"/>
  <c r="P114" i="33"/>
  <c r="P90" i="33"/>
  <c r="P147" i="33"/>
  <c r="P41" i="33"/>
  <c r="C92" i="33"/>
  <c r="D145" i="33"/>
  <c r="C96" i="33"/>
  <c r="O48" i="33"/>
  <c r="D141" i="33"/>
  <c r="O58" i="33"/>
  <c r="P5" i="33"/>
  <c r="P87" i="33"/>
  <c r="C32" i="33"/>
  <c r="P124" i="33"/>
  <c r="D153" i="33"/>
  <c r="O170" i="33"/>
  <c r="O156" i="33"/>
  <c r="P60" i="33"/>
  <c r="C85" i="33"/>
  <c r="D154" i="33"/>
  <c r="O60" i="33"/>
  <c r="O27" i="33"/>
  <c r="C58" i="33"/>
  <c r="C168" i="33"/>
  <c r="P157" i="33"/>
  <c r="P179" i="33"/>
  <c r="D142" i="33"/>
  <c r="C26" i="33"/>
  <c r="D135" i="33"/>
  <c r="P120" i="33"/>
  <c r="C166" i="33"/>
  <c r="O29" i="33"/>
  <c r="O171" i="33"/>
  <c r="C120" i="33"/>
  <c r="D168" i="33"/>
  <c r="P18" i="33"/>
  <c r="D89" i="33"/>
  <c r="O133" i="33"/>
  <c r="P16" i="33"/>
  <c r="C30" i="33"/>
  <c r="O62" i="33"/>
  <c r="O101" i="33"/>
  <c r="P99" i="33"/>
  <c r="O169" i="33"/>
  <c r="P191" i="33"/>
  <c r="P148" i="33"/>
  <c r="P140" i="33"/>
  <c r="P14" i="33"/>
  <c r="P46" i="33"/>
  <c r="O182" i="33"/>
  <c r="C191" i="33"/>
  <c r="O69" i="33"/>
  <c r="P37" i="33"/>
  <c r="O46" i="33"/>
  <c r="P7" i="33"/>
  <c r="C152" i="33"/>
  <c r="P163" i="33"/>
  <c r="D24" i="33"/>
  <c r="O21" i="33"/>
  <c r="P178" i="33"/>
  <c r="C140" i="33"/>
  <c r="D100" i="33"/>
  <c r="O178" i="33"/>
  <c r="O144" i="33"/>
  <c r="O28" i="33"/>
  <c r="D9" i="33"/>
  <c r="D25" i="33"/>
  <c r="D107" i="33"/>
  <c r="O35" i="33"/>
  <c r="P153" i="33"/>
  <c r="C16" i="33"/>
  <c r="O66" i="33"/>
  <c r="C179" i="33"/>
  <c r="O90" i="33"/>
  <c r="O68" i="33"/>
  <c r="C25" i="33"/>
  <c r="O59" i="33"/>
  <c r="C27" i="33"/>
  <c r="O129" i="33"/>
  <c r="P160" i="33"/>
  <c r="C76" i="33"/>
  <c r="O23" i="33"/>
  <c r="O149" i="33"/>
  <c r="O146" i="33"/>
  <c r="P154" i="33"/>
  <c r="O65" i="33"/>
  <c r="O57" i="33"/>
  <c r="P116" i="33"/>
  <c r="C161" i="33"/>
  <c r="D13" i="33"/>
  <c r="P61" i="33"/>
  <c r="O31" i="33"/>
  <c r="P167" i="33"/>
  <c r="P95" i="33"/>
  <c r="O11" i="33"/>
  <c r="O18" i="33"/>
  <c r="D148" i="33"/>
  <c r="D128" i="33"/>
  <c r="D99" i="33"/>
  <c r="D45" i="33"/>
  <c r="P165" i="33"/>
  <c r="C99" i="33"/>
  <c r="O116" i="33"/>
  <c r="D47" i="33"/>
  <c r="P108" i="33"/>
  <c r="D55" i="33"/>
  <c r="P128" i="33"/>
  <c r="C8" i="33"/>
  <c r="D130" i="33"/>
  <c r="P135" i="33"/>
  <c r="P43" i="33"/>
  <c r="D174" i="33"/>
  <c r="D27" i="33"/>
  <c r="C159" i="33"/>
  <c r="C94" i="33"/>
  <c r="N101" i="33"/>
  <c r="B40" i="33"/>
  <c r="G43" i="33"/>
  <c r="S43" i="33" s="1"/>
  <c r="H100" i="33"/>
  <c r="T100" i="33" s="1"/>
  <c r="N14" i="33"/>
  <c r="B32" i="33"/>
  <c r="N70" i="33"/>
  <c r="N145" i="33"/>
  <c r="H122" i="33"/>
  <c r="T122" i="33" s="1"/>
  <c r="G131" i="33"/>
  <c r="S131" i="33" s="1"/>
  <c r="N180" i="33"/>
  <c r="H133" i="33"/>
  <c r="T133" i="33" s="1"/>
  <c r="N20" i="33"/>
  <c r="N90" i="33"/>
  <c r="G30" i="33"/>
  <c r="S30" i="33" s="1"/>
  <c r="B26" i="33"/>
  <c r="N174" i="33"/>
  <c r="H85" i="33"/>
  <c r="T85" i="33" s="1"/>
  <c r="N13" i="33"/>
  <c r="B127" i="33"/>
  <c r="B37" i="33"/>
  <c r="H180" i="33"/>
  <c r="T180" i="33" s="1"/>
  <c r="F54" i="33"/>
  <c r="R54" i="33" s="1"/>
  <c r="B180" i="33"/>
  <c r="H70" i="33"/>
  <c r="T70" i="33" s="1"/>
  <c r="B52" i="33"/>
  <c r="F123" i="33"/>
  <c r="R123" i="33" s="1"/>
  <c r="B182" i="33"/>
  <c r="H67" i="33"/>
  <c r="T67" i="33" s="1"/>
  <c r="H152" i="33"/>
  <c r="T152" i="33" s="1"/>
  <c r="B141" i="33"/>
  <c r="N118" i="33"/>
  <c r="G31" i="33"/>
  <c r="S31" i="33" s="1"/>
  <c r="B66" i="33"/>
  <c r="N115" i="33"/>
  <c r="H76" i="33"/>
  <c r="T76" i="33" s="1"/>
  <c r="H55" i="33"/>
  <c r="T55" i="33" s="1"/>
  <c r="G142" i="33"/>
  <c r="S142" i="33" s="1"/>
  <c r="N4" i="33"/>
  <c r="N67" i="33"/>
  <c r="F14" i="33"/>
  <c r="F68" i="33"/>
  <c r="R68" i="33" s="1"/>
  <c r="F117" i="33"/>
  <c r="H148" i="33"/>
  <c r="T148" i="33" s="1"/>
  <c r="G175" i="33"/>
  <c r="S175" i="33" s="1"/>
  <c r="B187" i="33"/>
  <c r="F169" i="33"/>
  <c r="R169" i="33" s="1"/>
  <c r="N38" i="33"/>
  <c r="G32" i="33"/>
  <c r="S32" i="33" s="1"/>
  <c r="B117" i="33"/>
  <c r="H12" i="33"/>
  <c r="T12" i="33" s="1"/>
  <c r="N31" i="33"/>
  <c r="B121" i="33"/>
  <c r="N55" i="33"/>
  <c r="B168" i="33"/>
  <c r="N36" i="33"/>
  <c r="G179" i="33"/>
  <c r="S179" i="33" s="1"/>
  <c r="N56" i="33"/>
  <c r="N57" i="33"/>
  <c r="B38" i="33"/>
  <c r="N93" i="33"/>
  <c r="B22" i="33"/>
  <c r="H132" i="33"/>
  <c r="T132" i="33" s="1"/>
  <c r="N71" i="33"/>
  <c r="G41" i="33"/>
  <c r="S41" i="33" s="1"/>
  <c r="N184" i="33"/>
  <c r="F122" i="33"/>
  <c r="R122" i="33" s="1"/>
  <c r="B191" i="33"/>
  <c r="F137" i="33"/>
  <c r="R137" i="33" s="1"/>
  <c r="N39" i="33"/>
  <c r="N97" i="33"/>
  <c r="N9" i="33"/>
  <c r="G159" i="33"/>
  <c r="S159" i="33" s="1"/>
  <c r="F80" i="33"/>
  <c r="R80" i="33" s="1"/>
  <c r="H52" i="33"/>
  <c r="T52" i="33" s="1"/>
  <c r="N176" i="33"/>
  <c r="F93" i="33"/>
  <c r="R93" i="33" s="1"/>
  <c r="G110" i="33"/>
  <c r="S110" i="33" s="1"/>
  <c r="B100" i="33"/>
  <c r="N185" i="33"/>
  <c r="N156" i="33"/>
  <c r="N143" i="33"/>
  <c r="B92" i="33"/>
  <c r="B34" i="33"/>
  <c r="B128" i="33"/>
  <c r="F43" i="33"/>
  <c r="R43" i="33" s="1"/>
  <c r="G128" i="33"/>
  <c r="S128" i="33" s="1"/>
  <c r="F124" i="33"/>
  <c r="R124" i="33" s="1"/>
  <c r="G68" i="33"/>
  <c r="S68" i="33" s="1"/>
  <c r="N133" i="33"/>
  <c r="B96" i="33"/>
  <c r="B158" i="33"/>
  <c r="N127" i="33"/>
  <c r="F37" i="33"/>
  <c r="R37" i="33" s="1"/>
  <c r="N48" i="33"/>
  <c r="G121" i="33"/>
  <c r="S121" i="33" s="1"/>
  <c r="B169" i="33"/>
  <c r="G90" i="33"/>
  <c r="S90" i="33" s="1"/>
  <c r="N40" i="33"/>
  <c r="F65" i="33"/>
  <c r="R65" i="33" s="1"/>
  <c r="N183" i="33"/>
  <c r="G70" i="33"/>
  <c r="S70" i="33" s="1"/>
  <c r="B89" i="33"/>
  <c r="F139" i="33"/>
  <c r="R139" i="33" s="1"/>
  <c r="G72" i="33"/>
  <c r="S72" i="33" s="1"/>
  <c r="G113" i="33"/>
  <c r="S113" i="33" s="1"/>
  <c r="B175" i="33"/>
  <c r="F25" i="33"/>
  <c r="N163" i="33"/>
  <c r="F49" i="33"/>
  <c r="R49" i="33" s="1"/>
  <c r="N149" i="33"/>
  <c r="B31" i="33"/>
  <c r="N172" i="33"/>
  <c r="F44" i="33"/>
  <c r="N66" i="33"/>
  <c r="F120" i="33"/>
  <c r="R120" i="33" s="1"/>
  <c r="H73" i="33"/>
  <c r="T73" i="33" s="1"/>
  <c r="B35" i="33"/>
  <c r="G10" i="33"/>
  <c r="S10" i="33" s="1"/>
  <c r="F82" i="33"/>
  <c r="R82" i="33" s="1"/>
  <c r="F60" i="33"/>
  <c r="G56" i="33"/>
  <c r="S56" i="33" s="1"/>
  <c r="F103" i="33"/>
  <c r="R103" i="33" s="1"/>
  <c r="F20" i="33"/>
  <c r="F178" i="33"/>
  <c r="N167" i="33"/>
  <c r="B124" i="33"/>
  <c r="F108" i="33"/>
  <c r="R108" i="33" s="1"/>
  <c r="B91" i="33"/>
  <c r="G158" i="33"/>
  <c r="S158" i="33" s="1"/>
  <c r="N117" i="33"/>
  <c r="F58" i="33"/>
  <c r="B4" i="33"/>
  <c r="F52" i="33"/>
  <c r="H93" i="33"/>
  <c r="T93" i="33" s="1"/>
  <c r="F40" i="33"/>
  <c r="H130" i="33"/>
  <c r="T130" i="33" s="1"/>
  <c r="N169" i="33"/>
  <c r="G118" i="33"/>
  <c r="S118" i="33" s="1"/>
  <c r="B50" i="33"/>
  <c r="B49" i="33"/>
  <c r="F73" i="33"/>
  <c r="B5" i="33"/>
  <c r="N50" i="33"/>
  <c r="B133" i="33"/>
  <c r="N126" i="33"/>
  <c r="H49" i="33"/>
  <c r="T49" i="33" s="1"/>
  <c r="B185" i="33"/>
  <c r="N27" i="33"/>
  <c r="H63" i="33"/>
  <c r="T63" i="33" s="1"/>
  <c r="B181" i="33"/>
  <c r="N170" i="33"/>
  <c r="B39" i="33"/>
  <c r="G146" i="33"/>
  <c r="S146" i="33" s="1"/>
  <c r="G105" i="33"/>
  <c r="S105" i="33" s="1"/>
  <c r="G29" i="33"/>
  <c r="S29" i="33" s="1"/>
  <c r="F190" i="33"/>
  <c r="R190" i="33" s="1"/>
  <c r="N150" i="33"/>
  <c r="N109" i="33"/>
  <c r="F152" i="33"/>
  <c r="R152" i="33" s="1"/>
  <c r="B24" i="33"/>
  <c r="F113" i="33"/>
  <c r="R113" i="33" s="1"/>
  <c r="N137" i="33"/>
  <c r="N154" i="33"/>
  <c r="B36" i="33"/>
  <c r="F148" i="33"/>
  <c r="F154" i="33"/>
  <c r="G144" i="33"/>
  <c r="S144" i="33" s="1"/>
  <c r="F102" i="33"/>
  <c r="R102" i="33" s="1"/>
  <c r="N32" i="33"/>
  <c r="N33" i="33"/>
  <c r="B155" i="33"/>
  <c r="N140" i="33"/>
  <c r="G81" i="33"/>
  <c r="S81" i="33" s="1"/>
  <c r="F4" i="33"/>
  <c r="R4" i="33" s="1"/>
  <c r="N77" i="33"/>
  <c r="B80" i="33"/>
  <c r="B82" i="33"/>
  <c r="N53" i="33"/>
  <c r="N168" i="33"/>
  <c r="N189" i="33"/>
  <c r="H14" i="33"/>
  <c r="T14" i="33" s="1"/>
  <c r="H57" i="33"/>
  <c r="T57" i="33" s="1"/>
  <c r="B190" i="33"/>
  <c r="H42" i="33"/>
  <c r="T42" i="33" s="1"/>
  <c r="B27" i="33"/>
  <c r="F39" i="33"/>
  <c r="R39" i="33" s="1"/>
  <c r="G57" i="33"/>
  <c r="S57" i="33" s="1"/>
  <c r="N181" i="33"/>
  <c r="N164" i="33"/>
  <c r="F104" i="33"/>
  <c r="R104" i="33" s="1"/>
  <c r="F166" i="33"/>
  <c r="R166" i="33" s="1"/>
  <c r="B56" i="33"/>
  <c r="B63" i="33"/>
  <c r="B28" i="33"/>
  <c r="G169" i="33"/>
  <c r="S169" i="33" s="1"/>
  <c r="F116" i="33"/>
  <c r="B42" i="33"/>
  <c r="B77" i="33"/>
  <c r="B57" i="33"/>
  <c r="G165" i="33"/>
  <c r="S165" i="33" s="1"/>
  <c r="H36" i="33"/>
  <c r="T36" i="33" s="1"/>
  <c r="N152" i="33"/>
  <c r="G188" i="33"/>
  <c r="S188" i="33" s="1"/>
  <c r="F106" i="33"/>
  <c r="R106" i="33" s="1"/>
  <c r="N121" i="33"/>
  <c r="N6" i="33"/>
  <c r="F167" i="33"/>
  <c r="R167" i="33" s="1"/>
  <c r="F48" i="33"/>
  <c r="R48" i="33" s="1"/>
  <c r="B176" i="33"/>
  <c r="N45" i="33"/>
  <c r="B18" i="33"/>
  <c r="B53" i="33"/>
  <c r="H17" i="33"/>
  <c r="T17" i="33" s="1"/>
  <c r="G15" i="33"/>
  <c r="S15" i="33" s="1"/>
  <c r="B9" i="33"/>
  <c r="F180" i="33"/>
  <c r="R180" i="33" s="1"/>
  <c r="G85" i="33"/>
  <c r="S85" i="33" s="1"/>
  <c r="B118" i="33"/>
  <c r="N62" i="33"/>
  <c r="F30" i="33"/>
  <c r="R30" i="33" s="1"/>
  <c r="G185" i="33"/>
  <c r="S185" i="33" s="1"/>
  <c r="F21" i="33"/>
  <c r="R21" i="33" s="1"/>
  <c r="B29" i="33"/>
  <c r="N106" i="33"/>
  <c r="F164" i="33"/>
  <c r="R164" i="33" s="1"/>
  <c r="H15" i="33"/>
  <c r="T15" i="33" s="1"/>
  <c r="F15" i="33"/>
  <c r="F99" i="33"/>
  <c r="R99" i="33" s="1"/>
  <c r="N103" i="33"/>
  <c r="B154" i="33"/>
  <c r="B186" i="33"/>
  <c r="B65" i="33"/>
  <c r="F36" i="33"/>
  <c r="R36" i="33" s="1"/>
  <c r="H28" i="33"/>
  <c r="T28" i="33" s="1"/>
  <c r="F126" i="33"/>
  <c r="R126" i="33" s="1"/>
  <c r="F88" i="33"/>
  <c r="R88" i="33" s="1"/>
  <c r="H21" i="33"/>
  <c r="T21" i="33" s="1"/>
  <c r="F53" i="33"/>
  <c r="G186" i="33"/>
  <c r="S186" i="33" s="1"/>
  <c r="G104" i="33"/>
  <c r="S104" i="33" s="1"/>
  <c r="H7" i="33"/>
  <c r="T7" i="33" s="1"/>
  <c r="F114" i="33"/>
  <c r="R114" i="33" s="1"/>
  <c r="F157" i="33"/>
  <c r="R157" i="33" s="1"/>
  <c r="B70" i="33"/>
  <c r="F147" i="33"/>
  <c r="R147" i="33" s="1"/>
  <c r="F46" i="33"/>
  <c r="R46" i="33" s="1"/>
  <c r="F129" i="33"/>
  <c r="G99" i="33"/>
  <c r="N19" i="33"/>
  <c r="F72" i="33"/>
  <c r="F24" i="33"/>
  <c r="N173" i="33"/>
  <c r="B15" i="33"/>
  <c r="O9" i="27"/>
  <c r="H32" i="33"/>
  <c r="T32" i="33" s="1"/>
  <c r="N35" i="33"/>
  <c r="H136" i="33"/>
  <c r="T136" i="33" s="1"/>
  <c r="F127" i="33"/>
  <c r="R127" i="33" s="1"/>
  <c r="N92" i="33"/>
  <c r="G184" i="33"/>
  <c r="S184" i="33" s="1"/>
  <c r="B25" i="33"/>
  <c r="F61" i="33"/>
  <c r="R61" i="33" s="1"/>
  <c r="F34" i="33"/>
  <c r="R34" i="33" s="1"/>
  <c r="G45" i="33"/>
  <c r="S45" i="33" s="1"/>
  <c r="F23" i="33"/>
  <c r="R23" i="33" s="1"/>
  <c r="F28" i="33"/>
  <c r="R28" i="33" s="1"/>
  <c r="N44" i="33"/>
  <c r="F159" i="33"/>
  <c r="R159" i="33" s="1"/>
  <c r="N99" i="33"/>
  <c r="F165" i="33"/>
  <c r="R165" i="33" s="1"/>
  <c r="H107" i="33"/>
  <c r="T107" i="33" s="1"/>
  <c r="G127" i="33"/>
  <c r="S127" i="33" s="1"/>
  <c r="F74" i="33"/>
  <c r="R74" i="33" s="1"/>
  <c r="N141" i="33"/>
  <c r="N58" i="33"/>
  <c r="B160" i="33"/>
  <c r="L9" i="27"/>
  <c r="H88" i="33"/>
  <c r="T88" i="33" s="1"/>
  <c r="N89" i="33"/>
  <c r="B126" i="33"/>
  <c r="N102" i="33"/>
  <c r="O10" i="27"/>
  <c r="S10" i="27" s="1"/>
  <c r="G107" i="33"/>
  <c r="S107" i="33" s="1"/>
  <c r="G94" i="33"/>
  <c r="S94" i="33" s="1"/>
  <c r="H40" i="33"/>
  <c r="T40" i="33" s="1"/>
  <c r="F33" i="33"/>
  <c r="H64" i="33"/>
  <c r="T64" i="33" s="1"/>
  <c r="B78" i="33"/>
  <c r="F32" i="33"/>
  <c r="R32" i="33" s="1"/>
  <c r="F77" i="33"/>
  <c r="R77" i="33" s="1"/>
  <c r="N100" i="33"/>
  <c r="B113" i="33"/>
  <c r="F186" i="33"/>
  <c r="R186" i="33" s="1"/>
  <c r="B71" i="33"/>
  <c r="H139" i="33"/>
  <c r="T139" i="33" s="1"/>
  <c r="F146" i="33"/>
  <c r="G137" i="33"/>
  <c r="S137" i="33" s="1"/>
  <c r="H174" i="33"/>
  <c r="T174" i="33" s="1"/>
  <c r="F22" i="33"/>
  <c r="R22" i="33" s="1"/>
  <c r="H182" i="33"/>
  <c r="T182" i="33" s="1"/>
  <c r="H123" i="33"/>
  <c r="T123" i="33" s="1"/>
  <c r="B69" i="33"/>
  <c r="N41" i="33"/>
  <c r="B130" i="33"/>
  <c r="H90" i="33"/>
  <c r="T90" i="33" s="1"/>
  <c r="H178" i="33"/>
  <c r="T178" i="33" s="1"/>
  <c r="H115" i="33"/>
  <c r="T115" i="33" s="1"/>
  <c r="N21" i="33"/>
  <c r="F7" i="33"/>
  <c r="R7" i="33" s="1"/>
  <c r="G149" i="33"/>
  <c r="S149" i="33" s="1"/>
  <c r="G111" i="33"/>
  <c r="S111" i="33" s="1"/>
  <c r="H16" i="33"/>
  <c r="T16" i="33" s="1"/>
  <c r="G67" i="33"/>
  <c r="S67" i="33" s="1"/>
  <c r="B74" i="33"/>
  <c r="F90" i="33"/>
  <c r="H126" i="33"/>
  <c r="T126" i="33" s="1"/>
  <c r="F70" i="33"/>
  <c r="B177" i="33"/>
  <c r="N37" i="33"/>
  <c r="F131" i="33"/>
  <c r="R131" i="33" s="1"/>
  <c r="N112" i="33"/>
  <c r="H8" i="33"/>
  <c r="T8" i="33" s="1"/>
  <c r="N157" i="33"/>
  <c r="B115" i="33"/>
  <c r="G100" i="33"/>
  <c r="S100" i="33" s="1"/>
  <c r="G136" i="33"/>
  <c r="S136" i="33" s="1"/>
  <c r="B122" i="33"/>
  <c r="H131" i="33"/>
  <c r="T131" i="33" s="1"/>
  <c r="H62" i="33"/>
  <c r="T62" i="33" s="1"/>
  <c r="N46" i="33"/>
  <c r="F174" i="33"/>
  <c r="G156" i="33"/>
  <c r="S156" i="33" s="1"/>
  <c r="G189" i="33"/>
  <c r="S189" i="33" s="1"/>
  <c r="F19" i="33"/>
  <c r="R19" i="33" s="1"/>
  <c r="N10" i="33"/>
  <c r="H104" i="33"/>
  <c r="T104" i="33" s="1"/>
  <c r="N76" i="33"/>
  <c r="H20" i="33"/>
  <c r="T20" i="33" s="1"/>
  <c r="B174" i="33"/>
  <c r="N51" i="33"/>
  <c r="N132" i="33"/>
  <c r="N116" i="33"/>
  <c r="F29" i="33"/>
  <c r="R29" i="33" s="1"/>
  <c r="F184" i="33"/>
  <c r="R184" i="33" s="1"/>
  <c r="G147" i="33"/>
  <c r="S147" i="33" s="1"/>
  <c r="H163" i="33"/>
  <c r="T163" i="33" s="1"/>
  <c r="B103" i="33"/>
  <c r="F150" i="33"/>
  <c r="B149" i="33"/>
  <c r="B146" i="33"/>
  <c r="G35" i="33"/>
  <c r="S35" i="33" s="1"/>
  <c r="G140" i="33"/>
  <c r="S140" i="33" s="1"/>
  <c r="G134" i="33"/>
  <c r="S134" i="33" s="1"/>
  <c r="F27" i="33"/>
  <c r="R27" i="33" s="1"/>
  <c r="F47" i="33"/>
  <c r="R47" i="33" s="1"/>
  <c r="N155" i="33"/>
  <c r="B167" i="33"/>
  <c r="H129" i="33"/>
  <c r="T129" i="33" s="1"/>
  <c r="F18" i="33"/>
  <c r="R18" i="33" s="1"/>
  <c r="G9" i="33"/>
  <c r="S9" i="33" s="1"/>
  <c r="B161" i="33"/>
  <c r="B139" i="33"/>
  <c r="E139" i="33" s="1"/>
  <c r="H59" i="33"/>
  <c r="T59" i="33" s="1"/>
  <c r="F11" i="33"/>
  <c r="G87" i="33"/>
  <c r="S87" i="33" s="1"/>
  <c r="H29" i="33"/>
  <c r="T29" i="33" s="1"/>
  <c r="G161" i="33"/>
  <c r="S161" i="33" s="1"/>
  <c r="F96" i="33"/>
  <c r="R96" i="33" s="1"/>
  <c r="B156" i="33"/>
  <c r="F87" i="33"/>
  <c r="R87" i="33" s="1"/>
  <c r="B59" i="33"/>
  <c r="B16" i="33"/>
  <c r="F42" i="33"/>
  <c r="R42" i="33" s="1"/>
  <c r="G84" i="33"/>
  <c r="S84" i="33" s="1"/>
  <c r="B21" i="33"/>
  <c r="N80" i="33"/>
  <c r="F153" i="33"/>
  <c r="R153" i="33" s="1"/>
  <c r="B151" i="33"/>
  <c r="B61" i="33"/>
  <c r="B44" i="33"/>
  <c r="F51" i="33"/>
  <c r="R51" i="33" s="1"/>
  <c r="H161" i="33"/>
  <c r="T161" i="33" s="1"/>
  <c r="F191" i="33"/>
  <c r="R191" i="33" s="1"/>
  <c r="H13" i="33"/>
  <c r="T13" i="33" s="1"/>
  <c r="F107" i="33"/>
  <c r="R107" i="33" s="1"/>
  <c r="G92" i="33"/>
  <c r="S92" i="33" s="1"/>
  <c r="N47" i="33"/>
  <c r="F38" i="33"/>
  <c r="R38" i="33" s="1"/>
  <c r="F161" i="33"/>
  <c r="N98" i="33"/>
  <c r="G191" i="33"/>
  <c r="S191" i="33" s="1"/>
  <c r="H26" i="33"/>
  <c r="T26" i="33" s="1"/>
  <c r="F97" i="33"/>
  <c r="R97" i="33" s="1"/>
  <c r="B112" i="33"/>
  <c r="G75" i="33"/>
  <c r="S75" i="33" s="1"/>
  <c r="N54" i="33"/>
  <c r="G77" i="33"/>
  <c r="H37" i="33"/>
  <c r="T37" i="33" s="1"/>
  <c r="N85" i="33"/>
  <c r="F45" i="33"/>
  <c r="R45" i="33" s="1"/>
  <c r="N139" i="33"/>
  <c r="H138" i="33"/>
  <c r="T138" i="33" s="1"/>
  <c r="N81" i="33"/>
  <c r="N105" i="33"/>
  <c r="G129" i="33"/>
  <c r="S129" i="33" s="1"/>
  <c r="G55" i="33"/>
  <c r="S55" i="33" s="1"/>
  <c r="B170" i="33"/>
  <c r="G20" i="33"/>
  <c r="S20" i="33" s="1"/>
  <c r="G18" i="33"/>
  <c r="S18" i="33" s="1"/>
  <c r="N52" i="33"/>
  <c r="H38" i="33"/>
  <c r="T38" i="33" s="1"/>
  <c r="B123" i="33"/>
  <c r="N83" i="33"/>
  <c r="B178" i="33"/>
  <c r="F92" i="33"/>
  <c r="R92" i="33" s="1"/>
  <c r="G40" i="33"/>
  <c r="S40" i="33" s="1"/>
  <c r="N182" i="33"/>
  <c r="G176" i="33"/>
  <c r="S176" i="33" s="1"/>
  <c r="F115" i="33"/>
  <c r="R115" i="33" s="1"/>
  <c r="N60" i="33"/>
  <c r="N61" i="33"/>
  <c r="N16" i="33"/>
  <c r="H72" i="33"/>
  <c r="T72" i="33" s="1"/>
  <c r="B72" i="33"/>
  <c r="H45" i="33"/>
  <c r="T45" i="33" s="1"/>
  <c r="N153" i="33"/>
  <c r="B179" i="33"/>
  <c r="G60" i="33"/>
  <c r="S60" i="33" s="1"/>
  <c r="F172" i="33"/>
  <c r="R172" i="33" s="1"/>
  <c r="G112" i="33"/>
  <c r="S112" i="33" s="1"/>
  <c r="B172" i="33"/>
  <c r="H141" i="33"/>
  <c r="T141" i="33" s="1"/>
  <c r="G74" i="33"/>
  <c r="S74" i="33" s="1"/>
  <c r="N43" i="33"/>
  <c r="G48" i="33"/>
  <c r="S48" i="33" s="1"/>
  <c r="N7" i="33"/>
  <c r="N135" i="33"/>
  <c r="B43" i="33"/>
  <c r="H137" i="33"/>
  <c r="T137" i="33" s="1"/>
  <c r="F171" i="33"/>
  <c r="R171" i="33" s="1"/>
  <c r="F17" i="33"/>
  <c r="H185" i="33"/>
  <c r="T185" i="33" s="1"/>
  <c r="B55" i="33"/>
  <c r="F71" i="33"/>
  <c r="R71" i="33" s="1"/>
  <c r="H147" i="33"/>
  <c r="T147" i="33" s="1"/>
  <c r="G173" i="33"/>
  <c r="S173" i="33" s="1"/>
  <c r="F89" i="33"/>
  <c r="R89" i="33" s="1"/>
  <c r="G12" i="33"/>
  <c r="S12" i="33" s="1"/>
  <c r="H97" i="33"/>
  <c r="T97" i="33" s="1"/>
  <c r="H44" i="33"/>
  <c r="T44" i="33" s="1"/>
  <c r="H135" i="33"/>
  <c r="T135" i="33" s="1"/>
  <c r="B93" i="33"/>
  <c r="B104" i="33"/>
  <c r="B135" i="33"/>
  <c r="B184" i="33"/>
  <c r="H154" i="33"/>
  <c r="T154" i="33" s="1"/>
  <c r="G166" i="33"/>
  <c r="S166" i="33" s="1"/>
  <c r="B129" i="33"/>
  <c r="B58" i="33"/>
  <c r="F91" i="33"/>
  <c r="F134" i="33"/>
  <c r="R134" i="33" s="1"/>
  <c r="H6" i="33"/>
  <c r="T6" i="33" s="1"/>
  <c r="N5" i="33"/>
  <c r="F100" i="33"/>
  <c r="R100" i="33" s="1"/>
  <c r="F158" i="33"/>
  <c r="R158" i="33" s="1"/>
  <c r="B12" i="33"/>
  <c r="G27" i="33"/>
  <c r="S27" i="33" s="1"/>
  <c r="B81" i="33"/>
  <c r="N130" i="33"/>
  <c r="H30" i="33"/>
  <c r="H47" i="33"/>
  <c r="T47" i="33" s="1"/>
  <c r="O11" i="27"/>
  <c r="F118" i="33"/>
  <c r="R118" i="33" s="1"/>
  <c r="N15" i="33"/>
  <c r="G8" i="33"/>
  <c r="S8" i="33" s="1"/>
  <c r="N23" i="33"/>
  <c r="G51" i="33"/>
  <c r="S51" i="33" s="1"/>
  <c r="G174" i="33"/>
  <c r="S174" i="33" s="1"/>
  <c r="F5" i="33"/>
  <c r="G64" i="33"/>
  <c r="S64" i="33" s="1"/>
  <c r="G150" i="33"/>
  <c r="S150" i="33" s="1"/>
  <c r="F133" i="33"/>
  <c r="R133" i="33" s="1"/>
  <c r="N146" i="33"/>
  <c r="H33" i="33"/>
  <c r="T33" i="33" s="1"/>
  <c r="B13" i="33"/>
  <c r="F10" i="33"/>
  <c r="R10" i="33" s="1"/>
  <c r="B134" i="33"/>
  <c r="H153" i="33"/>
  <c r="T153" i="33" s="1"/>
  <c r="N88" i="33"/>
  <c r="N79" i="33"/>
  <c r="N128" i="33"/>
  <c r="H125" i="33"/>
  <c r="T125" i="33" s="1"/>
  <c r="N138" i="33"/>
  <c r="G98" i="33"/>
  <c r="S98" i="33" s="1"/>
  <c r="H83" i="33"/>
  <c r="T83" i="33" s="1"/>
  <c r="B159" i="33"/>
  <c r="B64" i="33"/>
  <c r="E64" i="33" s="1"/>
  <c r="H98" i="33"/>
  <c r="T98" i="33" s="1"/>
  <c r="F84" i="33"/>
  <c r="R84" i="33" s="1"/>
  <c r="N34" i="33"/>
  <c r="G102" i="33"/>
  <c r="S102" i="33" s="1"/>
  <c r="B173" i="33"/>
  <c r="G19" i="33"/>
  <c r="S19" i="33" s="1"/>
  <c r="H5" i="33"/>
  <c r="T5" i="33" s="1"/>
  <c r="G25" i="33"/>
  <c r="S25" i="33" s="1"/>
  <c r="G39" i="33"/>
  <c r="S39" i="33" s="1"/>
  <c r="B106" i="33"/>
  <c r="F142" i="33"/>
  <c r="G5" i="33"/>
  <c r="S5" i="33" s="1"/>
  <c r="G53" i="33"/>
  <c r="S53" i="33" s="1"/>
  <c r="H145" i="33"/>
  <c r="T145" i="33" s="1"/>
  <c r="F56" i="33"/>
  <c r="R56" i="33" s="1"/>
  <c r="H19" i="33"/>
  <c r="T19" i="33" s="1"/>
  <c r="H181" i="33"/>
  <c r="T181" i="33" s="1"/>
  <c r="H179" i="33"/>
  <c r="T179" i="33" s="1"/>
  <c r="F105" i="33"/>
  <c r="R105" i="33" s="1"/>
  <c r="B138" i="33"/>
  <c r="G49" i="33"/>
  <c r="S49" i="33" s="1"/>
  <c r="H162" i="33"/>
  <c r="T162" i="33" s="1"/>
  <c r="H53" i="33"/>
  <c r="T53" i="33" s="1"/>
  <c r="H175" i="33"/>
  <c r="T175" i="33" s="1"/>
  <c r="G4" i="33"/>
  <c r="S4" i="33" s="1"/>
  <c r="N171" i="33"/>
  <c r="F75" i="33"/>
  <c r="H10" i="33"/>
  <c r="N120" i="33"/>
  <c r="G38" i="33"/>
  <c r="S38" i="33" s="1"/>
  <c r="H31" i="33"/>
  <c r="T31" i="33" s="1"/>
  <c r="N122" i="33"/>
  <c r="B108" i="33"/>
  <c r="N190" i="33"/>
  <c r="H112" i="33"/>
  <c r="T112" i="33" s="1"/>
  <c r="N69" i="33"/>
  <c r="G190" i="33"/>
  <c r="S190" i="33" s="1"/>
  <c r="G181" i="33"/>
  <c r="S181" i="33" s="1"/>
  <c r="N114" i="33"/>
  <c r="H84" i="33"/>
  <c r="T84" i="33" s="1"/>
  <c r="F62" i="33"/>
  <c r="R62" i="33" s="1"/>
  <c r="N96" i="33"/>
  <c r="F8" i="33"/>
  <c r="R8" i="33" s="1"/>
  <c r="B164" i="33"/>
  <c r="H159" i="33"/>
  <c r="T159" i="33" s="1"/>
  <c r="F168" i="33"/>
  <c r="R168" i="33" s="1"/>
  <c r="B101" i="33"/>
  <c r="N186" i="33"/>
  <c r="H143" i="33"/>
  <c r="T143" i="33" s="1"/>
  <c r="B20" i="33"/>
  <c r="G44" i="33"/>
  <c r="S44" i="33" s="1"/>
  <c r="G139" i="33"/>
  <c r="G54" i="33"/>
  <c r="S54" i="33" s="1"/>
  <c r="B183" i="33"/>
  <c r="H94" i="33"/>
  <c r="T94" i="33" s="1"/>
  <c r="H155" i="33"/>
  <c r="T155" i="33" s="1"/>
  <c r="H92" i="33"/>
  <c r="T92" i="33" s="1"/>
  <c r="H71" i="33"/>
  <c r="T71" i="33" s="1"/>
  <c r="N8" i="33"/>
  <c r="H124" i="33"/>
  <c r="T124" i="33" s="1"/>
  <c r="F83" i="33"/>
  <c r="R83" i="33" s="1"/>
  <c r="B189" i="33"/>
  <c r="B75" i="33"/>
  <c r="H108" i="33"/>
  <c r="T108" i="33" s="1"/>
  <c r="N187" i="33"/>
  <c r="G76" i="33"/>
  <c r="S76" i="33" s="1"/>
  <c r="H99" i="33"/>
  <c r="T99" i="33" s="1"/>
  <c r="N142" i="33"/>
  <c r="H58" i="33"/>
  <c r="T58" i="33" s="1"/>
  <c r="B105" i="33"/>
  <c r="F140" i="33"/>
  <c r="R140" i="33" s="1"/>
  <c r="B188" i="33"/>
  <c r="H190" i="33"/>
  <c r="T190" i="33" s="1"/>
  <c r="F143" i="33"/>
  <c r="R143" i="33" s="1"/>
  <c r="G172" i="33"/>
  <c r="S172" i="33" s="1"/>
  <c r="G187" i="33"/>
  <c r="S187" i="33" s="1"/>
  <c r="F98" i="33"/>
  <c r="N159" i="33"/>
  <c r="B102" i="33"/>
  <c r="N165" i="33"/>
  <c r="F160" i="33"/>
  <c r="R160" i="33" s="1"/>
  <c r="G148" i="33"/>
  <c r="S148" i="33" s="1"/>
  <c r="N22" i="33"/>
  <c r="F16" i="33"/>
  <c r="R16" i="33" s="1"/>
  <c r="B150" i="33"/>
  <c r="H189" i="33"/>
  <c r="T189" i="33" s="1"/>
  <c r="B125" i="33"/>
  <c r="F189" i="33"/>
  <c r="R189" i="33" s="1"/>
  <c r="H48" i="33"/>
  <c r="T48" i="33" s="1"/>
  <c r="B67" i="33"/>
  <c r="G97" i="33"/>
  <c r="S97" i="33" s="1"/>
  <c r="H95" i="33"/>
  <c r="T95" i="33" s="1"/>
  <c r="B88" i="33"/>
  <c r="G168" i="33"/>
  <c r="S168" i="33" s="1"/>
  <c r="G73" i="33"/>
  <c r="S73" i="33" s="1"/>
  <c r="G6" i="33"/>
  <c r="S6" i="33" s="1"/>
  <c r="H60" i="33"/>
  <c r="T60" i="33" s="1"/>
  <c r="F111" i="33"/>
  <c r="N63" i="33"/>
  <c r="G93" i="33"/>
  <c r="S93" i="33" s="1"/>
  <c r="N74" i="33"/>
  <c r="B68" i="33"/>
  <c r="F110" i="33"/>
  <c r="R110" i="33" s="1"/>
  <c r="H156" i="33"/>
  <c r="T156" i="33" s="1"/>
  <c r="H11" i="33"/>
  <c r="T11" i="33" s="1"/>
  <c r="G108" i="33"/>
  <c r="S108" i="33" s="1"/>
  <c r="N191" i="33"/>
  <c r="N166" i="33"/>
  <c r="F170" i="33"/>
  <c r="R170" i="33" s="1"/>
  <c r="N123" i="33"/>
  <c r="F6" i="33"/>
  <c r="B143" i="33"/>
  <c r="H165" i="33"/>
  <c r="T165" i="33" s="1"/>
  <c r="G183" i="33"/>
  <c r="S183" i="33" s="1"/>
  <c r="B152" i="33"/>
  <c r="G28" i="33"/>
  <c r="S28" i="33" s="1"/>
  <c r="N25" i="33"/>
  <c r="N29" i="33"/>
  <c r="H65" i="33"/>
  <c r="T65" i="33" s="1"/>
  <c r="F13" i="33"/>
  <c r="R13" i="33" s="1"/>
  <c r="F85" i="33"/>
  <c r="R85" i="33" s="1"/>
  <c r="N119" i="33"/>
  <c r="G66" i="33"/>
  <c r="S66" i="33" s="1"/>
  <c r="H169" i="33"/>
  <c r="T169" i="33" s="1"/>
  <c r="G126" i="33"/>
  <c r="S126" i="33" s="1"/>
  <c r="F78" i="33"/>
  <c r="R78" i="33" s="1"/>
  <c r="H134" i="33"/>
  <c r="T134" i="33" s="1"/>
  <c r="F175" i="33"/>
  <c r="G177" i="33"/>
  <c r="S177" i="33" s="1"/>
  <c r="N136" i="33"/>
  <c r="B145" i="33"/>
  <c r="B10" i="33"/>
  <c r="G101" i="33"/>
  <c r="S101" i="33" s="1"/>
  <c r="H109" i="33"/>
  <c r="T109" i="33" s="1"/>
  <c r="N188" i="33"/>
  <c r="G157" i="33"/>
  <c r="S157" i="33" s="1"/>
  <c r="N134" i="33"/>
  <c r="H184" i="33"/>
  <c r="T184" i="33" s="1"/>
  <c r="H128" i="33"/>
  <c r="T128" i="33" s="1"/>
  <c r="F63" i="33"/>
  <c r="R63" i="33" s="1"/>
  <c r="H27" i="33"/>
  <c r="T27" i="33" s="1"/>
  <c r="G132" i="33"/>
  <c r="S132" i="33" s="1"/>
  <c r="N125" i="33"/>
  <c r="G171" i="33"/>
  <c r="S171" i="33" s="1"/>
  <c r="H51" i="33"/>
  <c r="T51" i="33" s="1"/>
  <c r="F136" i="33"/>
  <c r="R136" i="33" s="1"/>
  <c r="G47" i="33"/>
  <c r="S47" i="33" s="1"/>
  <c r="B87" i="33"/>
  <c r="N108" i="33"/>
  <c r="N95" i="33"/>
  <c r="F163" i="33"/>
  <c r="R163" i="33" s="1"/>
  <c r="B165" i="33"/>
  <c r="H116" i="33"/>
  <c r="T116" i="33" s="1"/>
  <c r="H39" i="33"/>
  <c r="T39" i="33" s="1"/>
  <c r="B114" i="33"/>
  <c r="G143" i="33"/>
  <c r="S143" i="33" s="1"/>
  <c r="B147" i="33"/>
  <c r="H183" i="33"/>
  <c r="T183" i="33" s="1"/>
  <c r="F162" i="33"/>
  <c r="B45" i="33"/>
  <c r="U9" i="27"/>
  <c r="G80" i="33"/>
  <c r="S80" i="33" s="1"/>
  <c r="G182" i="33"/>
  <c r="S182" i="33" s="1"/>
  <c r="H9" i="33"/>
  <c r="T9" i="33" s="1"/>
  <c r="B17" i="33"/>
  <c r="G167" i="33"/>
  <c r="S167" i="33" s="1"/>
  <c r="G151" i="33"/>
  <c r="S151" i="33" s="1"/>
  <c r="G14" i="33"/>
  <c r="S14" i="33" s="1"/>
  <c r="B62" i="33"/>
  <c r="F128" i="33"/>
  <c r="B23" i="33"/>
  <c r="N17" i="33"/>
  <c r="G138" i="33"/>
  <c r="S138" i="33" s="1"/>
  <c r="H75" i="33"/>
  <c r="T75" i="33" s="1"/>
  <c r="H61" i="33"/>
  <c r="T61" i="33" s="1"/>
  <c r="H103" i="33"/>
  <c r="T103" i="33" s="1"/>
  <c r="H150" i="33"/>
  <c r="T150" i="33" s="1"/>
  <c r="N65" i="33"/>
  <c r="G120" i="33"/>
  <c r="S120" i="33" s="1"/>
  <c r="H105" i="33"/>
  <c r="T105" i="33" s="1"/>
  <c r="B153" i="33"/>
  <c r="B109" i="33"/>
  <c r="B11" i="33"/>
  <c r="H46" i="33"/>
  <c r="T46" i="33" s="1"/>
  <c r="G106" i="33"/>
  <c r="S106" i="33" s="1"/>
  <c r="H34" i="33"/>
  <c r="T34" i="33" s="1"/>
  <c r="N129" i="33"/>
  <c r="N42" i="33"/>
  <c r="H151" i="33"/>
  <c r="T151" i="33" s="1"/>
  <c r="B120" i="33"/>
  <c r="F50" i="33"/>
  <c r="G116" i="33"/>
  <c r="S116" i="33" s="1"/>
  <c r="N179" i="33"/>
  <c r="F109" i="33"/>
  <c r="H50" i="33"/>
  <c r="T50" i="33" s="1"/>
  <c r="G178" i="33"/>
  <c r="S178" i="33" s="1"/>
  <c r="H186" i="33"/>
  <c r="T186" i="33" s="1"/>
  <c r="F69" i="33"/>
  <c r="F35" i="33"/>
  <c r="F79" i="33"/>
  <c r="R79" i="33" s="1"/>
  <c r="F81" i="33"/>
  <c r="R81" i="33" s="1"/>
  <c r="G59" i="33"/>
  <c r="S59" i="33" s="1"/>
  <c r="G124" i="33"/>
  <c r="S124" i="33" s="1"/>
  <c r="N18" i="33"/>
  <c r="F182" i="33"/>
  <c r="R182" i="33" s="1"/>
  <c r="B119" i="33"/>
  <c r="N12" i="33"/>
  <c r="G46" i="33"/>
  <c r="S46" i="33" s="1"/>
  <c r="H24" i="33"/>
  <c r="T24" i="33" s="1"/>
  <c r="H106" i="33"/>
  <c r="T106" i="33" s="1"/>
  <c r="G23" i="33"/>
  <c r="S23" i="33" s="1"/>
  <c r="N162" i="33"/>
  <c r="N158" i="33"/>
  <c r="N177" i="33"/>
  <c r="H111" i="33"/>
  <c r="T111" i="33" s="1"/>
  <c r="G123" i="33"/>
  <c r="N49" i="33"/>
  <c r="G163" i="33"/>
  <c r="S163" i="33" s="1"/>
  <c r="F31" i="33"/>
  <c r="N91" i="33"/>
  <c r="G26" i="33"/>
  <c r="S26" i="33" s="1"/>
  <c r="G21" i="33"/>
  <c r="S21" i="33" s="1"/>
  <c r="F179" i="33"/>
  <c r="G82" i="33"/>
  <c r="S82" i="33" s="1"/>
  <c r="H164" i="33"/>
  <c r="T164" i="33" s="1"/>
  <c r="G37" i="33"/>
  <c r="S37" i="33" s="1"/>
  <c r="G78" i="33"/>
  <c r="S78" i="33" s="1"/>
  <c r="F12" i="33"/>
  <c r="H117" i="33"/>
  <c r="T117" i="33" s="1"/>
  <c r="B107" i="33"/>
  <c r="G162" i="33"/>
  <c r="S162" i="33" s="1"/>
  <c r="B140" i="33"/>
  <c r="B86" i="33"/>
  <c r="N151" i="33"/>
  <c r="F135" i="33"/>
  <c r="R135" i="33" s="1"/>
  <c r="N72" i="33"/>
  <c r="F185" i="33"/>
  <c r="G109" i="33"/>
  <c r="S109" i="33" s="1"/>
  <c r="F95" i="33"/>
  <c r="R95" i="33" s="1"/>
  <c r="N59" i="33"/>
  <c r="H119" i="33"/>
  <c r="T119" i="33" s="1"/>
  <c r="F176" i="33"/>
  <c r="R176" i="33" s="1"/>
  <c r="H25" i="33"/>
  <c r="T25" i="33" s="1"/>
  <c r="G65" i="33"/>
  <c r="S65" i="33" s="1"/>
  <c r="B99" i="33"/>
  <c r="H173" i="33"/>
  <c r="T173" i="33" s="1"/>
  <c r="H144" i="33"/>
  <c r="T144" i="33" s="1"/>
  <c r="H91" i="33"/>
  <c r="T91" i="33" s="1"/>
  <c r="B90" i="33"/>
  <c r="B41" i="33"/>
  <c r="G135" i="33"/>
  <c r="S135" i="33" s="1"/>
  <c r="F145" i="33"/>
  <c r="R145" i="33" s="1"/>
  <c r="H176" i="33"/>
  <c r="T176" i="33" s="1"/>
  <c r="B46" i="33"/>
  <c r="F144" i="33"/>
  <c r="H81" i="33"/>
  <c r="F94" i="33"/>
  <c r="H78" i="33"/>
  <c r="T78" i="33" s="1"/>
  <c r="B33" i="33"/>
  <c r="E33" i="33" s="1"/>
  <c r="B85" i="33"/>
  <c r="G180" i="33"/>
  <c r="S180" i="33" s="1"/>
  <c r="B137" i="33"/>
  <c r="H113" i="33"/>
  <c r="T113" i="33" s="1"/>
  <c r="B30" i="33"/>
  <c r="H191" i="33"/>
  <c r="T191" i="33" s="1"/>
  <c r="F41" i="33"/>
  <c r="R41" i="33" s="1"/>
  <c r="B94" i="33"/>
  <c r="G152" i="33"/>
  <c r="S152" i="33" s="1"/>
  <c r="B132" i="33"/>
  <c r="B111" i="33"/>
  <c r="H149" i="33"/>
  <c r="T149" i="33" s="1"/>
  <c r="G89" i="33"/>
  <c r="S89" i="33" s="1"/>
  <c r="B97" i="33"/>
  <c r="G141" i="33"/>
  <c r="S141" i="33" s="1"/>
  <c r="F119" i="33"/>
  <c r="N82" i="33"/>
  <c r="F26" i="33"/>
  <c r="H142" i="33"/>
  <c r="T142" i="33" s="1"/>
  <c r="H140" i="33"/>
  <c r="T140" i="33" s="1"/>
  <c r="H87" i="33"/>
  <c r="T87" i="33" s="1"/>
  <c r="B157" i="33"/>
  <c r="F64" i="33"/>
  <c r="N86" i="33"/>
  <c r="G61" i="33"/>
  <c r="S61" i="33" s="1"/>
  <c r="B95" i="33"/>
  <c r="F156" i="33"/>
  <c r="G96" i="33"/>
  <c r="S96" i="33" s="1"/>
  <c r="N107" i="33"/>
  <c r="B51" i="33"/>
  <c r="F57" i="33"/>
  <c r="G69" i="33"/>
  <c r="S69" i="33" s="1"/>
  <c r="G119" i="33"/>
  <c r="S119" i="33" s="1"/>
  <c r="G50" i="33"/>
  <c r="S50" i="33" s="1"/>
  <c r="G36" i="33"/>
  <c r="S36" i="33" s="1"/>
  <c r="H77" i="33"/>
  <c r="T77" i="33" s="1"/>
  <c r="B83" i="33"/>
  <c r="H101" i="33"/>
  <c r="T101" i="33" s="1"/>
  <c r="H168" i="33"/>
  <c r="T168" i="33" s="1"/>
  <c r="H22" i="33"/>
  <c r="T22" i="33" s="1"/>
  <c r="N147" i="33"/>
  <c r="H89" i="33"/>
  <c r="T89" i="33" s="1"/>
  <c r="B19" i="33"/>
  <c r="H158" i="33"/>
  <c r="T158" i="33" s="1"/>
  <c r="F151" i="33"/>
  <c r="N26" i="33"/>
  <c r="N178" i="33"/>
  <c r="H68" i="33"/>
  <c r="T68" i="33" s="1"/>
  <c r="B110" i="33"/>
  <c r="G153" i="33"/>
  <c r="B171" i="33"/>
  <c r="B162" i="33"/>
  <c r="H171" i="33"/>
  <c r="T171" i="33" s="1"/>
  <c r="H69" i="33"/>
  <c r="T69" i="33" s="1"/>
  <c r="G33" i="33"/>
  <c r="S33" i="33" s="1"/>
  <c r="N144" i="33"/>
  <c r="H121" i="33"/>
  <c r="T121" i="33" s="1"/>
  <c r="G155" i="33"/>
  <c r="S155" i="33" s="1"/>
  <c r="H102" i="33"/>
  <c r="T102" i="33" s="1"/>
  <c r="H4" i="33"/>
  <c r="T4" i="33" s="1"/>
  <c r="H120" i="33"/>
  <c r="T120" i="33" s="1"/>
  <c r="G103" i="33"/>
  <c r="S103" i="33" s="1"/>
  <c r="G122" i="33"/>
  <c r="S122" i="33" s="1"/>
  <c r="N148" i="33"/>
  <c r="F101" i="33"/>
  <c r="N160" i="33"/>
  <c r="F187" i="33"/>
  <c r="R187" i="33" s="1"/>
  <c r="B144" i="33"/>
  <c r="B73" i="33"/>
  <c r="N87" i="33"/>
  <c r="G164" i="33"/>
  <c r="S164" i="33" s="1"/>
  <c r="F188" i="33"/>
  <c r="G22" i="33"/>
  <c r="S22" i="33" s="1"/>
  <c r="G130" i="33"/>
  <c r="S130" i="33" s="1"/>
  <c r="N30" i="33"/>
  <c r="H170" i="33"/>
  <c r="T170" i="33" s="1"/>
  <c r="F177" i="33"/>
  <c r="R177" i="33" s="1"/>
  <c r="G86" i="33"/>
  <c r="S86" i="33" s="1"/>
  <c r="H43" i="33"/>
  <c r="T43" i="33" s="1"/>
  <c r="H188" i="33"/>
  <c r="T188" i="33" s="1"/>
  <c r="G11" i="33"/>
  <c r="S11" i="33" s="1"/>
  <c r="H74" i="33"/>
  <c r="T74" i="33" s="1"/>
  <c r="F141" i="33"/>
  <c r="B54" i="33"/>
  <c r="B142" i="33"/>
  <c r="F138" i="33"/>
  <c r="R138" i="33" s="1"/>
  <c r="G16" i="33"/>
  <c r="S16" i="33" s="1"/>
  <c r="G52" i="33"/>
  <c r="S52" i="33" s="1"/>
  <c r="H118" i="33"/>
  <c r="T118" i="33" s="1"/>
  <c r="F121" i="33"/>
  <c r="G145" i="33"/>
  <c r="S145" i="33" s="1"/>
  <c r="H160" i="33"/>
  <c r="T160" i="33" s="1"/>
  <c r="N110" i="33"/>
  <c r="F112" i="33"/>
  <c r="H187" i="33"/>
  <c r="T187" i="33" s="1"/>
  <c r="G7" i="33"/>
  <c r="F181" i="33"/>
  <c r="R181" i="33" s="1"/>
  <c r="H166" i="33"/>
  <c r="T166" i="33" s="1"/>
  <c r="F132" i="33"/>
  <c r="F130" i="33"/>
  <c r="F155" i="33"/>
  <c r="B48" i="33"/>
  <c r="H41" i="33"/>
  <c r="T41" i="33" s="1"/>
  <c r="N73" i="33"/>
  <c r="G160" i="33"/>
  <c r="S160" i="33" s="1"/>
  <c r="N113" i="33"/>
  <c r="G170" i="33"/>
  <c r="S170" i="33" s="1"/>
  <c r="G95" i="33"/>
  <c r="S95" i="33" s="1"/>
  <c r="G62" i="33"/>
  <c r="S62" i="33" s="1"/>
  <c r="F9" i="33"/>
  <c r="H18" i="33"/>
  <c r="T18" i="33" s="1"/>
  <c r="B84" i="33"/>
  <c r="E84" i="33" s="1"/>
  <c r="G42" i="33"/>
  <c r="S42" i="33" s="1"/>
  <c r="B116" i="33"/>
  <c r="N64" i="33"/>
  <c r="N131" i="33"/>
  <c r="B76" i="33"/>
  <c r="G71" i="33"/>
  <c r="S71" i="33" s="1"/>
  <c r="F125" i="33"/>
  <c r="R125" i="33" s="1"/>
  <c r="B131" i="33"/>
  <c r="G125" i="33"/>
  <c r="S125" i="33" s="1"/>
  <c r="G13" i="33"/>
  <c r="H66" i="33"/>
  <c r="T66" i="33" s="1"/>
  <c r="F86" i="33"/>
  <c r="R86" i="33" s="1"/>
  <c r="H54" i="33"/>
  <c r="T54" i="33" s="1"/>
  <c r="F55" i="33"/>
  <c r="B7" i="33"/>
  <c r="H114" i="33"/>
  <c r="T114" i="33" s="1"/>
  <c r="B98" i="33"/>
  <c r="B166" i="33"/>
  <c r="H110" i="33"/>
  <c r="G34" i="33"/>
  <c r="S34" i="33" s="1"/>
  <c r="H96" i="33"/>
  <c r="T96" i="33" s="1"/>
  <c r="F183" i="33"/>
  <c r="B14" i="33"/>
  <c r="G79" i="33"/>
  <c r="S79" i="33" s="1"/>
  <c r="H167" i="33"/>
  <c r="T167" i="33" s="1"/>
  <c r="G63" i="33"/>
  <c r="B148" i="33"/>
  <c r="N161" i="33"/>
  <c r="N24" i="33"/>
  <c r="F76" i="33"/>
  <c r="R76" i="33" s="1"/>
  <c r="G117" i="33"/>
  <c r="S117" i="33" s="1"/>
  <c r="N11" i="33"/>
  <c r="G24" i="33"/>
  <c r="S24" i="33" s="1"/>
  <c r="B136" i="33"/>
  <c r="F67" i="33"/>
  <c r="F173" i="33"/>
  <c r="N124" i="33"/>
  <c r="F149" i="33"/>
  <c r="H86" i="33"/>
  <c r="T86" i="33" s="1"/>
  <c r="B163" i="33"/>
  <c r="N78" i="33"/>
  <c r="H82" i="33"/>
  <c r="T82" i="33" s="1"/>
  <c r="H172" i="33"/>
  <c r="T172" i="33" s="1"/>
  <c r="G115" i="33"/>
  <c r="S115" i="33" s="1"/>
  <c r="H56" i="33"/>
  <c r="T56" i="33" s="1"/>
  <c r="N68" i="33"/>
  <c r="N175" i="33"/>
  <c r="G17" i="33"/>
  <c r="S17" i="33" s="1"/>
  <c r="H35" i="33"/>
  <c r="T35" i="33" s="1"/>
  <c r="G58" i="33"/>
  <c r="S58" i="33" s="1"/>
  <c r="H157" i="33"/>
  <c r="T157" i="33" s="1"/>
  <c r="H127" i="33"/>
  <c r="B60" i="33"/>
  <c r="N104" i="33"/>
  <c r="B8" i="33"/>
  <c r="H23" i="33"/>
  <c r="T23" i="33" s="1"/>
  <c r="H80" i="33"/>
  <c r="T80" i="33" s="1"/>
  <c r="H146" i="33"/>
  <c r="T146" i="33" s="1"/>
  <c r="G133" i="33"/>
  <c r="S133" i="33" s="1"/>
  <c r="N94" i="33"/>
  <c r="N28" i="33"/>
  <c r="G91" i="33"/>
  <c r="S91" i="33" s="1"/>
  <c r="N111" i="33"/>
  <c r="H177" i="33"/>
  <c r="T177" i="33" s="1"/>
  <c r="G154" i="33"/>
  <c r="S154" i="33" s="1"/>
  <c r="N84" i="33"/>
  <c r="B79" i="33"/>
  <c r="N75" i="33"/>
  <c r="B47" i="33"/>
  <c r="G83" i="33"/>
  <c r="G88" i="33"/>
  <c r="S88" i="33" s="1"/>
  <c r="G114" i="33"/>
  <c r="F66" i="33"/>
  <c r="H79" i="33"/>
  <c r="T79" i="33" s="1"/>
  <c r="F59" i="33"/>
  <c r="E98" i="33" l="1"/>
  <c r="E125" i="33"/>
  <c r="E75" i="33"/>
  <c r="R162" i="33"/>
  <c r="U162" i="33" s="1"/>
  <c r="I162" i="33"/>
  <c r="R161" i="33"/>
  <c r="U161" i="33" s="1"/>
  <c r="I161" i="33"/>
  <c r="E103" i="33"/>
  <c r="E46" i="33"/>
  <c r="Q152" i="33"/>
  <c r="E173" i="33"/>
  <c r="E145" i="33"/>
  <c r="Q105" i="33"/>
  <c r="E11" i="33"/>
  <c r="Q50" i="33"/>
  <c r="E5" i="33"/>
  <c r="E53" i="33"/>
  <c r="E134" i="33"/>
  <c r="E149" i="33"/>
  <c r="E105" i="33"/>
  <c r="E106" i="33"/>
  <c r="E69" i="33"/>
  <c r="E185" i="33"/>
  <c r="E60" i="33"/>
  <c r="E90" i="33"/>
  <c r="E86" i="33"/>
  <c r="E36" i="33"/>
  <c r="E48" i="33"/>
  <c r="E162" i="33"/>
  <c r="E95" i="33"/>
  <c r="E111" i="33"/>
  <c r="E110" i="33"/>
  <c r="E189" i="33"/>
  <c r="E183" i="33"/>
  <c r="E144" i="33"/>
  <c r="E85" i="33"/>
  <c r="E7" i="33"/>
  <c r="E177" i="33"/>
  <c r="Q94" i="33"/>
  <c r="Q88" i="33"/>
  <c r="E79" i="33"/>
  <c r="AC11" i="27"/>
  <c r="E17" i="33"/>
  <c r="E87" i="33"/>
  <c r="E174" i="33"/>
  <c r="L12" i="27"/>
  <c r="L14" i="27" s="1"/>
  <c r="E12" i="33"/>
  <c r="E160" i="33"/>
  <c r="Q40" i="33"/>
  <c r="E65" i="33"/>
  <c r="Q125" i="33"/>
  <c r="E178" i="33"/>
  <c r="E170" i="33"/>
  <c r="E137" i="33"/>
  <c r="U12" i="27"/>
  <c r="U14" i="27" s="1"/>
  <c r="Q130" i="33"/>
  <c r="E132" i="33"/>
  <c r="E109" i="33"/>
  <c r="Q15" i="33"/>
  <c r="Q131" i="33"/>
  <c r="E51" i="33"/>
  <c r="E114" i="33"/>
  <c r="Q166" i="33"/>
  <c r="E67" i="33"/>
  <c r="Q82" i="33"/>
  <c r="Q142" i="33"/>
  <c r="Q91" i="33"/>
  <c r="Q34" i="33"/>
  <c r="R5" i="33"/>
  <c r="U5" i="33" s="1"/>
  <c r="I5" i="33"/>
  <c r="Q184" i="33"/>
  <c r="Q79" i="33"/>
  <c r="Q150" i="33"/>
  <c r="Q119" i="33"/>
  <c r="Q92" i="33"/>
  <c r="Q74" i="33"/>
  <c r="Q138" i="33"/>
  <c r="Q106" i="33"/>
  <c r="Q115" i="33"/>
  <c r="Q53" i="33"/>
  <c r="Q155" i="33"/>
  <c r="Q111" i="33"/>
  <c r="Q110" i="33"/>
  <c r="Q42" i="33"/>
  <c r="Q122" i="33"/>
  <c r="Q78" i="33"/>
  <c r="Q52" i="33"/>
  <c r="Q45" i="33"/>
  <c r="Q26" i="33"/>
  <c r="Q165" i="33"/>
  <c r="Q38" i="33"/>
  <c r="E129" i="33"/>
  <c r="E122" i="33"/>
  <c r="E56" i="33"/>
  <c r="E190" i="33"/>
  <c r="E147" i="33"/>
  <c r="E10" i="33"/>
  <c r="E143" i="33"/>
  <c r="E72" i="33"/>
  <c r="E14" i="33"/>
  <c r="E156" i="33"/>
  <c r="E91" i="33"/>
  <c r="E66" i="33"/>
  <c r="R17" i="29"/>
  <c r="R18" i="29"/>
  <c r="R19" i="29"/>
  <c r="R22" i="29"/>
  <c r="S13" i="29"/>
  <c r="T16" i="29"/>
  <c r="T23" i="29" s="1"/>
  <c r="T14" i="29"/>
  <c r="T5" i="29"/>
  <c r="T34" i="29"/>
  <c r="T9" i="29"/>
  <c r="T29" i="29" s="1"/>
  <c r="T15" i="29"/>
  <c r="T13" i="29"/>
  <c r="T8" i="29"/>
  <c r="T12" i="29"/>
  <c r="T11" i="29"/>
  <c r="U4" i="29"/>
  <c r="R30" i="29"/>
  <c r="R7" i="29"/>
  <c r="S8" i="29"/>
  <c r="S7" i="29" s="1"/>
  <c r="R31" i="29"/>
  <c r="R33" i="29" s="1"/>
  <c r="S33" i="29" s="1"/>
  <c r="R26" i="29"/>
  <c r="R35" i="29"/>
  <c r="R25" i="29"/>
  <c r="R32" i="29"/>
  <c r="R24" i="29"/>
  <c r="S9" i="29"/>
  <c r="S16" i="29"/>
  <c r="S23" i="29" s="1"/>
  <c r="Q129" i="33"/>
  <c r="E15" i="33"/>
  <c r="Q185" i="33"/>
  <c r="E104" i="33"/>
  <c r="Q121" i="33"/>
  <c r="E61" i="33"/>
  <c r="Q77" i="33"/>
  <c r="Q71" i="33"/>
  <c r="I149" i="33"/>
  <c r="E93" i="33"/>
  <c r="Q67" i="33"/>
  <c r="E94" i="33"/>
  <c r="E179" i="33"/>
  <c r="E175" i="33"/>
  <c r="Q114" i="33"/>
  <c r="Q145" i="33"/>
  <c r="Q162" i="33"/>
  <c r="Q169" i="33"/>
  <c r="E58" i="33"/>
  <c r="E120" i="33"/>
  <c r="E76" i="33"/>
  <c r="U122" i="33"/>
  <c r="E39" i="33"/>
  <c r="Q36" i="33"/>
  <c r="Q68" i="33"/>
  <c r="Q64" i="33"/>
  <c r="Q148" i="33"/>
  <c r="Q41" i="33"/>
  <c r="Q59" i="33"/>
  <c r="Q151" i="33"/>
  <c r="Q159" i="33"/>
  <c r="Q164" i="33"/>
  <c r="Q44" i="33"/>
  <c r="Q172" i="33"/>
  <c r="Q81" i="33"/>
  <c r="Q51" i="33"/>
  <c r="Q10" i="33"/>
  <c r="Q86" i="33"/>
  <c r="Q134" i="33"/>
  <c r="Q56" i="33"/>
  <c r="Q21" i="33"/>
  <c r="Q143" i="33"/>
  <c r="Q109" i="33"/>
  <c r="Q84" i="33"/>
  <c r="Q17" i="33"/>
  <c r="E19" i="33"/>
  <c r="E18" i="33"/>
  <c r="E153" i="33"/>
  <c r="E43" i="33"/>
  <c r="Q99" i="33"/>
  <c r="Q55" i="33"/>
  <c r="Q171" i="33"/>
  <c r="Q100" i="33"/>
  <c r="Q39" i="33"/>
  <c r="E38" i="33"/>
  <c r="Q178" i="33"/>
  <c r="Q135" i="33"/>
  <c r="Q139" i="33"/>
  <c r="Q46" i="33"/>
  <c r="Q16" i="33"/>
  <c r="Q58" i="33"/>
  <c r="Q160" i="33"/>
  <c r="Q182" i="33"/>
  <c r="E97" i="33"/>
  <c r="Q73" i="33"/>
  <c r="Q11" i="33"/>
  <c r="Q37" i="33"/>
  <c r="E6" i="33"/>
  <c r="E180" i="33"/>
  <c r="E101" i="33"/>
  <c r="E123" i="33"/>
  <c r="E45" i="33"/>
  <c r="E68" i="33"/>
  <c r="E121" i="33"/>
  <c r="E107" i="33"/>
  <c r="E142" i="33"/>
  <c r="E172" i="33"/>
  <c r="E62" i="33"/>
  <c r="E63" i="33"/>
  <c r="E49" i="33"/>
  <c r="E164" i="33"/>
  <c r="E184" i="33"/>
  <c r="Q80" i="33"/>
  <c r="E82" i="33"/>
  <c r="E116" i="33"/>
  <c r="E167" i="33"/>
  <c r="E171" i="33"/>
  <c r="Q179" i="33"/>
  <c r="E150" i="33"/>
  <c r="Q112" i="33"/>
  <c r="Q173" i="33"/>
  <c r="Q158" i="33"/>
  <c r="E119" i="33"/>
  <c r="E55" i="33"/>
  <c r="Q6" i="33"/>
  <c r="Q190" i="33"/>
  <c r="I67" i="33"/>
  <c r="E102" i="33"/>
  <c r="Q96" i="33"/>
  <c r="Q146" i="33"/>
  <c r="E54" i="33"/>
  <c r="Q72" i="33"/>
  <c r="Q181" i="33"/>
  <c r="E23" i="33"/>
  <c r="E88" i="33"/>
  <c r="E42" i="33"/>
  <c r="U138" i="33"/>
  <c r="E113" i="33"/>
  <c r="E99" i="33"/>
  <c r="E159" i="33"/>
  <c r="Q83" i="33"/>
  <c r="Q27" i="33"/>
  <c r="E158" i="33"/>
  <c r="E50" i="33"/>
  <c r="Q65" i="33"/>
  <c r="Q95" i="33"/>
  <c r="Q18" i="33"/>
  <c r="I55" i="33"/>
  <c r="Q23" i="33"/>
  <c r="E78" i="33"/>
  <c r="E71" i="33"/>
  <c r="E126" i="33"/>
  <c r="Q35" i="33"/>
  <c r="Q180" i="33"/>
  <c r="Q9" i="33"/>
  <c r="Q20" i="33"/>
  <c r="Q25" i="33"/>
  <c r="Q144" i="33"/>
  <c r="Q108" i="33"/>
  <c r="Q104" i="33"/>
  <c r="Q24" i="33"/>
  <c r="Q63" i="33"/>
  <c r="Q98" i="33"/>
  <c r="Q75" i="33"/>
  <c r="Q69" i="33"/>
  <c r="Q128" i="33"/>
  <c r="Q157" i="33"/>
  <c r="Q19" i="33"/>
  <c r="Q87" i="33"/>
  <c r="Q29" i="33"/>
  <c r="Q175" i="33"/>
  <c r="Q22" i="33"/>
  <c r="Q117" i="33"/>
  <c r="E135" i="33"/>
  <c r="Q47" i="33"/>
  <c r="E154" i="33"/>
  <c r="E182" i="33"/>
  <c r="Q137" i="33"/>
  <c r="I110" i="33"/>
  <c r="E44" i="33"/>
  <c r="E146" i="33"/>
  <c r="E141" i="33"/>
  <c r="E136" i="33"/>
  <c r="E157" i="33"/>
  <c r="E37" i="33"/>
  <c r="E13" i="33"/>
  <c r="E74" i="33"/>
  <c r="Q7" i="33"/>
  <c r="Q141" i="33"/>
  <c r="E24" i="33"/>
  <c r="Q13" i="33"/>
  <c r="Q133" i="33"/>
  <c r="E92" i="33"/>
  <c r="Q70" i="33"/>
  <c r="Q176" i="33"/>
  <c r="I7" i="33"/>
  <c r="E117" i="33"/>
  <c r="I139" i="33"/>
  <c r="E40" i="33"/>
  <c r="Q62" i="33"/>
  <c r="I63" i="33"/>
  <c r="I64" i="33"/>
  <c r="E26" i="33"/>
  <c r="I185" i="33"/>
  <c r="E57" i="33"/>
  <c r="E127" i="33"/>
  <c r="I13" i="33"/>
  <c r="Q5" i="33"/>
  <c r="E21" i="33"/>
  <c r="I59" i="33"/>
  <c r="E83" i="33"/>
  <c r="Q188" i="33"/>
  <c r="E115" i="33"/>
  <c r="E148" i="33"/>
  <c r="E70" i="33"/>
  <c r="Q49" i="33"/>
  <c r="E96" i="33"/>
  <c r="I153" i="33"/>
  <c r="I12" i="33"/>
  <c r="I83" i="33"/>
  <c r="E32" i="33"/>
  <c r="E16" i="33"/>
  <c r="E130" i="33"/>
  <c r="E34" i="33"/>
  <c r="E118" i="33"/>
  <c r="E176" i="33"/>
  <c r="E59" i="33"/>
  <c r="E161" i="33"/>
  <c r="E140" i="33"/>
  <c r="E151" i="33"/>
  <c r="E31" i="33"/>
  <c r="U76" i="33"/>
  <c r="I112" i="33"/>
  <c r="I175" i="33"/>
  <c r="E100" i="33"/>
  <c r="E22" i="33"/>
  <c r="Q97" i="33"/>
  <c r="I179" i="33"/>
  <c r="I31" i="33"/>
  <c r="U107" i="33"/>
  <c r="I127" i="33"/>
  <c r="I57" i="33"/>
  <c r="U165" i="33"/>
  <c r="U103" i="33"/>
  <c r="I128" i="33"/>
  <c r="Q14" i="33"/>
  <c r="Q118" i="33"/>
  <c r="Q30" i="33"/>
  <c r="Q168" i="33"/>
  <c r="Q28" i="33"/>
  <c r="Q113" i="33"/>
  <c r="Q54" i="33"/>
  <c r="Q124" i="33"/>
  <c r="Q85" i="33"/>
  <c r="Q102" i="33"/>
  <c r="Q177" i="33"/>
  <c r="Q123" i="33"/>
  <c r="Q120" i="33"/>
  <c r="Q66" i="33"/>
  <c r="Q57" i="33"/>
  <c r="Q90" i="33"/>
  <c r="E152" i="33"/>
  <c r="E20" i="33"/>
  <c r="E73" i="33"/>
  <c r="E108" i="33"/>
  <c r="E77" i="33"/>
  <c r="E35" i="33"/>
  <c r="E188" i="33"/>
  <c r="E163" i="33"/>
  <c r="E165" i="33"/>
  <c r="E138" i="33"/>
  <c r="E181" i="33"/>
  <c r="E47" i="33"/>
  <c r="E166" i="33"/>
  <c r="E112" i="33"/>
  <c r="AC9" i="27"/>
  <c r="E80" i="33"/>
  <c r="I173" i="33"/>
  <c r="I114" i="33"/>
  <c r="I141" i="33"/>
  <c r="I94" i="33"/>
  <c r="I183" i="33"/>
  <c r="I123" i="33"/>
  <c r="I156" i="33"/>
  <c r="U34" i="33"/>
  <c r="S153" i="33"/>
  <c r="U153" i="33" s="1"/>
  <c r="I101" i="33"/>
  <c r="I98" i="33"/>
  <c r="I9" i="33"/>
  <c r="I132" i="33"/>
  <c r="I121" i="33"/>
  <c r="U28" i="33"/>
  <c r="I8" i="33"/>
  <c r="I70" i="33"/>
  <c r="I155" i="33"/>
  <c r="I36" i="33"/>
  <c r="I26" i="33"/>
  <c r="E41" i="33"/>
  <c r="U131" i="33"/>
  <c r="U181" i="33"/>
  <c r="R29" i="27"/>
  <c r="U29" i="27" s="1"/>
  <c r="U176" i="33"/>
  <c r="U71" i="33"/>
  <c r="R9" i="33"/>
  <c r="U9" i="33" s="1"/>
  <c r="I130" i="33"/>
  <c r="I32" i="33"/>
  <c r="I66" i="33"/>
  <c r="I151" i="33"/>
  <c r="Q116" i="33"/>
  <c r="Q154" i="33"/>
  <c r="Q167" i="33"/>
  <c r="Q156" i="33"/>
  <c r="Q101" i="33"/>
  <c r="Q48" i="33"/>
  <c r="Q89" i="33"/>
  <c r="Q127" i="33"/>
  <c r="Q140" i="33"/>
  <c r="Q33" i="33"/>
  <c r="Q174" i="33"/>
  <c r="Q60" i="33"/>
  <c r="Q32" i="33"/>
  <c r="Q93" i="33"/>
  <c r="Q12" i="33"/>
  <c r="Q136" i="33"/>
  <c r="Q191" i="33"/>
  <c r="Q8" i="33"/>
  <c r="Q107" i="33"/>
  <c r="Q132" i="33"/>
  <c r="Q76" i="33"/>
  <c r="Q161" i="33"/>
  <c r="Q153" i="33"/>
  <c r="Q189" i="33"/>
  <c r="Q126" i="33"/>
  <c r="Q187" i="33"/>
  <c r="Q186" i="33"/>
  <c r="Q61" i="33"/>
  <c r="Q147" i="33"/>
  <c r="Q43" i="33"/>
  <c r="Q103" i="33"/>
  <c r="Q183" i="33"/>
  <c r="Q4" i="33"/>
  <c r="E186" i="33"/>
  <c r="E155" i="33"/>
  <c r="E191" i="33"/>
  <c r="E25" i="33"/>
  <c r="E28" i="33"/>
  <c r="E27" i="33"/>
  <c r="E133" i="33"/>
  <c r="E187" i="33"/>
  <c r="E131" i="33"/>
  <c r="E52" i="33"/>
  <c r="E169" i="33"/>
  <c r="E8" i="33"/>
  <c r="E30" i="33"/>
  <c r="E29" i="33"/>
  <c r="E9" i="33"/>
  <c r="E89" i="33"/>
  <c r="E81" i="33"/>
  <c r="E124" i="33"/>
  <c r="E128" i="33"/>
  <c r="S83" i="33"/>
  <c r="U83" i="33" s="1"/>
  <c r="R98" i="33"/>
  <c r="U98" i="33" s="1"/>
  <c r="U182" i="33"/>
  <c r="U32" i="33"/>
  <c r="I81" i="33"/>
  <c r="R149" i="33"/>
  <c r="U149" i="33" s="1"/>
  <c r="I144" i="33"/>
  <c r="I10" i="33"/>
  <c r="S7" i="33"/>
  <c r="U7" i="33" s="1"/>
  <c r="U85" i="33"/>
  <c r="U49" i="33"/>
  <c r="I119" i="33"/>
  <c r="R67" i="33"/>
  <c r="U67" i="33" s="1"/>
  <c r="R141" i="33"/>
  <c r="U141" i="33" s="1"/>
  <c r="S123" i="33"/>
  <c r="U123" i="33" s="1"/>
  <c r="I129" i="33"/>
  <c r="U177" i="33"/>
  <c r="U86" i="33"/>
  <c r="U125" i="33"/>
  <c r="U164" i="33"/>
  <c r="U41" i="33"/>
  <c r="U97" i="33"/>
  <c r="I138" i="33"/>
  <c r="R156" i="33"/>
  <c r="U156" i="33" s="1"/>
  <c r="R94" i="33"/>
  <c r="U94" i="33" s="1"/>
  <c r="U135" i="33"/>
  <c r="R128" i="33"/>
  <c r="U128" i="33" s="1"/>
  <c r="R130" i="33"/>
  <c r="U130" i="33" s="1"/>
  <c r="R112" i="33"/>
  <c r="U112" i="33" s="1"/>
  <c r="I75" i="33"/>
  <c r="R31" i="33"/>
  <c r="U31" i="33" s="1"/>
  <c r="R183" i="33"/>
  <c r="U183" i="33" s="1"/>
  <c r="I188" i="33"/>
  <c r="I177" i="33"/>
  <c r="R185" i="33"/>
  <c r="U185" i="33" s="1"/>
  <c r="U82" i="33"/>
  <c r="R59" i="33"/>
  <c r="U59" i="33" s="1"/>
  <c r="R179" i="33"/>
  <c r="U179" i="33" s="1"/>
  <c r="E168" i="33"/>
  <c r="R70" i="33"/>
  <c r="U70" i="33" s="1"/>
  <c r="Q163" i="33"/>
  <c r="U136" i="33"/>
  <c r="S139" i="33"/>
  <c r="U139" i="33" s="1"/>
  <c r="U8" i="33"/>
  <c r="S11" i="27"/>
  <c r="AC10" i="27"/>
  <c r="I6" i="33"/>
  <c r="I49" i="33"/>
  <c r="AD29" i="27"/>
  <c r="AG29" i="27" s="1"/>
  <c r="U100" i="33"/>
  <c r="Q149" i="33"/>
  <c r="I85" i="33"/>
  <c r="I15" i="33"/>
  <c r="Q170" i="33"/>
  <c r="Q31" i="33"/>
  <c r="U84" i="33"/>
  <c r="I107" i="33"/>
  <c r="U187" i="33"/>
  <c r="U95" i="33"/>
  <c r="U23" i="33"/>
  <c r="U145" i="33"/>
  <c r="R173" i="33"/>
  <c r="U173" i="33" s="1"/>
  <c r="R121" i="33"/>
  <c r="U121" i="33" s="1"/>
  <c r="R57" i="33"/>
  <c r="U57" i="33" s="1"/>
  <c r="R119" i="33"/>
  <c r="U119" i="33" s="1"/>
  <c r="R144" i="33"/>
  <c r="U144" i="33" s="1"/>
  <c r="I76" i="33"/>
  <c r="I41" i="33"/>
  <c r="R69" i="33"/>
  <c r="U69" i="33" s="1"/>
  <c r="I69" i="33"/>
  <c r="U143" i="33"/>
  <c r="I86" i="33"/>
  <c r="R188" i="33"/>
  <c r="U188" i="33" s="1"/>
  <c r="R151" i="33"/>
  <c r="U151" i="33" s="1"/>
  <c r="R64" i="33"/>
  <c r="U64" i="33" s="1"/>
  <c r="R26" i="33"/>
  <c r="U26" i="33" s="1"/>
  <c r="U79" i="33"/>
  <c r="I143" i="33"/>
  <c r="T127" i="33"/>
  <c r="U127" i="33" s="1"/>
  <c r="I176" i="33"/>
  <c r="I79" i="33"/>
  <c r="U78" i="33"/>
  <c r="R55" i="33"/>
  <c r="U55" i="33" s="1"/>
  <c r="S13" i="33"/>
  <c r="U13" i="33" s="1"/>
  <c r="I181" i="33"/>
  <c r="I145" i="33"/>
  <c r="I95" i="33"/>
  <c r="I135" i="33"/>
  <c r="I111" i="33"/>
  <c r="U16" i="33"/>
  <c r="U160" i="33"/>
  <c r="U62" i="33"/>
  <c r="U56" i="33"/>
  <c r="T110" i="33"/>
  <c r="U110" i="33" s="1"/>
  <c r="I125" i="33"/>
  <c r="R101" i="33"/>
  <c r="U101" i="33" s="1"/>
  <c r="T81" i="33"/>
  <c r="U81" i="33" s="1"/>
  <c r="R35" i="33"/>
  <c r="U35" i="33" s="1"/>
  <c r="I35" i="33"/>
  <c r="I109" i="33"/>
  <c r="R109" i="33"/>
  <c r="U109" i="33" s="1"/>
  <c r="R66" i="33"/>
  <c r="U66" i="33" s="1"/>
  <c r="S114" i="33"/>
  <c r="U114" i="33" s="1"/>
  <c r="S63" i="33"/>
  <c r="U63" i="33" s="1"/>
  <c r="R155" i="33"/>
  <c r="U155" i="33" s="1"/>
  <c r="R132" i="33"/>
  <c r="U132" i="33" s="1"/>
  <c r="R12" i="33"/>
  <c r="U12" i="33" s="1"/>
  <c r="U163" i="33"/>
  <c r="U170" i="33"/>
  <c r="U168" i="33"/>
  <c r="U140" i="33"/>
  <c r="I168" i="33"/>
  <c r="U51" i="33"/>
  <c r="I187" i="33"/>
  <c r="I23" i="33"/>
  <c r="I50" i="33"/>
  <c r="R50" i="33"/>
  <c r="U50" i="33" s="1"/>
  <c r="U189" i="33"/>
  <c r="U105" i="33"/>
  <c r="U133" i="33"/>
  <c r="I136" i="33"/>
  <c r="I62" i="33"/>
  <c r="T10" i="33"/>
  <c r="U10" i="33" s="1"/>
  <c r="R75" i="33"/>
  <c r="U75" i="33" s="1"/>
  <c r="I160" i="33"/>
  <c r="I142" i="33"/>
  <c r="U118" i="33"/>
  <c r="I97" i="33"/>
  <c r="U42" i="33"/>
  <c r="U18" i="33"/>
  <c r="I184" i="33"/>
  <c r="I182" i="33"/>
  <c r="I190" i="33"/>
  <c r="I30" i="33"/>
  <c r="T30" i="33"/>
  <c r="U30" i="33" s="1"/>
  <c r="U115" i="33"/>
  <c r="I170" i="33"/>
  <c r="I189" i="33"/>
  <c r="U158" i="33"/>
  <c r="U134" i="33"/>
  <c r="U172" i="33"/>
  <c r="I115" i="33"/>
  <c r="U92" i="33"/>
  <c r="U38" i="33"/>
  <c r="U80" i="33"/>
  <c r="I56" i="33"/>
  <c r="R91" i="33"/>
  <c r="U91" i="33" s="1"/>
  <c r="I91" i="33"/>
  <c r="I17" i="33"/>
  <c r="R17" i="33"/>
  <c r="U17" i="33" s="1"/>
  <c r="I92" i="33"/>
  <c r="S77" i="33"/>
  <c r="U77" i="33" s="1"/>
  <c r="I77" i="33"/>
  <c r="U191" i="33"/>
  <c r="R175" i="33"/>
  <c r="U175" i="33" s="1"/>
  <c r="R6" i="33"/>
  <c r="U6" i="33" s="1"/>
  <c r="R111" i="33"/>
  <c r="U111" i="33" s="1"/>
  <c r="I16" i="33"/>
  <c r="I105" i="33"/>
  <c r="U89" i="33"/>
  <c r="U171" i="33"/>
  <c r="I172" i="33"/>
  <c r="U48" i="33"/>
  <c r="U45" i="33"/>
  <c r="U27" i="33"/>
  <c r="I163" i="33"/>
  <c r="I140" i="33"/>
  <c r="U74" i="33"/>
  <c r="U87" i="33"/>
  <c r="U96" i="33"/>
  <c r="U47" i="33"/>
  <c r="I78" i="33"/>
  <c r="R142" i="33"/>
  <c r="U142" i="33" s="1"/>
  <c r="I102" i="33"/>
  <c r="I84" i="33"/>
  <c r="I133" i="33"/>
  <c r="I118" i="33"/>
  <c r="I74" i="33"/>
  <c r="I87" i="33"/>
  <c r="U184" i="33"/>
  <c r="I11" i="33"/>
  <c r="U157" i="33"/>
  <c r="I100" i="33"/>
  <c r="U61" i="33"/>
  <c r="U46" i="33"/>
  <c r="I134" i="33"/>
  <c r="I51" i="33"/>
  <c r="U29" i="33"/>
  <c r="I90" i="33"/>
  <c r="R90" i="33"/>
  <c r="U90" i="33" s="1"/>
  <c r="I61" i="33"/>
  <c r="U147" i="33"/>
  <c r="U104" i="33"/>
  <c r="I89" i="33"/>
  <c r="I38" i="33"/>
  <c r="I29" i="33"/>
  <c r="U186" i="33"/>
  <c r="I147" i="33"/>
  <c r="R53" i="33"/>
  <c r="U53" i="33" s="1"/>
  <c r="I53" i="33"/>
  <c r="U39" i="33"/>
  <c r="I171" i="33"/>
  <c r="I45" i="33"/>
  <c r="I191" i="33"/>
  <c r="I47" i="33"/>
  <c r="I150" i="33"/>
  <c r="R150" i="33"/>
  <c r="U150" i="33" s="1"/>
  <c r="I33" i="33"/>
  <c r="I99" i="33"/>
  <c r="U21" i="33"/>
  <c r="I180" i="33"/>
  <c r="I48" i="33"/>
  <c r="I42" i="33"/>
  <c r="U19" i="33"/>
  <c r="R146" i="33"/>
  <c r="U146" i="33" s="1"/>
  <c r="I146" i="33"/>
  <c r="U159" i="33"/>
  <c r="I24" i="33"/>
  <c r="R24" i="33"/>
  <c r="U24" i="33" s="1"/>
  <c r="U88" i="33"/>
  <c r="I96" i="33"/>
  <c r="U167" i="33"/>
  <c r="U106" i="33"/>
  <c r="U166" i="33"/>
  <c r="I158" i="33"/>
  <c r="I18" i="33"/>
  <c r="I174" i="33"/>
  <c r="R174" i="33"/>
  <c r="U174" i="33" s="1"/>
  <c r="U22" i="33"/>
  <c r="U126" i="33"/>
  <c r="U4" i="33"/>
  <c r="U152" i="33"/>
  <c r="I71" i="33"/>
  <c r="R11" i="33"/>
  <c r="U11" i="33" s="1"/>
  <c r="I27" i="33"/>
  <c r="I22" i="33"/>
  <c r="O12" i="27"/>
  <c r="H29" i="27"/>
  <c r="J29" i="27" s="1"/>
  <c r="S9" i="27"/>
  <c r="R72" i="33"/>
  <c r="U72" i="33" s="1"/>
  <c r="I72" i="33"/>
  <c r="I126" i="33"/>
  <c r="U36" i="33"/>
  <c r="I116" i="33"/>
  <c r="I159" i="33"/>
  <c r="R116" i="33"/>
  <c r="U116" i="33" s="1"/>
  <c r="I40" i="33"/>
  <c r="U120" i="33"/>
  <c r="U169" i="33"/>
  <c r="R33" i="33"/>
  <c r="U33" i="33" s="1"/>
  <c r="I165" i="33"/>
  <c r="I28" i="33"/>
  <c r="I34" i="33"/>
  <c r="S99" i="33"/>
  <c r="U99" i="33" s="1"/>
  <c r="R129" i="33"/>
  <c r="U129" i="33" s="1"/>
  <c r="I157" i="33"/>
  <c r="I164" i="33"/>
  <c r="R148" i="33"/>
  <c r="U148" i="33" s="1"/>
  <c r="I148" i="33"/>
  <c r="U113" i="33"/>
  <c r="R58" i="33"/>
  <c r="U58" i="33" s="1"/>
  <c r="I58" i="33"/>
  <c r="U108" i="33"/>
  <c r="I103" i="33"/>
  <c r="I120" i="33"/>
  <c r="U65" i="33"/>
  <c r="U124" i="33"/>
  <c r="I122" i="33"/>
  <c r="I137" i="33"/>
  <c r="R15" i="33"/>
  <c r="U15" i="33" s="1"/>
  <c r="I104" i="33"/>
  <c r="I113" i="33"/>
  <c r="I108" i="33"/>
  <c r="I25" i="33"/>
  <c r="R25" i="33"/>
  <c r="U25" i="33" s="1"/>
  <c r="I65" i="33"/>
  <c r="U93" i="33"/>
  <c r="I80" i="33"/>
  <c r="I19" i="33"/>
  <c r="U180" i="33"/>
  <c r="I4" i="33"/>
  <c r="U37" i="33"/>
  <c r="U43" i="33"/>
  <c r="I117" i="33"/>
  <c r="I131" i="33"/>
  <c r="I21" i="33"/>
  <c r="I167" i="33"/>
  <c r="I106" i="33"/>
  <c r="U102" i="33"/>
  <c r="R154" i="33"/>
  <c r="U154" i="33" s="1"/>
  <c r="I154" i="33"/>
  <c r="U190" i="33"/>
  <c r="I73" i="33"/>
  <c r="R73" i="33"/>
  <c r="U73" i="33" s="1"/>
  <c r="I52" i="33"/>
  <c r="R52" i="33"/>
  <c r="U52" i="33" s="1"/>
  <c r="R178" i="33"/>
  <c r="U178" i="33" s="1"/>
  <c r="I178" i="33"/>
  <c r="I60" i="33"/>
  <c r="R60" i="33"/>
  <c r="U60" i="33" s="1"/>
  <c r="I44" i="33"/>
  <c r="I37" i="33"/>
  <c r="I43" i="33"/>
  <c r="U54" i="33"/>
  <c r="I46" i="33"/>
  <c r="I88" i="33"/>
  <c r="I169" i="33"/>
  <c r="I152" i="33"/>
  <c r="I20" i="33"/>
  <c r="U137" i="33"/>
  <c r="U68" i="33"/>
  <c r="I186" i="33"/>
  <c r="I166" i="33"/>
  <c r="I39" i="33"/>
  <c r="I82" i="33"/>
  <c r="I14" i="33"/>
  <c r="I68" i="33"/>
  <c r="R40" i="33"/>
  <c r="U40" i="33" s="1"/>
  <c r="C4" i="33"/>
  <c r="D4" i="33" s="1"/>
  <c r="R44" i="33"/>
  <c r="U44" i="33" s="1"/>
  <c r="R20" i="33"/>
  <c r="U20" i="33" s="1"/>
  <c r="R117" i="33"/>
  <c r="U117" i="33" s="1"/>
  <c r="I93" i="33"/>
  <c r="I124" i="33"/>
  <c r="R14" i="33"/>
  <c r="U14" i="33" s="1"/>
  <c r="I54" i="33"/>
  <c r="T24" i="29" l="1"/>
  <c r="AA14" i="29"/>
  <c r="T32" i="29"/>
  <c r="T25" i="29"/>
  <c r="T30" i="29"/>
  <c r="T33" i="29" s="1"/>
  <c r="T7" i="29"/>
  <c r="T19" i="29"/>
  <c r="T22" i="29"/>
  <c r="S19" i="29"/>
  <c r="S22" i="29"/>
  <c r="U34" i="29"/>
  <c r="U16" i="29"/>
  <c r="U23" i="29" s="1"/>
  <c r="V4" i="29"/>
  <c r="U5" i="29"/>
  <c r="U14" i="29"/>
  <c r="U8" i="29"/>
  <c r="U13" i="29"/>
  <c r="U9" i="29"/>
  <c r="U29" i="29" s="1"/>
  <c r="U15" i="29"/>
  <c r="U11" i="29"/>
  <c r="U12" i="29"/>
  <c r="T18" i="29"/>
  <c r="T17" i="29"/>
  <c r="T35" i="29"/>
  <c r="T31" i="29"/>
  <c r="T26" i="29"/>
  <c r="S17" i="29"/>
  <c r="S18" i="29"/>
  <c r="E4" i="33"/>
  <c r="AC12" i="27"/>
  <c r="S12" i="27"/>
  <c r="S14" i="27" s="1"/>
  <c r="O14" i="27"/>
  <c r="U7" i="29" l="1"/>
  <c r="U30" i="29"/>
  <c r="U24" i="29"/>
  <c r="U32" i="29"/>
  <c r="U25" i="29"/>
  <c r="U26" i="29"/>
  <c r="U35" i="29"/>
  <c r="U31" i="29"/>
  <c r="U18" i="29"/>
  <c r="U17" i="29"/>
  <c r="W4" i="29"/>
  <c r="V12" i="29"/>
  <c r="V15" i="29"/>
  <c r="V34" i="29"/>
  <c r="V16" i="29"/>
  <c r="V23" i="29" s="1"/>
  <c r="V11" i="29"/>
  <c r="V14" i="29"/>
  <c r="V8" i="29"/>
  <c r="V9" i="29"/>
  <c r="V29" i="29" s="1"/>
  <c r="V13" i="29"/>
  <c r="V5" i="29"/>
  <c r="AA24" i="29"/>
  <c r="AA25" i="29"/>
  <c r="AA32" i="29"/>
  <c r="U22" i="29"/>
  <c r="U19" i="29"/>
  <c r="U33" i="29" l="1"/>
  <c r="V17" i="29"/>
  <c r="V18" i="29"/>
  <c r="W9" i="29"/>
  <c r="W29" i="29" s="1"/>
  <c r="X4" i="29"/>
  <c r="W8" i="29"/>
  <c r="W15" i="29"/>
  <c r="W16" i="29"/>
  <c r="W23" i="29" s="1"/>
  <c r="W12" i="29"/>
  <c r="W34" i="29"/>
  <c r="W5" i="29"/>
  <c r="W13" i="29"/>
  <c r="W11" i="29"/>
  <c r="W14" i="29"/>
  <c r="V35" i="29"/>
  <c r="V31" i="29"/>
  <c r="V26" i="29"/>
  <c r="V19" i="29"/>
  <c r="V22" i="29"/>
  <c r="V30" i="29"/>
  <c r="V7" i="29"/>
  <c r="V32" i="29"/>
  <c r="V25" i="29"/>
  <c r="V24" i="29"/>
  <c r="W17" i="29" l="1"/>
  <c r="W18" i="29"/>
  <c r="W30" i="29"/>
  <c r="W7" i="29"/>
  <c r="W22" i="29"/>
  <c r="W19" i="29"/>
  <c r="X16" i="29"/>
  <c r="X23" i="29" s="1"/>
  <c r="X14" i="29"/>
  <c r="X11" i="29"/>
  <c r="X13" i="29"/>
  <c r="X15" i="29"/>
  <c r="Y4" i="29"/>
  <c r="X5" i="29"/>
  <c r="X34" i="29"/>
  <c r="X9" i="29"/>
  <c r="X29" i="29" s="1"/>
  <c r="X12" i="29"/>
  <c r="X8" i="29"/>
  <c r="W24" i="29"/>
  <c r="W25" i="29"/>
  <c r="W32" i="29"/>
  <c r="V33" i="29"/>
  <c r="W26" i="29"/>
  <c r="W35" i="29"/>
  <c r="W31" i="29"/>
  <c r="X7" i="29" l="1"/>
  <c r="X30" i="29"/>
  <c r="X25" i="29"/>
  <c r="X24" i="29"/>
  <c r="X32" i="29"/>
  <c r="X31" i="29"/>
  <c r="X26" i="29"/>
  <c r="X35" i="29"/>
  <c r="Y8" i="29"/>
  <c r="Y11" i="29"/>
  <c r="Y9" i="29"/>
  <c r="Y12" i="29"/>
  <c r="Y14" i="29"/>
  <c r="Y13" i="29"/>
  <c r="Y5" i="29"/>
  <c r="Y15" i="29"/>
  <c r="Z4" i="29"/>
  <c r="Y34" i="29"/>
  <c r="Y16" i="29"/>
  <c r="Y23" i="29" s="1"/>
  <c r="X19" i="29"/>
  <c r="X22" i="29"/>
  <c r="W33" i="29"/>
  <c r="X17" i="29"/>
  <c r="X18" i="29"/>
  <c r="Y29" i="29" l="1"/>
  <c r="Y18" i="29"/>
  <c r="Y17" i="29"/>
  <c r="Y7" i="29"/>
  <c r="Y30" i="29"/>
  <c r="Y33" i="29" s="1"/>
  <c r="X33" i="29"/>
  <c r="Y35" i="29"/>
  <c r="Y26" i="29"/>
  <c r="Y31" i="29"/>
  <c r="Y22" i="29"/>
  <c r="Y19" i="29"/>
  <c r="Z14" i="29"/>
  <c r="Z9" i="29"/>
  <c r="Z29" i="29" s="1"/>
  <c r="Z5" i="29"/>
  <c r="AA5" i="29" s="1"/>
  <c r="Z12" i="29"/>
  <c r="AA12" i="29" s="1"/>
  <c r="Z16" i="29"/>
  <c r="Z23" i="29" s="1"/>
  <c r="Z13" i="29"/>
  <c r="Z15" i="29"/>
  <c r="AA15" i="29" s="1"/>
  <c r="AB4" i="29"/>
  <c r="Z34" i="29"/>
  <c r="Z8" i="29"/>
  <c r="AA8" i="29" s="1"/>
  <c r="Z11" i="29"/>
  <c r="AA11" i="29" s="1"/>
  <c r="Y24" i="29"/>
  <c r="Y25" i="29"/>
  <c r="Y32" i="29"/>
  <c r="AA7" i="29" l="1"/>
  <c r="AA30" i="29"/>
  <c r="Z19" i="29"/>
  <c r="Z22" i="29"/>
  <c r="Z17" i="29"/>
  <c r="Z18" i="29"/>
  <c r="AA31" i="29"/>
  <c r="AA26" i="29"/>
  <c r="AA35" i="29"/>
  <c r="Z30" i="29"/>
  <c r="Z7" i="29"/>
  <c r="Z35" i="29"/>
  <c r="Z31" i="29"/>
  <c r="Z26" i="29"/>
  <c r="AA9" i="29"/>
  <c r="AA29" i="29" s="1"/>
  <c r="AA13" i="29"/>
  <c r="AA16" i="29"/>
  <c r="AA23" i="29" s="1"/>
  <c r="AB5" i="29"/>
  <c r="AB11" i="29"/>
  <c r="AB15" i="29"/>
  <c r="AB13" i="29"/>
  <c r="AB12" i="29"/>
  <c r="AB34" i="29"/>
  <c r="AB14" i="29"/>
  <c r="AB16" i="29"/>
  <c r="AB23" i="29" s="1"/>
  <c r="AC4" i="29"/>
  <c r="AB9" i="29"/>
  <c r="AB29" i="29" s="1"/>
  <c r="AB8" i="29"/>
  <c r="Z25" i="29"/>
  <c r="Z32" i="29"/>
  <c r="Z24" i="29"/>
  <c r="Z33" i="29" l="1"/>
  <c r="AA33" i="29" s="1"/>
  <c r="AA17" i="29"/>
  <c r="AA18" i="29"/>
  <c r="AB7" i="29"/>
  <c r="AB30" i="29"/>
  <c r="AB31" i="29"/>
  <c r="AB26" i="29"/>
  <c r="AB35" i="29"/>
  <c r="AB18" i="29"/>
  <c r="AB17" i="29"/>
  <c r="AC5" i="29"/>
  <c r="AC15" i="29"/>
  <c r="AC13" i="29"/>
  <c r="AC11" i="29"/>
  <c r="AC9" i="29"/>
  <c r="AC29" i="29" s="1"/>
  <c r="AC16" i="29"/>
  <c r="AC23" i="29" s="1"/>
  <c r="AD4" i="29"/>
  <c r="AC14" i="29"/>
  <c r="AC34" i="29"/>
  <c r="AC8" i="29"/>
  <c r="AC12" i="29"/>
  <c r="AB24" i="29"/>
  <c r="AI14" i="29"/>
  <c r="AB25" i="29"/>
  <c r="AB32" i="29"/>
  <c r="AB19" i="29"/>
  <c r="AB22" i="29"/>
  <c r="AA19" i="29"/>
  <c r="AA22" i="29"/>
  <c r="AI32" i="29" l="1"/>
  <c r="AI25" i="29"/>
  <c r="AI24" i="29"/>
  <c r="AC19" i="29"/>
  <c r="AC22" i="29"/>
  <c r="AB33" i="29"/>
  <c r="AC7" i="29"/>
  <c r="AC30" i="29"/>
  <c r="AC26" i="29"/>
  <c r="AC35" i="29"/>
  <c r="AC31" i="29"/>
  <c r="AC17" i="29"/>
  <c r="AC18" i="29"/>
  <c r="AC25" i="29"/>
  <c r="AC24" i="29"/>
  <c r="AC32" i="29"/>
  <c r="AD34" i="29"/>
  <c r="AD8" i="29"/>
  <c r="AD16" i="29"/>
  <c r="AD23" i="29" s="1"/>
  <c r="AD9" i="29"/>
  <c r="AD29" i="29" s="1"/>
  <c r="AD12" i="29"/>
  <c r="AE4" i="29"/>
  <c r="AD5" i="29"/>
  <c r="AD14" i="29"/>
  <c r="AD11" i="29"/>
  <c r="AD13" i="29"/>
  <c r="AD15" i="29"/>
  <c r="AD26" i="29" l="1"/>
  <c r="AD35" i="29"/>
  <c r="AD31" i="29"/>
  <c r="AE34" i="29"/>
  <c r="AE13" i="29"/>
  <c r="AE11" i="29"/>
  <c r="AE5" i="29"/>
  <c r="AE15" i="29"/>
  <c r="AE9" i="29"/>
  <c r="AE29" i="29" s="1"/>
  <c r="AE14" i="29"/>
  <c r="AE16" i="29"/>
  <c r="AE23" i="29" s="1"/>
  <c r="AF4" i="29"/>
  <c r="AE12" i="29"/>
  <c r="AE8" i="29"/>
  <c r="AD17" i="29"/>
  <c r="AD18" i="29"/>
  <c r="AC33" i="29"/>
  <c r="AD7" i="29"/>
  <c r="AD30" i="29"/>
  <c r="AD33" i="29" s="1"/>
  <c r="AD19" i="29"/>
  <c r="AD22" i="29"/>
  <c r="AD25" i="29"/>
  <c r="AD24" i="29"/>
  <c r="AD32" i="29"/>
  <c r="AE17" i="29" l="1"/>
  <c r="AE18" i="29"/>
  <c r="AE19" i="29"/>
  <c r="AE22" i="29"/>
  <c r="AF12" i="29"/>
  <c r="AF11" i="29"/>
  <c r="AF14" i="29"/>
  <c r="AF8" i="29"/>
  <c r="AF16" i="29"/>
  <c r="AF23" i="29" s="1"/>
  <c r="AF5" i="29"/>
  <c r="AF15" i="29"/>
  <c r="AF34" i="29"/>
  <c r="AF13" i="29"/>
  <c r="AF9" i="29"/>
  <c r="AF29" i="29" s="1"/>
  <c r="AG4" i="29"/>
  <c r="AE32" i="29"/>
  <c r="AE24" i="29"/>
  <c r="AE25" i="29"/>
  <c r="AE26" i="29"/>
  <c r="AE35" i="29"/>
  <c r="AE31" i="29"/>
  <c r="AE7" i="29"/>
  <c r="AE30" i="29"/>
  <c r="AE33" i="29" l="1"/>
  <c r="AG8" i="29"/>
  <c r="AG34" i="29"/>
  <c r="AG15" i="29"/>
  <c r="AG16" i="29"/>
  <c r="AG23" i="29" s="1"/>
  <c r="AH4" i="29"/>
  <c r="AG9" i="29"/>
  <c r="AG5" i="29"/>
  <c r="AG11" i="29"/>
  <c r="AG14" i="29"/>
  <c r="AG13" i="29"/>
  <c r="AG12" i="29"/>
  <c r="AF30" i="29"/>
  <c r="AF7" i="29"/>
  <c r="AF24" i="29"/>
  <c r="AF25" i="29"/>
  <c r="AF32" i="29"/>
  <c r="AF22" i="29"/>
  <c r="AF19" i="29"/>
  <c r="AF26" i="29"/>
  <c r="AF31" i="29"/>
  <c r="AF35" i="29"/>
  <c r="AF17" i="29"/>
  <c r="AF18" i="29"/>
  <c r="AG7" i="29" l="1"/>
  <c r="AG30" i="29"/>
  <c r="AG17" i="29"/>
  <c r="AG18" i="29"/>
  <c r="AG22" i="29"/>
  <c r="AG19" i="29"/>
  <c r="AG25" i="29"/>
  <c r="AG24" i="29"/>
  <c r="AG32" i="29"/>
  <c r="AG29" i="29"/>
  <c r="AI9" i="29"/>
  <c r="AI29" i="29" s="1"/>
  <c r="AG35" i="29"/>
  <c r="AG31" i="29"/>
  <c r="AG26" i="29"/>
  <c r="AF33" i="29"/>
  <c r="AH12" i="29"/>
  <c r="AI12" i="29" s="1"/>
  <c r="AH13" i="29"/>
  <c r="AH8" i="29"/>
  <c r="AH16" i="29"/>
  <c r="AH23" i="29" s="1"/>
  <c r="AH14" i="29"/>
  <c r="AH9" i="29"/>
  <c r="AH29" i="29" s="1"/>
  <c r="AH11" i="29"/>
  <c r="AI11" i="29" s="1"/>
  <c r="AH5" i="29"/>
  <c r="AH15" i="29"/>
  <c r="AI15" i="29" s="1"/>
  <c r="AH34" i="29"/>
  <c r="AI17" i="29" l="1"/>
  <c r="AH30" i="29"/>
  <c r="AH7" i="29"/>
  <c r="AH19" i="29"/>
  <c r="AH22" i="29"/>
  <c r="AI16" i="29"/>
  <c r="AI23" i="29" s="1"/>
  <c r="AI13" i="29"/>
  <c r="AI8" i="29"/>
  <c r="AH35" i="29"/>
  <c r="AH26" i="29"/>
  <c r="AH31" i="29"/>
  <c r="AI5" i="29"/>
  <c r="AG33" i="29"/>
  <c r="AH17" i="29"/>
  <c r="AH18" i="29"/>
  <c r="AH32" i="29"/>
  <c r="AH24" i="29"/>
  <c r="AH25" i="29"/>
  <c r="AI31" i="29" l="1"/>
  <c r="AI26" i="29"/>
  <c r="AI35" i="29"/>
  <c r="AI19" i="29"/>
  <c r="AI22" i="29"/>
  <c r="AH33" i="29"/>
  <c r="AI33" i="29" s="1"/>
  <c r="AI18" i="29"/>
  <c r="AI7" i="29"/>
  <c r="AI30" i="29"/>
  <c r="F397" i="1"/>
</calcChain>
</file>

<file path=xl/sharedStrings.xml><?xml version="1.0" encoding="utf-8"?>
<sst xmlns="http://schemas.openxmlformats.org/spreadsheetml/2006/main" count="15592" uniqueCount="1378">
  <si>
    <t>Liste Résponsable poste</t>
  </si>
  <si>
    <t>ARAFAH</t>
  </si>
  <si>
    <t>BENSLIM</t>
  </si>
  <si>
    <t>CHAMBARI</t>
  </si>
  <si>
    <t>ECHAMEKH</t>
  </si>
  <si>
    <t>EZZAHRAOUI</t>
  </si>
  <si>
    <t>SBAAI</t>
  </si>
  <si>
    <t>TALHI</t>
  </si>
  <si>
    <t>ZEROUAL</t>
  </si>
  <si>
    <t>Couches</t>
  </si>
  <si>
    <t>Couche Déstination</t>
  </si>
  <si>
    <t>AIT BRAHIM</t>
  </si>
  <si>
    <t>HC1/A</t>
  </si>
  <si>
    <t xml:space="preserve">AD </t>
  </si>
  <si>
    <t xml:space="preserve">BAKRAOUI </t>
  </si>
  <si>
    <t>HC1/CT15</t>
  </si>
  <si>
    <t>BG Lavé</t>
  </si>
  <si>
    <t>BENAISS</t>
  </si>
  <si>
    <t>HC1/13</t>
  </si>
  <si>
    <t>C3 GB</t>
  </si>
  <si>
    <t>BOUMASSI</t>
  </si>
  <si>
    <t>HC2/A</t>
  </si>
  <si>
    <t>Export</t>
  </si>
  <si>
    <t>BOURROUS</t>
  </si>
  <si>
    <t>HC2/B</t>
  </si>
  <si>
    <t>Profile BG</t>
  </si>
  <si>
    <t>CHAHDI</t>
  </si>
  <si>
    <t>HC2/CT15</t>
  </si>
  <si>
    <t>ST Calciné</t>
  </si>
  <si>
    <t>CHANTIER</t>
  </si>
  <si>
    <t>HC2/CT13</t>
  </si>
  <si>
    <t xml:space="preserve">CHARKAOUI </t>
  </si>
  <si>
    <t>HC3/A</t>
  </si>
  <si>
    <t xml:space="preserve">DOUBAJ </t>
  </si>
  <si>
    <t>HC3/B</t>
  </si>
  <si>
    <t xml:space="preserve">EL BAROUDI </t>
  </si>
  <si>
    <t>HC3/CT15</t>
  </si>
  <si>
    <t>EL BOUZIDI</t>
  </si>
  <si>
    <t>HC3/CT13</t>
  </si>
  <si>
    <t xml:space="preserve">EL FARH </t>
  </si>
  <si>
    <t>HC4/A</t>
  </si>
  <si>
    <t>ELGAREH</t>
  </si>
  <si>
    <t>HC4/B</t>
  </si>
  <si>
    <t>ELGHAZI</t>
  </si>
  <si>
    <t>HC4/CT15</t>
  </si>
  <si>
    <t xml:space="preserve">ENNIRRI </t>
  </si>
  <si>
    <t>HC4/CT13</t>
  </si>
  <si>
    <t xml:space="preserve">IDRISSI </t>
  </si>
  <si>
    <t>Direct</t>
  </si>
  <si>
    <t>NKIRA</t>
  </si>
  <si>
    <t>HC1/Sautrelle</t>
  </si>
  <si>
    <t xml:space="preserve">TALEB </t>
  </si>
  <si>
    <t xml:space="preserve">ZAOUIA </t>
  </si>
  <si>
    <t xml:space="preserve">ZRAIDI </t>
  </si>
  <si>
    <t xml:space="preserve">Acc/desaccouplement table </t>
  </si>
  <si>
    <t>Roue pelle</t>
  </si>
  <si>
    <t>Exploitation</t>
  </si>
  <si>
    <t>PROFIL BG</t>
  </si>
  <si>
    <t>taoos</t>
  </si>
  <si>
    <t>HC1</t>
  </si>
  <si>
    <t>Ech Prim</t>
  </si>
  <si>
    <t>Arrêt</t>
  </si>
  <si>
    <t>CV T14A</t>
  </si>
  <si>
    <t>Exterieur</t>
  </si>
  <si>
    <t>LAVE</t>
  </si>
  <si>
    <t>Yfia</t>
  </si>
  <si>
    <t>uads</t>
  </si>
  <si>
    <t>HC2</t>
  </si>
  <si>
    <t>Ech scours</t>
  </si>
  <si>
    <t>Arrêt sans signalisation</t>
  </si>
  <si>
    <t>CV T14B</t>
  </si>
  <si>
    <t>Mécanique</t>
  </si>
  <si>
    <t>St calciné</t>
  </si>
  <si>
    <t>HC3</t>
  </si>
  <si>
    <t>Manuel</t>
  </si>
  <si>
    <t>CV T15</t>
  </si>
  <si>
    <t>Electrique</t>
  </si>
  <si>
    <t>HC4</t>
  </si>
  <si>
    <t>Briquet</t>
  </si>
  <si>
    <t>CV T17</t>
  </si>
  <si>
    <t>Electronique</t>
  </si>
  <si>
    <t>BG AD</t>
  </si>
  <si>
    <t>Changement moteur</t>
  </si>
  <si>
    <t>Echantillonneur</t>
  </si>
  <si>
    <t>M. planifier</t>
  </si>
  <si>
    <t>HC BG</t>
  </si>
  <si>
    <t>Changement rouleau</t>
  </si>
  <si>
    <t>G. hydraulique</t>
  </si>
  <si>
    <t>Chute pression</t>
  </si>
  <si>
    <t>Trémie 300m3</t>
  </si>
  <si>
    <t>Coincement</t>
  </si>
  <si>
    <t>Transfert</t>
  </si>
  <si>
    <t>coupure courant</t>
  </si>
  <si>
    <t>Loco 1</t>
  </si>
  <si>
    <t>Coincement casque inf</t>
  </si>
  <si>
    <t>Loco 2</t>
  </si>
  <si>
    <t>Coincement casque sup</t>
  </si>
  <si>
    <t>Consignation/déconsignation</t>
  </si>
  <si>
    <t>ONCF</t>
  </si>
  <si>
    <t>Déraillement chariot</t>
  </si>
  <si>
    <t>Decalage palée</t>
  </si>
  <si>
    <t xml:space="preserve">Déclenchement </t>
  </si>
  <si>
    <t>Declenchement roue 1</t>
  </si>
  <si>
    <t>Declenchement roue 2</t>
  </si>
  <si>
    <t>Décolmatage</t>
  </si>
  <si>
    <t>Défaut enrouleur</t>
  </si>
  <si>
    <t>Défaut sonde</t>
  </si>
  <si>
    <t>Défaut graissage</t>
  </si>
  <si>
    <t xml:space="preserve">Déport bande </t>
  </si>
  <si>
    <t>Déclenchement vibromètre gratteur</t>
  </si>
  <si>
    <t>Engorgement</t>
  </si>
  <si>
    <t>Frein non levé</t>
  </si>
  <si>
    <t>Fuite huile</t>
  </si>
  <si>
    <t>Fuite produit</t>
  </si>
  <si>
    <t>Manque conducteur</t>
  </si>
  <si>
    <t>Manque démarrage</t>
  </si>
  <si>
    <t xml:space="preserve">Manque éclairage </t>
  </si>
  <si>
    <t>Manque huile</t>
  </si>
  <si>
    <t>Manque translation</t>
  </si>
  <si>
    <t>Manque translation chariot</t>
  </si>
  <si>
    <t>Nettoyage</t>
  </si>
  <si>
    <t>Niveau haut</t>
  </si>
  <si>
    <t>Patinage / tension</t>
  </si>
  <si>
    <t>Réparation bande</t>
  </si>
  <si>
    <t>Retour produit</t>
  </si>
  <si>
    <t>Rupture bande</t>
  </si>
  <si>
    <t>Transbordement</t>
  </si>
  <si>
    <t>Travaux accouplement</t>
  </si>
  <si>
    <t>Travaux casque</t>
  </si>
  <si>
    <t>Travaux chaine</t>
  </si>
  <si>
    <t>Travaux coupleur</t>
  </si>
  <si>
    <t>Travaux galet</t>
  </si>
  <si>
    <t>Travaux godet</t>
  </si>
  <si>
    <t>Travaux réducteur</t>
  </si>
  <si>
    <t>Travaux roue 1</t>
  </si>
  <si>
    <t>Travaux roue 2</t>
  </si>
  <si>
    <t>Travaux gratteur</t>
  </si>
  <si>
    <t>Travaux tambour</t>
  </si>
  <si>
    <t>Travaux verin</t>
  </si>
  <si>
    <t>Acc/desaccouplement table</t>
  </si>
  <si>
    <t>BOUDRA</t>
  </si>
  <si>
    <t>Arrêt décidé</t>
  </si>
  <si>
    <t>CV B7</t>
  </si>
  <si>
    <t>Mecanique</t>
  </si>
  <si>
    <t>SMOUNI</t>
  </si>
  <si>
    <t xml:space="preserve">BENAISS </t>
  </si>
  <si>
    <t>Arrêt d'urgence</t>
  </si>
  <si>
    <t>CV T1</t>
  </si>
  <si>
    <t>AJROUB</t>
  </si>
  <si>
    <t>Arrêt planifié</t>
  </si>
  <si>
    <t>G2a/G2b</t>
  </si>
  <si>
    <t>FAHIM</t>
  </si>
  <si>
    <t>CV T3a</t>
  </si>
  <si>
    <t>Extérieur</t>
  </si>
  <si>
    <t>Arrêt circuit chargement</t>
  </si>
  <si>
    <t>CV T3b</t>
  </si>
  <si>
    <t>M, Planifié</t>
  </si>
  <si>
    <t xml:space="preserve">SAGUEM </t>
  </si>
  <si>
    <t>Trémie 250</t>
  </si>
  <si>
    <t>ELBZAR</t>
  </si>
  <si>
    <t>Changement de passe</t>
  </si>
  <si>
    <t>Crible A</t>
  </si>
  <si>
    <t>TOURABI</t>
  </si>
  <si>
    <t>Changement accouplement</t>
  </si>
  <si>
    <t>Crible B</t>
  </si>
  <si>
    <t>GUERMAOUI</t>
  </si>
  <si>
    <t>Changement arbre tambour</t>
  </si>
  <si>
    <t>Crible C</t>
  </si>
  <si>
    <t>HC1/T15</t>
  </si>
  <si>
    <t>Changement arbre réducteur</t>
  </si>
  <si>
    <t>Crible D</t>
  </si>
  <si>
    <t>Changement grille</t>
  </si>
  <si>
    <t>Crible E</t>
  </si>
  <si>
    <t>SELMOUNI</t>
  </si>
  <si>
    <t>CV T6</t>
  </si>
  <si>
    <t>Changement réducteur</t>
  </si>
  <si>
    <t>Crible 7</t>
  </si>
  <si>
    <t>MOUJIBI</t>
  </si>
  <si>
    <t>CV T8</t>
  </si>
  <si>
    <t>TIBRANI</t>
  </si>
  <si>
    <t>Changement roulement</t>
  </si>
  <si>
    <t>CV T8bis</t>
  </si>
  <si>
    <t>ABOURIAL</t>
  </si>
  <si>
    <t>Changement tambour</t>
  </si>
  <si>
    <t>CV T9</t>
  </si>
  <si>
    <t>BELFAKIR</t>
  </si>
  <si>
    <t>Cisaillement cable</t>
  </si>
  <si>
    <t>CV T10</t>
  </si>
  <si>
    <t>EL HOMRITI</t>
  </si>
  <si>
    <t>CV T11</t>
  </si>
  <si>
    <t>TAIYA</t>
  </si>
  <si>
    <t>Contrôle</t>
  </si>
  <si>
    <t>CV T12</t>
  </si>
  <si>
    <t>DAMOUN</t>
  </si>
  <si>
    <t>Contrôle bande</t>
  </si>
  <si>
    <t>CV T13</t>
  </si>
  <si>
    <t>TAOUIL</t>
  </si>
  <si>
    <t>Coupure courant</t>
  </si>
  <si>
    <t>CV T14 A</t>
  </si>
  <si>
    <t>MORJANI</t>
  </si>
  <si>
    <t>Déclenchement</t>
  </si>
  <si>
    <t>CV T14 B</t>
  </si>
  <si>
    <t>MALLOUK</t>
  </si>
  <si>
    <t>Déclenchement roue</t>
  </si>
  <si>
    <t>Stacker</t>
  </si>
  <si>
    <t>BOURCHID</t>
  </si>
  <si>
    <t>Décolmatage Goulotte</t>
  </si>
  <si>
    <t>Chargement</t>
  </si>
  <si>
    <t>NAOUM</t>
  </si>
  <si>
    <t>BEDDAD</t>
  </si>
  <si>
    <t>Défaut superviseur</t>
  </si>
  <si>
    <t>Déplacement</t>
  </si>
  <si>
    <t>ZARHOUNI</t>
  </si>
  <si>
    <t>Déport bande</t>
  </si>
  <si>
    <t>AIT TALEB</t>
  </si>
  <si>
    <t>Entretien By pass</t>
  </si>
  <si>
    <t>Etallonnage bascule</t>
  </si>
  <si>
    <t>Etancheité</t>
  </si>
  <si>
    <t>Extraction pièrre</t>
  </si>
  <si>
    <t>Extraction tôle</t>
  </si>
  <si>
    <t>SAMMOUD</t>
  </si>
  <si>
    <t>AZMANE</t>
  </si>
  <si>
    <t>Graissage</t>
  </si>
  <si>
    <t>GOUMIRI</t>
  </si>
  <si>
    <t xml:space="preserve">Jonctionnement </t>
  </si>
  <si>
    <t>Manque carter</t>
  </si>
  <si>
    <t>Manque éclairage</t>
  </si>
  <si>
    <t>Manque levage</t>
  </si>
  <si>
    <t>Manque orientation</t>
  </si>
  <si>
    <t>Manque qualité</t>
  </si>
  <si>
    <t>Montée /Déscente By pass</t>
  </si>
  <si>
    <t>Orientation fléche/volet</t>
  </si>
  <si>
    <t>Passage stacker devant RPL</t>
  </si>
  <si>
    <t>Patinage/tension</t>
  </si>
  <si>
    <t>Prise echantillon</t>
  </si>
  <si>
    <t>Repos hébdomadaire</t>
  </si>
  <si>
    <t>Rupture bande/courroie</t>
  </si>
  <si>
    <t>Stock plein</t>
  </si>
  <si>
    <t>Soudage</t>
  </si>
  <si>
    <t>Travaux enrouleur</t>
  </si>
  <si>
    <t>Vidange</t>
  </si>
  <si>
    <t>Date</t>
  </si>
  <si>
    <t>Poste</t>
  </si>
  <si>
    <t>chef de poste</t>
  </si>
  <si>
    <t>opérateur SDC</t>
  </si>
  <si>
    <t>Conducteur RPL</t>
  </si>
  <si>
    <t>N Echt</t>
  </si>
  <si>
    <t>Quantité entammée</t>
  </si>
  <si>
    <t>Origine de la couche</t>
  </si>
  <si>
    <t>Nature de produit</t>
  </si>
  <si>
    <t>début</t>
  </si>
  <si>
    <t>fin</t>
  </si>
  <si>
    <t>THC</t>
  </si>
  <si>
    <t>THE</t>
  </si>
  <si>
    <t>HMT1</t>
  </si>
  <si>
    <t>HMT13</t>
  </si>
  <si>
    <t>Rendement criblage</t>
  </si>
  <si>
    <t>Rendement CV T13</t>
  </si>
  <si>
    <t>Rendement CV T1</t>
  </si>
  <si>
    <t>taux de stéril</t>
  </si>
  <si>
    <t>MAV T1</t>
  </si>
  <si>
    <t>MAV T13</t>
  </si>
  <si>
    <t>HM MAT</t>
  </si>
  <si>
    <t>HM STK</t>
  </si>
  <si>
    <t>OBSERVATION</t>
  </si>
  <si>
    <t>NO semaine</t>
  </si>
  <si>
    <t>rouepelle</t>
  </si>
  <si>
    <t>Début</t>
  </si>
  <si>
    <t>Fin</t>
  </si>
  <si>
    <t>Durée</t>
  </si>
  <si>
    <t>Equipement</t>
  </si>
  <si>
    <t>Arrêts</t>
  </si>
  <si>
    <t>Nature</t>
  </si>
  <si>
    <t>commentaires</t>
  </si>
  <si>
    <t>no semaine</t>
  </si>
  <si>
    <t>poste 3</t>
  </si>
  <si>
    <t>poste 1</t>
  </si>
  <si>
    <t>poste 2</t>
  </si>
  <si>
    <t>Journée</t>
  </si>
  <si>
    <t>poste1</t>
  </si>
  <si>
    <t>Tableau de Performance Criblage</t>
  </si>
  <si>
    <t>Criblage</t>
  </si>
  <si>
    <t>THE 
- T1 -</t>
  </si>
  <si>
    <t>THC 
- T13 -</t>
  </si>
  <si>
    <t>HM 
- T1 -</t>
  </si>
  <si>
    <t>Débit</t>
  </si>
  <si>
    <t>HM 
- T13 -</t>
  </si>
  <si>
    <t>Energie
- Kwh/THC -</t>
  </si>
  <si>
    <t>TD
-% -</t>
  </si>
  <si>
    <t>TU
-% -</t>
  </si>
  <si>
    <t>Taux
Stérile</t>
  </si>
  <si>
    <t>TOTAL</t>
  </si>
  <si>
    <t>Prévu</t>
  </si>
  <si>
    <t>≤ 0,80</t>
  </si>
  <si>
    <t>≤ 15%</t>
  </si>
  <si>
    <t>R/P</t>
  </si>
  <si>
    <t>7:00  à  15:00</t>
  </si>
  <si>
    <t>15:00  à  23:00</t>
  </si>
  <si>
    <t>23:00  à  7:00</t>
  </si>
  <si>
    <t>Détails des arrêts 
(en h)</t>
  </si>
  <si>
    <t>réalisé</t>
  </si>
  <si>
    <t>Total des Arrêts</t>
  </si>
  <si>
    <t>HM-T1</t>
  </si>
  <si>
    <t xml:space="preserve">Débit </t>
  </si>
  <si>
    <t>HM</t>
  </si>
  <si>
    <t>Date de chargement</t>
  </si>
  <si>
    <t>poste</t>
  </si>
  <si>
    <t>Date expédition</t>
  </si>
  <si>
    <t>LV</t>
  </si>
  <si>
    <t>Rame</t>
  </si>
  <si>
    <t>Nbre Wagons</t>
  </si>
  <si>
    <t xml:space="preserve">Fin </t>
  </si>
  <si>
    <t>temps de chargement</t>
  </si>
  <si>
    <t>taux remplissage</t>
  </si>
  <si>
    <t>TONNAGE Roue pelle</t>
  </si>
  <si>
    <t>Index heures de marche RPl</t>
  </si>
  <si>
    <t>Heures de marche RPl</t>
  </si>
  <si>
    <t>RDT RPL</t>
  </si>
  <si>
    <t>Heures de marche T17</t>
  </si>
  <si>
    <t>RD CV T17</t>
  </si>
  <si>
    <t>SAUTERLELLE</t>
  </si>
  <si>
    <t>Gtte</t>
  </si>
  <si>
    <t>Tonnage V1</t>
  </si>
  <si>
    <t>Tonnage V2</t>
  </si>
  <si>
    <t>T=v1+v2</t>
  </si>
  <si>
    <t>tonnage T15</t>
  </si>
  <si>
    <t>Chef de poste</t>
  </si>
  <si>
    <t>Opérateur RPL</t>
  </si>
  <si>
    <t>Opérateur V1</t>
  </si>
  <si>
    <t>Opérateur V2</t>
  </si>
  <si>
    <t>Mode echantillonnage</t>
  </si>
  <si>
    <t>cause si manuel</t>
  </si>
  <si>
    <t>Observations</t>
  </si>
  <si>
    <t xml:space="preserve"> trains programmés Safi</t>
  </si>
  <si>
    <t xml:space="preserve"> trains réalisés Safi</t>
  </si>
  <si>
    <t xml:space="preserve"> trains programmés Yfia</t>
  </si>
  <si>
    <t xml:space="preserve"> trains réalisés Yfia</t>
  </si>
  <si>
    <t>cause suppression</t>
  </si>
  <si>
    <t>1 si sup cause BG</t>
  </si>
  <si>
    <t>tps chgt en minute</t>
  </si>
  <si>
    <t>Consommation elec/train  kwh</t>
  </si>
  <si>
    <t>Consommation spécifique/train kwh/thc</t>
  </si>
  <si>
    <t>Chargeemnt</t>
  </si>
  <si>
    <t>Qualité</t>
  </si>
  <si>
    <t>Temps de chargt</t>
  </si>
  <si>
    <t>Taux de
rempliss</t>
  </si>
  <si>
    <t>Nbre de 
wagons</t>
  </si>
  <si>
    <t>Nature
wagons</t>
  </si>
  <si>
    <t>Rend
T17</t>
  </si>
  <si>
    <r>
      <t>3</t>
    </r>
    <r>
      <rPr>
        <b/>
        <vertAlign val="superscript"/>
        <sz val="20"/>
        <color theme="1"/>
        <rFont val="Times New Roman"/>
        <family val="1"/>
      </rPr>
      <t>ème</t>
    </r>
    <r>
      <rPr>
        <b/>
        <sz val="20"/>
        <color theme="1"/>
        <rFont val="Times New Roman"/>
        <family val="1"/>
      </rPr>
      <t xml:space="preserve"> poste j-1</t>
    </r>
  </si>
  <si>
    <t>1er poste</t>
  </si>
  <si>
    <t>2ème Poste</t>
  </si>
  <si>
    <t>3ème Poste</t>
  </si>
  <si>
    <t>Tableau de Performance Chargement</t>
  </si>
  <si>
    <t>N° train</t>
  </si>
  <si>
    <t>Debut</t>
  </si>
  <si>
    <t>attente camion</t>
  </si>
  <si>
    <t>HC4/T15</t>
  </si>
  <si>
    <t>HC3/T15</t>
  </si>
  <si>
    <t>HC2/T15</t>
  </si>
  <si>
    <t>ZAROUAL</t>
  </si>
  <si>
    <t>MELLOUK</t>
  </si>
  <si>
    <t>CHEIKH</t>
  </si>
  <si>
    <t>SEMAINES</t>
  </si>
  <si>
    <t>KPI</t>
  </si>
  <si>
    <t>DATES</t>
  </si>
  <si>
    <t>HM T1</t>
  </si>
  <si>
    <t>KPI1</t>
  </si>
  <si>
    <t>Arrêts Mécaniques</t>
  </si>
  <si>
    <t>Arrêts Eléctriques</t>
  </si>
  <si>
    <t>Arrêts Eléctroniques</t>
  </si>
  <si>
    <t>Arrêts Exploitation</t>
  </si>
  <si>
    <t>Arrêts Matériels</t>
  </si>
  <si>
    <t>Planifier</t>
  </si>
  <si>
    <t>Arrêts Extérieurs</t>
  </si>
  <si>
    <t>KPI4</t>
  </si>
  <si>
    <t>TD MECANIQUE</t>
  </si>
  <si>
    <t>KPI6</t>
  </si>
  <si>
    <t>TU</t>
  </si>
  <si>
    <t>TD exploitation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</si>
  <si>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</si>
  <si>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</si>
  <si>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</si>
  <si>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</si>
  <si>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</si>
  <si>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</si>
  <si>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</si>
  <si>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</si>
  <si>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</si>
  <si>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</si>
  <si>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</si>
  <si>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</si>
  <si>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</si>
  <si>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</si>
  <si>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</si>
  <si>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</si>
  <si>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</si>
  <si>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</si>
  <si>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</si>
  <si>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</si>
  <si>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</si>
  <si>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</si>
  <si>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</si>
  <si>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</si>
  <si>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</si>
  <si>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</si>
  <si>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</si>
  <si>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</si>
  <si>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</si>
  <si>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</si>
  <si>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</si>
  <si>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</si>
  <si>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</si>
  <si>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</si>
  <si>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</si>
  <si>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</si>
  <si>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</si>
  <si>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</si>
  <si>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</si>
  <si>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</si>
  <si>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</si>
  <si>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</si>
  <si>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</si>
  <si>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</si>
  <si>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</si>
  <si>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</si>
  <si>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</si>
  <si>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</si>
  <si>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CRIBLAGE</t>
  </si>
  <si>
    <t>A EXP</t>
  </si>
  <si>
    <t>A EXT</t>
  </si>
  <si>
    <t>A MAT</t>
  </si>
  <si>
    <t>t dis</t>
  </si>
  <si>
    <t xml:space="preserve">Taux d'utilisation </t>
  </si>
  <si>
    <t>Tonnage Humide Epierré THE</t>
  </si>
  <si>
    <t xml:space="preserve">Tonnage Humide Criblé   THC </t>
  </si>
  <si>
    <t>MTBF</t>
  </si>
  <si>
    <t>Nbre de pannes</t>
  </si>
  <si>
    <t>OEE</t>
  </si>
  <si>
    <t>Heures de Marches HM</t>
  </si>
  <si>
    <t>Tonnage THC</t>
  </si>
  <si>
    <t>Tonnage THE</t>
  </si>
  <si>
    <t>Parc de stockage</t>
  </si>
  <si>
    <t>HC1/Sauterelle</t>
  </si>
  <si>
    <t>HC2/T13</t>
  </si>
  <si>
    <t>HC3/T13</t>
  </si>
  <si>
    <t>Rendement Prévu</t>
  </si>
  <si>
    <t>Rendement Réalisé</t>
  </si>
  <si>
    <r>
      <t>1</t>
    </r>
    <r>
      <rPr>
        <b/>
        <vertAlign val="superscript"/>
        <sz val="20"/>
        <color theme="1"/>
        <rFont val="Times New Roman"/>
        <family val="1"/>
      </rPr>
      <t>er</t>
    </r>
    <r>
      <rPr>
        <b/>
        <sz val="20"/>
        <color theme="1"/>
        <rFont val="Times New Roman"/>
        <family val="1"/>
      </rPr>
      <t xml:space="preserve"> poste</t>
    </r>
  </si>
  <si>
    <r>
      <t>2</t>
    </r>
    <r>
      <rPr>
        <b/>
        <vertAlign val="superscript"/>
        <sz val="20"/>
        <color theme="1"/>
        <rFont val="Times New Roman"/>
        <family val="1"/>
      </rPr>
      <t>ème</t>
    </r>
    <r>
      <rPr>
        <b/>
        <sz val="20"/>
        <color theme="1"/>
        <rFont val="Times New Roman"/>
        <family val="1"/>
      </rPr>
      <t xml:space="preserve"> Poste</t>
    </r>
  </si>
  <si>
    <r>
      <t>3</t>
    </r>
    <r>
      <rPr>
        <b/>
        <vertAlign val="superscript"/>
        <sz val="20"/>
        <color theme="1"/>
        <rFont val="Times New Roman"/>
        <family val="1"/>
      </rPr>
      <t>ème</t>
    </r>
    <r>
      <rPr>
        <b/>
        <sz val="20"/>
        <color theme="1"/>
        <rFont val="Times New Roman"/>
        <family val="1"/>
      </rPr>
      <t>Poste</t>
    </r>
  </si>
  <si>
    <t>SAGUEM</t>
  </si>
  <si>
    <t>En mn</t>
  </si>
  <si>
    <t>DATE</t>
  </si>
  <si>
    <t>Prévue</t>
  </si>
  <si>
    <t>Réalisé</t>
  </si>
  <si>
    <t>Axe YOUSOUFIA</t>
  </si>
  <si>
    <t>Axe SAFI</t>
  </si>
  <si>
    <t>PROGRAMME PREVISIONNEL DES TRAINS</t>
  </si>
  <si>
    <t>ATIFI</t>
  </si>
  <si>
    <t>N° arrêts/poste</t>
  </si>
  <si>
    <t>ETTAHIRI</t>
  </si>
  <si>
    <t>Entretient</t>
  </si>
  <si>
    <t>BG 10</t>
  </si>
  <si>
    <t>BENSLIM </t>
  </si>
  <si>
    <t>ZEROUAL </t>
  </si>
  <si>
    <t>SBAAI </t>
  </si>
  <si>
    <t>CHTOUKI</t>
  </si>
  <si>
    <t>EL OUARDI</t>
  </si>
  <si>
    <t>µ</t>
  </si>
  <si>
    <t>HC</t>
  </si>
  <si>
    <t>ADRAOUI</t>
  </si>
  <si>
    <t>taouil</t>
  </si>
  <si>
    <t>direct</t>
  </si>
  <si>
    <t>TAHIRI</t>
  </si>
  <si>
    <t>FTOUH</t>
  </si>
  <si>
    <t>mojibi</t>
  </si>
  <si>
    <t>direct/7607</t>
  </si>
  <si>
    <t>rupture courroie</t>
  </si>
  <si>
    <t>changement courroie</t>
  </si>
  <si>
    <t>déclenchement</t>
  </si>
  <si>
    <t>extraction grilles</t>
  </si>
  <si>
    <t>Défaut fin de cours</t>
  </si>
  <si>
    <t>Déclenchement CR7</t>
  </si>
  <si>
    <t>Parc</t>
  </si>
  <si>
    <t>dégagement tous les grilles male fixé</t>
  </si>
  <si>
    <t>TONNAGE TRAIN</t>
  </si>
  <si>
    <t>Tessenderlo</t>
  </si>
  <si>
    <t>Manque zone pour saisi de la couche</t>
  </si>
  <si>
    <t>p safi</t>
  </si>
  <si>
    <t>saguem</t>
  </si>
  <si>
    <t>Vibration</t>
  </si>
  <si>
    <t>err</t>
  </si>
  <si>
    <t>Travaux électrique</t>
  </si>
  <si>
    <t>attente produit</t>
  </si>
  <si>
    <t>Niveau Haut</t>
  </si>
  <si>
    <t>Patinage</t>
  </si>
  <si>
    <t>HC1/exp</t>
  </si>
  <si>
    <t>n° arrêt/poste</t>
  </si>
  <si>
    <t>Orientation flèche/volet</t>
  </si>
  <si>
    <t>tibrani</t>
  </si>
  <si>
    <t>Montage bavette</t>
  </si>
  <si>
    <t>EXPORT</t>
  </si>
  <si>
    <t>Bruit anormal</t>
  </si>
  <si>
    <t>Translation</t>
  </si>
  <si>
    <t>Destination</t>
  </si>
  <si>
    <t>SAFI</t>
  </si>
  <si>
    <t>YSFIA UL</t>
  </si>
  <si>
    <t>YSFIA UC</t>
  </si>
  <si>
    <t>Arrêts_Exploitation</t>
  </si>
  <si>
    <t>Arrêts_Mécanique</t>
  </si>
  <si>
    <t>Arrêts_Electrique</t>
  </si>
  <si>
    <t>Arrêts_Electronique</t>
  </si>
  <si>
    <t>Arrêts_Extérieur</t>
  </si>
  <si>
    <t xml:space="preserve">Ajustage bavette </t>
  </si>
  <si>
    <t>Accouplement/désaccouplement</t>
  </si>
  <si>
    <t>Arrêt enrouleur</t>
  </si>
  <si>
    <t>Contrôle/Inspection</t>
  </si>
  <si>
    <t>Appoint d’huile</t>
  </si>
  <si>
    <t>Absentéisme</t>
  </si>
  <si>
    <t xml:space="preserve">appoint huile </t>
  </si>
  <si>
    <t>Arrêt urgence</t>
  </si>
  <si>
    <t xml:space="preserve">Défaut </t>
  </si>
  <si>
    <t>Arrêt chargement</t>
  </si>
  <si>
    <t>Branchement moteur</t>
  </si>
  <si>
    <t>Défaut réseau</t>
  </si>
  <si>
    <t>arrêt enrouleur</t>
  </si>
  <si>
    <t>Câble mou staker</t>
  </si>
  <si>
    <t>Etalonnage bascule</t>
  </si>
  <si>
    <t>Attente décision qualité</t>
  </si>
  <si>
    <t>Attente train</t>
  </si>
  <si>
    <t>Bouchage goulotte</t>
  </si>
  <si>
    <t>bouchage goulotte</t>
  </si>
  <si>
    <t>Panne électronique</t>
  </si>
  <si>
    <t>chargement train</t>
  </si>
  <si>
    <t>Coincement moteur</t>
  </si>
  <si>
    <t>problème bascule</t>
  </si>
  <si>
    <t>Changement bande</t>
  </si>
  <si>
    <t>bruit anormal</t>
  </si>
  <si>
    <t>Changement qualité</t>
  </si>
  <si>
    <t>Changement anti-divireur</t>
  </si>
  <si>
    <t>Défaut climatiseur</t>
  </si>
  <si>
    <t>Extracteur A</t>
  </si>
  <si>
    <t>Changement racleur</t>
  </si>
  <si>
    <t>Délestage</t>
  </si>
  <si>
    <t>Extracteur B</t>
  </si>
  <si>
    <t>Défaillance anti-bourrage</t>
  </si>
  <si>
    <t>Extracteur C</t>
  </si>
  <si>
    <t>Changement station</t>
  </si>
  <si>
    <t>Défaillance anti-déport bande</t>
  </si>
  <si>
    <t>Désinfection</t>
  </si>
  <si>
    <t>Extracteur D</t>
  </si>
  <si>
    <t>Cisaillement câble</t>
  </si>
  <si>
    <t>Changement crible</t>
  </si>
  <si>
    <t>Défaillance arrêt d'urgence</t>
  </si>
  <si>
    <t>Extraction pierre</t>
  </si>
  <si>
    <t>Extracteur E</t>
  </si>
  <si>
    <t>Changement électro frein</t>
  </si>
  <si>
    <t>Défaillance enrouleur câble</t>
  </si>
  <si>
    <t>Colmatage crible</t>
  </si>
  <si>
    <t>changement élingue</t>
  </si>
  <si>
    <t>Défaut asservissement</t>
  </si>
  <si>
    <t>Grève</t>
  </si>
  <si>
    <t>Colmatage goulotte</t>
  </si>
  <si>
    <t>Changement flexible</t>
  </si>
  <si>
    <t>Défaut isolement</t>
  </si>
  <si>
    <t>Intempérie</t>
  </si>
  <si>
    <t>Jour férié</t>
  </si>
  <si>
    <t>Changement palier</t>
  </si>
  <si>
    <t>Changement rive</t>
  </si>
  <si>
    <t>Manque effectifs</t>
  </si>
  <si>
    <t>Couche humide</t>
  </si>
  <si>
    <t>Etanchéité</t>
  </si>
  <si>
    <t>Passage stacker devant Roue pelle</t>
  </si>
  <si>
    <t>Changement vérin</t>
  </si>
  <si>
    <t>Prise échantillon</t>
  </si>
  <si>
    <t>Changement volet</t>
  </si>
  <si>
    <t>Repos hebdomadaire</t>
  </si>
  <si>
    <t>Charpente RPL</t>
  </si>
  <si>
    <t>sensibilisation</t>
  </si>
  <si>
    <t>Démontage racleur</t>
  </si>
  <si>
    <t>Cisaillement grille</t>
  </si>
  <si>
    <t>Stock Plein</t>
  </si>
  <si>
    <t>Coincement bande</t>
  </si>
  <si>
    <t>Déraillement</t>
  </si>
  <si>
    <t>Coincement galet</t>
  </si>
  <si>
    <t>Montée /Descente By passe</t>
  </si>
  <si>
    <t>Vent violent</t>
  </si>
  <si>
    <t>Coincement goulotte</t>
  </si>
  <si>
    <t>Entretien By passe</t>
  </si>
  <si>
    <t>Coincement volet</t>
  </si>
  <si>
    <t>Panne électrique</t>
  </si>
  <si>
    <t>Coupleur hydraulique</t>
  </si>
  <si>
    <t>Refroidissement moteur</t>
  </si>
  <si>
    <t>Révision électrique</t>
  </si>
  <si>
    <t>Révision Générale</t>
  </si>
  <si>
    <t>Serrage</t>
  </si>
  <si>
    <t>Démontage grille</t>
  </si>
  <si>
    <t>Montée/descente By passe</t>
  </si>
  <si>
    <t>Echauffement réducteur</t>
  </si>
  <si>
    <t>Nettoyage/Entretien</t>
  </si>
  <si>
    <t>Eclatement flexible</t>
  </si>
  <si>
    <t>Orientation stacker</t>
  </si>
  <si>
    <t xml:space="preserve">Fissure </t>
  </si>
  <si>
    <t>Patinage/Tension</t>
  </si>
  <si>
    <t>préparation circuit</t>
  </si>
  <si>
    <t>Fusion fusible</t>
  </si>
  <si>
    <t>Relève</t>
  </si>
  <si>
    <t>Remplissage</t>
  </si>
  <si>
    <t>Manque graissage</t>
  </si>
  <si>
    <t>Manque grille de protection</t>
  </si>
  <si>
    <t>Retour Produit</t>
  </si>
  <si>
    <t>Travaux by passe</t>
  </si>
  <si>
    <t>Montage accouplement</t>
  </si>
  <si>
    <t>Travaux de vulcanisation</t>
  </si>
  <si>
    <t>Orientation flèche</t>
  </si>
  <si>
    <t>Orientation volet</t>
  </si>
  <si>
    <t>Panne mécanique</t>
  </si>
  <si>
    <t>Remplissage réducteur</t>
  </si>
  <si>
    <t>Réparation grille</t>
  </si>
  <si>
    <t>Révision mécanique</t>
  </si>
  <si>
    <t>Rupture courroie</t>
  </si>
  <si>
    <t>Tension</t>
  </si>
  <si>
    <t xml:space="preserve">Travaux étanchéité </t>
  </si>
  <si>
    <t>Travaux mécanique</t>
  </si>
  <si>
    <t xml:space="preserve">Concasseur </t>
  </si>
  <si>
    <t>M_Planifiée</t>
  </si>
  <si>
    <t>concasseur</t>
  </si>
  <si>
    <t>thermique huileur</t>
  </si>
  <si>
    <t>N,EXP</t>
  </si>
  <si>
    <t>Fatouh/ait brahim</t>
  </si>
  <si>
    <t>JOOKAR</t>
  </si>
  <si>
    <t>A1/544</t>
  </si>
  <si>
    <t>defaut orientation fleche</t>
  </si>
  <si>
    <t>JOOKARE</t>
  </si>
  <si>
    <t>TBT</t>
  </si>
  <si>
    <t>montage reducteur</t>
  </si>
  <si>
    <t>BOUROUS</t>
  </si>
  <si>
    <t>A1/559</t>
  </si>
  <si>
    <t>déport bonde T13 la tête</t>
  </si>
  <si>
    <t>bogadir</t>
  </si>
  <si>
    <t>orientation vers mat principal</t>
  </si>
  <si>
    <t>couche humide</t>
  </si>
  <si>
    <t>elouardi</t>
  </si>
  <si>
    <t>volet T6/CR7</t>
  </si>
  <si>
    <t>volet CR7/MàT</t>
  </si>
  <si>
    <t>ELADRAOUI</t>
  </si>
  <si>
    <t>Fatouh/darbali</t>
  </si>
  <si>
    <t>A1/517</t>
  </si>
  <si>
    <t>moteur bande</t>
  </si>
  <si>
    <t>ENNIRRI + CHERKAOUI</t>
  </si>
  <si>
    <t>salle contrôle</t>
  </si>
  <si>
    <t>EL FAREH</t>
  </si>
  <si>
    <t>B2/548</t>
  </si>
  <si>
    <t>MASLOUH</t>
  </si>
  <si>
    <t>MALOUK</t>
  </si>
  <si>
    <t>BENSLIME</t>
  </si>
  <si>
    <t>B1/665</t>
  </si>
  <si>
    <t>cheikh</t>
  </si>
  <si>
    <t>B1/666</t>
  </si>
  <si>
    <t xml:space="preserve"> attente temporisation de refroidissement</t>
  </si>
  <si>
    <t>ait BRAHIM/bniaiss</t>
  </si>
  <si>
    <t>sagm</t>
  </si>
  <si>
    <t>blott</t>
  </si>
  <si>
    <t>boajaji</t>
  </si>
  <si>
    <t>CHERKAOUI</t>
  </si>
  <si>
    <t>Changement courroie</t>
  </si>
  <si>
    <t xml:space="preserve"> rupture courroies CR, E /niveau haut</t>
  </si>
  <si>
    <t>ELGHACHOUA</t>
  </si>
  <si>
    <t>couche  rasée</t>
  </si>
  <si>
    <t>défaut de surcourse</t>
  </si>
  <si>
    <t>st cal</t>
  </si>
  <si>
    <t>B1/668</t>
  </si>
  <si>
    <t>sur-cours</t>
  </si>
  <si>
    <t>ARRET DECIDE</t>
  </si>
  <si>
    <t>ZARWAL</t>
  </si>
  <si>
    <t>morjani</t>
  </si>
  <si>
    <t>A2/772</t>
  </si>
  <si>
    <t>C2</t>
  </si>
  <si>
    <t>NB: la bande en marche puis s'arrête par le défaut "démarrage trop lent"</t>
  </si>
  <si>
    <t>ait homar/FATOUH</t>
  </si>
  <si>
    <t>A2/669</t>
  </si>
  <si>
    <t>B1/670</t>
  </si>
  <si>
    <t>C4</t>
  </si>
  <si>
    <t>rasage couche</t>
  </si>
  <si>
    <t>Changement couche</t>
  </si>
  <si>
    <t>C3GB</t>
  </si>
  <si>
    <t>ERR</t>
  </si>
  <si>
    <t>couche très humide</t>
  </si>
  <si>
    <t>Débit faible couche très humide colmatage godets</t>
  </si>
  <si>
    <t xml:space="preserve">0,45 Marche à vide T1 suite réglage déport bande roue pelle </t>
  </si>
  <si>
    <t>fatouh</t>
  </si>
  <si>
    <t xml:space="preserve"> Marche à vide T1 suite réglage déport bande roue pelle </t>
  </si>
  <si>
    <t>A1/771</t>
  </si>
  <si>
    <t>A1/774</t>
  </si>
  <si>
    <t>AIT OMAR</t>
  </si>
  <si>
    <t>DIRECT</t>
  </si>
  <si>
    <t>AIT OMAR + ZAOUIA</t>
  </si>
  <si>
    <t>A2/477</t>
  </si>
  <si>
    <t>errr</t>
  </si>
  <si>
    <t>DERBALI + TALEB</t>
  </si>
  <si>
    <t>ELAAMRI</t>
  </si>
  <si>
    <t>Marche à vide T1 (positionnement) + Attente produit</t>
  </si>
  <si>
    <t>talhi</t>
  </si>
  <si>
    <t xml:space="preserve"> attente temporisation de refroidissement du moteur de la roue</t>
  </si>
  <si>
    <t>arrêt de circuit chargement (direct train)</t>
  </si>
  <si>
    <t>idrissi/ait omar</t>
  </si>
  <si>
    <t>C5</t>
  </si>
  <si>
    <t>azman</t>
  </si>
  <si>
    <t>sraidi</t>
  </si>
  <si>
    <t>chtoki</t>
  </si>
  <si>
    <t>sbaai</t>
  </si>
  <si>
    <t>5min pour vidange tançant</t>
  </si>
  <si>
    <t>A1/773</t>
  </si>
  <si>
    <t>arrafa</t>
  </si>
  <si>
    <t>sageum</t>
  </si>
  <si>
    <t>Ajustement bavette goulotte stacker</t>
  </si>
  <si>
    <t>couche humide, navette T3A indisponible</t>
  </si>
  <si>
    <t xml:space="preserve">nécessite decolmatage trémie et T3A INDISPONIBLE+C4trop stérile </t>
  </si>
  <si>
    <t>nécessite decolmatage trémie et T3A INDISPONIBLE+C5 humide</t>
  </si>
  <si>
    <t>CVT3a indisponible + C5 couche très humide</t>
  </si>
  <si>
    <t>CVT3a indisponible /Niveau haut</t>
  </si>
  <si>
    <t>C6</t>
  </si>
  <si>
    <t>vidange circuit suite couche humide</t>
  </si>
  <si>
    <t>idrissi/ftouh</t>
  </si>
  <si>
    <t>B2/778</t>
  </si>
  <si>
    <t>A2/556</t>
  </si>
  <si>
    <t>ayt taleb</t>
  </si>
  <si>
    <t>lave</t>
  </si>
  <si>
    <t xml:space="preserve">DERBALI </t>
  </si>
  <si>
    <t>A2/779</t>
  </si>
  <si>
    <t>A1/782</t>
  </si>
  <si>
    <t>B1/775</t>
  </si>
  <si>
    <t>BG tessenderlo</t>
  </si>
  <si>
    <t>BG standard</t>
  </si>
  <si>
    <t>BG spécial</t>
  </si>
  <si>
    <t>TBT criblé</t>
  </si>
  <si>
    <t>BT</t>
  </si>
  <si>
    <t>MT</t>
  </si>
  <si>
    <t>AD</t>
  </si>
  <si>
    <t>bouhjaji</t>
  </si>
  <si>
    <t>C1</t>
  </si>
  <si>
    <t>A2/781</t>
  </si>
  <si>
    <t>idrissi/talb</t>
  </si>
  <si>
    <t>A2/784</t>
  </si>
  <si>
    <t>PS REPRISE</t>
  </si>
  <si>
    <t>B2/783</t>
  </si>
  <si>
    <t>MARJANI</t>
  </si>
  <si>
    <t>er</t>
  </si>
  <si>
    <t>A2/788</t>
  </si>
  <si>
    <t>manque conducteur STK CV T1 marche a vide</t>
  </si>
  <si>
    <t>A2/787</t>
  </si>
  <si>
    <t>A2/786</t>
  </si>
  <si>
    <t>B2/785</t>
  </si>
  <si>
    <t>TALEB /FARH</t>
  </si>
  <si>
    <t>B2/790</t>
  </si>
  <si>
    <t>temporisation électrique moteur CV T1</t>
  </si>
  <si>
    <t>Démarrage trop lent</t>
  </si>
  <si>
    <t>Temporisation de refroidissement</t>
  </si>
  <si>
    <t>SRAIDI</t>
  </si>
  <si>
    <t>B2/791</t>
  </si>
  <si>
    <t>BOUROUS/ENNIRI</t>
  </si>
  <si>
    <t>FATOUH/AIT HOMAR</t>
  </si>
  <si>
    <t>ALHAMRI</t>
  </si>
  <si>
    <t>MASSLOH</t>
  </si>
  <si>
    <t>C0</t>
  </si>
  <si>
    <t>B1/792</t>
  </si>
  <si>
    <t>HC3/C</t>
  </si>
  <si>
    <t>BENAISS + ELFARH</t>
  </si>
  <si>
    <t>C3</t>
  </si>
  <si>
    <t>BG STANDARD</t>
  </si>
  <si>
    <t>mallouk</t>
  </si>
  <si>
    <t>bossagia</t>
  </si>
  <si>
    <t>B1/794</t>
  </si>
  <si>
    <t>B1/793</t>
  </si>
  <si>
    <t>Décolmatage godets</t>
  </si>
  <si>
    <t>BOURROUS +ELFARH</t>
  </si>
  <si>
    <t>A1/786</t>
  </si>
  <si>
    <t>A2/795</t>
  </si>
  <si>
    <t>C3SUP</t>
  </si>
  <si>
    <t>Direct train</t>
  </si>
  <si>
    <t>st calciné</t>
  </si>
  <si>
    <t>BT FAIBLE SILICE</t>
  </si>
  <si>
    <t>B1/797</t>
  </si>
  <si>
    <t>goulotte T13/T14A</t>
  </si>
  <si>
    <t>BT Faible Silice</t>
  </si>
  <si>
    <t>RHAIDOUD</t>
  </si>
  <si>
    <t>B2/796</t>
  </si>
  <si>
    <t>A2/798</t>
  </si>
  <si>
    <t>A2/789</t>
  </si>
  <si>
    <t>A2/790</t>
  </si>
  <si>
    <t>B1/799</t>
  </si>
  <si>
    <t>C3GLB</t>
  </si>
  <si>
    <t>B1/801</t>
  </si>
  <si>
    <t>C3Sup</t>
  </si>
  <si>
    <t>B1/779</t>
  </si>
  <si>
    <t>B1/802</t>
  </si>
  <si>
    <t>c3 glb</t>
  </si>
  <si>
    <t>SB</t>
  </si>
  <si>
    <t>A1/800</t>
  </si>
  <si>
    <t xml:space="preserve">changement couche </t>
  </si>
  <si>
    <t>Problème descente flèche</t>
  </si>
  <si>
    <t xml:space="preserve">rasage couche </t>
  </si>
  <si>
    <t>B1/803</t>
  </si>
  <si>
    <t xml:space="preserve">couche humide </t>
  </si>
  <si>
    <t>EL BOUZIDI+enniri</t>
  </si>
  <si>
    <t>A2/804</t>
  </si>
  <si>
    <t>DARBALI/AIT HOMAR</t>
  </si>
  <si>
    <t>A1/806</t>
  </si>
  <si>
    <t>engorgement T13/T14B</t>
  </si>
  <si>
    <t>NOAIL</t>
  </si>
  <si>
    <t>AIT Homar/Talb</t>
  </si>
  <si>
    <t>B1/805</t>
  </si>
  <si>
    <t>B1/807</t>
  </si>
  <si>
    <t>bourial</t>
  </si>
  <si>
    <t>damon</t>
  </si>
  <si>
    <t>biya</t>
  </si>
  <si>
    <t>IDRISSI/EL FARH</t>
  </si>
  <si>
    <t>A1/780</t>
  </si>
  <si>
    <t>B1/808</t>
  </si>
  <si>
    <t>changement  couche</t>
  </si>
  <si>
    <t>A1/810</t>
  </si>
  <si>
    <t>AZMAN</t>
  </si>
  <si>
    <t>B2/811</t>
  </si>
  <si>
    <t>réparation bande B7</t>
  </si>
  <si>
    <t>MELOUK</t>
  </si>
  <si>
    <t>BODRAA</t>
  </si>
  <si>
    <t xml:space="preserve">TALEB/BOUROS </t>
  </si>
  <si>
    <t>A2/809</t>
  </si>
  <si>
    <t>déplacement produit Safi</t>
  </si>
  <si>
    <t>rouleau  grippé inf. susceptible  de déchirer la bande queue t1+ nettoyage entre les Lx</t>
  </si>
  <si>
    <t>A1/812</t>
  </si>
  <si>
    <t>BORADIR</t>
  </si>
  <si>
    <t>B2/813</t>
  </si>
  <si>
    <t>Déport bande droit chariot T13</t>
  </si>
  <si>
    <t>B2/814</t>
  </si>
  <si>
    <t>C2+SA2</t>
  </si>
  <si>
    <t>A1/667</t>
  </si>
  <si>
    <t>taleb</t>
  </si>
  <si>
    <t>A1/817</t>
  </si>
  <si>
    <t>SA2</t>
  </si>
  <si>
    <t>COUCHE</t>
  </si>
  <si>
    <t>A2/816</t>
  </si>
  <si>
    <t>HC4/C</t>
  </si>
  <si>
    <t>A1/818</t>
  </si>
  <si>
    <t>C3G</t>
  </si>
  <si>
    <t>NOUIL</t>
  </si>
  <si>
    <t>kassidi</t>
  </si>
  <si>
    <t>chantier</t>
  </si>
  <si>
    <t xml:space="preserve">Ait taleb </t>
  </si>
  <si>
    <t>Saguem</t>
  </si>
  <si>
    <t>B1/820</t>
  </si>
  <si>
    <t>ait brahim/taleb</t>
  </si>
  <si>
    <t>déport bande sur la tête T9</t>
  </si>
  <si>
    <t>bya</t>
  </si>
  <si>
    <t>abourial</t>
  </si>
  <si>
    <t>mellouk</t>
  </si>
  <si>
    <t>tahiri</t>
  </si>
  <si>
    <t>SMOUI</t>
  </si>
  <si>
    <t>NAJI</t>
  </si>
  <si>
    <t>NB : Rasage parc HC4</t>
  </si>
  <si>
    <t>en défaut</t>
  </si>
  <si>
    <t xml:space="preserve">Arrêt décidé </t>
  </si>
  <si>
    <t>Arrêt décidé suite Stock plein</t>
  </si>
  <si>
    <t>Niveau Haut chargement</t>
  </si>
  <si>
    <t>direct 7625 (déclenchement) électrique</t>
  </si>
  <si>
    <t>STK même axe RPL( Arrêt CV T17 suite a défaut réseau ) électrique</t>
  </si>
  <si>
    <t>manque déplacement T3A + changement courroies crible A niveau haut</t>
  </si>
  <si>
    <t>engorgement T14b/T15</t>
  </si>
  <si>
    <t>Engorgement T13/T14B</t>
  </si>
  <si>
    <t>Déport bonde male position en coeue</t>
  </si>
  <si>
    <t>engorgement T13/T14A</t>
  </si>
  <si>
    <t>démarrage trop lent</t>
  </si>
  <si>
    <t>engorgement suite passage produit au mis a terril T10 AVEC T12 indisponible</t>
  </si>
  <si>
    <t>pour chargement train 7625 Safi</t>
  </si>
  <si>
    <t>déclenchement volet T13</t>
  </si>
  <si>
    <t>arrêt de circuit chargement (direct train) de 15:57 a 16:01 causer le remplissage du trémie</t>
  </si>
  <si>
    <t>coincement tambour de contrainte CVT14B</t>
  </si>
  <si>
    <t>attente réarmement CVT13</t>
  </si>
  <si>
    <t>C6 très très humide</t>
  </si>
  <si>
    <t>decoulmatage godet RPL KRUP suite couche C6 est très colmatant</t>
  </si>
  <si>
    <t xml:space="preserve">suite à l'humidité de la couche </t>
  </si>
  <si>
    <t>pour stockage + déplacement STK au tas B</t>
  </si>
  <si>
    <t>déconsignation</t>
  </si>
  <si>
    <t>bruit vérin</t>
  </si>
  <si>
    <t>non réel</t>
  </si>
  <si>
    <t>orientation et déplacement STK de HC3/T15 vers HC3/T13</t>
  </si>
  <si>
    <t>decoulmatage godet RPL KRUP suite couche C3 GLB est très colmatant</t>
  </si>
  <si>
    <t xml:space="preserve">enlèvement une pierre </t>
  </si>
  <si>
    <t>couche humide +Engorgement T13/T14B</t>
  </si>
  <si>
    <t>Transbordement STK</t>
  </si>
  <si>
    <t>Non réel</t>
  </si>
  <si>
    <t>Temps refroidissement moteur</t>
  </si>
  <si>
    <t>engorgement cuillère CV13/CVT14B</t>
  </si>
  <si>
    <t>déport bande flèche rpl</t>
  </si>
  <si>
    <t>déplacement de la RPL et manque conducteur</t>
  </si>
  <si>
    <t>produit très humide</t>
  </si>
  <si>
    <t>arrêt T1 niveau haut 2 foi  même que les thermie est vide</t>
  </si>
  <si>
    <t>suite a défaut réseau</t>
  </si>
  <si>
    <t>marche a vide  T1</t>
  </si>
  <si>
    <t>travaux mécanique sur volet</t>
  </si>
  <si>
    <t>JOKAR</t>
  </si>
  <si>
    <t>MESSLOUH</t>
  </si>
  <si>
    <t>NOUAIL</t>
  </si>
  <si>
    <t>BOUAIJAJI</t>
  </si>
  <si>
    <t>Ait Taleb</t>
  </si>
  <si>
    <t>BIYA</t>
  </si>
  <si>
    <t>sagum</t>
  </si>
  <si>
    <t>B1/819</t>
  </si>
  <si>
    <t>cvT13/T14B</t>
  </si>
  <si>
    <t>bouchage goulotte crible C</t>
  </si>
  <si>
    <t>erreur</t>
  </si>
  <si>
    <t>darbali/fatouh</t>
  </si>
  <si>
    <t>vidange trémie 250 pour décolmatage extracteur C + marche à vide T13</t>
  </si>
  <si>
    <t>B2/476</t>
  </si>
  <si>
    <t>Montage Station CV B7</t>
  </si>
  <si>
    <t>IDRISSI</t>
  </si>
  <si>
    <t>transbordement rouepelle</t>
  </si>
  <si>
    <t>AARAFA</t>
  </si>
  <si>
    <t>DAMOUNE</t>
  </si>
  <si>
    <t>A2/824</t>
  </si>
  <si>
    <t>SAGUM</t>
  </si>
  <si>
    <t>Engorgement CV T13/14B</t>
  </si>
  <si>
    <t>A2/822</t>
  </si>
  <si>
    <t>psafi</t>
  </si>
  <si>
    <t xml:space="preserve">niveau Haut </t>
  </si>
  <si>
    <t>BAKRAOUI</t>
  </si>
  <si>
    <t xml:space="preserve">BT (Faible SiO2) </t>
  </si>
  <si>
    <t>AIT BRAHIM + BOURROUS</t>
  </si>
  <si>
    <t>A1/823</t>
  </si>
  <si>
    <t>bouzidi</t>
  </si>
  <si>
    <t>naji</t>
  </si>
  <si>
    <t>goumiri</t>
  </si>
  <si>
    <t>leghachwa</t>
  </si>
  <si>
    <t>derbali</t>
  </si>
  <si>
    <t>ARRET 6 FOIS</t>
  </si>
  <si>
    <t>A2/828</t>
  </si>
  <si>
    <t>Patinage STK suite la flèche EST EN MAXIMUM</t>
  </si>
  <si>
    <t>elimination bord T1</t>
  </si>
  <si>
    <t>bekraoui</t>
  </si>
  <si>
    <t>jokar</t>
  </si>
  <si>
    <t>melouk</t>
  </si>
  <si>
    <t>meslouh</t>
  </si>
  <si>
    <t xml:space="preserve">defaut enrouleur STK </t>
  </si>
  <si>
    <t>B2/826</t>
  </si>
  <si>
    <t>Melange</t>
  </si>
  <si>
    <t>B2/815</t>
  </si>
  <si>
    <t>defaut reseaux</t>
  </si>
  <si>
    <t>ENNIRRI + ZRAIDI</t>
  </si>
  <si>
    <t>CV T12 indisponible défaut tambour de jeté mécanique</t>
  </si>
  <si>
    <t>NB: Travaut d'avancement MàT 1 disponible à 12h00</t>
  </si>
  <si>
    <t xml:space="preserve">chantier la C2 non conforme </t>
  </si>
  <si>
    <t>mesloh</t>
  </si>
  <si>
    <t>boradir</t>
  </si>
  <si>
    <t>SX</t>
  </si>
  <si>
    <t>decoulmatage Trémie 1 epirrage</t>
  </si>
  <si>
    <t>chantier/reprise</t>
  </si>
  <si>
    <t>bakraoui</t>
  </si>
  <si>
    <t>A1/830</t>
  </si>
  <si>
    <t>TALEB/ZRAIDI</t>
  </si>
  <si>
    <t>P SAFI</t>
  </si>
  <si>
    <t>B2/831</t>
  </si>
  <si>
    <t>A2/829</t>
  </si>
  <si>
    <t>ENNAJI</t>
  </si>
  <si>
    <t>Mélange</t>
  </si>
  <si>
    <t>manque qualite chantier</t>
  </si>
  <si>
    <t>travaux sur B7</t>
  </si>
  <si>
    <t>attente chargement Train 7617 safi de HC3</t>
  </si>
  <si>
    <t>Mise aterril B9</t>
  </si>
  <si>
    <t>début parc hc3/a 40 mille</t>
  </si>
  <si>
    <t>3gb</t>
  </si>
  <si>
    <t xml:space="preserve">orientation volet t13 </t>
  </si>
  <si>
    <t>defaut déport bande b9 éppierage (direct chantier)</t>
  </si>
  <si>
    <t>réparation bande b1 krup  (direct chantier)</t>
  </si>
  <si>
    <t>cisaillement cable de CV B9</t>
  </si>
  <si>
    <t>C4Rep</t>
  </si>
  <si>
    <t>changement RLX du CV B1</t>
  </si>
  <si>
    <t>C2/TC15</t>
  </si>
  <si>
    <t>chantier (traveaux sur concasseur)</t>
  </si>
  <si>
    <t>ELHOUMRITI/CHEIKH</t>
  </si>
  <si>
    <t>BOURCHID/CHAMBARI</t>
  </si>
  <si>
    <t>C3 REPRISE</t>
  </si>
  <si>
    <t>travx inspection du STK société MS</t>
  </si>
  <si>
    <t>réglage suspension Extracteur</t>
  </si>
  <si>
    <t>Nettoyage B9</t>
  </si>
  <si>
    <t>manque eclairage tremie krupp</t>
  </si>
  <si>
    <t>délestage (consommation d'énergie)</t>
  </si>
  <si>
    <t>attente deconsignation B7</t>
  </si>
  <si>
    <t>PSAFI</t>
  </si>
  <si>
    <t>Manque eclairage tremie krupp</t>
  </si>
  <si>
    <t>Défaut électrique Goulotte orientable</t>
  </si>
  <si>
    <t>Attente produit</t>
  </si>
  <si>
    <t>Marche à vide T1</t>
  </si>
  <si>
    <t>BOUSSAGUIA</t>
  </si>
  <si>
    <t>Défaillance fin de cours</t>
  </si>
  <si>
    <t>Fin cours n'a pas répondue</t>
  </si>
  <si>
    <t>smoni</t>
  </si>
  <si>
    <t>maslouh</t>
  </si>
  <si>
    <t>MELOK</t>
  </si>
  <si>
    <t>arret sans signailisation</t>
  </si>
  <si>
    <t>arret chantier</t>
  </si>
  <si>
    <t>BOURADIR</t>
  </si>
  <si>
    <t>Attente camion</t>
  </si>
  <si>
    <t>jookare</t>
  </si>
  <si>
    <t>Manque démarrage goulotte orientable</t>
  </si>
  <si>
    <t>Manque éclairage trémie krupp</t>
  </si>
  <si>
    <t>BOUAJAJI</t>
  </si>
  <si>
    <t>BAKRAOUI/ELHOMRITI</t>
  </si>
  <si>
    <t>nb:1,08 marche à vide T1</t>
  </si>
  <si>
    <t>Desserrage boulon goulotte B10 défaut mécanique</t>
  </si>
  <si>
    <t>ELKASSIDI</t>
  </si>
  <si>
    <t>Attente Camion</t>
  </si>
  <si>
    <t>Déformation tôle goulotte trémie Krupp fuite produit camion</t>
  </si>
  <si>
    <t>trav mecanique sur crible 1 krupp</t>
  </si>
  <si>
    <t>arret urgence a tirette gauche queue T1</t>
  </si>
  <si>
    <t>BENADRI</t>
  </si>
  <si>
    <t>briquet pour conducteur camion</t>
  </si>
  <si>
    <t>arret d urgence queue T1</t>
  </si>
  <si>
    <t>coupure courant salle contrôle épierrage</t>
  </si>
  <si>
    <t>KASSIDI</t>
  </si>
  <si>
    <t xml:space="preserve">C3 </t>
  </si>
  <si>
    <t>manque consigne clair pour démarrage</t>
  </si>
  <si>
    <t>Nb:2292 valeure indiquer par bascule T17 et 3250 valeur estimer par chef d'equipe</t>
  </si>
  <si>
    <t>laamri</t>
  </si>
  <si>
    <t>chtouki</t>
  </si>
  <si>
    <t>Stacker/RPL</t>
  </si>
  <si>
    <t xml:space="preserve">stock plein et transbordement </t>
  </si>
  <si>
    <t>attente temporisation de refroidisement de la roue</t>
  </si>
  <si>
    <t>B2/827</t>
  </si>
  <si>
    <t>manque levage fleche</t>
  </si>
  <si>
    <t>debit tres faible suite couche humide</t>
  </si>
  <si>
    <t>BOUGHADIR</t>
  </si>
  <si>
    <t>BENNADRI</t>
  </si>
  <si>
    <t>Manque conducteur Roue pelle</t>
  </si>
  <si>
    <t>Psafi /reprise</t>
  </si>
  <si>
    <t>bousagya</t>
  </si>
  <si>
    <t>EL FARH/AIT BRAHIM</t>
  </si>
  <si>
    <t>FATOUH</t>
  </si>
  <si>
    <t>A2/832</t>
  </si>
  <si>
    <t>C2+C3</t>
  </si>
  <si>
    <t>berdodi</t>
  </si>
  <si>
    <t>AARAFAT</t>
  </si>
  <si>
    <t>SAGEUM</t>
  </si>
  <si>
    <t>melange</t>
  </si>
  <si>
    <t>ADRAUI</t>
  </si>
  <si>
    <t>B2/816</t>
  </si>
  <si>
    <t>Arret urgence actinne au queue T1</t>
  </si>
  <si>
    <t>Défaut communication</t>
  </si>
  <si>
    <t>B2/817</t>
  </si>
  <si>
    <t>changement courroies épierrage</t>
  </si>
  <si>
    <t>positionnement aiment stacker</t>
  </si>
  <si>
    <t>C5 REPRISE</t>
  </si>
  <si>
    <t xml:space="preserve">                </t>
  </si>
  <si>
    <t>aittaleb</t>
  </si>
  <si>
    <t>Travaux chaudronnerie sur goulotte pantalon CR7/T9</t>
  </si>
  <si>
    <t>Travaux chaudronnerie sur goulotte pantalon CR7/T10</t>
  </si>
  <si>
    <t>decoulmatage goulotte oriontable</t>
  </si>
  <si>
    <t>ait taleb</t>
  </si>
  <si>
    <t>rhachoua</t>
  </si>
  <si>
    <t>attente camion (manque l'arroseur)</t>
  </si>
  <si>
    <t>Chantier</t>
  </si>
  <si>
    <t xml:space="preserve">attente camion </t>
  </si>
  <si>
    <t>bourhadir</t>
  </si>
  <si>
    <t>BRIQUET</t>
  </si>
  <si>
    <t>blout</t>
  </si>
  <si>
    <t>vidange de l'installations criblage</t>
  </si>
  <si>
    <t>fATOUH</t>
  </si>
  <si>
    <t>B2/837</t>
  </si>
  <si>
    <t>changement couche</t>
  </si>
  <si>
    <t>PLUS decolmatage chariot T13</t>
  </si>
  <si>
    <t>engourgement T13/T14B</t>
  </si>
  <si>
    <t>arret bonde FLECHE RPL</t>
  </si>
  <si>
    <t>échauffement palier</t>
  </si>
  <si>
    <t>a raser</t>
  </si>
  <si>
    <t>CVT13</t>
  </si>
  <si>
    <t>manque 2eme conducteur</t>
  </si>
  <si>
    <t>declenchement gouloute ouriontable</t>
  </si>
  <si>
    <t>B2/832</t>
  </si>
  <si>
    <t>A2/839</t>
  </si>
  <si>
    <t>passage produit mis a terril suit arret CR7</t>
  </si>
  <si>
    <t>suite defaillace du CR7 et CR C</t>
  </si>
  <si>
    <t>changement de grille du crible c</t>
  </si>
  <si>
    <t>B2/841</t>
  </si>
  <si>
    <t>B2/825</t>
  </si>
  <si>
    <t>Arret urgence a tirette gauche queue T1</t>
  </si>
  <si>
    <t>B2/842</t>
  </si>
  <si>
    <t>A2/836</t>
  </si>
  <si>
    <t>Réunion collaborateur eppirage</t>
  </si>
  <si>
    <t>A2/843</t>
  </si>
  <si>
    <t>désacouplement table rpl</t>
  </si>
  <si>
    <t>surcourse</t>
  </si>
  <si>
    <t>C3+PSAFI</t>
  </si>
  <si>
    <t xml:space="preserve">MAT secondaire T12 indisponiple        </t>
  </si>
  <si>
    <t>MAT secondaire T12 indisponiple (manque tambour jeté)</t>
  </si>
  <si>
    <t>descente by pass du RPL</t>
  </si>
  <si>
    <t>LABZAR</t>
  </si>
  <si>
    <t>B2/847</t>
  </si>
  <si>
    <t>decolmatage tremie 250m3 , contrôle grilles cribles A,B,C,D,E</t>
  </si>
  <si>
    <t>B2/844</t>
  </si>
  <si>
    <t>atifi</t>
  </si>
  <si>
    <t>IDRISSI/BENAIS</t>
  </si>
  <si>
    <t>Engourgement T13/T14B</t>
  </si>
  <si>
    <t>boudra</t>
  </si>
  <si>
    <t>ait talbe</t>
  </si>
  <si>
    <t>B2/845</t>
  </si>
  <si>
    <t>Boughadir</t>
  </si>
  <si>
    <t>A2/848</t>
  </si>
  <si>
    <t>C3 GLB tres colmate</t>
  </si>
  <si>
    <t>aitaleb</t>
  </si>
  <si>
    <t>A2/846</t>
  </si>
  <si>
    <t>briquet</t>
  </si>
  <si>
    <t>SA2+C4</t>
  </si>
  <si>
    <t>defaut translation</t>
  </si>
  <si>
    <t>SA2+C5</t>
  </si>
  <si>
    <t>ait omar</t>
  </si>
  <si>
    <t xml:space="preserve">Benais </t>
  </si>
  <si>
    <t>attent camion</t>
  </si>
  <si>
    <t>p safi reprise</t>
  </si>
  <si>
    <t>chute la fleche RPL</t>
  </si>
  <si>
    <t>ARRET DECIDE suite travaux societe sur NOUVEL  goulote pontalon t13</t>
  </si>
  <si>
    <t>roue pelle</t>
  </si>
  <si>
    <t xml:space="preserve">attente temporisation de refroidisement </t>
  </si>
  <si>
    <t>CR7</t>
  </si>
  <si>
    <t>bouross/talb</t>
  </si>
  <si>
    <t>A2/850</t>
  </si>
  <si>
    <t>benais/idrissi</t>
  </si>
  <si>
    <t>B1/852</t>
  </si>
  <si>
    <t>C5+C3</t>
  </si>
  <si>
    <t>CVT3A</t>
  </si>
  <si>
    <t>tambour de queue endommagé</t>
  </si>
  <si>
    <t>tambour de queue  endommagé</t>
  </si>
  <si>
    <t>ALFARH</t>
  </si>
  <si>
    <t>engourgement T13/T14A</t>
  </si>
  <si>
    <t>ARRET PLANIFIEE</t>
  </si>
  <si>
    <t>A2/853</t>
  </si>
  <si>
    <t>engourgement suite nouvel goulotte pontalon</t>
  </si>
  <si>
    <t>A2/851</t>
  </si>
  <si>
    <t>P safi</t>
  </si>
  <si>
    <t>démontage nouvelle rive( RL6/T13)</t>
  </si>
  <si>
    <t>B1/855</t>
  </si>
  <si>
    <t>jockar</t>
  </si>
  <si>
    <t>B2/856</t>
  </si>
  <si>
    <t>TALEB /charkaoui</t>
  </si>
  <si>
    <t>noail</t>
  </si>
  <si>
    <t>labzar</t>
  </si>
  <si>
    <t>smouni</t>
  </si>
  <si>
    <t>azmane</t>
  </si>
  <si>
    <t>jour ferie</t>
  </si>
  <si>
    <t>arret decide</t>
  </si>
  <si>
    <t>ereur</t>
  </si>
  <si>
    <t>C3+c5</t>
  </si>
  <si>
    <t>AYT TALEB</t>
  </si>
  <si>
    <t>MESLOUH</t>
  </si>
  <si>
    <t>LAAMRI</t>
  </si>
  <si>
    <t>B2/849</t>
  </si>
  <si>
    <t>defaut electrique T14A</t>
  </si>
  <si>
    <t>A2/859</t>
  </si>
  <si>
    <t>contrôle de l'automate par sce electrique</t>
  </si>
  <si>
    <t>attente temporisation de refroidisement du moteur cv T1</t>
  </si>
  <si>
    <t xml:space="preserve">frein non lever </t>
  </si>
  <si>
    <t xml:space="preserve">début de vidange de l'installation criblage </t>
  </si>
  <si>
    <t>ayttaleb</t>
  </si>
  <si>
    <t>nouil</t>
  </si>
  <si>
    <t>HC1/t15</t>
  </si>
  <si>
    <t>BEKRAOUI</t>
  </si>
  <si>
    <t>AMRI</t>
  </si>
  <si>
    <t>A2/857</t>
  </si>
  <si>
    <t>B2/860</t>
  </si>
  <si>
    <t>transbordement de la rpl vers HC1 (rpl et stk en meme axe)</t>
  </si>
  <si>
    <t>directe</t>
  </si>
  <si>
    <t>chargement train (rpl et stk en meme axe)</t>
  </si>
  <si>
    <t>BOUDRAA</t>
  </si>
  <si>
    <t>B1/858</t>
  </si>
  <si>
    <t>laabdi</t>
  </si>
  <si>
    <t>attente temporisation de refroidisement de la roue 15 min</t>
  </si>
  <si>
    <t>safi</t>
  </si>
  <si>
    <t>al abdi</t>
  </si>
  <si>
    <t>MAT  saturée</t>
  </si>
  <si>
    <t>AL AMRI</t>
  </si>
  <si>
    <t>B2/863</t>
  </si>
  <si>
    <t>ER</t>
  </si>
  <si>
    <t>BELLOUT</t>
  </si>
  <si>
    <t>DERBALI/AIT BRAHIM</t>
  </si>
  <si>
    <t>B2/861</t>
  </si>
  <si>
    <t>C3+C5</t>
  </si>
  <si>
    <t>al amri</t>
  </si>
  <si>
    <t>bouross</t>
  </si>
  <si>
    <t>transbordement STK vers le parc HC3 (attente chargemet du train 7605)</t>
  </si>
  <si>
    <t>attente temporisation de refroidisement du moteur cv T13</t>
  </si>
  <si>
    <t>A2/862</t>
  </si>
  <si>
    <t>attente temporisation de refroidissement  15 min</t>
  </si>
  <si>
    <t>fuite d'huile</t>
  </si>
  <si>
    <t>défaut frein non levé</t>
  </si>
  <si>
    <t>AITTALEB</t>
  </si>
  <si>
    <t>bouajjaji</t>
  </si>
  <si>
    <t xml:space="preserve">ERR </t>
  </si>
  <si>
    <t>ABORIAL</t>
  </si>
  <si>
    <t xml:space="preserve"> roue-pelle et stacker meme axe</t>
  </si>
  <si>
    <t>B1/864</t>
  </si>
  <si>
    <t>à raser</t>
  </si>
  <si>
    <t>B2/868</t>
  </si>
  <si>
    <t xml:space="preserve">declenchement </t>
  </si>
  <si>
    <t xml:space="preserve"> </t>
  </si>
  <si>
    <t>BYA</t>
  </si>
  <si>
    <t>orientation du CV T10 (engorgement)</t>
  </si>
  <si>
    <t>boudraa</t>
  </si>
  <si>
    <t>arret décidé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</si>
  <si>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</si>
  <si>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damoun</t>
  </si>
  <si>
    <t>joukar</t>
  </si>
  <si>
    <t>B1/869</t>
  </si>
  <si>
    <t>engorgement goulotte T6/CR7 avec passage gros pierre</t>
  </si>
  <si>
    <t>TALEB</t>
  </si>
  <si>
    <t>SBAI</t>
  </si>
  <si>
    <t>P CRIBLE</t>
  </si>
  <si>
    <t>A2/870</t>
  </si>
  <si>
    <t>balout</t>
  </si>
  <si>
    <t>BOUROUSS</t>
  </si>
  <si>
    <t>B1/871</t>
  </si>
  <si>
    <t>Niveau haut CV T1(attente réarmement crible C)</t>
  </si>
  <si>
    <t>B2/872</t>
  </si>
  <si>
    <t>B2/873</t>
  </si>
  <si>
    <t>A2/874</t>
  </si>
  <si>
    <t>stock mort</t>
  </si>
  <si>
    <t>A2/875</t>
  </si>
  <si>
    <t>stok mort</t>
  </si>
  <si>
    <t>B2/876</t>
  </si>
  <si>
    <t>nettoyage goulotte</t>
  </si>
  <si>
    <t>B2/823</t>
  </si>
  <si>
    <t>mélange</t>
  </si>
  <si>
    <t>manque de rechange coter sce mécanique (niveau haut)</t>
  </si>
  <si>
    <t>attente temporisation de refroidissement du moteur cv T1</t>
  </si>
  <si>
    <t>manque de rechange coter sce mécanique (nivaux haut)</t>
  </si>
  <si>
    <t>B1/877</t>
  </si>
  <si>
    <t>manque de qualite</t>
  </si>
  <si>
    <t>B1/878</t>
  </si>
  <si>
    <t>C2+C5</t>
  </si>
  <si>
    <t>vidande du circuit</t>
  </si>
  <si>
    <t>Defaut communication</t>
  </si>
  <si>
    <t>ftouh</t>
  </si>
  <si>
    <t>B1/880</t>
  </si>
  <si>
    <t>B1/881</t>
  </si>
  <si>
    <t>B1/882</t>
  </si>
  <si>
    <t>B1/883</t>
  </si>
  <si>
    <t>flèche STK est au maximum</t>
  </si>
  <si>
    <t>B1/884</t>
  </si>
  <si>
    <t>attente analyse qualite</t>
  </si>
  <si>
    <t>B1/885</t>
  </si>
  <si>
    <t>ait talb</t>
  </si>
  <si>
    <t>B1/889</t>
  </si>
  <si>
    <t>B1/890</t>
  </si>
  <si>
    <t>B1/886</t>
  </si>
  <si>
    <t>B1/887</t>
  </si>
  <si>
    <t>C5+C4</t>
  </si>
  <si>
    <t>melok</t>
  </si>
  <si>
    <t>naoum</t>
  </si>
  <si>
    <t>soudage du carter(système de transmission par courroie)</t>
  </si>
  <si>
    <t>orientation vers HC2</t>
  </si>
  <si>
    <t>C5+C5</t>
  </si>
  <si>
    <t>B1/888</t>
  </si>
  <si>
    <t>derict</t>
  </si>
  <si>
    <t xml:space="preserve">vidange bande stacker  </t>
  </si>
  <si>
    <t>orientation volet preparation pour demmarage</t>
  </si>
  <si>
    <t>ftouh+derbali</t>
  </si>
  <si>
    <t>chambari</t>
  </si>
  <si>
    <t>chtokie</t>
  </si>
  <si>
    <t xml:space="preserve"> 17:15</t>
  </si>
  <si>
    <t>B2/891</t>
  </si>
  <si>
    <t>benadri</t>
  </si>
  <si>
    <t>B2/892</t>
  </si>
  <si>
    <t xml:space="preserve">transbordement STK vers le parc HC3 </t>
  </si>
  <si>
    <t>travaux sur les surcourse du STK</t>
  </si>
  <si>
    <t>B1/893</t>
  </si>
  <si>
    <t>engorgement  sur  goulotte T13/T14B (+attente temporisation CV T13)</t>
  </si>
  <si>
    <t>AIT BRAHIM/CHARKAOUI</t>
  </si>
  <si>
    <t>B2/894</t>
  </si>
  <si>
    <t>B1/895</t>
  </si>
  <si>
    <t>BELOUT</t>
  </si>
  <si>
    <t>=</t>
  </si>
  <si>
    <t>B1/896</t>
  </si>
  <si>
    <t>B1/898</t>
  </si>
  <si>
    <t>B1/897</t>
  </si>
  <si>
    <t xml:space="preserve"> CV T13</t>
  </si>
  <si>
    <t>manque voiture de service(epierrage)</t>
  </si>
  <si>
    <t>bouajaji</t>
  </si>
  <si>
    <t>manque courroies des deux crible A et B</t>
  </si>
  <si>
    <t>!!!!!</t>
  </si>
  <si>
    <t>!!!!!!!!!!</t>
  </si>
  <si>
    <t>!!!!!!!!!!!!!!</t>
  </si>
  <si>
    <t>jookar</t>
  </si>
  <si>
    <t>stacker/T14B</t>
  </si>
  <si>
    <t>Nettoyag plate forme stacker et la queue T14B</t>
  </si>
  <si>
    <t>bardoudi/ait brahim</t>
  </si>
  <si>
    <t>B1/900</t>
  </si>
  <si>
    <t>manque conducteur suite reunion</t>
  </si>
  <si>
    <t>deconsignation</t>
  </si>
  <si>
    <t>A2/899</t>
  </si>
  <si>
    <t>Deplacement STK de HC3/A vers HC3/B</t>
  </si>
  <si>
    <t>service bureau méthode</t>
  </si>
  <si>
    <t>BORCHID</t>
  </si>
  <si>
    <t>niveau haut</t>
  </si>
  <si>
    <t>A1/902</t>
  </si>
  <si>
    <t>B1/901</t>
  </si>
  <si>
    <t>bardoudi/BOUROUSS</t>
  </si>
  <si>
    <t>16/06/20232</t>
  </si>
  <si>
    <t>bourouss</t>
  </si>
  <si>
    <t>B1/904</t>
  </si>
  <si>
    <t>C0+C2</t>
  </si>
  <si>
    <t>Arrêt  décidé</t>
  </si>
  <si>
    <t>A2/903</t>
  </si>
  <si>
    <t>DAMON</t>
  </si>
  <si>
    <t>IDRAISSI/ZRAIDI</t>
  </si>
  <si>
    <t>B1/905</t>
  </si>
  <si>
    <t>bloot</t>
  </si>
  <si>
    <t>TE7</t>
  </si>
  <si>
    <t>Coincement by pass</t>
  </si>
  <si>
    <t>B1/906</t>
  </si>
  <si>
    <t>Changement  couche</t>
  </si>
  <si>
    <t>Attente camion plus  manque qualite RPL KRUP</t>
  </si>
  <si>
    <t>C4+C0</t>
  </si>
  <si>
    <t>C3 TK24</t>
  </si>
  <si>
    <t xml:space="preserve">Attente l'arrivée des camions (Drect chantier) </t>
  </si>
  <si>
    <t>manque etancheite de la cabine RPL KRUPP</t>
  </si>
  <si>
    <t>MASLOH</t>
  </si>
  <si>
    <t>idrissi</t>
  </si>
  <si>
    <t>zarwal</t>
  </si>
  <si>
    <t>marjani</t>
  </si>
  <si>
    <t>AITOMAR</t>
  </si>
  <si>
    <t>TG4</t>
  </si>
  <si>
    <t>A2/907</t>
  </si>
  <si>
    <t>Chargeuse en panne</t>
  </si>
  <si>
    <t>travaux mecanique</t>
  </si>
  <si>
    <t>C4+psafi</t>
  </si>
  <si>
    <t>B2/908</t>
  </si>
  <si>
    <t>arrêt de la chargeuse (manque produit)</t>
  </si>
  <si>
    <t>HAMRITI</t>
  </si>
  <si>
    <t>B1/910</t>
  </si>
  <si>
    <t>c4</t>
  </si>
  <si>
    <t>graissage des cribles</t>
  </si>
  <si>
    <t>cr7</t>
  </si>
  <si>
    <t>defaut de translation</t>
  </si>
  <si>
    <t>B1/911</t>
  </si>
  <si>
    <t>B1/909</t>
  </si>
  <si>
    <t>haute température</t>
  </si>
  <si>
    <t>stacker</t>
  </si>
  <si>
    <t>defaut de reseau</t>
  </si>
  <si>
    <t>cvT13</t>
  </si>
  <si>
    <t>B1/912</t>
  </si>
  <si>
    <t>FATOUH/CHARKAOUI</t>
  </si>
  <si>
    <t>MANQUE DE QUALITE</t>
  </si>
  <si>
    <t>B1/913</t>
  </si>
  <si>
    <t>Passage stacker devant Roue pelle de 07:48 a 08:10</t>
  </si>
  <si>
    <t>B1/914</t>
  </si>
  <si>
    <t>B1/915</t>
  </si>
  <si>
    <t>BELLOT</t>
  </si>
  <si>
    <t>B1/916</t>
  </si>
  <si>
    <t>ait brahim</t>
  </si>
  <si>
    <t>CHTOKI</t>
  </si>
  <si>
    <t>BOUHJAJI</t>
  </si>
  <si>
    <t>nettoyage</t>
  </si>
  <si>
    <t>FAIT</t>
  </si>
  <si>
    <t>vers HC2/A POUR STOKAGE + deplacement STK DE hc2/b vers HC2/A apres chajm 7605</t>
  </si>
  <si>
    <t>B1/917</t>
  </si>
  <si>
    <t>contrôle de system hydraulique de la flèche</t>
  </si>
  <si>
    <t>B1/918</t>
  </si>
  <si>
    <t>BARDOUDI</t>
  </si>
  <si>
    <t>Reglage deport</t>
  </si>
  <si>
    <t>march a vide CV T1</t>
  </si>
  <si>
    <t>B1/919</t>
  </si>
  <si>
    <t>B1/920</t>
  </si>
  <si>
    <t>déclenchement roue suite décante flèche RPL</t>
  </si>
  <si>
    <t>B1/921</t>
  </si>
  <si>
    <t>B1/922</t>
  </si>
  <si>
    <t>BG STANDART</t>
  </si>
  <si>
    <t>B1/923</t>
  </si>
  <si>
    <t>B1/924</t>
  </si>
  <si>
    <t>B1/925</t>
  </si>
  <si>
    <t>lamzabi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</si>
</sst>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_-;\-* #,##0.00_-;_-* &quot;-&quot;??_-;_-@_-"/>
    <numFmt numFmtId="165" formatCode="_-* #,##0.00\ _€_-;\-* #,##0.00\ _€_-;_-* &quot;-&quot;??\ _€_-;_-@_-"/>
    <numFmt numFmtId="166" formatCode="General_)"/>
    <numFmt numFmtId="167" formatCode="_-* #,##0.0\ _€_-;\-* #,##0.0\ _€_-;_-* &quot;-&quot;??\ _€_-;_-@_-"/>
    <numFmt numFmtId="168" formatCode="d/m;@"/>
    <numFmt numFmtId="169" formatCode="d/m/yy;@"/>
    <numFmt numFmtId="170" formatCode="h:mm;@"/>
    <numFmt numFmtId="171" formatCode="0.0"/>
    <numFmt numFmtId="172" formatCode="#,##0_ ;\-#,##0\ 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name val="Courier"/>
      <family val="3"/>
    </font>
    <font>
      <sz val="10"/>
      <name val="Arial"/>
      <family val="2"/>
    </font>
    <font>
      <sz val="12"/>
      <color theme="1"/>
      <name val="Times New Roman"/>
      <family val="1"/>
    </font>
    <font>
      <b/>
      <sz val="72"/>
      <color theme="1"/>
      <name val="Times New Roman"/>
      <family val="1"/>
    </font>
    <font>
      <b/>
      <sz val="16"/>
      <color theme="1"/>
      <name val="Times New Roman"/>
      <family val="1"/>
    </font>
    <font>
      <b/>
      <sz val="48"/>
      <color theme="1"/>
      <name val="Times New Roman"/>
      <family val="1"/>
    </font>
    <font>
      <b/>
      <sz val="26"/>
      <color theme="1"/>
      <name val="Times New Roman"/>
      <family val="1"/>
    </font>
    <font>
      <b/>
      <sz val="28"/>
      <color theme="1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  <font>
      <b/>
      <sz val="20"/>
      <color rgb="FF000000"/>
      <name val="Times New Roman"/>
      <family val="1"/>
    </font>
    <font>
      <b/>
      <sz val="20"/>
      <name val="Times New Roman"/>
      <family val="1"/>
    </font>
    <font>
      <b/>
      <sz val="20"/>
      <color rgb="FFFF0000"/>
      <name val="Times New Roman"/>
      <family val="1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36"/>
      <color theme="1"/>
      <name val="Times New Roman"/>
      <family val="1"/>
    </font>
    <font>
      <b/>
      <sz val="18"/>
      <color theme="1"/>
      <name val="Times New Roman"/>
      <family val="1"/>
    </font>
    <font>
      <sz val="18"/>
      <color theme="1"/>
      <name val="Times New Roman"/>
      <family val="1"/>
    </font>
    <font>
      <b/>
      <sz val="18"/>
      <color rgb="FF000000"/>
      <name val="Times New Roman"/>
      <family val="1"/>
    </font>
    <font>
      <b/>
      <vertAlign val="superscript"/>
      <sz val="20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0"/>
      <name val="Times New Roman"/>
      <family val="1"/>
    </font>
    <font>
      <b/>
      <sz val="14"/>
      <color theme="1"/>
      <name val="Calibri"/>
      <family val="2"/>
      <scheme val="minor"/>
    </font>
    <font>
      <sz val="12"/>
      <name val="Times New Roman"/>
      <family val="1"/>
    </font>
    <font>
      <sz val="20"/>
      <color theme="0"/>
      <name val="Times New Roman"/>
      <family val="1"/>
    </font>
    <font>
      <b/>
      <sz val="30"/>
      <name val="Times New Roman"/>
      <family val="1"/>
    </font>
    <font>
      <b/>
      <sz val="60"/>
      <color theme="1"/>
      <name val="Times New Roman"/>
      <family val="1"/>
    </font>
    <font>
      <b/>
      <sz val="36"/>
      <color theme="1"/>
      <name val="Times New Roman"/>
      <family val="1"/>
    </font>
    <font>
      <b/>
      <sz val="36"/>
      <name val="Times New Roman"/>
      <family val="1"/>
    </font>
    <font>
      <b/>
      <sz val="12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28"/>
      <color theme="1"/>
      <name val="Times New Roman"/>
      <family val="1"/>
    </font>
    <font>
      <sz val="12"/>
      <color rgb="FFFF0000"/>
      <name val="Times New Roman"/>
      <family val="1"/>
    </font>
    <font>
      <sz val="20"/>
      <color rgb="FFFF0000"/>
      <name val="Times New Roman"/>
      <family val="1"/>
    </font>
    <font>
      <b/>
      <sz val="18"/>
      <color rgb="FFFF0000"/>
      <name val="Times New Roman"/>
      <family val="1"/>
    </font>
    <font>
      <sz val="11"/>
      <color rgb="FF000000"/>
      <name val="Calibri"/>
      <family val="2"/>
    </font>
    <font>
      <b/>
      <sz val="8"/>
      <name val="Calibri"/>
      <family val="2"/>
      <scheme val="minor"/>
    </font>
    <font>
      <sz val="26"/>
      <color theme="1"/>
      <name val="Times New Roman"/>
      <family val="1"/>
    </font>
    <font>
      <sz val="22"/>
      <color theme="1"/>
      <name val="Times New Roman"/>
      <family val="1"/>
    </font>
    <font>
      <sz val="9"/>
      <color theme="1"/>
      <name val="Arial"/>
      <family val="2"/>
    </font>
    <font>
      <sz val="11"/>
      <color theme="0"/>
      <name val="Calibri"/>
      <family val="2"/>
      <scheme val="minor"/>
    </font>
    <font>
      <b/>
      <sz val="14"/>
      <color rgb="FFFFFFCC"/>
      <name val="Calibri"/>
      <family val="2"/>
      <scheme val="minor"/>
    </font>
    <font>
      <sz val="11"/>
      <color rgb="FFFFFFCC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rgb="FFFF000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mediumGray">
        <fgColor rgb="FFFFFFFF"/>
        <bgColor rgb="FFFFFFD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5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6" fillId="0" borderId="0"/>
    <xf numFmtId="166" fontId="10" fillId="0" borderId="0"/>
    <xf numFmtId="165" fontId="11" fillId="0" borderId="0" applyFont="0" applyFill="0" applyBorder="0" applyAlignment="0" applyProtection="0"/>
    <xf numFmtId="167" fontId="10" fillId="0" borderId="0"/>
    <xf numFmtId="0" fontId="1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08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/>
    <xf numFmtId="170" fontId="0" fillId="5" borderId="1" xfId="0" applyNumberFormat="1" applyFill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0" fillId="0" borderId="0" xfId="0" applyProtection="1">
      <protection hidden="1"/>
    </xf>
    <xf numFmtId="0" fontId="0" fillId="2" borderId="1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0" borderId="1" xfId="0" applyFont="1" applyBorder="1" applyProtection="1">
      <protection hidden="1"/>
    </xf>
    <xf numFmtId="0" fontId="0" fillId="0" borderId="2" xfId="0" applyBorder="1" applyProtection="1">
      <protection hidden="1"/>
    </xf>
    <xf numFmtId="0" fontId="7" fillId="5" borderId="1" xfId="0" applyFont="1" applyFill="1" applyBorder="1" applyProtection="1">
      <protection hidden="1"/>
    </xf>
    <xf numFmtId="0" fontId="0" fillId="0" borderId="9" xfId="0" applyBorder="1" applyProtection="1">
      <protection hidden="1"/>
    </xf>
    <xf numFmtId="0" fontId="8" fillId="6" borderId="5" xfId="0" applyFont="1" applyFill="1" applyBorder="1" applyAlignment="1" applyProtection="1">
      <alignment vertical="center" wrapText="1"/>
      <protection hidden="1"/>
    </xf>
    <xf numFmtId="0" fontId="0" fillId="0" borderId="10" xfId="0" applyBorder="1" applyProtection="1">
      <protection hidden="1"/>
    </xf>
    <xf numFmtId="0" fontId="8" fillId="6" borderId="1" xfId="0" applyFont="1" applyFill="1" applyBorder="1" applyAlignment="1" applyProtection="1">
      <alignment vertical="center" wrapText="1"/>
      <protection hidden="1"/>
    </xf>
    <xf numFmtId="0" fontId="3" fillId="2" borderId="4" xfId="0" applyFont="1" applyFill="1" applyBorder="1" applyAlignment="1" applyProtection="1">
      <alignment horizontal="left" vertical="center"/>
      <protection hidden="1"/>
    </xf>
    <xf numFmtId="0" fontId="0" fillId="0" borderId="11" xfId="0" applyBorder="1" applyProtection="1">
      <protection hidden="1"/>
    </xf>
    <xf numFmtId="0" fontId="3" fillId="2" borderId="1" xfId="0" applyFont="1" applyFill="1" applyBorder="1" applyAlignment="1" applyProtection="1">
      <alignment horizontal="left" vertical="center"/>
      <protection hidden="1"/>
    </xf>
    <xf numFmtId="0" fontId="8" fillId="6" borderId="8" xfId="0" applyFont="1" applyFill="1" applyBorder="1" applyAlignment="1" applyProtection="1">
      <alignment vertical="center" wrapText="1"/>
      <protection hidden="1"/>
    </xf>
    <xf numFmtId="0" fontId="0" fillId="0" borderId="12" xfId="0" applyBorder="1" applyProtection="1"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8" fillId="6" borderId="7" xfId="0" applyFont="1" applyFill="1" applyBorder="1" applyAlignment="1" applyProtection="1">
      <alignment vertical="center" wrapText="1"/>
      <protection hidden="1"/>
    </xf>
    <xf numFmtId="0" fontId="0" fillId="0" borderId="13" xfId="0" applyFill="1" applyBorder="1" applyProtection="1">
      <protection hidden="1"/>
    </xf>
    <xf numFmtId="0" fontId="9" fillId="0" borderId="0" xfId="0" applyFont="1" applyProtection="1"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5" borderId="1" xfId="0" applyFont="1" applyFill="1" applyBorder="1" applyAlignment="1" applyProtection="1">
      <alignment horizontal="left"/>
      <protection hidden="1"/>
    </xf>
    <xf numFmtId="0" fontId="0" fillId="33" borderId="1" xfId="0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locked="0"/>
    </xf>
    <xf numFmtId="169" fontId="33" fillId="11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68" fontId="24" fillId="33" borderId="1" xfId="0" applyNumberFormat="1" applyFont="1" applyFill="1" applyBorder="1" applyAlignment="1" applyProtection="1">
      <alignment horizontal="center" vertical="center" wrapText="1"/>
      <protection locked="0"/>
    </xf>
    <xf numFmtId="169" fontId="4" fillId="3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33" borderId="1" xfId="0" applyFont="1" applyFill="1" applyBorder="1" applyAlignment="1" applyProtection="1">
      <alignment horizontal="center" vertical="center"/>
      <protection locked="0"/>
    </xf>
    <xf numFmtId="0" fontId="24" fillId="33" borderId="1" xfId="0" applyFont="1" applyFill="1" applyBorder="1" applyAlignment="1" applyProtection="1">
      <alignment horizontal="center" vertical="center" wrapText="1"/>
      <protection locked="0"/>
    </xf>
    <xf numFmtId="0" fontId="24" fillId="3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7" borderId="1" xfId="0" applyFont="1" applyFill="1" applyBorder="1" applyAlignment="1" applyProtection="1">
      <alignment horizontal="center" vertical="center"/>
      <protection locked="0"/>
    </xf>
    <xf numFmtId="0" fontId="26" fillId="33" borderId="1" xfId="0" applyFont="1" applyFill="1" applyBorder="1" applyAlignment="1" applyProtection="1">
      <alignment horizontal="center" vertical="center" wrapText="1"/>
      <protection locked="0"/>
    </xf>
    <xf numFmtId="4" fontId="5" fillId="33" borderId="1" xfId="0" applyNumberFormat="1" applyFont="1" applyFill="1" applyBorder="1" applyAlignment="1" applyProtection="1">
      <alignment horizontal="center" vertical="center" wrapText="1"/>
      <protection locked="0"/>
    </xf>
    <xf numFmtId="2" fontId="24" fillId="33" borderId="1" xfId="0" applyNumberFormat="1" applyFont="1" applyFill="1" applyBorder="1" applyAlignment="1" applyProtection="1">
      <alignment horizontal="center" vertical="center" wrapText="1"/>
      <protection locked="0"/>
    </xf>
    <xf numFmtId="4" fontId="24" fillId="33" borderId="1" xfId="0" applyNumberFormat="1" applyFont="1" applyFill="1" applyBorder="1" applyAlignment="1" applyProtection="1">
      <alignment horizontal="center" vertical="center" wrapText="1"/>
      <protection locked="0"/>
    </xf>
    <xf numFmtId="3" fontId="24" fillId="33" borderId="1" xfId="0" applyNumberFormat="1" applyFont="1" applyFill="1" applyBorder="1" applyAlignment="1" applyProtection="1">
      <alignment horizontal="center" vertical="center" wrapText="1"/>
      <protection locked="0"/>
    </xf>
    <xf numFmtId="1" fontId="24" fillId="3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33" borderId="1" xfId="0" applyFont="1" applyFill="1" applyBorder="1" applyAlignment="1" applyProtection="1">
      <alignment horizontal="center" vertical="center" textRotation="90"/>
      <protection locked="0"/>
    </xf>
    <xf numFmtId="0" fontId="24" fillId="33" borderId="1" xfId="0" applyFont="1" applyFill="1" applyBorder="1" applyAlignment="1" applyProtection="1">
      <alignment horizontal="center" vertical="center" textRotation="90" wrapText="1"/>
      <protection locked="0"/>
    </xf>
    <xf numFmtId="49" fontId="24" fillId="33" borderId="1" xfId="0" applyNumberFormat="1" applyFont="1" applyFill="1" applyBorder="1" applyAlignment="1" applyProtection="1">
      <alignment horizontal="center" vertical="center" wrapText="1"/>
      <protection locked="0"/>
    </xf>
    <xf numFmtId="0" fontId="27" fillId="33" borderId="1" xfId="0" applyFont="1" applyFill="1" applyBorder="1" applyAlignment="1" applyProtection="1">
      <alignment horizontal="center" vertical="center" wrapText="1"/>
      <protection locked="0"/>
    </xf>
    <xf numFmtId="0" fontId="25" fillId="33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3" fillId="11" borderId="1" xfId="0" applyFont="1" applyFill="1" applyBorder="1" applyAlignment="1" applyProtection="1">
      <alignment horizontal="center" vertical="center"/>
      <protection locked="0"/>
    </xf>
    <xf numFmtId="0" fontId="33" fillId="11" borderId="1" xfId="0" applyFont="1" applyFill="1" applyBorder="1" applyAlignment="1" applyProtection="1">
      <alignment horizontal="center" vertical="center" wrapText="1"/>
      <protection locked="0"/>
    </xf>
    <xf numFmtId="20" fontId="33" fillId="11" borderId="1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2" fillId="5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5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9" fillId="0" borderId="22" xfId="2" applyFont="1" applyFill="1" applyBorder="1" applyAlignment="1" applyProtection="1">
      <alignment vertical="center"/>
      <protection hidden="1"/>
    </xf>
    <xf numFmtId="0" fontId="29" fillId="0" borderId="0" xfId="2" applyFont="1" applyFill="1" applyBorder="1" applyAlignment="1" applyProtection="1">
      <alignment vertical="center"/>
      <protection hidden="1"/>
    </xf>
    <xf numFmtId="0" fontId="29" fillId="0" borderId="23" xfId="2" applyFont="1" applyFill="1" applyBorder="1" applyAlignment="1" applyProtection="1">
      <alignment vertical="center"/>
      <protection hidden="1"/>
    </xf>
    <xf numFmtId="0" fontId="29" fillId="0" borderId="22" xfId="2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6" fillId="0" borderId="0" xfId="0" applyFont="1" applyProtection="1">
      <protection hidden="1"/>
    </xf>
    <xf numFmtId="0" fontId="34" fillId="10" borderId="5" xfId="0" applyFont="1" applyFill="1" applyBorder="1" applyProtection="1">
      <protection hidden="1"/>
    </xf>
    <xf numFmtId="0" fontId="34" fillId="10" borderId="15" xfId="0" applyFont="1" applyFill="1" applyBorder="1" applyAlignment="1" applyProtection="1">
      <alignment horizontal="center"/>
      <protection hidden="1"/>
    </xf>
    <xf numFmtId="0" fontId="34" fillId="10" borderId="27" xfId="0" applyFont="1" applyFill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4" fontId="34" fillId="3" borderId="5" xfId="0" applyNumberFormat="1" applyFont="1" applyFill="1" applyBorder="1" applyAlignment="1" applyProtection="1">
      <alignment horizontal="center"/>
      <protection hidden="1"/>
    </xf>
    <xf numFmtId="14" fontId="34" fillId="3" borderId="36" xfId="0" applyNumberFormat="1" applyFont="1" applyFill="1" applyBorder="1" applyAlignment="1" applyProtection="1">
      <alignment horizontal="center"/>
      <protection hidden="1"/>
    </xf>
    <xf numFmtId="168" fontId="2" fillId="3" borderId="40" xfId="0" applyNumberFormat="1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34" fillId="0" borderId="7" xfId="0" applyFont="1" applyBorder="1" applyAlignment="1" applyProtection="1">
      <alignment horizontal="center" vertical="center"/>
      <protection hidden="1"/>
    </xf>
    <xf numFmtId="0" fontId="34" fillId="8" borderId="37" xfId="0" applyFont="1" applyFill="1" applyBorder="1" applyProtection="1">
      <protection hidden="1"/>
    </xf>
    <xf numFmtId="0" fontId="34" fillId="8" borderId="38" xfId="0" applyFont="1" applyFill="1" applyBorder="1" applyAlignment="1" applyProtection="1">
      <alignment horizontal="left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1" fontId="34" fillId="0" borderId="5" xfId="0" applyNumberFormat="1" applyFont="1" applyBorder="1" applyAlignment="1" applyProtection="1">
      <alignment horizontal="center" vertical="center"/>
      <protection hidden="1"/>
    </xf>
    <xf numFmtId="1" fontId="34" fillId="8" borderId="24" xfId="0" applyNumberFormat="1" applyFont="1" applyFill="1" applyBorder="1" applyAlignment="1" applyProtection="1">
      <alignment horizontal="left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34" fillId="8" borderId="39" xfId="0" applyFont="1" applyFill="1" applyBorder="1" applyProtection="1">
      <protection hidden="1"/>
    </xf>
    <xf numFmtId="0" fontId="34" fillId="8" borderId="25" xfId="0" applyFont="1" applyFill="1" applyBorder="1" applyProtection="1">
      <protection hidden="1"/>
    </xf>
    <xf numFmtId="0" fontId="34" fillId="8" borderId="21" xfId="0" applyFont="1" applyFill="1" applyBorder="1" applyProtection="1">
      <protection hidden="1"/>
    </xf>
    <xf numFmtId="0" fontId="34" fillId="32" borderId="21" xfId="0" applyFont="1" applyFill="1" applyBorder="1" applyProtection="1">
      <protection hidden="1"/>
    </xf>
    <xf numFmtId="0" fontId="34" fillId="0" borderId="5" xfId="0" applyFont="1" applyBorder="1" applyAlignment="1" applyProtection="1">
      <alignment horizontal="center" vertical="center"/>
      <protection hidden="1"/>
    </xf>
    <xf numFmtId="0" fontId="34" fillId="8" borderId="24" xfId="0" applyFont="1" applyFill="1" applyBorder="1" applyProtection="1">
      <protection hidden="1"/>
    </xf>
    <xf numFmtId="0" fontId="34" fillId="0" borderId="8" xfId="0" applyFont="1" applyBorder="1" applyAlignment="1" applyProtection="1">
      <alignment horizontal="center" vertical="center"/>
      <protection hidden="1"/>
    </xf>
    <xf numFmtId="0" fontId="34" fillId="8" borderId="20" xfId="0" applyFont="1" applyFill="1" applyBorder="1" applyProtection="1">
      <protection hidden="1"/>
    </xf>
    <xf numFmtId="9" fontId="0" fillId="0" borderId="1" xfId="1" applyFont="1" applyBorder="1" applyAlignment="1" applyProtection="1">
      <alignment horizont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34" fillId="8" borderId="5" xfId="0" applyFont="1" applyFill="1" applyBorder="1" applyProtection="1">
      <protection hidden="1"/>
    </xf>
    <xf numFmtId="0" fontId="35" fillId="9" borderId="1" xfId="0" applyFont="1" applyFill="1" applyBorder="1" applyAlignment="1" applyProtection="1">
      <alignment horizontal="center" vertical="center"/>
      <protection hidden="1"/>
    </xf>
    <xf numFmtId="171" fontId="0" fillId="0" borderId="1" xfId="0" applyNumberFormat="1" applyBorder="1" applyAlignment="1" applyProtection="1">
      <alignment horizontal="center" vertical="center"/>
      <protection hidden="1"/>
    </xf>
    <xf numFmtId="9" fontId="0" fillId="0" borderId="1" xfId="1" applyFont="1" applyBorder="1" applyAlignment="1" applyProtection="1">
      <alignment vertical="center"/>
      <protection hidden="1"/>
    </xf>
    <xf numFmtId="0" fontId="38" fillId="0" borderId="0" xfId="0" applyFont="1" applyAlignment="1" applyProtection="1">
      <alignment horizontal="center" vertical="center"/>
      <protection hidden="1"/>
    </xf>
    <xf numFmtId="2" fontId="29" fillId="0" borderId="22" xfId="2" applyNumberFormat="1" applyFont="1" applyFill="1" applyBorder="1" applyAlignment="1" applyProtection="1">
      <alignment horizontal="center" vertical="center"/>
      <protection hidden="1"/>
    </xf>
    <xf numFmtId="0" fontId="29" fillId="0" borderId="7" xfId="2" applyFont="1" applyFill="1" applyBorder="1" applyAlignment="1" applyProtection="1">
      <alignment horizontal="center" vertical="center"/>
      <protection hidden="1"/>
    </xf>
    <xf numFmtId="14" fontId="28" fillId="5" borderId="0" xfId="0" applyNumberFormat="1" applyFont="1" applyFill="1" applyBorder="1" applyAlignment="1" applyProtection="1">
      <alignment vertical="center"/>
      <protection locked="0"/>
    </xf>
    <xf numFmtId="0" fontId="19" fillId="0" borderId="0" xfId="0" applyFont="1" applyFill="1" applyBorder="1" applyAlignment="1" applyProtection="1">
      <alignment vertical="center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0" fontId="29" fillId="5" borderId="1" xfId="0" applyFont="1" applyFill="1" applyBorder="1" applyAlignment="1" applyProtection="1">
      <alignment horizontal="center" vertical="center"/>
      <protection hidden="1"/>
    </xf>
    <xf numFmtId="9" fontId="29" fillId="5" borderId="1" xfId="0" applyNumberFormat="1" applyFont="1" applyFill="1" applyBorder="1" applyAlignment="1" applyProtection="1">
      <alignment horizontal="center" vertical="center"/>
      <protection hidden="1"/>
    </xf>
    <xf numFmtId="1" fontId="29" fillId="5" borderId="1" xfId="0" applyNumberFormat="1" applyFont="1" applyFill="1" applyBorder="1" applyAlignment="1" applyProtection="1">
      <alignment horizontal="center" vertical="center"/>
      <protection hidden="1"/>
    </xf>
    <xf numFmtId="170" fontId="31" fillId="25" borderId="1" xfId="0" applyNumberFormat="1" applyFont="1" applyFill="1" applyBorder="1" applyAlignment="1" applyProtection="1">
      <alignment horizontal="center" vertical="center" wrapText="1"/>
      <protection hidden="1"/>
    </xf>
    <xf numFmtId="0" fontId="29" fillId="0" borderId="0" xfId="2" applyFont="1" applyFill="1" applyBorder="1" applyAlignment="1" applyProtection="1">
      <alignment horizontal="center" vertical="center"/>
      <protection hidden="1"/>
    </xf>
    <xf numFmtId="0" fontId="29" fillId="3" borderId="1" xfId="2" applyFont="1" applyFill="1" applyBorder="1" applyAlignment="1" applyProtection="1">
      <alignment horizontal="center" vertical="center"/>
      <protection hidden="1"/>
    </xf>
    <xf numFmtId="4" fontId="29" fillId="21" borderId="1" xfId="2" applyNumberFormat="1" applyFont="1" applyFill="1" applyBorder="1" applyAlignment="1" applyProtection="1">
      <alignment vertical="center"/>
      <protection hidden="1"/>
    </xf>
    <xf numFmtId="4" fontId="29" fillId="12" borderId="1" xfId="2" applyNumberFormat="1" applyFont="1" applyFill="1" applyBorder="1" applyAlignment="1" applyProtection="1">
      <alignment vertical="center"/>
      <protection hidden="1"/>
    </xf>
    <xf numFmtId="4" fontId="29" fillId="21" borderId="2" xfId="2" applyNumberFormat="1" applyFont="1" applyFill="1" applyBorder="1" applyAlignment="1" applyProtection="1">
      <alignment vertical="center"/>
      <protection hidden="1"/>
    </xf>
    <xf numFmtId="4" fontId="29" fillId="21" borderId="19" xfId="2" applyNumberFormat="1" applyFont="1" applyFill="1" applyBorder="1" applyAlignment="1" applyProtection="1">
      <alignment vertical="center"/>
      <protection hidden="1"/>
    </xf>
    <xf numFmtId="4" fontId="29" fillId="21" borderId="3" xfId="2" applyNumberFormat="1" applyFont="1" applyFill="1" applyBorder="1" applyAlignment="1" applyProtection="1">
      <alignment vertical="center"/>
      <protection hidden="1"/>
    </xf>
    <xf numFmtId="2" fontId="21" fillId="0" borderId="1" xfId="3" applyNumberFormat="1" applyFont="1" applyFill="1" applyBorder="1" applyAlignment="1" applyProtection="1">
      <alignment horizontal="center" vertical="center" wrapText="1"/>
      <protection hidden="1"/>
    </xf>
    <xf numFmtId="0" fontId="19" fillId="3" borderId="1" xfId="2" applyFont="1" applyFill="1" applyBorder="1" applyAlignment="1" applyProtection="1">
      <alignment horizontal="center" vertical="center"/>
      <protection hidden="1"/>
    </xf>
    <xf numFmtId="166" fontId="21" fillId="3" borderId="1" xfId="3" applyFont="1" applyFill="1" applyBorder="1" applyAlignment="1" applyProtection="1">
      <alignment horizontal="center" vertical="center"/>
      <protection hidden="1"/>
    </xf>
    <xf numFmtId="4" fontId="19" fillId="21" borderId="1" xfId="2" applyNumberFormat="1" applyFont="1" applyFill="1" applyBorder="1" applyAlignment="1" applyProtection="1">
      <alignment horizontal="center" vertical="center" wrapText="1"/>
      <protection hidden="1"/>
    </xf>
    <xf numFmtId="166" fontId="21" fillId="20" borderId="1" xfId="3" applyFont="1" applyFill="1" applyBorder="1" applyAlignment="1" applyProtection="1">
      <alignment horizontal="center" vertical="center" textRotation="90"/>
      <protection hidden="1"/>
    </xf>
    <xf numFmtId="3" fontId="22" fillId="0" borderId="2" xfId="2" applyNumberFormat="1" applyFont="1" applyFill="1" applyBorder="1" applyAlignment="1" applyProtection="1">
      <alignment horizontal="center" vertical="center"/>
      <protection hidden="1"/>
    </xf>
    <xf numFmtId="4" fontId="19" fillId="21" borderId="2" xfId="2" applyNumberFormat="1" applyFont="1" applyFill="1" applyBorder="1" applyAlignment="1" applyProtection="1">
      <alignment horizontal="center" vertical="center"/>
      <protection hidden="1"/>
    </xf>
    <xf numFmtId="3" fontId="22" fillId="20" borderId="1" xfId="2" applyNumberFormat="1" applyFont="1" applyFill="1" applyBorder="1" applyAlignment="1" applyProtection="1">
      <alignment horizontal="center" vertical="center"/>
      <protection hidden="1"/>
    </xf>
    <xf numFmtId="4" fontId="22" fillId="0" borderId="2" xfId="2" applyNumberFormat="1" applyFont="1" applyFill="1" applyBorder="1" applyAlignment="1" applyProtection="1">
      <alignment horizontal="center" vertical="center"/>
      <protection hidden="1"/>
    </xf>
    <xf numFmtId="3" fontId="19" fillId="0" borderId="2" xfId="2" applyNumberFormat="1" applyFont="1" applyFill="1" applyBorder="1" applyAlignment="1" applyProtection="1">
      <alignment horizontal="center" vertical="center"/>
      <protection hidden="1"/>
    </xf>
    <xf numFmtId="0" fontId="19" fillId="16" borderId="2" xfId="0" applyFont="1" applyFill="1" applyBorder="1" applyAlignment="1" applyProtection="1">
      <alignment vertical="center"/>
      <protection hidden="1"/>
    </xf>
    <xf numFmtId="0" fontId="19" fillId="16" borderId="3" xfId="0" applyFont="1" applyFill="1" applyBorder="1" applyAlignment="1" applyProtection="1">
      <alignment vertical="center"/>
      <protection hidden="1"/>
    </xf>
    <xf numFmtId="10" fontId="19" fillId="16" borderId="2" xfId="0" applyNumberFormat="1" applyFont="1" applyFill="1" applyBorder="1" applyAlignment="1" applyProtection="1">
      <alignment vertical="center"/>
      <protection hidden="1"/>
    </xf>
    <xf numFmtId="10" fontId="19" fillId="16" borderId="3" xfId="0" applyNumberFormat="1" applyFont="1" applyFill="1" applyBorder="1" applyAlignment="1" applyProtection="1">
      <alignment vertical="center"/>
      <protection hidden="1"/>
    </xf>
    <xf numFmtId="10" fontId="20" fillId="17" borderId="2" xfId="1" applyNumberFormat="1" applyFont="1" applyFill="1" applyBorder="1" applyAlignment="1" applyProtection="1">
      <alignment vertical="center"/>
      <protection hidden="1"/>
    </xf>
    <xf numFmtId="10" fontId="20" fillId="17" borderId="3" xfId="1" applyNumberFormat="1" applyFont="1" applyFill="1" applyBorder="1" applyAlignment="1" applyProtection="1">
      <alignment vertical="center"/>
      <protection hidden="1"/>
    </xf>
    <xf numFmtId="0" fontId="13" fillId="0" borderId="0" xfId="0" applyFont="1" applyBorder="1" applyAlignment="1" applyProtection="1">
      <alignment vertical="center"/>
      <protection hidden="1"/>
    </xf>
    <xf numFmtId="0" fontId="12" fillId="0" borderId="0" xfId="0" applyFont="1" applyBorder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34" fillId="22" borderId="1" xfId="0" applyFont="1" applyFill="1" applyBorder="1" applyAlignment="1" applyProtection="1">
      <alignment horizontal="center" vertical="center" wrapText="1"/>
      <protection locked="0"/>
    </xf>
    <xf numFmtId="171" fontId="0" fillId="0" borderId="1" xfId="0" applyNumberFormat="1" applyBorder="1" applyAlignment="1" applyProtection="1">
      <alignment horizontal="center"/>
      <protection hidden="1"/>
    </xf>
    <xf numFmtId="171" fontId="0" fillId="0" borderId="1" xfId="1" applyNumberFormat="1" applyFont="1" applyBorder="1" applyAlignment="1" applyProtection="1">
      <alignment horizontal="center" vertical="center"/>
      <protection hidden="1"/>
    </xf>
    <xf numFmtId="171" fontId="0" fillId="0" borderId="1" xfId="1" applyNumberFormat="1" applyFont="1" applyBorder="1" applyAlignment="1" applyProtection="1">
      <alignment horizontal="center"/>
      <protection hidden="1"/>
    </xf>
    <xf numFmtId="171" fontId="0" fillId="0" borderId="3" xfId="1" applyNumberFormat="1" applyFont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center" vertical="center"/>
      <protection hidden="1"/>
    </xf>
    <xf numFmtId="2" fontId="19" fillId="0" borderId="1" xfId="0" applyNumberFormat="1" applyFont="1" applyBorder="1" applyAlignment="1" applyProtection="1">
      <alignment horizontal="center" vertical="center"/>
      <protection hidden="1"/>
    </xf>
    <xf numFmtId="2" fontId="19" fillId="3" borderId="1" xfId="2" applyNumberFormat="1" applyFont="1" applyFill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169" fontId="23" fillId="0" borderId="1" xfId="0" applyNumberFormat="1" applyFont="1" applyBorder="1" applyAlignment="1" applyProtection="1">
      <alignment horizontal="center" vertical="center"/>
      <protection locked="0"/>
    </xf>
    <xf numFmtId="4" fontId="0" fillId="0" borderId="1" xfId="0" applyNumberFormat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19" borderId="1" xfId="0" applyFill="1" applyBorder="1" applyAlignment="1" applyProtection="1">
      <alignment horizontal="center" vertical="center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33" borderId="1" xfId="0" applyFill="1" applyBorder="1" applyAlignment="1" applyProtection="1">
      <alignment horizontal="center" vertical="center" textRotation="87" wrapText="1"/>
      <protection locked="0"/>
    </xf>
    <xf numFmtId="0" fontId="47" fillId="0" borderId="0" xfId="0" applyFont="1" applyAlignment="1" applyProtection="1">
      <alignment horizontal="center" vertical="center"/>
      <protection hidden="1"/>
    </xf>
    <xf numFmtId="0" fontId="0" fillId="36" borderId="1" xfId="0" applyFill="1" applyBorder="1" applyAlignment="1" applyProtection="1">
      <alignment horizontal="center" vertical="center"/>
      <protection locked="0"/>
    </xf>
    <xf numFmtId="49" fontId="19" fillId="2" borderId="1" xfId="2" applyNumberFormat="1" applyFont="1" applyFill="1" applyBorder="1" applyAlignment="1" applyProtection="1">
      <alignment horizontal="center" vertical="center"/>
      <protection hidden="1"/>
    </xf>
    <xf numFmtId="3" fontId="22" fillId="0" borderId="1" xfId="2" applyNumberFormat="1" applyFont="1" applyFill="1" applyBorder="1" applyAlignment="1" applyProtection="1">
      <alignment horizontal="center" vertical="center"/>
      <protection hidden="1"/>
    </xf>
    <xf numFmtId="49" fontId="29" fillId="24" borderId="1" xfId="2" applyNumberFormat="1" applyFont="1" applyFill="1" applyBorder="1" applyAlignment="1" applyProtection="1">
      <alignment horizontal="center" vertical="center"/>
      <protection hidden="1"/>
    </xf>
    <xf numFmtId="49" fontId="29" fillId="24" borderId="3" xfId="2" applyNumberFormat="1" applyFont="1" applyFill="1" applyBorder="1" applyAlignment="1" applyProtection="1">
      <alignment horizontal="center" vertical="center"/>
      <protection hidden="1"/>
    </xf>
    <xf numFmtId="0" fontId="48" fillId="0" borderId="0" xfId="0" applyFont="1" applyAlignment="1" applyProtection="1">
      <alignment horizontal="center" vertical="center"/>
      <protection hidden="1"/>
    </xf>
    <xf numFmtId="0" fontId="49" fillId="0" borderId="0" xfId="0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0" fontId="50" fillId="5" borderId="0" xfId="0" applyFont="1" applyFill="1" applyAlignment="1" applyProtection="1">
      <alignment horizontal="center" vertical="center"/>
      <protection hidden="1"/>
    </xf>
    <xf numFmtId="4" fontId="31" fillId="0" borderId="7" xfId="0" applyNumberFormat="1" applyFont="1" applyBorder="1" applyAlignment="1" applyProtection="1">
      <alignment horizontal="center" vertical="center"/>
      <protection hidden="1"/>
    </xf>
    <xf numFmtId="4" fontId="31" fillId="19" borderId="1" xfId="0" applyNumberFormat="1" applyFont="1" applyFill="1" applyBorder="1" applyAlignment="1" applyProtection="1">
      <alignment horizontal="center" vertical="center"/>
      <protection hidden="1"/>
    </xf>
    <xf numFmtId="4" fontId="20" fillId="19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34" fillId="22" borderId="1" xfId="0" applyFont="1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top" wrapText="1"/>
      <protection hidden="1"/>
    </xf>
    <xf numFmtId="0" fontId="51" fillId="0" borderId="48" xfId="0" applyFont="1" applyBorder="1" applyAlignment="1">
      <alignment vertical="center"/>
    </xf>
    <xf numFmtId="0" fontId="51" fillId="0" borderId="49" xfId="0" applyFont="1" applyBorder="1" applyAlignment="1">
      <alignment vertical="center"/>
    </xf>
    <xf numFmtId="0" fontId="51" fillId="0" borderId="50" xfId="0" applyFont="1" applyBorder="1" applyAlignment="1">
      <alignment vertical="center"/>
    </xf>
    <xf numFmtId="0" fontId="51" fillId="0" borderId="51" xfId="0" applyFont="1" applyBorder="1" applyAlignment="1">
      <alignment vertical="center"/>
    </xf>
    <xf numFmtId="0" fontId="51" fillId="5" borderId="49" xfId="0" applyFont="1" applyFill="1" applyBorder="1" applyAlignmen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2" fillId="0" borderId="0" xfId="0" applyFont="1"/>
    <xf numFmtId="0" fontId="24" fillId="36" borderId="1" xfId="0" applyFont="1" applyFill="1" applyBorder="1" applyAlignment="1" applyProtection="1">
      <alignment horizontal="center" vertical="center"/>
      <protection locked="0"/>
    </xf>
    <xf numFmtId="0" fontId="52" fillId="22" borderId="1" xfId="0" applyFont="1" applyFill="1" applyBorder="1" applyAlignment="1" applyProtection="1">
      <alignment horizontal="center" vertical="center" wrapText="1"/>
      <protection locked="0"/>
    </xf>
    <xf numFmtId="20" fontId="52" fillId="22" borderId="1" xfId="0" applyNumberFormat="1" applyFont="1" applyFill="1" applyBorder="1" applyAlignment="1" applyProtection="1">
      <alignment horizontal="center" vertical="center" wrapText="1"/>
      <protection locked="0"/>
    </xf>
    <xf numFmtId="2" fontId="52" fillId="22" borderId="1" xfId="0" applyNumberFormat="1" applyFont="1" applyFill="1" applyBorder="1" applyAlignment="1" applyProtection="1">
      <alignment horizontal="center" vertical="center" wrapText="1"/>
      <protection locked="0"/>
    </xf>
    <xf numFmtId="1" fontId="52" fillId="22" borderId="1" xfId="0" applyNumberFormat="1" applyFont="1" applyFill="1" applyBorder="1" applyAlignment="1" applyProtection="1">
      <alignment horizontal="center" vertical="center" wrapText="1"/>
      <protection locked="0"/>
    </xf>
    <xf numFmtId="9" fontId="52" fillId="22" borderId="1" xfId="1" applyFont="1" applyFill="1" applyBorder="1" applyAlignment="1" applyProtection="1">
      <alignment horizontal="center" vertical="center" wrapText="1"/>
      <protection locked="0"/>
    </xf>
    <xf numFmtId="0" fontId="24" fillId="37" borderId="1" xfId="0" applyFont="1" applyFill="1" applyBorder="1" applyAlignment="1" applyProtection="1">
      <alignment horizontal="center" vertical="center" textRotation="90"/>
      <protection locked="0"/>
    </xf>
    <xf numFmtId="20" fontId="0" fillId="0" borderId="0" xfId="0" applyNumberFormat="1"/>
    <xf numFmtId="14" fontId="0" fillId="0" borderId="0" xfId="0" applyNumberFormat="1"/>
    <xf numFmtId="0" fontId="0" fillId="11" borderId="1" xfId="0" applyFill="1" applyBorder="1" applyAlignment="1" applyProtection="1">
      <alignment horizontal="left" vertical="center"/>
      <protection locked="0"/>
    </xf>
    <xf numFmtId="2" fontId="33" fillId="11" borderId="1" xfId="0" applyNumberFormat="1" applyFont="1" applyFill="1" applyBorder="1" applyAlignment="1" applyProtection="1">
      <alignment horizontal="center" vertical="center" wrapText="1"/>
      <protection locked="0"/>
    </xf>
    <xf numFmtId="169" fontId="33" fillId="11" borderId="1" xfId="0" applyNumberFormat="1" applyFont="1" applyFill="1" applyBorder="1" applyAlignment="1" applyProtection="1">
      <alignment horizontal="center" vertical="center"/>
      <protection hidden="1"/>
    </xf>
    <xf numFmtId="169" fontId="33" fillId="11" borderId="1" xfId="0" applyNumberFormat="1" applyFont="1" applyFill="1" applyBorder="1" applyAlignment="1" applyProtection="1">
      <alignment horizontal="left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center" vertical="center"/>
      <protection hidden="1"/>
    </xf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hidden="1"/>
    </xf>
    <xf numFmtId="14" fontId="0" fillId="5" borderId="1" xfId="0" applyNumberFormat="1" applyFill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70" fontId="33" fillId="11" borderId="1" xfId="7" applyNumberFormat="1" applyFont="1" applyFill="1" applyBorder="1" applyAlignment="1" applyProtection="1">
      <alignment horizontal="center" vertical="center"/>
      <protection locked="0"/>
    </xf>
    <xf numFmtId="170" fontId="1" fillId="0" borderId="1" xfId="7" applyNumberFormat="1" applyFon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72" fontId="44" fillId="2" borderId="53" xfId="4" applyNumberFormat="1" applyFont="1" applyFill="1" applyBorder="1" applyAlignment="1">
      <alignment horizontal="center" vertical="center"/>
    </xf>
    <xf numFmtId="0" fontId="37" fillId="0" borderId="1" xfId="0" applyFont="1" applyBorder="1" applyProtection="1">
      <protection hidden="1"/>
    </xf>
    <xf numFmtId="0" fontId="37" fillId="0" borderId="0" xfId="0" applyFont="1" applyProtection="1">
      <protection hidden="1"/>
    </xf>
    <xf numFmtId="0" fontId="37" fillId="5" borderId="5" xfId="0" applyFont="1" applyFill="1" applyBorder="1" applyAlignment="1">
      <alignment horizontal="center" vertical="center"/>
    </xf>
    <xf numFmtId="0" fontId="37" fillId="0" borderId="18" xfId="0" applyFont="1" applyBorder="1"/>
    <xf numFmtId="0" fontId="37" fillId="0" borderId="6" xfId="0" applyFont="1" applyBorder="1"/>
    <xf numFmtId="0" fontId="0" fillId="0" borderId="48" xfId="0" applyBorder="1" applyProtection="1">
      <protection hidden="1"/>
    </xf>
    <xf numFmtId="0" fontId="0" fillId="0" borderId="37" xfId="0" applyBorder="1"/>
    <xf numFmtId="0" fontId="0" fillId="0" borderId="67" xfId="0" applyBorder="1"/>
    <xf numFmtId="0" fontId="0" fillId="0" borderId="49" xfId="0" applyBorder="1" applyProtection="1">
      <protection hidden="1"/>
    </xf>
    <xf numFmtId="0" fontId="0" fillId="0" borderId="49" xfId="0" applyBorder="1"/>
    <xf numFmtId="0" fontId="0" fillId="0" borderId="21" xfId="0" applyBorder="1"/>
    <xf numFmtId="0" fontId="0" fillId="0" borderId="19" xfId="0" applyBorder="1"/>
    <xf numFmtId="0" fontId="0" fillId="0" borderId="49" xfId="0" applyFill="1" applyBorder="1"/>
    <xf numFmtId="0" fontId="0" fillId="0" borderId="68" xfId="0" applyBorder="1"/>
    <xf numFmtId="0" fontId="0" fillId="0" borderId="21" xfId="0" applyFill="1" applyBorder="1"/>
    <xf numFmtId="0" fontId="0" fillId="0" borderId="50" xfId="0" applyBorder="1"/>
    <xf numFmtId="0" fontId="0" fillId="0" borderId="11" xfId="0" applyBorder="1"/>
    <xf numFmtId="0" fontId="0" fillId="0" borderId="69" xfId="0" applyBorder="1" applyProtection="1">
      <protection hidden="1"/>
    </xf>
    <xf numFmtId="0" fontId="0" fillId="0" borderId="1" xfId="0" applyFill="1" applyBorder="1" applyProtection="1">
      <protection hidden="1"/>
    </xf>
    <xf numFmtId="169" fontId="33" fillId="11" borderId="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0" fontId="0" fillId="5" borderId="1" xfId="0" applyFill="1" applyBorder="1" applyAlignment="1" applyProtection="1">
      <alignment horizontal="center" vertical="center"/>
    </xf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170" fontId="0" fillId="5" borderId="1" xfId="0" applyNumberFormat="1" applyFill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locked="0"/>
    </xf>
    <xf numFmtId="169" fontId="23" fillId="0" borderId="1" xfId="0" applyNumberFormat="1" applyFont="1" applyBorder="1" applyAlignment="1" applyProtection="1">
      <alignment horizontal="center" vertical="center"/>
      <protection locked="0"/>
    </xf>
    <xf numFmtId="0" fontId="0" fillId="36" borderId="1" xfId="0" applyFill="1" applyBorder="1" applyAlignment="1" applyProtection="1">
      <alignment horizontal="center" vertical="center"/>
      <protection locked="0"/>
    </xf>
    <xf numFmtId="20" fontId="0" fillId="0" borderId="1" xfId="0" applyNumberFormat="1" applyBorder="1" applyAlignment="1" applyProtection="1">
      <alignment horizontal="center" vertical="center"/>
      <protection locked="0"/>
    </xf>
    <xf numFmtId="20" fontId="0" fillId="7" borderId="1" xfId="0" applyNumberFormat="1" applyFill="1" applyBorder="1" applyAlignment="1" applyProtection="1">
      <alignment horizontal="center" vertical="center"/>
      <protection locked="0"/>
    </xf>
    <xf numFmtId="0" fontId="37" fillId="0" borderId="58" xfId="0" applyFont="1" applyBorder="1"/>
    <xf numFmtId="0" fontId="37" fillId="0" borderId="24" xfId="0" applyFont="1" applyBorder="1"/>
    <xf numFmtId="0" fontId="37" fillId="0" borderId="5" xfId="0" applyFont="1" applyBorder="1"/>
    <xf numFmtId="0" fontId="2" fillId="0" borderId="58" xfId="0" applyFont="1" applyBorder="1" applyAlignment="1" applyProtection="1">
      <alignment horizontal="center" vertical="center"/>
      <protection hidden="1"/>
    </xf>
    <xf numFmtId="14" fontId="2" fillId="0" borderId="1" xfId="0" applyNumberFormat="1" applyFont="1" applyBorder="1"/>
    <xf numFmtId="2" fontId="2" fillId="7" borderId="1" xfId="0" applyNumberFormat="1" applyFont="1" applyFill="1" applyBorder="1" applyAlignment="1" applyProtection="1">
      <alignment horizontal="center" vertical="center"/>
      <protection hidden="1"/>
    </xf>
    <xf numFmtId="0" fontId="0" fillId="36" borderId="0" xfId="0" applyFill="1"/>
    <xf numFmtId="0" fontId="0" fillId="5" borderId="0" xfId="0" applyFill="1"/>
    <xf numFmtId="0" fontId="2" fillId="36" borderId="1" xfId="0" applyFont="1" applyFill="1" applyBorder="1"/>
    <xf numFmtId="1" fontId="2" fillId="38" borderId="1" xfId="0" applyNumberFormat="1" applyFont="1" applyFill="1" applyBorder="1"/>
    <xf numFmtId="0" fontId="0" fillId="38" borderId="0" xfId="0" applyFill="1"/>
    <xf numFmtId="2" fontId="2" fillId="31" borderId="1" xfId="0" applyNumberFormat="1" applyFont="1" applyFill="1" applyBorder="1" applyAlignment="1" applyProtection="1">
      <alignment horizontal="center" vertical="center"/>
      <protection hidden="1"/>
    </xf>
    <xf numFmtId="1" fontId="2" fillId="31" borderId="1" xfId="0" applyNumberFormat="1" applyFont="1" applyFill="1" applyBorder="1"/>
    <xf numFmtId="0" fontId="0" fillId="31" borderId="0" xfId="0" applyFill="1"/>
    <xf numFmtId="0" fontId="2" fillId="7" borderId="1" xfId="0" applyFont="1" applyFill="1" applyBorder="1"/>
    <xf numFmtId="0" fontId="0" fillId="7" borderId="0" xfId="0" applyFill="1"/>
    <xf numFmtId="0" fontId="0" fillId="7" borderId="1" xfId="0" applyFill="1" applyBorder="1"/>
    <xf numFmtId="2" fontId="2" fillId="34" borderId="1" xfId="0" applyNumberFormat="1" applyFont="1" applyFill="1" applyBorder="1" applyAlignment="1" applyProtection="1">
      <alignment horizontal="center" vertical="center"/>
      <protection hidden="1"/>
    </xf>
    <xf numFmtId="2" fontId="2" fillId="34" borderId="1" xfId="0" applyNumberFormat="1" applyFont="1" applyFill="1" applyBorder="1"/>
    <xf numFmtId="0" fontId="0" fillId="34" borderId="0" xfId="0" applyFill="1"/>
    <xf numFmtId="2" fontId="2" fillId="36" borderId="1" xfId="0" applyNumberFormat="1" applyFont="1" applyFill="1" applyBorder="1" applyAlignment="1" applyProtection="1">
      <alignment horizontal="center" vertical="center"/>
      <protection hidden="1"/>
    </xf>
    <xf numFmtId="2" fontId="2" fillId="38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9" xfId="0" applyBorder="1"/>
    <xf numFmtId="0" fontId="0" fillId="0" borderId="11" xfId="0" applyFill="1" applyBorder="1"/>
    <xf numFmtId="0" fontId="0" fillId="0" borderId="1" xfId="0" applyBorder="1"/>
    <xf numFmtId="0" fontId="0" fillId="0" borderId="1" xfId="0" applyFill="1" applyBorder="1"/>
    <xf numFmtId="0" fontId="0" fillId="0" borderId="60" xfId="0" applyBorder="1"/>
    <xf numFmtId="9" fontId="1" fillId="36" borderId="1" xfId="1" applyFont="1" applyFill="1" applyBorder="1" applyAlignment="1" applyProtection="1">
      <alignment horizontal="center" vertical="center"/>
      <protection hidden="1"/>
    </xf>
    <xf numFmtId="4" fontId="0" fillId="0" borderId="1" xfId="0" applyNumberFormat="1" applyFill="1" applyBorder="1" applyAlignment="1" applyProtection="1">
      <alignment horizontal="center" vertical="center"/>
      <protection locked="0"/>
    </xf>
    <xf numFmtId="172" fontId="44" fillId="2" borderId="48" xfId="4" applyNumberFormat="1" applyFont="1" applyFill="1" applyBorder="1" applyAlignment="1">
      <alignment horizontal="center" vertical="center"/>
    </xf>
    <xf numFmtId="0" fontId="55" fillId="6" borderId="1" xfId="0" applyFont="1" applyFill="1" applyBorder="1" applyAlignment="1" applyProtection="1">
      <alignment vertical="center" wrapText="1"/>
      <protection hidden="1"/>
    </xf>
    <xf numFmtId="0" fontId="23" fillId="0" borderId="0" xfId="0" applyFont="1" applyProtection="1">
      <protection hidden="1"/>
    </xf>
    <xf numFmtId="0" fontId="0" fillId="0" borderId="1" xfId="0" applyBorder="1" applyAlignment="1" applyProtection="1">
      <alignment horizontal="center"/>
    </xf>
    <xf numFmtId="20" fontId="0" fillId="0" borderId="1" xfId="0" applyNumberFormat="1" applyBorder="1" applyAlignment="1" applyProtection="1">
      <alignment horizontal="center"/>
      <protection locked="0"/>
    </xf>
    <xf numFmtId="14" fontId="0" fillId="0" borderId="1" xfId="0" applyNumberFormat="1" applyBorder="1" applyProtection="1"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20" fontId="0" fillId="5" borderId="1" xfId="0" applyNumberFormat="1" applyFill="1" applyBorder="1" applyAlignment="1" applyProtection="1">
      <alignment horizontal="center" vertical="center"/>
      <protection locked="0"/>
    </xf>
    <xf numFmtId="2" fontId="0" fillId="5" borderId="1" xfId="0" applyNumberFormat="1" applyFill="1" applyBorder="1" applyAlignment="1" applyProtection="1">
      <alignment horizontal="center" vertical="center"/>
      <protection locked="0"/>
    </xf>
    <xf numFmtId="0" fontId="0" fillId="24" borderId="1" xfId="0" applyFill="1" applyBorder="1" applyAlignment="1" applyProtection="1">
      <alignment horizontal="left" vertical="center"/>
      <protection locked="0"/>
    </xf>
    <xf numFmtId="170" fontId="0" fillId="0" borderId="1" xfId="7" applyNumberFormat="1" applyFont="1" applyBorder="1" applyAlignment="1" applyProtection="1">
      <alignment horizontal="center" vertical="center"/>
      <protection locked="0"/>
    </xf>
    <xf numFmtId="0" fontId="0" fillId="24" borderId="1" xfId="0" applyFill="1" applyBorder="1" applyAlignment="1" applyProtection="1">
      <alignment horizontal="center" vertical="center"/>
      <protection locked="0"/>
    </xf>
    <xf numFmtId="0" fontId="0" fillId="39" borderId="1" xfId="0" applyFill="1" applyBorder="1" applyAlignment="1" applyProtection="1">
      <alignment horizontal="center" vertical="center"/>
    </xf>
    <xf numFmtId="170" fontId="1" fillId="5" borderId="1" xfId="7" applyNumberFormat="1" applyFont="1" applyFill="1" applyBorder="1" applyAlignment="1" applyProtection="1">
      <alignment horizontal="center" vertical="center"/>
      <protection locked="0"/>
    </xf>
    <xf numFmtId="170" fontId="0" fillId="5" borderId="1" xfId="7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20" fontId="0" fillId="40" borderId="1" xfId="0" applyNumberFormat="1" applyFill="1" applyBorder="1" applyAlignment="1" applyProtection="1">
      <alignment horizontal="center" vertical="center"/>
      <protection locked="0"/>
    </xf>
    <xf numFmtId="170" fontId="1" fillId="40" borderId="1" xfId="7" applyNumberFormat="1" applyFont="1" applyFill="1" applyBorder="1" applyAlignment="1" applyProtection="1">
      <alignment horizontal="center" vertical="center"/>
      <protection locked="0"/>
    </xf>
    <xf numFmtId="2" fontId="0" fillId="10" borderId="1" xfId="0" applyNumberFormat="1" applyFill="1" applyBorder="1" applyAlignment="1" applyProtection="1">
      <alignment horizontal="center" vertical="center"/>
      <protection hidden="1"/>
    </xf>
    <xf numFmtId="0" fontId="0" fillId="10" borderId="1" xfId="0" applyFill="1" applyBorder="1" applyAlignment="1" applyProtection="1">
      <alignment horizontal="center" vertical="center"/>
    </xf>
    <xf numFmtId="14" fontId="0" fillId="36" borderId="1" xfId="0" applyNumberFormat="1" applyFill="1" applyBorder="1" applyAlignment="1" applyProtection="1">
      <alignment horizontal="center" vertical="center"/>
      <protection locked="0"/>
    </xf>
    <xf numFmtId="20" fontId="0" fillId="36" borderId="1" xfId="0" applyNumberFormat="1" applyFill="1" applyBorder="1" applyAlignment="1" applyProtection="1">
      <alignment horizontal="center" vertical="center"/>
      <protection locked="0"/>
    </xf>
    <xf numFmtId="14" fontId="0" fillId="41" borderId="1" xfId="0" applyNumberFormat="1" applyFill="1" applyBorder="1" applyAlignment="1" applyProtection="1">
      <alignment horizontal="center" vertical="center"/>
      <protection locked="0"/>
    </xf>
    <xf numFmtId="0" fontId="0" fillId="41" borderId="1" xfId="0" applyFill="1" applyBorder="1" applyAlignment="1" applyProtection="1">
      <alignment horizontal="center" vertical="center"/>
      <protection locked="0"/>
    </xf>
    <xf numFmtId="20" fontId="0" fillId="41" borderId="1" xfId="0" applyNumberFormat="1" applyFill="1" applyBorder="1" applyAlignment="1" applyProtection="1">
      <alignment horizontal="center" vertical="center"/>
      <protection locked="0"/>
    </xf>
    <xf numFmtId="2" fontId="0" fillId="36" borderId="1" xfId="0" applyNumberFormat="1" applyFill="1" applyBorder="1" applyAlignment="1" applyProtection="1">
      <alignment horizontal="center" vertical="center"/>
      <protection locked="0"/>
    </xf>
    <xf numFmtId="0" fontId="0" fillId="36" borderId="1" xfId="0" applyFill="1" applyBorder="1" applyAlignment="1" applyProtection="1">
      <alignment horizontal="center" vertical="center"/>
      <protection hidden="1"/>
    </xf>
    <xf numFmtId="169" fontId="23" fillId="41" borderId="1" xfId="0" applyNumberFormat="1" applyFont="1" applyFill="1" applyBorder="1" applyAlignment="1" applyProtection="1">
      <alignment horizontal="center" vertical="center"/>
      <protection locked="0"/>
    </xf>
    <xf numFmtId="170" fontId="0" fillId="41" borderId="1" xfId="0" applyNumberFormat="1" applyFill="1" applyBorder="1" applyAlignment="1" applyProtection="1">
      <alignment horizontal="center" vertical="center"/>
      <protection hidden="1"/>
    </xf>
    <xf numFmtId="9" fontId="1" fillId="41" borderId="1" xfId="1" applyFont="1" applyFill="1" applyBorder="1" applyAlignment="1" applyProtection="1">
      <alignment horizontal="center" vertical="center"/>
      <protection hidden="1"/>
    </xf>
    <xf numFmtId="4" fontId="0" fillId="41" borderId="1" xfId="0" applyNumberFormat="1" applyFill="1" applyBorder="1" applyAlignment="1" applyProtection="1">
      <alignment horizontal="center" vertical="center"/>
      <protection locked="0"/>
    </xf>
    <xf numFmtId="3" fontId="0" fillId="41" borderId="1" xfId="0" applyNumberFormat="1" applyFill="1" applyBorder="1" applyAlignment="1" applyProtection="1">
      <alignment horizontal="center" vertical="center"/>
      <protection locked="0"/>
    </xf>
    <xf numFmtId="0" fontId="0" fillId="39" borderId="1" xfId="0" applyFill="1" applyBorder="1" applyAlignment="1" applyProtection="1">
      <alignment horizontal="center" vertical="center"/>
      <protection locked="0"/>
    </xf>
    <xf numFmtId="2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2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hidden="1"/>
    </xf>
    <xf numFmtId="0" fontId="0" fillId="0" borderId="70" xfId="0" applyBorder="1" applyAlignment="1" applyProtection="1">
      <alignment vertical="top" wrapText="1"/>
      <protection locked="0"/>
    </xf>
    <xf numFmtId="0" fontId="0" fillId="0" borderId="4" xfId="0" applyBorder="1" applyAlignment="1" applyProtection="1">
      <alignment vertical="top" wrapText="1"/>
      <protection locked="0"/>
    </xf>
    <xf numFmtId="169" fontId="23" fillId="36" borderId="1" xfId="0" applyNumberFormat="1" applyFont="1" applyFill="1" applyBorder="1" applyAlignment="1" applyProtection="1">
      <alignment horizontal="center" vertical="center"/>
      <protection locked="0"/>
    </xf>
    <xf numFmtId="49" fontId="57" fillId="10" borderId="1" xfId="0" applyNumberFormat="1" applyFont="1" applyFill="1" applyBorder="1" applyAlignment="1" applyProtection="1">
      <alignment horizontal="center" vertical="center"/>
      <protection locked="0"/>
    </xf>
    <xf numFmtId="0" fontId="58" fillId="10" borderId="1" xfId="0" applyFont="1" applyFill="1" applyBorder="1" applyAlignment="1" applyProtection="1">
      <alignment horizontal="center" vertical="center"/>
      <protection locked="0"/>
    </xf>
    <xf numFmtId="0" fontId="56" fillId="24" borderId="1" xfId="0" applyFont="1" applyFill="1" applyBorder="1" applyAlignment="1" applyProtection="1">
      <alignment horizontal="center" vertical="center"/>
      <protection locked="0"/>
    </xf>
    <xf numFmtId="170" fontId="0" fillId="42" borderId="1" xfId="0" applyNumberFormat="1" applyFill="1" applyBorder="1" applyAlignment="1" applyProtection="1">
      <alignment horizontal="center" vertical="center"/>
      <protection hidden="1"/>
    </xf>
    <xf numFmtId="20" fontId="0" fillId="10" borderId="1" xfId="0" applyNumberFormat="1" applyFill="1" applyBorder="1" applyAlignment="1" applyProtection="1">
      <alignment horizontal="center" vertical="center"/>
      <protection locked="0"/>
    </xf>
    <xf numFmtId="170" fontId="1" fillId="10" borderId="1" xfId="7" applyNumberFormat="1" applyFont="1" applyFill="1" applyBorder="1" applyAlignment="1" applyProtection="1">
      <alignment horizontal="center" vertical="center"/>
      <protection locked="0"/>
    </xf>
    <xf numFmtId="20" fontId="0" fillId="43" borderId="1" xfId="0" applyNumberFormat="1" applyFill="1" applyBorder="1" applyAlignment="1" applyProtection="1">
      <alignment horizontal="center" vertical="center"/>
      <protection locked="0"/>
    </xf>
    <xf numFmtId="169" fontId="23" fillId="5" borderId="1" xfId="0" applyNumberFormat="1" applyFont="1" applyFill="1" applyBorder="1" applyAlignment="1" applyProtection="1">
      <alignment horizontal="center" vertical="center"/>
      <protection locked="0"/>
    </xf>
    <xf numFmtId="0" fontId="59" fillId="0" borderId="0" xfId="0" applyFont="1"/>
    <xf numFmtId="0" fontId="59" fillId="0" borderId="28" xfId="0" applyFont="1" applyBorder="1"/>
    <xf numFmtId="0" fontId="59" fillId="0" borderId="29" xfId="0" applyFont="1" applyBorder="1"/>
    <xf numFmtId="0" fontId="59" fillId="0" borderId="30" xfId="0" applyFont="1" applyBorder="1"/>
    <xf numFmtId="0" fontId="59" fillId="0" borderId="31" xfId="0" applyFont="1" applyBorder="1"/>
    <xf numFmtId="0" fontId="59" fillId="0" borderId="0" xfId="0" applyFont="1" applyBorder="1"/>
    <xf numFmtId="0" fontId="59" fillId="0" borderId="32" xfId="0" applyFont="1" applyBorder="1"/>
    <xf numFmtId="0" fontId="59" fillId="0" borderId="33" xfId="0" applyFont="1" applyBorder="1"/>
    <xf numFmtId="0" fontId="59" fillId="0" borderId="34" xfId="0" applyFont="1" applyBorder="1"/>
    <xf numFmtId="0" fontId="59" fillId="0" borderId="35" xfId="0" applyFont="1" applyBorder="1"/>
    <xf numFmtId="0" fontId="0" fillId="36" borderId="1" xfId="0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 vertical="center"/>
    </xf>
    <xf numFmtId="169" fontId="23" fillId="0" borderId="1" xfId="0" applyNumberFormat="1" applyFont="1" applyFill="1" applyBorder="1" applyAlignment="1" applyProtection="1">
      <alignment horizontal="center" vertical="center"/>
      <protection locked="0"/>
    </xf>
    <xf numFmtId="170" fontId="0" fillId="0" borderId="1" xfId="0" applyNumberFormat="1" applyFill="1" applyBorder="1" applyAlignment="1" applyProtection="1">
      <alignment horizontal="center" vertical="center"/>
      <protection hidden="1"/>
    </xf>
    <xf numFmtId="3" fontId="0" fillId="0" borderId="1" xfId="0" applyNumberFormat="1" applyFill="1" applyBorder="1" applyAlignment="1" applyProtection="1">
      <alignment horizontal="center" vertical="center"/>
      <protection locked="0"/>
    </xf>
    <xf numFmtId="170" fontId="1" fillId="36" borderId="1" xfId="7" applyNumberFormat="1" applyFont="1" applyFill="1" applyBorder="1" applyAlignment="1" applyProtection="1">
      <alignment horizontal="center" vertical="center"/>
      <protection locked="0"/>
    </xf>
    <xf numFmtId="2" fontId="0" fillId="36" borderId="1" xfId="0" applyNumberFormat="1" applyFill="1" applyBorder="1" applyAlignment="1" applyProtection="1">
      <alignment horizontal="center" vertical="center"/>
      <protection hidden="1"/>
    </xf>
    <xf numFmtId="0" fontId="0" fillId="36" borderId="1" xfId="0" applyFill="1" applyBorder="1" applyAlignment="1" applyProtection="1">
      <alignment horizontal="left" vertical="center"/>
      <protection locked="0"/>
    </xf>
    <xf numFmtId="170" fontId="1" fillId="0" borderId="1" xfId="7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41" borderId="1" xfId="0" applyFill="1" applyBorder="1" applyAlignment="1" applyProtection="1">
      <alignment horizontal="center" vertical="center"/>
    </xf>
    <xf numFmtId="2" fontId="0" fillId="0" borderId="1" xfId="0" applyNumberFormat="1" applyBorder="1" applyAlignment="1" applyProtection="1">
      <alignment horizontal="left" vertical="center" indent="2"/>
      <protection locked="0"/>
    </xf>
    <xf numFmtId="2" fontId="0" fillId="0" borderId="1" xfId="0" applyNumberFormat="1" applyBorder="1" applyAlignment="1" applyProtection="1">
      <alignment horizontal="center" vertical="center"/>
      <protection hidden="1"/>
    </xf>
    <xf numFmtId="0" fontId="0" fillId="44" borderId="1" xfId="0" applyFill="1" applyBorder="1" applyAlignment="1" applyProtection="1">
      <alignment horizontal="center" vertical="center"/>
      <protection locked="0"/>
    </xf>
    <xf numFmtId="0" fontId="0" fillId="44" borderId="1" xfId="0" applyFill="1" applyBorder="1" applyAlignment="1" applyProtection="1">
      <alignment horizontal="center" vertical="center"/>
    </xf>
    <xf numFmtId="4" fontId="0" fillId="0" borderId="1" xfId="0" applyNumberForma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14" fontId="6" fillId="5" borderId="1" xfId="0" applyNumberFormat="1" applyFont="1" applyFill="1" applyBorder="1" applyAlignment="1" applyProtection="1">
      <alignment horizontal="center" vertical="center"/>
      <protection locked="0"/>
    </xf>
    <xf numFmtId="20" fontId="6" fillId="0" borderId="1" xfId="0" applyNumberFormat="1" applyFont="1" applyBorder="1" applyAlignment="1" applyProtection="1">
      <alignment horizontal="center" vertical="center"/>
      <protection locked="0"/>
    </xf>
    <xf numFmtId="0" fontId="6" fillId="5" borderId="1" xfId="0" applyFont="1" applyFill="1" applyBorder="1" applyAlignment="1" applyProtection="1">
      <alignment horizontal="center" vertical="center"/>
      <protection locked="0"/>
    </xf>
    <xf numFmtId="0" fontId="6" fillId="18" borderId="1" xfId="0" applyFont="1" applyFill="1" applyBorder="1" applyAlignment="1" applyProtection="1">
      <alignment horizontal="center" vertical="center"/>
      <protection locked="0"/>
    </xf>
    <xf numFmtId="2" fontId="6" fillId="0" borderId="1" xfId="0" applyNumberFormat="1" applyFont="1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/>
      <protection locked="0"/>
    </xf>
    <xf numFmtId="0" fontId="37" fillId="35" borderId="38" xfId="0" applyFont="1" applyFill="1" applyBorder="1" applyAlignment="1">
      <alignment horizontal="center" vertical="center"/>
    </xf>
    <xf numFmtId="0" fontId="37" fillId="35" borderId="60" xfId="0" applyFont="1" applyFill="1" applyBorder="1" applyAlignment="1">
      <alignment horizontal="center" vertical="center"/>
    </xf>
    <xf numFmtId="0" fontId="37" fillId="35" borderId="22" xfId="0" applyFont="1" applyFill="1" applyBorder="1" applyAlignment="1">
      <alignment horizontal="center" vertical="center"/>
    </xf>
    <xf numFmtId="0" fontId="37" fillId="35" borderId="23" xfId="0" applyFont="1" applyFill="1" applyBorder="1" applyAlignment="1">
      <alignment horizontal="center" vertical="center"/>
    </xf>
    <xf numFmtId="0" fontId="37" fillId="35" borderId="20" xfId="0" applyFont="1" applyFill="1" applyBorder="1" applyAlignment="1">
      <alignment horizontal="center" vertical="center"/>
    </xf>
    <xf numFmtId="0" fontId="37" fillId="35" borderId="66" xfId="0" applyFont="1" applyFill="1" applyBorder="1" applyAlignment="1">
      <alignment horizontal="center" vertical="center"/>
    </xf>
    <xf numFmtId="172" fontId="44" fillId="36" borderId="40" xfId="4" applyNumberFormat="1" applyFont="1" applyFill="1" applyBorder="1" applyAlignment="1">
      <alignment horizontal="center" vertical="center"/>
    </xf>
    <xf numFmtId="172" fontId="44" fillId="36" borderId="64" xfId="4" applyNumberFormat="1" applyFont="1" applyFill="1" applyBorder="1" applyAlignment="1">
      <alignment horizontal="center" vertical="center"/>
    </xf>
    <xf numFmtId="172" fontId="44" fillId="36" borderId="65" xfId="4" applyNumberFormat="1" applyFont="1" applyFill="1" applyBorder="1" applyAlignment="1">
      <alignment horizontal="center" vertical="center"/>
    </xf>
    <xf numFmtId="172" fontId="44" fillId="10" borderId="61" xfId="4" applyNumberFormat="1" applyFont="1" applyFill="1" applyBorder="1" applyAlignment="1">
      <alignment horizontal="center" vertical="center"/>
    </xf>
    <xf numFmtId="172" fontId="44" fillId="10" borderId="62" xfId="4" applyNumberFormat="1" applyFont="1" applyFill="1" applyBorder="1" applyAlignment="1">
      <alignment horizontal="center" vertical="center"/>
    </xf>
    <xf numFmtId="172" fontId="44" fillId="10" borderId="63" xfId="4" applyNumberFormat="1" applyFont="1" applyFill="1" applyBorder="1" applyAlignment="1">
      <alignment horizontal="center" vertical="center"/>
    </xf>
    <xf numFmtId="0" fontId="37" fillId="35" borderId="6" xfId="0" applyFont="1" applyFill="1" applyBorder="1" applyAlignment="1">
      <alignment horizontal="center" vertical="center"/>
    </xf>
    <xf numFmtId="0" fontId="37" fillId="35" borderId="7" xfId="0" applyFont="1" applyFill="1" applyBorder="1" applyAlignment="1">
      <alignment horizontal="center" vertical="center"/>
    </xf>
    <xf numFmtId="0" fontId="37" fillId="35" borderId="8" xfId="0" applyFont="1" applyFill="1" applyBorder="1" applyAlignment="1">
      <alignment horizontal="center" vertical="center"/>
    </xf>
    <xf numFmtId="46" fontId="0" fillId="7" borderId="1" xfId="0" applyNumberFormat="1" applyFill="1" applyBorder="1" applyAlignment="1" applyProtection="1">
      <alignment horizontal="center" vertical="center"/>
      <protection locked="0"/>
    </xf>
    <xf numFmtId="14" fontId="0" fillId="24" borderId="1" xfId="0" applyNumberFormat="1" applyFill="1" applyBorder="1" applyAlignment="1" applyProtection="1">
      <alignment horizontal="center" vertical="center"/>
      <protection locked="0"/>
    </xf>
    <xf numFmtId="20" fontId="0" fillId="24" borderId="1" xfId="0" applyNumberFormat="1" applyFill="1" applyBorder="1" applyAlignment="1" applyProtection="1">
      <alignment horizontal="center" vertical="center"/>
      <protection locked="0"/>
    </xf>
    <xf numFmtId="170" fontId="1" fillId="24" borderId="1" xfId="7" applyNumberFormat="1" applyFont="1" applyFill="1" applyBorder="1" applyAlignment="1" applyProtection="1">
      <alignment horizontal="center" vertical="center"/>
      <protection locked="0"/>
    </xf>
    <xf numFmtId="2" fontId="0" fillId="24" borderId="1" xfId="0" applyNumberForma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</xf>
    <xf numFmtId="14" fontId="3" fillId="5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20" fontId="3" fillId="5" borderId="1" xfId="0" quotePrefix="1" applyNumberFormat="1" applyFont="1" applyFill="1" applyBorder="1" applyAlignment="1" applyProtection="1">
      <alignment horizontal="center" vertical="center"/>
      <protection locked="0"/>
    </xf>
    <xf numFmtId="170" fontId="3" fillId="5" borderId="1" xfId="7" applyNumberFormat="1" applyFont="1" applyFill="1" applyBorder="1" applyAlignment="1" applyProtection="1">
      <alignment horizontal="center" vertical="center"/>
      <protection locked="0"/>
    </xf>
    <xf numFmtId="2" fontId="3" fillId="5" borderId="1" xfId="0" applyNumberFormat="1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left" vertical="center"/>
      <protection locked="0"/>
    </xf>
    <xf numFmtId="20" fontId="3" fillId="5" borderId="1" xfId="0" applyNumberFormat="1" applyFont="1" applyFill="1" applyBorder="1" applyAlignment="1" applyProtection="1">
      <alignment horizontal="center" vertical="center"/>
      <protection locked="0"/>
    </xf>
    <xf numFmtId="169" fontId="23" fillId="24" borderId="1" xfId="0" applyNumberFormat="1" applyFont="1" applyFill="1" applyBorder="1" applyAlignment="1" applyProtection="1">
      <alignment horizontal="center" vertical="center"/>
      <protection locked="0"/>
    </xf>
    <xf numFmtId="170" fontId="0" fillId="24" borderId="1" xfId="0" applyNumberFormat="1" applyFill="1" applyBorder="1" applyAlignment="1" applyProtection="1">
      <alignment horizontal="center" vertical="center"/>
      <protection hidden="1"/>
    </xf>
    <xf numFmtId="0" fontId="0" fillId="45" borderId="1" xfId="0" applyFill="1" applyBorder="1" applyAlignment="1" applyProtection="1">
      <alignment horizontal="center" vertical="center"/>
      <protection locked="0"/>
    </xf>
    <xf numFmtId="20" fontId="0" fillId="45" borderId="1" xfId="0" applyNumberFormat="1" applyFill="1" applyBorder="1" applyAlignment="1" applyProtection="1">
      <alignment horizontal="center" vertical="center"/>
      <protection locked="0"/>
    </xf>
    <xf numFmtId="170" fontId="0" fillId="36" borderId="1" xfId="0" applyNumberFormat="1" applyFill="1" applyBorder="1" applyAlignment="1" applyProtection="1">
      <alignment horizontal="center" vertical="center"/>
      <protection hidden="1"/>
    </xf>
    <xf numFmtId="4" fontId="0" fillId="36" borderId="1" xfId="0" applyNumberFormat="1" applyFill="1" applyBorder="1" applyAlignment="1" applyProtection="1">
      <alignment horizontal="center" vertical="center"/>
      <protection locked="0"/>
    </xf>
    <xf numFmtId="14" fontId="0" fillId="38" borderId="1" xfId="0" applyNumberFormat="1" applyFill="1" applyBorder="1" applyAlignment="1" applyProtection="1">
      <alignment horizontal="center" vertical="center"/>
      <protection locked="0"/>
    </xf>
    <xf numFmtId="0" fontId="0" fillId="38" borderId="1" xfId="0" applyFill="1" applyBorder="1" applyAlignment="1" applyProtection="1">
      <alignment horizontal="center" vertical="center"/>
      <protection locked="0"/>
    </xf>
    <xf numFmtId="20" fontId="0" fillId="38" borderId="1" xfId="0" applyNumberFormat="1" applyFill="1" applyBorder="1" applyAlignment="1" applyProtection="1">
      <alignment horizontal="center" vertical="center"/>
      <protection locked="0"/>
    </xf>
    <xf numFmtId="170" fontId="1" fillId="38" borderId="1" xfId="7" applyNumberFormat="1" applyFont="1" applyFill="1" applyBorder="1" applyAlignment="1" applyProtection="1">
      <alignment horizontal="center" vertical="center"/>
      <protection locked="0"/>
    </xf>
    <xf numFmtId="2" fontId="3" fillId="38" borderId="1" xfId="0" applyNumberFormat="1" applyFont="1" applyFill="1" applyBorder="1" applyAlignment="1" applyProtection="1">
      <alignment horizontal="center" vertical="center"/>
      <protection hidden="1"/>
    </xf>
    <xf numFmtId="0" fontId="0" fillId="38" borderId="1" xfId="0" applyFill="1" applyBorder="1" applyAlignment="1" applyProtection="1">
      <alignment horizontal="center" vertical="center"/>
    </xf>
    <xf numFmtId="0" fontId="0" fillId="38" borderId="1" xfId="0" applyFill="1" applyBorder="1" applyAlignment="1" applyProtection="1">
      <alignment horizontal="left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</xf>
    <xf numFmtId="3" fontId="0" fillId="36" borderId="1" xfId="0" applyNumberFormat="1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top" wrapText="1"/>
      <protection locked="0"/>
    </xf>
    <xf numFmtId="0" fontId="0" fillId="0" borderId="70" xfId="0" applyBorder="1" applyAlignment="1" applyProtection="1">
      <alignment horizontal="center" vertical="top" wrapText="1"/>
      <protection locked="0"/>
    </xf>
    <xf numFmtId="0" fontId="0" fillId="2" borderId="2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165" fontId="44" fillId="7" borderId="52" xfId="4" applyFont="1" applyFill="1" applyBorder="1" applyAlignment="1">
      <alignment horizontal="center" vertical="center"/>
    </xf>
    <xf numFmtId="165" fontId="44" fillId="7" borderId="57" xfId="4" applyFont="1" applyFill="1" applyBorder="1" applyAlignment="1">
      <alignment horizontal="center" vertical="center"/>
    </xf>
    <xf numFmtId="165" fontId="44" fillId="7" borderId="54" xfId="4" applyFont="1" applyFill="1" applyBorder="1" applyAlignment="1">
      <alignment horizontal="center" vertical="center"/>
    </xf>
    <xf numFmtId="165" fontId="44" fillId="7" borderId="2" xfId="4" applyFont="1" applyFill="1" applyBorder="1" applyAlignment="1">
      <alignment horizontal="center" vertical="center"/>
    </xf>
    <xf numFmtId="165" fontId="44" fillId="7" borderId="55" xfId="4" applyFont="1" applyFill="1" applyBorder="1" applyAlignment="1">
      <alignment horizontal="center" vertical="center"/>
    </xf>
    <xf numFmtId="165" fontId="44" fillId="7" borderId="56" xfId="4" applyFont="1" applyFill="1" applyBorder="1" applyAlignment="1">
      <alignment horizontal="center" vertical="center"/>
    </xf>
    <xf numFmtId="165" fontId="46" fillId="35" borderId="58" xfId="4" applyFont="1" applyFill="1" applyBorder="1" applyAlignment="1">
      <alignment horizontal="center" vertical="center"/>
    </xf>
    <xf numFmtId="165" fontId="46" fillId="35" borderId="17" xfId="4" applyFont="1" applyFill="1" applyBorder="1" applyAlignment="1">
      <alignment horizontal="center" vertical="center"/>
    </xf>
    <xf numFmtId="165" fontId="46" fillId="35" borderId="18" xfId="4" applyFont="1" applyFill="1" applyBorder="1" applyAlignment="1">
      <alignment horizontal="center" vertical="center"/>
    </xf>
    <xf numFmtId="165" fontId="46" fillId="35" borderId="22" xfId="4" applyFont="1" applyFill="1" applyBorder="1" applyAlignment="1">
      <alignment horizontal="center" vertical="center"/>
    </xf>
    <xf numFmtId="165" fontId="46" fillId="35" borderId="0" xfId="4" applyFont="1" applyFill="1" applyBorder="1" applyAlignment="1">
      <alignment horizontal="center" vertical="center"/>
    </xf>
    <xf numFmtId="165" fontId="46" fillId="35" borderId="23" xfId="4" applyFont="1" applyFill="1" applyBorder="1" applyAlignment="1">
      <alignment horizontal="center" vertical="center"/>
    </xf>
    <xf numFmtId="165" fontId="46" fillId="35" borderId="20" xfId="4" applyFont="1" applyFill="1" applyBorder="1" applyAlignment="1">
      <alignment horizontal="center" vertical="center"/>
    </xf>
    <xf numFmtId="165" fontId="46" fillId="35" borderId="27" xfId="4" applyFont="1" applyFill="1" applyBorder="1" applyAlignment="1">
      <alignment horizontal="center" vertical="center"/>
    </xf>
    <xf numFmtId="165" fontId="46" fillId="35" borderId="66" xfId="4" applyFont="1" applyFill="1" applyBorder="1" applyAlignment="1">
      <alignment horizontal="center" vertical="center"/>
    </xf>
    <xf numFmtId="14" fontId="45" fillId="14" borderId="42" xfId="4" applyNumberFormat="1" applyFont="1" applyFill="1" applyBorder="1" applyAlignment="1">
      <alignment horizontal="center" vertical="center"/>
    </xf>
    <xf numFmtId="14" fontId="45" fillId="14" borderId="43" xfId="4" applyNumberFormat="1" applyFont="1" applyFill="1" applyBorder="1" applyAlignment="1">
      <alignment horizontal="center" vertical="center"/>
    </xf>
    <xf numFmtId="14" fontId="45" fillId="14" borderId="44" xfId="4" applyNumberFormat="1" applyFont="1" applyFill="1" applyBorder="1" applyAlignment="1">
      <alignment horizontal="center" vertical="center"/>
    </xf>
    <xf numFmtId="14" fontId="45" fillId="14" borderId="45" xfId="4" applyNumberFormat="1" applyFont="1" applyFill="1" applyBorder="1" applyAlignment="1">
      <alignment horizontal="center" vertical="center"/>
    </xf>
    <xf numFmtId="165" fontId="45" fillId="35" borderId="42" xfId="4" applyFont="1" applyFill="1" applyBorder="1" applyAlignment="1">
      <alignment horizontal="center" vertical="center"/>
    </xf>
    <xf numFmtId="165" fontId="45" fillId="35" borderId="43" xfId="4" applyFont="1" applyFill="1" applyBorder="1" applyAlignment="1">
      <alignment horizontal="center" vertical="center"/>
    </xf>
    <xf numFmtId="165" fontId="45" fillId="35" borderId="44" xfId="4" applyFont="1" applyFill="1" applyBorder="1" applyAlignment="1">
      <alignment horizontal="center" vertical="center"/>
    </xf>
    <xf numFmtId="165" fontId="45" fillId="35" borderId="45" xfId="4" applyFont="1" applyFill="1" applyBorder="1" applyAlignment="1">
      <alignment horizontal="center" vertical="center"/>
    </xf>
    <xf numFmtId="165" fontId="44" fillId="2" borderId="58" xfId="4" applyFont="1" applyFill="1" applyBorder="1" applyAlignment="1">
      <alignment horizontal="center" vertical="center"/>
    </xf>
    <xf numFmtId="165" fontId="44" fillId="2" borderId="17" xfId="4" applyFont="1" applyFill="1" applyBorder="1" applyAlignment="1">
      <alignment horizontal="center" vertical="center"/>
    </xf>
    <xf numFmtId="165" fontId="44" fillId="2" borderId="22" xfId="4" applyFont="1" applyFill="1" applyBorder="1" applyAlignment="1">
      <alignment horizontal="center" vertical="center"/>
    </xf>
    <xf numFmtId="165" fontId="44" fillId="2" borderId="0" xfId="4" applyFont="1" applyFill="1" applyBorder="1" applyAlignment="1">
      <alignment horizontal="center" vertical="center"/>
    </xf>
    <xf numFmtId="165" fontId="44" fillId="2" borderId="20" xfId="4" applyFont="1" applyFill="1" applyBorder="1" applyAlignment="1">
      <alignment horizontal="center" vertical="center"/>
    </xf>
    <xf numFmtId="165" fontId="44" fillId="2" borderId="27" xfId="4" applyFont="1" applyFill="1" applyBorder="1" applyAlignment="1">
      <alignment horizontal="center" vertical="center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59" xfId="0" applyBorder="1" applyAlignment="1" applyProtection="1">
      <alignment horizontal="center" vertical="center"/>
      <protection hidden="1"/>
    </xf>
    <xf numFmtId="2" fontId="2" fillId="31" borderId="14" xfId="0" applyNumberFormat="1" applyFont="1" applyFill="1" applyBorder="1" applyAlignment="1" applyProtection="1">
      <alignment horizontal="center" vertical="center"/>
      <protection hidden="1"/>
    </xf>
    <xf numFmtId="2" fontId="2" fillId="31" borderId="4" xfId="0" applyNumberFormat="1" applyFont="1" applyFill="1" applyBorder="1" applyAlignment="1" applyProtection="1">
      <alignment horizontal="center" vertical="center"/>
      <protection hidden="1"/>
    </xf>
    <xf numFmtId="2" fontId="2" fillId="7" borderId="14" xfId="0" applyNumberFormat="1" applyFont="1" applyFill="1" applyBorder="1" applyAlignment="1" applyProtection="1">
      <alignment horizontal="center" vertical="center"/>
      <protection hidden="1"/>
    </xf>
    <xf numFmtId="2" fontId="2" fillId="7" borderId="4" xfId="0" applyNumberFormat="1" applyFont="1" applyFill="1" applyBorder="1" applyAlignment="1" applyProtection="1">
      <alignment horizontal="center" vertical="center"/>
      <protection hidden="1"/>
    </xf>
    <xf numFmtId="2" fontId="2" fillId="34" borderId="14" xfId="0" applyNumberFormat="1" applyFont="1" applyFill="1" applyBorder="1" applyAlignment="1" applyProtection="1">
      <alignment horizontal="center" vertical="center"/>
      <protection hidden="1"/>
    </xf>
    <xf numFmtId="2" fontId="2" fillId="34" borderId="4" xfId="0" applyNumberFormat="1" applyFont="1" applyFill="1" applyBorder="1" applyAlignment="1" applyProtection="1">
      <alignment horizontal="center" vertical="center"/>
      <protection hidden="1"/>
    </xf>
    <xf numFmtId="2" fontId="2" fillId="36" borderId="14" xfId="0" applyNumberFormat="1" applyFont="1" applyFill="1" applyBorder="1" applyAlignment="1" applyProtection="1">
      <alignment horizontal="center" vertical="center"/>
      <protection hidden="1"/>
    </xf>
    <xf numFmtId="2" fontId="2" fillId="36" borderId="4" xfId="0" applyNumberFormat="1" applyFont="1" applyFill="1" applyBorder="1" applyAlignment="1" applyProtection="1">
      <alignment horizontal="center" vertical="center"/>
      <protection hidden="1"/>
    </xf>
    <xf numFmtId="2" fontId="2" fillId="38" borderId="14" xfId="0" applyNumberFormat="1" applyFont="1" applyFill="1" applyBorder="1" applyAlignment="1" applyProtection="1">
      <alignment horizontal="center" vertical="center"/>
      <protection hidden="1"/>
    </xf>
    <xf numFmtId="2" fontId="2" fillId="38" borderId="4" xfId="0" applyNumberFormat="1" applyFont="1" applyFill="1" applyBorder="1" applyAlignment="1" applyProtection="1">
      <alignment horizontal="center" vertical="center"/>
      <protection hidden="1"/>
    </xf>
    <xf numFmtId="2" fontId="2" fillId="31" borderId="1" xfId="0" applyNumberFormat="1" applyFont="1" applyFill="1" applyBorder="1" applyAlignment="1" applyProtection="1">
      <alignment horizontal="center" vertical="center"/>
      <protection hidden="1"/>
    </xf>
    <xf numFmtId="2" fontId="2" fillId="7" borderId="1" xfId="0" applyNumberFormat="1" applyFont="1" applyFill="1" applyBorder="1" applyAlignment="1" applyProtection="1">
      <alignment horizontal="center" vertical="center"/>
      <protection hidden="1"/>
    </xf>
    <xf numFmtId="2" fontId="2" fillId="8" borderId="1" xfId="0" applyNumberFormat="1" applyFont="1" applyFill="1" applyBorder="1" applyAlignment="1" applyProtection="1">
      <alignment horizontal="center" vertical="center"/>
      <protection hidden="1"/>
    </xf>
    <xf numFmtId="2" fontId="2" fillId="36" borderId="1" xfId="0" applyNumberFormat="1" applyFont="1" applyFill="1" applyBorder="1" applyAlignment="1" applyProtection="1">
      <alignment horizontal="center" vertical="center"/>
      <protection hidden="1"/>
    </xf>
    <xf numFmtId="2" fontId="2" fillId="38" borderId="1" xfId="0" applyNumberFormat="1" applyFont="1" applyFill="1" applyBorder="1" applyAlignment="1" applyProtection="1">
      <alignment horizontal="center" vertical="center"/>
      <protection hidden="1"/>
    </xf>
    <xf numFmtId="0" fontId="29" fillId="11" borderId="1" xfId="0" applyFont="1" applyFill="1" applyBorder="1" applyAlignment="1" applyProtection="1">
      <alignment horizontal="center" vertical="center" wrapText="1"/>
      <protection hidden="1"/>
    </xf>
    <xf numFmtId="0" fontId="16" fillId="11" borderId="1" xfId="0" applyFont="1" applyFill="1" applyBorder="1" applyAlignment="1" applyProtection="1">
      <alignment horizontal="center" vertical="center" wrapText="1"/>
      <protection hidden="1"/>
    </xf>
    <xf numFmtId="0" fontId="42" fillId="4" borderId="1" xfId="0" applyFont="1" applyFill="1" applyBorder="1" applyAlignment="1" applyProtection="1">
      <alignment horizontal="center" vertical="center" textRotation="90"/>
      <protection hidden="1"/>
    </xf>
    <xf numFmtId="14" fontId="28" fillId="14" borderId="1" xfId="0" applyNumberFormat="1" applyFont="1" applyFill="1" applyBorder="1" applyAlignment="1" applyProtection="1">
      <alignment horizontal="center" vertical="center"/>
      <protection locked="0"/>
    </xf>
    <xf numFmtId="0" fontId="29" fillId="11" borderId="1" xfId="0" applyFont="1" applyFill="1" applyBorder="1" applyAlignment="1" applyProtection="1">
      <alignment horizontal="center" vertical="center"/>
      <protection hidden="1"/>
    </xf>
    <xf numFmtId="14" fontId="28" fillId="22" borderId="1" xfId="0" applyNumberFormat="1" applyFont="1" applyFill="1" applyBorder="1" applyAlignment="1" applyProtection="1">
      <alignment horizontal="center" vertical="center"/>
      <protection locked="0"/>
    </xf>
    <xf numFmtId="3" fontId="29" fillId="5" borderId="1" xfId="0" applyNumberFormat="1" applyFont="1" applyFill="1" applyBorder="1" applyAlignment="1" applyProtection="1">
      <alignment horizontal="center" vertical="center"/>
      <protection hidden="1"/>
    </xf>
    <xf numFmtId="0" fontId="17" fillId="11" borderId="1" xfId="0" applyFont="1" applyFill="1" applyBorder="1" applyAlignment="1" applyProtection="1">
      <alignment horizontal="center" vertical="center" wrapText="1"/>
      <protection locked="0"/>
    </xf>
    <xf numFmtId="0" fontId="13" fillId="23" borderId="1" xfId="0" applyFont="1" applyFill="1" applyBorder="1" applyAlignment="1" applyProtection="1">
      <alignment horizontal="center" vertical="center"/>
      <protection hidden="1"/>
    </xf>
    <xf numFmtId="9" fontId="19" fillId="31" borderId="2" xfId="0" applyNumberFormat="1" applyFont="1" applyFill="1" applyBorder="1" applyAlignment="1" applyProtection="1">
      <alignment horizontal="center" vertical="center"/>
      <protection hidden="1"/>
    </xf>
    <xf numFmtId="9" fontId="19" fillId="31" borderId="3" xfId="0" applyNumberFormat="1" applyFont="1" applyFill="1" applyBorder="1" applyAlignment="1" applyProtection="1">
      <alignment horizontal="center" vertical="center"/>
      <protection hidden="1"/>
    </xf>
    <xf numFmtId="9" fontId="19" fillId="14" borderId="2" xfId="0" applyNumberFormat="1" applyFont="1" applyFill="1" applyBorder="1" applyAlignment="1" applyProtection="1">
      <alignment horizontal="center" vertical="center"/>
      <protection hidden="1"/>
    </xf>
    <xf numFmtId="9" fontId="19" fillId="14" borderId="3" xfId="0" applyNumberFormat="1" applyFont="1" applyFill="1" applyBorder="1" applyAlignment="1" applyProtection="1">
      <alignment horizontal="center" vertical="center"/>
      <protection hidden="1"/>
    </xf>
    <xf numFmtId="10" fontId="19" fillId="16" borderId="2" xfId="0" applyNumberFormat="1" applyFont="1" applyFill="1" applyBorder="1" applyAlignment="1" applyProtection="1">
      <alignment horizontal="center" vertical="center"/>
      <protection hidden="1"/>
    </xf>
    <xf numFmtId="10" fontId="19" fillId="16" borderId="3" xfId="0" applyNumberFormat="1" applyFont="1" applyFill="1" applyBorder="1" applyAlignment="1" applyProtection="1">
      <alignment horizontal="center" vertical="center"/>
      <protection hidden="1"/>
    </xf>
    <xf numFmtId="10" fontId="20" fillId="15" borderId="2" xfId="1" applyNumberFormat="1" applyFont="1" applyFill="1" applyBorder="1" applyAlignment="1" applyProtection="1">
      <alignment horizontal="center" vertical="center"/>
      <protection hidden="1"/>
    </xf>
    <xf numFmtId="10" fontId="20" fillId="15" borderId="3" xfId="1" applyNumberFormat="1" applyFont="1" applyFill="1" applyBorder="1" applyAlignment="1" applyProtection="1">
      <alignment horizontal="center" vertical="center"/>
      <protection hidden="1"/>
    </xf>
    <xf numFmtId="0" fontId="19" fillId="11" borderId="42" xfId="0" applyFont="1" applyFill="1" applyBorder="1" applyAlignment="1" applyProtection="1">
      <alignment horizontal="center" vertical="center" wrapText="1"/>
      <protection hidden="1"/>
    </xf>
    <xf numFmtId="0" fontId="19" fillId="11" borderId="43" xfId="0" applyFont="1" applyFill="1" applyBorder="1" applyAlignment="1" applyProtection="1">
      <alignment horizontal="center" vertical="center" wrapText="1"/>
      <protection hidden="1"/>
    </xf>
    <xf numFmtId="0" fontId="19" fillId="11" borderId="44" xfId="0" applyFont="1" applyFill="1" applyBorder="1" applyAlignment="1" applyProtection="1">
      <alignment horizontal="center" vertical="center" wrapText="1"/>
      <protection hidden="1"/>
    </xf>
    <xf numFmtId="0" fontId="19" fillId="11" borderId="45" xfId="0" applyFont="1" applyFill="1" applyBorder="1" applyAlignment="1" applyProtection="1">
      <alignment horizontal="center" vertical="center" wrapText="1"/>
      <protection hidden="1"/>
    </xf>
    <xf numFmtId="0" fontId="41" fillId="23" borderId="1" xfId="0" applyFont="1" applyFill="1" applyBorder="1" applyAlignment="1" applyProtection="1">
      <alignment horizontal="center" vertical="center"/>
      <protection hidden="1"/>
    </xf>
    <xf numFmtId="0" fontId="15" fillId="4" borderId="42" xfId="0" applyFont="1" applyFill="1" applyBorder="1" applyAlignment="1" applyProtection="1">
      <alignment horizontal="center" vertical="center" textRotation="90"/>
      <protection hidden="1"/>
    </xf>
    <xf numFmtId="0" fontId="15" fillId="4" borderId="43" xfId="0" applyFont="1" applyFill="1" applyBorder="1" applyAlignment="1" applyProtection="1">
      <alignment horizontal="center" vertical="center" textRotation="90"/>
      <protection hidden="1"/>
    </xf>
    <xf numFmtId="0" fontId="15" fillId="4" borderId="26" xfId="0" applyFont="1" applyFill="1" applyBorder="1" applyAlignment="1" applyProtection="1">
      <alignment horizontal="center" vertical="center" textRotation="90"/>
      <protection hidden="1"/>
    </xf>
    <xf numFmtId="0" fontId="15" fillId="4" borderId="46" xfId="0" applyFont="1" applyFill="1" applyBorder="1" applyAlignment="1" applyProtection="1">
      <alignment horizontal="center" vertical="center" textRotation="90"/>
      <protection hidden="1"/>
    </xf>
    <xf numFmtId="0" fontId="15" fillId="4" borderId="44" xfId="0" applyFont="1" applyFill="1" applyBorder="1" applyAlignment="1" applyProtection="1">
      <alignment horizontal="center" vertical="center" textRotation="90"/>
      <protection hidden="1"/>
    </xf>
    <xf numFmtId="0" fontId="15" fillId="4" borderId="45" xfId="0" applyFont="1" applyFill="1" applyBorder="1" applyAlignment="1" applyProtection="1">
      <alignment horizontal="center" vertical="center" textRotation="90"/>
      <protection hidden="1"/>
    </xf>
    <xf numFmtId="0" fontId="19" fillId="11" borderId="42" xfId="0" applyFont="1" applyFill="1" applyBorder="1" applyAlignment="1" applyProtection="1">
      <alignment horizontal="center" vertical="center"/>
      <protection hidden="1"/>
    </xf>
    <xf numFmtId="0" fontId="19" fillId="11" borderId="43" xfId="0" applyFont="1" applyFill="1" applyBorder="1" applyAlignment="1" applyProtection="1">
      <alignment horizontal="center" vertical="center"/>
      <protection hidden="1"/>
    </xf>
    <xf numFmtId="0" fontId="19" fillId="11" borderId="44" xfId="0" applyFont="1" applyFill="1" applyBorder="1" applyAlignment="1" applyProtection="1">
      <alignment horizontal="center" vertical="center"/>
      <protection hidden="1"/>
    </xf>
    <xf numFmtId="0" fontId="19" fillId="11" borderId="45" xfId="0" applyFont="1" applyFill="1" applyBorder="1" applyAlignment="1" applyProtection="1">
      <alignment horizontal="center" vertical="center"/>
      <protection hidden="1"/>
    </xf>
    <xf numFmtId="0" fontId="19" fillId="11" borderId="47" xfId="0" applyFont="1" applyFill="1" applyBorder="1" applyAlignment="1" applyProtection="1">
      <alignment horizontal="center" vertical="center" wrapText="1"/>
      <protection hidden="1"/>
    </xf>
    <xf numFmtId="0" fontId="19" fillId="11" borderId="41" xfId="0" applyFont="1" applyFill="1" applyBorder="1" applyAlignment="1" applyProtection="1">
      <alignment horizontal="center" vertical="center" wrapText="1"/>
      <protection hidden="1"/>
    </xf>
    <xf numFmtId="10" fontId="19" fillId="16" borderId="2" xfId="1" applyNumberFormat="1" applyFont="1" applyFill="1" applyBorder="1" applyAlignment="1" applyProtection="1">
      <alignment horizontal="center" vertical="center"/>
      <protection hidden="1"/>
    </xf>
    <xf numFmtId="10" fontId="19" fillId="16" borderId="19" xfId="1" applyNumberFormat="1" applyFont="1" applyFill="1" applyBorder="1" applyAlignment="1" applyProtection="1">
      <alignment horizontal="center" vertical="center"/>
      <protection hidden="1"/>
    </xf>
    <xf numFmtId="10" fontId="19" fillId="16" borderId="3" xfId="1" applyNumberFormat="1" applyFont="1" applyFill="1" applyBorder="1" applyAlignment="1" applyProtection="1">
      <alignment horizontal="center" vertical="center"/>
      <protection hidden="1"/>
    </xf>
    <xf numFmtId="3" fontId="19" fillId="14" borderId="2" xfId="0" applyNumberFormat="1" applyFont="1" applyFill="1" applyBorder="1" applyAlignment="1" applyProtection="1">
      <alignment horizontal="center" vertical="center"/>
      <protection hidden="1"/>
    </xf>
    <xf numFmtId="3" fontId="19" fillId="14" borderId="3" xfId="0" applyNumberFormat="1" applyFont="1" applyFill="1" applyBorder="1" applyAlignment="1" applyProtection="1">
      <alignment horizontal="center" vertical="center"/>
      <protection hidden="1"/>
    </xf>
    <xf numFmtId="4" fontId="20" fillId="27" borderId="2" xfId="0" applyNumberFormat="1" applyFont="1" applyFill="1" applyBorder="1" applyAlignment="1" applyProtection="1">
      <alignment horizontal="center" vertical="center"/>
      <protection hidden="1"/>
    </xf>
    <xf numFmtId="4" fontId="20" fillId="27" borderId="3" xfId="0" applyNumberFormat="1" applyFont="1" applyFill="1" applyBorder="1" applyAlignment="1" applyProtection="1">
      <alignment horizontal="center" vertical="center"/>
      <protection hidden="1"/>
    </xf>
    <xf numFmtId="4" fontId="20" fillId="28" borderId="2" xfId="0" applyNumberFormat="1" applyFont="1" applyFill="1" applyBorder="1" applyAlignment="1" applyProtection="1">
      <alignment horizontal="center" vertical="center"/>
      <protection hidden="1"/>
    </xf>
    <xf numFmtId="4" fontId="20" fillId="28" borderId="3" xfId="0" applyNumberFormat="1" applyFont="1" applyFill="1" applyBorder="1" applyAlignment="1" applyProtection="1">
      <alignment horizontal="center" vertical="center"/>
      <protection hidden="1"/>
    </xf>
    <xf numFmtId="0" fontId="19" fillId="26" borderId="2" xfId="0" applyFont="1" applyFill="1" applyBorder="1" applyAlignment="1" applyProtection="1">
      <alignment horizontal="center" vertical="center"/>
      <protection hidden="1"/>
    </xf>
    <xf numFmtId="0" fontId="19" fillId="26" borderId="3" xfId="0" applyFont="1" applyFill="1" applyBorder="1" applyAlignment="1" applyProtection="1">
      <alignment horizontal="center" vertical="center"/>
      <protection hidden="1"/>
    </xf>
    <xf numFmtId="0" fontId="19" fillId="22" borderId="2" xfId="0" applyFont="1" applyFill="1" applyBorder="1" applyAlignment="1" applyProtection="1">
      <alignment horizontal="center" vertical="center"/>
      <protection hidden="1"/>
    </xf>
    <xf numFmtId="0" fontId="19" fillId="22" borderId="3" xfId="0" applyFont="1" applyFill="1" applyBorder="1" applyAlignment="1" applyProtection="1">
      <alignment horizontal="center" vertical="center"/>
      <protection hidden="1"/>
    </xf>
    <xf numFmtId="0" fontId="19" fillId="29" borderId="2" xfId="0" applyFont="1" applyFill="1" applyBorder="1" applyAlignment="1" applyProtection="1">
      <alignment horizontal="center" vertical="center"/>
      <protection hidden="1"/>
    </xf>
    <xf numFmtId="0" fontId="19" fillId="29" borderId="3" xfId="0" applyFont="1" applyFill="1" applyBorder="1" applyAlignment="1" applyProtection="1">
      <alignment horizontal="center" vertical="center"/>
      <protection hidden="1"/>
    </xf>
    <xf numFmtId="0" fontId="19" fillId="31" borderId="2" xfId="0" applyFont="1" applyFill="1" applyBorder="1" applyAlignment="1" applyProtection="1">
      <alignment horizontal="center" vertical="center"/>
      <protection hidden="1"/>
    </xf>
    <xf numFmtId="0" fontId="19" fillId="31" borderId="3" xfId="0" applyFont="1" applyFill="1" applyBorder="1" applyAlignment="1" applyProtection="1">
      <alignment horizontal="center" vertical="center"/>
      <protection hidden="1"/>
    </xf>
    <xf numFmtId="0" fontId="19" fillId="14" borderId="2" xfId="0" applyFont="1" applyFill="1" applyBorder="1" applyAlignment="1" applyProtection="1">
      <alignment horizontal="center" vertical="center"/>
      <protection hidden="1"/>
    </xf>
    <xf numFmtId="0" fontId="19" fillId="14" borderId="3" xfId="0" applyFont="1" applyFill="1" applyBorder="1" applyAlignment="1" applyProtection="1">
      <alignment horizontal="center" vertical="center"/>
      <protection hidden="1"/>
    </xf>
    <xf numFmtId="3" fontId="20" fillId="27" borderId="2" xfId="0" applyNumberFormat="1" applyFont="1" applyFill="1" applyBorder="1" applyAlignment="1" applyProtection="1">
      <alignment horizontal="center" vertical="center"/>
      <protection hidden="1"/>
    </xf>
    <xf numFmtId="3" fontId="20" fillId="27" borderId="19" xfId="0" applyNumberFormat="1" applyFont="1" applyFill="1" applyBorder="1" applyAlignment="1" applyProtection="1">
      <alignment horizontal="center" vertical="center"/>
      <protection hidden="1"/>
    </xf>
    <xf numFmtId="3" fontId="20" fillId="27" borderId="3" xfId="0" applyNumberFormat="1" applyFont="1" applyFill="1" applyBorder="1" applyAlignment="1" applyProtection="1">
      <alignment horizontal="center" vertical="center"/>
      <protection hidden="1"/>
    </xf>
    <xf numFmtId="3" fontId="20" fillId="28" borderId="2" xfId="0" applyNumberFormat="1" applyFont="1" applyFill="1" applyBorder="1" applyAlignment="1" applyProtection="1">
      <alignment horizontal="center" vertical="center"/>
      <protection hidden="1"/>
    </xf>
    <xf numFmtId="3" fontId="20" fillId="28" borderId="19" xfId="0" applyNumberFormat="1" applyFont="1" applyFill="1" applyBorder="1" applyAlignment="1" applyProtection="1">
      <alignment horizontal="center" vertical="center"/>
      <protection hidden="1"/>
    </xf>
    <xf numFmtId="3" fontId="20" fillId="28" borderId="3" xfId="0" applyNumberFormat="1" applyFont="1" applyFill="1" applyBorder="1" applyAlignment="1" applyProtection="1">
      <alignment horizontal="center" vertical="center"/>
      <protection hidden="1"/>
    </xf>
    <xf numFmtId="3" fontId="20" fillId="30" borderId="2" xfId="0" applyNumberFormat="1" applyFont="1" applyFill="1" applyBorder="1" applyAlignment="1" applyProtection="1">
      <alignment horizontal="center" vertical="center"/>
      <protection hidden="1"/>
    </xf>
    <xf numFmtId="3" fontId="20" fillId="30" borderId="19" xfId="0" applyNumberFormat="1" applyFont="1" applyFill="1" applyBorder="1" applyAlignment="1" applyProtection="1">
      <alignment horizontal="center" vertical="center"/>
      <protection hidden="1"/>
    </xf>
    <xf numFmtId="3" fontId="20" fillId="30" borderId="3" xfId="0" applyNumberFormat="1" applyFont="1" applyFill="1" applyBorder="1" applyAlignment="1" applyProtection="1">
      <alignment horizontal="center" vertical="center"/>
      <protection hidden="1"/>
    </xf>
    <xf numFmtId="4" fontId="22" fillId="0" borderId="1" xfId="2" applyNumberFormat="1" applyFont="1" applyFill="1" applyBorder="1" applyAlignment="1" applyProtection="1">
      <alignment horizontal="center" vertical="center"/>
      <protection hidden="1"/>
    </xf>
    <xf numFmtId="4" fontId="19" fillId="21" borderId="1" xfId="2" applyNumberFormat="1" applyFont="1" applyFill="1" applyBorder="1" applyAlignment="1" applyProtection="1">
      <alignment horizontal="center" vertical="center"/>
      <protection hidden="1"/>
    </xf>
    <xf numFmtId="49" fontId="29" fillId="24" borderId="3" xfId="2" applyNumberFormat="1" applyFont="1" applyFill="1" applyBorder="1" applyAlignment="1" applyProtection="1">
      <alignment horizontal="center" vertical="center"/>
      <protection hidden="1"/>
    </xf>
    <xf numFmtId="49" fontId="29" fillId="24" borderId="1" xfId="2" applyNumberFormat="1" applyFont="1" applyFill="1" applyBorder="1" applyAlignment="1" applyProtection="1">
      <alignment horizontal="center" vertical="center"/>
      <protection hidden="1"/>
    </xf>
    <xf numFmtId="4" fontId="29" fillId="21" borderId="2" xfId="2" applyNumberFormat="1" applyFont="1" applyFill="1" applyBorder="1" applyAlignment="1" applyProtection="1">
      <alignment horizontal="left" vertical="center"/>
      <protection hidden="1"/>
    </xf>
    <xf numFmtId="4" fontId="29" fillId="21" borderId="19" xfId="2" applyNumberFormat="1" applyFont="1" applyFill="1" applyBorder="1" applyAlignment="1" applyProtection="1">
      <alignment horizontal="left" vertical="center"/>
      <protection hidden="1"/>
    </xf>
    <xf numFmtId="4" fontId="29" fillId="21" borderId="3" xfId="2" applyNumberFormat="1" applyFont="1" applyFill="1" applyBorder="1" applyAlignment="1" applyProtection="1">
      <alignment horizontal="left" vertical="center"/>
      <protection hidden="1"/>
    </xf>
    <xf numFmtId="49" fontId="29" fillId="2" borderId="3" xfId="2" applyNumberFormat="1" applyFont="1" applyFill="1" applyBorder="1" applyAlignment="1" applyProtection="1">
      <alignment horizontal="center" vertical="center"/>
      <protection hidden="1"/>
    </xf>
    <xf numFmtId="49" fontId="29" fillId="2" borderId="1" xfId="2" applyNumberFormat="1" applyFont="1" applyFill="1" applyBorder="1" applyAlignment="1" applyProtection="1">
      <alignment horizontal="center" vertical="center"/>
      <protection hidden="1"/>
    </xf>
    <xf numFmtId="0" fontId="19" fillId="11" borderId="42" xfId="0" applyFont="1" applyFill="1" applyBorder="1" applyAlignment="1" applyProtection="1">
      <alignment horizontal="center" vertical="center" wrapText="1"/>
      <protection locked="0"/>
    </xf>
    <xf numFmtId="0" fontId="19" fillId="11" borderId="43" xfId="0" applyFont="1" applyFill="1" applyBorder="1" applyAlignment="1" applyProtection="1">
      <alignment horizontal="center" vertical="center" wrapText="1"/>
      <protection locked="0"/>
    </xf>
    <xf numFmtId="0" fontId="19" fillId="11" borderId="26" xfId="0" applyFont="1" applyFill="1" applyBorder="1" applyAlignment="1" applyProtection="1">
      <alignment horizontal="center" vertical="center" wrapText="1"/>
      <protection locked="0"/>
    </xf>
    <xf numFmtId="0" fontId="19" fillId="11" borderId="46" xfId="0" applyFont="1" applyFill="1" applyBorder="1" applyAlignment="1" applyProtection="1">
      <alignment horizontal="center" vertical="center" wrapText="1"/>
      <protection locked="0"/>
    </xf>
    <xf numFmtId="0" fontId="19" fillId="11" borderId="44" xfId="0" applyFont="1" applyFill="1" applyBorder="1" applyAlignment="1" applyProtection="1">
      <alignment horizontal="center" vertical="center" wrapText="1"/>
      <protection locked="0"/>
    </xf>
    <xf numFmtId="0" fontId="19" fillId="11" borderId="45" xfId="0" applyFont="1" applyFill="1" applyBorder="1" applyAlignment="1" applyProtection="1">
      <alignment horizontal="center" vertical="center" wrapText="1"/>
      <protection locked="0"/>
    </xf>
    <xf numFmtId="3" fontId="19" fillId="31" borderId="2" xfId="0" applyNumberFormat="1" applyFont="1" applyFill="1" applyBorder="1" applyAlignment="1" applyProtection="1">
      <alignment horizontal="center" vertical="center"/>
      <protection hidden="1"/>
    </xf>
    <xf numFmtId="3" fontId="19" fillId="31" borderId="3" xfId="0" applyNumberFormat="1" applyFont="1" applyFill="1" applyBorder="1" applyAlignment="1" applyProtection="1">
      <alignment horizontal="center" vertical="center"/>
      <protection hidden="1"/>
    </xf>
    <xf numFmtId="3" fontId="19" fillId="14" borderId="19" xfId="0" applyNumberFormat="1" applyFont="1" applyFill="1" applyBorder="1" applyAlignment="1" applyProtection="1">
      <alignment horizontal="center" vertical="center"/>
      <protection hidden="1"/>
    </xf>
    <xf numFmtId="4" fontId="20" fillId="27" borderId="2" xfId="0" quotePrefix="1" applyNumberFormat="1" applyFont="1" applyFill="1" applyBorder="1" applyAlignment="1" applyProtection="1">
      <alignment horizontal="center" vertical="center"/>
      <protection hidden="1"/>
    </xf>
    <xf numFmtId="4" fontId="20" fillId="27" borderId="3" xfId="0" quotePrefix="1" applyNumberFormat="1" applyFont="1" applyFill="1" applyBorder="1" applyAlignment="1" applyProtection="1">
      <alignment horizontal="center" vertical="center"/>
      <protection hidden="1"/>
    </xf>
    <xf numFmtId="4" fontId="20" fillId="28" borderId="2" xfId="0" quotePrefix="1" applyNumberFormat="1" applyFont="1" applyFill="1" applyBorder="1" applyAlignment="1" applyProtection="1">
      <alignment horizontal="center" vertical="center"/>
      <protection hidden="1"/>
    </xf>
    <xf numFmtId="4" fontId="20" fillId="28" borderId="3" xfId="0" quotePrefix="1" applyNumberFormat="1" applyFont="1" applyFill="1" applyBorder="1" applyAlignment="1" applyProtection="1">
      <alignment horizontal="center" vertical="center"/>
      <protection hidden="1"/>
    </xf>
    <xf numFmtId="3" fontId="19" fillId="31" borderId="19" xfId="0" applyNumberFormat="1" applyFont="1" applyFill="1" applyBorder="1" applyAlignment="1" applyProtection="1">
      <alignment horizontal="center" vertical="center"/>
      <protection hidden="1"/>
    </xf>
    <xf numFmtId="4" fontId="19" fillId="31" borderId="2" xfId="0" applyNumberFormat="1" applyFont="1" applyFill="1" applyBorder="1" applyAlignment="1" applyProtection="1">
      <alignment horizontal="center" vertical="center"/>
      <protection hidden="1"/>
    </xf>
    <xf numFmtId="4" fontId="19" fillId="31" borderId="3" xfId="0" applyNumberFormat="1" applyFont="1" applyFill="1" applyBorder="1" applyAlignment="1" applyProtection="1">
      <alignment horizontal="center" vertical="center"/>
      <protection hidden="1"/>
    </xf>
    <xf numFmtId="4" fontId="19" fillId="14" borderId="2" xfId="0" applyNumberFormat="1" applyFont="1" applyFill="1" applyBorder="1" applyAlignment="1" applyProtection="1">
      <alignment horizontal="center" vertical="center"/>
      <protection hidden="1"/>
    </xf>
    <xf numFmtId="4" fontId="19" fillId="14" borderId="3" xfId="0" applyNumberFormat="1" applyFont="1" applyFill="1" applyBorder="1" applyAlignment="1" applyProtection="1">
      <alignment horizontal="center" vertical="center"/>
      <protection hidden="1"/>
    </xf>
    <xf numFmtId="3" fontId="20" fillId="28" borderId="2" xfId="0" quotePrefix="1" applyNumberFormat="1" applyFont="1" applyFill="1" applyBorder="1" applyAlignment="1" applyProtection="1">
      <alignment horizontal="center" vertical="center"/>
      <protection hidden="1"/>
    </xf>
    <xf numFmtId="3" fontId="20" fillId="28" borderId="3" xfId="0" quotePrefix="1" applyNumberFormat="1" applyFont="1" applyFill="1" applyBorder="1" applyAlignment="1" applyProtection="1">
      <alignment horizontal="center" vertical="center"/>
      <protection hidden="1"/>
    </xf>
    <xf numFmtId="0" fontId="29" fillId="0" borderId="1" xfId="2" applyFont="1" applyFill="1" applyBorder="1" applyAlignment="1" applyProtection="1">
      <alignment horizontal="left" vertical="center"/>
      <protection hidden="1"/>
    </xf>
    <xf numFmtId="0" fontId="19" fillId="23" borderId="3" xfId="2" applyFont="1" applyFill="1" applyBorder="1" applyAlignment="1" applyProtection="1">
      <alignment horizontal="center" vertical="center"/>
      <protection hidden="1"/>
    </xf>
    <xf numFmtId="0" fontId="19" fillId="23" borderId="1" xfId="2" applyFont="1" applyFill="1" applyBorder="1" applyAlignment="1" applyProtection="1">
      <alignment horizontal="center" vertical="center"/>
      <protection hidden="1"/>
    </xf>
    <xf numFmtId="0" fontId="19" fillId="0" borderId="2" xfId="0" applyFont="1" applyBorder="1" applyAlignment="1" applyProtection="1">
      <alignment horizontal="left" vertical="center"/>
      <protection hidden="1"/>
    </xf>
    <xf numFmtId="0" fontId="19" fillId="0" borderId="19" xfId="0" applyFont="1" applyBorder="1" applyAlignment="1" applyProtection="1">
      <alignment horizontal="left" vertical="center"/>
      <protection hidden="1"/>
    </xf>
    <xf numFmtId="0" fontId="20" fillId="0" borderId="2" xfId="0" applyFont="1" applyBorder="1" applyAlignment="1" applyProtection="1">
      <alignment horizontal="left" vertical="center"/>
      <protection hidden="1"/>
    </xf>
    <xf numFmtId="0" fontId="20" fillId="0" borderId="19" xfId="0" applyFont="1" applyBorder="1" applyAlignment="1" applyProtection="1">
      <alignment horizontal="left" vertical="center"/>
      <protection hidden="1"/>
    </xf>
    <xf numFmtId="49" fontId="19" fillId="2" borderId="42" xfId="2" applyNumberFormat="1" applyFont="1" applyFill="1" applyBorder="1" applyAlignment="1" applyProtection="1">
      <alignment horizontal="center" vertical="center"/>
      <protection hidden="1"/>
    </xf>
    <xf numFmtId="49" fontId="19" fillId="2" borderId="47" xfId="2" applyNumberFormat="1" applyFont="1" applyFill="1" applyBorder="1" applyAlignment="1" applyProtection="1">
      <alignment horizontal="center" vertical="center"/>
      <protection hidden="1"/>
    </xf>
    <xf numFmtId="49" fontId="19" fillId="2" borderId="44" xfId="2" applyNumberFormat="1" applyFont="1" applyFill="1" applyBorder="1" applyAlignment="1" applyProtection="1">
      <alignment horizontal="center" vertical="center"/>
      <protection hidden="1"/>
    </xf>
    <xf numFmtId="49" fontId="19" fillId="2" borderId="41" xfId="2" applyNumberFormat="1" applyFont="1" applyFill="1" applyBorder="1" applyAlignment="1" applyProtection="1">
      <alignment horizontal="center" vertical="center"/>
      <protection hidden="1"/>
    </xf>
    <xf numFmtId="0" fontId="19" fillId="0" borderId="3" xfId="0" applyFont="1" applyBorder="1" applyAlignment="1" applyProtection="1">
      <alignment horizontal="left" vertical="center"/>
      <protection hidden="1"/>
    </xf>
    <xf numFmtId="14" fontId="28" fillId="12" borderId="1" xfId="0" applyNumberFormat="1" applyFont="1" applyFill="1" applyBorder="1" applyAlignment="1" applyProtection="1">
      <alignment horizontal="center" vertical="center"/>
      <protection locked="0"/>
    </xf>
    <xf numFmtId="166" fontId="43" fillId="0" borderId="1" xfId="3" applyFont="1" applyFill="1" applyBorder="1" applyAlignment="1" applyProtection="1">
      <alignment horizontal="center" vertical="center" textRotation="90" wrapText="1"/>
      <protection hidden="1"/>
    </xf>
    <xf numFmtId="0" fontId="19" fillId="18" borderId="1" xfId="0" applyFont="1" applyFill="1" applyBorder="1" applyAlignment="1" applyProtection="1">
      <alignment horizontal="center" vertical="center" wrapText="1"/>
      <protection hidden="1"/>
    </xf>
    <xf numFmtId="49" fontId="19" fillId="2" borderId="43" xfId="2" applyNumberFormat="1" applyFont="1" applyFill="1" applyBorder="1" applyAlignment="1" applyProtection="1">
      <alignment horizontal="center" vertical="center"/>
      <protection hidden="1"/>
    </xf>
    <xf numFmtId="49" fontId="19" fillId="2" borderId="45" xfId="2" applyNumberFormat="1" applyFont="1" applyFill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left" vertical="center"/>
      <protection hidden="1"/>
    </xf>
    <xf numFmtId="49" fontId="19" fillId="2" borderId="1" xfId="2" applyNumberFormat="1" applyFont="1" applyFill="1" applyBorder="1" applyAlignment="1" applyProtection="1">
      <alignment horizontal="center" vertical="center"/>
      <protection hidden="1"/>
    </xf>
    <xf numFmtId="9" fontId="20" fillId="13" borderId="42" xfId="1" applyNumberFormat="1" applyFont="1" applyFill="1" applyBorder="1" applyAlignment="1" applyProtection="1">
      <alignment horizontal="center" vertical="center"/>
      <protection locked="0"/>
    </xf>
    <xf numFmtId="9" fontId="20" fillId="13" borderId="43" xfId="1" applyNumberFormat="1" applyFont="1" applyFill="1" applyBorder="1" applyAlignment="1" applyProtection="1">
      <alignment horizontal="center" vertical="center"/>
      <protection locked="0"/>
    </xf>
    <xf numFmtId="9" fontId="20" fillId="13" borderId="26" xfId="1" applyNumberFormat="1" applyFont="1" applyFill="1" applyBorder="1" applyAlignment="1" applyProtection="1">
      <alignment horizontal="center" vertical="center"/>
      <protection locked="0"/>
    </xf>
    <xf numFmtId="9" fontId="20" fillId="13" borderId="46" xfId="1" applyNumberFormat="1" applyFont="1" applyFill="1" applyBorder="1" applyAlignment="1" applyProtection="1">
      <alignment horizontal="center" vertical="center"/>
      <protection locked="0"/>
    </xf>
    <xf numFmtId="9" fontId="20" fillId="13" borderId="44" xfId="1" applyNumberFormat="1" applyFont="1" applyFill="1" applyBorder="1" applyAlignment="1" applyProtection="1">
      <alignment horizontal="center" vertical="center"/>
      <protection locked="0"/>
    </xf>
    <xf numFmtId="9" fontId="20" fillId="13" borderId="45" xfId="1" applyNumberFormat="1" applyFont="1" applyFill="1" applyBorder="1" applyAlignment="1" applyProtection="1">
      <alignment horizontal="center" vertical="center"/>
      <protection locked="0"/>
    </xf>
    <xf numFmtId="9" fontId="20" fillId="13" borderId="42" xfId="1" quotePrefix="1" applyNumberFormat="1" applyFont="1" applyFill="1" applyBorder="1" applyAlignment="1" applyProtection="1">
      <alignment horizontal="center" vertical="center"/>
      <protection locked="0"/>
    </xf>
    <xf numFmtId="9" fontId="20" fillId="13" borderId="43" xfId="1" quotePrefix="1" applyNumberFormat="1" applyFont="1" applyFill="1" applyBorder="1" applyAlignment="1" applyProtection="1">
      <alignment horizontal="center" vertical="center"/>
      <protection locked="0"/>
    </xf>
    <xf numFmtId="9" fontId="20" fillId="13" borderId="26" xfId="1" quotePrefix="1" applyNumberFormat="1" applyFont="1" applyFill="1" applyBorder="1" applyAlignment="1" applyProtection="1">
      <alignment horizontal="center" vertical="center"/>
      <protection locked="0"/>
    </xf>
    <xf numFmtId="9" fontId="20" fillId="13" borderId="46" xfId="1" quotePrefix="1" applyNumberFormat="1" applyFont="1" applyFill="1" applyBorder="1" applyAlignment="1" applyProtection="1">
      <alignment horizontal="center" vertical="center"/>
      <protection locked="0"/>
    </xf>
    <xf numFmtId="9" fontId="20" fillId="13" borderId="44" xfId="1" quotePrefix="1" applyNumberFormat="1" applyFont="1" applyFill="1" applyBorder="1" applyAlignment="1" applyProtection="1">
      <alignment horizontal="center" vertical="center"/>
      <protection locked="0"/>
    </xf>
    <xf numFmtId="9" fontId="20" fillId="13" borderId="45" xfId="1" quotePrefix="1" applyNumberFormat="1" applyFont="1" applyFill="1" applyBorder="1" applyAlignment="1" applyProtection="1">
      <alignment horizontal="center" vertical="center"/>
      <protection locked="0"/>
    </xf>
    <xf numFmtId="4" fontId="20" fillId="30" borderId="2" xfId="0" applyNumberFormat="1" applyFont="1" applyFill="1" applyBorder="1" applyAlignment="1" applyProtection="1">
      <alignment horizontal="center" vertical="center"/>
      <protection hidden="1"/>
    </xf>
    <xf numFmtId="4" fontId="20" fillId="30" borderId="3" xfId="0" applyNumberFormat="1" applyFont="1" applyFill="1" applyBorder="1" applyAlignment="1" applyProtection="1">
      <alignment horizontal="center" vertical="center"/>
      <protection hidden="1"/>
    </xf>
    <xf numFmtId="3" fontId="20" fillId="30" borderId="2" xfId="0" quotePrefix="1" applyNumberFormat="1" applyFont="1" applyFill="1" applyBorder="1" applyAlignment="1" applyProtection="1">
      <alignment horizontal="center" vertical="center"/>
      <protection hidden="1"/>
    </xf>
    <xf numFmtId="3" fontId="20" fillId="30" borderId="3" xfId="0" quotePrefix="1" applyNumberFormat="1" applyFont="1" applyFill="1" applyBorder="1" applyAlignment="1" applyProtection="1">
      <alignment horizontal="center" vertical="center"/>
      <protection hidden="1"/>
    </xf>
    <xf numFmtId="4" fontId="20" fillId="30" borderId="2" xfId="0" quotePrefix="1" applyNumberFormat="1" applyFont="1" applyFill="1" applyBorder="1" applyAlignment="1" applyProtection="1">
      <alignment horizontal="center" vertical="center"/>
      <protection hidden="1"/>
    </xf>
    <xf numFmtId="4" fontId="20" fillId="30" borderId="3" xfId="0" quotePrefix="1" applyNumberFormat="1" applyFont="1" applyFill="1" applyBorder="1" applyAlignment="1" applyProtection="1">
      <alignment horizontal="center" vertical="center"/>
      <protection hidden="1"/>
    </xf>
    <xf numFmtId="0" fontId="29" fillId="0" borderId="1" xfId="2" applyFont="1" applyFill="1" applyBorder="1" applyAlignment="1" applyProtection="1">
      <alignment horizontal="center" vertical="center"/>
      <protection hidden="1"/>
    </xf>
    <xf numFmtId="0" fontId="19" fillId="7" borderId="1" xfId="2" applyFont="1" applyFill="1" applyBorder="1" applyAlignment="1" applyProtection="1">
      <alignment horizontal="center" vertical="center"/>
      <protection hidden="1"/>
    </xf>
    <xf numFmtId="0" fontId="29" fillId="7" borderId="1" xfId="2" applyFont="1" applyFill="1" applyBorder="1" applyAlignment="1" applyProtection="1">
      <alignment horizontal="center" vertical="center"/>
      <protection hidden="1"/>
    </xf>
    <xf numFmtId="0" fontId="20" fillId="0" borderId="3" xfId="0" applyFont="1" applyBorder="1" applyAlignment="1" applyProtection="1">
      <alignment horizontal="left" vertical="center"/>
      <protection hidden="1"/>
    </xf>
    <xf numFmtId="0" fontId="19" fillId="18" borderId="1" xfId="0" applyFont="1" applyFill="1" applyBorder="1" applyAlignment="1" applyProtection="1">
      <alignment horizontal="center" vertical="center"/>
      <protection hidden="1"/>
    </xf>
    <xf numFmtId="0" fontId="19" fillId="11" borderId="1" xfId="0" applyFont="1" applyFill="1" applyBorder="1" applyAlignment="1" applyProtection="1">
      <alignment horizontal="center" vertical="center"/>
      <protection hidden="1"/>
    </xf>
    <xf numFmtId="3" fontId="19" fillId="0" borderId="1" xfId="2" applyNumberFormat="1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left" vertical="center"/>
      <protection hidden="1"/>
    </xf>
    <xf numFmtId="3" fontId="22" fillId="0" borderId="1" xfId="2" applyNumberFormat="1" applyFont="1" applyFill="1" applyBorder="1" applyAlignment="1" applyProtection="1">
      <alignment horizontal="center" vertical="center"/>
      <protection hidden="1"/>
    </xf>
    <xf numFmtId="166" fontId="40" fillId="0" borderId="1" xfId="3" applyFont="1" applyFill="1" applyBorder="1" applyAlignment="1" applyProtection="1">
      <alignment horizontal="center" vertical="center" textRotation="90"/>
      <protection hidden="1"/>
    </xf>
    <xf numFmtId="0" fontId="35" fillId="32" borderId="1" xfId="0" applyFont="1" applyFill="1" applyBorder="1" applyAlignment="1" applyProtection="1">
      <alignment horizontal="center"/>
      <protection hidden="1"/>
    </xf>
    <xf numFmtId="0" fontId="34" fillId="0" borderId="6" xfId="0" applyFont="1" applyBorder="1" applyAlignment="1" applyProtection="1">
      <alignment horizontal="center" vertical="center"/>
      <protection hidden="1"/>
    </xf>
    <xf numFmtId="0" fontId="34" fillId="0" borderId="7" xfId="0" applyFont="1" applyBorder="1" applyAlignment="1" applyProtection="1">
      <alignment horizontal="center" vertical="center"/>
      <protection hidden="1"/>
    </xf>
    <xf numFmtId="0" fontId="34" fillId="0" borderId="8" xfId="0" applyFont="1" applyBorder="1" applyAlignment="1" applyProtection="1">
      <alignment horizontal="center" vertical="center"/>
      <protection hidden="1"/>
    </xf>
    <xf numFmtId="0" fontId="34" fillId="10" borderId="24" xfId="0" applyFont="1" applyFill="1" applyBorder="1" applyAlignment="1" applyProtection="1">
      <alignment horizontal="center"/>
      <protection hidden="1"/>
    </xf>
    <xf numFmtId="0" fontId="34" fillId="10" borderId="15" xfId="0" applyFont="1" applyFill="1" applyBorder="1" applyAlignment="1" applyProtection="1">
      <alignment horizontal="center"/>
      <protection hidden="1"/>
    </xf>
    <xf numFmtId="0" fontId="34" fillId="10" borderId="16" xfId="0" applyFont="1" applyFill="1" applyBorder="1" applyAlignment="1" applyProtection="1">
      <alignment horizontal="center"/>
      <protection hidden="1"/>
    </xf>
    <xf numFmtId="0" fontId="34" fillId="10" borderId="20" xfId="0" applyFont="1" applyFill="1" applyBorder="1" applyAlignment="1" applyProtection="1">
      <alignment horizontal="center"/>
      <protection hidden="1"/>
    </xf>
    <xf numFmtId="0" fontId="34" fillId="10" borderId="27" xfId="0" applyFont="1" applyFill="1" applyBorder="1" applyAlignment="1" applyProtection="1">
      <alignment horizontal="center"/>
      <protection hidden="1"/>
    </xf>
    <xf numFmtId="0" fontId="0" fillId="4" borderId="6" xfId="0" applyFill="1" applyBorder="1" applyAlignment="1" applyProtection="1">
      <alignment horizontal="center" vertical="top" wrapText="1"/>
      <protection hidden="1"/>
    </xf>
    <xf numFmtId="0" fontId="0" fillId="4" borderId="8" xfId="0" applyFill="1" applyBorder="1" applyAlignment="1" applyProtection="1">
      <alignment horizontal="center" vertical="top" wrapText="1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0" fillId="4" borderId="6" xfId="0" applyFill="1" applyBorder="1" applyAlignment="1" applyProtection="1">
      <alignment horizontal="center" vertical="center"/>
      <protection hidden="1"/>
    </xf>
    <xf numFmtId="0" fontId="0" fillId="4" borderId="8" xfId="0" applyFill="1" applyBorder="1" applyAlignment="1" applyProtection="1">
      <alignment horizontal="center" vertical="center"/>
      <protection hidden="1"/>
    </xf>
    <xf numFmtId="0" fontId="0" fillId="4" borderId="6" xfId="0" applyFill="1" applyBorder="1" applyAlignment="1" applyProtection="1">
      <alignment horizontal="center" wrapText="1"/>
      <protection hidden="1"/>
    </xf>
    <xf numFmtId="0" fontId="0" fillId="4" borderId="7" xfId="0" applyFill="1" applyBorder="1" applyAlignment="1" applyProtection="1">
      <alignment horizontal="center" wrapText="1"/>
      <protection hidden="1"/>
    </xf>
    <xf numFmtId="0" fontId="0" fillId="0" borderId="4" xfId="0" applyBorder="1" applyAlignment="1">
      <alignment horizontal="left"/>
    </xf>
  </cellXfs>
  <cellStyles count="9">
    <cellStyle name="Comma" xfId="7" builtinId="3"/>
    <cellStyle name="Milliers 2" xfId="4"/>
    <cellStyle name="Milliers 3" xfId="8"/>
    <cellStyle name="Normal" xfId="0" builtinId="0"/>
    <cellStyle name="Normal 2" xfId="3"/>
    <cellStyle name="Normal 2 2" xfId="5"/>
    <cellStyle name="Normal 2 3" xfId="6"/>
    <cellStyle name="Normal 4 2" xfId="2"/>
    <cellStyle name="Percent" xfId="1" builtinId="5"/>
  </cellStyles>
  <dxfs count="232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6" tint="0.39994506668294322"/>
      </font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FFFCC"/>
      <color rgb="FFFF0000"/>
      <color rgb="FFFF3300"/>
      <color rgb="FFCCCC00"/>
      <color rgb="FFFF6600"/>
      <color rgb="FF99CCFF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7.xml"/><Relationship Id="rId47" Type="http://schemas.openxmlformats.org/officeDocument/2006/relationships/externalLink" Target="externalLinks/externalLink12.xml"/><Relationship Id="rId63" Type="http://schemas.openxmlformats.org/officeDocument/2006/relationships/externalLink" Target="externalLinks/externalLink28.xml"/><Relationship Id="rId68" Type="http://schemas.openxmlformats.org/officeDocument/2006/relationships/externalLink" Target="externalLinks/externalLink33.xml"/><Relationship Id="rId84" Type="http://schemas.openxmlformats.org/officeDocument/2006/relationships/externalLink" Target="externalLinks/externalLink49.xml"/><Relationship Id="rId89" Type="http://schemas.openxmlformats.org/officeDocument/2006/relationships/externalLink" Target="externalLinks/externalLink54.xml"/><Relationship Id="rId16" Type="http://schemas.openxmlformats.org/officeDocument/2006/relationships/worksheet" Target="worksheets/sheet16.xml"/><Relationship Id="rId107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8.xml"/><Relationship Id="rId58" Type="http://schemas.openxmlformats.org/officeDocument/2006/relationships/externalLink" Target="externalLinks/externalLink23.xml"/><Relationship Id="rId74" Type="http://schemas.openxmlformats.org/officeDocument/2006/relationships/externalLink" Target="externalLinks/externalLink39.xml"/><Relationship Id="rId79" Type="http://schemas.openxmlformats.org/officeDocument/2006/relationships/externalLink" Target="externalLinks/externalLink44.xml"/><Relationship Id="rId102" Type="http://schemas.openxmlformats.org/officeDocument/2006/relationships/externalLink" Target="externalLinks/externalLink67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55.xml"/><Relationship Id="rId95" Type="http://schemas.openxmlformats.org/officeDocument/2006/relationships/externalLink" Target="externalLinks/externalLink60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externalLink" Target="externalLinks/externalLink8.xml"/><Relationship Id="rId48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9.xml"/><Relationship Id="rId69" Type="http://schemas.openxmlformats.org/officeDocument/2006/relationships/externalLink" Target="externalLinks/externalLink34.xml"/><Relationship Id="rId80" Type="http://schemas.openxmlformats.org/officeDocument/2006/relationships/externalLink" Target="externalLinks/externalLink45.xml"/><Relationship Id="rId85" Type="http://schemas.openxmlformats.org/officeDocument/2006/relationships/externalLink" Target="externalLinks/externalLink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59" Type="http://schemas.openxmlformats.org/officeDocument/2006/relationships/externalLink" Target="externalLinks/externalLink24.xml"/><Relationship Id="rId103" Type="http://schemas.openxmlformats.org/officeDocument/2006/relationships/externalLink" Target="externalLinks/externalLink68.xml"/><Relationship Id="rId108" Type="http://schemas.openxmlformats.org/officeDocument/2006/relationships/styles" Target="styles.xml"/><Relationship Id="rId54" Type="http://schemas.openxmlformats.org/officeDocument/2006/relationships/externalLink" Target="externalLinks/externalLink19.xml"/><Relationship Id="rId70" Type="http://schemas.openxmlformats.org/officeDocument/2006/relationships/externalLink" Target="externalLinks/externalLink35.xml"/><Relationship Id="rId75" Type="http://schemas.openxmlformats.org/officeDocument/2006/relationships/externalLink" Target="externalLinks/externalLink40.xml"/><Relationship Id="rId91" Type="http://schemas.openxmlformats.org/officeDocument/2006/relationships/externalLink" Target="externalLinks/externalLink56.xml"/><Relationship Id="rId96" Type="http://schemas.openxmlformats.org/officeDocument/2006/relationships/externalLink" Target="externalLinks/externalLink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externalLink" Target="externalLinks/externalLink14.xml"/><Relationship Id="rId57" Type="http://schemas.openxmlformats.org/officeDocument/2006/relationships/externalLink" Target="externalLinks/externalLink22.xml"/><Relationship Id="rId106" Type="http://schemas.openxmlformats.org/officeDocument/2006/relationships/externalLink" Target="externalLinks/externalLink7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9.xml"/><Relationship Id="rId52" Type="http://schemas.openxmlformats.org/officeDocument/2006/relationships/externalLink" Target="externalLinks/externalLink17.xml"/><Relationship Id="rId60" Type="http://schemas.openxmlformats.org/officeDocument/2006/relationships/externalLink" Target="externalLinks/externalLink25.xml"/><Relationship Id="rId65" Type="http://schemas.openxmlformats.org/officeDocument/2006/relationships/externalLink" Target="externalLinks/externalLink30.xml"/><Relationship Id="rId73" Type="http://schemas.openxmlformats.org/officeDocument/2006/relationships/externalLink" Target="externalLinks/externalLink38.xml"/><Relationship Id="rId78" Type="http://schemas.openxmlformats.org/officeDocument/2006/relationships/externalLink" Target="externalLinks/externalLink43.xml"/><Relationship Id="rId81" Type="http://schemas.openxmlformats.org/officeDocument/2006/relationships/externalLink" Target="externalLinks/externalLink46.xml"/><Relationship Id="rId86" Type="http://schemas.openxmlformats.org/officeDocument/2006/relationships/externalLink" Target="externalLinks/externalLink51.xml"/><Relationship Id="rId94" Type="http://schemas.openxmlformats.org/officeDocument/2006/relationships/externalLink" Target="externalLinks/externalLink59.xml"/><Relationship Id="rId99" Type="http://schemas.openxmlformats.org/officeDocument/2006/relationships/externalLink" Target="externalLinks/externalLink64.xml"/><Relationship Id="rId101" Type="http://schemas.openxmlformats.org/officeDocument/2006/relationships/externalLink" Target="externalLinks/externalLink6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4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5.xml"/><Relationship Id="rId55" Type="http://schemas.openxmlformats.org/officeDocument/2006/relationships/externalLink" Target="externalLinks/externalLink20.xml"/><Relationship Id="rId76" Type="http://schemas.openxmlformats.org/officeDocument/2006/relationships/externalLink" Target="externalLinks/externalLink41.xml"/><Relationship Id="rId97" Type="http://schemas.openxmlformats.org/officeDocument/2006/relationships/externalLink" Target="externalLinks/externalLink62.xml"/><Relationship Id="rId104" Type="http://schemas.openxmlformats.org/officeDocument/2006/relationships/externalLink" Target="externalLinks/externalLink69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36.xml"/><Relationship Id="rId92" Type="http://schemas.openxmlformats.org/officeDocument/2006/relationships/externalLink" Target="externalLinks/externalLink5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externalLink" Target="externalLinks/externalLink5.xml"/><Relationship Id="rId45" Type="http://schemas.openxmlformats.org/officeDocument/2006/relationships/externalLink" Target="externalLinks/externalLink10.xml"/><Relationship Id="rId66" Type="http://schemas.openxmlformats.org/officeDocument/2006/relationships/externalLink" Target="externalLinks/externalLink31.xml"/><Relationship Id="rId87" Type="http://schemas.openxmlformats.org/officeDocument/2006/relationships/externalLink" Target="externalLinks/externalLink52.xml"/><Relationship Id="rId110" Type="http://schemas.openxmlformats.org/officeDocument/2006/relationships/calcChain" Target="calcChain.xml"/><Relationship Id="rId61" Type="http://schemas.openxmlformats.org/officeDocument/2006/relationships/externalLink" Target="externalLinks/externalLink26.xml"/><Relationship Id="rId82" Type="http://schemas.openxmlformats.org/officeDocument/2006/relationships/externalLink" Target="externalLinks/externalLink4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externalLink" Target="externalLinks/externalLink21.xml"/><Relationship Id="rId77" Type="http://schemas.openxmlformats.org/officeDocument/2006/relationships/externalLink" Target="externalLinks/externalLink42.xml"/><Relationship Id="rId100" Type="http://schemas.openxmlformats.org/officeDocument/2006/relationships/externalLink" Target="externalLinks/externalLink65.xml"/><Relationship Id="rId105" Type="http://schemas.openxmlformats.org/officeDocument/2006/relationships/externalLink" Target="externalLinks/externalLink70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6.xml"/><Relationship Id="rId72" Type="http://schemas.openxmlformats.org/officeDocument/2006/relationships/externalLink" Target="externalLinks/externalLink37.xml"/><Relationship Id="rId93" Type="http://schemas.openxmlformats.org/officeDocument/2006/relationships/externalLink" Target="externalLinks/externalLink58.xml"/><Relationship Id="rId98" Type="http://schemas.openxmlformats.org/officeDocument/2006/relationships/externalLink" Target="externalLinks/externalLink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externalLink" Target="externalLinks/externalLink11.xml"/><Relationship Id="rId67" Type="http://schemas.openxmlformats.org/officeDocument/2006/relationships/externalLink" Target="externalLinks/externalLink32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6.xml"/><Relationship Id="rId62" Type="http://schemas.openxmlformats.org/officeDocument/2006/relationships/externalLink" Target="externalLinks/externalLink27.xml"/><Relationship Id="rId83" Type="http://schemas.openxmlformats.org/officeDocument/2006/relationships/externalLink" Target="externalLinks/externalLink48.xml"/><Relationship Id="rId88" Type="http://schemas.openxmlformats.org/officeDocument/2006/relationships/externalLink" Target="externalLinks/externalLink53.xml"/><Relationship Id="rId111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352425</xdr:colOff>
      <xdr:row>0</xdr:row>
      <xdr:rowOff>0</xdr:rowOff>
    </xdr:from>
    <xdr:to>
      <xdr:col>4</xdr:col>
      <xdr:colOff>936189</xdr:colOff>
      <xdr:row>0</xdr:row>
      <xdr:rowOff>381000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352425</xdr:colOff>
      <xdr:row>0</xdr:row>
      <xdr:rowOff>0</xdr:rowOff>
    </xdr:from>
    <xdr:to>
      <xdr:col>4</xdr:col>
      <xdr:colOff>361950</xdr:colOff>
      <xdr:row>0</xdr:row>
      <xdr:rowOff>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352425</xdr:colOff>
      <xdr:row>0</xdr:row>
      <xdr:rowOff>0</xdr:rowOff>
    </xdr:from>
    <xdr:to>
      <xdr:col>4</xdr:col>
      <xdr:colOff>361950</xdr:colOff>
      <xdr:row>0</xdr:row>
      <xdr:rowOff>0</xdr:rowOff>
    </xdr:to>
    <xdr:pic>
      <xdr:nvPicPr>
        <xdr:cNvPr id="3" name="CommandButton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225" y="704850"/>
          <a:ext cx="9525" cy="9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0</xdr:row>
      <xdr:rowOff>0</xdr:rowOff>
    </xdr:from>
    <xdr:to>
      <xdr:col>1</xdr:col>
      <xdr:colOff>1023408</xdr:colOff>
      <xdr:row>1</xdr:row>
      <xdr:rowOff>73757</xdr:rowOff>
    </xdr:to>
    <xdr:sp macro="" textlink="">
      <xdr:nvSpPr>
        <xdr:cNvPr id="1025" name="CommandButton2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47625</xdr:colOff>
      <xdr:row>0</xdr:row>
      <xdr:rowOff>0</xdr:rowOff>
    </xdr:from>
    <xdr:to>
      <xdr:col>1</xdr:col>
      <xdr:colOff>1023408</xdr:colOff>
      <xdr:row>1</xdr:row>
      <xdr:rowOff>73757</xdr:rowOff>
    </xdr:to>
    <xdr:sp macro="" textlink="">
      <xdr:nvSpPr>
        <xdr:cNvPr id="4" name="CommandButton2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57150</xdr:rowOff>
        </xdr:from>
        <xdr:to>
          <xdr:col>1</xdr:col>
          <xdr:colOff>857250</xdr:colOff>
          <xdr:row>0</xdr:row>
          <xdr:rowOff>485775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Envoi_RR0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0</xdr:rowOff>
        </xdr:from>
        <xdr:to>
          <xdr:col>1</xdr:col>
          <xdr:colOff>1057275</xdr:colOff>
          <xdr:row>0</xdr:row>
          <xdr:rowOff>0</xdr:rowOff>
        </xdr:to>
        <xdr:sp macro="" textlink="">
          <xdr:nvSpPr>
            <xdr:cNvPr id="5121" name="Button 5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Envoi R0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76200</xdr:rowOff>
        </xdr:from>
        <xdr:to>
          <xdr:col>1</xdr:col>
          <xdr:colOff>809625</xdr:colOff>
          <xdr:row>0</xdr:row>
          <xdr:rowOff>542925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Envoi_RR0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104775</xdr:rowOff>
        </xdr:from>
        <xdr:to>
          <xdr:col>2</xdr:col>
          <xdr:colOff>38100</xdr:colOff>
          <xdr:row>0</xdr:row>
          <xdr:rowOff>495300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Envoi_RR0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104775</xdr:rowOff>
        </xdr:from>
        <xdr:to>
          <xdr:col>2</xdr:col>
          <xdr:colOff>152400</xdr:colOff>
          <xdr:row>0</xdr:row>
          <xdr:rowOff>542925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Envoi_RR0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1067496</xdr:colOff>
      <xdr:row>12</xdr:row>
      <xdr:rowOff>2</xdr:rowOff>
    </xdr:from>
    <xdr:to>
      <xdr:col>11</xdr:col>
      <xdr:colOff>23230</xdr:colOff>
      <xdr:row>20</xdr:row>
      <xdr:rowOff>0</xdr:rowOff>
    </xdr:to>
    <xdr:sp macro="" textlink="">
      <xdr:nvSpPr>
        <xdr:cNvPr id="100" name="Rectangle à coins arrondis 99">
          <a:extLst>
            <a:ext uri="{FF2B5EF4-FFF2-40B4-BE49-F238E27FC236}">
              <a16:creationId xmlns:a16="http://schemas.microsoft.com/office/drawing/2014/main" id="{00000000-0008-0000-1700-000064000000}"/>
            </a:ext>
          </a:extLst>
        </xdr:cNvPr>
        <xdr:cNvSpPr/>
      </xdr:nvSpPr>
      <xdr:spPr>
        <a:xfrm>
          <a:off x="1787679" y="2555490"/>
          <a:ext cx="7423691" cy="1568138"/>
        </a:xfrm>
        <a:prstGeom prst="roundRect">
          <a:avLst>
            <a:gd name="adj" fmla="val 6780"/>
          </a:avLst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endParaRPr lang="fr-F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11615</xdr:colOff>
      <xdr:row>4</xdr:row>
      <xdr:rowOff>2</xdr:rowOff>
    </xdr:from>
    <xdr:to>
      <xdr:col>10</xdr:col>
      <xdr:colOff>1347439</xdr:colOff>
      <xdr:row>11</xdr:row>
      <xdr:rowOff>185854</xdr:rowOff>
    </xdr:to>
    <xdr:sp macro="" textlink="">
      <xdr:nvSpPr>
        <xdr:cNvPr id="76" name="Rectangle à coins arrondis 75">
          <a:extLst>
            <a:ext uri="{FF2B5EF4-FFF2-40B4-BE49-F238E27FC236}">
              <a16:creationId xmlns:a16="http://schemas.microsoft.com/office/drawing/2014/main" id="{00000000-0008-0000-1700-00004C000000}"/>
            </a:ext>
          </a:extLst>
        </xdr:cNvPr>
        <xdr:cNvSpPr/>
      </xdr:nvSpPr>
      <xdr:spPr>
        <a:xfrm>
          <a:off x="1812072" y="1045429"/>
          <a:ext cx="7364452" cy="1498443"/>
        </a:xfrm>
        <a:prstGeom prst="roundRect">
          <a:avLst>
            <a:gd name="adj" fmla="val 3984"/>
          </a:avLst>
        </a:prstGeom>
        <a:solidFill>
          <a:schemeClr val="accent2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37</xdr:col>
      <xdr:colOff>139391</xdr:colOff>
      <xdr:row>20</xdr:row>
      <xdr:rowOff>81311</xdr:rowOff>
    </xdr:from>
    <xdr:to>
      <xdr:col>39</xdr:col>
      <xdr:colOff>116159</xdr:colOff>
      <xdr:row>26</xdr:row>
      <xdr:rowOff>46463</xdr:rowOff>
    </xdr:to>
    <xdr:sp macro="" textlink="">
      <xdr:nvSpPr>
        <xdr:cNvPr id="77" name="Rectangle à coins arrondis 76">
          <a:extLst>
            <a:ext uri="{FF2B5EF4-FFF2-40B4-BE49-F238E27FC236}">
              <a16:creationId xmlns:a16="http://schemas.microsoft.com/office/drawing/2014/main" id="{00000000-0008-0000-1700-00004D000000}"/>
            </a:ext>
          </a:extLst>
        </xdr:cNvPr>
        <xdr:cNvSpPr/>
      </xdr:nvSpPr>
      <xdr:spPr>
        <a:xfrm>
          <a:off x="31362806" y="3937774"/>
          <a:ext cx="1510060" cy="111512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800"/>
            <a:t>42500</a:t>
          </a:r>
        </a:p>
      </xdr:txBody>
    </xdr:sp>
    <xdr:clientData/>
  </xdr:twoCellAnchor>
  <xdr:twoCellAnchor>
    <xdr:from>
      <xdr:col>1</xdr:col>
      <xdr:colOff>957808</xdr:colOff>
      <xdr:row>19</xdr:row>
      <xdr:rowOff>190501</xdr:rowOff>
    </xdr:from>
    <xdr:to>
      <xdr:col>11</xdr:col>
      <xdr:colOff>0</xdr:colOff>
      <xdr:row>28</xdr:row>
      <xdr:rowOff>160632</xdr:rowOff>
    </xdr:to>
    <xdr:sp macro="" textlink="">
      <xdr:nvSpPr>
        <xdr:cNvPr id="78" name="Rectangle à coins arrondis 77">
          <a:extLst>
            <a:ext uri="{FF2B5EF4-FFF2-40B4-BE49-F238E27FC236}">
              <a16:creationId xmlns:a16="http://schemas.microsoft.com/office/drawing/2014/main" id="{00000000-0008-0000-1700-00004E000000}"/>
            </a:ext>
          </a:extLst>
        </xdr:cNvPr>
        <xdr:cNvSpPr/>
      </xdr:nvSpPr>
      <xdr:spPr>
        <a:xfrm>
          <a:off x="1678987" y="5538108"/>
          <a:ext cx="7505834" cy="2052024"/>
        </a:xfrm>
        <a:prstGeom prst="roundRect">
          <a:avLst>
            <a:gd name="adj" fmla="val 18924"/>
          </a:avLst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1074933</xdr:colOff>
      <xdr:row>28</xdr:row>
      <xdr:rowOff>23231</xdr:rowOff>
    </xdr:from>
    <xdr:to>
      <xdr:col>11</xdr:col>
      <xdr:colOff>11618</xdr:colOff>
      <xdr:row>36</xdr:row>
      <xdr:rowOff>11616</xdr:rowOff>
    </xdr:to>
    <xdr:sp macro="" textlink="">
      <xdr:nvSpPr>
        <xdr:cNvPr id="79" name="Rectangle à coins arrondis 78">
          <a:extLst>
            <a:ext uri="{FF2B5EF4-FFF2-40B4-BE49-F238E27FC236}">
              <a16:creationId xmlns:a16="http://schemas.microsoft.com/office/drawing/2014/main" id="{00000000-0008-0000-1700-00004F000000}"/>
            </a:ext>
          </a:extLst>
        </xdr:cNvPr>
        <xdr:cNvSpPr/>
      </xdr:nvSpPr>
      <xdr:spPr>
        <a:xfrm>
          <a:off x="1796112" y="7275838"/>
          <a:ext cx="7400327" cy="2573742"/>
        </a:xfrm>
        <a:prstGeom prst="roundRect">
          <a:avLst>
            <a:gd name="adj" fmla="val 14444"/>
          </a:avLst>
        </a:prstGeom>
        <a:solidFill>
          <a:schemeClr val="accent2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480051</xdr:colOff>
      <xdr:row>5</xdr:row>
      <xdr:rowOff>217183</xdr:rowOff>
    </xdr:from>
    <xdr:to>
      <xdr:col>7</xdr:col>
      <xdr:colOff>720547</xdr:colOff>
      <xdr:row>10</xdr:row>
      <xdr:rowOff>203519</xdr:rowOff>
    </xdr:to>
    <xdr:sp macro="" textlink="">
      <xdr:nvSpPr>
        <xdr:cNvPr id="80" name="AutoShape 922">
          <a:extLst>
            <a:ext uri="{FF2B5EF4-FFF2-40B4-BE49-F238E27FC236}">
              <a16:creationId xmlns:a16="http://schemas.microsoft.com/office/drawing/2014/main" id="{00000000-0008-0000-1700-000050000000}"/>
            </a:ext>
          </a:extLst>
        </xdr:cNvPr>
        <xdr:cNvSpPr>
          <a:spLocks noChangeArrowheads="1"/>
        </xdr:cNvSpPr>
      </xdr:nvSpPr>
      <xdr:spPr bwMode="auto">
        <a:xfrm>
          <a:off x="6140622" y="1768397"/>
          <a:ext cx="240496" cy="1687229"/>
        </a:xfrm>
        <a:prstGeom prst="verticalScroll">
          <a:avLst>
            <a:gd name="adj" fmla="val 12000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vert="vert" wrap="square" lIns="27432" tIns="22860" rIns="0" bIns="22860" anchor="b" upright="1"/>
        <a:lstStyle/>
        <a:p>
          <a:pPr algn="ctr" rtl="0">
            <a:defRPr sz="1000"/>
          </a:pPr>
          <a:r>
            <a:rPr lang="fr-FR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900" b="1" i="0" strike="noStrike">
              <a:solidFill>
                <a:srgbClr val="000000"/>
              </a:solidFill>
              <a:latin typeface="Arial"/>
              <a:cs typeface="Arial"/>
            </a:rPr>
            <a:t>TRANSFERT</a:t>
          </a:r>
        </a:p>
      </xdr:txBody>
    </xdr:sp>
    <xdr:clientData/>
  </xdr:twoCellAnchor>
  <xdr:twoCellAnchor>
    <xdr:from>
      <xdr:col>8</xdr:col>
      <xdr:colOff>35386</xdr:colOff>
      <xdr:row>5</xdr:row>
      <xdr:rowOff>251733</xdr:rowOff>
    </xdr:from>
    <xdr:to>
      <xdr:col>8</xdr:col>
      <xdr:colOff>692636</xdr:colOff>
      <xdr:row>10</xdr:row>
      <xdr:rowOff>227339</xdr:rowOff>
    </xdr:to>
    <xdr:sp macro="" textlink="">
      <xdr:nvSpPr>
        <xdr:cNvPr id="81" name="AutoShape 10501">
          <a:extLst>
            <a:ext uri="{FF2B5EF4-FFF2-40B4-BE49-F238E27FC236}">
              <a16:creationId xmlns:a16="http://schemas.microsoft.com/office/drawing/2014/main" id="{00000000-0008-0000-1700-000051000000}"/>
            </a:ext>
          </a:extLst>
        </xdr:cNvPr>
        <xdr:cNvSpPr>
          <a:spLocks noChangeArrowheads="1"/>
        </xdr:cNvSpPr>
      </xdr:nvSpPr>
      <xdr:spPr bwMode="auto">
        <a:xfrm>
          <a:off x="6417136" y="1802947"/>
          <a:ext cx="657250" cy="1676499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11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Profil BG                   </a:t>
          </a:r>
        </a:p>
        <a:p>
          <a:pPr marL="0" indent="0" algn="ctr" eaLnBrk="1" fontAlgn="auto" latinLnBrk="0" hangingPunct="1"/>
          <a:r>
            <a:rPr lang="fr-FR" sz="12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46767</a:t>
          </a:r>
        </a:p>
        <a:p>
          <a:pPr marL="0" indent="0" algn="ctr" eaLnBrk="1" fontAlgn="auto" latinLnBrk="0" hangingPunct="1"/>
          <a:endParaRPr lang="fr-FR" sz="11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650156</xdr:colOff>
      <xdr:row>15</xdr:row>
      <xdr:rowOff>99200</xdr:rowOff>
    </xdr:from>
    <xdr:to>
      <xdr:col>11</xdr:col>
      <xdr:colOff>9625</xdr:colOff>
      <xdr:row>19</xdr:row>
      <xdr:rowOff>164614</xdr:rowOff>
    </xdr:to>
    <xdr:sp macro="" textlink="">
      <xdr:nvSpPr>
        <xdr:cNvPr id="82" name="AutoShape 10501">
          <a:extLst>
            <a:ext uri="{FF2B5EF4-FFF2-40B4-BE49-F238E27FC236}">
              <a16:creationId xmlns:a16="http://schemas.microsoft.com/office/drawing/2014/main" id="{00000000-0008-0000-1700-000052000000}"/>
            </a:ext>
          </a:extLst>
        </xdr:cNvPr>
        <xdr:cNvSpPr>
          <a:spLocks noChangeArrowheads="1"/>
        </xdr:cNvSpPr>
      </xdr:nvSpPr>
      <xdr:spPr bwMode="auto">
        <a:xfrm>
          <a:off x="7753085" y="4630379"/>
          <a:ext cx="1441361" cy="868235"/>
        </a:xfrm>
        <a:prstGeom prst="flowChartAlternateProcess">
          <a:avLst/>
        </a:prstGeom>
        <a:solidFill>
          <a:srgbClr val="0070C0">
            <a:alpha val="60784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 b="1" i="0" noProof="0">
              <a:solidFill>
                <a:schemeClr val="tx1"/>
              </a:solidFill>
              <a:latin typeface="+mn-lt"/>
              <a:ea typeface="+mn-ea"/>
              <a:cs typeface="+mn-cs"/>
            </a:rPr>
            <a:t>TBT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 b="1" i="0" noProof="0">
              <a:solidFill>
                <a:schemeClr val="tx1"/>
              </a:solidFill>
              <a:latin typeface="+mn-lt"/>
              <a:ea typeface="+mn-ea"/>
              <a:cs typeface="+mn-cs"/>
            </a:rPr>
            <a:t>58782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05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05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05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05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367392</xdr:colOff>
      <xdr:row>4</xdr:row>
      <xdr:rowOff>46464</xdr:rowOff>
    </xdr:from>
    <xdr:to>
      <xdr:col>10</xdr:col>
      <xdr:colOff>1211035</xdr:colOff>
      <xdr:row>5</xdr:row>
      <xdr:rowOff>68036</xdr:rowOff>
    </xdr:to>
    <xdr:sp macro="" textlink="">
      <xdr:nvSpPr>
        <xdr:cNvPr id="83" name="Organigramme : Opération manuelle 82">
          <a:extLst>
            <a:ext uri="{FF2B5EF4-FFF2-40B4-BE49-F238E27FC236}">
              <a16:creationId xmlns:a16="http://schemas.microsoft.com/office/drawing/2014/main" id="{00000000-0008-0000-1700-000053000000}"/>
            </a:ext>
          </a:extLst>
        </xdr:cNvPr>
        <xdr:cNvSpPr/>
      </xdr:nvSpPr>
      <xdr:spPr bwMode="auto">
        <a:xfrm flipH="1">
          <a:off x="8191499" y="1257500"/>
          <a:ext cx="843643" cy="361750"/>
        </a:xfrm>
        <a:prstGeom prst="flowChartManualOperation">
          <a:avLst/>
        </a:prstGeom>
        <a:solidFill>
          <a:srgbClr val="00B0F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sz="1100"/>
            <a:t>Strl</a:t>
          </a:r>
        </a:p>
      </xdr:txBody>
    </xdr:sp>
    <xdr:clientData/>
  </xdr:twoCellAnchor>
  <xdr:twoCellAnchor>
    <xdr:from>
      <xdr:col>35</xdr:col>
      <xdr:colOff>406557</xdr:colOff>
      <xdr:row>18</xdr:row>
      <xdr:rowOff>81309</xdr:rowOff>
    </xdr:from>
    <xdr:to>
      <xdr:col>37</xdr:col>
      <xdr:colOff>46465</xdr:colOff>
      <xdr:row>23</xdr:row>
      <xdr:rowOff>127772</xdr:rowOff>
    </xdr:to>
    <xdr:sp macro="" textlink="">
      <xdr:nvSpPr>
        <xdr:cNvPr id="86" name="AutoShape 10501">
          <a:extLst>
            <a:ext uri="{FF2B5EF4-FFF2-40B4-BE49-F238E27FC236}">
              <a16:creationId xmlns:a16="http://schemas.microsoft.com/office/drawing/2014/main" id="{00000000-0008-0000-1700-000056000000}"/>
            </a:ext>
          </a:extLst>
        </xdr:cNvPr>
        <xdr:cNvSpPr>
          <a:spLocks noChangeArrowheads="1"/>
        </xdr:cNvSpPr>
      </xdr:nvSpPr>
      <xdr:spPr bwMode="auto">
        <a:xfrm>
          <a:off x="28656313" y="3775150"/>
          <a:ext cx="1173201" cy="1068659"/>
        </a:xfrm>
        <a:prstGeom prst="flowChartAlternateProcess">
          <a:avLst/>
        </a:prstGeom>
        <a:solidFill>
          <a:srgbClr val="FF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i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fr-FR" sz="2000" b="1" i="0" noProof="0">
              <a:solidFill>
                <a:schemeClr val="tx1"/>
              </a:solidFill>
              <a:latin typeface="+mn-lt"/>
              <a:ea typeface="+mn-ea"/>
              <a:cs typeface="+mn-cs"/>
            </a:rPr>
            <a:t>PROFIL</a:t>
          </a:r>
          <a:r>
            <a:rPr lang="fr-FR" sz="20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 BG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399584</xdr:colOff>
      <xdr:row>5</xdr:row>
      <xdr:rowOff>240945</xdr:rowOff>
    </xdr:from>
    <xdr:to>
      <xdr:col>10</xdr:col>
      <xdr:colOff>562206</xdr:colOff>
      <xdr:row>10</xdr:row>
      <xdr:rowOff>240946</xdr:rowOff>
    </xdr:to>
    <xdr:sp macro="" textlink="">
      <xdr:nvSpPr>
        <xdr:cNvPr id="89" name="AutoShape 10501">
          <a:extLst>
            <a:ext uri="{FF2B5EF4-FFF2-40B4-BE49-F238E27FC236}">
              <a16:creationId xmlns:a16="http://schemas.microsoft.com/office/drawing/2014/main" id="{00000000-0008-0000-1700-000059000000}"/>
            </a:ext>
          </a:extLst>
        </xdr:cNvPr>
        <xdr:cNvSpPr>
          <a:spLocks noChangeArrowheads="1"/>
        </xdr:cNvSpPr>
      </xdr:nvSpPr>
      <xdr:spPr bwMode="auto">
        <a:xfrm flipH="1">
          <a:off x="7502513" y="1792159"/>
          <a:ext cx="883800" cy="1700894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16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BG</a:t>
          </a:r>
          <a:r>
            <a:rPr lang="fr-FR" sz="1600" b="1" i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PROFIL SAFI</a:t>
          </a:r>
          <a:r>
            <a:rPr lang="fr-FR" sz="11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    </a:t>
          </a:r>
        </a:p>
        <a:p>
          <a:pPr marL="0" indent="0" algn="ctr" eaLnBrk="1" fontAlgn="auto" latinLnBrk="0" hangingPunct="1"/>
          <a:r>
            <a:rPr lang="fr-FR" sz="18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15479</a:t>
          </a:r>
        </a:p>
      </xdr:txBody>
    </xdr:sp>
    <xdr:clientData/>
  </xdr:twoCellAnchor>
  <xdr:twoCellAnchor>
    <xdr:from>
      <xdr:col>37</xdr:col>
      <xdr:colOff>569175</xdr:colOff>
      <xdr:row>20</xdr:row>
      <xdr:rowOff>151006</xdr:rowOff>
    </xdr:from>
    <xdr:to>
      <xdr:col>39</xdr:col>
      <xdr:colOff>317809</xdr:colOff>
      <xdr:row>24</xdr:row>
      <xdr:rowOff>174239</xdr:rowOff>
    </xdr:to>
    <xdr:sp macro="" textlink="">
      <xdr:nvSpPr>
        <xdr:cNvPr id="90" name="AutoShape 10501">
          <a:extLst>
            <a:ext uri="{FF2B5EF4-FFF2-40B4-BE49-F238E27FC236}">
              <a16:creationId xmlns:a16="http://schemas.microsoft.com/office/drawing/2014/main" id="{00000000-0008-0000-1700-00005A000000}"/>
            </a:ext>
          </a:extLst>
        </xdr:cNvPr>
        <xdr:cNvSpPr>
          <a:spLocks noChangeArrowheads="1"/>
        </xdr:cNvSpPr>
      </xdr:nvSpPr>
      <xdr:spPr bwMode="auto">
        <a:xfrm>
          <a:off x="29225486" y="3879695"/>
          <a:ext cx="1189000" cy="789879"/>
        </a:xfrm>
        <a:prstGeom prst="flowChartAlternateProcess">
          <a:avLst/>
        </a:prstGeom>
        <a:solidFill>
          <a:srgbClr val="FFFFFF">
            <a:alpha val="61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400" b="1" i="0"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400" b="1" i="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11907</xdr:colOff>
      <xdr:row>6</xdr:row>
      <xdr:rowOff>11905</xdr:rowOff>
    </xdr:from>
    <xdr:to>
      <xdr:col>1</xdr:col>
      <xdr:colOff>381001</xdr:colOff>
      <xdr:row>10</xdr:row>
      <xdr:rowOff>24440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 txBox="1"/>
      </xdr:nvSpPr>
      <xdr:spPr>
        <a:xfrm rot="16200000">
          <a:off x="571186" y="1463459"/>
          <a:ext cx="774535" cy="369094"/>
        </a:xfrm>
        <a:prstGeom prst="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fr-FR" sz="1600" b="1"/>
            <a:t>HC 1</a:t>
          </a:r>
        </a:p>
      </xdr:txBody>
    </xdr:sp>
    <xdr:clientData/>
  </xdr:twoCellAnchor>
  <xdr:twoCellAnchor>
    <xdr:from>
      <xdr:col>1</xdr:col>
      <xdr:colOff>0</xdr:colOff>
      <xdr:row>13</xdr:row>
      <xdr:rowOff>164307</xdr:rowOff>
    </xdr:from>
    <xdr:to>
      <xdr:col>1</xdr:col>
      <xdr:colOff>357191</xdr:colOff>
      <xdr:row>17</xdr:row>
      <xdr:rowOff>176842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 txBox="1"/>
      </xdr:nvSpPr>
      <xdr:spPr>
        <a:xfrm rot="16200000">
          <a:off x="404645" y="2895942"/>
          <a:ext cx="1081194" cy="357191"/>
        </a:xfrm>
        <a:prstGeom prst="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fr-FR" sz="1600" b="1"/>
            <a:t>HC 2</a:t>
          </a:r>
        </a:p>
      </xdr:txBody>
    </xdr:sp>
    <xdr:clientData/>
  </xdr:twoCellAnchor>
  <xdr:twoCellAnchor>
    <xdr:from>
      <xdr:col>1</xdr:col>
      <xdr:colOff>7144</xdr:colOff>
      <xdr:row>21</xdr:row>
      <xdr:rowOff>185739</xdr:rowOff>
    </xdr:from>
    <xdr:to>
      <xdr:col>1</xdr:col>
      <xdr:colOff>345283</xdr:colOff>
      <xdr:row>26</xdr:row>
      <xdr:rowOff>7774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 txBox="1"/>
      </xdr:nvSpPr>
      <xdr:spPr>
        <a:xfrm rot="16200000">
          <a:off x="550946" y="4666375"/>
          <a:ext cx="774535" cy="338139"/>
        </a:xfrm>
        <a:prstGeom prst="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fr-FR" sz="1600" b="1"/>
            <a:t>HC 3</a:t>
          </a:r>
        </a:p>
      </xdr:txBody>
    </xdr:sp>
    <xdr:clientData/>
  </xdr:twoCellAnchor>
  <xdr:twoCellAnchor>
    <xdr:from>
      <xdr:col>1</xdr:col>
      <xdr:colOff>16671</xdr:colOff>
      <xdr:row>30</xdr:row>
      <xdr:rowOff>16673</xdr:rowOff>
    </xdr:from>
    <xdr:to>
      <xdr:col>1</xdr:col>
      <xdr:colOff>357191</xdr:colOff>
      <xdr:row>34</xdr:row>
      <xdr:rowOff>29208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 txBox="1"/>
      </xdr:nvSpPr>
      <xdr:spPr>
        <a:xfrm rot="16200000">
          <a:off x="561663" y="6234431"/>
          <a:ext cx="774535" cy="340520"/>
        </a:xfrm>
        <a:prstGeom prst="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fr-FR" sz="1600" b="1"/>
            <a:t>HC 4</a:t>
          </a:r>
        </a:p>
      </xdr:txBody>
    </xdr:sp>
    <xdr:clientData/>
  </xdr:twoCellAnchor>
  <xdr:twoCellAnchor>
    <xdr:from>
      <xdr:col>6</xdr:col>
      <xdr:colOff>666751</xdr:colOff>
      <xdr:row>3</xdr:row>
      <xdr:rowOff>13607</xdr:rowOff>
    </xdr:from>
    <xdr:to>
      <xdr:col>8</xdr:col>
      <xdr:colOff>28915</xdr:colOff>
      <xdr:row>4</xdr:row>
      <xdr:rowOff>144578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06144" y="1129393"/>
          <a:ext cx="804521" cy="226221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100"/>
            <a:t>CV</a:t>
          </a:r>
          <a:r>
            <a:rPr lang="fr-FR" sz="1100" baseline="0"/>
            <a:t> T14 C</a:t>
          </a:r>
          <a:endParaRPr lang="fr-FR" sz="1100"/>
        </a:p>
      </xdr:txBody>
    </xdr:sp>
    <xdr:clientData/>
  </xdr:twoCellAnchor>
  <xdr:twoCellAnchor>
    <xdr:from>
      <xdr:col>6</xdr:col>
      <xdr:colOff>9526</xdr:colOff>
      <xdr:row>11</xdr:row>
      <xdr:rowOff>45810</xdr:rowOff>
    </xdr:from>
    <xdr:to>
      <xdr:col>7</xdr:col>
      <xdr:colOff>92869</xdr:colOff>
      <xdr:row>12</xdr:row>
      <xdr:rowOff>54430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SpPr/>
      </xdr:nvSpPr>
      <xdr:spPr>
        <a:xfrm>
          <a:off x="4948919" y="3638096"/>
          <a:ext cx="804521" cy="348798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100"/>
            <a:t>CV</a:t>
          </a:r>
          <a:r>
            <a:rPr lang="fr-FR" sz="1100" baseline="0"/>
            <a:t> T14  A</a:t>
          </a:r>
          <a:endParaRPr lang="fr-FR" sz="1100"/>
        </a:p>
      </xdr:txBody>
    </xdr:sp>
    <xdr:clientData/>
  </xdr:twoCellAnchor>
  <xdr:twoCellAnchor>
    <xdr:from>
      <xdr:col>6</xdr:col>
      <xdr:colOff>5003</xdr:colOff>
      <xdr:row>27</xdr:row>
      <xdr:rowOff>192393</xdr:rowOff>
    </xdr:from>
    <xdr:to>
      <xdr:col>7</xdr:col>
      <xdr:colOff>93988</xdr:colOff>
      <xdr:row>29</xdr:row>
      <xdr:rowOff>71628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/>
      </xdr:nvSpPr>
      <xdr:spPr>
        <a:xfrm>
          <a:off x="4944396" y="7240893"/>
          <a:ext cx="810163" cy="287449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100"/>
            <a:t>CV</a:t>
          </a:r>
          <a:r>
            <a:rPr lang="fr-FR" sz="1100" baseline="0"/>
            <a:t> T14B</a:t>
          </a:r>
          <a:endParaRPr lang="fr-FR" sz="1100"/>
        </a:p>
      </xdr:txBody>
    </xdr:sp>
    <xdr:clientData/>
  </xdr:twoCellAnchor>
  <xdr:twoCellAnchor>
    <xdr:from>
      <xdr:col>35</xdr:col>
      <xdr:colOff>185854</xdr:colOff>
      <xdr:row>7</xdr:row>
      <xdr:rowOff>162625</xdr:rowOff>
    </xdr:from>
    <xdr:to>
      <xdr:col>37</xdr:col>
      <xdr:colOff>11615</xdr:colOff>
      <xdr:row>10</xdr:row>
      <xdr:rowOff>69696</xdr:rowOff>
    </xdr:to>
    <xdr:sp macro="" textlink="">
      <xdr:nvSpPr>
        <xdr:cNvPr id="31" name="AutoShape 10501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SpPr>
          <a:spLocks noChangeArrowheads="1"/>
        </xdr:cNvSpPr>
      </xdr:nvSpPr>
      <xdr:spPr bwMode="auto">
        <a:xfrm>
          <a:off x="30154756" y="1568143"/>
          <a:ext cx="1359054" cy="464632"/>
        </a:xfrm>
        <a:prstGeom prst="flowChartAlternateProcess">
          <a:avLst/>
        </a:prstGeom>
        <a:solidFill>
          <a:schemeClr val="bg1">
            <a:lumMod val="85000"/>
          </a:scheme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6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1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1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39</xdr:col>
      <xdr:colOff>162623</xdr:colOff>
      <xdr:row>4</xdr:row>
      <xdr:rowOff>127775</xdr:rowOff>
    </xdr:from>
    <xdr:to>
      <xdr:col>42</xdr:col>
      <xdr:colOff>511098</xdr:colOff>
      <xdr:row>8</xdr:row>
      <xdr:rowOff>127775</xdr:rowOff>
    </xdr:to>
    <xdr:sp macro="" textlink="">
      <xdr:nvSpPr>
        <xdr:cNvPr id="32" name="AutoShape 1050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>
          <a:spLocks noChangeArrowheads="1"/>
        </xdr:cNvSpPr>
      </xdr:nvSpPr>
      <xdr:spPr bwMode="auto">
        <a:xfrm flipH="1">
          <a:off x="33337501" y="964116"/>
          <a:ext cx="2648414" cy="755031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37</xdr:col>
      <xdr:colOff>243932</xdr:colOff>
      <xdr:row>42</xdr:row>
      <xdr:rowOff>46464</xdr:rowOff>
    </xdr:from>
    <xdr:ext cx="1254513" cy="127774"/>
    <xdr:sp macro="" textlink="">
      <xdr:nvSpPr>
        <xdr:cNvPr id="34" name="Text Box 11658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SpPr txBox="1">
          <a:spLocks noChangeArrowheads="1"/>
        </xdr:cNvSpPr>
      </xdr:nvSpPr>
      <xdr:spPr bwMode="auto">
        <a:xfrm>
          <a:off x="31746127" y="8247257"/>
          <a:ext cx="1254513" cy="127774"/>
        </a:xfrm>
        <a:prstGeom prst="rect">
          <a:avLst/>
        </a:prstGeom>
        <a:solidFill>
          <a:srgbClr val="FFFF00">
            <a:alpha val="61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 anchor="b"/>
        <a:lstStyle/>
        <a:p>
          <a:pPr marL="0" marR="0" lvl="0" indent="0" algn="ctr" defTabSz="914400" rtl="0" eaLnBrk="1" fontAlgn="auto" latinLnBrk="0" hangingPunct="1">
            <a:lnSpc>
              <a:spcPts val="8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>
              <a:solidFill>
                <a:schemeClr val="tx1"/>
              </a:solidFill>
              <a:latin typeface="+mn-lt"/>
              <a:ea typeface="+mn-ea"/>
              <a:cs typeface="+mn-cs"/>
            </a:rPr>
            <a:t>    </a:t>
          </a:r>
          <a:r>
            <a:rPr lang="fr-FR" sz="1800" b="1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  </a:t>
          </a:r>
          <a:r>
            <a:rPr lang="fr-FR" sz="1800" b="1" i="0">
              <a:solidFill>
                <a:schemeClr val="tx1"/>
              </a:solidFill>
              <a:latin typeface="+mn-lt"/>
              <a:ea typeface="+mn-ea"/>
              <a:cs typeface="+mn-cs"/>
            </a:rPr>
            <a:t>A=50000</a:t>
          </a:r>
          <a:endParaRPr lang="fr-FR" sz="900" b="1" i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10</xdr:col>
      <xdr:colOff>40821</xdr:colOff>
      <xdr:row>22</xdr:row>
      <xdr:rowOff>186518</xdr:rowOff>
    </xdr:from>
    <xdr:to>
      <xdr:col>10</xdr:col>
      <xdr:colOff>923292</xdr:colOff>
      <xdr:row>27</xdr:row>
      <xdr:rowOff>42482</xdr:rowOff>
    </xdr:to>
    <xdr:sp macro="" textlink="">
      <xdr:nvSpPr>
        <xdr:cNvPr id="53" name="AutoShape 10501">
          <a:extLst>
            <a:ext uri="{FF2B5EF4-FFF2-40B4-BE49-F238E27FC236}">
              <a16:creationId xmlns:a16="http://schemas.microsoft.com/office/drawing/2014/main" id="{00000000-0008-0000-1700-000035000000}"/>
            </a:ext>
          </a:extLst>
        </xdr:cNvPr>
        <xdr:cNvSpPr>
          <a:spLocks noChangeArrowheads="1"/>
        </xdr:cNvSpPr>
      </xdr:nvSpPr>
      <xdr:spPr bwMode="auto">
        <a:xfrm>
          <a:off x="7864928" y="6119232"/>
          <a:ext cx="882471" cy="1107821"/>
        </a:xfrm>
        <a:prstGeom prst="flowChartAlternateProcess">
          <a:avLst/>
        </a:prstGeom>
        <a:solidFill>
          <a:srgbClr val="00B0F0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20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TBT   </a:t>
          </a:r>
          <a:r>
            <a:rPr lang="fr-FR" sz="11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</a:t>
          </a:r>
          <a:endParaRPr lang="fr-FR" sz="18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r>
            <a:rPr lang="fr-FR" sz="20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30910</a:t>
          </a:r>
        </a:p>
      </xdr:txBody>
    </xdr:sp>
    <xdr:clientData/>
  </xdr:twoCellAnchor>
  <xdr:twoCellAnchor>
    <xdr:from>
      <xdr:col>4</xdr:col>
      <xdr:colOff>201825</xdr:colOff>
      <xdr:row>1</xdr:row>
      <xdr:rowOff>0</xdr:rowOff>
    </xdr:from>
    <xdr:to>
      <xdr:col>8</xdr:col>
      <xdr:colOff>713794</xdr:colOff>
      <xdr:row>3</xdr:row>
      <xdr:rowOff>1451</xdr:rowOff>
    </xdr:to>
    <xdr:sp macro="" textlink="">
      <xdr:nvSpPr>
        <xdr:cNvPr id="65" name="Arrondir un rectangle avec un coin diagonal 64">
          <a:extLst>
            <a:ext uri="{FF2B5EF4-FFF2-40B4-BE49-F238E27FC236}">
              <a16:creationId xmlns:a16="http://schemas.microsoft.com/office/drawing/2014/main" id="{00000000-0008-0000-1700-000041000000}"/>
            </a:ext>
          </a:extLst>
        </xdr:cNvPr>
        <xdr:cNvSpPr/>
      </xdr:nvSpPr>
      <xdr:spPr>
        <a:xfrm>
          <a:off x="3268410" y="211118"/>
          <a:ext cx="3752793" cy="533748"/>
        </a:xfrm>
        <a:prstGeom prst="round2Diag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2000" b="1"/>
            <a:t>ETAT DU PARC CRIBLAGE</a:t>
          </a:r>
        </a:p>
      </xdr:txBody>
    </xdr:sp>
    <xdr:clientData/>
  </xdr:twoCellAnchor>
  <xdr:twoCellAnchor editAs="oneCell">
    <xdr:from>
      <xdr:col>33</xdr:col>
      <xdr:colOff>714373</xdr:colOff>
      <xdr:row>31</xdr:row>
      <xdr:rowOff>120226</xdr:rowOff>
    </xdr:from>
    <xdr:to>
      <xdr:col>35</xdr:col>
      <xdr:colOff>460191</xdr:colOff>
      <xdr:row>32</xdr:row>
      <xdr:rowOff>139614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149983" y="6148854"/>
          <a:ext cx="1279111" cy="359799"/>
        </a:xfrm>
        <a:prstGeom prst="rect">
          <a:avLst/>
        </a:prstGeom>
      </xdr:spPr>
    </xdr:pic>
    <xdr:clientData/>
  </xdr:twoCellAnchor>
  <xdr:twoCellAnchor>
    <xdr:from>
      <xdr:col>34</xdr:col>
      <xdr:colOff>583986</xdr:colOff>
      <xdr:row>26</xdr:row>
      <xdr:rowOff>26425</xdr:rowOff>
    </xdr:from>
    <xdr:to>
      <xdr:col>35</xdr:col>
      <xdr:colOff>720184</xdr:colOff>
      <xdr:row>28</xdr:row>
      <xdr:rowOff>11615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30099870" y="5044474"/>
          <a:ext cx="902844" cy="368513"/>
        </a:xfrm>
        <a:prstGeom prst="rect">
          <a:avLst/>
        </a:prstGeom>
        <a:solidFill>
          <a:schemeClr val="bg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/>
            <a:t> 2544</a:t>
          </a:r>
        </a:p>
      </xdr:txBody>
    </xdr:sp>
    <xdr:clientData/>
  </xdr:twoCellAnchor>
  <xdr:twoCellAnchor>
    <xdr:from>
      <xdr:col>33</xdr:col>
      <xdr:colOff>429786</xdr:colOff>
      <xdr:row>15</xdr:row>
      <xdr:rowOff>151007</xdr:rowOff>
    </xdr:from>
    <xdr:to>
      <xdr:col>34</xdr:col>
      <xdr:colOff>615643</xdr:colOff>
      <xdr:row>20</xdr:row>
      <xdr:rowOff>23233</xdr:rowOff>
    </xdr:to>
    <xdr:sp macro="" textlink="">
      <xdr:nvSpPr>
        <xdr:cNvPr id="64" name="AutoShape 10501">
          <a:extLst>
            <a:ext uri="{FF2B5EF4-FFF2-40B4-BE49-F238E27FC236}">
              <a16:creationId xmlns:a16="http://schemas.microsoft.com/office/drawing/2014/main" id="{00000000-0008-0000-1700-000040000000}"/>
            </a:ext>
          </a:extLst>
        </xdr:cNvPr>
        <xdr:cNvSpPr>
          <a:spLocks noChangeArrowheads="1"/>
        </xdr:cNvSpPr>
      </xdr:nvSpPr>
      <xdr:spPr bwMode="auto">
        <a:xfrm>
          <a:off x="29004786" y="3066586"/>
          <a:ext cx="952503" cy="813110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</a:t>
          </a: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BG   1360</a:t>
          </a:r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400455</xdr:colOff>
      <xdr:row>32</xdr:row>
      <xdr:rowOff>68767</xdr:rowOff>
    </xdr:from>
    <xdr:to>
      <xdr:col>36</xdr:col>
      <xdr:colOff>243291</xdr:colOff>
      <xdr:row>38</xdr:row>
      <xdr:rowOff>92927</xdr:rowOff>
    </xdr:to>
    <xdr:sp macro="" textlink="">
      <xdr:nvSpPr>
        <xdr:cNvPr id="50" name="Rectangle à coins arrondis 49">
          <a:extLst>
            <a:ext uri="{FF2B5EF4-FFF2-40B4-BE49-F238E27FC236}">
              <a16:creationId xmlns:a16="http://schemas.microsoft.com/office/drawing/2014/main" id="{00000000-0008-0000-1700-000032000000}"/>
            </a:ext>
          </a:extLst>
        </xdr:cNvPr>
        <xdr:cNvSpPr/>
      </xdr:nvSpPr>
      <xdr:spPr>
        <a:xfrm flipH="1">
          <a:off x="30369357" y="6306480"/>
          <a:ext cx="609483" cy="1243825"/>
        </a:xfrm>
        <a:prstGeom prst="roundRect">
          <a:avLst>
            <a:gd name="adj" fmla="val 50000"/>
          </a:avLst>
        </a:prstGeom>
        <a:solidFill>
          <a:schemeClr val="tx2">
            <a:lumMod val="20000"/>
            <a:lumOff val="8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36</xdr:col>
      <xdr:colOff>597751</xdr:colOff>
      <xdr:row>36</xdr:row>
      <xdr:rowOff>84797</xdr:rowOff>
    </xdr:from>
    <xdr:to>
      <xdr:col>37</xdr:col>
      <xdr:colOff>344529</xdr:colOff>
      <xdr:row>42</xdr:row>
      <xdr:rowOff>4357</xdr:rowOff>
    </xdr:to>
    <xdr:sp macro="" textlink="">
      <xdr:nvSpPr>
        <xdr:cNvPr id="56" name="AutoShape 10501">
          <a:extLst>
            <a:ext uri="{FF2B5EF4-FFF2-40B4-BE49-F238E27FC236}">
              <a16:creationId xmlns:a16="http://schemas.microsoft.com/office/drawing/2014/main" id="{00000000-0008-0000-1700-000038000000}"/>
            </a:ext>
          </a:extLst>
        </xdr:cNvPr>
        <xdr:cNvSpPr>
          <a:spLocks noChangeArrowheads="1"/>
        </xdr:cNvSpPr>
      </xdr:nvSpPr>
      <xdr:spPr bwMode="auto">
        <a:xfrm>
          <a:off x="31333300" y="7158852"/>
          <a:ext cx="513424" cy="1046298"/>
        </a:xfrm>
        <a:prstGeom prst="flowChartAlternateProcess">
          <a:avLst/>
        </a:prstGeom>
        <a:solidFill>
          <a:srgbClr val="FFFFFF">
            <a:alpha val="61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i="0">
              <a:latin typeface="+mn-lt"/>
              <a:ea typeface="+mn-ea"/>
              <a:cs typeface="+mn-cs"/>
            </a:rPr>
            <a:t>TBT</a:t>
          </a:r>
        </a:p>
        <a:p>
          <a:pPr marL="0" indent="0" algn="ctr"/>
          <a:endParaRPr lang="fr-FR" sz="800" b="1" i="0" strike="noStrike">
            <a:solidFill>
              <a:sysClr val="windowText" lastClr="000000"/>
            </a:solidFill>
            <a:latin typeface="Times New Roman"/>
            <a:ea typeface="+mn-ea"/>
            <a:cs typeface="Times New Roman"/>
          </a:endParaRPr>
        </a:p>
        <a:p>
          <a:pPr marL="0" indent="0" algn="ctr"/>
          <a:r>
            <a:rPr lang="fr-FR" sz="1200" b="1" i="0" strike="noStrike">
              <a:solidFill>
                <a:sysClr val="windowText" lastClr="000000"/>
              </a:solidFill>
              <a:latin typeface="Times New Roman"/>
              <a:ea typeface="+mn-ea"/>
              <a:cs typeface="Times New Roman"/>
            </a:rPr>
            <a:t>1702</a:t>
          </a:r>
        </a:p>
      </xdr:txBody>
    </xdr:sp>
    <xdr:clientData/>
  </xdr:twoCellAnchor>
  <xdr:twoCellAnchor>
    <xdr:from>
      <xdr:col>41</xdr:col>
      <xdr:colOff>34849</xdr:colOff>
      <xdr:row>11</xdr:row>
      <xdr:rowOff>185854</xdr:rowOff>
    </xdr:from>
    <xdr:to>
      <xdr:col>44</xdr:col>
      <xdr:colOff>11619</xdr:colOff>
      <xdr:row>18</xdr:row>
      <xdr:rowOff>3193</xdr:rowOff>
    </xdr:to>
    <xdr:sp macro="" textlink="">
      <xdr:nvSpPr>
        <xdr:cNvPr id="57" name="AutoShape 10501">
          <a:extLst>
            <a:ext uri="{FF2B5EF4-FFF2-40B4-BE49-F238E27FC236}">
              <a16:creationId xmlns:a16="http://schemas.microsoft.com/office/drawing/2014/main" id="{00000000-0008-0000-1700-000039000000}"/>
            </a:ext>
          </a:extLst>
        </xdr:cNvPr>
        <xdr:cNvSpPr>
          <a:spLocks noChangeArrowheads="1"/>
        </xdr:cNvSpPr>
      </xdr:nvSpPr>
      <xdr:spPr bwMode="auto">
        <a:xfrm>
          <a:off x="31571892" y="2148933"/>
          <a:ext cx="2137318" cy="1199626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371706</xdr:colOff>
      <xdr:row>18</xdr:row>
      <xdr:rowOff>58080</xdr:rowOff>
    </xdr:from>
    <xdr:to>
      <xdr:col>34</xdr:col>
      <xdr:colOff>766645</xdr:colOff>
      <xdr:row>22</xdr:row>
      <xdr:rowOff>11616</xdr:rowOff>
    </xdr:to>
    <xdr:sp macro="" textlink="">
      <xdr:nvSpPr>
        <xdr:cNvPr id="58" name="AutoShape 10501">
          <a:extLst>
            <a:ext uri="{FF2B5EF4-FFF2-40B4-BE49-F238E27FC236}">
              <a16:creationId xmlns:a16="http://schemas.microsoft.com/office/drawing/2014/main" id="{00000000-0008-0000-1700-00003A000000}"/>
            </a:ext>
          </a:extLst>
        </xdr:cNvPr>
        <xdr:cNvSpPr>
          <a:spLocks noChangeArrowheads="1"/>
        </xdr:cNvSpPr>
      </xdr:nvSpPr>
      <xdr:spPr bwMode="auto">
        <a:xfrm>
          <a:off x="27088169" y="3751921"/>
          <a:ext cx="1161586" cy="778262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 anchor="ctr"/>
        <a:lstStyle/>
        <a:p>
          <a:pPr marL="0" indent="0" algn="ctr" eaLnBrk="1" fontAlgn="auto" latinLnBrk="0" hangingPunct="1"/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EXP       2390</a:t>
          </a:r>
        </a:p>
      </xdr:txBody>
    </xdr:sp>
    <xdr:clientData/>
  </xdr:twoCellAnchor>
  <xdr:twoCellAnchor>
    <xdr:from>
      <xdr:col>33</xdr:col>
      <xdr:colOff>464343</xdr:colOff>
      <xdr:row>18</xdr:row>
      <xdr:rowOff>107158</xdr:rowOff>
    </xdr:from>
    <xdr:to>
      <xdr:col>35</xdr:col>
      <xdr:colOff>369093</xdr:colOff>
      <xdr:row>24</xdr:row>
      <xdr:rowOff>47625</xdr:rowOff>
    </xdr:to>
    <xdr:sp macro="" textlink="">
      <xdr:nvSpPr>
        <xdr:cNvPr id="60" name="AutoShape 10501">
          <a:extLst>
            <a:ext uri="{FF2B5EF4-FFF2-40B4-BE49-F238E27FC236}">
              <a16:creationId xmlns:a16="http://schemas.microsoft.com/office/drawing/2014/main" id="{00000000-0008-0000-1700-00003C000000}"/>
            </a:ext>
          </a:extLst>
        </xdr:cNvPr>
        <xdr:cNvSpPr>
          <a:spLocks noChangeArrowheads="1"/>
        </xdr:cNvSpPr>
      </xdr:nvSpPr>
      <xdr:spPr bwMode="auto">
        <a:xfrm>
          <a:off x="28491656" y="3667127"/>
          <a:ext cx="1428750" cy="1119186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endParaRPr lang="fr-FR" sz="20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34</xdr:col>
      <xdr:colOff>209087</xdr:colOff>
      <xdr:row>38</xdr:row>
      <xdr:rowOff>46463</xdr:rowOff>
    </xdr:from>
    <xdr:to>
      <xdr:col>36</xdr:col>
      <xdr:colOff>220702</xdr:colOff>
      <xdr:row>39</xdr:row>
      <xdr:rowOff>11615</xdr:rowOff>
    </xdr:to>
    <xdr:sp macro="" textlink="">
      <xdr:nvSpPr>
        <xdr:cNvPr id="63" name="AutoShape 10501">
          <a:extLst>
            <a:ext uri="{FF2B5EF4-FFF2-40B4-BE49-F238E27FC236}">
              <a16:creationId xmlns:a16="http://schemas.microsoft.com/office/drawing/2014/main" id="{00000000-0008-0000-1700-00003F000000}"/>
            </a:ext>
          </a:extLst>
        </xdr:cNvPr>
        <xdr:cNvSpPr>
          <a:spLocks noChangeArrowheads="1"/>
        </xdr:cNvSpPr>
      </xdr:nvSpPr>
      <xdr:spPr bwMode="auto">
        <a:xfrm>
          <a:off x="29724971" y="7515457"/>
          <a:ext cx="1544908" cy="151006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 anchor="ctr"/>
        <a:lstStyle/>
        <a:p>
          <a:pPr marL="0" indent="0" algn="ctr" eaLnBrk="1" fontAlgn="auto" latinLnBrk="0" hangingPunct="1"/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A=</a:t>
          </a:r>
        </a:p>
      </xdr:txBody>
    </xdr:sp>
    <xdr:clientData/>
  </xdr:twoCellAnchor>
  <xdr:twoCellAnchor>
    <xdr:from>
      <xdr:col>33</xdr:col>
      <xdr:colOff>441403</xdr:colOff>
      <xdr:row>4</xdr:row>
      <xdr:rowOff>174180</xdr:rowOff>
    </xdr:from>
    <xdr:to>
      <xdr:col>35</xdr:col>
      <xdr:colOff>267165</xdr:colOff>
      <xdr:row>9</xdr:row>
      <xdr:rowOff>119584</xdr:rowOff>
    </xdr:to>
    <xdr:sp macro="" textlink="">
      <xdr:nvSpPr>
        <xdr:cNvPr id="59" name="AutoShape 10501">
          <a:extLst>
            <a:ext uri="{FF2B5EF4-FFF2-40B4-BE49-F238E27FC236}">
              <a16:creationId xmlns:a16="http://schemas.microsoft.com/office/drawing/2014/main" id="{00000000-0008-0000-1700-00003B000000}"/>
            </a:ext>
          </a:extLst>
        </xdr:cNvPr>
        <xdr:cNvSpPr>
          <a:spLocks noChangeArrowheads="1"/>
        </xdr:cNvSpPr>
      </xdr:nvSpPr>
      <xdr:spPr bwMode="auto">
        <a:xfrm>
          <a:off x="28598232" y="1010521"/>
          <a:ext cx="1359055" cy="886289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33</xdr:col>
      <xdr:colOff>657981</xdr:colOff>
      <xdr:row>34</xdr:row>
      <xdr:rowOff>23174</xdr:rowOff>
    </xdr:from>
    <xdr:to>
      <xdr:col>35</xdr:col>
      <xdr:colOff>403799</xdr:colOff>
      <xdr:row>35</xdr:row>
      <xdr:rowOff>47441</xdr:rowOff>
    </xdr:to>
    <xdr:pic>
      <xdr:nvPicPr>
        <xdr:cNvPr id="66" name="Image 65">
          <a:extLst>
            <a:ext uri="{FF2B5EF4-FFF2-40B4-BE49-F238E27FC236}">
              <a16:creationId xmlns:a16="http://schemas.microsoft.com/office/drawing/2014/main" id="{00000000-0008-0000-1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93591" y="6679058"/>
          <a:ext cx="1279111" cy="359799"/>
        </a:xfrm>
        <a:prstGeom prst="rect">
          <a:avLst/>
        </a:prstGeom>
      </xdr:spPr>
    </xdr:pic>
    <xdr:clientData/>
  </xdr:twoCellAnchor>
  <xdr:twoCellAnchor>
    <xdr:from>
      <xdr:col>32</xdr:col>
      <xdr:colOff>151006</xdr:colOff>
      <xdr:row>25</xdr:row>
      <xdr:rowOff>23233</xdr:rowOff>
    </xdr:from>
    <xdr:to>
      <xdr:col>34</xdr:col>
      <xdr:colOff>116159</xdr:colOff>
      <xdr:row>30</xdr:row>
      <xdr:rowOff>3</xdr:rowOff>
    </xdr:to>
    <xdr:sp macro="" textlink="">
      <xdr:nvSpPr>
        <xdr:cNvPr id="71" name="AutoShape 10501">
          <a:extLst>
            <a:ext uri="{FF2B5EF4-FFF2-40B4-BE49-F238E27FC236}">
              <a16:creationId xmlns:a16="http://schemas.microsoft.com/office/drawing/2014/main" id="{00000000-0008-0000-1700-000047000000}"/>
            </a:ext>
          </a:extLst>
        </xdr:cNvPr>
        <xdr:cNvSpPr>
          <a:spLocks noChangeArrowheads="1"/>
        </xdr:cNvSpPr>
      </xdr:nvSpPr>
      <xdr:spPr bwMode="auto">
        <a:xfrm>
          <a:off x="28133597" y="4855428"/>
          <a:ext cx="1498446" cy="975734"/>
        </a:xfrm>
        <a:prstGeom prst="flowChartAlternateProcess">
          <a:avLst/>
        </a:prstGeom>
        <a:solidFill>
          <a:srgbClr val="FF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           </a:t>
          </a:r>
        </a:p>
      </xdr:txBody>
    </xdr:sp>
    <xdr:clientData/>
  </xdr:twoCellAnchor>
  <xdr:twoCellAnchor>
    <xdr:from>
      <xdr:col>33</xdr:col>
      <xdr:colOff>92926</xdr:colOff>
      <xdr:row>6</xdr:row>
      <xdr:rowOff>151007</xdr:rowOff>
    </xdr:from>
    <xdr:to>
      <xdr:col>34</xdr:col>
      <xdr:colOff>708567</xdr:colOff>
      <xdr:row>11</xdr:row>
      <xdr:rowOff>46465</xdr:rowOff>
    </xdr:to>
    <xdr:sp macro="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25868505" y="1184818"/>
          <a:ext cx="1335824" cy="824726"/>
        </a:xfrm>
        <a:prstGeom prst="roundRect">
          <a:avLst>
            <a:gd name="adj" fmla="val 35000"/>
          </a:avLst>
        </a:prstGeom>
        <a:solidFill>
          <a:srgbClr val="FFFF0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>
              <a:solidFill>
                <a:sysClr val="windowText" lastClr="000000"/>
              </a:solidFill>
            </a:rPr>
            <a:t>TESENDERL</a:t>
          </a:r>
        </a:p>
        <a:p>
          <a:pPr algn="l"/>
          <a:r>
            <a:rPr lang="fr-FR" sz="1600" b="1">
              <a:solidFill>
                <a:sysClr val="windowText" lastClr="000000"/>
              </a:solidFill>
            </a:rPr>
            <a:t>2640</a:t>
          </a:r>
        </a:p>
        <a:p>
          <a:pPr algn="l"/>
          <a:endParaRPr lang="fr-FR" sz="1600" b="1">
            <a:solidFill>
              <a:sysClr val="windowText" lastClr="000000"/>
            </a:solidFill>
          </a:endParaRPr>
        </a:p>
        <a:p>
          <a:pPr algn="l"/>
          <a:endParaRPr lang="fr-F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627256</xdr:colOff>
      <xdr:row>14</xdr:row>
      <xdr:rowOff>34849</xdr:rowOff>
    </xdr:from>
    <xdr:to>
      <xdr:col>34</xdr:col>
      <xdr:colOff>290395</xdr:colOff>
      <xdr:row>19</xdr:row>
      <xdr:rowOff>46467</xdr:rowOff>
    </xdr:to>
    <xdr:sp macro="" textlink="">
      <xdr:nvSpPr>
        <xdr:cNvPr id="87" name="AutoShape 10501">
          <a:extLst>
            <a:ext uri="{FF2B5EF4-FFF2-40B4-BE49-F238E27FC236}">
              <a16:creationId xmlns:a16="http://schemas.microsoft.com/office/drawing/2014/main" id="{00000000-0008-0000-1700-000057000000}"/>
            </a:ext>
          </a:extLst>
        </xdr:cNvPr>
        <xdr:cNvSpPr>
          <a:spLocks noChangeArrowheads="1"/>
        </xdr:cNvSpPr>
      </xdr:nvSpPr>
      <xdr:spPr bwMode="auto">
        <a:xfrm>
          <a:off x="28609847" y="2764575"/>
          <a:ext cx="1196432" cy="940886"/>
        </a:xfrm>
        <a:prstGeom prst="flowChartAlternateProcess">
          <a:avLst/>
        </a:prstGeom>
        <a:solidFill>
          <a:srgbClr val="00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6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6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38</xdr:col>
      <xdr:colOff>627255</xdr:colOff>
      <xdr:row>10</xdr:row>
      <xdr:rowOff>11617</xdr:rowOff>
    </xdr:from>
    <xdr:to>
      <xdr:col>40</xdr:col>
      <xdr:colOff>743414</xdr:colOff>
      <xdr:row>14</xdr:row>
      <xdr:rowOff>58078</xdr:rowOff>
    </xdr:to>
    <xdr:sp macro="" textlink="">
      <xdr:nvSpPr>
        <xdr:cNvPr id="94" name="AutoShape 10501">
          <a:extLst>
            <a:ext uri="{FF2B5EF4-FFF2-40B4-BE49-F238E27FC236}">
              <a16:creationId xmlns:a16="http://schemas.microsoft.com/office/drawing/2014/main" id="{00000000-0008-0000-1700-00005E000000}"/>
            </a:ext>
          </a:extLst>
        </xdr:cNvPr>
        <xdr:cNvSpPr>
          <a:spLocks noChangeArrowheads="1"/>
        </xdr:cNvSpPr>
      </xdr:nvSpPr>
      <xdr:spPr bwMode="auto">
        <a:xfrm>
          <a:off x="33035487" y="1974696"/>
          <a:ext cx="1649451" cy="813108"/>
        </a:xfrm>
        <a:prstGeom prst="flowChartAlternateProcess">
          <a:avLst/>
        </a:prstGeom>
        <a:solidFill>
          <a:srgbClr val="FFFF00">
            <a:alpha val="60784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i="0" noProof="0">
              <a:solidFill>
                <a:schemeClr val="tx1"/>
              </a:solidFill>
              <a:latin typeface="+mn-lt"/>
              <a:ea typeface="+mn-ea"/>
              <a:cs typeface="+mn-cs"/>
            </a:rPr>
            <a:t>PR</a:t>
          </a:r>
          <a:r>
            <a:rPr lang="fr-FR" sz="105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 BG5644</a:t>
          </a:r>
          <a:endParaRPr lang="fr-FR" sz="105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185854</xdr:colOff>
      <xdr:row>25</xdr:row>
      <xdr:rowOff>58079</xdr:rowOff>
    </xdr:from>
    <xdr:to>
      <xdr:col>37</xdr:col>
      <xdr:colOff>65915</xdr:colOff>
      <xdr:row>30</xdr:row>
      <xdr:rowOff>61274</xdr:rowOff>
    </xdr:to>
    <xdr:sp macro="" textlink="">
      <xdr:nvSpPr>
        <xdr:cNvPr id="88" name="AutoShape 10501">
          <a:extLst>
            <a:ext uri="{FF2B5EF4-FFF2-40B4-BE49-F238E27FC236}">
              <a16:creationId xmlns:a16="http://schemas.microsoft.com/office/drawing/2014/main" id="{00000000-0008-0000-1700-000058000000}"/>
            </a:ext>
          </a:extLst>
        </xdr:cNvPr>
        <xdr:cNvSpPr>
          <a:spLocks noChangeArrowheads="1"/>
        </xdr:cNvSpPr>
      </xdr:nvSpPr>
      <xdr:spPr bwMode="auto">
        <a:xfrm>
          <a:off x="31235031" y="4890274"/>
          <a:ext cx="646707" cy="1060238"/>
        </a:xfrm>
        <a:prstGeom prst="flowChartAlternateProcess">
          <a:avLst/>
        </a:prstGeom>
        <a:solidFill>
          <a:srgbClr val="FFC000">
            <a:alpha val="60784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i="0" noProof="0">
              <a:solidFill>
                <a:schemeClr val="tx1"/>
              </a:solidFill>
              <a:latin typeface="+mn-lt"/>
              <a:ea typeface="+mn-ea"/>
              <a:cs typeface="+mn-cs"/>
            </a:rPr>
            <a:t>BG10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05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i="0" noProof="0">
              <a:solidFill>
                <a:schemeClr val="tx1"/>
              </a:solidFill>
              <a:latin typeface="+mn-lt"/>
              <a:ea typeface="+mn-ea"/>
              <a:cs typeface="+mn-cs"/>
            </a:rPr>
            <a:t>2504</a:t>
          </a:r>
        </a:p>
      </xdr:txBody>
    </xdr:sp>
    <xdr:clientData/>
  </xdr:twoCellAnchor>
  <xdr:twoCellAnchor>
    <xdr:from>
      <xdr:col>6</xdr:col>
      <xdr:colOff>294709</xdr:colOff>
      <xdr:row>5</xdr:row>
      <xdr:rowOff>209748</xdr:rowOff>
    </xdr:from>
    <xdr:to>
      <xdr:col>7</xdr:col>
      <xdr:colOff>435095</xdr:colOff>
      <xdr:row>10</xdr:row>
      <xdr:rowOff>244595</xdr:rowOff>
    </xdr:to>
    <xdr:sp macro="" textlink="">
      <xdr:nvSpPr>
        <xdr:cNvPr id="75" name="AutoShape 10501">
          <a:extLst>
            <a:ext uri="{FF2B5EF4-FFF2-40B4-BE49-F238E27FC236}">
              <a16:creationId xmlns:a16="http://schemas.microsoft.com/office/drawing/2014/main" id="{00000000-0008-0000-1700-00004B000000}"/>
            </a:ext>
          </a:extLst>
        </xdr:cNvPr>
        <xdr:cNvSpPr>
          <a:spLocks noChangeArrowheads="1"/>
        </xdr:cNvSpPr>
      </xdr:nvSpPr>
      <xdr:spPr bwMode="auto">
        <a:xfrm>
          <a:off x="5234102" y="1760962"/>
          <a:ext cx="861564" cy="1735740"/>
        </a:xfrm>
        <a:prstGeom prst="flowChartAlternateProcess">
          <a:avLst/>
        </a:prstGeom>
        <a:solidFill>
          <a:schemeClr val="accent1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2000" b="1" i="0" baseline="0" noProof="0">
              <a:solidFill>
                <a:schemeClr val="tx2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rPr>
            <a:t>LAV2 </a:t>
          </a:r>
        </a:p>
        <a:p>
          <a:pPr marL="0" indent="0" algn="ctr" eaLnBrk="1" fontAlgn="auto" latinLnBrk="0" hangingPunct="1"/>
          <a:r>
            <a:rPr lang="fr-FR" sz="2000" b="1" i="0" baseline="0" noProof="0">
              <a:solidFill>
                <a:schemeClr val="tx2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rPr>
            <a:t>16016</a:t>
          </a:r>
        </a:p>
      </xdr:txBody>
    </xdr:sp>
    <xdr:clientData/>
  </xdr:twoCellAnchor>
  <xdr:twoCellAnchor>
    <xdr:from>
      <xdr:col>37</xdr:col>
      <xdr:colOff>418172</xdr:colOff>
      <xdr:row>5</xdr:row>
      <xdr:rowOff>116159</xdr:rowOff>
    </xdr:from>
    <xdr:to>
      <xdr:col>38</xdr:col>
      <xdr:colOff>489784</xdr:colOff>
      <xdr:row>6</xdr:row>
      <xdr:rowOff>122431</xdr:rowOff>
    </xdr:to>
    <xdr:sp macro="" textlink="">
      <xdr:nvSpPr>
        <xdr:cNvPr id="97" name="AutoShape 10501">
          <a:extLst>
            <a:ext uri="{FF2B5EF4-FFF2-40B4-BE49-F238E27FC236}">
              <a16:creationId xmlns:a16="http://schemas.microsoft.com/office/drawing/2014/main" id="{00000000-0008-0000-1700-000061000000}"/>
            </a:ext>
          </a:extLst>
        </xdr:cNvPr>
        <xdr:cNvSpPr>
          <a:spLocks noChangeArrowheads="1"/>
        </xdr:cNvSpPr>
      </xdr:nvSpPr>
      <xdr:spPr bwMode="auto">
        <a:xfrm>
          <a:off x="29074483" y="964116"/>
          <a:ext cx="791795" cy="192126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 anchor="ctr"/>
        <a:lstStyle/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34849</xdr:colOff>
      <xdr:row>15</xdr:row>
      <xdr:rowOff>255551</xdr:rowOff>
    </xdr:from>
    <xdr:to>
      <xdr:col>36</xdr:col>
      <xdr:colOff>34847</xdr:colOff>
      <xdr:row>20</xdr:row>
      <xdr:rowOff>174238</xdr:rowOff>
    </xdr:to>
    <xdr:sp macro="" textlink="">
      <xdr:nvSpPr>
        <xdr:cNvPr id="103" name="AutoShape 10501">
          <a:extLst>
            <a:ext uri="{FF2B5EF4-FFF2-40B4-BE49-F238E27FC236}">
              <a16:creationId xmlns:a16="http://schemas.microsoft.com/office/drawing/2014/main" id="{00000000-0008-0000-1700-000067000000}"/>
            </a:ext>
          </a:extLst>
        </xdr:cNvPr>
        <xdr:cNvSpPr>
          <a:spLocks noChangeArrowheads="1"/>
        </xdr:cNvSpPr>
      </xdr:nvSpPr>
      <xdr:spPr bwMode="auto">
        <a:xfrm>
          <a:off x="28284605" y="3205978"/>
          <a:ext cx="766644" cy="1045425"/>
        </a:xfrm>
        <a:prstGeom prst="flowChartAlternateProcess">
          <a:avLst/>
        </a:prstGeom>
        <a:solidFill>
          <a:srgbClr val="FF00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 noProof="0">
              <a:solidFill>
                <a:schemeClr val="tx1"/>
              </a:solidFill>
              <a:latin typeface="+mn-lt"/>
              <a:ea typeface="+mn-ea"/>
              <a:cs typeface="+mn-cs"/>
            </a:rPr>
            <a:t>BG10</a:t>
          </a:r>
          <a:r>
            <a:rPr lang="fr-FR" sz="16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  3124</a:t>
          </a:r>
          <a:endParaRPr lang="fr-FR" sz="16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348478</xdr:colOff>
      <xdr:row>8</xdr:row>
      <xdr:rowOff>69696</xdr:rowOff>
    </xdr:from>
    <xdr:to>
      <xdr:col>33</xdr:col>
      <xdr:colOff>673721</xdr:colOff>
      <xdr:row>13</xdr:row>
      <xdr:rowOff>11617</xdr:rowOff>
    </xdr:to>
    <xdr:sp macro="" textlink="">
      <xdr:nvSpPr>
        <xdr:cNvPr id="104" name="AutoShape 10501">
          <a:extLst>
            <a:ext uri="{FF2B5EF4-FFF2-40B4-BE49-F238E27FC236}">
              <a16:creationId xmlns:a16="http://schemas.microsoft.com/office/drawing/2014/main" id="{00000000-0008-0000-1700-000068000000}"/>
            </a:ext>
          </a:extLst>
        </xdr:cNvPr>
        <xdr:cNvSpPr>
          <a:spLocks noChangeArrowheads="1"/>
        </xdr:cNvSpPr>
      </xdr:nvSpPr>
      <xdr:spPr bwMode="auto">
        <a:xfrm>
          <a:off x="28331069" y="1661068"/>
          <a:ext cx="1091890" cy="894421"/>
        </a:xfrm>
        <a:prstGeom prst="flowChartAlternateProcess">
          <a:avLst/>
        </a:prstGeom>
        <a:solidFill>
          <a:srgbClr val="FFC0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6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418169</xdr:colOff>
      <xdr:row>12</xdr:row>
      <xdr:rowOff>128359</xdr:rowOff>
    </xdr:from>
    <xdr:to>
      <xdr:col>36</xdr:col>
      <xdr:colOff>127774</xdr:colOff>
      <xdr:row>17</xdr:row>
      <xdr:rowOff>116159</xdr:rowOff>
    </xdr:to>
    <xdr:sp macro="" textlink="">
      <xdr:nvSpPr>
        <xdr:cNvPr id="73" name="AutoShape 10501">
          <a:extLst>
            <a:ext uri="{FF2B5EF4-FFF2-40B4-BE49-F238E27FC236}">
              <a16:creationId xmlns:a16="http://schemas.microsoft.com/office/drawing/2014/main" id="{00000000-0008-0000-1700-000049000000}"/>
            </a:ext>
          </a:extLst>
        </xdr:cNvPr>
        <xdr:cNvSpPr>
          <a:spLocks noChangeArrowheads="1"/>
        </xdr:cNvSpPr>
      </xdr:nvSpPr>
      <xdr:spPr bwMode="auto">
        <a:xfrm>
          <a:off x="28667925" y="2288908"/>
          <a:ext cx="476251" cy="1265544"/>
        </a:xfrm>
        <a:prstGeom prst="flowChartAlternateProcess">
          <a:avLst/>
        </a:prstGeom>
        <a:solidFill>
          <a:srgbClr val="FFC0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 noProof="0">
              <a:solidFill>
                <a:schemeClr val="tx1"/>
              </a:solidFill>
              <a:latin typeface="+mn-lt"/>
              <a:ea typeface="+mn-ea"/>
              <a:cs typeface="+mn-cs"/>
            </a:rPr>
            <a:t>expo</a:t>
          </a:r>
          <a:r>
            <a:rPr lang="fr-FR" sz="16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 5770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6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39</xdr:col>
      <xdr:colOff>615640</xdr:colOff>
      <xdr:row>35</xdr:row>
      <xdr:rowOff>92926</xdr:rowOff>
    </xdr:from>
    <xdr:to>
      <xdr:col>40</xdr:col>
      <xdr:colOff>604022</xdr:colOff>
      <xdr:row>39</xdr:row>
      <xdr:rowOff>81891</xdr:rowOff>
    </xdr:to>
    <xdr:sp macro="" textlink="">
      <xdr:nvSpPr>
        <xdr:cNvPr id="107" name="Rectangle à coins arrondis 106">
          <a:extLst>
            <a:ext uri="{FF2B5EF4-FFF2-40B4-BE49-F238E27FC236}">
              <a16:creationId xmlns:a16="http://schemas.microsoft.com/office/drawing/2014/main" id="{00000000-0008-0000-1700-00006B000000}"/>
            </a:ext>
          </a:extLst>
        </xdr:cNvPr>
        <xdr:cNvSpPr/>
      </xdr:nvSpPr>
      <xdr:spPr>
        <a:xfrm>
          <a:off x="33964756" y="6969511"/>
          <a:ext cx="755028" cy="767228"/>
        </a:xfrm>
        <a:prstGeom prst="roundRect">
          <a:avLst/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C3GLB 2188</a:t>
          </a:r>
        </a:p>
      </xdr:txBody>
    </xdr:sp>
    <xdr:clientData/>
  </xdr:twoCellAnchor>
  <xdr:twoCellAnchor editAs="oneCell">
    <xdr:from>
      <xdr:col>33</xdr:col>
      <xdr:colOff>40772</xdr:colOff>
      <xdr:row>5</xdr:row>
      <xdr:rowOff>93509</xdr:rowOff>
    </xdr:from>
    <xdr:to>
      <xdr:col>33</xdr:col>
      <xdr:colOff>669120</xdr:colOff>
      <xdr:row>6</xdr:row>
      <xdr:rowOff>156980</xdr:rowOff>
    </xdr:to>
    <xdr:pic>
      <xdr:nvPicPr>
        <xdr:cNvPr id="111" name="Image 110">
          <a:extLst>
            <a:ext uri="{FF2B5EF4-FFF2-40B4-BE49-F238E27FC236}">
              <a16:creationId xmlns:a16="http://schemas.microsoft.com/office/drawing/2014/main" id="{00000000-0008-0000-17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22845" y="1127320"/>
          <a:ext cx="628348" cy="394358"/>
        </a:xfrm>
        <a:prstGeom prst="rect">
          <a:avLst/>
        </a:prstGeom>
      </xdr:spPr>
    </xdr:pic>
    <xdr:clientData/>
  </xdr:twoCellAnchor>
  <xdr:twoCellAnchor>
    <xdr:from>
      <xdr:col>36</xdr:col>
      <xdr:colOff>185852</xdr:colOff>
      <xdr:row>17</xdr:row>
      <xdr:rowOff>127776</xdr:rowOff>
    </xdr:from>
    <xdr:to>
      <xdr:col>39</xdr:col>
      <xdr:colOff>92927</xdr:colOff>
      <xdr:row>24</xdr:row>
      <xdr:rowOff>195150</xdr:rowOff>
    </xdr:to>
    <xdr:sp macro="" textlink="">
      <xdr:nvSpPr>
        <xdr:cNvPr id="102" name="AutoShape 10501">
          <a:extLst>
            <a:ext uri="{FF2B5EF4-FFF2-40B4-BE49-F238E27FC236}">
              <a16:creationId xmlns:a16="http://schemas.microsoft.com/office/drawing/2014/main" id="{00000000-0008-0000-1700-000066000000}"/>
            </a:ext>
          </a:extLst>
        </xdr:cNvPr>
        <xdr:cNvSpPr>
          <a:spLocks noChangeArrowheads="1"/>
        </xdr:cNvSpPr>
      </xdr:nvSpPr>
      <xdr:spPr bwMode="auto">
        <a:xfrm>
          <a:off x="28029053" y="3275672"/>
          <a:ext cx="2067624" cy="1414813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      </a:t>
          </a:r>
          <a:endParaRPr lang="fr-FR" sz="1800" b="0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464634</xdr:colOff>
      <xdr:row>11</xdr:row>
      <xdr:rowOff>58080</xdr:rowOff>
    </xdr:from>
    <xdr:to>
      <xdr:col>33</xdr:col>
      <xdr:colOff>627257</xdr:colOff>
      <xdr:row>12</xdr:row>
      <xdr:rowOff>139391</xdr:rowOff>
    </xdr:to>
    <xdr:sp macro="" textlink="">
      <xdr:nvSpPr>
        <xdr:cNvPr id="105" name="AutoShape 10501">
          <a:extLst>
            <a:ext uri="{FF2B5EF4-FFF2-40B4-BE49-F238E27FC236}">
              <a16:creationId xmlns:a16="http://schemas.microsoft.com/office/drawing/2014/main" id="{00000000-0008-0000-1700-000069000000}"/>
            </a:ext>
          </a:extLst>
        </xdr:cNvPr>
        <xdr:cNvSpPr>
          <a:spLocks noChangeArrowheads="1"/>
        </xdr:cNvSpPr>
      </xdr:nvSpPr>
      <xdr:spPr bwMode="auto">
        <a:xfrm>
          <a:off x="28180061" y="2207013"/>
          <a:ext cx="929269" cy="278780"/>
        </a:xfrm>
        <a:prstGeom prst="flowChartAlternateProcess">
          <a:avLst/>
        </a:prstGeom>
        <a:solidFill>
          <a:srgbClr val="92D050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 anchor="ctr"/>
        <a:lstStyle/>
        <a:p>
          <a:pPr marL="0" indent="0" algn="ctr" eaLnBrk="1" fontAlgn="auto" latinLnBrk="0" hangingPunct="1"/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A=40000</a:t>
          </a:r>
        </a:p>
      </xdr:txBody>
    </xdr:sp>
    <xdr:clientData/>
  </xdr:twoCellAnchor>
  <xdr:twoCellAnchor>
    <xdr:from>
      <xdr:col>31</xdr:col>
      <xdr:colOff>522714</xdr:colOff>
      <xdr:row>13</xdr:row>
      <xdr:rowOff>69695</xdr:rowOff>
    </xdr:from>
    <xdr:to>
      <xdr:col>32</xdr:col>
      <xdr:colOff>534330</xdr:colOff>
      <xdr:row>18</xdr:row>
      <xdr:rowOff>104542</xdr:rowOff>
    </xdr:to>
    <xdr:sp macro="" textlink="">
      <xdr:nvSpPr>
        <xdr:cNvPr id="112" name="AutoShape 10501">
          <a:extLst>
            <a:ext uri="{FF2B5EF4-FFF2-40B4-BE49-F238E27FC236}">
              <a16:creationId xmlns:a16="http://schemas.microsoft.com/office/drawing/2014/main" id="{00000000-0008-0000-1700-000070000000}"/>
            </a:ext>
          </a:extLst>
        </xdr:cNvPr>
        <xdr:cNvSpPr>
          <a:spLocks noChangeArrowheads="1"/>
        </xdr:cNvSpPr>
      </xdr:nvSpPr>
      <xdr:spPr bwMode="auto">
        <a:xfrm>
          <a:off x="27738659" y="2613567"/>
          <a:ext cx="778262" cy="964115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685333</xdr:colOff>
      <xdr:row>26</xdr:row>
      <xdr:rowOff>23232</xdr:rowOff>
    </xdr:from>
    <xdr:to>
      <xdr:col>43</xdr:col>
      <xdr:colOff>255548</xdr:colOff>
      <xdr:row>31</xdr:row>
      <xdr:rowOff>127774</xdr:rowOff>
    </xdr:to>
    <xdr:sp macro="" textlink="">
      <xdr:nvSpPr>
        <xdr:cNvPr id="114" name="AutoShape 10501">
          <a:extLst>
            <a:ext uri="{FF2B5EF4-FFF2-40B4-BE49-F238E27FC236}">
              <a16:creationId xmlns:a16="http://schemas.microsoft.com/office/drawing/2014/main" id="{00000000-0008-0000-1700-000072000000}"/>
            </a:ext>
          </a:extLst>
        </xdr:cNvPr>
        <xdr:cNvSpPr>
          <a:spLocks noChangeArrowheads="1"/>
        </xdr:cNvSpPr>
      </xdr:nvSpPr>
      <xdr:spPr bwMode="auto">
        <a:xfrm>
          <a:off x="35567742" y="5041281"/>
          <a:ext cx="1103507" cy="1126737"/>
        </a:xfrm>
        <a:prstGeom prst="flowChartAlternateProcess">
          <a:avLst/>
        </a:prstGeom>
        <a:solidFill>
          <a:srgbClr val="FFFF00">
            <a:alpha val="61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100" b="1" i="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651580</xdr:colOff>
      <xdr:row>5</xdr:row>
      <xdr:rowOff>211741</xdr:rowOff>
    </xdr:from>
    <xdr:to>
      <xdr:col>9</xdr:col>
      <xdr:colOff>393942</xdr:colOff>
      <xdr:row>10</xdr:row>
      <xdr:rowOff>258205</xdr:rowOff>
    </xdr:to>
    <xdr:sp macro="" textlink="">
      <xdr:nvSpPr>
        <xdr:cNvPr id="126" name="AutoShape 10501">
          <a:extLst>
            <a:ext uri="{FF2B5EF4-FFF2-40B4-BE49-F238E27FC236}">
              <a16:creationId xmlns:a16="http://schemas.microsoft.com/office/drawing/2014/main" id="{00000000-0008-0000-1700-00007E000000}"/>
            </a:ext>
          </a:extLst>
        </xdr:cNvPr>
        <xdr:cNvSpPr>
          <a:spLocks noChangeArrowheads="1"/>
        </xdr:cNvSpPr>
      </xdr:nvSpPr>
      <xdr:spPr bwMode="auto">
        <a:xfrm>
          <a:off x="7033330" y="1762955"/>
          <a:ext cx="463541" cy="1747357"/>
        </a:xfrm>
        <a:prstGeom prst="flowChartAlternateProcess">
          <a:avLst/>
        </a:prstGeom>
        <a:solidFill>
          <a:srgbClr val="00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200" b="1" i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 i="0">
              <a:solidFill>
                <a:schemeClr val="tx1"/>
              </a:solidFill>
              <a:latin typeface="+mn-lt"/>
              <a:ea typeface="+mn-ea"/>
              <a:cs typeface="+mn-cs"/>
            </a:rPr>
            <a:t>4750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 noProof="0">
              <a:solidFill>
                <a:schemeClr val="tx1"/>
              </a:solidFill>
              <a:latin typeface="+mn-lt"/>
              <a:ea typeface="+mn-ea"/>
              <a:cs typeface="+mn-cs"/>
            </a:rPr>
            <a:t>LAV</a:t>
          </a:r>
        </a:p>
      </xdr:txBody>
    </xdr:sp>
    <xdr:clientData/>
  </xdr:twoCellAnchor>
  <xdr:twoCellAnchor>
    <xdr:from>
      <xdr:col>39</xdr:col>
      <xdr:colOff>441405</xdr:colOff>
      <xdr:row>23</xdr:row>
      <xdr:rowOff>46463</xdr:rowOff>
    </xdr:from>
    <xdr:to>
      <xdr:col>42</xdr:col>
      <xdr:colOff>476250</xdr:colOff>
      <xdr:row>28</xdr:row>
      <xdr:rowOff>12203</xdr:rowOff>
    </xdr:to>
    <xdr:sp macro="" textlink="">
      <xdr:nvSpPr>
        <xdr:cNvPr id="96" name="AutoShape 10501">
          <a:extLst>
            <a:ext uri="{FF2B5EF4-FFF2-40B4-BE49-F238E27FC236}">
              <a16:creationId xmlns:a16="http://schemas.microsoft.com/office/drawing/2014/main" id="{00000000-0008-0000-1700-000060000000}"/>
            </a:ext>
          </a:extLst>
        </xdr:cNvPr>
        <xdr:cNvSpPr>
          <a:spLocks noChangeArrowheads="1"/>
        </xdr:cNvSpPr>
      </xdr:nvSpPr>
      <xdr:spPr bwMode="auto">
        <a:xfrm>
          <a:off x="30445155" y="4355945"/>
          <a:ext cx="2195394" cy="929856"/>
        </a:xfrm>
        <a:prstGeom prst="flowChartAlternateProcess">
          <a:avLst/>
        </a:prstGeom>
        <a:solidFill>
          <a:srgbClr val="FF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baseline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598380</xdr:colOff>
      <xdr:row>6</xdr:row>
      <xdr:rowOff>174571</xdr:rowOff>
    </xdr:from>
    <xdr:to>
      <xdr:col>10</xdr:col>
      <xdr:colOff>1353413</xdr:colOff>
      <xdr:row>10</xdr:row>
      <xdr:rowOff>221034</xdr:rowOff>
    </xdr:to>
    <xdr:sp macro="" textlink="">
      <xdr:nvSpPr>
        <xdr:cNvPr id="115" name="AutoShape 10501">
          <a:extLst>
            <a:ext uri="{FF2B5EF4-FFF2-40B4-BE49-F238E27FC236}">
              <a16:creationId xmlns:a16="http://schemas.microsoft.com/office/drawing/2014/main" id="{00000000-0008-0000-1700-000073000000}"/>
            </a:ext>
          </a:extLst>
        </xdr:cNvPr>
        <xdr:cNvSpPr>
          <a:spLocks noChangeArrowheads="1"/>
        </xdr:cNvSpPr>
      </xdr:nvSpPr>
      <xdr:spPr bwMode="auto">
        <a:xfrm flipH="1">
          <a:off x="8422487" y="2065964"/>
          <a:ext cx="755033" cy="1407177"/>
        </a:xfrm>
        <a:prstGeom prst="flowChartAlternateProcess">
          <a:avLst/>
        </a:prstGeom>
        <a:solidFill>
          <a:srgbClr val="FF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lavé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12882</a:t>
          </a:r>
        </a:p>
      </xdr:txBody>
    </xdr:sp>
    <xdr:clientData/>
  </xdr:twoCellAnchor>
  <xdr:twoCellAnchor>
    <xdr:from>
      <xdr:col>31</xdr:col>
      <xdr:colOff>575105</xdr:colOff>
      <xdr:row>12</xdr:row>
      <xdr:rowOff>23815</xdr:rowOff>
    </xdr:from>
    <xdr:to>
      <xdr:col>33</xdr:col>
      <xdr:colOff>470561</xdr:colOff>
      <xdr:row>17</xdr:row>
      <xdr:rowOff>128357</xdr:rowOff>
    </xdr:to>
    <xdr:sp macro="" textlink="">
      <xdr:nvSpPr>
        <xdr:cNvPr id="106" name="Rectangle à coins arrondis 105">
          <a:extLst>
            <a:ext uri="{FF2B5EF4-FFF2-40B4-BE49-F238E27FC236}">
              <a16:creationId xmlns:a16="http://schemas.microsoft.com/office/drawing/2014/main" id="{00000000-0008-0000-1700-00006A000000}"/>
            </a:ext>
          </a:extLst>
        </xdr:cNvPr>
        <xdr:cNvSpPr/>
      </xdr:nvSpPr>
      <xdr:spPr>
        <a:xfrm>
          <a:off x="27616812" y="2370217"/>
          <a:ext cx="1428749" cy="1045427"/>
        </a:xfrm>
        <a:prstGeom prst="roundRect">
          <a:avLst>
            <a:gd name="adj" fmla="val 35000"/>
          </a:avLst>
        </a:prstGeom>
        <a:solidFill>
          <a:srgbClr val="FFFF0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600" b="1">
            <a:solidFill>
              <a:sysClr val="windowText" lastClr="000000"/>
            </a:solidFill>
          </a:endParaRPr>
        </a:p>
        <a:p>
          <a:pPr algn="l"/>
          <a:r>
            <a:rPr lang="fr-FR" sz="1600" b="1">
              <a:solidFill>
                <a:sysClr val="windowText" lastClr="000000"/>
              </a:solidFill>
            </a:rPr>
            <a:t>     </a:t>
          </a:r>
        </a:p>
      </xdr:txBody>
    </xdr:sp>
    <xdr:clientData/>
  </xdr:twoCellAnchor>
  <xdr:twoCellAnchor>
    <xdr:from>
      <xdr:col>34</xdr:col>
      <xdr:colOff>336858</xdr:colOff>
      <xdr:row>1</xdr:row>
      <xdr:rowOff>139390</xdr:rowOff>
    </xdr:from>
    <xdr:to>
      <xdr:col>36</xdr:col>
      <xdr:colOff>302012</xdr:colOff>
      <xdr:row>6</xdr:row>
      <xdr:rowOff>81311</xdr:rowOff>
    </xdr:to>
    <xdr:sp macro="" textlink="">
      <xdr:nvSpPr>
        <xdr:cNvPr id="110" name="Rectangle à coins arrondis 109">
          <a:extLst>
            <a:ext uri="{FF2B5EF4-FFF2-40B4-BE49-F238E27FC236}">
              <a16:creationId xmlns:a16="http://schemas.microsoft.com/office/drawing/2014/main" id="{00000000-0008-0000-1700-00006E000000}"/>
            </a:ext>
          </a:extLst>
        </xdr:cNvPr>
        <xdr:cNvSpPr/>
      </xdr:nvSpPr>
      <xdr:spPr>
        <a:xfrm>
          <a:off x="26832620" y="325244"/>
          <a:ext cx="1405520" cy="789878"/>
        </a:xfrm>
        <a:prstGeom prst="roundRect">
          <a:avLst>
            <a:gd name="adj" fmla="val 35000"/>
          </a:avLst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l"/>
          <a:r>
            <a:rPr lang="fr-FR" sz="1800" b="1" baseline="0">
              <a:solidFill>
                <a:sysClr val="windowText" lastClr="000000"/>
              </a:solidFill>
            </a:rPr>
            <a:t> </a:t>
          </a:r>
          <a:r>
            <a:rPr lang="fr-FR" sz="1600" b="1" baseline="0">
              <a:solidFill>
                <a:sysClr val="windowText" lastClr="000000"/>
              </a:solidFill>
            </a:rPr>
            <a:t>      12331</a:t>
          </a:r>
          <a:endParaRPr lang="fr-F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39</xdr:col>
      <xdr:colOff>290397</xdr:colOff>
      <xdr:row>18</xdr:row>
      <xdr:rowOff>23233</xdr:rowOff>
    </xdr:from>
    <xdr:to>
      <xdr:col>41</xdr:col>
      <xdr:colOff>313627</xdr:colOff>
      <xdr:row>22</xdr:row>
      <xdr:rowOff>141424</xdr:rowOff>
    </xdr:to>
    <xdr:sp macro="" textlink="">
      <xdr:nvSpPr>
        <xdr:cNvPr id="122" name="AutoShape 10501">
          <a:extLst>
            <a:ext uri="{FF2B5EF4-FFF2-40B4-BE49-F238E27FC236}">
              <a16:creationId xmlns:a16="http://schemas.microsoft.com/office/drawing/2014/main" id="{00000000-0008-0000-1700-00007A000000}"/>
            </a:ext>
          </a:extLst>
        </xdr:cNvPr>
        <xdr:cNvSpPr>
          <a:spLocks noChangeArrowheads="1"/>
        </xdr:cNvSpPr>
      </xdr:nvSpPr>
      <xdr:spPr bwMode="auto">
        <a:xfrm>
          <a:off x="33465275" y="3496373"/>
          <a:ext cx="1556523" cy="884838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11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</a:t>
          </a:r>
        </a:p>
        <a:p>
          <a:pPr marL="0" indent="0" algn="ctr" eaLnBrk="1" fontAlgn="auto" latinLnBrk="0" hangingPunct="1"/>
          <a:r>
            <a:rPr lang="fr-FR" sz="11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PORT</a:t>
          </a:r>
        </a:p>
        <a:p>
          <a:pPr marL="0" indent="0" algn="ctr" eaLnBrk="1" fontAlgn="auto" latinLnBrk="0" hangingPunct="1"/>
          <a:r>
            <a:rPr lang="fr-FR" sz="11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2584                   </a:t>
          </a:r>
        </a:p>
        <a:p>
          <a:pPr marL="0" indent="0" algn="ctr" eaLnBrk="1" fontAlgn="auto" latinLnBrk="0" hangingPunct="1"/>
          <a:endParaRPr lang="fr-FR" sz="12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34</xdr:col>
      <xdr:colOff>313629</xdr:colOff>
      <xdr:row>12</xdr:row>
      <xdr:rowOff>23233</xdr:rowOff>
    </xdr:from>
    <xdr:to>
      <xdr:col>35</xdr:col>
      <xdr:colOff>336862</xdr:colOff>
      <xdr:row>16</xdr:row>
      <xdr:rowOff>139391</xdr:rowOff>
    </xdr:to>
    <xdr:sp macro="" textlink="">
      <xdr:nvSpPr>
        <xdr:cNvPr id="84" name="AutoShape 10501">
          <a:extLst>
            <a:ext uri="{FF2B5EF4-FFF2-40B4-BE49-F238E27FC236}">
              <a16:creationId xmlns:a16="http://schemas.microsoft.com/office/drawing/2014/main" id="{00000000-0008-0000-1700-000054000000}"/>
            </a:ext>
          </a:extLst>
        </xdr:cNvPr>
        <xdr:cNvSpPr>
          <a:spLocks noChangeArrowheads="1"/>
        </xdr:cNvSpPr>
      </xdr:nvSpPr>
      <xdr:spPr bwMode="auto">
        <a:xfrm>
          <a:off x="29562349" y="2369635"/>
          <a:ext cx="789879" cy="871189"/>
        </a:xfrm>
        <a:prstGeom prst="flowChartAlternateProcess">
          <a:avLst/>
        </a:prstGeom>
        <a:solidFill>
          <a:schemeClr val="tx2">
            <a:alpha val="60000"/>
          </a:scheme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baseline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baseline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baseline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baseline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34</xdr:col>
      <xdr:colOff>348475</xdr:colOff>
      <xdr:row>31</xdr:row>
      <xdr:rowOff>23231</xdr:rowOff>
    </xdr:from>
    <xdr:to>
      <xdr:col>35</xdr:col>
      <xdr:colOff>406555</xdr:colOff>
      <xdr:row>32</xdr:row>
      <xdr:rowOff>23232</xdr:rowOff>
    </xdr:to>
    <xdr:sp macro="" textlink="">
      <xdr:nvSpPr>
        <xdr:cNvPr id="120" name="Rectangle à coins arrondis 119">
          <a:extLst>
            <a:ext uri="{FF2B5EF4-FFF2-40B4-BE49-F238E27FC236}">
              <a16:creationId xmlns:a16="http://schemas.microsoft.com/office/drawing/2014/main" id="{00000000-0008-0000-1700-000078000000}"/>
            </a:ext>
          </a:extLst>
        </xdr:cNvPr>
        <xdr:cNvSpPr/>
      </xdr:nvSpPr>
      <xdr:spPr>
        <a:xfrm>
          <a:off x="26844237" y="5912469"/>
          <a:ext cx="778263" cy="185854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B≈</a:t>
          </a:r>
        </a:p>
      </xdr:txBody>
    </xdr:sp>
    <xdr:clientData/>
  </xdr:twoCellAnchor>
  <xdr:twoCellAnchor>
    <xdr:from>
      <xdr:col>42</xdr:col>
      <xdr:colOff>650485</xdr:colOff>
      <xdr:row>4</xdr:row>
      <xdr:rowOff>185852</xdr:rowOff>
    </xdr:from>
    <xdr:to>
      <xdr:col>46</xdr:col>
      <xdr:colOff>592409</xdr:colOff>
      <xdr:row>8</xdr:row>
      <xdr:rowOff>128360</xdr:rowOff>
    </xdr:to>
    <xdr:sp macro="" textlink="">
      <xdr:nvSpPr>
        <xdr:cNvPr id="124" name="AutoShape 10501">
          <a:extLst>
            <a:ext uri="{FF2B5EF4-FFF2-40B4-BE49-F238E27FC236}">
              <a16:creationId xmlns:a16="http://schemas.microsoft.com/office/drawing/2014/main" id="{00000000-0008-0000-1700-00007C000000}"/>
            </a:ext>
          </a:extLst>
        </xdr:cNvPr>
        <xdr:cNvSpPr>
          <a:spLocks noChangeArrowheads="1"/>
        </xdr:cNvSpPr>
      </xdr:nvSpPr>
      <xdr:spPr bwMode="auto">
        <a:xfrm>
          <a:off x="32907711" y="836340"/>
          <a:ext cx="2822655" cy="697538"/>
        </a:xfrm>
        <a:prstGeom prst="flowChartAlternateProcess">
          <a:avLst/>
        </a:prstGeom>
        <a:solidFill>
          <a:schemeClr val="accent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2000" b="1" i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 BG        5644</a:t>
          </a:r>
        </a:p>
        <a:p>
          <a:pPr marL="0" indent="0" algn="ctr" eaLnBrk="1" fontAlgn="auto" latinLnBrk="0" hangingPunct="1"/>
          <a:endParaRPr lang="fr-FR" sz="2000" b="1" i="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2000" b="1" i="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2000" b="1" i="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81312</xdr:colOff>
      <xdr:row>33</xdr:row>
      <xdr:rowOff>92927</xdr:rowOff>
    </xdr:from>
    <xdr:to>
      <xdr:col>33</xdr:col>
      <xdr:colOff>371708</xdr:colOff>
      <xdr:row>37</xdr:row>
      <xdr:rowOff>151007</xdr:rowOff>
    </xdr:to>
    <xdr:sp macro="" textlink="">
      <xdr:nvSpPr>
        <xdr:cNvPr id="141" name="AutoShape 10501">
          <a:extLst>
            <a:ext uri="{FF2B5EF4-FFF2-40B4-BE49-F238E27FC236}">
              <a16:creationId xmlns:a16="http://schemas.microsoft.com/office/drawing/2014/main" id="{00000000-0008-0000-1700-00008D000000}"/>
            </a:ext>
          </a:extLst>
        </xdr:cNvPr>
        <xdr:cNvSpPr>
          <a:spLocks noChangeArrowheads="1"/>
        </xdr:cNvSpPr>
      </xdr:nvSpPr>
      <xdr:spPr bwMode="auto">
        <a:xfrm>
          <a:off x="28063903" y="6551342"/>
          <a:ext cx="1057043" cy="882805"/>
        </a:xfrm>
        <a:prstGeom prst="flowChartAlternateProcess">
          <a:avLst/>
        </a:prstGeom>
        <a:solidFill>
          <a:srgbClr val="002060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endParaRPr lang="fr-FR" sz="2000" b="1" i="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2000" b="1" i="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2000" b="1" i="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720186</xdr:colOff>
      <xdr:row>18</xdr:row>
      <xdr:rowOff>92928</xdr:rowOff>
    </xdr:from>
    <xdr:to>
      <xdr:col>33</xdr:col>
      <xdr:colOff>278783</xdr:colOff>
      <xdr:row>20</xdr:row>
      <xdr:rowOff>116159</xdr:rowOff>
    </xdr:to>
    <xdr:sp macro="" textlink="">
      <xdr:nvSpPr>
        <xdr:cNvPr id="118" name="AutoShape 10501">
          <a:extLst>
            <a:ext uri="{FF2B5EF4-FFF2-40B4-BE49-F238E27FC236}">
              <a16:creationId xmlns:a16="http://schemas.microsoft.com/office/drawing/2014/main" id="{00000000-0008-0000-1700-000076000000}"/>
            </a:ext>
          </a:extLst>
        </xdr:cNvPr>
        <xdr:cNvSpPr>
          <a:spLocks noChangeArrowheads="1"/>
        </xdr:cNvSpPr>
      </xdr:nvSpPr>
      <xdr:spPr bwMode="auto">
        <a:xfrm>
          <a:off x="25903357" y="3786769"/>
          <a:ext cx="1091889" cy="406555"/>
        </a:xfrm>
        <a:prstGeom prst="flowChartAlternateProcess">
          <a:avLst/>
        </a:prstGeom>
        <a:solidFill>
          <a:srgbClr val="FFFF00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 anchor="ctr"/>
        <a:lstStyle/>
        <a:p>
          <a:pPr marL="0" indent="0" algn="ctr" eaLnBrk="1" fontAlgn="auto" latinLnBrk="0" hangingPunct="1"/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Exp≈</a:t>
          </a:r>
          <a:r>
            <a:rPr lang="fr-FR" sz="12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26000</a:t>
          </a:r>
          <a:endParaRPr lang="fr-FR" sz="1200" b="1" i="1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38</xdr:col>
      <xdr:colOff>243934</xdr:colOff>
      <xdr:row>9</xdr:row>
      <xdr:rowOff>162621</xdr:rowOff>
    </xdr:from>
    <xdr:to>
      <xdr:col>40</xdr:col>
      <xdr:colOff>232318</xdr:colOff>
      <xdr:row>14</xdr:row>
      <xdr:rowOff>58079</xdr:rowOff>
    </xdr:to>
    <xdr:sp macro="" textlink="">
      <xdr:nvSpPr>
        <xdr:cNvPr id="123" name="AutoShape 10501">
          <a:extLst>
            <a:ext uri="{FF2B5EF4-FFF2-40B4-BE49-F238E27FC236}">
              <a16:creationId xmlns:a16="http://schemas.microsoft.com/office/drawing/2014/main" id="{00000000-0008-0000-1700-00007B000000}"/>
            </a:ext>
          </a:extLst>
        </xdr:cNvPr>
        <xdr:cNvSpPr>
          <a:spLocks noChangeArrowheads="1"/>
        </xdr:cNvSpPr>
      </xdr:nvSpPr>
      <xdr:spPr bwMode="auto">
        <a:xfrm>
          <a:off x="29620428" y="1753993"/>
          <a:ext cx="1428750" cy="847958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2000" b="1" i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 BG</a:t>
          </a:r>
        </a:p>
        <a:p>
          <a:pPr marL="0" indent="0" algn="ctr" eaLnBrk="1" fontAlgn="auto" latinLnBrk="0" hangingPunct="1"/>
          <a:endParaRPr lang="fr-FR" sz="2000" b="1" i="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39</xdr:col>
      <xdr:colOff>499483</xdr:colOff>
      <xdr:row>19</xdr:row>
      <xdr:rowOff>116158</xdr:rowOff>
    </xdr:from>
    <xdr:to>
      <xdr:col>40</xdr:col>
      <xdr:colOff>696953</xdr:colOff>
      <xdr:row>23</xdr:row>
      <xdr:rowOff>127774</xdr:rowOff>
    </xdr:to>
    <xdr:sp macro="" textlink="">
      <xdr:nvSpPr>
        <xdr:cNvPr id="101" name="AutoShape 10501">
          <a:extLst>
            <a:ext uri="{FF2B5EF4-FFF2-40B4-BE49-F238E27FC236}">
              <a16:creationId xmlns:a16="http://schemas.microsoft.com/office/drawing/2014/main" id="{00000000-0008-0000-1700-000065000000}"/>
            </a:ext>
          </a:extLst>
        </xdr:cNvPr>
        <xdr:cNvSpPr>
          <a:spLocks noChangeArrowheads="1"/>
        </xdr:cNvSpPr>
      </xdr:nvSpPr>
      <xdr:spPr bwMode="auto">
        <a:xfrm>
          <a:off x="33674361" y="3775152"/>
          <a:ext cx="964116" cy="789878"/>
        </a:xfrm>
        <a:prstGeom prst="flowChartAlternateProcess">
          <a:avLst/>
        </a:prstGeom>
        <a:solidFill>
          <a:srgbClr val="00B0F0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endParaRPr lang="fr-FR" sz="2000" b="1" i="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580792</xdr:colOff>
      <xdr:row>6</xdr:row>
      <xdr:rowOff>185852</xdr:rowOff>
    </xdr:from>
    <xdr:to>
      <xdr:col>39</xdr:col>
      <xdr:colOff>34850</xdr:colOff>
      <xdr:row>11</xdr:row>
      <xdr:rowOff>81310</xdr:rowOff>
    </xdr:to>
    <xdr:sp macro="" textlink="">
      <xdr:nvSpPr>
        <xdr:cNvPr id="128" name="AutoShape 10501">
          <a:extLst>
            <a:ext uri="{FF2B5EF4-FFF2-40B4-BE49-F238E27FC236}">
              <a16:creationId xmlns:a16="http://schemas.microsoft.com/office/drawing/2014/main" id="{00000000-0008-0000-1700-000080000000}"/>
            </a:ext>
          </a:extLst>
        </xdr:cNvPr>
        <xdr:cNvSpPr>
          <a:spLocks noChangeArrowheads="1"/>
        </xdr:cNvSpPr>
      </xdr:nvSpPr>
      <xdr:spPr bwMode="auto">
        <a:xfrm>
          <a:off x="30363841" y="1219663"/>
          <a:ext cx="987350" cy="824726"/>
        </a:xfrm>
        <a:prstGeom prst="flowChartAlternateProcess">
          <a:avLst/>
        </a:prstGeom>
        <a:solidFill>
          <a:srgbClr val="99CCFF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1400" b="1" i="0">
              <a:solidFill>
                <a:sysClr val="windowText" lastClr="000000"/>
              </a:solidFill>
              <a:latin typeface="Arial Black" panose="020B0A04020102020204" pitchFamily="34" charset="0"/>
              <a:ea typeface="+mn-ea"/>
              <a:cs typeface="+mn-cs"/>
            </a:rPr>
            <a:t>export</a:t>
          </a:r>
        </a:p>
        <a:p>
          <a:pPr marL="0" indent="0" algn="ctr" eaLnBrk="1" fontAlgn="auto" latinLnBrk="0" hangingPunct="1"/>
          <a:r>
            <a:rPr lang="fr-FR" sz="18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1000</a:t>
          </a:r>
          <a:r>
            <a:rPr lang="fr-FR" sz="11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  </a:t>
          </a:r>
        </a:p>
      </xdr:txBody>
    </xdr:sp>
    <xdr:clientData/>
  </xdr:twoCellAnchor>
  <xdr:twoCellAnchor>
    <xdr:from>
      <xdr:col>35</xdr:col>
      <xdr:colOff>278780</xdr:colOff>
      <xdr:row>13</xdr:row>
      <xdr:rowOff>162622</xdr:rowOff>
    </xdr:from>
    <xdr:to>
      <xdr:col>36</xdr:col>
      <xdr:colOff>580793</xdr:colOff>
      <xdr:row>17</xdr:row>
      <xdr:rowOff>81307</xdr:rowOff>
    </xdr:to>
    <xdr:sp macro="" textlink="">
      <xdr:nvSpPr>
        <xdr:cNvPr id="130" name="AutoShape 10501">
          <a:extLst>
            <a:ext uri="{FF2B5EF4-FFF2-40B4-BE49-F238E27FC236}">
              <a16:creationId xmlns:a16="http://schemas.microsoft.com/office/drawing/2014/main" id="{00000000-0008-0000-1700-000082000000}"/>
            </a:ext>
          </a:extLst>
        </xdr:cNvPr>
        <xdr:cNvSpPr>
          <a:spLocks noChangeArrowheads="1"/>
        </xdr:cNvSpPr>
      </xdr:nvSpPr>
      <xdr:spPr bwMode="auto">
        <a:xfrm>
          <a:off x="28528536" y="2532256"/>
          <a:ext cx="1068659" cy="987344"/>
        </a:xfrm>
        <a:prstGeom prst="flowChartAlternateProcess">
          <a:avLst/>
        </a:prstGeom>
        <a:solidFill>
          <a:schemeClr val="bg1">
            <a:lumMod val="85000"/>
          </a:scheme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20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TBT</a:t>
          </a:r>
        </a:p>
        <a:p>
          <a:pPr marL="0" indent="0" algn="ctr" eaLnBrk="1" fontAlgn="auto" latinLnBrk="0" hangingPunct="1"/>
          <a:r>
            <a:rPr lang="fr-FR" sz="20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</a:t>
          </a:r>
          <a:r>
            <a:rPr lang="fr-FR" sz="11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</a:t>
          </a:r>
          <a:endParaRPr lang="fr-FR" sz="18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267166</xdr:colOff>
      <xdr:row>13</xdr:row>
      <xdr:rowOff>104544</xdr:rowOff>
    </xdr:from>
    <xdr:to>
      <xdr:col>37</xdr:col>
      <xdr:colOff>220701</xdr:colOff>
      <xdr:row>17</xdr:row>
      <xdr:rowOff>46459</xdr:rowOff>
    </xdr:to>
    <xdr:sp macro="" textlink="">
      <xdr:nvSpPr>
        <xdr:cNvPr id="131" name="AutoShape 10501">
          <a:extLst>
            <a:ext uri="{FF2B5EF4-FFF2-40B4-BE49-F238E27FC236}">
              <a16:creationId xmlns:a16="http://schemas.microsoft.com/office/drawing/2014/main" id="{00000000-0008-0000-1700-000083000000}"/>
            </a:ext>
          </a:extLst>
        </xdr:cNvPr>
        <xdr:cNvSpPr>
          <a:spLocks noChangeArrowheads="1"/>
        </xdr:cNvSpPr>
      </xdr:nvSpPr>
      <xdr:spPr bwMode="auto">
        <a:xfrm>
          <a:off x="29283568" y="2474178"/>
          <a:ext cx="720182" cy="1010574"/>
        </a:xfrm>
        <a:prstGeom prst="flowChartAlternateProcess">
          <a:avLst/>
        </a:prstGeom>
        <a:solidFill>
          <a:schemeClr val="accent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20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EXP </a:t>
          </a:r>
        </a:p>
        <a:p>
          <a:pPr marL="0" indent="0" algn="ctr" eaLnBrk="1" fontAlgn="auto" latinLnBrk="0" hangingPunct="1"/>
          <a:r>
            <a:rPr lang="fr-FR" sz="20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26</a:t>
          </a:r>
        </a:p>
      </xdr:txBody>
    </xdr:sp>
    <xdr:clientData/>
  </xdr:twoCellAnchor>
  <xdr:twoCellAnchor>
    <xdr:from>
      <xdr:col>39</xdr:col>
      <xdr:colOff>162621</xdr:colOff>
      <xdr:row>15</xdr:row>
      <xdr:rowOff>92928</xdr:rowOff>
    </xdr:from>
    <xdr:to>
      <xdr:col>40</xdr:col>
      <xdr:colOff>499482</xdr:colOff>
      <xdr:row>20</xdr:row>
      <xdr:rowOff>69697</xdr:rowOff>
    </xdr:to>
    <xdr:sp macro="" textlink="">
      <xdr:nvSpPr>
        <xdr:cNvPr id="135" name="AutoShape 10501">
          <a:extLst>
            <a:ext uri="{FF2B5EF4-FFF2-40B4-BE49-F238E27FC236}">
              <a16:creationId xmlns:a16="http://schemas.microsoft.com/office/drawing/2014/main" id="{00000000-0008-0000-1700-000087000000}"/>
            </a:ext>
          </a:extLst>
        </xdr:cNvPr>
        <xdr:cNvSpPr>
          <a:spLocks noChangeArrowheads="1"/>
        </xdr:cNvSpPr>
      </xdr:nvSpPr>
      <xdr:spPr bwMode="auto">
        <a:xfrm>
          <a:off x="33337499" y="3008507"/>
          <a:ext cx="1103507" cy="917653"/>
        </a:xfrm>
        <a:prstGeom prst="flowChartAlternateProcess">
          <a:avLst/>
        </a:prstGeom>
        <a:solidFill>
          <a:schemeClr val="accent1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indent="0" algn="ctr" eaLnBrk="1" fontAlgn="auto" latinLnBrk="0" hangingPunct="1"/>
          <a:endParaRPr lang="fr-FR" sz="2000" b="1" i="0" baseline="0" noProof="0">
            <a:solidFill>
              <a:schemeClr val="tx2">
                <a:lumMod val="20000"/>
                <a:lumOff val="8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32993</xdr:colOff>
      <xdr:row>6</xdr:row>
      <xdr:rowOff>152461</xdr:rowOff>
    </xdr:from>
    <xdr:to>
      <xdr:col>34</xdr:col>
      <xdr:colOff>125918</xdr:colOff>
      <xdr:row>11</xdr:row>
      <xdr:rowOff>175692</xdr:rowOff>
    </xdr:to>
    <xdr:sp macro="" textlink="">
      <xdr:nvSpPr>
        <xdr:cNvPr id="119" name="AutoShape 10501">
          <a:extLst>
            <a:ext uri="{FF2B5EF4-FFF2-40B4-BE49-F238E27FC236}">
              <a16:creationId xmlns:a16="http://schemas.microsoft.com/office/drawing/2014/main" id="{00000000-0008-0000-1700-000077000000}"/>
            </a:ext>
          </a:extLst>
        </xdr:cNvPr>
        <xdr:cNvSpPr>
          <a:spLocks noChangeArrowheads="1"/>
        </xdr:cNvSpPr>
      </xdr:nvSpPr>
      <xdr:spPr bwMode="auto">
        <a:xfrm>
          <a:off x="25808572" y="1186272"/>
          <a:ext cx="813108" cy="952499"/>
        </a:xfrm>
        <a:prstGeom prst="flowChartAlternateProcess">
          <a:avLst/>
        </a:prstGeom>
        <a:solidFill>
          <a:srgbClr val="FF3300"/>
        </a:solidFill>
        <a:ln>
          <a:headEnd/>
          <a:tailEnd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600" b="1" i="0" baseline="0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C3GLB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600" b="1" i="0" baseline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39</xdr:col>
      <xdr:colOff>69698</xdr:colOff>
      <xdr:row>9</xdr:row>
      <xdr:rowOff>116157</xdr:rowOff>
    </xdr:from>
    <xdr:to>
      <xdr:col>40</xdr:col>
      <xdr:colOff>116162</xdr:colOff>
      <xdr:row>14</xdr:row>
      <xdr:rowOff>174236</xdr:rowOff>
    </xdr:to>
    <xdr:sp macro="" textlink="">
      <xdr:nvSpPr>
        <xdr:cNvPr id="93" name="AutoShape 10501">
          <a:extLst>
            <a:ext uri="{FF2B5EF4-FFF2-40B4-BE49-F238E27FC236}">
              <a16:creationId xmlns:a16="http://schemas.microsoft.com/office/drawing/2014/main" id="{00000000-0008-0000-1700-00005D000000}"/>
            </a:ext>
          </a:extLst>
        </xdr:cNvPr>
        <xdr:cNvSpPr>
          <a:spLocks noChangeArrowheads="1"/>
        </xdr:cNvSpPr>
      </xdr:nvSpPr>
      <xdr:spPr bwMode="auto">
        <a:xfrm>
          <a:off x="33244576" y="1893383"/>
          <a:ext cx="813110" cy="1010579"/>
        </a:xfrm>
        <a:prstGeom prst="flowChartAlternateProcess">
          <a:avLst/>
        </a:prstGeom>
        <a:solidFill>
          <a:srgbClr val="92D050">
            <a:alpha val="61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>
              <a:latin typeface="+mn-lt"/>
              <a:ea typeface="+mn-ea"/>
              <a:cs typeface="+mn-cs"/>
            </a:rPr>
            <a:t>C3gl</a:t>
          </a:r>
          <a:endParaRPr lang="fr-FR" sz="800" b="1" i="0" strike="noStrike">
            <a:solidFill>
              <a:sysClr val="windowText" lastClr="000000"/>
            </a:solidFill>
            <a:latin typeface="Times New Roman"/>
            <a:ea typeface="+mn-ea"/>
            <a:cs typeface="Times New Roman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>
              <a:latin typeface="+mn-lt"/>
              <a:ea typeface="+mn-ea"/>
              <a:cs typeface="+mn-cs"/>
            </a:rPr>
            <a:t>2057</a:t>
          </a:r>
        </a:p>
      </xdr:txBody>
    </xdr:sp>
    <xdr:clientData/>
  </xdr:twoCellAnchor>
  <xdr:twoCellAnchor>
    <xdr:from>
      <xdr:col>31</xdr:col>
      <xdr:colOff>743415</xdr:colOff>
      <xdr:row>8</xdr:row>
      <xdr:rowOff>69696</xdr:rowOff>
    </xdr:from>
    <xdr:to>
      <xdr:col>33</xdr:col>
      <xdr:colOff>139390</xdr:colOff>
      <xdr:row>13</xdr:row>
      <xdr:rowOff>185853</xdr:rowOff>
    </xdr:to>
    <xdr:sp macro="" textlink="">
      <xdr:nvSpPr>
        <xdr:cNvPr id="134" name="AutoShape 10501">
          <a:extLst>
            <a:ext uri="{FF2B5EF4-FFF2-40B4-BE49-F238E27FC236}">
              <a16:creationId xmlns:a16="http://schemas.microsoft.com/office/drawing/2014/main" id="{00000000-0008-0000-1700-000086000000}"/>
            </a:ext>
          </a:extLst>
        </xdr:cNvPr>
        <xdr:cNvSpPr>
          <a:spLocks noChangeArrowheads="1"/>
        </xdr:cNvSpPr>
      </xdr:nvSpPr>
      <xdr:spPr bwMode="auto">
        <a:xfrm>
          <a:off x="25926586" y="1475214"/>
          <a:ext cx="929267" cy="1080273"/>
        </a:xfrm>
        <a:prstGeom prst="flowChartAlternateProcess">
          <a:avLst/>
        </a:prstGeom>
        <a:solidFill>
          <a:srgbClr val="FFFFFF">
            <a:alpha val="61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indent="0" algn="ctr"/>
          <a:r>
            <a:rPr lang="fr-FR" sz="1800" b="1" i="0" strike="noStrike">
              <a:solidFill>
                <a:sysClr val="windowText" lastClr="000000"/>
              </a:solidFill>
              <a:latin typeface="+mn-lt"/>
              <a:ea typeface="+mn-ea"/>
              <a:cs typeface="Times New Roman"/>
            </a:rPr>
            <a:t>BT</a:t>
          </a:r>
        </a:p>
        <a:p>
          <a:pPr marL="0" indent="0" algn="ctr"/>
          <a:endParaRPr lang="fr-FR" sz="1800" b="1" i="0" strike="noStrike">
            <a:solidFill>
              <a:sysClr val="windowText" lastClr="000000"/>
            </a:solidFill>
            <a:latin typeface="+mn-lt"/>
            <a:ea typeface="+mn-ea"/>
            <a:cs typeface="Times New Roman"/>
          </a:endParaRPr>
        </a:p>
      </xdr:txBody>
    </xdr:sp>
    <xdr:clientData/>
  </xdr:twoCellAnchor>
  <xdr:twoCellAnchor>
    <xdr:from>
      <xdr:col>32</xdr:col>
      <xdr:colOff>127772</xdr:colOff>
      <xdr:row>28</xdr:row>
      <xdr:rowOff>185855</xdr:rowOff>
    </xdr:from>
    <xdr:to>
      <xdr:col>33</xdr:col>
      <xdr:colOff>104541</xdr:colOff>
      <xdr:row>33</xdr:row>
      <xdr:rowOff>23233</xdr:rowOff>
    </xdr:to>
    <xdr:sp macro="" textlink="">
      <xdr:nvSpPr>
        <xdr:cNvPr id="136" name="AutoShape 10501">
          <a:extLst>
            <a:ext uri="{FF2B5EF4-FFF2-40B4-BE49-F238E27FC236}">
              <a16:creationId xmlns:a16="http://schemas.microsoft.com/office/drawing/2014/main" id="{00000000-0008-0000-1700-000088000000}"/>
            </a:ext>
          </a:extLst>
        </xdr:cNvPr>
        <xdr:cNvSpPr>
          <a:spLocks noChangeArrowheads="1"/>
        </xdr:cNvSpPr>
      </xdr:nvSpPr>
      <xdr:spPr bwMode="auto">
        <a:xfrm>
          <a:off x="25090242" y="5459453"/>
          <a:ext cx="696951" cy="824725"/>
        </a:xfrm>
        <a:prstGeom prst="flowChartAlternateProcess">
          <a:avLst/>
        </a:prstGeom>
        <a:ln>
          <a:headEnd/>
          <a:tailEnd/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BT    680</a:t>
          </a:r>
          <a:r>
            <a:rPr lang="fr-FR" sz="24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   </a:t>
          </a:r>
          <a:endParaRPr lang="fr-FR" sz="24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592409</xdr:colOff>
      <xdr:row>16</xdr:row>
      <xdr:rowOff>46464</xdr:rowOff>
    </xdr:from>
    <xdr:to>
      <xdr:col>33</xdr:col>
      <xdr:colOff>290395</xdr:colOff>
      <xdr:row>18</xdr:row>
      <xdr:rowOff>92929</xdr:rowOff>
    </xdr:to>
    <xdr:sp macro="" textlink="">
      <xdr:nvSpPr>
        <xdr:cNvPr id="125" name="AutoShape 10501">
          <a:extLst>
            <a:ext uri="{FF2B5EF4-FFF2-40B4-BE49-F238E27FC236}">
              <a16:creationId xmlns:a16="http://schemas.microsoft.com/office/drawing/2014/main" id="{00000000-0008-0000-1700-00007D000000}"/>
            </a:ext>
          </a:extLst>
        </xdr:cNvPr>
        <xdr:cNvSpPr>
          <a:spLocks noChangeArrowheads="1"/>
        </xdr:cNvSpPr>
      </xdr:nvSpPr>
      <xdr:spPr bwMode="auto">
        <a:xfrm>
          <a:off x="25287714" y="3380214"/>
          <a:ext cx="1138352" cy="453020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 anchor="ctr"/>
        <a:lstStyle/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Standard</a:t>
          </a:r>
        </a:p>
        <a:p>
          <a:pPr marL="0" indent="0" algn="ctr" eaLnBrk="1" fontAlgn="auto" latinLnBrk="0" hangingPunct="1"/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10791</a:t>
          </a: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</a:t>
          </a: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BG</a:t>
          </a:r>
        </a:p>
        <a:p>
          <a:pPr marL="0" indent="0" algn="ctr" eaLnBrk="1" fontAlgn="auto" latinLnBrk="0" hangingPunct="1"/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19639</a:t>
          </a: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255549</xdr:colOff>
      <xdr:row>21</xdr:row>
      <xdr:rowOff>162621</xdr:rowOff>
    </xdr:from>
    <xdr:to>
      <xdr:col>37</xdr:col>
      <xdr:colOff>569178</xdr:colOff>
      <xdr:row>26</xdr:row>
      <xdr:rowOff>92926</xdr:rowOff>
    </xdr:to>
    <xdr:sp macro="" textlink="">
      <xdr:nvSpPr>
        <xdr:cNvPr id="137" name="AutoShape 10501">
          <a:extLst>
            <a:ext uri="{FF2B5EF4-FFF2-40B4-BE49-F238E27FC236}">
              <a16:creationId xmlns:a16="http://schemas.microsoft.com/office/drawing/2014/main" id="{00000000-0008-0000-1700-000089000000}"/>
            </a:ext>
          </a:extLst>
        </xdr:cNvPr>
        <xdr:cNvSpPr>
          <a:spLocks noChangeArrowheads="1"/>
        </xdr:cNvSpPr>
      </xdr:nvSpPr>
      <xdr:spPr bwMode="auto">
        <a:xfrm>
          <a:off x="27831586" y="4483719"/>
          <a:ext cx="1753994" cy="894420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 BG 5578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615642</xdr:colOff>
      <xdr:row>15</xdr:row>
      <xdr:rowOff>151006</xdr:rowOff>
    </xdr:from>
    <xdr:to>
      <xdr:col>34</xdr:col>
      <xdr:colOff>267167</xdr:colOff>
      <xdr:row>16</xdr:row>
      <xdr:rowOff>151002</xdr:rowOff>
    </xdr:to>
    <xdr:sp macro="" textlink="">
      <xdr:nvSpPr>
        <xdr:cNvPr id="143" name="Rectangle à coins arrondis 142">
          <a:extLst>
            <a:ext uri="{FF2B5EF4-FFF2-40B4-BE49-F238E27FC236}">
              <a16:creationId xmlns:a16="http://schemas.microsoft.com/office/drawing/2014/main" id="{00000000-0008-0000-1700-00008F000000}"/>
            </a:ext>
          </a:extLst>
        </xdr:cNvPr>
        <xdr:cNvSpPr/>
      </xdr:nvSpPr>
      <xdr:spPr>
        <a:xfrm>
          <a:off x="25671038" y="2892347"/>
          <a:ext cx="1091891" cy="197466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A=30000</a:t>
          </a:r>
        </a:p>
      </xdr:txBody>
    </xdr:sp>
    <xdr:clientData/>
  </xdr:twoCellAnchor>
  <xdr:twoCellAnchor>
    <xdr:from>
      <xdr:col>33</xdr:col>
      <xdr:colOff>511098</xdr:colOff>
      <xdr:row>24</xdr:row>
      <xdr:rowOff>34848</xdr:rowOff>
    </xdr:from>
    <xdr:to>
      <xdr:col>34</xdr:col>
      <xdr:colOff>731799</xdr:colOff>
      <xdr:row>25</xdr:row>
      <xdr:rowOff>127775</xdr:rowOff>
    </xdr:to>
    <xdr:sp macro="" textlink="">
      <xdr:nvSpPr>
        <xdr:cNvPr id="138" name="Rectangle à coins arrondis 137">
          <a:extLst>
            <a:ext uri="{FF2B5EF4-FFF2-40B4-BE49-F238E27FC236}">
              <a16:creationId xmlns:a16="http://schemas.microsoft.com/office/drawing/2014/main" id="{00000000-0008-0000-1700-00008A000000}"/>
            </a:ext>
          </a:extLst>
        </xdr:cNvPr>
        <xdr:cNvSpPr/>
      </xdr:nvSpPr>
      <xdr:spPr>
        <a:xfrm>
          <a:off x="27227561" y="4936738"/>
          <a:ext cx="987348" cy="302013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A≈</a:t>
          </a:r>
        </a:p>
      </xdr:txBody>
    </xdr:sp>
    <xdr:clientData/>
  </xdr:twoCellAnchor>
  <xdr:twoCellAnchor>
    <xdr:from>
      <xdr:col>32</xdr:col>
      <xdr:colOff>185853</xdr:colOff>
      <xdr:row>10</xdr:row>
      <xdr:rowOff>11616</xdr:rowOff>
    </xdr:from>
    <xdr:to>
      <xdr:col>32</xdr:col>
      <xdr:colOff>662103</xdr:colOff>
      <xdr:row>13</xdr:row>
      <xdr:rowOff>162626</xdr:rowOff>
    </xdr:to>
    <xdr:sp macro="" textlink="">
      <xdr:nvSpPr>
        <xdr:cNvPr id="95" name="AutoShape 10501">
          <a:extLst>
            <a:ext uri="{FF2B5EF4-FFF2-40B4-BE49-F238E27FC236}">
              <a16:creationId xmlns:a16="http://schemas.microsoft.com/office/drawing/2014/main" id="{00000000-0008-0000-1700-00005F000000}"/>
            </a:ext>
          </a:extLst>
        </xdr:cNvPr>
        <xdr:cNvSpPr>
          <a:spLocks noChangeArrowheads="1"/>
        </xdr:cNvSpPr>
      </xdr:nvSpPr>
      <xdr:spPr bwMode="auto">
        <a:xfrm>
          <a:off x="25148323" y="1788842"/>
          <a:ext cx="476250" cy="731802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743415</xdr:colOff>
      <xdr:row>29</xdr:row>
      <xdr:rowOff>58659</xdr:rowOff>
    </xdr:from>
    <xdr:to>
      <xdr:col>37</xdr:col>
      <xdr:colOff>81312</xdr:colOff>
      <xdr:row>32</xdr:row>
      <xdr:rowOff>174817</xdr:rowOff>
    </xdr:to>
    <xdr:sp macro="" textlink="">
      <xdr:nvSpPr>
        <xdr:cNvPr id="113" name="AutoShape 10501">
          <a:extLst>
            <a:ext uri="{FF2B5EF4-FFF2-40B4-BE49-F238E27FC236}">
              <a16:creationId xmlns:a16="http://schemas.microsoft.com/office/drawing/2014/main" id="{00000000-0008-0000-1700-000071000000}"/>
            </a:ext>
          </a:extLst>
        </xdr:cNvPr>
        <xdr:cNvSpPr>
          <a:spLocks noChangeArrowheads="1"/>
        </xdr:cNvSpPr>
      </xdr:nvSpPr>
      <xdr:spPr bwMode="auto">
        <a:xfrm>
          <a:off x="28993171" y="5959513"/>
          <a:ext cx="871190" cy="720182"/>
        </a:xfrm>
        <a:prstGeom prst="flowChartAlternateProcess">
          <a:avLst/>
        </a:prstGeom>
        <a:solidFill>
          <a:schemeClr val="accent1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indent="0" algn="ctr" eaLnBrk="1" fontAlgn="auto" latinLnBrk="0" hangingPunct="1"/>
          <a:endParaRPr lang="fr-FR" sz="2000" b="1" i="0" baseline="0" noProof="0">
            <a:solidFill>
              <a:schemeClr val="tx2">
                <a:lumMod val="20000"/>
                <a:lumOff val="8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534330</xdr:colOff>
      <xdr:row>21</xdr:row>
      <xdr:rowOff>81312</xdr:rowOff>
    </xdr:from>
    <xdr:to>
      <xdr:col>35</xdr:col>
      <xdr:colOff>34848</xdr:colOff>
      <xdr:row>21</xdr:row>
      <xdr:rowOff>243932</xdr:rowOff>
    </xdr:to>
    <xdr:sp macro="" textlink="">
      <xdr:nvSpPr>
        <xdr:cNvPr id="117" name="Rectangle à coins arrondis 116">
          <a:extLst>
            <a:ext uri="{FF2B5EF4-FFF2-40B4-BE49-F238E27FC236}">
              <a16:creationId xmlns:a16="http://schemas.microsoft.com/office/drawing/2014/main" id="{00000000-0008-0000-1700-000075000000}"/>
            </a:ext>
          </a:extLst>
        </xdr:cNvPr>
        <xdr:cNvSpPr/>
      </xdr:nvSpPr>
      <xdr:spPr>
        <a:xfrm>
          <a:off x="27250793" y="4355946"/>
          <a:ext cx="1033811" cy="162620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C=</a:t>
          </a:r>
        </a:p>
      </xdr:txBody>
    </xdr:sp>
    <xdr:clientData/>
  </xdr:twoCellAnchor>
  <xdr:twoCellAnchor>
    <xdr:from>
      <xdr:col>37</xdr:col>
      <xdr:colOff>569173</xdr:colOff>
      <xdr:row>25</xdr:row>
      <xdr:rowOff>11615</xdr:rowOff>
    </xdr:from>
    <xdr:to>
      <xdr:col>38</xdr:col>
      <xdr:colOff>615641</xdr:colOff>
      <xdr:row>28</xdr:row>
      <xdr:rowOff>174239</xdr:rowOff>
    </xdr:to>
    <xdr:sp macro="" textlink="">
      <xdr:nvSpPr>
        <xdr:cNvPr id="129" name="AutoShape 10501">
          <a:extLst>
            <a:ext uri="{FF2B5EF4-FFF2-40B4-BE49-F238E27FC236}">
              <a16:creationId xmlns:a16="http://schemas.microsoft.com/office/drawing/2014/main" id="{00000000-0008-0000-1700-000081000000}"/>
            </a:ext>
          </a:extLst>
        </xdr:cNvPr>
        <xdr:cNvSpPr>
          <a:spLocks noChangeArrowheads="1"/>
        </xdr:cNvSpPr>
      </xdr:nvSpPr>
      <xdr:spPr bwMode="auto">
        <a:xfrm rot="10800000" flipV="1">
          <a:off x="30352222" y="5122591"/>
          <a:ext cx="813114" cy="731800"/>
        </a:xfrm>
        <a:prstGeom prst="flowChartAlternateProcess">
          <a:avLst/>
        </a:prstGeom>
        <a:solidFill>
          <a:srgbClr val="99CCFF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050" b="1" i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 baseline="0" noProof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EXP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34</xdr:col>
      <xdr:colOff>592408</xdr:colOff>
      <xdr:row>13</xdr:row>
      <xdr:rowOff>34848</xdr:rowOff>
    </xdr:from>
    <xdr:to>
      <xdr:col>35</xdr:col>
      <xdr:colOff>592409</xdr:colOff>
      <xdr:row>16</xdr:row>
      <xdr:rowOff>104545</xdr:rowOff>
    </xdr:to>
    <xdr:sp macro="" textlink="">
      <xdr:nvSpPr>
        <xdr:cNvPr id="127" name="AutoShape 10501">
          <a:extLst>
            <a:ext uri="{FF2B5EF4-FFF2-40B4-BE49-F238E27FC236}">
              <a16:creationId xmlns:a16="http://schemas.microsoft.com/office/drawing/2014/main" id="{00000000-0008-0000-1700-00007F000000}"/>
            </a:ext>
          </a:extLst>
        </xdr:cNvPr>
        <xdr:cNvSpPr>
          <a:spLocks noChangeArrowheads="1"/>
        </xdr:cNvSpPr>
      </xdr:nvSpPr>
      <xdr:spPr bwMode="auto">
        <a:xfrm rot="10800000" flipV="1">
          <a:off x="28075518" y="2404482"/>
          <a:ext cx="766647" cy="940886"/>
        </a:xfrm>
        <a:prstGeom prst="flowChartAlternateProcess">
          <a:avLst/>
        </a:prstGeom>
        <a:solidFill>
          <a:srgbClr val="FF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i="0">
              <a:solidFill>
                <a:schemeClr val="tx1"/>
              </a:solidFill>
              <a:latin typeface="+mn-lt"/>
              <a:ea typeface="+mn-ea"/>
              <a:cs typeface="+mn-cs"/>
            </a:rPr>
            <a:t>EXPORT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600" b="1" i="0" baseline="0" noProof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255547</xdr:colOff>
      <xdr:row>31</xdr:row>
      <xdr:rowOff>162621</xdr:rowOff>
    </xdr:from>
    <xdr:to>
      <xdr:col>37</xdr:col>
      <xdr:colOff>453015</xdr:colOff>
      <xdr:row>35</xdr:row>
      <xdr:rowOff>162621</xdr:rowOff>
    </xdr:to>
    <xdr:sp macro="" textlink="">
      <xdr:nvSpPr>
        <xdr:cNvPr id="151" name="AutoShape 10501">
          <a:extLst>
            <a:ext uri="{FF2B5EF4-FFF2-40B4-BE49-F238E27FC236}">
              <a16:creationId xmlns:a16="http://schemas.microsoft.com/office/drawing/2014/main" id="{00000000-0008-0000-1700-000097000000}"/>
            </a:ext>
          </a:extLst>
        </xdr:cNvPr>
        <xdr:cNvSpPr>
          <a:spLocks noChangeArrowheads="1"/>
        </xdr:cNvSpPr>
      </xdr:nvSpPr>
      <xdr:spPr bwMode="auto">
        <a:xfrm rot="10800000" flipV="1">
          <a:off x="28098748" y="6051859"/>
          <a:ext cx="917651" cy="743414"/>
        </a:xfrm>
        <a:prstGeom prst="flowChartAlternateProcess">
          <a:avLst/>
        </a:prstGeom>
        <a:solidFill>
          <a:srgbClr val="99CCFF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 baseline="0" noProof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EXPORT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 baseline="0" noProof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814</a:t>
          </a:r>
        </a:p>
      </xdr:txBody>
    </xdr:sp>
    <xdr:clientData/>
  </xdr:twoCellAnchor>
  <xdr:twoCellAnchor>
    <xdr:from>
      <xdr:col>31</xdr:col>
      <xdr:colOff>487865</xdr:colOff>
      <xdr:row>16</xdr:row>
      <xdr:rowOff>127777</xdr:rowOff>
    </xdr:from>
    <xdr:to>
      <xdr:col>33</xdr:col>
      <xdr:colOff>267164</xdr:colOff>
      <xdr:row>17</xdr:row>
      <xdr:rowOff>185856</xdr:rowOff>
    </xdr:to>
    <xdr:sp macro="" textlink="">
      <xdr:nvSpPr>
        <xdr:cNvPr id="153" name="AutoShape 10501">
          <a:extLst>
            <a:ext uri="{FF2B5EF4-FFF2-40B4-BE49-F238E27FC236}">
              <a16:creationId xmlns:a16="http://schemas.microsoft.com/office/drawing/2014/main" id="{00000000-0008-0000-1700-000099000000}"/>
            </a:ext>
          </a:extLst>
        </xdr:cNvPr>
        <xdr:cNvSpPr>
          <a:spLocks noChangeArrowheads="1"/>
        </xdr:cNvSpPr>
      </xdr:nvSpPr>
      <xdr:spPr bwMode="auto">
        <a:xfrm>
          <a:off x="24823078" y="3066588"/>
          <a:ext cx="1219665" cy="267164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 anchor="ctr"/>
        <a:lstStyle/>
        <a:p>
          <a:pPr marL="0" indent="0" algn="ctr" eaLnBrk="1" fontAlgn="auto" latinLnBrk="0" hangingPunct="1"/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26</a:t>
          </a: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r>
            <a:rPr lang="fr-FR" sz="1800" b="1" i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</a:t>
          </a:r>
        </a:p>
      </xdr:txBody>
    </xdr:sp>
    <xdr:clientData/>
  </xdr:twoCellAnchor>
  <xdr:twoCellAnchor>
    <xdr:from>
      <xdr:col>38</xdr:col>
      <xdr:colOff>243932</xdr:colOff>
      <xdr:row>33</xdr:row>
      <xdr:rowOff>58080</xdr:rowOff>
    </xdr:from>
    <xdr:to>
      <xdr:col>40</xdr:col>
      <xdr:colOff>476248</xdr:colOff>
      <xdr:row>37</xdr:row>
      <xdr:rowOff>11618</xdr:rowOff>
    </xdr:to>
    <xdr:sp macro="" textlink="">
      <xdr:nvSpPr>
        <xdr:cNvPr id="167" name="AutoShape 10501">
          <a:extLst>
            <a:ext uri="{FF2B5EF4-FFF2-40B4-BE49-F238E27FC236}">
              <a16:creationId xmlns:a16="http://schemas.microsoft.com/office/drawing/2014/main" id="{00000000-0008-0000-1700-0000A7000000}"/>
            </a:ext>
          </a:extLst>
        </xdr:cNvPr>
        <xdr:cNvSpPr>
          <a:spLocks noChangeArrowheads="1"/>
        </xdr:cNvSpPr>
      </xdr:nvSpPr>
      <xdr:spPr bwMode="auto">
        <a:xfrm flipH="1">
          <a:off x="29527499" y="6319025"/>
          <a:ext cx="1672682" cy="720184"/>
        </a:xfrm>
        <a:prstGeom prst="flowChartAlternateProcess">
          <a:avLst/>
        </a:prstGeom>
        <a:solidFill>
          <a:srgbClr val="FF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PR BG</a:t>
          </a:r>
          <a:r>
            <a:rPr lang="fr-FR" sz="12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4827</a:t>
          </a:r>
        </a:p>
      </xdr:txBody>
    </xdr:sp>
    <xdr:clientData/>
  </xdr:twoCellAnchor>
  <xdr:twoCellAnchor>
    <xdr:from>
      <xdr:col>35</xdr:col>
      <xdr:colOff>360091</xdr:colOff>
      <xdr:row>34</xdr:row>
      <xdr:rowOff>127771</xdr:rowOff>
    </xdr:from>
    <xdr:to>
      <xdr:col>37</xdr:col>
      <xdr:colOff>139391</xdr:colOff>
      <xdr:row>35</xdr:row>
      <xdr:rowOff>197469</xdr:rowOff>
    </xdr:to>
    <xdr:sp macro="" textlink="">
      <xdr:nvSpPr>
        <xdr:cNvPr id="169" name="Rectangle à coins arrondis 168">
          <a:extLst>
            <a:ext uri="{FF2B5EF4-FFF2-40B4-BE49-F238E27FC236}">
              <a16:creationId xmlns:a16="http://schemas.microsoft.com/office/drawing/2014/main" id="{00000000-0008-0000-1700-0000A9000000}"/>
            </a:ext>
          </a:extLst>
        </xdr:cNvPr>
        <xdr:cNvSpPr/>
      </xdr:nvSpPr>
      <xdr:spPr>
        <a:xfrm>
          <a:off x="27483109" y="6574570"/>
          <a:ext cx="1219666" cy="255551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C=30000</a:t>
          </a:r>
        </a:p>
      </xdr:txBody>
    </xdr:sp>
    <xdr:clientData/>
  </xdr:twoCellAnchor>
  <xdr:twoCellAnchor>
    <xdr:from>
      <xdr:col>5</xdr:col>
      <xdr:colOff>258537</xdr:colOff>
      <xdr:row>13</xdr:row>
      <xdr:rowOff>40821</xdr:rowOff>
    </xdr:from>
    <xdr:to>
      <xdr:col>7</xdr:col>
      <xdr:colOff>653144</xdr:colOff>
      <xdr:row>14</xdr:row>
      <xdr:rowOff>108857</xdr:rowOff>
    </xdr:to>
    <xdr:sp macro="" textlink="">
      <xdr:nvSpPr>
        <xdr:cNvPr id="175" name="Rectangle à coins arrondis 174">
          <a:extLst>
            <a:ext uri="{FF2B5EF4-FFF2-40B4-BE49-F238E27FC236}">
              <a16:creationId xmlns:a16="http://schemas.microsoft.com/office/drawing/2014/main" id="{00000000-0008-0000-1700-0000AF000000}"/>
            </a:ext>
          </a:extLst>
        </xdr:cNvPr>
        <xdr:cNvSpPr/>
      </xdr:nvSpPr>
      <xdr:spPr>
        <a:xfrm>
          <a:off x="4476751" y="4191000"/>
          <a:ext cx="1836964" cy="258536"/>
        </a:xfrm>
        <a:prstGeom prst="roundRect">
          <a:avLst>
            <a:gd name="adj" fmla="val 42593"/>
          </a:avLst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B≈36000</a:t>
          </a:r>
        </a:p>
      </xdr:txBody>
    </xdr:sp>
    <xdr:clientData/>
  </xdr:twoCellAnchor>
  <xdr:twoCellAnchor>
    <xdr:from>
      <xdr:col>4</xdr:col>
      <xdr:colOff>816429</xdr:colOff>
      <xdr:row>23</xdr:row>
      <xdr:rowOff>81642</xdr:rowOff>
    </xdr:from>
    <xdr:to>
      <xdr:col>6</xdr:col>
      <xdr:colOff>517071</xdr:colOff>
      <xdr:row>27</xdr:row>
      <xdr:rowOff>217714</xdr:rowOff>
    </xdr:to>
    <xdr:sp macro="" textlink="">
      <xdr:nvSpPr>
        <xdr:cNvPr id="99" name="AutoShape 10501">
          <a:extLst>
            <a:ext uri="{FF2B5EF4-FFF2-40B4-BE49-F238E27FC236}">
              <a16:creationId xmlns:a16="http://schemas.microsoft.com/office/drawing/2014/main" id="{00000000-0008-0000-1700-00005F000000}"/>
            </a:ext>
          </a:extLst>
        </xdr:cNvPr>
        <xdr:cNvSpPr>
          <a:spLocks noChangeArrowheads="1"/>
        </xdr:cNvSpPr>
      </xdr:nvSpPr>
      <xdr:spPr bwMode="auto">
        <a:xfrm>
          <a:off x="4095750" y="6232071"/>
          <a:ext cx="1360714" cy="1183822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 BG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10304</a:t>
          </a:r>
        </a:p>
      </xdr:txBody>
    </xdr:sp>
    <xdr:clientData/>
  </xdr:twoCellAnchor>
  <xdr:twoCellAnchor>
    <xdr:from>
      <xdr:col>2</xdr:col>
      <xdr:colOff>680358</xdr:colOff>
      <xdr:row>13</xdr:row>
      <xdr:rowOff>0</xdr:rowOff>
    </xdr:from>
    <xdr:to>
      <xdr:col>5</xdr:col>
      <xdr:colOff>40823</xdr:colOff>
      <xdr:row>14</xdr:row>
      <xdr:rowOff>54428</xdr:rowOff>
    </xdr:to>
    <xdr:sp macro="" textlink="">
      <xdr:nvSpPr>
        <xdr:cNvPr id="133" name="Rectangle à coins arrondis 132">
          <a:extLst>
            <a:ext uri="{FF2B5EF4-FFF2-40B4-BE49-F238E27FC236}">
              <a16:creationId xmlns:a16="http://schemas.microsoft.com/office/drawing/2014/main" id="{00000000-0008-0000-1700-0000AF000000}"/>
            </a:ext>
          </a:extLst>
        </xdr:cNvPr>
        <xdr:cNvSpPr/>
      </xdr:nvSpPr>
      <xdr:spPr>
        <a:xfrm>
          <a:off x="2476501" y="4150179"/>
          <a:ext cx="1782536" cy="244928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A≈30000</a:t>
          </a:r>
        </a:p>
      </xdr:txBody>
    </xdr:sp>
    <xdr:clientData/>
  </xdr:twoCellAnchor>
  <xdr:twoCellAnchor>
    <xdr:from>
      <xdr:col>34</xdr:col>
      <xdr:colOff>47858</xdr:colOff>
      <xdr:row>16</xdr:row>
      <xdr:rowOff>174237</xdr:rowOff>
    </xdr:from>
    <xdr:to>
      <xdr:col>35</xdr:col>
      <xdr:colOff>174237</xdr:colOff>
      <xdr:row>20</xdr:row>
      <xdr:rowOff>82704</xdr:rowOff>
    </xdr:to>
    <xdr:sp macro="" textlink="">
      <xdr:nvSpPr>
        <xdr:cNvPr id="140" name="AutoShape 10501">
          <a:extLst>
            <a:ext uri="{FF2B5EF4-FFF2-40B4-BE49-F238E27FC236}">
              <a16:creationId xmlns:a16="http://schemas.microsoft.com/office/drawing/2014/main" id="{00000000-0008-0000-1700-00005A000000}"/>
            </a:ext>
          </a:extLst>
        </xdr:cNvPr>
        <xdr:cNvSpPr>
          <a:spLocks noChangeArrowheads="1"/>
        </xdr:cNvSpPr>
      </xdr:nvSpPr>
      <xdr:spPr bwMode="auto">
        <a:xfrm>
          <a:off x="26450693" y="3113048"/>
          <a:ext cx="846562" cy="698345"/>
        </a:xfrm>
        <a:prstGeom prst="flowChartAlternateProcess">
          <a:avLst/>
        </a:prstGeom>
        <a:solidFill>
          <a:srgbClr val="FFFFFF">
            <a:alpha val="61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400" b="1" i="0"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400" b="1" i="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92927</xdr:colOff>
      <xdr:row>13</xdr:row>
      <xdr:rowOff>127774</xdr:rowOff>
    </xdr:from>
    <xdr:to>
      <xdr:col>34</xdr:col>
      <xdr:colOff>615639</xdr:colOff>
      <xdr:row>15</xdr:row>
      <xdr:rowOff>50643</xdr:rowOff>
    </xdr:to>
    <xdr:sp macro="" textlink="">
      <xdr:nvSpPr>
        <xdr:cNvPr id="144" name="Rectangle à coins arrondis 143">
          <a:extLst>
            <a:ext uri="{FF2B5EF4-FFF2-40B4-BE49-F238E27FC236}">
              <a16:creationId xmlns:a16="http://schemas.microsoft.com/office/drawing/2014/main" id="{00000000-0008-0000-1700-0000AF000000}"/>
            </a:ext>
          </a:extLst>
        </xdr:cNvPr>
        <xdr:cNvSpPr/>
      </xdr:nvSpPr>
      <xdr:spPr>
        <a:xfrm>
          <a:off x="25775579" y="2485792"/>
          <a:ext cx="1242895" cy="306192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C=</a:t>
          </a:r>
        </a:p>
      </xdr:txBody>
    </xdr:sp>
    <xdr:clientData/>
  </xdr:twoCellAnchor>
  <xdr:twoCellAnchor>
    <xdr:from>
      <xdr:col>5</xdr:col>
      <xdr:colOff>59405</xdr:colOff>
      <xdr:row>5</xdr:row>
      <xdr:rowOff>334204</xdr:rowOff>
    </xdr:from>
    <xdr:to>
      <xdr:col>6</xdr:col>
      <xdr:colOff>277118</xdr:colOff>
      <xdr:row>10</xdr:row>
      <xdr:rowOff>310971</xdr:rowOff>
    </xdr:to>
    <xdr:sp macro="" textlink="">
      <xdr:nvSpPr>
        <xdr:cNvPr id="146" name="AutoShape 10501">
          <a:extLst>
            <a:ext uri="{FF2B5EF4-FFF2-40B4-BE49-F238E27FC236}">
              <a16:creationId xmlns:a16="http://schemas.microsoft.com/office/drawing/2014/main" id="{00000000-0008-0000-1700-00005A000000}"/>
            </a:ext>
          </a:extLst>
        </xdr:cNvPr>
        <xdr:cNvSpPr>
          <a:spLocks noChangeArrowheads="1"/>
        </xdr:cNvSpPr>
      </xdr:nvSpPr>
      <xdr:spPr bwMode="auto">
        <a:xfrm>
          <a:off x="4277619" y="1885418"/>
          <a:ext cx="938892" cy="1677660"/>
        </a:xfrm>
        <a:prstGeom prst="flowChartAlternateProcess">
          <a:avLst/>
        </a:prstGeom>
        <a:solidFill>
          <a:schemeClr val="accent5">
            <a:alpha val="61000"/>
          </a:scheme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400" b="1" i="0">
              <a:latin typeface="+mn-lt"/>
              <a:ea typeface="+mn-ea"/>
              <a:cs typeface="+mn-cs"/>
            </a:rPr>
            <a:t>BG</a:t>
          </a:r>
          <a:r>
            <a:rPr lang="fr-FR" sz="2400" b="1" i="0" baseline="0">
              <a:latin typeface="+mn-lt"/>
              <a:ea typeface="+mn-ea"/>
              <a:cs typeface="+mn-cs"/>
            </a:rPr>
            <a:t> STANDARD</a:t>
          </a:r>
          <a:endParaRPr lang="fr-FR" sz="2400" b="1" i="0"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400" b="1" i="0">
              <a:latin typeface="+mn-lt"/>
              <a:ea typeface="+mn-ea"/>
              <a:cs typeface="+mn-cs"/>
            </a:rPr>
            <a:t>16591</a:t>
          </a:r>
        </a:p>
      </xdr:txBody>
    </xdr:sp>
    <xdr:clientData/>
  </xdr:twoCellAnchor>
  <xdr:twoCellAnchor>
    <xdr:from>
      <xdr:col>32</xdr:col>
      <xdr:colOff>604024</xdr:colOff>
      <xdr:row>7</xdr:row>
      <xdr:rowOff>116159</xdr:rowOff>
    </xdr:from>
    <xdr:to>
      <xdr:col>34</xdr:col>
      <xdr:colOff>615638</xdr:colOff>
      <xdr:row>12</xdr:row>
      <xdr:rowOff>81311</xdr:rowOff>
    </xdr:to>
    <xdr:sp macro="" textlink="">
      <xdr:nvSpPr>
        <xdr:cNvPr id="139" name="AutoShape 10501">
          <a:extLst>
            <a:ext uri="{FF2B5EF4-FFF2-40B4-BE49-F238E27FC236}">
              <a16:creationId xmlns:a16="http://schemas.microsoft.com/office/drawing/2014/main" id="{00000000-0008-0000-1700-00007D000000}"/>
            </a:ext>
          </a:extLst>
        </xdr:cNvPr>
        <xdr:cNvSpPr>
          <a:spLocks noChangeArrowheads="1"/>
        </xdr:cNvSpPr>
      </xdr:nvSpPr>
      <xdr:spPr bwMode="auto">
        <a:xfrm>
          <a:off x="25659420" y="1335824"/>
          <a:ext cx="1451980" cy="906036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 anchor="ctr"/>
        <a:lstStyle/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38</xdr:col>
      <xdr:colOff>580792</xdr:colOff>
      <xdr:row>21</xdr:row>
      <xdr:rowOff>162622</xdr:rowOff>
    </xdr:from>
    <xdr:to>
      <xdr:col>40</xdr:col>
      <xdr:colOff>234407</xdr:colOff>
      <xdr:row>26</xdr:row>
      <xdr:rowOff>58081</xdr:rowOff>
    </xdr:to>
    <xdr:sp macro="" textlink="">
      <xdr:nvSpPr>
        <xdr:cNvPr id="108" name="Rectangle à coins arrondis 107">
          <a:extLst>
            <a:ext uri="{FF2B5EF4-FFF2-40B4-BE49-F238E27FC236}">
              <a16:creationId xmlns:a16="http://schemas.microsoft.com/office/drawing/2014/main" id="{00000000-0008-0000-1700-00006E000000}"/>
            </a:ext>
          </a:extLst>
        </xdr:cNvPr>
        <xdr:cNvSpPr/>
      </xdr:nvSpPr>
      <xdr:spPr>
        <a:xfrm>
          <a:off x="29957286" y="4088781"/>
          <a:ext cx="1093981" cy="859574"/>
        </a:xfrm>
        <a:prstGeom prst="roundRect">
          <a:avLst>
            <a:gd name="adj" fmla="val 35000"/>
          </a:avLst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l"/>
          <a:r>
            <a:rPr lang="fr-FR" sz="1800" b="1" baseline="0">
              <a:solidFill>
                <a:sysClr val="windowText" lastClr="000000"/>
              </a:solidFill>
            </a:rPr>
            <a:t>  </a:t>
          </a:r>
          <a:r>
            <a:rPr lang="fr-FR" sz="1600" b="1" baseline="0">
              <a:solidFill>
                <a:sysClr val="windowText" lastClr="000000"/>
              </a:solidFill>
            </a:rPr>
            <a:t>      </a:t>
          </a:r>
          <a:endParaRPr lang="fr-F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326568</xdr:colOff>
      <xdr:row>14</xdr:row>
      <xdr:rowOff>176892</xdr:rowOff>
    </xdr:from>
    <xdr:to>
      <xdr:col>7</xdr:col>
      <xdr:colOff>605016</xdr:colOff>
      <xdr:row>19</xdr:row>
      <xdr:rowOff>27214</xdr:rowOff>
    </xdr:to>
    <xdr:sp macro="" textlink="">
      <xdr:nvSpPr>
        <xdr:cNvPr id="148" name="AutoShape 10501">
          <a:extLst>
            <a:ext uri="{FF2B5EF4-FFF2-40B4-BE49-F238E27FC236}">
              <a16:creationId xmlns:a16="http://schemas.microsoft.com/office/drawing/2014/main" id="{00000000-0008-0000-1700-000059000000}"/>
            </a:ext>
          </a:extLst>
        </xdr:cNvPr>
        <xdr:cNvSpPr>
          <a:spLocks noChangeArrowheads="1"/>
        </xdr:cNvSpPr>
      </xdr:nvSpPr>
      <xdr:spPr bwMode="auto">
        <a:xfrm flipH="1">
          <a:off x="4544782" y="4517571"/>
          <a:ext cx="1720805" cy="857250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16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BG</a:t>
          </a:r>
          <a:r>
            <a:rPr lang="fr-FR" sz="1600" b="1" i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SPECIAL</a:t>
          </a:r>
        </a:p>
        <a:p>
          <a:pPr marL="0" indent="0" algn="ctr" eaLnBrk="1" fontAlgn="auto" latinLnBrk="0" hangingPunct="1"/>
          <a:r>
            <a:rPr lang="fr-FR" sz="1600" b="1" i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35402</a:t>
          </a:r>
          <a:r>
            <a:rPr lang="fr-FR" sz="16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</a:t>
          </a:r>
          <a:endParaRPr lang="fr-FR" sz="18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8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4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620287</xdr:colOff>
      <xdr:row>14</xdr:row>
      <xdr:rowOff>149677</xdr:rowOff>
    </xdr:from>
    <xdr:to>
      <xdr:col>5</xdr:col>
      <xdr:colOff>54428</xdr:colOff>
      <xdr:row>19</xdr:row>
      <xdr:rowOff>68036</xdr:rowOff>
    </xdr:to>
    <xdr:sp macro="" textlink="">
      <xdr:nvSpPr>
        <xdr:cNvPr id="154" name="AutoShape 10501">
          <a:extLst>
            <a:ext uri="{FF2B5EF4-FFF2-40B4-BE49-F238E27FC236}">
              <a16:creationId xmlns:a16="http://schemas.microsoft.com/office/drawing/2014/main" id="{00000000-0008-0000-1700-00005F000000}"/>
            </a:ext>
          </a:extLst>
        </xdr:cNvPr>
        <xdr:cNvSpPr>
          <a:spLocks noChangeArrowheads="1"/>
        </xdr:cNvSpPr>
      </xdr:nvSpPr>
      <xdr:spPr bwMode="auto">
        <a:xfrm>
          <a:off x="2416430" y="4490356"/>
          <a:ext cx="1856212" cy="925287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33763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34</xdr:col>
      <xdr:colOff>487865</xdr:colOff>
      <xdr:row>10</xdr:row>
      <xdr:rowOff>139388</xdr:rowOff>
    </xdr:from>
    <xdr:to>
      <xdr:col>36</xdr:col>
      <xdr:colOff>129170</xdr:colOff>
      <xdr:row>11</xdr:row>
      <xdr:rowOff>152396</xdr:rowOff>
    </xdr:to>
    <xdr:sp macro="" textlink="">
      <xdr:nvSpPr>
        <xdr:cNvPr id="159" name="Rectangle à coins arrondis 158">
          <a:extLst>
            <a:ext uri="{FF2B5EF4-FFF2-40B4-BE49-F238E27FC236}">
              <a16:creationId xmlns:a16="http://schemas.microsoft.com/office/drawing/2014/main" id="{00000000-0008-0000-1700-00008E000000}"/>
            </a:ext>
          </a:extLst>
        </xdr:cNvPr>
        <xdr:cNvSpPr/>
      </xdr:nvSpPr>
      <xdr:spPr>
        <a:xfrm>
          <a:off x="27343719" y="2311553"/>
          <a:ext cx="1081671" cy="198861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A</a:t>
          </a: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≈</a:t>
          </a:r>
          <a:r>
            <a:rPr lang="fr-FR" sz="1600" b="1"/>
            <a:t>30000</a:t>
          </a:r>
        </a:p>
      </xdr:txBody>
    </xdr:sp>
    <xdr:clientData/>
  </xdr:twoCellAnchor>
  <xdr:twoCellAnchor>
    <xdr:from>
      <xdr:col>8</xdr:col>
      <xdr:colOff>586102</xdr:colOff>
      <xdr:row>15</xdr:row>
      <xdr:rowOff>64524</xdr:rowOff>
    </xdr:from>
    <xdr:to>
      <xdr:col>9</xdr:col>
      <xdr:colOff>528022</xdr:colOff>
      <xdr:row>19</xdr:row>
      <xdr:rowOff>163727</xdr:rowOff>
    </xdr:to>
    <xdr:sp macro="" textlink="">
      <xdr:nvSpPr>
        <xdr:cNvPr id="161" name="AutoShape 10501">
          <a:extLst>
            <a:ext uri="{FF2B5EF4-FFF2-40B4-BE49-F238E27FC236}">
              <a16:creationId xmlns:a16="http://schemas.microsoft.com/office/drawing/2014/main" id="{00000000-0008-0000-1700-000089000000}"/>
            </a:ext>
          </a:extLst>
        </xdr:cNvPr>
        <xdr:cNvSpPr>
          <a:spLocks noChangeArrowheads="1"/>
        </xdr:cNvSpPr>
      </xdr:nvSpPr>
      <xdr:spPr bwMode="auto">
        <a:xfrm>
          <a:off x="6967852" y="4595703"/>
          <a:ext cx="663099" cy="902024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effectLst/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tIns="14400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PRBG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386642</xdr:colOff>
      <xdr:row>10</xdr:row>
      <xdr:rowOff>82971</xdr:rowOff>
    </xdr:from>
    <xdr:to>
      <xdr:col>36</xdr:col>
      <xdr:colOff>341575</xdr:colOff>
      <xdr:row>11</xdr:row>
      <xdr:rowOff>273537</xdr:rowOff>
    </xdr:to>
    <xdr:sp macro="" textlink="">
      <xdr:nvSpPr>
        <xdr:cNvPr id="170" name="Rectangle à coins arrondis 169">
          <a:extLst>
            <a:ext uri="{FF2B5EF4-FFF2-40B4-BE49-F238E27FC236}">
              <a16:creationId xmlns:a16="http://schemas.microsoft.com/office/drawing/2014/main" id="{00000000-0008-0000-1700-000078000000}"/>
            </a:ext>
          </a:extLst>
        </xdr:cNvPr>
        <xdr:cNvSpPr/>
      </xdr:nvSpPr>
      <xdr:spPr>
        <a:xfrm>
          <a:off x="28403749" y="3335078"/>
          <a:ext cx="676112" cy="530745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2500</a:t>
          </a:r>
        </a:p>
      </xdr:txBody>
    </xdr:sp>
    <xdr:clientData/>
  </xdr:twoCellAnchor>
  <xdr:twoCellAnchor>
    <xdr:from>
      <xdr:col>33</xdr:col>
      <xdr:colOff>167270</xdr:colOff>
      <xdr:row>7</xdr:row>
      <xdr:rowOff>26883</xdr:rowOff>
    </xdr:from>
    <xdr:to>
      <xdr:col>33</xdr:col>
      <xdr:colOff>609669</xdr:colOff>
      <xdr:row>12</xdr:row>
      <xdr:rowOff>50116</xdr:rowOff>
    </xdr:to>
    <xdr:sp macro="" textlink="">
      <xdr:nvSpPr>
        <xdr:cNvPr id="121" name="AutoShape 10501">
          <a:extLst>
            <a:ext uri="{FF2B5EF4-FFF2-40B4-BE49-F238E27FC236}">
              <a16:creationId xmlns:a16="http://schemas.microsoft.com/office/drawing/2014/main" id="{00000000-0008-0000-1700-000073000000}"/>
            </a:ext>
          </a:extLst>
        </xdr:cNvPr>
        <xdr:cNvSpPr>
          <a:spLocks noChangeArrowheads="1"/>
        </xdr:cNvSpPr>
      </xdr:nvSpPr>
      <xdr:spPr bwMode="auto">
        <a:xfrm flipH="1">
          <a:off x="26742020" y="2258454"/>
          <a:ext cx="442399" cy="1724126"/>
        </a:xfrm>
        <a:prstGeom prst="flowChartAlternateProcess">
          <a:avLst/>
        </a:prstGeom>
        <a:solidFill>
          <a:srgbClr val="FF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lavé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2395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66675</xdr:rowOff>
        </xdr:from>
        <xdr:to>
          <xdr:col>1</xdr:col>
          <xdr:colOff>1066800</xdr:colOff>
          <xdr:row>0</xdr:row>
          <xdr:rowOff>523875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Envoi_RR0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503464</xdr:colOff>
      <xdr:row>22</xdr:row>
      <xdr:rowOff>195810</xdr:rowOff>
    </xdr:from>
    <xdr:to>
      <xdr:col>4</xdr:col>
      <xdr:colOff>743412</xdr:colOff>
      <xdr:row>26</xdr:row>
      <xdr:rowOff>238623</xdr:rowOff>
    </xdr:to>
    <xdr:sp macro="" textlink="">
      <xdr:nvSpPr>
        <xdr:cNvPr id="155" name="AutoShape 10501">
          <a:extLst>
            <a:ext uri="{FF2B5EF4-FFF2-40B4-BE49-F238E27FC236}">
              <a16:creationId xmlns:a16="http://schemas.microsoft.com/office/drawing/2014/main" id="{00000000-0008-0000-1700-000059000000}"/>
            </a:ext>
          </a:extLst>
        </xdr:cNvPr>
        <xdr:cNvSpPr>
          <a:spLocks noChangeArrowheads="1"/>
        </xdr:cNvSpPr>
      </xdr:nvSpPr>
      <xdr:spPr bwMode="auto">
        <a:xfrm flipH="1">
          <a:off x="2299607" y="6142131"/>
          <a:ext cx="1723126" cy="1049742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18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BG</a:t>
          </a:r>
          <a:r>
            <a:rPr lang="fr-FR" sz="1800" b="1" i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TESSEN</a:t>
          </a:r>
        </a:p>
        <a:p>
          <a:pPr marL="0" indent="0" algn="ctr" eaLnBrk="1" fontAlgn="auto" latinLnBrk="0" hangingPunct="1"/>
          <a:endParaRPr lang="fr-FR" sz="18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638872</xdr:colOff>
      <xdr:row>12</xdr:row>
      <xdr:rowOff>174239</xdr:rowOff>
    </xdr:from>
    <xdr:to>
      <xdr:col>37</xdr:col>
      <xdr:colOff>534329</xdr:colOff>
      <xdr:row>17</xdr:row>
      <xdr:rowOff>82712</xdr:rowOff>
    </xdr:to>
    <xdr:sp macro="" textlink="">
      <xdr:nvSpPr>
        <xdr:cNvPr id="149" name="AutoShape 10501">
          <a:extLst>
            <a:ext uri="{FF2B5EF4-FFF2-40B4-BE49-F238E27FC236}">
              <a16:creationId xmlns:a16="http://schemas.microsoft.com/office/drawing/2014/main" id="{00000000-0008-0000-1700-00005F000000}"/>
            </a:ext>
          </a:extLst>
        </xdr:cNvPr>
        <xdr:cNvSpPr>
          <a:spLocks noChangeArrowheads="1"/>
        </xdr:cNvSpPr>
      </xdr:nvSpPr>
      <xdr:spPr bwMode="auto">
        <a:xfrm>
          <a:off x="28214909" y="2729727"/>
          <a:ext cx="1335822" cy="895820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 BG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533165</xdr:colOff>
      <xdr:row>10</xdr:row>
      <xdr:rowOff>58081</xdr:rowOff>
    </xdr:from>
    <xdr:to>
      <xdr:col>37</xdr:col>
      <xdr:colOff>335696</xdr:colOff>
      <xdr:row>11</xdr:row>
      <xdr:rowOff>178420</xdr:rowOff>
    </xdr:to>
    <xdr:sp macro="" textlink="">
      <xdr:nvSpPr>
        <xdr:cNvPr id="150" name="Rectangle à coins arrondis 149">
          <a:extLst>
            <a:ext uri="{FF2B5EF4-FFF2-40B4-BE49-F238E27FC236}">
              <a16:creationId xmlns:a16="http://schemas.microsoft.com/office/drawing/2014/main" id="{00000000-0008-0000-1700-0000AF000000}"/>
            </a:ext>
          </a:extLst>
        </xdr:cNvPr>
        <xdr:cNvSpPr/>
      </xdr:nvSpPr>
      <xdr:spPr>
        <a:xfrm>
          <a:off x="28109202" y="2230246"/>
          <a:ext cx="1242896" cy="306192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B≈30 000</a:t>
          </a:r>
        </a:p>
      </xdr:txBody>
    </xdr:sp>
    <xdr:clientData/>
  </xdr:twoCellAnchor>
  <xdr:twoCellAnchor>
    <xdr:from>
      <xdr:col>4</xdr:col>
      <xdr:colOff>340180</xdr:colOff>
      <xdr:row>6</xdr:row>
      <xdr:rowOff>81641</xdr:rowOff>
    </xdr:from>
    <xdr:to>
      <xdr:col>5</xdr:col>
      <xdr:colOff>24557</xdr:colOff>
      <xdr:row>11</xdr:row>
      <xdr:rowOff>7635</xdr:rowOff>
    </xdr:to>
    <xdr:sp macro="" textlink="">
      <xdr:nvSpPr>
        <xdr:cNvPr id="152" name="AutoShape 10501">
          <a:extLst>
            <a:ext uri="{FF2B5EF4-FFF2-40B4-BE49-F238E27FC236}">
              <a16:creationId xmlns:a16="http://schemas.microsoft.com/office/drawing/2014/main" id="{00000000-0008-0000-1700-00005A000000}"/>
            </a:ext>
          </a:extLst>
        </xdr:cNvPr>
        <xdr:cNvSpPr>
          <a:spLocks noChangeArrowheads="1"/>
        </xdr:cNvSpPr>
      </xdr:nvSpPr>
      <xdr:spPr bwMode="auto">
        <a:xfrm>
          <a:off x="3619501" y="1973034"/>
          <a:ext cx="623270" cy="1626887"/>
        </a:xfrm>
        <a:prstGeom prst="flowChartAlternateProcess">
          <a:avLst/>
        </a:prstGeom>
        <a:solidFill>
          <a:srgbClr val="FFFFCC">
            <a:alpha val="61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>
              <a:latin typeface="+mn-lt"/>
              <a:ea typeface="+mn-ea"/>
              <a:cs typeface="+mn-cs"/>
            </a:rPr>
            <a:t>Export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>
              <a:latin typeface="+mn-lt"/>
              <a:ea typeface="+mn-ea"/>
              <a:cs typeface="+mn-cs"/>
            </a:rPr>
            <a:t>9200</a:t>
          </a:r>
          <a:endParaRPr lang="fr-FR" sz="2000" b="1" i="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38</xdr:col>
      <xdr:colOff>58079</xdr:colOff>
      <xdr:row>16</xdr:row>
      <xdr:rowOff>69698</xdr:rowOff>
    </xdr:from>
    <xdr:to>
      <xdr:col>39</xdr:col>
      <xdr:colOff>278779</xdr:colOff>
      <xdr:row>20</xdr:row>
      <xdr:rowOff>185856</xdr:rowOff>
    </xdr:to>
    <xdr:sp macro="" textlink="">
      <xdr:nvSpPr>
        <xdr:cNvPr id="145" name="AutoShape 10501">
          <a:extLst>
            <a:ext uri="{FF2B5EF4-FFF2-40B4-BE49-F238E27FC236}">
              <a16:creationId xmlns:a16="http://schemas.microsoft.com/office/drawing/2014/main" id="{00000000-0008-0000-1700-00005A000000}"/>
            </a:ext>
          </a:extLst>
        </xdr:cNvPr>
        <xdr:cNvSpPr>
          <a:spLocks noChangeArrowheads="1"/>
        </xdr:cNvSpPr>
      </xdr:nvSpPr>
      <xdr:spPr bwMode="auto">
        <a:xfrm>
          <a:off x="29794664" y="3403448"/>
          <a:ext cx="940883" cy="906036"/>
        </a:xfrm>
        <a:prstGeom prst="flowChartAlternateProcess">
          <a:avLst/>
        </a:prstGeom>
        <a:solidFill>
          <a:schemeClr val="accent5">
            <a:alpha val="61000"/>
          </a:scheme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400" b="1" i="0">
              <a:latin typeface="+mn-lt"/>
              <a:ea typeface="+mn-ea"/>
              <a:cs typeface="+mn-cs"/>
            </a:rPr>
            <a:t>BT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400" b="1" i="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27214</xdr:colOff>
      <xdr:row>6</xdr:row>
      <xdr:rowOff>13607</xdr:rowOff>
    </xdr:from>
    <xdr:to>
      <xdr:col>4</xdr:col>
      <xdr:colOff>285749</xdr:colOff>
      <xdr:row>7</xdr:row>
      <xdr:rowOff>92660</xdr:rowOff>
    </xdr:to>
    <xdr:sp macro="" textlink="">
      <xdr:nvSpPr>
        <xdr:cNvPr id="116" name="Rectangle à coins arrondis 115">
          <a:extLst>
            <a:ext uri="{FF2B5EF4-FFF2-40B4-BE49-F238E27FC236}">
              <a16:creationId xmlns:a16="http://schemas.microsoft.com/office/drawing/2014/main" id="{00000000-0008-0000-1700-00008E000000}"/>
            </a:ext>
          </a:extLst>
        </xdr:cNvPr>
        <xdr:cNvSpPr/>
      </xdr:nvSpPr>
      <xdr:spPr>
        <a:xfrm>
          <a:off x="2544535" y="1918607"/>
          <a:ext cx="1020535" cy="419232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</a:t>
          </a: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≈18000</a:t>
          </a:r>
          <a:endParaRPr lang="fr-FR" sz="1600" b="1"/>
        </a:p>
      </xdr:txBody>
    </xdr:sp>
    <xdr:clientData/>
  </xdr:twoCellAnchor>
  <xdr:twoCellAnchor>
    <xdr:from>
      <xdr:col>6</xdr:col>
      <xdr:colOff>639534</xdr:colOff>
      <xdr:row>22</xdr:row>
      <xdr:rowOff>174237</xdr:rowOff>
    </xdr:from>
    <xdr:to>
      <xdr:col>8</xdr:col>
      <xdr:colOff>517068</xdr:colOff>
      <xdr:row>27</xdr:row>
      <xdr:rowOff>27214</xdr:rowOff>
    </xdr:to>
    <xdr:sp macro="" textlink="">
      <xdr:nvSpPr>
        <xdr:cNvPr id="132" name="AutoShape 10501">
          <a:extLst>
            <a:ext uri="{FF2B5EF4-FFF2-40B4-BE49-F238E27FC236}">
              <a16:creationId xmlns:a16="http://schemas.microsoft.com/office/drawing/2014/main" id="{00000000-0008-0000-1700-000059000000}"/>
            </a:ext>
          </a:extLst>
        </xdr:cNvPr>
        <xdr:cNvSpPr>
          <a:spLocks noChangeArrowheads="1"/>
        </xdr:cNvSpPr>
      </xdr:nvSpPr>
      <xdr:spPr bwMode="auto">
        <a:xfrm flipH="1">
          <a:off x="5578927" y="6106951"/>
          <a:ext cx="1319891" cy="1104834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r>
            <a:rPr lang="fr-FR" sz="1800" b="1" i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TESSENDERL </a:t>
          </a:r>
        </a:p>
        <a:p>
          <a:pPr marL="0" indent="0" algn="ctr" eaLnBrk="1" fontAlgn="auto" latinLnBrk="0" hangingPunct="1"/>
          <a:r>
            <a:rPr lang="fr-FR" sz="18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1199</a:t>
          </a:r>
          <a:r>
            <a:rPr lang="fr-FR" sz="11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</a:t>
          </a:r>
        </a:p>
      </xdr:txBody>
    </xdr:sp>
    <xdr:clientData/>
  </xdr:twoCellAnchor>
  <xdr:twoCellAnchor>
    <xdr:from>
      <xdr:col>7</xdr:col>
      <xdr:colOff>121470</xdr:colOff>
      <xdr:row>20</xdr:row>
      <xdr:rowOff>68036</xdr:rowOff>
    </xdr:from>
    <xdr:to>
      <xdr:col>8</xdr:col>
      <xdr:colOff>571501</xdr:colOff>
      <xdr:row>21</xdr:row>
      <xdr:rowOff>136071</xdr:rowOff>
    </xdr:to>
    <xdr:sp macro="" textlink="">
      <xdr:nvSpPr>
        <xdr:cNvPr id="160" name="Rectangle à coins arrondis 159">
          <a:extLst>
            <a:ext uri="{FF2B5EF4-FFF2-40B4-BE49-F238E27FC236}">
              <a16:creationId xmlns:a16="http://schemas.microsoft.com/office/drawing/2014/main" id="{00000000-0008-0000-1700-00008E000000}"/>
            </a:ext>
          </a:extLst>
        </xdr:cNvPr>
        <xdr:cNvSpPr/>
      </xdr:nvSpPr>
      <xdr:spPr>
        <a:xfrm>
          <a:off x="5782041" y="5619750"/>
          <a:ext cx="1171210" cy="272142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600" b="1"/>
            <a:t>C</a:t>
          </a:r>
        </a:p>
      </xdr:txBody>
    </xdr:sp>
    <xdr:clientData/>
  </xdr:twoCellAnchor>
  <xdr:twoCellAnchor>
    <xdr:from>
      <xdr:col>36</xdr:col>
      <xdr:colOff>459292</xdr:colOff>
      <xdr:row>21</xdr:row>
      <xdr:rowOff>46462</xdr:rowOff>
    </xdr:from>
    <xdr:to>
      <xdr:col>38</xdr:col>
      <xdr:colOff>447679</xdr:colOff>
      <xdr:row>25</xdr:row>
      <xdr:rowOff>140785</xdr:rowOff>
    </xdr:to>
    <xdr:sp macro="" textlink="">
      <xdr:nvSpPr>
        <xdr:cNvPr id="164" name="AutoShape 10501">
          <a:extLst>
            <a:ext uri="{FF2B5EF4-FFF2-40B4-BE49-F238E27FC236}">
              <a16:creationId xmlns:a16="http://schemas.microsoft.com/office/drawing/2014/main" id="{00000000-0008-0000-1700-00005F000000}"/>
            </a:ext>
          </a:extLst>
        </xdr:cNvPr>
        <xdr:cNvSpPr>
          <a:spLocks noChangeArrowheads="1"/>
        </xdr:cNvSpPr>
      </xdr:nvSpPr>
      <xdr:spPr bwMode="auto">
        <a:xfrm>
          <a:off x="28755512" y="4367560"/>
          <a:ext cx="1428752" cy="872585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708568</xdr:colOff>
      <xdr:row>9</xdr:row>
      <xdr:rowOff>162619</xdr:rowOff>
    </xdr:from>
    <xdr:to>
      <xdr:col>34</xdr:col>
      <xdr:colOff>673717</xdr:colOff>
      <xdr:row>14</xdr:row>
      <xdr:rowOff>81309</xdr:rowOff>
    </xdr:to>
    <xdr:sp macro="" textlink="">
      <xdr:nvSpPr>
        <xdr:cNvPr id="166" name="AutoShape 10501">
          <a:extLst>
            <a:ext uri="{FF2B5EF4-FFF2-40B4-BE49-F238E27FC236}">
              <a16:creationId xmlns:a16="http://schemas.microsoft.com/office/drawing/2014/main" id="{00000000-0008-0000-1700-000073000000}"/>
            </a:ext>
          </a:extLst>
        </xdr:cNvPr>
        <xdr:cNvSpPr>
          <a:spLocks noChangeArrowheads="1"/>
        </xdr:cNvSpPr>
      </xdr:nvSpPr>
      <xdr:spPr bwMode="auto">
        <a:xfrm flipH="1">
          <a:off x="26844239" y="2148930"/>
          <a:ext cx="685332" cy="871190"/>
        </a:xfrm>
        <a:prstGeom prst="flowChartAlternateProcess">
          <a:avLst/>
        </a:prstGeom>
        <a:solidFill>
          <a:srgbClr val="FFFF00">
            <a:alpha val="60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i="0" baseline="0" noProof="0">
              <a:solidFill>
                <a:schemeClr val="tx1"/>
              </a:solidFill>
              <a:latin typeface="Arial Black" panose="020B0A04020102020204" pitchFamily="34" charset="0"/>
              <a:ea typeface="+mn-ea"/>
              <a:cs typeface="+mn-cs"/>
            </a:rPr>
            <a:t>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0" i="0" baseline="0" noProof="0">
              <a:solidFill>
                <a:schemeClr val="tx1"/>
              </a:solidFill>
              <a:latin typeface="Arial Black" panose="020B0A04020102020204" pitchFamily="34" charset="0"/>
              <a:ea typeface="+mn-ea"/>
              <a:cs typeface="+mn-cs"/>
            </a:rPr>
            <a:t>2244</a:t>
          </a:r>
          <a:endParaRPr lang="fr-FR" sz="1400" b="0" i="0" baseline="0" noProof="0">
            <a:solidFill>
              <a:schemeClr val="tx1"/>
            </a:solidFill>
            <a:latin typeface="Arial Black" panose="020B0A040201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495168</xdr:colOff>
      <xdr:row>13</xdr:row>
      <xdr:rowOff>149349</xdr:rowOff>
    </xdr:from>
    <xdr:to>
      <xdr:col>37</xdr:col>
      <xdr:colOff>471937</xdr:colOff>
      <xdr:row>22</xdr:row>
      <xdr:rowOff>19250</xdr:rowOff>
    </xdr:to>
    <xdr:sp macro="" textlink="">
      <xdr:nvSpPr>
        <xdr:cNvPr id="142" name="AutoShape 10501">
          <a:extLst>
            <a:ext uri="{FF2B5EF4-FFF2-40B4-BE49-F238E27FC236}">
              <a16:creationId xmlns:a16="http://schemas.microsoft.com/office/drawing/2014/main" id="{00000000-0008-0000-1700-000073000000}"/>
            </a:ext>
          </a:extLst>
        </xdr:cNvPr>
        <xdr:cNvSpPr>
          <a:spLocks noChangeArrowheads="1"/>
        </xdr:cNvSpPr>
      </xdr:nvSpPr>
      <xdr:spPr bwMode="auto">
        <a:xfrm flipH="1">
          <a:off x="29233454" y="4285920"/>
          <a:ext cx="697947" cy="1666044"/>
        </a:xfrm>
        <a:prstGeom prst="flowChartAlternateProcess">
          <a:avLst/>
        </a:prstGeom>
        <a:solidFill>
          <a:schemeClr val="accent5">
            <a:alpha val="60000"/>
          </a:scheme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>
            <a:rot lat="0" lon="0" rev="12000000"/>
          </a:lightRig>
        </a:scene3d>
        <a:sp3d>
          <a:bevelT w="704850" h="1111250"/>
          <a:bevelB w="228600" h="244475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BT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000" b="1" i="0" baseline="0" noProof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911680</xdr:colOff>
      <xdr:row>20</xdr:row>
      <xdr:rowOff>81645</xdr:rowOff>
    </xdr:from>
    <xdr:to>
      <xdr:col>6</xdr:col>
      <xdr:colOff>680358</xdr:colOff>
      <xdr:row>21</xdr:row>
      <xdr:rowOff>122466</xdr:rowOff>
    </xdr:to>
    <xdr:sp macro="" textlink="">
      <xdr:nvSpPr>
        <xdr:cNvPr id="156" name="Rectangle à coins arrondis 155">
          <a:extLst>
            <a:ext uri="{FF2B5EF4-FFF2-40B4-BE49-F238E27FC236}">
              <a16:creationId xmlns:a16="http://schemas.microsoft.com/office/drawing/2014/main" id="{00000000-0008-0000-1700-00008E000000}"/>
            </a:ext>
          </a:extLst>
        </xdr:cNvPr>
        <xdr:cNvSpPr/>
      </xdr:nvSpPr>
      <xdr:spPr>
        <a:xfrm>
          <a:off x="4191001" y="5633359"/>
          <a:ext cx="1428750" cy="244928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B</a:t>
          </a: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≈40000</a:t>
          </a:r>
          <a:endParaRPr lang="fr-FR" sz="1600" b="1"/>
        </a:p>
      </xdr:txBody>
    </xdr:sp>
    <xdr:clientData/>
  </xdr:twoCellAnchor>
  <xdr:twoCellAnchor>
    <xdr:from>
      <xdr:col>33</xdr:col>
      <xdr:colOff>571500</xdr:colOff>
      <xdr:row>22</xdr:row>
      <xdr:rowOff>86953</xdr:rowOff>
    </xdr:from>
    <xdr:to>
      <xdr:col>35</xdr:col>
      <xdr:colOff>339847</xdr:colOff>
      <xdr:row>26</xdr:row>
      <xdr:rowOff>108856</xdr:rowOff>
    </xdr:to>
    <xdr:sp macro="" textlink="">
      <xdr:nvSpPr>
        <xdr:cNvPr id="158" name="AutoShape 10501">
          <a:extLst>
            <a:ext uri="{FF2B5EF4-FFF2-40B4-BE49-F238E27FC236}">
              <a16:creationId xmlns:a16="http://schemas.microsoft.com/office/drawing/2014/main" id="{00000000-0008-0000-1700-000051000000}"/>
            </a:ext>
          </a:extLst>
        </xdr:cNvPr>
        <xdr:cNvSpPr>
          <a:spLocks noChangeArrowheads="1"/>
        </xdr:cNvSpPr>
      </xdr:nvSpPr>
      <xdr:spPr bwMode="auto">
        <a:xfrm>
          <a:off x="27146250" y="6033274"/>
          <a:ext cx="1210704" cy="1028832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234950" h="1968500"/>
          <a:bevelB w="0" h="292100"/>
        </a:sp3d>
      </xdr:spPr>
      <xdr:txBody>
        <a:bodyPr lIns="0" rIns="0"/>
        <a:lstStyle/>
        <a:p>
          <a:pPr marL="0" indent="0" algn="ctr" eaLnBrk="1" fontAlgn="auto" latinLnBrk="0" hangingPunct="1"/>
          <a:endParaRPr lang="fr-FR" sz="18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 eaLnBrk="1" fontAlgn="auto" latinLnBrk="0" hangingPunct="1"/>
          <a:endParaRPr lang="fr-FR" sz="11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34</xdr:col>
      <xdr:colOff>557893</xdr:colOff>
      <xdr:row>16</xdr:row>
      <xdr:rowOff>122463</xdr:rowOff>
    </xdr:from>
    <xdr:to>
      <xdr:col>36</xdr:col>
      <xdr:colOff>137726</xdr:colOff>
      <xdr:row>21</xdr:row>
      <xdr:rowOff>54428</xdr:rowOff>
    </xdr:to>
    <xdr:sp macro="" textlink="">
      <xdr:nvSpPr>
        <xdr:cNvPr id="147" name="AutoShape 10501">
          <a:extLst>
            <a:ext uri="{FF2B5EF4-FFF2-40B4-BE49-F238E27FC236}">
              <a16:creationId xmlns:a16="http://schemas.microsoft.com/office/drawing/2014/main" id="{00000000-0008-0000-1700-00005A000000}"/>
            </a:ext>
          </a:extLst>
        </xdr:cNvPr>
        <xdr:cNvSpPr>
          <a:spLocks noChangeArrowheads="1"/>
        </xdr:cNvSpPr>
      </xdr:nvSpPr>
      <xdr:spPr bwMode="auto">
        <a:xfrm>
          <a:off x="27853822" y="4857749"/>
          <a:ext cx="1022190" cy="938893"/>
        </a:xfrm>
        <a:prstGeom prst="flowChartAlternateProcess">
          <a:avLst/>
        </a:prstGeom>
        <a:solidFill>
          <a:srgbClr val="FFFFCC">
            <a:alpha val="61000"/>
          </a:srgbClr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368300" h="1009650"/>
          <a:bevelB w="336550" h="292100"/>
        </a:sp3d>
      </xdr:spPr>
      <xdr:txBody>
        <a:bodyPr lIns="0" rIns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>
              <a:latin typeface="+mn-lt"/>
              <a:ea typeface="+mn-ea"/>
              <a:cs typeface="+mn-cs"/>
            </a:rPr>
            <a:t>BT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>
              <a:latin typeface="+mn-lt"/>
              <a:ea typeface="+mn-ea"/>
              <a:cs typeface="+mn-cs"/>
            </a:rPr>
            <a:t>487</a:t>
          </a:r>
        </a:p>
      </xdr:txBody>
    </xdr:sp>
    <xdr:clientData/>
  </xdr:twoCellAnchor>
  <xdr:twoCellAnchor>
    <xdr:from>
      <xdr:col>2</xdr:col>
      <xdr:colOff>680357</xdr:colOff>
      <xdr:row>7</xdr:row>
      <xdr:rowOff>147357</xdr:rowOff>
    </xdr:from>
    <xdr:to>
      <xdr:col>4</xdr:col>
      <xdr:colOff>307320</xdr:colOff>
      <xdr:row>11</xdr:row>
      <xdr:rowOff>40820</xdr:rowOff>
    </xdr:to>
    <xdr:sp macro="" textlink="">
      <xdr:nvSpPr>
        <xdr:cNvPr id="157" name="AutoShape 10501">
          <a:extLst>
            <a:ext uri="{FF2B5EF4-FFF2-40B4-BE49-F238E27FC236}">
              <a16:creationId xmlns:a16="http://schemas.microsoft.com/office/drawing/2014/main" id="{00000000-0008-0000-1700-00005F000000}"/>
            </a:ext>
          </a:extLst>
        </xdr:cNvPr>
        <xdr:cNvSpPr>
          <a:spLocks noChangeArrowheads="1"/>
        </xdr:cNvSpPr>
      </xdr:nvSpPr>
      <xdr:spPr bwMode="auto">
        <a:xfrm>
          <a:off x="2476500" y="2392536"/>
          <a:ext cx="1110141" cy="1254177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BG standard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19245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585108</xdr:colOff>
      <xdr:row>23</xdr:row>
      <xdr:rowOff>1</xdr:rowOff>
    </xdr:from>
    <xdr:to>
      <xdr:col>9</xdr:col>
      <xdr:colOff>527028</xdr:colOff>
      <xdr:row>26</xdr:row>
      <xdr:rowOff>235274</xdr:rowOff>
    </xdr:to>
    <xdr:sp macro="" textlink="">
      <xdr:nvSpPr>
        <xdr:cNvPr id="162" name="AutoShape 10501">
          <a:extLst>
            <a:ext uri="{FF2B5EF4-FFF2-40B4-BE49-F238E27FC236}">
              <a16:creationId xmlns:a16="http://schemas.microsoft.com/office/drawing/2014/main" id="{00000000-0008-0000-1700-000089000000}"/>
            </a:ext>
          </a:extLst>
        </xdr:cNvPr>
        <xdr:cNvSpPr>
          <a:spLocks noChangeArrowheads="1"/>
        </xdr:cNvSpPr>
      </xdr:nvSpPr>
      <xdr:spPr bwMode="auto">
        <a:xfrm>
          <a:off x="6966858" y="6136822"/>
          <a:ext cx="663099" cy="1038095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effectLst/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tIns="14400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C3S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3823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643849</xdr:colOff>
      <xdr:row>20</xdr:row>
      <xdr:rowOff>66710</xdr:rowOff>
    </xdr:from>
    <xdr:to>
      <xdr:col>4</xdr:col>
      <xdr:colOff>707572</xdr:colOff>
      <xdr:row>21</xdr:row>
      <xdr:rowOff>81643</xdr:rowOff>
    </xdr:to>
    <xdr:sp macro="" textlink="">
      <xdr:nvSpPr>
        <xdr:cNvPr id="165" name="Rectangle à coins arrondis 164">
          <a:extLst>
            <a:ext uri="{FF2B5EF4-FFF2-40B4-BE49-F238E27FC236}">
              <a16:creationId xmlns:a16="http://schemas.microsoft.com/office/drawing/2014/main" id="{00000000-0008-0000-1700-00008E000000}"/>
            </a:ext>
          </a:extLst>
        </xdr:cNvPr>
        <xdr:cNvSpPr/>
      </xdr:nvSpPr>
      <xdr:spPr>
        <a:xfrm>
          <a:off x="2439992" y="5618424"/>
          <a:ext cx="1546901" cy="219040"/>
        </a:xfrm>
        <a:prstGeom prst="round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</a:t>
          </a: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≈ 40 000</a:t>
          </a:r>
          <a:endParaRPr lang="fr-FR" sz="1600" b="1"/>
        </a:p>
      </xdr:txBody>
    </xdr:sp>
    <xdr:clientData/>
  </xdr:twoCellAnchor>
  <xdr:twoCellAnchor>
    <xdr:from>
      <xdr:col>41</xdr:col>
      <xdr:colOff>13608</xdr:colOff>
      <xdr:row>25</xdr:row>
      <xdr:rowOff>258537</xdr:rowOff>
    </xdr:from>
    <xdr:to>
      <xdr:col>41</xdr:col>
      <xdr:colOff>666750</xdr:colOff>
      <xdr:row>29</xdr:row>
      <xdr:rowOff>285751</xdr:rowOff>
    </xdr:to>
    <xdr:sp macro="" textlink="">
      <xdr:nvSpPr>
        <xdr:cNvPr id="163" name="AutoShape 10501">
          <a:extLst>
            <a:ext uri="{FF2B5EF4-FFF2-40B4-BE49-F238E27FC236}">
              <a16:creationId xmlns:a16="http://schemas.microsoft.com/office/drawing/2014/main" id="{00000000-0008-0000-1700-00005F000000}"/>
            </a:ext>
          </a:extLst>
        </xdr:cNvPr>
        <xdr:cNvSpPr>
          <a:spLocks noChangeArrowheads="1"/>
        </xdr:cNvSpPr>
      </xdr:nvSpPr>
      <xdr:spPr bwMode="auto">
        <a:xfrm>
          <a:off x="32357787" y="6939644"/>
          <a:ext cx="653142" cy="979714"/>
        </a:xfrm>
        <a:prstGeom prst="flowChartAlternateProcess">
          <a:avLst/>
        </a:prstGeom>
        <a:solidFill>
          <a:srgbClr val="FFFF66"/>
        </a:solidFill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660400" h="2203450"/>
          <a:bevelB w="0" h="800100"/>
        </a:sp3d>
      </xdr:spPr>
      <xdr:txBody>
        <a:bodyPr lIns="0" rIns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i="0" baseline="0" noProof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 b="1" i="0" baseline="0" noProof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57150</xdr:rowOff>
        </xdr:from>
        <xdr:to>
          <xdr:col>0</xdr:col>
          <xdr:colOff>923925</xdr:colOff>
          <xdr:row>0</xdr:row>
          <xdr:rowOff>495300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Envoi_RR0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adi\statis\STATIS\STATIS97\XY\FONOD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nsori\partage%20c\MSOffice\Excel\Section%20PR\Pr99\Prevu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y_c_prv\SECTION%20PRIX%20DE%20REVIENT\BF%202003%20Par%20Service\Saisie%20BUDGET%2003%20NETPHOS%20Stat%20R6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ghi\partage%20chef%20de%20service\Documents%20and%20Settings\hachami\Local%20Settings\Temporary%20Internet%20Files\OLK5F\Prix%20Rev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Documents%20and%20Settings\kacim\Local%20Settings\Temporary%20Internet%20Files\OLK10\Besoin%20audi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Documents%20and%20Settings\hachami\Local%20Settings\Temporary%20Internet%20Files\OLK5F\Prix%20Rev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MINISTER/MINES/PLANDEV/PLANDEV1998/REALISATIONS1993-199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Documents%20and%20Settings\el%20jebari\Local%20Settings\Temporary%20Internet%20Files\OLK83\Documents%20and%20Settings\damienmartin\My%20Documents\Planning%20Archive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aithammou1d8\disque%20d\Rapport%20mensuel\ARDECID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Documents%20and%20Settings\el%20jebari\Local%20Settings\Temporary%20Internet%20Files\OLK83\WINDOWS\Desktop\model25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Documents%20and%20Settings\kacim\Local%20Settings\Temporary%20Internet%20Files\OLK10\Besoin%20audit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WINDOWS\Desktop\model2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Statistique\Rap-Mensuel\RAPPORT%20MENSUEL%20NOVEMBRE%20200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80t8b3j\pr&#233;paration%20budget%202008\Documents%20and%20Settings\hachami\Local%20Settings\Temporary%20Internet%20Files\OLK5F\Prix%20Rev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g-achir02h7\TABLEAU%20DE%20BORD%202003\Documents%20and%20Settings\ACHIR\Local%20Settings\Temporary%20Internet%20Files\OLKF\REPORT97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_Crible/nouveau%20partage/R0%20Criblage-Chargement%2020201%20(Enregistr&#233;%20automatiquement)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g-achir02h7\tableau%20de%20bord%202006\SUIVI%20BUDGET%2020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1997\AKTUAL1\REDITELS\1997\OZ-1\PAR\PL97PAR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fcg\archives\Tableaux%20de%20bord%20mensuels\2006\00_PREV\budget_PM_2006_actualis&#233;%20suivant%20DC-LP-1%20du%2005-01-200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PREVISION%202004%20PARITE%208.70\DOCUME~1\AMMOR~1.DAR\LOCALS~1\Temp\Mes%20documents\WINDOWS\TEMP\BUDGET98\Septembre%2098\Cpc8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Mes%20documents\BUDGET%202003\CPC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80t8b3j\pr&#233;paration%20budget%202008\Doc%20NADIR\PREVISIONS%202003\pr&#233;visions2003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dir_t\doc%20nadir\Mes%20documents\BUDGET\BUDGET%202004\CPC-MP-2004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g-achir02h7\TABLEAU%20DE%20BORD%202004\SUIVI%20BUDGET%202004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Documents%20and%20Settings\el%20jebari\Local%20Settings\Temporary%20Internet%20Files\OLK83\SUIVI%20BUDGET%202007\base%20de%20suivi%202007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Startup" Target="TB/Lotus/ARDECIDE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g-achir02h7\TRAVAUX%20DIVERS\Documents%20and%20Settings\ACHIR\Local%20Settings\Temporary%20Internet%20Files\OLKF\REPORT97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Documents%20and%20Settings\fgais\Local%20Settings\Temporary%20Internet%20Files\OLKC1\Maquettes%20p&#244;les\OPEX-MINE\OPEX%20MINE%20v270907\maquette_PMK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@Dokumenty\Star&#233;_170501\BP_2001\For_Board_1302_2001\Standalone_withEtel\Fin_Y_v2_1302_2001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SECTION%20BUDGET\BUDGET%202001\NOUVEA2000R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Alldata\WIP\Clients%20and%20Targets%20A-Z\CVC\Projects\Project%20Comet\Project%20Eclipse\Fixed\Data%20&amp;%20Analysis\Revenue%20tables%20-%20LC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ia\prac\XLS\KNIHA1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abderrazik\Local%20Settings\Temporary%20Internet%20Files\OLK7\H_SUPP\H-SUPP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Tomas\Projekt%20Luftwaffe\Modely\Model%20-%20v5.1-%20EtA03%20CTcD%2018.5k_2560_2650%20EtD03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/AppData/Roaming/Microsoft/Excel/Rapport%200%20criblage_2019%20(Enregistr&#233;%20automatiquement)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gkacim3h7\disque%20D\SECTION%20PRIX%20DE%20REVIENT\BF%202003%20Par%20Service\BF%202003%20DEG-EY%20R&#233;alis&#233;%2012-2002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Documents%20and%20Settings\el%20jebari\Local%20Settings\Temporary%20Internet%20Files\OLK83\2007\REPORTINGS\REPORTINGS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cim\Section%20PR\Doc%20Excel\Analyse%20&#233;carts%20prix%20revient\Exp&#233;ditions%20DIS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ystateyc1a7\Rap-Parvenu\SECTION%20PRIX%20DE%20REVIENT\copie%20RAPPORT%20MENSUEL%2002%202003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Documents%20and%20Settings\fivara\Local%20Settings\Temporary%20Internet%20Files\OLK43\Aicha\Copie%20de%20PRIX%20DE%20REVIENT%20AOUT%2002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y_c_prv\SECTION%20PRIX%20DE%20REVIENT\BF%202003%20Par%20Service\Saisie%20BUDGET%2003%20NETPHOS%20Stat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PR-MP-06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ystateyc1a7\Rap-Parvenu\SECTION%20PRIX%20DE%20REVIENT\copie%20RAPPORT%20MENSUEL%2003%202003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Documents%20and%20Settings\el%20jebari\Local%20Settings\Temporary%20Internet%20Files\OLK83\2006\2004\Copie%20de%20SUIVI%20BUDGET%202004%20AU%2013%20OCTOBRE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80t8b3j\pr&#233;paration%20budget%202008\ENVOI%20DU%2001-4-2008\2008_suite\2008_suite\Nouveau%20dossier\T\Budget%20suivi\BUDGET%202007\Inscrit_Engag&#233;_2007_4_5_7\Synth&#233;se\INV%202007%20par%20division%20version2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30BB2FA\GT%20&amp;%20INV%20%202007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80t8b3j\pr&#233;paration%20budget%202008\ENVOI%20DU%2001-4-2008\2008_suite\2008_suite\Nouveau%20dossier\T\Budget%20suivi\SUIVI%20EXECR.BUDGET%202007%20R&#233;vis&#233;e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nseghir\documents%20reg\budget%202006\Copie%20de%20STOCK-2006-OCP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arhou-slimani\win98\TEMP\CAMPSEPT99_def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DOCUME~1\kacim\LOCALS~1\Temp\Fax-DEG-09-03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1997\AKTUAL1\REDITELS\1997\OZ-1\PHA\SIA3_O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80t8b3j\pr&#233;paration%20budget%202008\Doc%20NADIR\Budget%202004\Fascicules\PM-sept2004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adi\corres\DIVERS\INDFIN(GF)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aithammou1d8\disque%20d\Allali2\Pr&#233;vision%202005%20Sept%2004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hed\dahed\dbase\deltree\PERS1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Documents%20and%20Settings\el%20jebari\Local%20Settings\Temporary%20Internet%20Files\OLK83\STATIS\STATIS%2007\sortie%2007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cim\Section%20PR\Documents%20and%20Settings\hamraoui\Local%20Settings\Temporary%20Internet%20Files\OLK5D\Canevas%20bilan%20s&#233;curit&#233;%20(AT)%20de%20DCCO%20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_Crible/nouveau%20partage/R0%20Criblage-Chargement%202020%20(Enregistr&#233;%20automatiquement).xlsm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khich\d\divers\dibn1999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cim\Section%20PR\Doc%20Excel\Analyse%20&#233;carts%20prix%20revient\MSOFFICE\Excel\PR-1998\PR98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DATA\V_1\Pl&#225;n_97\Plan_tab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fas.kworld.kpmg.com/Servco/Servco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Documents%20and%20Settings\el%20hattab\Local%20Settings\Temporary%20Internet%20Files\OLK14C\bendjebli\3097000\BFONCTIONNEMENT%20%2007\EFFECTIF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cim\Section%20PR\Doc%20Excel\Analyse%20&#233;carts%20prix%20revient\Budget%20fonct.et%20Progr.2000-2001\MSOFFICE\Excel\Budget_FONCT\BUDG-2000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Documents%20and%20Settings\aatouf.ABDOUNE\Local%20Settings\Temporary%20Internet%20Files\RAPPORT%20D'ACTIVITE%20MENSUEL\2006\JUILLET\RAP05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Doc%20NADIR\Budget%202005\Mai2005\COMPTES63-75_OCP_2005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Documents%20and%20Settings\el%20jebari\Local%20Settings\Temporary%20Internet%20Files\OLK83\2004\Copie%20de%20SUIVI%20BUDGET%202004%20AU%2010%20NOVEMBRE%202004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l-6qz2c1j\section%20budget\section%20budget\Documents%20and%20Settings\bouqassim\Bureau\Copie%20de%20Gestion_HorairesVB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lamkhander2s4\d\Rapport%20mensuel\ARDECIDE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/Desktop/Copie%20de%20rapport_R0%2020.xlsm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_Crible/nouveau%20partage/Rapport%200%20criblage%20et%20chargement%202019/R0%20Criblage-Chargement%202020%20(Enregistr&#233;%20automatiquemen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Données"/>
      <sheetName val="Feuil1"/>
      <sheetName val="Processus"/>
      <sheetName val="Activité"/>
      <sheetName val="Unité"/>
      <sheetName val="Sté Site"/>
      <sheetName val="Service"/>
      <sheetName val="FONODG"/>
      <sheetName val="Acheteur"/>
      <sheetName val="Taux d'initiation"/>
      <sheetName val="REFERENTIEL"/>
      <sheetName val="B.1-Dot.ITMO old 2016"/>
      <sheetName val="Criblage"/>
      <sheetName val="arrets criblage"/>
      <sheetName val="Chargement"/>
      <sheetName val="arrets Chargement"/>
      <sheetName val="Etat parc"/>
      <sheetName val="I FILM"/>
      <sheetName val="synthese 312"/>
      <sheetName val="Feuil2"/>
      <sheetName val="synthese 123"/>
      <sheetName val="KPI"/>
      <sheetName val="Feuil3"/>
      <sheetName val="OIK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évu DEG 99"/>
      <sheetName val="Prod"/>
      <sheetName val="TOTAL US"/>
    </sheetNames>
    <sheetDataSet>
      <sheetData sheetId="0"/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oupage OCP  Netphos"/>
      <sheetName val="Lignes PR Netphos"/>
      <sheetName val="Natures"/>
      <sheetName val="Saisie BF 2003"/>
      <sheetName val="BF R9 Net"/>
      <sheetName val="BF R8 Net "/>
      <sheetName val="BF R6 Net "/>
      <sheetName val="decoupage_OCP__Netphos"/>
      <sheetName val="Lignes_PR_Netphos"/>
      <sheetName val="Saisie_BF_2003"/>
      <sheetName val="BF_R9_Net"/>
      <sheetName val="BF_R8_Net_"/>
      <sheetName val="BF_R6_Net_"/>
      <sheetName val="decoupage_OCP__Netphos1"/>
      <sheetName val="Lignes_PR_Netphos1"/>
      <sheetName val="Saisie_BF_20031"/>
      <sheetName val="BF_R9_Net1"/>
      <sheetName val="BF_R8_Net_1"/>
      <sheetName val="BF_R6_Net_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7">
          <cell r="B7" t="str">
            <v>N°</v>
          </cell>
          <cell r="C7" t="str">
            <v xml:space="preserve">Anc.
LPR </v>
          </cell>
          <cell r="D7" t="str">
            <v xml:space="preserve">Netph.
LPR </v>
          </cell>
          <cell r="E7" t="str">
            <v>Description</v>
          </cell>
          <cell r="F7">
            <v>65132</v>
          </cell>
          <cell r="G7">
            <v>65134</v>
          </cell>
          <cell r="H7">
            <v>65258</v>
          </cell>
          <cell r="I7">
            <v>65767</v>
          </cell>
          <cell r="J7">
            <v>65771</v>
          </cell>
          <cell r="K7">
            <v>65772</v>
          </cell>
          <cell r="L7" t="str">
            <v>Total</v>
          </cell>
          <cell r="M7" t="str">
            <v>Total</v>
          </cell>
          <cell r="N7">
            <v>65000</v>
          </cell>
          <cell r="O7">
            <v>65004</v>
          </cell>
          <cell r="P7" t="str">
            <v>Total</v>
          </cell>
          <cell r="Q7" t="str">
            <v>Total</v>
          </cell>
          <cell r="R7" t="str">
            <v>Total</v>
          </cell>
          <cell r="S7" t="str">
            <v>---</v>
          </cell>
          <cell r="V7" t="str">
            <v>Total</v>
          </cell>
          <cell r="W7" t="str">
            <v>---</v>
          </cell>
          <cell r="X7" t="str">
            <v>---</v>
          </cell>
          <cell r="Y7" t="str">
            <v>---</v>
          </cell>
          <cell r="Z7" t="str">
            <v>---</v>
          </cell>
          <cell r="AA7" t="str">
            <v>---</v>
          </cell>
          <cell r="AB7" t="str">
            <v>---</v>
          </cell>
          <cell r="AC7" t="str">
            <v>---</v>
          </cell>
          <cell r="AD7" t="str">
            <v>---</v>
          </cell>
          <cell r="AE7" t="str">
            <v>---</v>
          </cell>
          <cell r="AF7" t="str">
            <v>---</v>
          </cell>
          <cell r="AG7" t="str">
            <v>---</v>
          </cell>
          <cell r="AH7" t="str">
            <v>---</v>
          </cell>
          <cell r="AI7" t="str">
            <v>TOTAL
Recette 9</v>
          </cell>
        </row>
        <row r="8">
          <cell r="B8">
            <v>1</v>
          </cell>
          <cell r="C8" t="str">
            <v>010</v>
          </cell>
          <cell r="D8" t="str">
            <v>1100</v>
          </cell>
          <cell r="E8" t="str">
            <v>Salaires et appointements, Personnel tâcheron</v>
          </cell>
          <cell r="F8">
            <v>807972</v>
          </cell>
          <cell r="G8">
            <v>885192</v>
          </cell>
          <cell r="H8">
            <v>845316</v>
          </cell>
          <cell r="I8">
            <v>810048</v>
          </cell>
          <cell r="J8">
            <v>831216</v>
          </cell>
          <cell r="K8">
            <v>858804</v>
          </cell>
          <cell r="L8">
            <v>5038548</v>
          </cell>
          <cell r="M8">
            <v>460344</v>
          </cell>
          <cell r="N8">
            <v>4634136</v>
          </cell>
          <cell r="O8">
            <v>5068572</v>
          </cell>
          <cell r="P8">
            <v>9702708</v>
          </cell>
          <cell r="R8">
            <v>2773920</v>
          </cell>
          <cell r="V8">
            <v>0</v>
          </cell>
          <cell r="W8">
            <v>4704</v>
          </cell>
          <cell r="Z8">
            <v>2976</v>
          </cell>
          <cell r="AC8">
            <v>2604</v>
          </cell>
          <cell r="AG8">
            <v>9420</v>
          </cell>
          <cell r="AH8">
            <v>9468</v>
          </cell>
          <cell r="AI8">
            <v>18004692</v>
          </cell>
        </row>
        <row r="9">
          <cell r="B9">
            <v>1</v>
          </cell>
          <cell r="C9" t="str">
            <v>011</v>
          </cell>
          <cell r="D9" t="str">
            <v>1200</v>
          </cell>
          <cell r="E9" t="str">
            <v>Frais médicaux et pharmaceutiques exterieurs, prises en charge tach.</v>
          </cell>
          <cell r="F9">
            <v>297540</v>
          </cell>
          <cell r="G9">
            <v>376548</v>
          </cell>
          <cell r="H9">
            <v>328740</v>
          </cell>
          <cell r="I9">
            <v>338604</v>
          </cell>
          <cell r="J9">
            <v>316716</v>
          </cell>
          <cell r="K9">
            <v>382980</v>
          </cell>
          <cell r="L9">
            <v>2041128</v>
          </cell>
          <cell r="M9">
            <v>168384</v>
          </cell>
          <cell r="N9">
            <v>1610964</v>
          </cell>
          <cell r="O9">
            <v>1904460</v>
          </cell>
          <cell r="P9">
            <v>3515424</v>
          </cell>
          <cell r="R9">
            <v>702924</v>
          </cell>
          <cell r="V9">
            <v>0</v>
          </cell>
          <cell r="W9">
            <v>35880</v>
          </cell>
          <cell r="Z9">
            <v>20256</v>
          </cell>
          <cell r="AC9">
            <v>18456</v>
          </cell>
          <cell r="AG9">
            <v>86544</v>
          </cell>
          <cell r="AH9">
            <v>69684</v>
          </cell>
          <cell r="AI9">
            <v>6658680</v>
          </cell>
        </row>
        <row r="10">
          <cell r="B10">
            <v>2</v>
          </cell>
          <cell r="C10" t="str">
            <v>011</v>
          </cell>
          <cell r="D10" t="str">
            <v>1210</v>
          </cell>
          <cell r="E10" t="str">
            <v>Salaires des congés payés, Maladie, Maternité, Accidents, Personnel OET</v>
          </cell>
          <cell r="F10">
            <v>0</v>
          </cell>
          <cell r="L10">
            <v>0</v>
          </cell>
          <cell r="P10">
            <v>0</v>
          </cell>
          <cell r="V10">
            <v>0</v>
          </cell>
          <cell r="AI10">
            <v>0</v>
          </cell>
        </row>
        <row r="11">
          <cell r="B11">
            <v>3</v>
          </cell>
          <cell r="C11" t="str">
            <v>011</v>
          </cell>
          <cell r="D11" t="str">
            <v>1220</v>
          </cell>
          <cell r="E11" t="str">
            <v>Indemnités d'éloignement et de transport, Personnel OET</v>
          </cell>
          <cell r="F11">
            <v>0</v>
          </cell>
          <cell r="L11">
            <v>0</v>
          </cell>
          <cell r="P11">
            <v>0</v>
          </cell>
          <cell r="V11">
            <v>0</v>
          </cell>
          <cell r="AI11">
            <v>0</v>
          </cell>
        </row>
        <row r="12">
          <cell r="B12">
            <v>4</v>
          </cell>
          <cell r="C12" t="str">
            <v>011</v>
          </cell>
          <cell r="D12" t="str">
            <v>1230</v>
          </cell>
          <cell r="E12" t="str">
            <v>Indemnité forfaitaire de congé, Personnel OET</v>
          </cell>
          <cell r="F12">
            <v>0</v>
          </cell>
          <cell r="L12">
            <v>0</v>
          </cell>
          <cell r="P12">
            <v>0</v>
          </cell>
          <cell r="V12">
            <v>0</v>
          </cell>
          <cell r="AI12">
            <v>0</v>
          </cell>
        </row>
        <row r="13">
          <cell r="B13">
            <v>5</v>
          </cell>
          <cell r="C13" t="str">
            <v>011</v>
          </cell>
          <cell r="D13" t="str">
            <v>1240</v>
          </cell>
          <cell r="E13" t="str">
            <v>Indemnité de logement, Personnel tâcherons</v>
          </cell>
          <cell r="F13">
            <v>0</v>
          </cell>
          <cell r="L13">
            <v>0</v>
          </cell>
          <cell r="P13">
            <v>0</v>
          </cell>
          <cell r="V13">
            <v>0</v>
          </cell>
          <cell r="AI13">
            <v>0</v>
          </cell>
        </row>
        <row r="14">
          <cell r="B14">
            <v>6</v>
          </cell>
          <cell r="C14" t="str">
            <v>011</v>
          </cell>
          <cell r="D14" t="str">
            <v>1250</v>
          </cell>
          <cell r="E14" t="str">
            <v>Aide au logement, Personnel OET</v>
          </cell>
          <cell r="F14">
            <v>0</v>
          </cell>
          <cell r="L14">
            <v>0</v>
          </cell>
          <cell r="P14">
            <v>0</v>
          </cell>
          <cell r="V14">
            <v>0</v>
          </cell>
          <cell r="AI14">
            <v>0</v>
          </cell>
        </row>
        <row r="15">
          <cell r="B15">
            <v>7</v>
          </cell>
          <cell r="C15" t="str">
            <v>011</v>
          </cell>
          <cell r="D15" t="str">
            <v>1270</v>
          </cell>
          <cell r="E15" t="str">
            <v>Prime de responsabilité, de rendement et d'asseduite, Personnel OET</v>
          </cell>
          <cell r="F15">
            <v>0</v>
          </cell>
          <cell r="L15">
            <v>0</v>
          </cell>
          <cell r="P15">
            <v>0</v>
          </cell>
          <cell r="V15">
            <v>0</v>
          </cell>
          <cell r="AI15">
            <v>0</v>
          </cell>
        </row>
        <row r="16">
          <cell r="B16">
            <v>8</v>
          </cell>
          <cell r="C16" t="str">
            <v>011</v>
          </cell>
          <cell r="D16" t="str">
            <v>1280</v>
          </cell>
          <cell r="E16" t="str">
            <v>Charges fami. mariage, naiss.,decès, a. f... tâcherons</v>
          </cell>
          <cell r="F16">
            <v>0</v>
          </cell>
          <cell r="L16">
            <v>0</v>
          </cell>
          <cell r="P16">
            <v>0</v>
          </cell>
          <cell r="V16">
            <v>0</v>
          </cell>
          <cell r="AI16">
            <v>0</v>
          </cell>
        </row>
        <row r="17">
          <cell r="B17">
            <v>9</v>
          </cell>
          <cell r="C17" t="str">
            <v>011</v>
          </cell>
          <cell r="D17" t="str">
            <v>1290</v>
          </cell>
          <cell r="E17" t="str">
            <v>Autres avantages et indemnités diverses, Scolarité, Mecque etc..,  Personnel OET</v>
          </cell>
          <cell r="F17">
            <v>0</v>
          </cell>
          <cell r="L17">
            <v>0</v>
          </cell>
          <cell r="P17">
            <v>0</v>
          </cell>
          <cell r="V17">
            <v>0</v>
          </cell>
          <cell r="AI17">
            <v>0</v>
          </cell>
        </row>
        <row r="18">
          <cell r="B18">
            <v>1</v>
          </cell>
          <cell r="C18" t="str">
            <v>012</v>
          </cell>
          <cell r="D18" t="str">
            <v>1103</v>
          </cell>
          <cell r="E18" t="str">
            <v>Salaires et appointements personnel OEB</v>
          </cell>
          <cell r="F18">
            <v>0</v>
          </cell>
          <cell r="L18">
            <v>0</v>
          </cell>
          <cell r="P18">
            <v>0</v>
          </cell>
          <cell r="V18">
            <v>0</v>
          </cell>
          <cell r="AH18">
            <v>78408</v>
          </cell>
          <cell r="AI18">
            <v>78408</v>
          </cell>
        </row>
        <row r="19">
          <cell r="B19">
            <v>1</v>
          </cell>
          <cell r="C19" t="str">
            <v>013</v>
          </cell>
          <cell r="D19" t="str">
            <v>1203</v>
          </cell>
          <cell r="E19" t="str">
            <v>Frais médicaux et pharmaceutiques exterieurs, prises en charge OEF</v>
          </cell>
          <cell r="F19">
            <v>0</v>
          </cell>
          <cell r="L19">
            <v>0</v>
          </cell>
          <cell r="P19">
            <v>0</v>
          </cell>
          <cell r="V19">
            <v>0</v>
          </cell>
          <cell r="AH19">
            <v>57120</v>
          </cell>
          <cell r="AI19">
            <v>57120</v>
          </cell>
        </row>
        <row r="20">
          <cell r="B20">
            <v>2</v>
          </cell>
          <cell r="C20" t="str">
            <v>013</v>
          </cell>
          <cell r="D20" t="str">
            <v>1213</v>
          </cell>
          <cell r="E20" t="str">
            <v>Salaires des congés payés, Maladie, Maternité, Accidents, Personnel OEF</v>
          </cell>
          <cell r="F20">
            <v>0</v>
          </cell>
          <cell r="L20">
            <v>0</v>
          </cell>
          <cell r="P20">
            <v>0</v>
          </cell>
          <cell r="V20">
            <v>0</v>
          </cell>
          <cell r="AI20">
            <v>0</v>
          </cell>
        </row>
        <row r="21">
          <cell r="B21">
            <v>3</v>
          </cell>
          <cell r="C21" t="str">
            <v>013</v>
          </cell>
          <cell r="D21" t="str">
            <v>1223</v>
          </cell>
          <cell r="E21" t="str">
            <v>Indemnités d'éloignement et de transport, Personnel OEF</v>
          </cell>
          <cell r="F21">
            <v>0</v>
          </cell>
          <cell r="L21">
            <v>0</v>
          </cell>
          <cell r="P21">
            <v>0</v>
          </cell>
          <cell r="V21">
            <v>0</v>
          </cell>
          <cell r="AI21">
            <v>0</v>
          </cell>
        </row>
        <row r="22">
          <cell r="B22">
            <v>4</v>
          </cell>
          <cell r="C22" t="str">
            <v>013</v>
          </cell>
          <cell r="D22" t="str">
            <v>1233</v>
          </cell>
          <cell r="E22" t="str">
            <v>Indemnité forfaitaire de congé, Personnel OEF</v>
          </cell>
          <cell r="F22">
            <v>0</v>
          </cell>
          <cell r="L22">
            <v>0</v>
          </cell>
          <cell r="P22">
            <v>0</v>
          </cell>
          <cell r="V22">
            <v>0</v>
          </cell>
          <cell r="AI22">
            <v>0</v>
          </cell>
        </row>
        <row r="23">
          <cell r="B23">
            <v>5</v>
          </cell>
          <cell r="C23" t="str">
            <v>013</v>
          </cell>
          <cell r="D23" t="str">
            <v>1243</v>
          </cell>
          <cell r="E23" t="str">
            <v>Indemnité de logement, Personnel OEF</v>
          </cell>
          <cell r="F23">
            <v>0</v>
          </cell>
          <cell r="L23">
            <v>0</v>
          </cell>
          <cell r="P23">
            <v>0</v>
          </cell>
          <cell r="V23">
            <v>0</v>
          </cell>
          <cell r="AI23">
            <v>0</v>
          </cell>
        </row>
        <row r="24">
          <cell r="B24">
            <v>6</v>
          </cell>
          <cell r="C24" t="str">
            <v>013</v>
          </cell>
          <cell r="D24" t="str">
            <v>1253</v>
          </cell>
          <cell r="E24" t="str">
            <v>Aide au logement, Personnel OEF</v>
          </cell>
          <cell r="F24">
            <v>0</v>
          </cell>
          <cell r="L24">
            <v>0</v>
          </cell>
          <cell r="P24">
            <v>0</v>
          </cell>
          <cell r="V24">
            <v>0</v>
          </cell>
          <cell r="AI24">
            <v>0</v>
          </cell>
        </row>
        <row r="25">
          <cell r="B25">
            <v>7</v>
          </cell>
          <cell r="C25" t="str">
            <v>013</v>
          </cell>
          <cell r="D25" t="str">
            <v>1273</v>
          </cell>
          <cell r="E25" t="str">
            <v>Prime de responsabilité, de rendement et d'asséduité, Personnel OEF</v>
          </cell>
          <cell r="F25">
            <v>0</v>
          </cell>
          <cell r="L25">
            <v>0</v>
          </cell>
          <cell r="P25">
            <v>0</v>
          </cell>
          <cell r="V25">
            <v>0</v>
          </cell>
          <cell r="AI25">
            <v>0</v>
          </cell>
        </row>
        <row r="26">
          <cell r="B26">
            <v>8</v>
          </cell>
          <cell r="C26" t="str">
            <v>013</v>
          </cell>
          <cell r="D26" t="str">
            <v>1283</v>
          </cell>
          <cell r="E26" t="str">
            <v>Charges familiales, Mariages, Naissances, Décès, a. f... OEF</v>
          </cell>
          <cell r="F26">
            <v>0</v>
          </cell>
          <cell r="L26">
            <v>0</v>
          </cell>
          <cell r="P26">
            <v>0</v>
          </cell>
          <cell r="V26">
            <v>0</v>
          </cell>
          <cell r="AI26">
            <v>0</v>
          </cell>
        </row>
        <row r="27">
          <cell r="B27">
            <v>9</v>
          </cell>
          <cell r="C27" t="str">
            <v>013</v>
          </cell>
          <cell r="D27" t="str">
            <v>1293</v>
          </cell>
          <cell r="E27" t="str">
            <v>Autres avantages et indemnités diverses, Scolarité, Mecque etc.., Personnel OEF</v>
          </cell>
          <cell r="F27">
            <v>0</v>
          </cell>
          <cell r="L27">
            <v>0</v>
          </cell>
          <cell r="P27">
            <v>0</v>
          </cell>
          <cell r="V27">
            <v>0</v>
          </cell>
          <cell r="AI27">
            <v>0</v>
          </cell>
        </row>
        <row r="28">
          <cell r="B28">
            <v>1</v>
          </cell>
          <cell r="C28" t="str">
            <v>014</v>
          </cell>
          <cell r="D28" t="str">
            <v>1102</v>
          </cell>
          <cell r="E28" t="str">
            <v>Salaires et appointements personnel OEJ</v>
          </cell>
          <cell r="F28">
            <v>0</v>
          </cell>
          <cell r="G28">
            <v>12660</v>
          </cell>
          <cell r="L28">
            <v>12660</v>
          </cell>
          <cell r="M28">
            <v>780</v>
          </cell>
          <cell r="P28">
            <v>0</v>
          </cell>
          <cell r="V28">
            <v>0</v>
          </cell>
          <cell r="X28">
            <v>33060</v>
          </cell>
          <cell r="Y28">
            <v>92808</v>
          </cell>
          <cell r="Z28">
            <v>62280</v>
          </cell>
          <cell r="AA28">
            <v>691068</v>
          </cell>
          <cell r="AB28">
            <v>364476</v>
          </cell>
          <cell r="AC28">
            <v>225012</v>
          </cell>
          <cell r="AD28">
            <v>172440</v>
          </cell>
          <cell r="AE28">
            <v>132252</v>
          </cell>
          <cell r="AF28">
            <v>179280</v>
          </cell>
          <cell r="AG28">
            <v>282840</v>
          </cell>
          <cell r="AH28">
            <v>373764</v>
          </cell>
          <cell r="AI28">
            <v>2622720</v>
          </cell>
        </row>
        <row r="29">
          <cell r="B29">
            <v>1</v>
          </cell>
          <cell r="C29" t="str">
            <v>015</v>
          </cell>
          <cell r="D29" t="str">
            <v>1202</v>
          </cell>
          <cell r="E29" t="str">
            <v>Frais médicaux et pharmaceutiques exterieurs, prises en charge OEJ</v>
          </cell>
          <cell r="F29">
            <v>0</v>
          </cell>
          <cell r="G29">
            <v>5868</v>
          </cell>
          <cell r="L29">
            <v>5868</v>
          </cell>
          <cell r="P29">
            <v>0</v>
          </cell>
          <cell r="V29">
            <v>0</v>
          </cell>
          <cell r="X29">
            <v>24792</v>
          </cell>
          <cell r="Y29">
            <v>79572</v>
          </cell>
          <cell r="Z29">
            <v>53280</v>
          </cell>
          <cell r="AA29">
            <v>545892</v>
          </cell>
          <cell r="AB29">
            <v>287856</v>
          </cell>
          <cell r="AC29">
            <v>189588</v>
          </cell>
          <cell r="AD29">
            <v>139296</v>
          </cell>
          <cell r="AE29">
            <v>109188</v>
          </cell>
          <cell r="AF29">
            <v>144360</v>
          </cell>
          <cell r="AG29">
            <v>227556</v>
          </cell>
          <cell r="AH29">
            <v>336108</v>
          </cell>
          <cell r="AI29">
            <v>2143356</v>
          </cell>
        </row>
        <row r="30">
          <cell r="B30">
            <v>2</v>
          </cell>
          <cell r="C30" t="str">
            <v>015</v>
          </cell>
          <cell r="D30" t="str">
            <v>1212</v>
          </cell>
          <cell r="E30" t="str">
            <v>Salaires des congés payés, Maladie, Maternité, Accidents, Personnel OEJ</v>
          </cell>
          <cell r="F30">
            <v>0</v>
          </cell>
          <cell r="L30">
            <v>0</v>
          </cell>
          <cell r="P30">
            <v>0</v>
          </cell>
          <cell r="V30">
            <v>0</v>
          </cell>
          <cell r="AI30">
            <v>0</v>
          </cell>
        </row>
        <row r="31">
          <cell r="B31">
            <v>3</v>
          </cell>
          <cell r="C31" t="str">
            <v>015</v>
          </cell>
          <cell r="D31" t="str">
            <v>1222</v>
          </cell>
          <cell r="E31" t="str">
            <v>Indemnités d'éloignement et de transport, Personnel OEJ</v>
          </cell>
          <cell r="F31">
            <v>0</v>
          </cell>
          <cell r="L31">
            <v>0</v>
          </cell>
          <cell r="P31">
            <v>0</v>
          </cell>
          <cell r="V31">
            <v>0</v>
          </cell>
          <cell r="AI31">
            <v>0</v>
          </cell>
        </row>
        <row r="32">
          <cell r="B32">
            <v>4</v>
          </cell>
          <cell r="C32" t="str">
            <v>015</v>
          </cell>
          <cell r="D32" t="str">
            <v>1232</v>
          </cell>
          <cell r="E32" t="str">
            <v>Indemnité forfaitaire de congé, Personnel OEJ</v>
          </cell>
          <cell r="F32">
            <v>0</v>
          </cell>
          <cell r="L32">
            <v>0</v>
          </cell>
          <cell r="P32">
            <v>0</v>
          </cell>
          <cell r="V32">
            <v>0</v>
          </cell>
          <cell r="AI32">
            <v>0</v>
          </cell>
        </row>
        <row r="33">
          <cell r="B33">
            <v>5</v>
          </cell>
          <cell r="C33" t="str">
            <v>015</v>
          </cell>
          <cell r="D33" t="str">
            <v>1242</v>
          </cell>
          <cell r="E33" t="str">
            <v>Indemnité de logement, Personnel OEJ</v>
          </cell>
          <cell r="F33">
            <v>0</v>
          </cell>
          <cell r="L33">
            <v>0</v>
          </cell>
          <cell r="P33">
            <v>0</v>
          </cell>
          <cell r="V33">
            <v>0</v>
          </cell>
          <cell r="AI33">
            <v>0</v>
          </cell>
        </row>
        <row r="34">
          <cell r="B34">
            <v>6</v>
          </cell>
          <cell r="C34" t="str">
            <v>015</v>
          </cell>
          <cell r="D34" t="str">
            <v>1252</v>
          </cell>
          <cell r="E34" t="str">
            <v>Aide au logement, Personnel OEJ</v>
          </cell>
          <cell r="F34">
            <v>0</v>
          </cell>
          <cell r="L34">
            <v>0</v>
          </cell>
          <cell r="P34">
            <v>0</v>
          </cell>
          <cell r="V34">
            <v>0</v>
          </cell>
          <cell r="AI34">
            <v>0</v>
          </cell>
        </row>
        <row r="35">
          <cell r="B35">
            <v>7</v>
          </cell>
          <cell r="C35" t="str">
            <v>015</v>
          </cell>
          <cell r="D35" t="str">
            <v>1272</v>
          </cell>
          <cell r="E35" t="str">
            <v>Prime de responsabilité, de rendement et d'asséduité, Personnel OEJ</v>
          </cell>
          <cell r="F35">
            <v>0</v>
          </cell>
          <cell r="L35">
            <v>0</v>
          </cell>
          <cell r="P35">
            <v>0</v>
          </cell>
          <cell r="V35">
            <v>0</v>
          </cell>
          <cell r="AI35">
            <v>0</v>
          </cell>
        </row>
        <row r="36">
          <cell r="B36">
            <v>8</v>
          </cell>
          <cell r="C36" t="str">
            <v>015</v>
          </cell>
          <cell r="D36" t="str">
            <v>1282</v>
          </cell>
          <cell r="E36" t="str">
            <v>Charges fami. mariage, naiss.,decès, a. f... OEJ</v>
          </cell>
          <cell r="F36">
            <v>0</v>
          </cell>
          <cell r="L36">
            <v>0</v>
          </cell>
          <cell r="P36">
            <v>0</v>
          </cell>
          <cell r="V36">
            <v>0</v>
          </cell>
          <cell r="AI36">
            <v>0</v>
          </cell>
        </row>
        <row r="37">
          <cell r="B37">
            <v>9</v>
          </cell>
          <cell r="C37" t="str">
            <v>015</v>
          </cell>
          <cell r="D37" t="str">
            <v>1292</v>
          </cell>
          <cell r="E37" t="str">
            <v>Autres avantages et indemnités diverses, Scolarité, Mecque etc.., Personnel OEJ</v>
          </cell>
          <cell r="F37">
            <v>0</v>
          </cell>
          <cell r="L37">
            <v>0</v>
          </cell>
          <cell r="P37">
            <v>0</v>
          </cell>
          <cell r="V37">
            <v>0</v>
          </cell>
          <cell r="AI37">
            <v>0</v>
          </cell>
        </row>
        <row r="38">
          <cell r="B38">
            <v>1</v>
          </cell>
          <cell r="C38" t="str">
            <v>016</v>
          </cell>
          <cell r="D38" t="str">
            <v>1101</v>
          </cell>
          <cell r="E38" t="str">
            <v>Salaires et appointements personnel OEF</v>
          </cell>
          <cell r="F38">
            <v>146388</v>
          </cell>
          <cell r="G38">
            <v>199008</v>
          </cell>
          <cell r="H38">
            <v>141336</v>
          </cell>
          <cell r="I38">
            <v>184848</v>
          </cell>
          <cell r="J38">
            <v>178656</v>
          </cell>
          <cell r="K38">
            <v>238656</v>
          </cell>
          <cell r="L38">
            <v>1088892</v>
          </cell>
          <cell r="M38">
            <v>275916</v>
          </cell>
          <cell r="N38">
            <v>305940</v>
          </cell>
          <cell r="O38">
            <v>352332</v>
          </cell>
          <cell r="P38">
            <v>658272</v>
          </cell>
          <cell r="R38">
            <v>538920</v>
          </cell>
          <cell r="S38">
            <v>1294908</v>
          </cell>
          <cell r="V38">
            <v>0</v>
          </cell>
          <cell r="W38">
            <v>320880</v>
          </cell>
          <cell r="X38">
            <v>117192</v>
          </cell>
          <cell r="Y38">
            <v>707796</v>
          </cell>
          <cell r="Z38">
            <v>187092</v>
          </cell>
          <cell r="AA38">
            <v>30756</v>
          </cell>
          <cell r="AB38">
            <v>154152</v>
          </cell>
          <cell r="AC38">
            <v>86280</v>
          </cell>
          <cell r="AD38">
            <v>54816</v>
          </cell>
          <cell r="AE38">
            <v>142332</v>
          </cell>
          <cell r="AF38">
            <v>34164</v>
          </cell>
          <cell r="AG38">
            <v>665928</v>
          </cell>
          <cell r="AH38">
            <v>371448</v>
          </cell>
          <cell r="AI38">
            <v>6729744</v>
          </cell>
        </row>
        <row r="39">
          <cell r="B39">
            <v>1</v>
          </cell>
          <cell r="C39" t="str">
            <v>017</v>
          </cell>
          <cell r="D39" t="str">
            <v>1201</v>
          </cell>
          <cell r="E39" t="str">
            <v>Frais médicaux et pharmaceutiques exterieurs, prises en charge OEB</v>
          </cell>
          <cell r="F39">
            <v>276396</v>
          </cell>
          <cell r="G39">
            <v>293076</v>
          </cell>
          <cell r="H39">
            <v>282456</v>
          </cell>
          <cell r="I39">
            <v>257256</v>
          </cell>
          <cell r="J39">
            <v>276408</v>
          </cell>
          <cell r="K39">
            <v>316692</v>
          </cell>
          <cell r="L39">
            <v>1702284</v>
          </cell>
          <cell r="M39">
            <v>262128</v>
          </cell>
          <cell r="N39">
            <v>900384</v>
          </cell>
          <cell r="O39">
            <v>1054464</v>
          </cell>
          <cell r="P39">
            <v>1954848</v>
          </cell>
          <cell r="R39">
            <v>1201224</v>
          </cell>
          <cell r="S39">
            <v>977220</v>
          </cell>
          <cell r="V39">
            <v>0</v>
          </cell>
          <cell r="W39">
            <v>245560</v>
          </cell>
          <cell r="X39">
            <v>90612</v>
          </cell>
          <cell r="Y39">
            <v>562548</v>
          </cell>
          <cell r="Z39">
            <v>135000</v>
          </cell>
          <cell r="AA39">
            <v>34896</v>
          </cell>
          <cell r="AB39">
            <v>109188</v>
          </cell>
          <cell r="AC39">
            <v>54180</v>
          </cell>
          <cell r="AD39">
            <v>46188</v>
          </cell>
          <cell r="AE39">
            <v>98208</v>
          </cell>
          <cell r="AF39">
            <v>30468</v>
          </cell>
          <cell r="AG39">
            <v>408936</v>
          </cell>
          <cell r="AH39">
            <v>247200</v>
          </cell>
          <cell r="AI39">
            <v>8160688</v>
          </cell>
        </row>
        <row r="40">
          <cell r="B40">
            <v>2</v>
          </cell>
          <cell r="C40" t="str">
            <v>017</v>
          </cell>
          <cell r="D40" t="str">
            <v>1211</v>
          </cell>
          <cell r="E40" t="str">
            <v>Salaires des congés payés, Maladie, Maternité, Accidents, Personnel OEB</v>
          </cell>
          <cell r="F40">
            <v>0</v>
          </cell>
          <cell r="L40">
            <v>0</v>
          </cell>
          <cell r="P40">
            <v>0</v>
          </cell>
          <cell r="V40">
            <v>0</v>
          </cell>
          <cell r="AI40">
            <v>0</v>
          </cell>
        </row>
        <row r="41">
          <cell r="B41">
            <v>3</v>
          </cell>
          <cell r="C41" t="str">
            <v>017</v>
          </cell>
          <cell r="D41" t="str">
            <v>1221</v>
          </cell>
          <cell r="E41" t="str">
            <v>Indemnités d'éloignement et de transport, Personnel OEB</v>
          </cell>
          <cell r="F41">
            <v>0</v>
          </cell>
          <cell r="L41">
            <v>0</v>
          </cell>
          <cell r="P41">
            <v>0</v>
          </cell>
          <cell r="V41">
            <v>0</v>
          </cell>
          <cell r="AI41">
            <v>0</v>
          </cell>
        </row>
        <row r="42">
          <cell r="B42">
            <v>4</v>
          </cell>
          <cell r="C42" t="str">
            <v>017</v>
          </cell>
          <cell r="D42" t="str">
            <v>1231</v>
          </cell>
          <cell r="E42" t="str">
            <v>Indemnité forfaitaire de congé, Personnel OEB</v>
          </cell>
          <cell r="F42">
            <v>0</v>
          </cell>
          <cell r="L42">
            <v>0</v>
          </cell>
          <cell r="P42">
            <v>0</v>
          </cell>
          <cell r="V42">
            <v>0</v>
          </cell>
          <cell r="AI42">
            <v>0</v>
          </cell>
        </row>
        <row r="43">
          <cell r="B43">
            <v>5</v>
          </cell>
          <cell r="C43" t="str">
            <v>017</v>
          </cell>
          <cell r="D43" t="str">
            <v>1241</v>
          </cell>
          <cell r="E43" t="str">
            <v>Indemnité de logement, Personnel OEB</v>
          </cell>
          <cell r="F43">
            <v>0</v>
          </cell>
          <cell r="L43">
            <v>0</v>
          </cell>
          <cell r="P43">
            <v>0</v>
          </cell>
          <cell r="V43">
            <v>0</v>
          </cell>
          <cell r="AI43">
            <v>0</v>
          </cell>
        </row>
        <row r="44">
          <cell r="B44">
            <v>6</v>
          </cell>
          <cell r="C44" t="str">
            <v>017</v>
          </cell>
          <cell r="D44" t="str">
            <v>1251</v>
          </cell>
          <cell r="E44" t="str">
            <v>Aide au logement, Personnel OEB</v>
          </cell>
          <cell r="F44">
            <v>0</v>
          </cell>
          <cell r="L44">
            <v>0</v>
          </cell>
          <cell r="P44">
            <v>0</v>
          </cell>
          <cell r="V44">
            <v>0</v>
          </cell>
          <cell r="AI44">
            <v>0</v>
          </cell>
        </row>
        <row r="45">
          <cell r="B45">
            <v>7</v>
          </cell>
          <cell r="C45" t="str">
            <v>017</v>
          </cell>
          <cell r="D45" t="str">
            <v>1271</v>
          </cell>
          <cell r="E45" t="str">
            <v>Prime de responsabilité, de rendement et d'asséduité, Personnel OEB</v>
          </cell>
          <cell r="F45">
            <v>0</v>
          </cell>
          <cell r="L45">
            <v>0</v>
          </cell>
          <cell r="P45">
            <v>0</v>
          </cell>
          <cell r="V45">
            <v>0</v>
          </cell>
          <cell r="AI45">
            <v>0</v>
          </cell>
        </row>
        <row r="46">
          <cell r="B46">
            <v>8</v>
          </cell>
          <cell r="C46" t="str">
            <v>017</v>
          </cell>
          <cell r="D46" t="str">
            <v>1281</v>
          </cell>
          <cell r="E46" t="str">
            <v>Charges familiales, Mariages, Naissances, Décès, a. f... OEB</v>
          </cell>
          <cell r="F46">
            <v>0</v>
          </cell>
          <cell r="L46">
            <v>0</v>
          </cell>
          <cell r="P46">
            <v>0</v>
          </cell>
          <cell r="V46">
            <v>0</v>
          </cell>
          <cell r="AI46">
            <v>0</v>
          </cell>
        </row>
        <row r="47">
          <cell r="B47">
            <v>9</v>
          </cell>
          <cell r="C47" t="str">
            <v>017</v>
          </cell>
          <cell r="D47" t="str">
            <v>1291</v>
          </cell>
          <cell r="E47" t="str">
            <v>Autres avantages et indemnités diverses scolarité, voy mecque etc., Personnel OEB</v>
          </cell>
          <cell r="F47">
            <v>0</v>
          </cell>
          <cell r="L47">
            <v>0</v>
          </cell>
          <cell r="P47">
            <v>0</v>
          </cell>
          <cell r="V47">
            <v>0</v>
          </cell>
          <cell r="AI47">
            <v>0</v>
          </cell>
        </row>
        <row r="48">
          <cell r="B48">
            <v>1</v>
          </cell>
          <cell r="C48" t="str">
            <v>018</v>
          </cell>
          <cell r="D48" t="str">
            <v>1104</v>
          </cell>
          <cell r="E48" t="str">
            <v>Salaires et appointements personnel appoints</v>
          </cell>
          <cell r="F48">
            <v>0</v>
          </cell>
          <cell r="L48">
            <v>0</v>
          </cell>
          <cell r="P48">
            <v>0</v>
          </cell>
          <cell r="V48">
            <v>0</v>
          </cell>
          <cell r="AI48">
            <v>0</v>
          </cell>
        </row>
        <row r="49">
          <cell r="B49">
            <v>1</v>
          </cell>
          <cell r="C49" t="str">
            <v>019</v>
          </cell>
          <cell r="D49" t="str">
            <v>1204</v>
          </cell>
          <cell r="E49" t="str">
            <v>Frais médicaux et pharmaceutiques exterieurs, prises en charge appts</v>
          </cell>
          <cell r="F49">
            <v>0</v>
          </cell>
          <cell r="L49">
            <v>0</v>
          </cell>
          <cell r="P49">
            <v>0</v>
          </cell>
          <cell r="V49">
            <v>0</v>
          </cell>
          <cell r="AI49">
            <v>0</v>
          </cell>
        </row>
        <row r="50">
          <cell r="B50">
            <v>2</v>
          </cell>
          <cell r="C50" t="str">
            <v>019</v>
          </cell>
          <cell r="D50" t="str">
            <v>1214</v>
          </cell>
          <cell r="E50" t="str">
            <v>Salaires des congés payés, Maladie, Maternité, Accidents app.</v>
          </cell>
          <cell r="F50">
            <v>0</v>
          </cell>
          <cell r="L50">
            <v>0</v>
          </cell>
          <cell r="P50">
            <v>0</v>
          </cell>
          <cell r="V50">
            <v>0</v>
          </cell>
          <cell r="AI50">
            <v>0</v>
          </cell>
        </row>
        <row r="51">
          <cell r="B51">
            <v>3</v>
          </cell>
          <cell r="C51" t="str">
            <v>019</v>
          </cell>
          <cell r="D51" t="str">
            <v>1224</v>
          </cell>
          <cell r="E51" t="str">
            <v>Indemnités d'éloignement et de transport, Personnel appoints</v>
          </cell>
          <cell r="F51">
            <v>0</v>
          </cell>
          <cell r="L51">
            <v>0</v>
          </cell>
          <cell r="P51">
            <v>0</v>
          </cell>
          <cell r="V51">
            <v>0</v>
          </cell>
          <cell r="AI51">
            <v>0</v>
          </cell>
        </row>
        <row r="52">
          <cell r="B52">
            <v>4</v>
          </cell>
          <cell r="C52" t="str">
            <v>019</v>
          </cell>
          <cell r="D52" t="str">
            <v>1234</v>
          </cell>
          <cell r="E52" t="str">
            <v>Iindemnité forfaitaire de congé, Personnel appoints</v>
          </cell>
          <cell r="F52">
            <v>0</v>
          </cell>
          <cell r="L52">
            <v>0</v>
          </cell>
          <cell r="P52">
            <v>0</v>
          </cell>
          <cell r="V52">
            <v>0</v>
          </cell>
          <cell r="AI52">
            <v>0</v>
          </cell>
        </row>
        <row r="53">
          <cell r="B53">
            <v>5</v>
          </cell>
          <cell r="C53" t="str">
            <v>019</v>
          </cell>
          <cell r="D53" t="str">
            <v>1244</v>
          </cell>
          <cell r="E53" t="str">
            <v>Indemnité de logement, Personnel appoints</v>
          </cell>
          <cell r="F53">
            <v>0</v>
          </cell>
          <cell r="L53">
            <v>0</v>
          </cell>
          <cell r="P53">
            <v>0</v>
          </cell>
          <cell r="V53">
            <v>0</v>
          </cell>
          <cell r="AI53">
            <v>0</v>
          </cell>
        </row>
        <row r="54">
          <cell r="B54">
            <v>6</v>
          </cell>
          <cell r="C54" t="str">
            <v>019</v>
          </cell>
          <cell r="D54" t="str">
            <v>1254</v>
          </cell>
          <cell r="E54" t="str">
            <v>Aide au logement, Personnel appoints</v>
          </cell>
          <cell r="F54">
            <v>0</v>
          </cell>
          <cell r="L54">
            <v>0</v>
          </cell>
          <cell r="P54">
            <v>0</v>
          </cell>
          <cell r="V54">
            <v>0</v>
          </cell>
          <cell r="AI54">
            <v>0</v>
          </cell>
        </row>
        <row r="55">
          <cell r="B55">
            <v>7</v>
          </cell>
          <cell r="C55" t="str">
            <v>019</v>
          </cell>
          <cell r="D55" t="str">
            <v>1274</v>
          </cell>
          <cell r="E55" t="str">
            <v>Prime de responsabilité, de rendement et d'asséduité, Personnel appoints</v>
          </cell>
          <cell r="F55">
            <v>0</v>
          </cell>
          <cell r="L55">
            <v>0</v>
          </cell>
          <cell r="P55">
            <v>0</v>
          </cell>
          <cell r="V55">
            <v>0</v>
          </cell>
          <cell r="AI55">
            <v>0</v>
          </cell>
        </row>
        <row r="56">
          <cell r="B56">
            <v>8</v>
          </cell>
          <cell r="C56" t="str">
            <v>019</v>
          </cell>
          <cell r="D56" t="str">
            <v>1284</v>
          </cell>
          <cell r="E56" t="str">
            <v>Charges fami. mariage, naiss.,decès, a. f... appoints</v>
          </cell>
          <cell r="F56">
            <v>0</v>
          </cell>
          <cell r="L56">
            <v>0</v>
          </cell>
          <cell r="P56">
            <v>0</v>
          </cell>
          <cell r="V56">
            <v>0</v>
          </cell>
          <cell r="AI56">
            <v>0</v>
          </cell>
        </row>
        <row r="57">
          <cell r="B57">
            <v>9</v>
          </cell>
          <cell r="C57" t="str">
            <v>019</v>
          </cell>
          <cell r="D57" t="str">
            <v>1294</v>
          </cell>
          <cell r="E57" t="str">
            <v>Autres avan. et indemnités diverses scolarité, voy mecque etc., Personnel app.</v>
          </cell>
          <cell r="F57">
            <v>0</v>
          </cell>
          <cell r="L57">
            <v>0</v>
          </cell>
          <cell r="P57">
            <v>0</v>
          </cell>
          <cell r="V57">
            <v>0</v>
          </cell>
          <cell r="AI57">
            <v>0</v>
          </cell>
        </row>
        <row r="58">
          <cell r="B58">
            <v>1</v>
          </cell>
          <cell r="C58" t="str">
            <v>020</v>
          </cell>
          <cell r="D58" t="str">
            <v>1105</v>
          </cell>
          <cell r="E58" t="str">
            <v>Salaires et appointements personnel OEM</v>
          </cell>
          <cell r="F58">
            <v>0</v>
          </cell>
          <cell r="G58">
            <v>199008</v>
          </cell>
          <cell r="L58">
            <v>199008</v>
          </cell>
          <cell r="P58">
            <v>0</v>
          </cell>
          <cell r="V58">
            <v>0</v>
          </cell>
          <cell r="AI58">
            <v>199008</v>
          </cell>
        </row>
        <row r="59">
          <cell r="B59">
            <v>1</v>
          </cell>
          <cell r="C59" t="str">
            <v>021</v>
          </cell>
          <cell r="D59" t="str">
            <v>1205</v>
          </cell>
          <cell r="E59" t="str">
            <v>Frais médicaux et pharmaceutiques, exterieurs prises en chargeOEM</v>
          </cell>
          <cell r="F59">
            <v>0</v>
          </cell>
          <cell r="L59">
            <v>0</v>
          </cell>
          <cell r="P59">
            <v>0</v>
          </cell>
          <cell r="V59">
            <v>0</v>
          </cell>
          <cell r="AI59">
            <v>0</v>
          </cell>
        </row>
        <row r="60">
          <cell r="B60">
            <v>2</v>
          </cell>
          <cell r="C60" t="str">
            <v>021</v>
          </cell>
          <cell r="D60" t="str">
            <v>1215</v>
          </cell>
          <cell r="E60" t="str">
            <v>Salaires des congés payés, Maladie, Maternité, Accidents, Personnel OEM</v>
          </cell>
          <cell r="F60">
            <v>0</v>
          </cell>
          <cell r="L60">
            <v>0</v>
          </cell>
          <cell r="P60">
            <v>0</v>
          </cell>
          <cell r="V60">
            <v>0</v>
          </cell>
          <cell r="AI60">
            <v>0</v>
          </cell>
        </row>
        <row r="61">
          <cell r="B61">
            <v>3</v>
          </cell>
          <cell r="C61" t="str">
            <v>021</v>
          </cell>
          <cell r="D61" t="str">
            <v>1225</v>
          </cell>
          <cell r="E61" t="str">
            <v>Indemnités d'éloignement et de transport, Personnel OEM</v>
          </cell>
          <cell r="F61">
            <v>0</v>
          </cell>
          <cell r="L61">
            <v>0</v>
          </cell>
          <cell r="P61">
            <v>0</v>
          </cell>
          <cell r="V61">
            <v>0</v>
          </cell>
          <cell r="AI61">
            <v>0</v>
          </cell>
        </row>
        <row r="62">
          <cell r="B62">
            <v>4</v>
          </cell>
          <cell r="C62" t="str">
            <v>021</v>
          </cell>
          <cell r="D62" t="str">
            <v>1235</v>
          </cell>
          <cell r="E62" t="str">
            <v>Indemnité forfaitaire de congé, Personnel OEM</v>
          </cell>
          <cell r="F62">
            <v>0</v>
          </cell>
          <cell r="L62">
            <v>0</v>
          </cell>
          <cell r="P62">
            <v>0</v>
          </cell>
          <cell r="V62">
            <v>0</v>
          </cell>
          <cell r="AI62">
            <v>0</v>
          </cell>
        </row>
        <row r="63">
          <cell r="B63">
            <v>5</v>
          </cell>
          <cell r="C63" t="str">
            <v>021</v>
          </cell>
          <cell r="D63" t="str">
            <v>1245</v>
          </cell>
          <cell r="E63" t="str">
            <v>Indemnité de logement, Personnel OEM</v>
          </cell>
          <cell r="F63">
            <v>0</v>
          </cell>
          <cell r="L63">
            <v>0</v>
          </cell>
          <cell r="P63">
            <v>0</v>
          </cell>
          <cell r="V63">
            <v>0</v>
          </cell>
          <cell r="AI63">
            <v>0</v>
          </cell>
        </row>
        <row r="64">
          <cell r="B64">
            <v>6</v>
          </cell>
          <cell r="C64" t="str">
            <v>021</v>
          </cell>
          <cell r="D64" t="str">
            <v>1255</v>
          </cell>
          <cell r="E64" t="str">
            <v>Aide au logement, Personnel OEM</v>
          </cell>
          <cell r="F64">
            <v>0</v>
          </cell>
          <cell r="L64">
            <v>0</v>
          </cell>
          <cell r="P64">
            <v>0</v>
          </cell>
          <cell r="V64">
            <v>0</v>
          </cell>
          <cell r="AI64">
            <v>0</v>
          </cell>
        </row>
        <row r="65">
          <cell r="B65">
            <v>7</v>
          </cell>
          <cell r="C65" t="str">
            <v>021</v>
          </cell>
          <cell r="D65" t="str">
            <v>1275</v>
          </cell>
          <cell r="E65" t="str">
            <v>Prime de responsabilité, de rendement et d'asséduité, Personnel OEM</v>
          </cell>
          <cell r="F65">
            <v>0</v>
          </cell>
          <cell r="L65">
            <v>0</v>
          </cell>
          <cell r="P65">
            <v>0</v>
          </cell>
          <cell r="V65">
            <v>0</v>
          </cell>
          <cell r="AI65">
            <v>0</v>
          </cell>
        </row>
        <row r="66">
          <cell r="B66">
            <v>8</v>
          </cell>
          <cell r="C66" t="str">
            <v>021</v>
          </cell>
          <cell r="D66" t="str">
            <v>1285</v>
          </cell>
          <cell r="E66" t="str">
            <v>Charges fami. mariage, naiss.,decès, a. f... OEM</v>
          </cell>
          <cell r="F66">
            <v>0</v>
          </cell>
          <cell r="L66">
            <v>0</v>
          </cell>
          <cell r="P66">
            <v>0</v>
          </cell>
          <cell r="V66">
            <v>0</v>
          </cell>
          <cell r="AI66">
            <v>0</v>
          </cell>
        </row>
        <row r="67">
          <cell r="B67">
            <v>9</v>
          </cell>
          <cell r="C67" t="str">
            <v>021</v>
          </cell>
          <cell r="D67" t="str">
            <v>1295</v>
          </cell>
          <cell r="E67" t="str">
            <v>Autres avantages et indemnités diverses scolarité, voy mecque etc., Personnel OEM</v>
          </cell>
          <cell r="F67">
            <v>0</v>
          </cell>
          <cell r="L67">
            <v>0</v>
          </cell>
          <cell r="P67">
            <v>0</v>
          </cell>
          <cell r="V67">
            <v>0</v>
          </cell>
          <cell r="AI67">
            <v>0</v>
          </cell>
        </row>
        <row r="68">
          <cell r="B68">
            <v>1</v>
          </cell>
          <cell r="C68" t="str">
            <v>022</v>
          </cell>
          <cell r="D68" t="str">
            <v>1106</v>
          </cell>
          <cell r="E68" t="str">
            <v>Salaires et appointements personnel TAMCA</v>
          </cell>
          <cell r="F68">
            <v>0</v>
          </cell>
          <cell r="G68">
            <v>92592</v>
          </cell>
          <cell r="H68">
            <v>49500</v>
          </cell>
          <cell r="I68">
            <v>12612</v>
          </cell>
          <cell r="J68">
            <v>36960</v>
          </cell>
          <cell r="K68">
            <v>49764</v>
          </cell>
          <cell r="L68">
            <v>241428</v>
          </cell>
          <cell r="M68">
            <v>45228</v>
          </cell>
          <cell r="N68">
            <v>544800</v>
          </cell>
          <cell r="O68">
            <v>494100</v>
          </cell>
          <cell r="P68">
            <v>1038900</v>
          </cell>
          <cell r="R68">
            <v>77784</v>
          </cell>
          <cell r="S68">
            <v>396204</v>
          </cell>
          <cell r="V68">
            <v>0</v>
          </cell>
          <cell r="W68">
            <v>65580</v>
          </cell>
          <cell r="Y68">
            <v>125568</v>
          </cell>
          <cell r="Z68">
            <v>128832</v>
          </cell>
          <cell r="AA68">
            <v>169620</v>
          </cell>
          <cell r="AB68">
            <v>66264</v>
          </cell>
          <cell r="AE68">
            <v>58368</v>
          </cell>
          <cell r="AF68">
            <v>69084</v>
          </cell>
          <cell r="AG68">
            <v>166380</v>
          </cell>
          <cell r="AI68">
            <v>2649240</v>
          </cell>
        </row>
        <row r="69">
          <cell r="B69">
            <v>1</v>
          </cell>
          <cell r="C69" t="str">
            <v>023</v>
          </cell>
          <cell r="D69" t="str">
            <v>1206</v>
          </cell>
          <cell r="E69" t="str">
            <v>Frais médicaux et pharmaceutiques, exterieurs prises en charge TAMCA</v>
          </cell>
          <cell r="F69">
            <v>0</v>
          </cell>
          <cell r="G69">
            <v>25704</v>
          </cell>
          <cell r="H69">
            <v>7044</v>
          </cell>
          <cell r="I69">
            <v>5400</v>
          </cell>
          <cell r="J69">
            <v>4056</v>
          </cell>
          <cell r="K69">
            <v>6288</v>
          </cell>
          <cell r="L69">
            <v>48492</v>
          </cell>
          <cell r="M69">
            <v>5400</v>
          </cell>
          <cell r="N69">
            <v>216168</v>
          </cell>
          <cell r="O69">
            <v>171144</v>
          </cell>
          <cell r="P69">
            <v>387312</v>
          </cell>
          <cell r="R69">
            <v>15108</v>
          </cell>
          <cell r="S69">
            <v>111228</v>
          </cell>
          <cell r="V69">
            <v>0</v>
          </cell>
          <cell r="W69">
            <v>20028</v>
          </cell>
          <cell r="Y69">
            <v>35472</v>
          </cell>
          <cell r="Z69">
            <v>49358</v>
          </cell>
          <cell r="AA69">
            <v>32760</v>
          </cell>
          <cell r="AB69">
            <v>31140</v>
          </cell>
          <cell r="AE69">
            <v>28056</v>
          </cell>
          <cell r="AF69">
            <v>23112</v>
          </cell>
          <cell r="AG69">
            <v>58692</v>
          </cell>
          <cell r="AI69">
            <v>846158</v>
          </cell>
        </row>
        <row r="70">
          <cell r="B70">
            <v>2</v>
          </cell>
          <cell r="C70" t="str">
            <v>023</v>
          </cell>
          <cell r="D70" t="str">
            <v>1216</v>
          </cell>
          <cell r="E70" t="str">
            <v>Salaires des congés payés, Maladie, Maternité, Accidents, Personnel TAMCA</v>
          </cell>
          <cell r="F70">
            <v>0</v>
          </cell>
          <cell r="L70">
            <v>0</v>
          </cell>
          <cell r="P70">
            <v>0</v>
          </cell>
          <cell r="V70">
            <v>0</v>
          </cell>
          <cell r="AI70">
            <v>0</v>
          </cell>
        </row>
        <row r="71">
          <cell r="B71">
            <v>3</v>
          </cell>
          <cell r="C71" t="str">
            <v>023</v>
          </cell>
          <cell r="D71" t="str">
            <v>1226</v>
          </cell>
          <cell r="E71" t="str">
            <v>Indemnités d'éloignement et de transport, Personnel TAMCA</v>
          </cell>
          <cell r="F71">
            <v>0</v>
          </cell>
          <cell r="L71">
            <v>0</v>
          </cell>
          <cell r="P71">
            <v>0</v>
          </cell>
          <cell r="V71">
            <v>0</v>
          </cell>
          <cell r="AI71">
            <v>0</v>
          </cell>
        </row>
        <row r="72">
          <cell r="B72">
            <v>4</v>
          </cell>
          <cell r="C72" t="str">
            <v>023</v>
          </cell>
          <cell r="D72" t="str">
            <v>1236</v>
          </cell>
          <cell r="E72" t="str">
            <v>Indemnité forfaitaire de congé, Personnel TAMCA</v>
          </cell>
          <cell r="F72">
            <v>0</v>
          </cell>
          <cell r="L72">
            <v>0</v>
          </cell>
          <cell r="P72">
            <v>0</v>
          </cell>
          <cell r="V72">
            <v>0</v>
          </cell>
          <cell r="AI72">
            <v>0</v>
          </cell>
        </row>
        <row r="73">
          <cell r="B73">
            <v>5</v>
          </cell>
          <cell r="C73" t="str">
            <v>023</v>
          </cell>
          <cell r="D73" t="str">
            <v>1246</v>
          </cell>
          <cell r="E73" t="str">
            <v>Indemnité de logement, Personnel TAMCA</v>
          </cell>
          <cell r="F73">
            <v>0</v>
          </cell>
          <cell r="L73">
            <v>0</v>
          </cell>
          <cell r="P73">
            <v>0</v>
          </cell>
          <cell r="V73">
            <v>0</v>
          </cell>
          <cell r="AI73">
            <v>0</v>
          </cell>
        </row>
        <row r="74">
          <cell r="B74">
            <v>6</v>
          </cell>
          <cell r="C74" t="str">
            <v>023</v>
          </cell>
          <cell r="D74" t="str">
            <v>1256</v>
          </cell>
          <cell r="E74" t="str">
            <v>Aide au logement, Personnel TAMCA</v>
          </cell>
          <cell r="F74">
            <v>0</v>
          </cell>
          <cell r="L74">
            <v>0</v>
          </cell>
          <cell r="P74">
            <v>0</v>
          </cell>
          <cell r="V74">
            <v>0</v>
          </cell>
          <cell r="AI74">
            <v>0</v>
          </cell>
        </row>
        <row r="75">
          <cell r="B75">
            <v>7</v>
          </cell>
          <cell r="C75" t="str">
            <v>023</v>
          </cell>
          <cell r="D75" t="str">
            <v>1276</v>
          </cell>
          <cell r="E75" t="str">
            <v>Prime de responsabilité, de rendement et d'asséduité, Personnel TAMCA</v>
          </cell>
          <cell r="F75">
            <v>0</v>
          </cell>
          <cell r="L75">
            <v>0</v>
          </cell>
          <cell r="P75">
            <v>0</v>
          </cell>
          <cell r="V75">
            <v>0</v>
          </cell>
          <cell r="AI75">
            <v>0</v>
          </cell>
        </row>
        <row r="76">
          <cell r="B76">
            <v>8</v>
          </cell>
          <cell r="C76" t="str">
            <v>023</v>
          </cell>
          <cell r="D76" t="str">
            <v>1286</v>
          </cell>
          <cell r="E76" t="str">
            <v>Charges fami. mariage, naiss.,decès, a. f... TAMCA</v>
          </cell>
          <cell r="F76">
            <v>0</v>
          </cell>
          <cell r="L76">
            <v>0</v>
          </cell>
          <cell r="P76">
            <v>0</v>
          </cell>
          <cell r="V76">
            <v>0</v>
          </cell>
          <cell r="AI76">
            <v>0</v>
          </cell>
        </row>
        <row r="77">
          <cell r="B77">
            <v>9</v>
          </cell>
          <cell r="C77" t="str">
            <v>023</v>
          </cell>
          <cell r="D77" t="str">
            <v>1296</v>
          </cell>
          <cell r="E77" t="str">
            <v>Autres avantages et indemnites diverses, Scolarité, Mecque etc.., Personnel TAMCA</v>
          </cell>
          <cell r="F77">
            <v>0</v>
          </cell>
          <cell r="L77">
            <v>0</v>
          </cell>
          <cell r="P77">
            <v>0</v>
          </cell>
          <cell r="V77">
            <v>0</v>
          </cell>
          <cell r="AI77">
            <v>0</v>
          </cell>
        </row>
        <row r="78">
          <cell r="B78">
            <v>1</v>
          </cell>
          <cell r="C78" t="str">
            <v>030</v>
          </cell>
          <cell r="D78" t="str">
            <v>1749</v>
          </cell>
          <cell r="E78" t="str">
            <v>Bourses et frais de formation personnel OE à l'OCP</v>
          </cell>
          <cell r="F78">
            <v>0</v>
          </cell>
          <cell r="L78">
            <v>0</v>
          </cell>
          <cell r="P78">
            <v>0</v>
          </cell>
          <cell r="V78">
            <v>0</v>
          </cell>
          <cell r="AI78">
            <v>0</v>
          </cell>
        </row>
        <row r="79">
          <cell r="B79">
            <v>1</v>
          </cell>
          <cell r="C79" t="str">
            <v>031</v>
          </cell>
          <cell r="D79" t="str">
            <v>1759</v>
          </cell>
          <cell r="E79" t="str">
            <v>Bourses et frais de formation personnel TAMCA à l'OCP</v>
          </cell>
          <cell r="F79">
            <v>0</v>
          </cell>
          <cell r="L79">
            <v>0</v>
          </cell>
          <cell r="P79">
            <v>0</v>
          </cell>
          <cell r="V79">
            <v>0</v>
          </cell>
          <cell r="AI79">
            <v>0</v>
          </cell>
        </row>
        <row r="80">
          <cell r="B80">
            <v>1</v>
          </cell>
          <cell r="C80" t="str">
            <v>032</v>
          </cell>
          <cell r="D80" t="str">
            <v>1769</v>
          </cell>
          <cell r="E80" t="str">
            <v>Bourses et frais de formation à l'exterieur, Personnel OE</v>
          </cell>
          <cell r="F80">
            <v>0</v>
          </cell>
          <cell r="L80">
            <v>0</v>
          </cell>
          <cell r="P80">
            <v>0</v>
          </cell>
          <cell r="V80">
            <v>0</v>
          </cell>
          <cell r="AI80">
            <v>0</v>
          </cell>
        </row>
        <row r="81">
          <cell r="B81">
            <v>1</v>
          </cell>
          <cell r="C81" t="str">
            <v>033</v>
          </cell>
          <cell r="D81" t="str">
            <v>1779</v>
          </cell>
          <cell r="E81" t="str">
            <v>Bourses et frais de formation personnel TAMCA à l'exterieur</v>
          </cell>
          <cell r="F81">
            <v>0</v>
          </cell>
          <cell r="L81">
            <v>0</v>
          </cell>
          <cell r="P81">
            <v>0</v>
          </cell>
          <cell r="V81">
            <v>0</v>
          </cell>
          <cell r="AI81">
            <v>0</v>
          </cell>
        </row>
        <row r="82">
          <cell r="B82">
            <v>1</v>
          </cell>
          <cell r="C82" t="str">
            <v>035</v>
          </cell>
          <cell r="D82" t="str">
            <v>1320</v>
          </cell>
          <cell r="E82" t="str">
            <v>Part patronale OS 824 OET</v>
          </cell>
          <cell r="F82">
            <v>22272</v>
          </cell>
          <cell r="G82">
            <v>14258</v>
          </cell>
          <cell r="H82">
            <v>7920</v>
          </cell>
          <cell r="I82">
            <v>20172</v>
          </cell>
          <cell r="J82">
            <v>16932</v>
          </cell>
          <cell r="K82">
            <v>11448</v>
          </cell>
          <cell r="L82">
            <v>93002</v>
          </cell>
          <cell r="M82">
            <v>19236</v>
          </cell>
          <cell r="N82">
            <v>101328</v>
          </cell>
          <cell r="O82">
            <v>102816</v>
          </cell>
          <cell r="P82">
            <v>204144</v>
          </cell>
          <cell r="R82">
            <v>78720</v>
          </cell>
          <cell r="S82">
            <v>30324</v>
          </cell>
          <cell r="V82">
            <v>0</v>
          </cell>
          <cell r="W82">
            <v>15048</v>
          </cell>
          <cell r="X82">
            <v>4068</v>
          </cell>
          <cell r="Y82">
            <v>47460</v>
          </cell>
          <cell r="Z82">
            <v>13776</v>
          </cell>
          <cell r="AA82">
            <v>41796</v>
          </cell>
          <cell r="AB82">
            <v>36960</v>
          </cell>
          <cell r="AC82">
            <v>2568</v>
          </cell>
          <cell r="AD82">
            <v>12324</v>
          </cell>
          <cell r="AE82">
            <v>3584</v>
          </cell>
          <cell r="AF82">
            <v>324</v>
          </cell>
          <cell r="AG82">
            <v>44976</v>
          </cell>
          <cell r="AH82">
            <v>59784</v>
          </cell>
          <cell r="AI82">
            <v>708094</v>
          </cell>
        </row>
        <row r="83">
          <cell r="B83">
            <v>2</v>
          </cell>
          <cell r="C83" t="str">
            <v>035</v>
          </cell>
          <cell r="D83" t="str">
            <v>1321</v>
          </cell>
          <cell r="E83" t="str">
            <v>Part patronale OS 824 OEB</v>
          </cell>
          <cell r="F83">
            <v>0</v>
          </cell>
          <cell r="L83">
            <v>0</v>
          </cell>
          <cell r="P83">
            <v>0</v>
          </cell>
          <cell r="V83">
            <v>0</v>
          </cell>
          <cell r="AI83">
            <v>0</v>
          </cell>
        </row>
        <row r="84">
          <cell r="B84">
            <v>3</v>
          </cell>
          <cell r="C84" t="str">
            <v>035</v>
          </cell>
          <cell r="D84" t="str">
            <v>1322</v>
          </cell>
          <cell r="E84" t="str">
            <v>Part patronale OS 824 OEJ</v>
          </cell>
          <cell r="F84">
            <v>0</v>
          </cell>
          <cell r="L84">
            <v>0</v>
          </cell>
          <cell r="P84">
            <v>0</v>
          </cell>
          <cell r="V84">
            <v>0</v>
          </cell>
          <cell r="AI84">
            <v>0</v>
          </cell>
        </row>
        <row r="85">
          <cell r="B85">
            <v>4</v>
          </cell>
          <cell r="C85" t="str">
            <v>035</v>
          </cell>
          <cell r="D85" t="str">
            <v>1323</v>
          </cell>
          <cell r="E85" t="str">
            <v>Part patronale OS 824 OEF</v>
          </cell>
          <cell r="F85">
            <v>0</v>
          </cell>
          <cell r="L85">
            <v>0</v>
          </cell>
          <cell r="P85">
            <v>0</v>
          </cell>
          <cell r="V85">
            <v>0</v>
          </cell>
          <cell r="AI85">
            <v>0</v>
          </cell>
        </row>
        <row r="86">
          <cell r="B86">
            <v>5</v>
          </cell>
          <cell r="C86" t="str">
            <v>035</v>
          </cell>
          <cell r="D86" t="str">
            <v>1324</v>
          </cell>
          <cell r="E86" t="str">
            <v>Part patronale OS 824 appoints</v>
          </cell>
          <cell r="F86">
            <v>0</v>
          </cell>
          <cell r="L86">
            <v>0</v>
          </cell>
          <cell r="P86">
            <v>0</v>
          </cell>
          <cell r="V86">
            <v>0</v>
          </cell>
          <cell r="AI86">
            <v>0</v>
          </cell>
        </row>
        <row r="87">
          <cell r="B87">
            <v>6</v>
          </cell>
          <cell r="C87" t="str">
            <v>035</v>
          </cell>
          <cell r="D87" t="str">
            <v>1325</v>
          </cell>
          <cell r="E87" t="str">
            <v>Part patronale OS 824, Personnel OEM</v>
          </cell>
          <cell r="F87">
            <v>0</v>
          </cell>
          <cell r="L87">
            <v>0</v>
          </cell>
          <cell r="P87">
            <v>0</v>
          </cell>
          <cell r="V87">
            <v>0</v>
          </cell>
          <cell r="AI87">
            <v>0</v>
          </cell>
        </row>
        <row r="88">
          <cell r="B88">
            <v>1</v>
          </cell>
          <cell r="C88" t="str">
            <v>036</v>
          </cell>
          <cell r="D88" t="str">
            <v>1330</v>
          </cell>
          <cell r="E88" t="str">
            <v>Part patronale Recore OS 824, Personnel OET</v>
          </cell>
          <cell r="F88">
            <v>11976</v>
          </cell>
          <cell r="G88">
            <v>5208</v>
          </cell>
          <cell r="H88">
            <v>6132</v>
          </cell>
          <cell r="I88">
            <v>8520</v>
          </cell>
          <cell r="J88">
            <v>13740</v>
          </cell>
          <cell r="K88">
            <v>9984</v>
          </cell>
          <cell r="L88">
            <v>55560</v>
          </cell>
          <cell r="M88">
            <v>10656</v>
          </cell>
          <cell r="N88">
            <v>96240</v>
          </cell>
          <cell r="O88">
            <v>38004</v>
          </cell>
          <cell r="P88">
            <v>134244</v>
          </cell>
          <cell r="R88">
            <v>39108</v>
          </cell>
          <cell r="S88">
            <v>11040</v>
          </cell>
          <cell r="V88">
            <v>0</v>
          </cell>
          <cell r="W88">
            <v>13092</v>
          </cell>
          <cell r="X88">
            <v>252</v>
          </cell>
          <cell r="Y88">
            <v>10632</v>
          </cell>
          <cell r="Z88">
            <v>14700</v>
          </cell>
          <cell r="AA88">
            <v>10044</v>
          </cell>
          <cell r="AB88">
            <v>20952</v>
          </cell>
          <cell r="AC88">
            <v>420</v>
          </cell>
          <cell r="AD88">
            <v>2004</v>
          </cell>
          <cell r="AE88">
            <v>384</v>
          </cell>
          <cell r="AF88">
            <v>36</v>
          </cell>
          <cell r="AG88">
            <v>13848</v>
          </cell>
          <cell r="AH88">
            <v>29352</v>
          </cell>
          <cell r="AI88">
            <v>366324</v>
          </cell>
        </row>
        <row r="89">
          <cell r="B89">
            <v>2</v>
          </cell>
          <cell r="C89" t="str">
            <v>036</v>
          </cell>
          <cell r="D89" t="str">
            <v>1331</v>
          </cell>
          <cell r="E89" t="str">
            <v>Part patronale Recore OS 824, Personnel OEB</v>
          </cell>
          <cell r="F89">
            <v>0</v>
          </cell>
          <cell r="L89">
            <v>0</v>
          </cell>
          <cell r="P89">
            <v>0</v>
          </cell>
          <cell r="V89">
            <v>0</v>
          </cell>
          <cell r="AI89">
            <v>0</v>
          </cell>
        </row>
        <row r="90">
          <cell r="B90">
            <v>3</v>
          </cell>
          <cell r="C90" t="str">
            <v>036</v>
          </cell>
          <cell r="D90" t="str">
            <v>1332</v>
          </cell>
          <cell r="E90" t="str">
            <v>Part patronale Recore OS 824, Personnel OEJ</v>
          </cell>
          <cell r="F90">
            <v>0</v>
          </cell>
          <cell r="L90">
            <v>0</v>
          </cell>
          <cell r="P90">
            <v>0</v>
          </cell>
          <cell r="V90">
            <v>0</v>
          </cell>
          <cell r="AI90">
            <v>0</v>
          </cell>
        </row>
        <row r="91">
          <cell r="B91">
            <v>4</v>
          </cell>
          <cell r="C91" t="str">
            <v>036</v>
          </cell>
          <cell r="D91" t="str">
            <v>1333</v>
          </cell>
          <cell r="E91" t="str">
            <v>Part patronale Recore OS 824, Personnel OEF</v>
          </cell>
          <cell r="F91">
            <v>0</v>
          </cell>
          <cell r="L91">
            <v>0</v>
          </cell>
          <cell r="P91">
            <v>0</v>
          </cell>
          <cell r="V91">
            <v>0</v>
          </cell>
          <cell r="AI91">
            <v>0</v>
          </cell>
        </row>
        <row r="92">
          <cell r="B92">
            <v>5</v>
          </cell>
          <cell r="C92" t="str">
            <v>036</v>
          </cell>
          <cell r="D92" t="str">
            <v>1334</v>
          </cell>
          <cell r="E92" t="str">
            <v>Part patronale Recore OS 824, Personnel appoints</v>
          </cell>
          <cell r="F92">
            <v>0</v>
          </cell>
          <cell r="L92">
            <v>0</v>
          </cell>
          <cell r="P92">
            <v>0</v>
          </cell>
          <cell r="V92">
            <v>0</v>
          </cell>
          <cell r="AI92">
            <v>0</v>
          </cell>
        </row>
        <row r="93">
          <cell r="B93">
            <v>6</v>
          </cell>
          <cell r="C93" t="str">
            <v>036</v>
          </cell>
          <cell r="D93" t="str">
            <v>1335</v>
          </cell>
          <cell r="E93" t="str">
            <v>Part patronale Recore OS 824, Personnel OEM</v>
          </cell>
          <cell r="F93">
            <v>0</v>
          </cell>
          <cell r="L93">
            <v>0</v>
          </cell>
          <cell r="P93">
            <v>0</v>
          </cell>
          <cell r="V93">
            <v>0</v>
          </cell>
          <cell r="AI93">
            <v>0</v>
          </cell>
        </row>
        <row r="94">
          <cell r="B94">
            <v>1</v>
          </cell>
          <cell r="C94" t="str">
            <v>037</v>
          </cell>
          <cell r="D94" t="str">
            <v>1340</v>
          </cell>
          <cell r="E94" t="str">
            <v>Part patronale RCAR régime de base, Personnel OET</v>
          </cell>
          <cell r="F94">
            <v>0</v>
          </cell>
          <cell r="L94">
            <v>0</v>
          </cell>
          <cell r="M94">
            <v>3612</v>
          </cell>
          <cell r="P94">
            <v>0</v>
          </cell>
          <cell r="R94">
            <v>684</v>
          </cell>
          <cell r="V94">
            <v>0</v>
          </cell>
          <cell r="AI94">
            <v>4296</v>
          </cell>
        </row>
        <row r="95">
          <cell r="B95">
            <v>2</v>
          </cell>
          <cell r="C95" t="str">
            <v>037</v>
          </cell>
          <cell r="D95" t="str">
            <v>1341</v>
          </cell>
          <cell r="E95" t="str">
            <v>Part patronale RCAR régime de base, Personnel OEB</v>
          </cell>
          <cell r="F95">
            <v>0</v>
          </cell>
          <cell r="L95">
            <v>0</v>
          </cell>
          <cell r="P95">
            <v>0</v>
          </cell>
          <cell r="V95">
            <v>0</v>
          </cell>
          <cell r="AI95">
            <v>0</v>
          </cell>
        </row>
        <row r="96">
          <cell r="B96">
            <v>3</v>
          </cell>
          <cell r="C96" t="str">
            <v>037</v>
          </cell>
          <cell r="D96" t="str">
            <v>1342</v>
          </cell>
          <cell r="E96" t="str">
            <v>Part patronale RCAR régime de base, Personnel OEJ</v>
          </cell>
          <cell r="F96">
            <v>0</v>
          </cell>
          <cell r="L96">
            <v>0</v>
          </cell>
          <cell r="P96">
            <v>0</v>
          </cell>
          <cell r="V96">
            <v>0</v>
          </cell>
          <cell r="AI96">
            <v>0</v>
          </cell>
        </row>
        <row r="97">
          <cell r="B97">
            <v>4</v>
          </cell>
          <cell r="C97" t="str">
            <v>037</v>
          </cell>
          <cell r="D97" t="str">
            <v>1343</v>
          </cell>
          <cell r="E97" t="str">
            <v>Part patronale RCAR régime de base, Personnel OEF</v>
          </cell>
          <cell r="F97">
            <v>0</v>
          </cell>
          <cell r="L97">
            <v>0</v>
          </cell>
          <cell r="P97">
            <v>0</v>
          </cell>
          <cell r="V97">
            <v>0</v>
          </cell>
          <cell r="AI97">
            <v>0</v>
          </cell>
        </row>
        <row r="98">
          <cell r="B98">
            <v>5</v>
          </cell>
          <cell r="C98" t="str">
            <v>037</v>
          </cell>
          <cell r="D98" t="str">
            <v>1344</v>
          </cell>
          <cell r="E98" t="str">
            <v>Part patronale RCAR régime de base, Personnel appoints</v>
          </cell>
          <cell r="F98">
            <v>0</v>
          </cell>
          <cell r="L98">
            <v>0</v>
          </cell>
          <cell r="P98">
            <v>0</v>
          </cell>
          <cell r="V98">
            <v>0</v>
          </cell>
          <cell r="AI98">
            <v>0</v>
          </cell>
        </row>
        <row r="99">
          <cell r="B99">
            <v>6</v>
          </cell>
          <cell r="C99" t="str">
            <v>037</v>
          </cell>
          <cell r="D99" t="str">
            <v>1345</v>
          </cell>
          <cell r="E99" t="str">
            <v>Part patronale RCAR régime de base, Personnel OEM</v>
          </cell>
          <cell r="F99">
            <v>0</v>
          </cell>
          <cell r="L99">
            <v>0</v>
          </cell>
          <cell r="P99">
            <v>0</v>
          </cell>
          <cell r="V99">
            <v>0</v>
          </cell>
          <cell r="AI99">
            <v>0</v>
          </cell>
        </row>
        <row r="100">
          <cell r="B100">
            <v>1</v>
          </cell>
          <cell r="C100" t="str">
            <v>038</v>
          </cell>
          <cell r="D100" t="str">
            <v>1350</v>
          </cell>
          <cell r="E100" t="str">
            <v>Part patronale RCAR régime complementaire, Personnel OET</v>
          </cell>
          <cell r="F100">
            <v>0</v>
          </cell>
          <cell r="L100">
            <v>0</v>
          </cell>
          <cell r="P100">
            <v>0</v>
          </cell>
          <cell r="R100">
            <v>144</v>
          </cell>
          <cell r="V100">
            <v>0</v>
          </cell>
          <cell r="AI100">
            <v>144</v>
          </cell>
        </row>
        <row r="101">
          <cell r="B101">
            <v>2</v>
          </cell>
          <cell r="C101" t="str">
            <v>038</v>
          </cell>
          <cell r="D101" t="str">
            <v>1351</v>
          </cell>
          <cell r="E101" t="str">
            <v>Part patronale RCAR régime complementaire, Personnel OEB</v>
          </cell>
          <cell r="F101">
            <v>0</v>
          </cell>
          <cell r="L101">
            <v>0</v>
          </cell>
          <cell r="P101">
            <v>0</v>
          </cell>
          <cell r="V101">
            <v>0</v>
          </cell>
          <cell r="AI101">
            <v>0</v>
          </cell>
        </row>
        <row r="102">
          <cell r="B102">
            <v>3</v>
          </cell>
          <cell r="C102" t="str">
            <v>038</v>
          </cell>
          <cell r="D102" t="str">
            <v>1352</v>
          </cell>
          <cell r="E102" t="str">
            <v>Part patronale RCAR régime complementaire, Personnel OEJ</v>
          </cell>
          <cell r="F102">
            <v>0</v>
          </cell>
          <cell r="L102">
            <v>0</v>
          </cell>
          <cell r="P102">
            <v>0</v>
          </cell>
          <cell r="V102">
            <v>0</v>
          </cell>
          <cell r="AI102">
            <v>0</v>
          </cell>
        </row>
        <row r="103">
          <cell r="B103">
            <v>4</v>
          </cell>
          <cell r="C103" t="str">
            <v>038</v>
          </cell>
          <cell r="D103" t="str">
            <v>1353</v>
          </cell>
          <cell r="E103" t="str">
            <v>Part patronale RCAR régime complémentaire, Personnel OEF</v>
          </cell>
          <cell r="F103">
            <v>0</v>
          </cell>
          <cell r="L103">
            <v>0</v>
          </cell>
          <cell r="P103">
            <v>0</v>
          </cell>
          <cell r="V103">
            <v>0</v>
          </cell>
          <cell r="AI103">
            <v>0</v>
          </cell>
        </row>
        <row r="104">
          <cell r="B104">
            <v>5</v>
          </cell>
          <cell r="C104" t="str">
            <v>038</v>
          </cell>
          <cell r="D104" t="str">
            <v>1354</v>
          </cell>
          <cell r="E104" t="str">
            <v>Part patronale RCAR régime complémentaire, Personnel appoints</v>
          </cell>
          <cell r="F104">
            <v>0</v>
          </cell>
          <cell r="L104">
            <v>0</v>
          </cell>
          <cell r="P104">
            <v>0</v>
          </cell>
          <cell r="V104">
            <v>0</v>
          </cell>
          <cell r="AI104">
            <v>0</v>
          </cell>
        </row>
        <row r="105">
          <cell r="B105">
            <v>6</v>
          </cell>
          <cell r="C105" t="str">
            <v>038</v>
          </cell>
          <cell r="D105" t="str">
            <v>1355</v>
          </cell>
          <cell r="E105" t="str">
            <v>Part patronale RCAR regime complementaire, Personnel OEM</v>
          </cell>
          <cell r="F105">
            <v>0</v>
          </cell>
          <cell r="L105">
            <v>0</v>
          </cell>
          <cell r="P105">
            <v>0</v>
          </cell>
          <cell r="V105">
            <v>0</v>
          </cell>
          <cell r="AI105">
            <v>0</v>
          </cell>
        </row>
        <row r="106">
          <cell r="B106">
            <v>7</v>
          </cell>
          <cell r="C106" t="str">
            <v>038</v>
          </cell>
          <cell r="D106" t="str">
            <v>1356</v>
          </cell>
          <cell r="E106" t="str">
            <v>Part patronale, RCAR régime complémentaire, Personnel TAMCA</v>
          </cell>
          <cell r="F106">
            <v>0</v>
          </cell>
          <cell r="L106">
            <v>0</v>
          </cell>
          <cell r="P106">
            <v>0</v>
          </cell>
          <cell r="V106">
            <v>0</v>
          </cell>
          <cell r="AI106">
            <v>0</v>
          </cell>
        </row>
        <row r="107">
          <cell r="B107">
            <v>8</v>
          </cell>
          <cell r="C107" t="str">
            <v>038</v>
          </cell>
          <cell r="D107" t="str">
            <v>1358</v>
          </cell>
          <cell r="E107" t="str">
            <v>Part patronale RCAR regime complementaire, Personnel HC</v>
          </cell>
          <cell r="F107">
            <v>0</v>
          </cell>
          <cell r="L107">
            <v>0</v>
          </cell>
          <cell r="P107">
            <v>0</v>
          </cell>
          <cell r="V107">
            <v>0</v>
          </cell>
          <cell r="AI107">
            <v>0</v>
          </cell>
        </row>
        <row r="108">
          <cell r="B108">
            <v>1</v>
          </cell>
          <cell r="C108" t="str">
            <v>039</v>
          </cell>
          <cell r="D108" t="str">
            <v>1430</v>
          </cell>
          <cell r="E108" t="str">
            <v>Part patronale sur primes RCAR, Personnel permanent OET</v>
          </cell>
          <cell r="F108">
            <v>0</v>
          </cell>
          <cell r="L108">
            <v>0</v>
          </cell>
          <cell r="P108">
            <v>0</v>
          </cell>
          <cell r="V108">
            <v>0</v>
          </cell>
          <cell r="AI108">
            <v>0</v>
          </cell>
        </row>
        <row r="109">
          <cell r="B109">
            <v>2</v>
          </cell>
          <cell r="C109" t="str">
            <v>039</v>
          </cell>
          <cell r="D109" t="str">
            <v>1431</v>
          </cell>
          <cell r="E109" t="str">
            <v>Part patronale sur primes RCAR, Personnel permanent OEB</v>
          </cell>
          <cell r="F109">
            <v>0</v>
          </cell>
          <cell r="L109">
            <v>0</v>
          </cell>
          <cell r="P109">
            <v>0</v>
          </cell>
          <cell r="V109">
            <v>0</v>
          </cell>
          <cell r="AI109">
            <v>0</v>
          </cell>
        </row>
        <row r="110">
          <cell r="B110">
            <v>3</v>
          </cell>
          <cell r="C110" t="str">
            <v>039</v>
          </cell>
          <cell r="D110" t="str">
            <v>1432</v>
          </cell>
          <cell r="E110" t="str">
            <v>Part patronale sur primes RCAR, Personnel permanent OEJ</v>
          </cell>
          <cell r="F110">
            <v>0</v>
          </cell>
          <cell r="L110">
            <v>0</v>
          </cell>
          <cell r="P110">
            <v>0</v>
          </cell>
          <cell r="V110">
            <v>0</v>
          </cell>
          <cell r="AI110">
            <v>0</v>
          </cell>
        </row>
        <row r="111">
          <cell r="B111">
            <v>4</v>
          </cell>
          <cell r="C111" t="str">
            <v>039</v>
          </cell>
          <cell r="D111" t="str">
            <v>1433</v>
          </cell>
          <cell r="E111" t="str">
            <v>Part patronale sur primes RCAR, Personnel permanent OEF</v>
          </cell>
          <cell r="F111">
            <v>0</v>
          </cell>
          <cell r="L111">
            <v>0</v>
          </cell>
          <cell r="P111">
            <v>0</v>
          </cell>
          <cell r="V111">
            <v>0</v>
          </cell>
          <cell r="AI111">
            <v>0</v>
          </cell>
        </row>
        <row r="112">
          <cell r="B112">
            <v>5</v>
          </cell>
          <cell r="C112" t="str">
            <v>039</v>
          </cell>
          <cell r="D112" t="str">
            <v>1434</v>
          </cell>
          <cell r="E112" t="str">
            <v>Part patronale sur primes RCAR, Personnel permanent appoints</v>
          </cell>
          <cell r="F112">
            <v>0</v>
          </cell>
          <cell r="L112">
            <v>0</v>
          </cell>
          <cell r="P112">
            <v>0</v>
          </cell>
          <cell r="V112">
            <v>0</v>
          </cell>
          <cell r="AI112">
            <v>0</v>
          </cell>
        </row>
        <row r="113">
          <cell r="B113">
            <v>6</v>
          </cell>
          <cell r="C113" t="str">
            <v>039</v>
          </cell>
          <cell r="D113" t="str">
            <v>1435</v>
          </cell>
          <cell r="E113" t="str">
            <v>Part patronale sur primes RCAR, Personnel permanent OEM</v>
          </cell>
          <cell r="F113">
            <v>0</v>
          </cell>
          <cell r="L113">
            <v>0</v>
          </cell>
          <cell r="P113">
            <v>0</v>
          </cell>
          <cell r="V113">
            <v>0</v>
          </cell>
          <cell r="AI113">
            <v>0</v>
          </cell>
        </row>
        <row r="114">
          <cell r="B114">
            <v>7</v>
          </cell>
          <cell r="C114" t="str">
            <v>039</v>
          </cell>
          <cell r="D114" t="str">
            <v>1436</v>
          </cell>
          <cell r="E114" t="str">
            <v>Part patronale sur primes RCAR, Personnel permanent TAMCA</v>
          </cell>
          <cell r="F114">
            <v>0</v>
          </cell>
          <cell r="L114">
            <v>0</v>
          </cell>
          <cell r="P114">
            <v>0</v>
          </cell>
          <cell r="V114">
            <v>0</v>
          </cell>
          <cell r="AI114">
            <v>0</v>
          </cell>
        </row>
        <row r="115">
          <cell r="B115">
            <v>8</v>
          </cell>
          <cell r="C115" t="str">
            <v>039</v>
          </cell>
          <cell r="D115" t="str">
            <v>1438</v>
          </cell>
          <cell r="E115" t="str">
            <v>Part patronale sur primes de fin RCAR, Personnel permanent HC</v>
          </cell>
          <cell r="F115">
            <v>0</v>
          </cell>
          <cell r="L115">
            <v>0</v>
          </cell>
          <cell r="P115">
            <v>0</v>
          </cell>
          <cell r="V115">
            <v>0</v>
          </cell>
          <cell r="AI115">
            <v>0</v>
          </cell>
        </row>
        <row r="116">
          <cell r="B116">
            <v>1</v>
          </cell>
          <cell r="C116" t="str">
            <v>040</v>
          </cell>
          <cell r="D116" t="str">
            <v>1108</v>
          </cell>
          <cell r="E116" t="str">
            <v>Salaires et appointements, Personnel Hors Cadre</v>
          </cell>
          <cell r="F116">
            <v>0</v>
          </cell>
          <cell r="L116">
            <v>0</v>
          </cell>
          <cell r="P116">
            <v>0</v>
          </cell>
          <cell r="V116">
            <v>0</v>
          </cell>
          <cell r="Z116">
            <v>493740</v>
          </cell>
          <cell r="AH116">
            <v>28164</v>
          </cell>
          <cell r="AI116">
            <v>521904</v>
          </cell>
        </row>
        <row r="117">
          <cell r="B117">
            <v>1</v>
          </cell>
          <cell r="C117" t="str">
            <v>041</v>
          </cell>
          <cell r="D117" t="str">
            <v>1208</v>
          </cell>
          <cell r="E117" t="str">
            <v>Frais médicaux et pharmaceutiques exterieurs, prises en charge, Personnel HC</v>
          </cell>
          <cell r="F117">
            <v>0</v>
          </cell>
          <cell r="L117">
            <v>0</v>
          </cell>
          <cell r="P117">
            <v>0</v>
          </cell>
          <cell r="V117">
            <v>0</v>
          </cell>
          <cell r="Z117">
            <v>498960</v>
          </cell>
          <cell r="AH117">
            <v>28260</v>
          </cell>
          <cell r="AI117">
            <v>527220</v>
          </cell>
        </row>
        <row r="118">
          <cell r="B118">
            <v>2</v>
          </cell>
          <cell r="C118" t="str">
            <v>041</v>
          </cell>
          <cell r="D118" t="str">
            <v>1218</v>
          </cell>
          <cell r="E118" t="str">
            <v>Salaires des congés payés, Maladie, Maternité, Accidents, Personnel Hors Cadre</v>
          </cell>
          <cell r="F118">
            <v>0</v>
          </cell>
          <cell r="L118">
            <v>0</v>
          </cell>
          <cell r="P118">
            <v>0</v>
          </cell>
          <cell r="V118">
            <v>0</v>
          </cell>
          <cell r="AI118">
            <v>0</v>
          </cell>
        </row>
        <row r="119">
          <cell r="B119">
            <v>3</v>
          </cell>
          <cell r="C119" t="str">
            <v>041</v>
          </cell>
          <cell r="D119" t="str">
            <v>1228</v>
          </cell>
          <cell r="E119" t="str">
            <v>Indemnités d'éloignement et de transport, Personnel HC</v>
          </cell>
          <cell r="F119">
            <v>0</v>
          </cell>
          <cell r="L119">
            <v>0</v>
          </cell>
          <cell r="P119">
            <v>0</v>
          </cell>
          <cell r="V119">
            <v>0</v>
          </cell>
          <cell r="AI119">
            <v>0</v>
          </cell>
        </row>
        <row r="120">
          <cell r="B120">
            <v>4</v>
          </cell>
          <cell r="C120" t="str">
            <v>041</v>
          </cell>
          <cell r="D120" t="str">
            <v>1238</v>
          </cell>
          <cell r="E120" t="str">
            <v>Indemnité forfaitaire de congé, Paersonnel HC</v>
          </cell>
          <cell r="F120">
            <v>0</v>
          </cell>
          <cell r="L120">
            <v>0</v>
          </cell>
          <cell r="P120">
            <v>0</v>
          </cell>
          <cell r="V120">
            <v>0</v>
          </cell>
          <cell r="AI120">
            <v>0</v>
          </cell>
        </row>
        <row r="121">
          <cell r="B121">
            <v>5</v>
          </cell>
          <cell r="C121" t="str">
            <v>041</v>
          </cell>
          <cell r="D121" t="str">
            <v>1248</v>
          </cell>
          <cell r="E121" t="str">
            <v>Indemnité de logement, Personnel HC</v>
          </cell>
          <cell r="F121">
            <v>0</v>
          </cell>
          <cell r="L121">
            <v>0</v>
          </cell>
          <cell r="P121">
            <v>0</v>
          </cell>
          <cell r="V121">
            <v>0</v>
          </cell>
          <cell r="AI121">
            <v>0</v>
          </cell>
        </row>
        <row r="122">
          <cell r="B122">
            <v>6</v>
          </cell>
          <cell r="C122" t="str">
            <v>041</v>
          </cell>
          <cell r="D122" t="str">
            <v>1258</v>
          </cell>
          <cell r="E122" t="str">
            <v>Aide au logement, Personnel HC</v>
          </cell>
          <cell r="F122">
            <v>0</v>
          </cell>
          <cell r="L122">
            <v>0</v>
          </cell>
          <cell r="P122">
            <v>0</v>
          </cell>
          <cell r="V122">
            <v>0</v>
          </cell>
          <cell r="AI122">
            <v>0</v>
          </cell>
        </row>
        <row r="123">
          <cell r="B123">
            <v>7</v>
          </cell>
          <cell r="C123" t="str">
            <v>041</v>
          </cell>
          <cell r="D123" t="str">
            <v>1268</v>
          </cell>
          <cell r="E123" t="str">
            <v>Prime à la construction prêts hypothécaires, Personnel HC</v>
          </cell>
          <cell r="F123">
            <v>0</v>
          </cell>
          <cell r="L123">
            <v>0</v>
          </cell>
          <cell r="P123">
            <v>0</v>
          </cell>
          <cell r="V123">
            <v>0</v>
          </cell>
          <cell r="AI123">
            <v>0</v>
          </cell>
        </row>
        <row r="124">
          <cell r="B124">
            <v>8</v>
          </cell>
          <cell r="C124" t="str">
            <v>041</v>
          </cell>
          <cell r="D124" t="str">
            <v>1278</v>
          </cell>
          <cell r="E124" t="str">
            <v>Prime de responsabilité, de rendement et d'asséduité, Personnel HC</v>
          </cell>
          <cell r="F124">
            <v>0</v>
          </cell>
          <cell r="L124">
            <v>0</v>
          </cell>
          <cell r="P124">
            <v>0</v>
          </cell>
          <cell r="V124">
            <v>0</v>
          </cell>
          <cell r="AI124">
            <v>0</v>
          </cell>
        </row>
        <row r="125">
          <cell r="B125">
            <v>9</v>
          </cell>
          <cell r="C125" t="str">
            <v>041</v>
          </cell>
          <cell r="D125" t="str">
            <v>1288</v>
          </cell>
          <cell r="E125" t="str">
            <v>Charges fami. mariage, naiss.,decès, a. f... PHC</v>
          </cell>
          <cell r="F125">
            <v>0</v>
          </cell>
          <cell r="L125">
            <v>0</v>
          </cell>
          <cell r="P125">
            <v>0</v>
          </cell>
          <cell r="V125">
            <v>0</v>
          </cell>
          <cell r="AI125">
            <v>0</v>
          </cell>
        </row>
        <row r="126">
          <cell r="B126">
            <v>10</v>
          </cell>
          <cell r="C126" t="str">
            <v>041</v>
          </cell>
          <cell r="D126" t="str">
            <v>1298</v>
          </cell>
          <cell r="E126" t="str">
            <v>Autres avantages et indemnités diverses, Scolarité, Mecque etc.., Personnel Hors Cadre</v>
          </cell>
          <cell r="F126">
            <v>0</v>
          </cell>
          <cell r="L126">
            <v>0</v>
          </cell>
          <cell r="P126">
            <v>0</v>
          </cell>
          <cell r="V126">
            <v>0</v>
          </cell>
          <cell r="AI126">
            <v>0</v>
          </cell>
        </row>
        <row r="127">
          <cell r="B127">
            <v>1</v>
          </cell>
          <cell r="C127" t="str">
            <v>045</v>
          </cell>
          <cell r="D127" t="str">
            <v>1328</v>
          </cell>
          <cell r="E127" t="str">
            <v>Part patronale OS 824 PHC</v>
          </cell>
          <cell r="F127">
            <v>0</v>
          </cell>
          <cell r="L127">
            <v>0</v>
          </cell>
          <cell r="P127">
            <v>0</v>
          </cell>
          <cell r="V127">
            <v>0</v>
          </cell>
          <cell r="Z127">
            <v>91884</v>
          </cell>
          <cell r="AH127">
            <v>5964</v>
          </cell>
          <cell r="AI127">
            <v>97848</v>
          </cell>
        </row>
        <row r="128">
          <cell r="B128">
            <v>1</v>
          </cell>
          <cell r="C128" t="str">
            <v>046</v>
          </cell>
          <cell r="D128" t="str">
            <v>1338</v>
          </cell>
          <cell r="E128" t="str">
            <v>Part patronale Recore OS 824, Personnel Hors Cadre</v>
          </cell>
          <cell r="F128">
            <v>0</v>
          </cell>
          <cell r="L128">
            <v>0</v>
          </cell>
          <cell r="P128">
            <v>0</v>
          </cell>
          <cell r="V128">
            <v>0</v>
          </cell>
          <cell r="Z128">
            <v>10536</v>
          </cell>
          <cell r="AI128">
            <v>10536</v>
          </cell>
        </row>
        <row r="129">
          <cell r="B129">
            <v>1</v>
          </cell>
          <cell r="C129" t="str">
            <v>047</v>
          </cell>
          <cell r="D129" t="str">
            <v>1348</v>
          </cell>
          <cell r="E129" t="str">
            <v>Part patronale RCAR régime de base, Personnel Hors Cadre</v>
          </cell>
          <cell r="F129">
            <v>0</v>
          </cell>
          <cell r="L129">
            <v>0</v>
          </cell>
          <cell r="P129">
            <v>0</v>
          </cell>
          <cell r="V129">
            <v>0</v>
          </cell>
          <cell r="AI129">
            <v>0</v>
          </cell>
        </row>
        <row r="130">
          <cell r="B130">
            <v>1</v>
          </cell>
          <cell r="C130" t="str">
            <v>049</v>
          </cell>
          <cell r="D130" t="str">
            <v>1420</v>
          </cell>
          <cell r="E130" t="str">
            <v>Part patronale sur primes de fin d'année OS 824, Personnel permanent OET</v>
          </cell>
          <cell r="F130">
            <v>5544</v>
          </cell>
          <cell r="G130">
            <v>3672</v>
          </cell>
          <cell r="H130">
            <v>3924</v>
          </cell>
          <cell r="I130">
            <v>5604</v>
          </cell>
          <cell r="J130">
            <v>6792</v>
          </cell>
          <cell r="K130">
            <v>4608</v>
          </cell>
          <cell r="L130">
            <v>30144</v>
          </cell>
          <cell r="M130">
            <v>3372</v>
          </cell>
          <cell r="N130">
            <v>41268</v>
          </cell>
          <cell r="O130">
            <v>34164</v>
          </cell>
          <cell r="P130">
            <v>75432</v>
          </cell>
          <cell r="R130">
            <v>20268</v>
          </cell>
          <cell r="S130">
            <v>16500</v>
          </cell>
          <cell r="V130">
            <v>0</v>
          </cell>
          <cell r="W130">
            <v>3084</v>
          </cell>
          <cell r="X130">
            <v>528</v>
          </cell>
          <cell r="Y130">
            <v>14916</v>
          </cell>
          <cell r="Z130">
            <v>49764</v>
          </cell>
          <cell r="AA130">
            <v>15336</v>
          </cell>
          <cell r="AB130">
            <v>14340</v>
          </cell>
          <cell r="AC130">
            <v>624</v>
          </cell>
          <cell r="AD130">
            <v>3060</v>
          </cell>
          <cell r="AE130">
            <v>3240</v>
          </cell>
          <cell r="AF130">
            <v>132</v>
          </cell>
          <cell r="AG130">
            <v>12324</v>
          </cell>
          <cell r="AH130">
            <v>16680</v>
          </cell>
          <cell r="AI130">
            <v>279744</v>
          </cell>
        </row>
        <row r="131">
          <cell r="B131">
            <v>2</v>
          </cell>
          <cell r="C131" t="str">
            <v>049</v>
          </cell>
          <cell r="D131" t="str">
            <v>1421</v>
          </cell>
          <cell r="E131" t="str">
            <v>Part patronale sur primes de fin d'année OS 824, Personnel permanent OEB</v>
          </cell>
          <cell r="F131">
            <v>0</v>
          </cell>
          <cell r="L131">
            <v>0</v>
          </cell>
          <cell r="P131">
            <v>0</v>
          </cell>
          <cell r="V131">
            <v>0</v>
          </cell>
          <cell r="AI131">
            <v>0</v>
          </cell>
        </row>
        <row r="132">
          <cell r="B132">
            <v>3</v>
          </cell>
          <cell r="C132" t="str">
            <v>049</v>
          </cell>
          <cell r="D132" t="str">
            <v>1422</v>
          </cell>
          <cell r="E132" t="str">
            <v>Part patronale sur primes de fin d'année OS 824, Personnel permanent OEJ</v>
          </cell>
          <cell r="F132">
            <v>0</v>
          </cell>
          <cell r="L132">
            <v>0</v>
          </cell>
          <cell r="P132">
            <v>0</v>
          </cell>
          <cell r="V132">
            <v>0</v>
          </cell>
          <cell r="AI132">
            <v>0</v>
          </cell>
        </row>
        <row r="133">
          <cell r="B133">
            <v>4</v>
          </cell>
          <cell r="C133" t="str">
            <v>049</v>
          </cell>
          <cell r="D133" t="str">
            <v>1423</v>
          </cell>
          <cell r="E133" t="str">
            <v>Part patronale sur primes de fin d'année OS 824, Personnel permanent OEF</v>
          </cell>
          <cell r="F133">
            <v>0</v>
          </cell>
          <cell r="L133">
            <v>0</v>
          </cell>
          <cell r="P133">
            <v>0</v>
          </cell>
          <cell r="V133">
            <v>0</v>
          </cell>
          <cell r="AI133">
            <v>0</v>
          </cell>
        </row>
        <row r="134">
          <cell r="B134">
            <v>5</v>
          </cell>
          <cell r="C134" t="str">
            <v>049</v>
          </cell>
          <cell r="D134" t="str">
            <v>1424</v>
          </cell>
          <cell r="E134" t="str">
            <v>Part patronale sur primes fin d'année OS 824, Personnel permanent appoints</v>
          </cell>
          <cell r="F134">
            <v>0</v>
          </cell>
          <cell r="L134">
            <v>0</v>
          </cell>
          <cell r="P134">
            <v>0</v>
          </cell>
          <cell r="V134">
            <v>0</v>
          </cell>
          <cell r="AI134">
            <v>0</v>
          </cell>
        </row>
        <row r="135">
          <cell r="B135">
            <v>6</v>
          </cell>
          <cell r="C135" t="str">
            <v>049</v>
          </cell>
          <cell r="D135" t="str">
            <v>1425</v>
          </cell>
          <cell r="E135" t="str">
            <v>Part patronale sur primes de fin d'année OS 824, Personnel permanent OEM</v>
          </cell>
          <cell r="F135">
            <v>0</v>
          </cell>
          <cell r="L135">
            <v>0</v>
          </cell>
          <cell r="P135">
            <v>0</v>
          </cell>
          <cell r="V135">
            <v>0</v>
          </cell>
          <cell r="AI135">
            <v>0</v>
          </cell>
        </row>
        <row r="136">
          <cell r="B136">
            <v>7</v>
          </cell>
          <cell r="C136" t="str">
            <v>049</v>
          </cell>
          <cell r="D136" t="str">
            <v>1426</v>
          </cell>
          <cell r="E136" t="str">
            <v>Part patronale sur primes de fin d'année OS 824, Personnel permanent TAMCA</v>
          </cell>
          <cell r="F136">
            <v>0</v>
          </cell>
          <cell r="L136">
            <v>0</v>
          </cell>
          <cell r="P136">
            <v>0</v>
          </cell>
          <cell r="V136">
            <v>0</v>
          </cell>
          <cell r="AI136">
            <v>0</v>
          </cell>
        </row>
        <row r="137">
          <cell r="B137">
            <v>8</v>
          </cell>
          <cell r="C137" t="str">
            <v>049</v>
          </cell>
          <cell r="D137" t="str">
            <v>1428</v>
          </cell>
          <cell r="E137" t="str">
            <v>Part patronale sur primes de fin d'année OS 824, Personnel permanent HC</v>
          </cell>
          <cell r="F137">
            <v>0</v>
          </cell>
          <cell r="L137">
            <v>0</v>
          </cell>
          <cell r="P137">
            <v>0</v>
          </cell>
          <cell r="V137">
            <v>0</v>
          </cell>
          <cell r="AI137">
            <v>0</v>
          </cell>
        </row>
        <row r="138">
          <cell r="B138">
            <v>1</v>
          </cell>
          <cell r="C138" t="str">
            <v>051</v>
          </cell>
          <cell r="D138" t="str">
            <v>1111</v>
          </cell>
          <cell r="E138" t="str">
            <v>Heures supplémentaires, Personnel OEB</v>
          </cell>
          <cell r="F138">
            <v>0</v>
          </cell>
          <cell r="L138">
            <v>0</v>
          </cell>
          <cell r="P138">
            <v>0</v>
          </cell>
          <cell r="V138">
            <v>0</v>
          </cell>
          <cell r="AH138">
            <v>14100</v>
          </cell>
          <cell r="AI138">
            <v>14100</v>
          </cell>
        </row>
        <row r="139">
          <cell r="B139">
            <v>1</v>
          </cell>
          <cell r="C139" t="str">
            <v>052</v>
          </cell>
          <cell r="D139" t="str">
            <v>1112</v>
          </cell>
          <cell r="E139" t="str">
            <v>Heures supplémentaires, Personnel OEJ</v>
          </cell>
          <cell r="F139">
            <v>0</v>
          </cell>
          <cell r="L139">
            <v>0</v>
          </cell>
          <cell r="M139">
            <v>684</v>
          </cell>
          <cell r="P139">
            <v>0</v>
          </cell>
          <cell r="V139">
            <v>0</v>
          </cell>
          <cell r="X139">
            <v>9396</v>
          </cell>
          <cell r="Y139">
            <v>19236</v>
          </cell>
          <cell r="Z139">
            <v>11172</v>
          </cell>
          <cell r="AA139">
            <v>108576</v>
          </cell>
          <cell r="AB139">
            <v>80282</v>
          </cell>
          <cell r="AC139">
            <v>79524</v>
          </cell>
          <cell r="AD139">
            <v>7176</v>
          </cell>
          <cell r="AE139">
            <v>16824</v>
          </cell>
          <cell r="AF139">
            <v>30996</v>
          </cell>
          <cell r="AG139">
            <v>47808</v>
          </cell>
          <cell r="AH139">
            <v>106440</v>
          </cell>
          <cell r="AI139">
            <v>518114</v>
          </cell>
        </row>
        <row r="140">
          <cell r="B140">
            <v>1</v>
          </cell>
          <cell r="C140" t="str">
            <v>053</v>
          </cell>
          <cell r="D140" t="str">
            <v>1113</v>
          </cell>
          <cell r="E140" t="str">
            <v>Heures supplementaires, Personnel OEF</v>
          </cell>
          <cell r="F140">
            <v>22812</v>
          </cell>
          <cell r="G140">
            <v>37404</v>
          </cell>
          <cell r="H140">
            <v>24504</v>
          </cell>
          <cell r="I140">
            <v>29844</v>
          </cell>
          <cell r="J140">
            <v>28824</v>
          </cell>
          <cell r="K140">
            <v>34812</v>
          </cell>
          <cell r="L140">
            <v>178200</v>
          </cell>
          <cell r="M140">
            <v>51180</v>
          </cell>
          <cell r="N140">
            <v>54948</v>
          </cell>
          <cell r="O140">
            <v>89220</v>
          </cell>
          <cell r="P140">
            <v>144168</v>
          </cell>
          <cell r="R140">
            <v>98244</v>
          </cell>
          <cell r="S140">
            <v>132408</v>
          </cell>
          <cell r="V140">
            <v>0</v>
          </cell>
          <cell r="W140">
            <v>32352</v>
          </cell>
          <cell r="X140">
            <v>30648</v>
          </cell>
          <cell r="Y140">
            <v>98184</v>
          </cell>
          <cell r="Z140">
            <v>18204</v>
          </cell>
          <cell r="AA140">
            <v>5592</v>
          </cell>
          <cell r="AB140">
            <v>31812</v>
          </cell>
          <cell r="AC140">
            <v>21876</v>
          </cell>
          <cell r="AD140">
            <v>1872</v>
          </cell>
          <cell r="AE140">
            <v>19080</v>
          </cell>
          <cell r="AF140">
            <v>9480</v>
          </cell>
          <cell r="AG140">
            <v>99096</v>
          </cell>
          <cell r="AH140">
            <v>91872</v>
          </cell>
          <cell r="AI140">
            <v>1064268</v>
          </cell>
        </row>
        <row r="141">
          <cell r="B141">
            <v>1</v>
          </cell>
          <cell r="C141" t="str">
            <v>054</v>
          </cell>
          <cell r="D141" t="str">
            <v>1114</v>
          </cell>
          <cell r="E141" t="str">
            <v>Heures supplémentaires des appoints</v>
          </cell>
          <cell r="F141">
            <v>0</v>
          </cell>
          <cell r="L141">
            <v>0</v>
          </cell>
          <cell r="P141">
            <v>0</v>
          </cell>
          <cell r="V141">
            <v>0</v>
          </cell>
          <cell r="AI141">
            <v>0</v>
          </cell>
        </row>
        <row r="142">
          <cell r="B142">
            <v>1</v>
          </cell>
          <cell r="C142" t="str">
            <v>055</v>
          </cell>
          <cell r="D142" t="str">
            <v>1115</v>
          </cell>
          <cell r="E142" t="str">
            <v>Heures supplementaires, Personnel OEM</v>
          </cell>
          <cell r="F142">
            <v>0</v>
          </cell>
          <cell r="L142">
            <v>0</v>
          </cell>
          <cell r="P142">
            <v>0</v>
          </cell>
          <cell r="V142">
            <v>0</v>
          </cell>
          <cell r="AI142">
            <v>0</v>
          </cell>
        </row>
        <row r="143">
          <cell r="B143">
            <v>1</v>
          </cell>
          <cell r="C143" t="str">
            <v>056</v>
          </cell>
          <cell r="D143" t="str">
            <v>1116</v>
          </cell>
          <cell r="E143" t="str">
            <v>Heures supplementaires, Personnel TAMCA</v>
          </cell>
          <cell r="F143">
            <v>0</v>
          </cell>
          <cell r="G143">
            <v>19428</v>
          </cell>
          <cell r="H143">
            <v>9828</v>
          </cell>
          <cell r="I143">
            <v>2736</v>
          </cell>
          <cell r="J143">
            <v>7608</v>
          </cell>
          <cell r="K143">
            <v>13932</v>
          </cell>
          <cell r="L143">
            <v>53532</v>
          </cell>
          <cell r="M143">
            <v>10668</v>
          </cell>
          <cell r="N143">
            <v>90732</v>
          </cell>
          <cell r="O143">
            <v>94440</v>
          </cell>
          <cell r="P143">
            <v>185172</v>
          </cell>
          <cell r="R143">
            <v>17496</v>
          </cell>
          <cell r="S143">
            <v>71784</v>
          </cell>
          <cell r="V143">
            <v>0</v>
          </cell>
          <cell r="W143">
            <v>3912</v>
          </cell>
          <cell r="Y143">
            <v>12636</v>
          </cell>
          <cell r="Z143">
            <v>23160</v>
          </cell>
          <cell r="AA143">
            <v>18660</v>
          </cell>
          <cell r="AB143">
            <v>12132</v>
          </cell>
          <cell r="AE143">
            <v>6360</v>
          </cell>
          <cell r="AF143">
            <v>5544</v>
          </cell>
          <cell r="AG143">
            <v>20040</v>
          </cell>
          <cell r="AI143">
            <v>441096</v>
          </cell>
        </row>
        <row r="144">
          <cell r="B144">
            <v>1</v>
          </cell>
          <cell r="C144" t="str">
            <v>060</v>
          </cell>
          <cell r="D144" t="str">
            <v>1120</v>
          </cell>
          <cell r="E144" t="str">
            <v>Primes annuelles, Personnel tâcherons</v>
          </cell>
          <cell r="F144">
            <v>140856</v>
          </cell>
          <cell r="G144">
            <v>161148</v>
          </cell>
          <cell r="H144">
            <v>151872</v>
          </cell>
          <cell r="I144">
            <v>143004</v>
          </cell>
          <cell r="J144">
            <v>144780</v>
          </cell>
          <cell r="K144">
            <v>170736</v>
          </cell>
          <cell r="L144">
            <v>912396</v>
          </cell>
          <cell r="M144">
            <v>75516</v>
          </cell>
          <cell r="N144">
            <v>867036</v>
          </cell>
          <cell r="O144">
            <v>978744</v>
          </cell>
          <cell r="P144">
            <v>1845780</v>
          </cell>
          <cell r="R144">
            <v>336300</v>
          </cell>
          <cell r="V144">
            <v>0</v>
          </cell>
          <cell r="W144">
            <v>21084</v>
          </cell>
          <cell r="Y144">
            <v>1548</v>
          </cell>
          <cell r="Z144">
            <v>9348</v>
          </cell>
          <cell r="AB144">
            <v>1404</v>
          </cell>
          <cell r="AC144">
            <v>9252</v>
          </cell>
          <cell r="AE144">
            <v>2136</v>
          </cell>
          <cell r="AG144">
            <v>42360</v>
          </cell>
          <cell r="AH144">
            <v>43056</v>
          </cell>
          <cell r="AI144">
            <v>3300180</v>
          </cell>
        </row>
        <row r="145">
          <cell r="B145">
            <v>1</v>
          </cell>
          <cell r="C145" t="str">
            <v>061</v>
          </cell>
          <cell r="D145" t="str">
            <v>1121</v>
          </cell>
          <cell r="E145" t="str">
            <v>Primes annuelles personnel OEB</v>
          </cell>
          <cell r="F145">
            <v>0</v>
          </cell>
          <cell r="L145">
            <v>0</v>
          </cell>
          <cell r="P145">
            <v>0</v>
          </cell>
          <cell r="V145">
            <v>0</v>
          </cell>
          <cell r="AH145">
            <v>18960</v>
          </cell>
          <cell r="AI145">
            <v>18960</v>
          </cell>
        </row>
        <row r="146">
          <cell r="B146">
            <v>1</v>
          </cell>
          <cell r="C146" t="str">
            <v>062</v>
          </cell>
          <cell r="D146" t="str">
            <v>1122</v>
          </cell>
          <cell r="E146" t="str">
            <v>Primes annuelles personnel OEJ</v>
          </cell>
          <cell r="F146">
            <v>0</v>
          </cell>
          <cell r="L146">
            <v>0</v>
          </cell>
          <cell r="P146">
            <v>0</v>
          </cell>
          <cell r="V146">
            <v>0</v>
          </cell>
          <cell r="X146">
            <v>11196</v>
          </cell>
          <cell r="Y146">
            <v>25488</v>
          </cell>
          <cell r="Z146">
            <v>23292</v>
          </cell>
          <cell r="AA146">
            <v>185520</v>
          </cell>
          <cell r="AB146">
            <v>98004</v>
          </cell>
          <cell r="AC146">
            <v>83976</v>
          </cell>
          <cell r="AD146">
            <v>52920</v>
          </cell>
          <cell r="AE146">
            <v>38316</v>
          </cell>
          <cell r="AF146">
            <v>52308</v>
          </cell>
          <cell r="AG146">
            <v>90636</v>
          </cell>
          <cell r="AH146">
            <v>123720</v>
          </cell>
          <cell r="AI146">
            <v>785376</v>
          </cell>
        </row>
        <row r="147">
          <cell r="B147">
            <v>1</v>
          </cell>
          <cell r="C147" t="str">
            <v>063</v>
          </cell>
          <cell r="D147" t="str">
            <v>1123</v>
          </cell>
          <cell r="E147" t="str">
            <v>Primes annuelles personnel OEF</v>
          </cell>
          <cell r="F147">
            <v>84600</v>
          </cell>
          <cell r="G147">
            <v>83544</v>
          </cell>
          <cell r="H147">
            <v>74700</v>
          </cell>
          <cell r="I147">
            <v>82368</v>
          </cell>
          <cell r="J147">
            <v>71052</v>
          </cell>
          <cell r="K147">
            <v>87432</v>
          </cell>
          <cell r="L147">
            <v>483696</v>
          </cell>
          <cell r="M147">
            <v>82452</v>
          </cell>
          <cell r="N147">
            <v>322368</v>
          </cell>
          <cell r="O147">
            <v>398820</v>
          </cell>
          <cell r="P147">
            <v>721188</v>
          </cell>
          <cell r="R147">
            <v>457236</v>
          </cell>
          <cell r="S147">
            <v>330192</v>
          </cell>
          <cell r="V147">
            <v>0</v>
          </cell>
          <cell r="W147">
            <v>71700</v>
          </cell>
          <cell r="X147">
            <v>26832</v>
          </cell>
          <cell r="Y147">
            <v>209976</v>
          </cell>
          <cell r="Z147">
            <v>52224</v>
          </cell>
          <cell r="AA147">
            <v>9984</v>
          </cell>
          <cell r="AB147">
            <v>45228</v>
          </cell>
          <cell r="AC147">
            <v>19800</v>
          </cell>
          <cell r="AD147">
            <v>12444</v>
          </cell>
          <cell r="AE147">
            <v>36840</v>
          </cell>
          <cell r="AF147">
            <v>12024</v>
          </cell>
          <cell r="AG147">
            <v>166344</v>
          </cell>
          <cell r="AH147">
            <v>100476</v>
          </cell>
          <cell r="AI147">
            <v>2838636</v>
          </cell>
        </row>
        <row r="148">
          <cell r="B148">
            <v>1</v>
          </cell>
          <cell r="C148" t="str">
            <v>064</v>
          </cell>
          <cell r="D148" t="str">
            <v>1125</v>
          </cell>
          <cell r="E148" t="str">
            <v>Primes annuelles personnel OEM</v>
          </cell>
          <cell r="F148">
            <v>0</v>
          </cell>
          <cell r="L148">
            <v>0</v>
          </cell>
          <cell r="P148">
            <v>0</v>
          </cell>
          <cell r="V148">
            <v>0</v>
          </cell>
          <cell r="AI148">
            <v>0</v>
          </cell>
        </row>
        <row r="149">
          <cell r="B149">
            <v>1</v>
          </cell>
          <cell r="C149" t="str">
            <v>065</v>
          </cell>
          <cell r="D149" t="str">
            <v>1126</v>
          </cell>
          <cell r="E149" t="str">
            <v>Primes annuelles personnel TAMCA</v>
          </cell>
          <cell r="F149">
            <v>0</v>
          </cell>
          <cell r="G149">
            <v>22092</v>
          </cell>
          <cell r="H149">
            <v>10296</v>
          </cell>
          <cell r="I149">
            <v>3972</v>
          </cell>
          <cell r="J149">
            <v>10080</v>
          </cell>
          <cell r="K149">
            <v>14820</v>
          </cell>
          <cell r="L149">
            <v>61260</v>
          </cell>
          <cell r="M149">
            <v>15336</v>
          </cell>
          <cell r="N149">
            <v>128892</v>
          </cell>
          <cell r="O149">
            <v>116352</v>
          </cell>
          <cell r="P149">
            <v>245244</v>
          </cell>
          <cell r="R149">
            <v>19068</v>
          </cell>
          <cell r="S149">
            <v>91152</v>
          </cell>
          <cell r="V149">
            <v>0</v>
          </cell>
          <cell r="W149">
            <v>18144</v>
          </cell>
          <cell r="Y149">
            <v>30708</v>
          </cell>
          <cell r="Z149">
            <v>38376</v>
          </cell>
          <cell r="AA149">
            <v>45432</v>
          </cell>
          <cell r="AB149">
            <v>18648</v>
          </cell>
          <cell r="AE149">
            <v>15144</v>
          </cell>
          <cell r="AF149">
            <v>19512</v>
          </cell>
          <cell r="AG149">
            <v>39972</v>
          </cell>
          <cell r="AI149">
            <v>657996</v>
          </cell>
        </row>
        <row r="150">
          <cell r="B150">
            <v>1</v>
          </cell>
          <cell r="C150" t="str">
            <v>066</v>
          </cell>
          <cell r="D150" t="str">
            <v>1600</v>
          </cell>
          <cell r="E150" t="str">
            <v>Part patronale mutuelle et prestation personnel permanent OET</v>
          </cell>
          <cell r="F150">
            <v>0</v>
          </cell>
          <cell r="L150">
            <v>0</v>
          </cell>
          <cell r="P150">
            <v>0</v>
          </cell>
          <cell r="V150">
            <v>0</v>
          </cell>
          <cell r="AI150">
            <v>0</v>
          </cell>
        </row>
        <row r="151">
          <cell r="B151">
            <v>2</v>
          </cell>
          <cell r="C151" t="str">
            <v>066</v>
          </cell>
          <cell r="D151" t="str">
            <v>1601</v>
          </cell>
          <cell r="E151" t="str">
            <v>Part patronale mutuelle et prestation personnel permanent OEB</v>
          </cell>
          <cell r="F151">
            <v>0</v>
          </cell>
          <cell r="L151">
            <v>0</v>
          </cell>
          <cell r="P151">
            <v>0</v>
          </cell>
          <cell r="V151">
            <v>0</v>
          </cell>
          <cell r="AI151">
            <v>0</v>
          </cell>
        </row>
        <row r="152">
          <cell r="B152">
            <v>3</v>
          </cell>
          <cell r="C152" t="str">
            <v>066</v>
          </cell>
          <cell r="D152" t="str">
            <v>1602</v>
          </cell>
          <cell r="E152" t="str">
            <v>Part patronale mutuelle et prestation personnel permanent OEJ</v>
          </cell>
          <cell r="F152">
            <v>0</v>
          </cell>
          <cell r="L152">
            <v>0</v>
          </cell>
          <cell r="P152">
            <v>0</v>
          </cell>
          <cell r="V152">
            <v>0</v>
          </cell>
          <cell r="AI152">
            <v>0</v>
          </cell>
        </row>
        <row r="153">
          <cell r="B153">
            <v>4</v>
          </cell>
          <cell r="C153" t="str">
            <v>066</v>
          </cell>
          <cell r="D153" t="str">
            <v>1603</v>
          </cell>
          <cell r="E153" t="str">
            <v>Part patronale mutuelle et prestation personnel permanent OEF</v>
          </cell>
          <cell r="F153">
            <v>0</v>
          </cell>
          <cell r="L153">
            <v>0</v>
          </cell>
          <cell r="P153">
            <v>0</v>
          </cell>
          <cell r="V153">
            <v>0</v>
          </cell>
          <cell r="AI153">
            <v>0</v>
          </cell>
        </row>
        <row r="154">
          <cell r="B154">
            <v>5</v>
          </cell>
          <cell r="C154" t="str">
            <v>066</v>
          </cell>
          <cell r="D154" t="str">
            <v>1604</v>
          </cell>
          <cell r="E154" t="str">
            <v>Part patronale mutuelle et prestation personnel permanent appoints</v>
          </cell>
          <cell r="F154">
            <v>0</v>
          </cell>
          <cell r="L154">
            <v>0</v>
          </cell>
          <cell r="P154">
            <v>0</v>
          </cell>
          <cell r="V154">
            <v>0</v>
          </cell>
          <cell r="AI154">
            <v>0</v>
          </cell>
        </row>
        <row r="155">
          <cell r="B155">
            <v>6</v>
          </cell>
          <cell r="C155" t="str">
            <v>066</v>
          </cell>
          <cell r="D155" t="str">
            <v>1605</v>
          </cell>
          <cell r="E155" t="str">
            <v>Part patronale mutuelle et prestation personnel permanent OEM</v>
          </cell>
          <cell r="F155">
            <v>0</v>
          </cell>
          <cell r="L155">
            <v>0</v>
          </cell>
          <cell r="P155">
            <v>0</v>
          </cell>
          <cell r="V155">
            <v>0</v>
          </cell>
          <cell r="AI155">
            <v>0</v>
          </cell>
        </row>
        <row r="156">
          <cell r="B156">
            <v>7</v>
          </cell>
          <cell r="C156" t="str">
            <v>066</v>
          </cell>
          <cell r="D156" t="str">
            <v>1606</v>
          </cell>
          <cell r="E156" t="str">
            <v>Part patronale mutuelle et prestation personnel permanent TAMCA</v>
          </cell>
          <cell r="F156">
            <v>0</v>
          </cell>
          <cell r="L156">
            <v>0</v>
          </cell>
          <cell r="P156">
            <v>0</v>
          </cell>
          <cell r="V156">
            <v>0</v>
          </cell>
          <cell r="AI156">
            <v>0</v>
          </cell>
        </row>
        <row r="157">
          <cell r="B157">
            <v>8</v>
          </cell>
          <cell r="C157" t="str">
            <v>066</v>
          </cell>
          <cell r="D157" t="str">
            <v>1608</v>
          </cell>
          <cell r="E157" t="str">
            <v>Part patronale mutuelle et prestation, Personnel permanent HC</v>
          </cell>
          <cell r="F157">
            <v>0</v>
          </cell>
          <cell r="L157">
            <v>0</v>
          </cell>
          <cell r="P157">
            <v>0</v>
          </cell>
          <cell r="V157">
            <v>0</v>
          </cell>
          <cell r="AI157">
            <v>0</v>
          </cell>
        </row>
        <row r="158">
          <cell r="B158">
            <v>1</v>
          </cell>
          <cell r="C158" t="str">
            <v>067</v>
          </cell>
          <cell r="D158" t="str">
            <v>1610</v>
          </cell>
          <cell r="E158" t="str">
            <v>Part patronale mutuelle accident de travail, Personnel OET</v>
          </cell>
          <cell r="F158">
            <v>0</v>
          </cell>
          <cell r="L158">
            <v>0</v>
          </cell>
          <cell r="P158">
            <v>0</v>
          </cell>
          <cell r="V158">
            <v>0</v>
          </cell>
          <cell r="AI158">
            <v>0</v>
          </cell>
        </row>
        <row r="159">
          <cell r="B159">
            <v>2</v>
          </cell>
          <cell r="C159" t="str">
            <v>067</v>
          </cell>
          <cell r="D159" t="str">
            <v>1611</v>
          </cell>
          <cell r="E159" t="str">
            <v>Part patronale mutuelle accident de travail, Personnel OEB</v>
          </cell>
          <cell r="F159">
            <v>0</v>
          </cell>
          <cell r="L159">
            <v>0</v>
          </cell>
          <cell r="P159">
            <v>0</v>
          </cell>
          <cell r="V159">
            <v>0</v>
          </cell>
          <cell r="AI159">
            <v>0</v>
          </cell>
        </row>
        <row r="160">
          <cell r="B160">
            <v>3</v>
          </cell>
          <cell r="C160" t="str">
            <v>067</v>
          </cell>
          <cell r="D160" t="str">
            <v>1612</v>
          </cell>
          <cell r="E160" t="str">
            <v>Part patronale mutuelle accident de travail, Personnel OEJ</v>
          </cell>
          <cell r="F160">
            <v>0</v>
          </cell>
          <cell r="L160">
            <v>0</v>
          </cell>
          <cell r="P160">
            <v>0</v>
          </cell>
          <cell r="V160">
            <v>0</v>
          </cell>
          <cell r="AI160">
            <v>0</v>
          </cell>
        </row>
        <row r="161">
          <cell r="B161">
            <v>4</v>
          </cell>
          <cell r="C161" t="str">
            <v>067</v>
          </cell>
          <cell r="D161" t="str">
            <v>1613</v>
          </cell>
          <cell r="E161" t="str">
            <v>Part patronale mutuelle accident de travail, personnel OEF</v>
          </cell>
          <cell r="F161">
            <v>0</v>
          </cell>
          <cell r="L161">
            <v>0</v>
          </cell>
          <cell r="P161">
            <v>0</v>
          </cell>
          <cell r="V161">
            <v>0</v>
          </cell>
          <cell r="AI161">
            <v>0</v>
          </cell>
        </row>
        <row r="162">
          <cell r="B162">
            <v>5</v>
          </cell>
          <cell r="C162" t="str">
            <v>067</v>
          </cell>
          <cell r="D162" t="str">
            <v>1614</v>
          </cell>
          <cell r="E162" t="str">
            <v>Part patronale mutuelle accident de travail, Personnel appoints</v>
          </cell>
          <cell r="F162">
            <v>0</v>
          </cell>
          <cell r="L162">
            <v>0</v>
          </cell>
          <cell r="P162">
            <v>0</v>
          </cell>
          <cell r="V162">
            <v>0</v>
          </cell>
          <cell r="AI162">
            <v>0</v>
          </cell>
        </row>
        <row r="163">
          <cell r="B163">
            <v>6</v>
          </cell>
          <cell r="C163" t="str">
            <v>067</v>
          </cell>
          <cell r="D163" t="str">
            <v>1615</v>
          </cell>
          <cell r="E163" t="str">
            <v>Part patronale mutuelle accident de travail, Personnel OEM</v>
          </cell>
          <cell r="F163">
            <v>0</v>
          </cell>
          <cell r="L163">
            <v>0</v>
          </cell>
          <cell r="P163">
            <v>0</v>
          </cell>
          <cell r="V163">
            <v>0</v>
          </cell>
          <cell r="AI163">
            <v>0</v>
          </cell>
        </row>
        <row r="164">
          <cell r="B164">
            <v>7</v>
          </cell>
          <cell r="C164" t="str">
            <v>067</v>
          </cell>
          <cell r="D164" t="str">
            <v>1616</v>
          </cell>
          <cell r="E164" t="str">
            <v>Part patronale mutuelle accident de travail, Personnel TAMCA</v>
          </cell>
          <cell r="F164">
            <v>0</v>
          </cell>
          <cell r="L164">
            <v>0</v>
          </cell>
          <cell r="P164">
            <v>0</v>
          </cell>
          <cell r="V164">
            <v>0</v>
          </cell>
          <cell r="AI164">
            <v>0</v>
          </cell>
        </row>
        <row r="165">
          <cell r="B165">
            <v>8</v>
          </cell>
          <cell r="C165" t="str">
            <v>067</v>
          </cell>
          <cell r="D165" t="str">
            <v>1618</v>
          </cell>
          <cell r="E165" t="str">
            <v>Part patronale mutuelle accident de travail PHC</v>
          </cell>
          <cell r="F165">
            <v>0</v>
          </cell>
          <cell r="L165">
            <v>0</v>
          </cell>
          <cell r="P165">
            <v>0</v>
          </cell>
          <cell r="V165">
            <v>0</v>
          </cell>
          <cell r="AI165">
            <v>0</v>
          </cell>
        </row>
        <row r="166">
          <cell r="B166">
            <v>1</v>
          </cell>
          <cell r="C166" t="str">
            <v>068</v>
          </cell>
          <cell r="D166" t="str">
            <v>1620</v>
          </cell>
          <cell r="E166" t="str">
            <v>Part patronale mutuelle décés invalidité, Personnel permanent OET</v>
          </cell>
          <cell r="F166">
            <v>0</v>
          </cell>
          <cell r="L166">
            <v>0</v>
          </cell>
          <cell r="P166">
            <v>0</v>
          </cell>
          <cell r="V166">
            <v>0</v>
          </cell>
          <cell r="Z166">
            <v>1896</v>
          </cell>
          <cell r="AH166">
            <v>120</v>
          </cell>
          <cell r="AI166">
            <v>2016</v>
          </cell>
        </row>
        <row r="167">
          <cell r="B167">
            <v>2</v>
          </cell>
          <cell r="C167" t="str">
            <v>068</v>
          </cell>
          <cell r="D167" t="str">
            <v>1621</v>
          </cell>
          <cell r="E167" t="str">
            <v>Part patronale mutuelle décés invalidité, Personnel permanent OEB</v>
          </cell>
          <cell r="F167">
            <v>0</v>
          </cell>
          <cell r="L167">
            <v>0</v>
          </cell>
          <cell r="P167">
            <v>0</v>
          </cell>
          <cell r="V167">
            <v>0</v>
          </cell>
          <cell r="AI167">
            <v>0</v>
          </cell>
        </row>
        <row r="168">
          <cell r="B168">
            <v>3</v>
          </cell>
          <cell r="C168" t="str">
            <v>068</v>
          </cell>
          <cell r="D168" t="str">
            <v>1622</v>
          </cell>
          <cell r="E168" t="str">
            <v>Part patronale mutuelle décés invalidité, Personnel permanent OEJ</v>
          </cell>
          <cell r="F168">
            <v>0</v>
          </cell>
          <cell r="L168">
            <v>0</v>
          </cell>
          <cell r="P168">
            <v>0</v>
          </cell>
          <cell r="V168">
            <v>0</v>
          </cell>
          <cell r="AI168">
            <v>0</v>
          </cell>
        </row>
        <row r="169">
          <cell r="B169">
            <v>4</v>
          </cell>
          <cell r="C169" t="str">
            <v>068</v>
          </cell>
          <cell r="D169" t="str">
            <v>1623</v>
          </cell>
          <cell r="E169" t="str">
            <v>Part patronale mutuelle décés invalidité, Personnel permanent OEF</v>
          </cell>
          <cell r="F169">
            <v>0</v>
          </cell>
          <cell r="L169">
            <v>0</v>
          </cell>
          <cell r="P169">
            <v>0</v>
          </cell>
          <cell r="V169">
            <v>0</v>
          </cell>
          <cell r="AI169">
            <v>0</v>
          </cell>
        </row>
        <row r="170">
          <cell r="B170">
            <v>5</v>
          </cell>
          <cell r="C170" t="str">
            <v>068</v>
          </cell>
          <cell r="D170" t="str">
            <v>1624</v>
          </cell>
          <cell r="E170" t="str">
            <v>Part patronale mutuelle décés invalidité, Personnel permanent appoints</v>
          </cell>
          <cell r="F170">
            <v>0</v>
          </cell>
          <cell r="L170">
            <v>0</v>
          </cell>
          <cell r="P170">
            <v>0</v>
          </cell>
          <cell r="V170">
            <v>0</v>
          </cell>
          <cell r="AI170">
            <v>0</v>
          </cell>
        </row>
        <row r="171">
          <cell r="B171">
            <v>6</v>
          </cell>
          <cell r="C171" t="str">
            <v>068</v>
          </cell>
          <cell r="D171" t="str">
            <v>1625</v>
          </cell>
          <cell r="E171" t="str">
            <v>Part patronale mutuelle décés invalidité, Personnel permanent OEM</v>
          </cell>
          <cell r="F171">
            <v>0</v>
          </cell>
          <cell r="L171">
            <v>0</v>
          </cell>
          <cell r="P171">
            <v>0</v>
          </cell>
          <cell r="V171">
            <v>0</v>
          </cell>
          <cell r="AI171">
            <v>0</v>
          </cell>
        </row>
        <row r="172">
          <cell r="B172">
            <v>7</v>
          </cell>
          <cell r="C172" t="str">
            <v>068</v>
          </cell>
          <cell r="D172" t="str">
            <v>1626</v>
          </cell>
          <cell r="E172" t="str">
            <v>Part patronale mutuelle décés invalidité, Personnel permanent TAMCA</v>
          </cell>
          <cell r="F172">
            <v>0</v>
          </cell>
          <cell r="L172">
            <v>0</v>
          </cell>
          <cell r="P172">
            <v>0</v>
          </cell>
          <cell r="V172">
            <v>0</v>
          </cell>
          <cell r="AI172">
            <v>0</v>
          </cell>
        </row>
        <row r="173">
          <cell r="B173">
            <v>8</v>
          </cell>
          <cell r="C173" t="str">
            <v>068</v>
          </cell>
          <cell r="D173" t="str">
            <v>1628</v>
          </cell>
          <cell r="E173" t="str">
            <v>Part patronale mutuelle décés invalidité, Personnel permanent HC</v>
          </cell>
          <cell r="F173">
            <v>0</v>
          </cell>
          <cell r="L173">
            <v>0</v>
          </cell>
          <cell r="P173">
            <v>0</v>
          </cell>
          <cell r="V173">
            <v>0</v>
          </cell>
          <cell r="AI173">
            <v>0</v>
          </cell>
        </row>
        <row r="174">
          <cell r="B174">
            <v>1</v>
          </cell>
          <cell r="C174" t="str">
            <v>069</v>
          </cell>
          <cell r="D174" t="str">
            <v>1630</v>
          </cell>
          <cell r="E174" t="str">
            <v>P.P. mutuelle décés invalidité personnel retraité OET</v>
          </cell>
          <cell r="F174">
            <v>0</v>
          </cell>
          <cell r="L174">
            <v>0</v>
          </cell>
          <cell r="P174">
            <v>0</v>
          </cell>
          <cell r="V174">
            <v>0</v>
          </cell>
          <cell r="AI174">
            <v>0</v>
          </cell>
        </row>
        <row r="175">
          <cell r="B175">
            <v>2</v>
          </cell>
          <cell r="C175" t="str">
            <v>069</v>
          </cell>
          <cell r="D175" t="str">
            <v>1631</v>
          </cell>
          <cell r="E175" t="str">
            <v>P.P. mutuelle décés invalidité personnel retraité OEB</v>
          </cell>
          <cell r="F175">
            <v>0</v>
          </cell>
          <cell r="L175">
            <v>0</v>
          </cell>
          <cell r="P175">
            <v>0</v>
          </cell>
          <cell r="V175">
            <v>0</v>
          </cell>
          <cell r="AI175">
            <v>0</v>
          </cell>
        </row>
        <row r="176">
          <cell r="B176">
            <v>3</v>
          </cell>
          <cell r="C176" t="str">
            <v>069</v>
          </cell>
          <cell r="D176" t="str">
            <v>1632</v>
          </cell>
          <cell r="E176" t="str">
            <v>P.P. mutuelle décés invalidité personnel retraité OEJ</v>
          </cell>
          <cell r="F176">
            <v>0</v>
          </cell>
          <cell r="L176">
            <v>0</v>
          </cell>
          <cell r="P176">
            <v>0</v>
          </cell>
          <cell r="V176">
            <v>0</v>
          </cell>
          <cell r="AI176">
            <v>0</v>
          </cell>
        </row>
        <row r="177">
          <cell r="B177">
            <v>4</v>
          </cell>
          <cell r="C177" t="str">
            <v>069</v>
          </cell>
          <cell r="D177" t="str">
            <v>1633</v>
          </cell>
          <cell r="E177" t="str">
            <v>P.P. mutuelle décés invalidité personnel retraité OEF</v>
          </cell>
          <cell r="F177">
            <v>0</v>
          </cell>
          <cell r="L177">
            <v>0</v>
          </cell>
          <cell r="P177">
            <v>0</v>
          </cell>
          <cell r="V177">
            <v>0</v>
          </cell>
          <cell r="AI177">
            <v>0</v>
          </cell>
        </row>
        <row r="178">
          <cell r="B178">
            <v>5</v>
          </cell>
          <cell r="C178" t="str">
            <v>069</v>
          </cell>
          <cell r="D178" t="str">
            <v>1634</v>
          </cell>
          <cell r="E178" t="str">
            <v>P.P. mutuelle décés invalidité personnel retraité appoints</v>
          </cell>
          <cell r="F178">
            <v>0</v>
          </cell>
          <cell r="L178">
            <v>0</v>
          </cell>
          <cell r="P178">
            <v>0</v>
          </cell>
          <cell r="V178">
            <v>0</v>
          </cell>
          <cell r="AI178">
            <v>0</v>
          </cell>
        </row>
        <row r="179">
          <cell r="B179">
            <v>6</v>
          </cell>
          <cell r="C179" t="str">
            <v>069</v>
          </cell>
          <cell r="D179" t="str">
            <v>1635</v>
          </cell>
          <cell r="E179" t="str">
            <v>P.P. mutuelle décés invalidité personnel retraité OEM</v>
          </cell>
          <cell r="F179">
            <v>0</v>
          </cell>
          <cell r="L179">
            <v>0</v>
          </cell>
          <cell r="P179">
            <v>0</v>
          </cell>
          <cell r="V179">
            <v>0</v>
          </cell>
          <cell r="AI179">
            <v>0</v>
          </cell>
        </row>
        <row r="180">
          <cell r="B180">
            <v>7</v>
          </cell>
          <cell r="C180" t="str">
            <v>069</v>
          </cell>
          <cell r="D180" t="str">
            <v>1636</v>
          </cell>
          <cell r="E180" t="str">
            <v>P.P. mutuelle décés invalidité personnel retraité TAMCA</v>
          </cell>
          <cell r="F180">
            <v>0</v>
          </cell>
          <cell r="L180">
            <v>0</v>
          </cell>
          <cell r="P180">
            <v>0</v>
          </cell>
          <cell r="V180">
            <v>0</v>
          </cell>
          <cell r="AI180">
            <v>0</v>
          </cell>
        </row>
        <row r="181">
          <cell r="B181">
            <v>8</v>
          </cell>
          <cell r="C181" t="str">
            <v>069</v>
          </cell>
          <cell r="D181" t="str">
            <v>1638</v>
          </cell>
          <cell r="E181" t="str">
            <v>P.P. mutuelle décés invalidité personnel retraité HC</v>
          </cell>
          <cell r="F181">
            <v>0</v>
          </cell>
          <cell r="L181">
            <v>0</v>
          </cell>
          <cell r="P181">
            <v>0</v>
          </cell>
          <cell r="V181">
            <v>0</v>
          </cell>
          <cell r="AI181">
            <v>0</v>
          </cell>
        </row>
        <row r="182">
          <cell r="B182">
            <v>1</v>
          </cell>
          <cell r="C182" t="str">
            <v>070</v>
          </cell>
          <cell r="D182" t="str">
            <v>1300</v>
          </cell>
          <cell r="E182" t="str">
            <v>Part patronale retraite OS 800, Personnel permanent OET</v>
          </cell>
          <cell r="F182">
            <v>75636</v>
          </cell>
          <cell r="G182">
            <v>90372</v>
          </cell>
          <cell r="H182">
            <v>82428</v>
          </cell>
          <cell r="I182">
            <v>75384</v>
          </cell>
          <cell r="J182">
            <v>80688</v>
          </cell>
          <cell r="K182">
            <v>100656</v>
          </cell>
          <cell r="L182">
            <v>505164</v>
          </cell>
          <cell r="M182">
            <v>43128</v>
          </cell>
          <cell r="N182">
            <v>366612</v>
          </cell>
          <cell r="O182">
            <v>465684</v>
          </cell>
          <cell r="P182">
            <v>832296</v>
          </cell>
          <cell r="R182">
            <v>171516</v>
          </cell>
          <cell r="V182">
            <v>0</v>
          </cell>
          <cell r="W182">
            <v>13368</v>
          </cell>
          <cell r="Z182">
            <v>780</v>
          </cell>
          <cell r="AB182">
            <v>540</v>
          </cell>
          <cell r="AC182">
            <v>4968</v>
          </cell>
          <cell r="AE182">
            <v>2196</v>
          </cell>
          <cell r="AG182">
            <v>25284</v>
          </cell>
          <cell r="AH182">
            <v>18708</v>
          </cell>
          <cell r="AI182">
            <v>1617948</v>
          </cell>
        </row>
        <row r="183">
          <cell r="B183">
            <v>1</v>
          </cell>
          <cell r="C183" t="str">
            <v>071</v>
          </cell>
          <cell r="D183" t="str">
            <v>1301</v>
          </cell>
          <cell r="E183" t="str">
            <v>Part patronale retraite OS 800, Personnel permanent OEB</v>
          </cell>
          <cell r="F183">
            <v>0</v>
          </cell>
          <cell r="L183">
            <v>0</v>
          </cell>
          <cell r="P183">
            <v>0</v>
          </cell>
          <cell r="V183">
            <v>0</v>
          </cell>
          <cell r="AH183">
            <v>7716</v>
          </cell>
          <cell r="AI183">
            <v>7716</v>
          </cell>
        </row>
        <row r="184">
          <cell r="B184">
            <v>1</v>
          </cell>
          <cell r="C184" t="str">
            <v>072</v>
          </cell>
          <cell r="D184" t="str">
            <v>1302</v>
          </cell>
          <cell r="E184" t="str">
            <v>Part patronale retraite OS 800, Personnel permanent OEJ</v>
          </cell>
          <cell r="F184">
            <v>0</v>
          </cell>
          <cell r="G184">
            <v>1080</v>
          </cell>
          <cell r="L184">
            <v>1080</v>
          </cell>
          <cell r="P184">
            <v>0</v>
          </cell>
          <cell r="V184">
            <v>0</v>
          </cell>
          <cell r="X184">
            <v>5460</v>
          </cell>
          <cell r="Y184">
            <v>18696</v>
          </cell>
          <cell r="Z184">
            <v>7212</v>
          </cell>
          <cell r="AA184">
            <v>99792</v>
          </cell>
          <cell r="AB184">
            <v>56376</v>
          </cell>
          <cell r="AC184">
            <v>47256</v>
          </cell>
          <cell r="AD184">
            <v>25800</v>
          </cell>
          <cell r="AE184">
            <v>25584</v>
          </cell>
          <cell r="AF184">
            <v>38772</v>
          </cell>
          <cell r="AG184">
            <v>50448</v>
          </cell>
          <cell r="AH184">
            <v>63828</v>
          </cell>
          <cell r="AI184">
            <v>440304</v>
          </cell>
        </row>
        <row r="185">
          <cell r="B185">
            <v>1</v>
          </cell>
          <cell r="C185" t="str">
            <v>073</v>
          </cell>
          <cell r="D185" t="str">
            <v>1303</v>
          </cell>
          <cell r="E185" t="str">
            <v>Part patronale retraite OS 800, Personnel permanent OEF</v>
          </cell>
          <cell r="F185">
            <v>52032</v>
          </cell>
          <cell r="G185">
            <v>62064</v>
          </cell>
          <cell r="H185">
            <v>53784</v>
          </cell>
          <cell r="I185">
            <v>57528</v>
          </cell>
          <cell r="J185">
            <v>54852</v>
          </cell>
          <cell r="K185">
            <v>67332</v>
          </cell>
          <cell r="L185">
            <v>347592</v>
          </cell>
          <cell r="M185">
            <v>60876</v>
          </cell>
          <cell r="N185">
            <v>146772</v>
          </cell>
          <cell r="O185">
            <v>173806</v>
          </cell>
          <cell r="P185">
            <v>320578</v>
          </cell>
          <cell r="R185">
            <v>256044</v>
          </cell>
          <cell r="S185">
            <v>221412</v>
          </cell>
          <cell r="V185">
            <v>0</v>
          </cell>
          <cell r="W185">
            <v>39000</v>
          </cell>
          <cell r="X185">
            <v>21324</v>
          </cell>
          <cell r="Y185">
            <v>99324</v>
          </cell>
          <cell r="Z185">
            <v>30060</v>
          </cell>
          <cell r="AA185">
            <v>5712</v>
          </cell>
          <cell r="AB185">
            <v>13668</v>
          </cell>
          <cell r="AC185">
            <v>12360</v>
          </cell>
          <cell r="AD185">
            <v>12336</v>
          </cell>
          <cell r="AE185">
            <v>28580</v>
          </cell>
          <cell r="AF185">
            <v>7224</v>
          </cell>
          <cell r="AG185">
            <v>81420</v>
          </cell>
          <cell r="AH185">
            <v>49380</v>
          </cell>
          <cell r="AI185">
            <v>1606890</v>
          </cell>
        </row>
        <row r="186">
          <cell r="B186">
            <v>1</v>
          </cell>
          <cell r="C186" t="str">
            <v>074</v>
          </cell>
          <cell r="D186" t="str">
            <v>1304</v>
          </cell>
          <cell r="E186" t="str">
            <v>Part patronale retraite OS 800, Personnel permanent appoints</v>
          </cell>
          <cell r="F186">
            <v>0</v>
          </cell>
          <cell r="L186">
            <v>0</v>
          </cell>
          <cell r="P186">
            <v>0</v>
          </cell>
          <cell r="V186">
            <v>0</v>
          </cell>
          <cell r="AI186">
            <v>0</v>
          </cell>
        </row>
        <row r="187">
          <cell r="B187">
            <v>1</v>
          </cell>
          <cell r="C187" t="str">
            <v>075</v>
          </cell>
          <cell r="D187" t="str">
            <v>1306</v>
          </cell>
          <cell r="E187" t="str">
            <v>Part patronale retraite OS 800, Personnel permanent TAMCA</v>
          </cell>
          <cell r="F187">
            <v>0</v>
          </cell>
          <cell r="G187">
            <v>17112</v>
          </cell>
          <cell r="H187">
            <v>1224</v>
          </cell>
          <cell r="I187">
            <v>2460</v>
          </cell>
          <cell r="K187">
            <v>1224</v>
          </cell>
          <cell r="L187">
            <v>22020</v>
          </cell>
          <cell r="N187">
            <v>71100</v>
          </cell>
          <cell r="O187">
            <v>59220</v>
          </cell>
          <cell r="P187">
            <v>130320</v>
          </cell>
          <cell r="R187">
            <v>14712</v>
          </cell>
          <cell r="S187">
            <v>28656</v>
          </cell>
          <cell r="V187">
            <v>0</v>
          </cell>
          <cell r="W187">
            <v>11304</v>
          </cell>
          <cell r="Y187">
            <v>4212</v>
          </cell>
          <cell r="Z187">
            <v>7812</v>
          </cell>
          <cell r="AA187">
            <v>18780</v>
          </cell>
          <cell r="AF187">
            <v>12912</v>
          </cell>
          <cell r="AG187">
            <v>20532</v>
          </cell>
          <cell r="AI187">
            <v>271260</v>
          </cell>
        </row>
        <row r="188">
          <cell r="B188">
            <v>1</v>
          </cell>
          <cell r="C188" t="str">
            <v>076</v>
          </cell>
          <cell r="D188" t="str">
            <v>1305</v>
          </cell>
          <cell r="E188" t="str">
            <v>Part patronale retraite OS 800, Personnel permanent OEM</v>
          </cell>
          <cell r="F188">
            <v>0</v>
          </cell>
          <cell r="L188">
            <v>0</v>
          </cell>
          <cell r="P188">
            <v>0</v>
          </cell>
          <cell r="V188">
            <v>0</v>
          </cell>
          <cell r="AI188">
            <v>0</v>
          </cell>
        </row>
        <row r="189">
          <cell r="B189">
            <v>1</v>
          </cell>
          <cell r="C189" t="str">
            <v>077</v>
          </cell>
          <cell r="D189" t="str">
            <v>1308</v>
          </cell>
          <cell r="E189" t="str">
            <v>Part patronale retraite OS 800, Personnel permanent HC</v>
          </cell>
          <cell r="F189">
            <v>0</v>
          </cell>
          <cell r="L189">
            <v>0</v>
          </cell>
          <cell r="P189">
            <v>0</v>
          </cell>
          <cell r="V189">
            <v>0</v>
          </cell>
          <cell r="AI189">
            <v>0</v>
          </cell>
        </row>
        <row r="190">
          <cell r="B190">
            <v>1</v>
          </cell>
          <cell r="C190" t="str">
            <v>079</v>
          </cell>
          <cell r="D190" t="str">
            <v>1410</v>
          </cell>
          <cell r="E190" t="str">
            <v>Part patronale sur primes de fin d'année OS 800, Personnel permanent OET</v>
          </cell>
          <cell r="F190">
            <v>34584</v>
          </cell>
          <cell r="G190">
            <v>43716</v>
          </cell>
          <cell r="H190">
            <v>38136</v>
          </cell>
          <cell r="I190">
            <v>35220</v>
          </cell>
          <cell r="J190">
            <v>33492</v>
          </cell>
          <cell r="K190">
            <v>43860</v>
          </cell>
          <cell r="L190">
            <v>229008</v>
          </cell>
          <cell r="M190">
            <v>24024</v>
          </cell>
          <cell r="N190">
            <v>193872</v>
          </cell>
          <cell r="O190">
            <v>231576</v>
          </cell>
          <cell r="P190">
            <v>425448</v>
          </cell>
          <cell r="R190">
            <v>124368</v>
          </cell>
          <cell r="S190">
            <v>58848</v>
          </cell>
          <cell r="V190">
            <v>0</v>
          </cell>
          <cell r="W190">
            <v>16680</v>
          </cell>
          <cell r="X190">
            <v>6216</v>
          </cell>
          <cell r="Y190">
            <v>33204</v>
          </cell>
          <cell r="Z190">
            <v>13512</v>
          </cell>
          <cell r="AA190">
            <v>28080</v>
          </cell>
          <cell r="AB190">
            <v>15312</v>
          </cell>
          <cell r="AC190">
            <v>19368</v>
          </cell>
          <cell r="AD190">
            <v>8664</v>
          </cell>
          <cell r="AE190">
            <v>13260</v>
          </cell>
          <cell r="AF190">
            <v>14688</v>
          </cell>
          <cell r="AG190">
            <v>48288</v>
          </cell>
          <cell r="AH190">
            <v>37452</v>
          </cell>
          <cell r="AI190">
            <v>1116420</v>
          </cell>
        </row>
        <row r="191">
          <cell r="B191">
            <v>2</v>
          </cell>
          <cell r="C191" t="str">
            <v>079</v>
          </cell>
          <cell r="D191" t="str">
            <v>1411</v>
          </cell>
          <cell r="E191" t="str">
            <v>Part patronale sur primes de fin d'année OS 800, Personnel permanent OEB</v>
          </cell>
          <cell r="F191">
            <v>0</v>
          </cell>
          <cell r="L191">
            <v>0</v>
          </cell>
          <cell r="P191">
            <v>0</v>
          </cell>
          <cell r="V191">
            <v>0</v>
          </cell>
          <cell r="AI191">
            <v>0</v>
          </cell>
        </row>
        <row r="192">
          <cell r="B192">
            <v>3</v>
          </cell>
          <cell r="C192" t="str">
            <v>079</v>
          </cell>
          <cell r="D192" t="str">
            <v>1412</v>
          </cell>
          <cell r="E192" t="str">
            <v>Part patronale sur primes de fin d'année OS 800, Personnel permanent OEJ</v>
          </cell>
          <cell r="F192">
            <v>0</v>
          </cell>
          <cell r="L192">
            <v>0</v>
          </cell>
          <cell r="P192">
            <v>0</v>
          </cell>
          <cell r="V192">
            <v>0</v>
          </cell>
          <cell r="AI192">
            <v>0</v>
          </cell>
        </row>
        <row r="193">
          <cell r="B193">
            <v>4</v>
          </cell>
          <cell r="C193" t="str">
            <v>079</v>
          </cell>
          <cell r="D193" t="str">
            <v>1413</v>
          </cell>
          <cell r="E193" t="str">
            <v>Part patronale sur primes de fin d'année OS 800, Personnel permanent OEF</v>
          </cell>
          <cell r="F193">
            <v>0</v>
          </cell>
          <cell r="L193">
            <v>0</v>
          </cell>
          <cell r="P193">
            <v>0</v>
          </cell>
          <cell r="V193">
            <v>0</v>
          </cell>
          <cell r="AI193">
            <v>0</v>
          </cell>
        </row>
        <row r="194">
          <cell r="B194">
            <v>5</v>
          </cell>
          <cell r="C194" t="str">
            <v>079</v>
          </cell>
          <cell r="D194" t="str">
            <v>1414</v>
          </cell>
          <cell r="E194" t="str">
            <v>Part patronale sur primes de fin d'année OS 800, Personnel permanent appoints</v>
          </cell>
          <cell r="F194">
            <v>0</v>
          </cell>
          <cell r="L194">
            <v>0</v>
          </cell>
          <cell r="P194">
            <v>0</v>
          </cell>
          <cell r="V194">
            <v>0</v>
          </cell>
          <cell r="AI194">
            <v>0</v>
          </cell>
        </row>
        <row r="195">
          <cell r="B195">
            <v>6</v>
          </cell>
          <cell r="C195" t="str">
            <v>079</v>
          </cell>
          <cell r="D195" t="str">
            <v>1415</v>
          </cell>
          <cell r="E195" t="str">
            <v>Part patronale sur primes de fin d'année OS 800, Personnel permanent OEM</v>
          </cell>
          <cell r="F195">
            <v>0</v>
          </cell>
          <cell r="L195">
            <v>0</v>
          </cell>
          <cell r="P195">
            <v>0</v>
          </cell>
          <cell r="V195">
            <v>0</v>
          </cell>
          <cell r="AI195">
            <v>0</v>
          </cell>
        </row>
        <row r="196">
          <cell r="B196">
            <v>7</v>
          </cell>
          <cell r="C196" t="str">
            <v>079</v>
          </cell>
          <cell r="D196" t="str">
            <v>1416</v>
          </cell>
          <cell r="E196" t="str">
            <v>Part patronale sur primes de fin d'année OS 800, Personnel permanent TAMCA</v>
          </cell>
          <cell r="F196">
            <v>0</v>
          </cell>
          <cell r="L196">
            <v>0</v>
          </cell>
          <cell r="P196">
            <v>0</v>
          </cell>
          <cell r="V196">
            <v>0</v>
          </cell>
          <cell r="AI196">
            <v>0</v>
          </cell>
        </row>
        <row r="197">
          <cell r="B197">
            <v>8</v>
          </cell>
          <cell r="C197" t="str">
            <v>079</v>
          </cell>
          <cell r="D197" t="str">
            <v>1418</v>
          </cell>
          <cell r="E197" t="str">
            <v>Part patronale sur primes de fin d'année OS 800, Personnel permanent HC</v>
          </cell>
          <cell r="F197">
            <v>0</v>
          </cell>
          <cell r="L197">
            <v>0</v>
          </cell>
          <cell r="P197">
            <v>0</v>
          </cell>
          <cell r="V197">
            <v>0</v>
          </cell>
          <cell r="AI197">
            <v>0</v>
          </cell>
        </row>
        <row r="198">
          <cell r="B198">
            <v>1</v>
          </cell>
          <cell r="C198" t="str">
            <v>085</v>
          </cell>
          <cell r="D198" t="str">
            <v>1326</v>
          </cell>
          <cell r="E198" t="str">
            <v>Part patronale OS 824 TAMCA</v>
          </cell>
          <cell r="F198">
            <v>0</v>
          </cell>
          <cell r="H198">
            <v>7992</v>
          </cell>
          <cell r="J198">
            <v>6924</v>
          </cell>
          <cell r="K198">
            <v>8244</v>
          </cell>
          <cell r="L198">
            <v>23160</v>
          </cell>
          <cell r="M198">
            <v>8880</v>
          </cell>
          <cell r="N198">
            <v>36420</v>
          </cell>
          <cell r="O198">
            <v>35712</v>
          </cell>
          <cell r="P198">
            <v>72132</v>
          </cell>
          <cell r="S198">
            <v>47928</v>
          </cell>
          <cell r="V198">
            <v>0</v>
          </cell>
          <cell r="W198">
            <v>936</v>
          </cell>
          <cell r="Y198">
            <v>21504</v>
          </cell>
          <cell r="Z198">
            <v>17712</v>
          </cell>
          <cell r="AA198">
            <v>12696</v>
          </cell>
          <cell r="AB198">
            <v>13680</v>
          </cell>
          <cell r="AE198">
            <v>12072</v>
          </cell>
          <cell r="AG198">
            <v>11484</v>
          </cell>
          <cell r="AI198">
            <v>242184</v>
          </cell>
        </row>
        <row r="199">
          <cell r="B199">
            <v>1</v>
          </cell>
          <cell r="C199" t="str">
            <v>086</v>
          </cell>
          <cell r="D199" t="str">
            <v>1336</v>
          </cell>
          <cell r="E199" t="str">
            <v>Part patronale Recore OS 824, Personnel TAMCA</v>
          </cell>
          <cell r="F199">
            <v>0</v>
          </cell>
          <cell r="H199">
            <v>504</v>
          </cell>
          <cell r="J199">
            <v>912</v>
          </cell>
          <cell r="K199">
            <v>1152</v>
          </cell>
          <cell r="L199">
            <v>2568</v>
          </cell>
          <cell r="M199">
            <v>6000</v>
          </cell>
          <cell r="N199">
            <v>4092</v>
          </cell>
          <cell r="O199">
            <v>3612</v>
          </cell>
          <cell r="P199">
            <v>7704</v>
          </cell>
          <cell r="S199">
            <v>6840</v>
          </cell>
          <cell r="V199">
            <v>0</v>
          </cell>
          <cell r="W199">
            <v>192</v>
          </cell>
          <cell r="Y199">
            <v>13332</v>
          </cell>
          <cell r="Z199">
            <v>12120</v>
          </cell>
          <cell r="AA199">
            <v>1008</v>
          </cell>
          <cell r="AB199">
            <v>2832</v>
          </cell>
          <cell r="AE199">
            <v>1416</v>
          </cell>
          <cell r="AG199">
            <v>2304</v>
          </cell>
          <cell r="AI199">
            <v>56316</v>
          </cell>
        </row>
        <row r="200">
          <cell r="B200">
            <v>1</v>
          </cell>
          <cell r="C200" t="str">
            <v>087</v>
          </cell>
          <cell r="D200" t="str">
            <v>1346</v>
          </cell>
          <cell r="E200" t="str">
            <v>Part patronale RCAR régime de base, Personnel TAMCA</v>
          </cell>
          <cell r="F200">
            <v>0</v>
          </cell>
          <cell r="L200">
            <v>0</v>
          </cell>
          <cell r="P200">
            <v>0</v>
          </cell>
          <cell r="V200">
            <v>0</v>
          </cell>
          <cell r="AI200">
            <v>0</v>
          </cell>
        </row>
        <row r="201">
          <cell r="B201">
            <v>1</v>
          </cell>
          <cell r="C201">
            <v>100</v>
          </cell>
          <cell r="D201" t="str">
            <v>2100</v>
          </cell>
          <cell r="E201" t="str">
            <v>Fournitures internes, Electricité SA Fact.à SA Fact.même DIV</v>
          </cell>
          <cell r="F201">
            <v>0</v>
          </cell>
          <cell r="L201">
            <v>0</v>
          </cell>
          <cell r="P201">
            <v>0</v>
          </cell>
          <cell r="V201">
            <v>0</v>
          </cell>
          <cell r="AI201">
            <v>0</v>
          </cell>
        </row>
        <row r="202">
          <cell r="B202">
            <v>1</v>
          </cell>
          <cell r="C202">
            <v>101</v>
          </cell>
          <cell r="D202" t="str">
            <v>2101</v>
          </cell>
          <cell r="E202" t="str">
            <v>Fournitures internes, Electricité SA Fact. À SA Fact.autres DIV</v>
          </cell>
          <cell r="F202">
            <v>0</v>
          </cell>
          <cell r="L202">
            <v>0</v>
          </cell>
          <cell r="P202">
            <v>0</v>
          </cell>
          <cell r="V202">
            <v>0</v>
          </cell>
          <cell r="AI202">
            <v>0</v>
          </cell>
        </row>
        <row r="203">
          <cell r="B203">
            <v>1</v>
          </cell>
          <cell r="C203">
            <v>102</v>
          </cell>
          <cell r="D203" t="str">
            <v>2102</v>
          </cell>
          <cell r="E203" t="str">
            <v>Fournitures internes, Electricite (SA FACT à SA Consommation même DIV)</v>
          </cell>
          <cell r="F203">
            <v>29676</v>
          </cell>
          <cell r="G203">
            <v>40368</v>
          </cell>
          <cell r="H203">
            <v>37068</v>
          </cell>
          <cell r="I203">
            <v>33372</v>
          </cell>
          <cell r="J203">
            <v>32064</v>
          </cell>
          <cell r="K203">
            <v>44712</v>
          </cell>
          <cell r="L203">
            <v>217260</v>
          </cell>
          <cell r="N203">
            <v>362640</v>
          </cell>
          <cell r="O203">
            <v>428796</v>
          </cell>
          <cell r="P203">
            <v>791436</v>
          </cell>
          <cell r="R203">
            <v>602208</v>
          </cell>
          <cell r="S203">
            <v>6389352</v>
          </cell>
          <cell r="V203">
            <v>0</v>
          </cell>
          <cell r="AA203">
            <v>478716</v>
          </cell>
          <cell r="AC203">
            <v>3403368</v>
          </cell>
          <cell r="AG203">
            <v>2698128</v>
          </cell>
          <cell r="AH203">
            <v>219576</v>
          </cell>
          <cell r="AI203">
            <v>14800044</v>
          </cell>
        </row>
        <row r="204">
          <cell r="B204">
            <v>1</v>
          </cell>
          <cell r="C204">
            <v>103</v>
          </cell>
          <cell r="D204" t="str">
            <v>2103</v>
          </cell>
          <cell r="E204" t="str">
            <v>Fournitures internes, Electricité (SA Fact.à SA Consommation autres DIV)</v>
          </cell>
          <cell r="F204">
            <v>0</v>
          </cell>
          <cell r="L204">
            <v>0</v>
          </cell>
          <cell r="P204">
            <v>0</v>
          </cell>
          <cell r="V204">
            <v>0</v>
          </cell>
          <cell r="AI204">
            <v>0</v>
          </cell>
        </row>
        <row r="205">
          <cell r="B205">
            <v>1</v>
          </cell>
          <cell r="C205">
            <v>104</v>
          </cell>
          <cell r="D205" t="str">
            <v>2104</v>
          </cell>
          <cell r="E205" t="str">
            <v>Fournitures internes, Eau OCP ( SA Fact.à SA Fact. Même DIV)</v>
          </cell>
          <cell r="F205">
            <v>0</v>
          </cell>
          <cell r="L205">
            <v>0</v>
          </cell>
          <cell r="P205">
            <v>0</v>
          </cell>
          <cell r="V205">
            <v>0</v>
          </cell>
          <cell r="AI205">
            <v>0</v>
          </cell>
        </row>
        <row r="206">
          <cell r="B206">
            <v>1</v>
          </cell>
          <cell r="C206">
            <v>105</v>
          </cell>
          <cell r="D206" t="str">
            <v>2105</v>
          </cell>
          <cell r="E206" t="str">
            <v>Fournitures internes, Eau OCP ( SA Fact.à SA Fact. autres DIV)</v>
          </cell>
          <cell r="F206">
            <v>0</v>
          </cell>
          <cell r="L206">
            <v>0</v>
          </cell>
          <cell r="P206">
            <v>0</v>
          </cell>
          <cell r="V206">
            <v>0</v>
          </cell>
          <cell r="AI206">
            <v>0</v>
          </cell>
        </row>
        <row r="207">
          <cell r="B207">
            <v>1</v>
          </cell>
          <cell r="C207">
            <v>106</v>
          </cell>
          <cell r="D207" t="str">
            <v>2106</v>
          </cell>
          <cell r="E207" t="str">
            <v>Fournitures internes, Eau OCP (SA Fact.à SA Consommation même DIV)</v>
          </cell>
          <cell r="F207">
            <v>0</v>
          </cell>
          <cell r="L207">
            <v>0</v>
          </cell>
          <cell r="P207">
            <v>0</v>
          </cell>
          <cell r="V207">
            <v>0</v>
          </cell>
          <cell r="AH207">
            <v>219972</v>
          </cell>
          <cell r="AI207">
            <v>219972</v>
          </cell>
        </row>
        <row r="208">
          <cell r="B208">
            <v>1</v>
          </cell>
          <cell r="C208">
            <v>107</v>
          </cell>
          <cell r="D208" t="str">
            <v>2107</v>
          </cell>
          <cell r="E208" t="str">
            <v>Fournitures internes, Eau OCP ( SA Fact.à SA Consommation autres DIV)</v>
          </cell>
          <cell r="F208">
            <v>0</v>
          </cell>
          <cell r="L208">
            <v>0</v>
          </cell>
          <cell r="P208">
            <v>0</v>
          </cell>
          <cell r="V208">
            <v>0</v>
          </cell>
          <cell r="AI208">
            <v>0</v>
          </cell>
        </row>
        <row r="209">
          <cell r="B209">
            <v>1</v>
          </cell>
          <cell r="C209">
            <v>200</v>
          </cell>
          <cell r="D209" t="str">
            <v>2200</v>
          </cell>
          <cell r="E209" t="str">
            <v>Prestations même division, Jardinages et pépinières</v>
          </cell>
          <cell r="F209">
            <v>0</v>
          </cell>
          <cell r="L209">
            <v>0</v>
          </cell>
          <cell r="P209">
            <v>0</v>
          </cell>
          <cell r="V209">
            <v>0</v>
          </cell>
          <cell r="AI209">
            <v>0</v>
          </cell>
        </row>
        <row r="210">
          <cell r="B210">
            <v>1</v>
          </cell>
          <cell r="C210">
            <v>201</v>
          </cell>
          <cell r="D210" t="str">
            <v>2201</v>
          </cell>
          <cell r="E210" t="str">
            <v>Prestations même division, Nettoyage</v>
          </cell>
          <cell r="F210">
            <v>0</v>
          </cell>
          <cell r="L210">
            <v>0</v>
          </cell>
          <cell r="P210">
            <v>0</v>
          </cell>
          <cell r="V210">
            <v>0</v>
          </cell>
          <cell r="AI210">
            <v>0</v>
          </cell>
        </row>
        <row r="211">
          <cell r="B211">
            <v>1</v>
          </cell>
          <cell r="C211">
            <v>202</v>
          </cell>
          <cell r="D211" t="str">
            <v>2202</v>
          </cell>
          <cell r="E211" t="str">
            <v>Prestations même division, Menuiserie</v>
          </cell>
          <cell r="F211">
            <v>0</v>
          </cell>
          <cell r="L211">
            <v>0</v>
          </cell>
          <cell r="P211">
            <v>0</v>
          </cell>
          <cell r="V211">
            <v>0</v>
          </cell>
          <cell r="AI211">
            <v>0</v>
          </cell>
        </row>
        <row r="212">
          <cell r="B212">
            <v>1</v>
          </cell>
          <cell r="C212">
            <v>203</v>
          </cell>
          <cell r="D212" t="str">
            <v>2203</v>
          </cell>
          <cell r="E212" t="str">
            <v>Prestations même division, Peinture et vitrerie</v>
          </cell>
          <cell r="F212">
            <v>0</v>
          </cell>
          <cell r="L212">
            <v>0</v>
          </cell>
          <cell r="P212">
            <v>0</v>
          </cell>
          <cell r="V212">
            <v>0</v>
          </cell>
          <cell r="AI212">
            <v>0</v>
          </cell>
        </row>
        <row r="213">
          <cell r="B213">
            <v>1</v>
          </cell>
          <cell r="C213">
            <v>204</v>
          </cell>
          <cell r="D213" t="str">
            <v>2204</v>
          </cell>
          <cell r="E213" t="str">
            <v>Prestations même division, Plomberie</v>
          </cell>
          <cell r="F213">
            <v>0</v>
          </cell>
          <cell r="L213">
            <v>0</v>
          </cell>
          <cell r="P213">
            <v>0</v>
          </cell>
          <cell r="V213">
            <v>0</v>
          </cell>
          <cell r="AI213">
            <v>0</v>
          </cell>
        </row>
        <row r="214">
          <cell r="B214">
            <v>1</v>
          </cell>
          <cell r="C214">
            <v>205</v>
          </cell>
          <cell r="D214" t="str">
            <v>2205</v>
          </cell>
          <cell r="E214" t="str">
            <v>Prestations même division, Froid et climatisation</v>
          </cell>
          <cell r="F214">
            <v>0</v>
          </cell>
          <cell r="L214">
            <v>0</v>
          </cell>
          <cell r="P214">
            <v>0</v>
          </cell>
          <cell r="V214">
            <v>0</v>
          </cell>
          <cell r="AI214">
            <v>0</v>
          </cell>
        </row>
        <row r="215">
          <cell r="B215">
            <v>1</v>
          </cell>
          <cell r="C215">
            <v>207</v>
          </cell>
          <cell r="D215" t="str">
            <v>2207</v>
          </cell>
          <cell r="E215" t="str">
            <v>Prestations même division, Agencement mobilier</v>
          </cell>
          <cell r="F215">
            <v>0</v>
          </cell>
          <cell r="L215">
            <v>0</v>
          </cell>
          <cell r="P215">
            <v>0</v>
          </cell>
          <cell r="V215">
            <v>0</v>
          </cell>
          <cell r="AI215">
            <v>0</v>
          </cell>
        </row>
        <row r="216">
          <cell r="B216">
            <v>1</v>
          </cell>
          <cell r="C216">
            <v>208</v>
          </cell>
          <cell r="D216" t="str">
            <v>2208</v>
          </cell>
          <cell r="E216" t="str">
            <v>Prestations même division, Ateliers téléphoniques</v>
          </cell>
          <cell r="F216">
            <v>0</v>
          </cell>
          <cell r="L216">
            <v>0</v>
          </cell>
          <cell r="P216">
            <v>0</v>
          </cell>
          <cell r="V216">
            <v>0</v>
          </cell>
          <cell r="AI216">
            <v>0</v>
          </cell>
        </row>
        <row r="217">
          <cell r="B217">
            <v>1</v>
          </cell>
          <cell r="C217">
            <v>210</v>
          </cell>
          <cell r="D217" t="str">
            <v>2210</v>
          </cell>
          <cell r="E217" t="str">
            <v>Prestations même division, Ateliers électroniques</v>
          </cell>
          <cell r="F217">
            <v>0</v>
          </cell>
          <cell r="L217">
            <v>0</v>
          </cell>
          <cell r="P217">
            <v>0</v>
          </cell>
          <cell r="V217">
            <v>0</v>
          </cell>
          <cell r="AI217">
            <v>0</v>
          </cell>
        </row>
        <row r="218">
          <cell r="B218">
            <v>1</v>
          </cell>
          <cell r="C218">
            <v>211</v>
          </cell>
          <cell r="D218" t="str">
            <v>2211</v>
          </cell>
          <cell r="E218" t="str">
            <v>Prestations même division, Ateliers mécaniques</v>
          </cell>
          <cell r="F218">
            <v>178008</v>
          </cell>
          <cell r="G218">
            <v>143172</v>
          </cell>
          <cell r="H218">
            <v>92100</v>
          </cell>
          <cell r="I218">
            <v>140604</v>
          </cell>
          <cell r="J218">
            <v>174756</v>
          </cell>
          <cell r="K218">
            <v>189036</v>
          </cell>
          <cell r="L218">
            <v>917676</v>
          </cell>
          <cell r="M218">
            <v>352740</v>
          </cell>
          <cell r="N218">
            <v>1017576</v>
          </cell>
          <cell r="O218">
            <v>833388</v>
          </cell>
          <cell r="P218">
            <v>1850964</v>
          </cell>
          <cell r="R218">
            <v>67272</v>
          </cell>
          <cell r="S218">
            <v>55536</v>
          </cell>
          <cell r="V218">
            <v>0</v>
          </cell>
          <cell r="Y218">
            <v>595668</v>
          </cell>
          <cell r="Z218">
            <v>105960</v>
          </cell>
          <cell r="AA218">
            <v>5676</v>
          </cell>
          <cell r="AD218">
            <v>17808</v>
          </cell>
          <cell r="AG218">
            <v>114984</v>
          </cell>
          <cell r="AH218">
            <v>5868</v>
          </cell>
          <cell r="AI218">
            <v>4090152</v>
          </cell>
        </row>
        <row r="219">
          <cell r="B219">
            <v>2</v>
          </cell>
          <cell r="C219">
            <v>211</v>
          </cell>
          <cell r="D219" t="str">
            <v>2258</v>
          </cell>
          <cell r="E219" t="str">
            <v>Prestations même division, Ateliers hydrauliques</v>
          </cell>
          <cell r="F219">
            <v>0</v>
          </cell>
          <cell r="L219">
            <v>0</v>
          </cell>
          <cell r="P219">
            <v>0</v>
          </cell>
          <cell r="V219">
            <v>0</v>
          </cell>
          <cell r="AI219">
            <v>0</v>
          </cell>
        </row>
        <row r="220">
          <cell r="B220">
            <v>3</v>
          </cell>
          <cell r="C220">
            <v>211</v>
          </cell>
          <cell r="D220" t="str">
            <v>2259</v>
          </cell>
          <cell r="E220" t="str">
            <v>Prestations même division, Ateliers centraux, contrôle qualité</v>
          </cell>
          <cell r="F220">
            <v>0</v>
          </cell>
          <cell r="L220">
            <v>0</v>
          </cell>
          <cell r="P220">
            <v>0</v>
          </cell>
          <cell r="V220">
            <v>0</v>
          </cell>
          <cell r="AI220">
            <v>0</v>
          </cell>
        </row>
        <row r="221">
          <cell r="B221">
            <v>1</v>
          </cell>
          <cell r="C221">
            <v>212</v>
          </cell>
          <cell r="D221" t="str">
            <v>2212</v>
          </cell>
          <cell r="E221" t="str">
            <v>Prestations même division, Ateliers éléctriques</v>
          </cell>
          <cell r="F221">
            <v>47004</v>
          </cell>
          <cell r="G221">
            <v>26088</v>
          </cell>
          <cell r="H221">
            <v>59496</v>
          </cell>
          <cell r="I221">
            <v>53460</v>
          </cell>
          <cell r="J221">
            <v>52572</v>
          </cell>
          <cell r="K221">
            <v>39672</v>
          </cell>
          <cell r="L221">
            <v>278292</v>
          </cell>
          <cell r="M221">
            <v>205524</v>
          </cell>
          <cell r="N221">
            <v>783948</v>
          </cell>
          <cell r="O221">
            <v>814260</v>
          </cell>
          <cell r="P221">
            <v>1598208</v>
          </cell>
          <cell r="R221">
            <v>115392</v>
          </cell>
          <cell r="S221">
            <v>325884</v>
          </cell>
          <cell r="V221">
            <v>0</v>
          </cell>
          <cell r="Z221">
            <v>226548</v>
          </cell>
          <cell r="AA221">
            <v>46752</v>
          </cell>
          <cell r="AC221">
            <v>36864</v>
          </cell>
          <cell r="AG221">
            <v>142992</v>
          </cell>
          <cell r="AH221">
            <v>12900</v>
          </cell>
          <cell r="AI221">
            <v>2989356</v>
          </cell>
        </row>
        <row r="222">
          <cell r="B222">
            <v>1</v>
          </cell>
          <cell r="C222">
            <v>213</v>
          </cell>
          <cell r="D222" t="str">
            <v>2213</v>
          </cell>
          <cell r="E222" t="str">
            <v>Prestations même division, Ateliers draglines</v>
          </cell>
          <cell r="F222">
            <v>0</v>
          </cell>
          <cell r="L222">
            <v>0</v>
          </cell>
          <cell r="P222">
            <v>0</v>
          </cell>
          <cell r="V222">
            <v>0</v>
          </cell>
          <cell r="AI222">
            <v>0</v>
          </cell>
        </row>
        <row r="223">
          <cell r="B223">
            <v>1</v>
          </cell>
          <cell r="C223">
            <v>214</v>
          </cell>
          <cell r="D223" t="str">
            <v>2214</v>
          </cell>
          <cell r="E223" t="str">
            <v>Prestations même division, Ateliers des eaux</v>
          </cell>
          <cell r="F223">
            <v>0</v>
          </cell>
          <cell r="L223">
            <v>0</v>
          </cell>
          <cell r="P223">
            <v>0</v>
          </cell>
          <cell r="V223">
            <v>0</v>
          </cell>
          <cell r="AI223">
            <v>0</v>
          </cell>
        </row>
        <row r="224">
          <cell r="B224">
            <v>1</v>
          </cell>
          <cell r="C224">
            <v>215</v>
          </cell>
          <cell r="D224" t="str">
            <v>2215</v>
          </cell>
          <cell r="E224" t="str">
            <v>Prestations même division, Génie civil</v>
          </cell>
          <cell r="F224">
            <v>0</v>
          </cell>
          <cell r="L224">
            <v>0</v>
          </cell>
          <cell r="P224">
            <v>0</v>
          </cell>
          <cell r="V224">
            <v>0</v>
          </cell>
          <cell r="AI224">
            <v>0</v>
          </cell>
        </row>
        <row r="225">
          <cell r="B225">
            <v>1</v>
          </cell>
          <cell r="C225">
            <v>216</v>
          </cell>
          <cell r="D225" t="str">
            <v>2216</v>
          </cell>
          <cell r="E225" t="str">
            <v>Prestations même division, Géologie</v>
          </cell>
          <cell r="F225">
            <v>0</v>
          </cell>
          <cell r="L225">
            <v>0</v>
          </cell>
          <cell r="P225">
            <v>0</v>
          </cell>
          <cell r="V225">
            <v>0</v>
          </cell>
          <cell r="AI225">
            <v>0</v>
          </cell>
        </row>
        <row r="226">
          <cell r="B226">
            <v>1</v>
          </cell>
          <cell r="C226">
            <v>217</v>
          </cell>
          <cell r="D226" t="str">
            <v>2217</v>
          </cell>
          <cell r="E226" t="str">
            <v>Prestations même division, Ateliers pneumatiques</v>
          </cell>
          <cell r="F226">
            <v>0</v>
          </cell>
          <cell r="L226">
            <v>0</v>
          </cell>
          <cell r="P226">
            <v>0</v>
          </cell>
          <cell r="V226">
            <v>0</v>
          </cell>
          <cell r="AI226">
            <v>0</v>
          </cell>
        </row>
        <row r="227">
          <cell r="B227">
            <v>1</v>
          </cell>
          <cell r="C227">
            <v>218</v>
          </cell>
          <cell r="D227" t="str">
            <v>2218</v>
          </cell>
          <cell r="E227" t="str">
            <v>Prestations même division, Ateliers chaudronnerie lourde</v>
          </cell>
          <cell r="F227">
            <v>0</v>
          </cell>
          <cell r="L227">
            <v>0</v>
          </cell>
          <cell r="P227">
            <v>0</v>
          </cell>
          <cell r="V227">
            <v>0</v>
          </cell>
          <cell r="AI227">
            <v>0</v>
          </cell>
        </row>
        <row r="228">
          <cell r="B228">
            <v>1</v>
          </cell>
          <cell r="C228">
            <v>219</v>
          </cell>
          <cell r="D228" t="str">
            <v>2219</v>
          </cell>
          <cell r="E228" t="str">
            <v>Prestations même division, Ateliers des engins divers</v>
          </cell>
          <cell r="F228">
            <v>0</v>
          </cell>
          <cell r="L228">
            <v>0</v>
          </cell>
          <cell r="P228">
            <v>0</v>
          </cell>
          <cell r="V228">
            <v>0</v>
          </cell>
          <cell r="AI228">
            <v>0</v>
          </cell>
        </row>
        <row r="229">
          <cell r="B229">
            <v>1</v>
          </cell>
          <cell r="C229">
            <v>220</v>
          </cell>
          <cell r="D229" t="str">
            <v>2220</v>
          </cell>
          <cell r="E229" t="str">
            <v>Prestations même division, Trémies épierrage</v>
          </cell>
          <cell r="F229">
            <v>0</v>
          </cell>
          <cell r="L229">
            <v>0</v>
          </cell>
          <cell r="P229">
            <v>0</v>
          </cell>
          <cell r="V229">
            <v>0</v>
          </cell>
          <cell r="AI229">
            <v>0</v>
          </cell>
        </row>
        <row r="230">
          <cell r="B230">
            <v>1</v>
          </cell>
          <cell r="C230">
            <v>221</v>
          </cell>
          <cell r="D230" t="str">
            <v>2221</v>
          </cell>
          <cell r="E230" t="str">
            <v>Prestations même division, Stacker de mise en stock de l'épierré</v>
          </cell>
          <cell r="F230">
            <v>0</v>
          </cell>
          <cell r="L230">
            <v>0</v>
          </cell>
          <cell r="P230">
            <v>0</v>
          </cell>
          <cell r="V230">
            <v>0</v>
          </cell>
          <cell r="AI230">
            <v>0</v>
          </cell>
        </row>
        <row r="231">
          <cell r="B231">
            <v>1</v>
          </cell>
          <cell r="C231">
            <v>222</v>
          </cell>
          <cell r="D231" t="str">
            <v>2222</v>
          </cell>
          <cell r="E231" t="str">
            <v>Prestations même division, Roue-pelle, Reprise de l'épierré</v>
          </cell>
          <cell r="F231">
            <v>0</v>
          </cell>
          <cell r="L231">
            <v>0</v>
          </cell>
          <cell r="P231">
            <v>0</v>
          </cell>
          <cell r="V231">
            <v>0</v>
          </cell>
          <cell r="AI231">
            <v>0</v>
          </cell>
        </row>
        <row r="232">
          <cell r="B232">
            <v>1</v>
          </cell>
          <cell r="C232">
            <v>223</v>
          </cell>
          <cell r="D232" t="str">
            <v>2223</v>
          </cell>
          <cell r="E232" t="str">
            <v>Prestations même division, Liaison T1+T2/T13 OCP</v>
          </cell>
          <cell r="F232">
            <v>0</v>
          </cell>
          <cell r="L232">
            <v>0</v>
          </cell>
          <cell r="P232">
            <v>0</v>
          </cell>
          <cell r="V232">
            <v>0</v>
          </cell>
          <cell r="AI232">
            <v>0</v>
          </cell>
        </row>
        <row r="233">
          <cell r="B233">
            <v>1</v>
          </cell>
          <cell r="C233">
            <v>224</v>
          </cell>
          <cell r="D233" t="str">
            <v>2224</v>
          </cell>
          <cell r="E233" t="str">
            <v>Prestations même division, Stacker</v>
          </cell>
          <cell r="F233">
            <v>0</v>
          </cell>
          <cell r="L233">
            <v>0</v>
          </cell>
          <cell r="P233">
            <v>0</v>
          </cell>
          <cell r="V233">
            <v>0</v>
          </cell>
          <cell r="AI233">
            <v>0</v>
          </cell>
        </row>
        <row r="234">
          <cell r="B234">
            <v>1</v>
          </cell>
          <cell r="C234">
            <v>225</v>
          </cell>
          <cell r="D234" t="str">
            <v>2225</v>
          </cell>
          <cell r="E234" t="str">
            <v>Prestations même division, Station de criblage</v>
          </cell>
          <cell r="F234">
            <v>0</v>
          </cell>
          <cell r="L234">
            <v>0</v>
          </cell>
          <cell r="P234">
            <v>0</v>
          </cell>
          <cell r="V234">
            <v>0</v>
          </cell>
          <cell r="AI234">
            <v>0</v>
          </cell>
        </row>
        <row r="235">
          <cell r="B235">
            <v>1</v>
          </cell>
          <cell r="C235">
            <v>226</v>
          </cell>
          <cell r="D235" t="str">
            <v>2226</v>
          </cell>
          <cell r="E235" t="str">
            <v>Prestations même division, Roue-pelle, Reprise du criblé</v>
          </cell>
          <cell r="F235">
            <v>0</v>
          </cell>
          <cell r="L235">
            <v>0</v>
          </cell>
          <cell r="P235">
            <v>0</v>
          </cell>
          <cell r="V235">
            <v>0</v>
          </cell>
          <cell r="AI235">
            <v>0</v>
          </cell>
        </row>
        <row r="236">
          <cell r="B236">
            <v>1</v>
          </cell>
          <cell r="C236">
            <v>227</v>
          </cell>
          <cell r="D236" t="str">
            <v>2227</v>
          </cell>
          <cell r="E236" t="str">
            <v>Prestations même division, Station de chargement</v>
          </cell>
          <cell r="F236">
            <v>0</v>
          </cell>
          <cell r="L236">
            <v>0</v>
          </cell>
          <cell r="P236">
            <v>0</v>
          </cell>
          <cell r="V236">
            <v>0</v>
          </cell>
          <cell r="AI236">
            <v>0</v>
          </cell>
        </row>
        <row r="237">
          <cell r="B237">
            <v>1</v>
          </cell>
          <cell r="C237">
            <v>228</v>
          </cell>
          <cell r="D237" t="str">
            <v>2228</v>
          </cell>
          <cell r="E237" t="str">
            <v>Prestations même division, Locotracteurs</v>
          </cell>
          <cell r="F237">
            <v>0</v>
          </cell>
          <cell r="L237">
            <v>0</v>
          </cell>
          <cell r="P237">
            <v>0</v>
          </cell>
          <cell r="V237">
            <v>0</v>
          </cell>
          <cell r="AI237">
            <v>0</v>
          </cell>
        </row>
        <row r="238">
          <cell r="B238">
            <v>1</v>
          </cell>
          <cell r="C238">
            <v>230</v>
          </cell>
          <cell r="D238" t="str">
            <v>2230</v>
          </cell>
          <cell r="E238" t="str">
            <v>Prestations même division, Draglines et pelles</v>
          </cell>
          <cell r="F238">
            <v>0</v>
          </cell>
          <cell r="L238">
            <v>0</v>
          </cell>
          <cell r="P238">
            <v>0</v>
          </cell>
          <cell r="V238">
            <v>0</v>
          </cell>
          <cell r="AI238">
            <v>0</v>
          </cell>
        </row>
        <row r="239">
          <cell r="B239">
            <v>1</v>
          </cell>
          <cell r="C239">
            <v>231</v>
          </cell>
          <cell r="D239" t="str">
            <v>2231</v>
          </cell>
          <cell r="E239" t="str">
            <v>Prestations même division, Camions de chantiers</v>
          </cell>
          <cell r="F239">
            <v>0</v>
          </cell>
          <cell r="L239">
            <v>0</v>
          </cell>
          <cell r="P239">
            <v>0</v>
          </cell>
          <cell r="V239">
            <v>0</v>
          </cell>
          <cell r="AH239">
            <v>556800</v>
          </cell>
          <cell r="AI239">
            <v>556800</v>
          </cell>
        </row>
        <row r="240">
          <cell r="B240">
            <v>1</v>
          </cell>
          <cell r="C240">
            <v>232</v>
          </cell>
          <cell r="D240" t="str">
            <v>2232</v>
          </cell>
          <cell r="E240" t="str">
            <v>Prestations même division, Bulldozers</v>
          </cell>
          <cell r="F240">
            <v>0</v>
          </cell>
          <cell r="L240">
            <v>0</v>
          </cell>
          <cell r="P240">
            <v>0</v>
          </cell>
          <cell r="V240">
            <v>0</v>
          </cell>
          <cell r="AI240">
            <v>0</v>
          </cell>
        </row>
        <row r="241">
          <cell r="B241">
            <v>1</v>
          </cell>
          <cell r="C241">
            <v>233</v>
          </cell>
          <cell r="D241" t="str">
            <v>2233</v>
          </cell>
          <cell r="E241" t="str">
            <v>Prestations même division, Niveleuses</v>
          </cell>
          <cell r="F241">
            <v>0</v>
          </cell>
          <cell r="L241">
            <v>0</v>
          </cell>
          <cell r="P241">
            <v>0</v>
          </cell>
          <cell r="V241">
            <v>0</v>
          </cell>
          <cell r="AG241">
            <v>8124</v>
          </cell>
          <cell r="AI241">
            <v>8124</v>
          </cell>
        </row>
        <row r="242">
          <cell r="B242">
            <v>1</v>
          </cell>
          <cell r="C242">
            <v>234</v>
          </cell>
          <cell r="D242" t="str">
            <v>2234</v>
          </cell>
          <cell r="E242" t="str">
            <v>Prestations même division, Chargeuses</v>
          </cell>
          <cell r="F242">
            <v>0</v>
          </cell>
          <cell r="L242">
            <v>0</v>
          </cell>
          <cell r="P242">
            <v>0</v>
          </cell>
          <cell r="V242">
            <v>0</v>
          </cell>
          <cell r="AI242">
            <v>0</v>
          </cell>
        </row>
        <row r="243">
          <cell r="B243">
            <v>1</v>
          </cell>
          <cell r="C243">
            <v>235</v>
          </cell>
          <cell r="D243" t="str">
            <v>2235</v>
          </cell>
          <cell r="E243" t="str">
            <v>Prestations même division, Sondeuses</v>
          </cell>
          <cell r="F243">
            <v>0</v>
          </cell>
          <cell r="L243">
            <v>0</v>
          </cell>
          <cell r="P243">
            <v>0</v>
          </cell>
          <cell r="V243">
            <v>0</v>
          </cell>
          <cell r="AI243">
            <v>0</v>
          </cell>
        </row>
        <row r="244">
          <cell r="B244">
            <v>1</v>
          </cell>
          <cell r="C244">
            <v>236</v>
          </cell>
          <cell r="D244" t="str">
            <v>2236</v>
          </cell>
          <cell r="E244" t="str">
            <v>Prestations même division, Motoscrapers</v>
          </cell>
          <cell r="F244">
            <v>0</v>
          </cell>
          <cell r="L244">
            <v>0</v>
          </cell>
          <cell r="P244">
            <v>0</v>
          </cell>
          <cell r="V244">
            <v>0</v>
          </cell>
          <cell r="AI244">
            <v>0</v>
          </cell>
        </row>
        <row r="245">
          <cell r="B245">
            <v>1</v>
          </cell>
          <cell r="C245">
            <v>237</v>
          </cell>
          <cell r="D245" t="str">
            <v>2237</v>
          </cell>
          <cell r="E245" t="str">
            <v>Prestations même division, Garage véhicules</v>
          </cell>
          <cell r="F245">
            <v>0</v>
          </cell>
          <cell r="L245">
            <v>0</v>
          </cell>
          <cell r="P245">
            <v>0</v>
          </cell>
          <cell r="V245">
            <v>0</v>
          </cell>
          <cell r="Z245">
            <v>121596</v>
          </cell>
          <cell r="AH245">
            <v>740808</v>
          </cell>
          <cell r="AI245">
            <v>862404</v>
          </cell>
        </row>
        <row r="246">
          <cell r="B246">
            <v>1</v>
          </cell>
          <cell r="C246">
            <v>239</v>
          </cell>
          <cell r="D246" t="str">
            <v>2239</v>
          </cell>
          <cell r="E246" t="str">
            <v>Prestations même division, Locations véhicules et engins divers</v>
          </cell>
          <cell r="F246">
            <v>0</v>
          </cell>
          <cell r="I246">
            <v>780</v>
          </cell>
          <cell r="L246">
            <v>780</v>
          </cell>
          <cell r="N246">
            <v>5340</v>
          </cell>
          <cell r="P246">
            <v>5340</v>
          </cell>
          <cell r="V246">
            <v>0</v>
          </cell>
          <cell r="AH246">
            <v>22212</v>
          </cell>
          <cell r="AI246">
            <v>28332</v>
          </cell>
        </row>
        <row r="247">
          <cell r="B247">
            <v>1</v>
          </cell>
          <cell r="C247">
            <v>240</v>
          </cell>
          <cell r="D247" t="str">
            <v>2240</v>
          </cell>
          <cell r="E247" t="str">
            <v>Prestations même division, Matériel &amp; administration des réseaux</v>
          </cell>
          <cell r="F247">
            <v>0</v>
          </cell>
          <cell r="L247">
            <v>0</v>
          </cell>
          <cell r="P247">
            <v>0</v>
          </cell>
          <cell r="V247">
            <v>0</v>
          </cell>
          <cell r="AI247">
            <v>0</v>
          </cell>
        </row>
        <row r="248">
          <cell r="B248">
            <v>1</v>
          </cell>
          <cell r="C248">
            <v>241</v>
          </cell>
          <cell r="D248" t="str">
            <v>2241</v>
          </cell>
          <cell r="E248" t="str">
            <v>Prestations même division, Station service</v>
          </cell>
          <cell r="F248">
            <v>0</v>
          </cell>
          <cell r="L248">
            <v>0</v>
          </cell>
          <cell r="P248">
            <v>0</v>
          </cell>
          <cell r="V248">
            <v>0</v>
          </cell>
          <cell r="Z248">
            <v>612</v>
          </cell>
          <cell r="AI248">
            <v>612</v>
          </cell>
        </row>
        <row r="249">
          <cell r="B249">
            <v>1</v>
          </cell>
          <cell r="C249">
            <v>242</v>
          </cell>
          <cell r="D249" t="str">
            <v>2242</v>
          </cell>
          <cell r="E249" t="str">
            <v>Prestations même division, Laboratoire</v>
          </cell>
          <cell r="F249">
            <v>0</v>
          </cell>
          <cell r="L249">
            <v>0</v>
          </cell>
          <cell r="P249">
            <v>0</v>
          </cell>
          <cell r="V249">
            <v>0</v>
          </cell>
          <cell r="AI249">
            <v>0</v>
          </cell>
        </row>
        <row r="250">
          <cell r="B250">
            <v>1</v>
          </cell>
          <cell r="C250">
            <v>243</v>
          </cell>
          <cell r="D250" t="str">
            <v>2243</v>
          </cell>
          <cell r="E250" t="str">
            <v>Prestations même division, Imprimerie et micro-film</v>
          </cell>
          <cell r="F250">
            <v>0</v>
          </cell>
          <cell r="L250">
            <v>0</v>
          </cell>
          <cell r="P250">
            <v>0</v>
          </cell>
          <cell r="V250">
            <v>0</v>
          </cell>
          <cell r="AI250">
            <v>0</v>
          </cell>
        </row>
        <row r="251">
          <cell r="B251">
            <v>1</v>
          </cell>
          <cell r="C251">
            <v>244</v>
          </cell>
          <cell r="D251" t="str">
            <v>2244</v>
          </cell>
          <cell r="E251" t="str">
            <v>Prestations même division, Production informatique service ordinateur</v>
          </cell>
          <cell r="F251">
            <v>0</v>
          </cell>
          <cell r="L251">
            <v>0</v>
          </cell>
          <cell r="P251">
            <v>0</v>
          </cell>
          <cell r="V251">
            <v>0</v>
          </cell>
          <cell r="AI251">
            <v>0</v>
          </cell>
        </row>
        <row r="252">
          <cell r="B252">
            <v>1</v>
          </cell>
          <cell r="C252">
            <v>245</v>
          </cell>
          <cell r="D252" t="str">
            <v>2245</v>
          </cell>
          <cell r="E252" t="str">
            <v>Prestations même division, Télécommunications</v>
          </cell>
          <cell r="F252">
            <v>0</v>
          </cell>
          <cell r="L252">
            <v>0</v>
          </cell>
          <cell r="P252">
            <v>0</v>
          </cell>
          <cell r="V252">
            <v>0</v>
          </cell>
          <cell r="Z252">
            <v>26040</v>
          </cell>
          <cell r="AA252">
            <v>8484</v>
          </cell>
          <cell r="AD252">
            <v>1488</v>
          </cell>
          <cell r="AG252">
            <v>12012</v>
          </cell>
          <cell r="AH252">
            <v>23172</v>
          </cell>
          <cell r="AI252">
            <v>71196</v>
          </cell>
        </row>
        <row r="253">
          <cell r="B253">
            <v>1</v>
          </cell>
          <cell r="C253">
            <v>246</v>
          </cell>
          <cell r="D253" t="str">
            <v>2246</v>
          </cell>
          <cell r="E253" t="str">
            <v>Prestations même division, SA à répartir par pourcentage fixe (Ex surcode 0009)</v>
          </cell>
          <cell r="F253">
            <v>0</v>
          </cell>
          <cell r="L253">
            <v>0</v>
          </cell>
          <cell r="P253">
            <v>0</v>
          </cell>
          <cell r="V253">
            <v>0</v>
          </cell>
          <cell r="AI253">
            <v>0</v>
          </cell>
        </row>
        <row r="254">
          <cell r="B254">
            <v>1</v>
          </cell>
          <cell r="C254">
            <v>247</v>
          </cell>
          <cell r="D254" t="str">
            <v>2247</v>
          </cell>
          <cell r="E254" t="str">
            <v>Prestations même division, Bureautiques et maintenance</v>
          </cell>
          <cell r="F254">
            <v>0</v>
          </cell>
          <cell r="L254">
            <v>0</v>
          </cell>
          <cell r="P254">
            <v>0</v>
          </cell>
          <cell r="V254">
            <v>0</v>
          </cell>
          <cell r="AI254">
            <v>0</v>
          </cell>
        </row>
        <row r="255">
          <cell r="B255">
            <v>1</v>
          </cell>
          <cell r="C255">
            <v>248</v>
          </cell>
          <cell r="D255" t="str">
            <v>2248</v>
          </cell>
          <cell r="E255" t="str">
            <v>Prestations même division, Etudes diverses et développements informatiques</v>
          </cell>
          <cell r="F255">
            <v>0</v>
          </cell>
          <cell r="L255">
            <v>0</v>
          </cell>
          <cell r="P255">
            <v>0</v>
          </cell>
          <cell r="V255">
            <v>0</v>
          </cell>
          <cell r="AI255">
            <v>0</v>
          </cell>
        </row>
        <row r="256">
          <cell r="B256">
            <v>1</v>
          </cell>
          <cell r="C256">
            <v>249</v>
          </cell>
          <cell r="D256" t="str">
            <v>2249</v>
          </cell>
          <cell r="E256" t="str">
            <v>Prestations même division diverses</v>
          </cell>
          <cell r="F256">
            <v>0</v>
          </cell>
          <cell r="L256">
            <v>0</v>
          </cell>
          <cell r="P256">
            <v>0</v>
          </cell>
          <cell r="V256">
            <v>0</v>
          </cell>
          <cell r="AI256">
            <v>0</v>
          </cell>
        </row>
        <row r="257">
          <cell r="B257">
            <v>1</v>
          </cell>
          <cell r="C257">
            <v>250</v>
          </cell>
          <cell r="D257" t="str">
            <v>2250</v>
          </cell>
          <cell r="E257" t="str">
            <v>Prestations même division, Ateliers vulcanisation</v>
          </cell>
          <cell r="F257">
            <v>0</v>
          </cell>
          <cell r="L257">
            <v>0</v>
          </cell>
          <cell r="P257">
            <v>0</v>
          </cell>
          <cell r="V257">
            <v>0</v>
          </cell>
          <cell r="AI257">
            <v>0</v>
          </cell>
        </row>
        <row r="258">
          <cell r="B258">
            <v>1</v>
          </cell>
          <cell r="C258">
            <v>251</v>
          </cell>
          <cell r="D258" t="str">
            <v>2251</v>
          </cell>
          <cell r="E258" t="str">
            <v>Prestations même division, Ateliers de régulation</v>
          </cell>
          <cell r="F258">
            <v>0</v>
          </cell>
          <cell r="L258">
            <v>0</v>
          </cell>
          <cell r="P258">
            <v>0</v>
          </cell>
          <cell r="V258">
            <v>0</v>
          </cell>
          <cell r="AI258">
            <v>0</v>
          </cell>
        </row>
        <row r="259">
          <cell r="B259">
            <v>1</v>
          </cell>
          <cell r="C259">
            <v>252</v>
          </cell>
          <cell r="D259" t="str">
            <v>2252</v>
          </cell>
          <cell r="E259" t="str">
            <v>Prestations même division, Ateliers électriques draglines</v>
          </cell>
          <cell r="F259">
            <v>0</v>
          </cell>
          <cell r="L259">
            <v>0</v>
          </cell>
          <cell r="P259">
            <v>0</v>
          </cell>
          <cell r="V259">
            <v>0</v>
          </cell>
          <cell r="AI259">
            <v>0</v>
          </cell>
        </row>
        <row r="260">
          <cell r="B260">
            <v>1</v>
          </cell>
          <cell r="C260">
            <v>253</v>
          </cell>
          <cell r="D260" t="str">
            <v>2253</v>
          </cell>
          <cell r="E260" t="str">
            <v>Prestations même division, Ateliers chaudronnerie entretien</v>
          </cell>
          <cell r="F260">
            <v>0</v>
          </cell>
          <cell r="L260">
            <v>0</v>
          </cell>
          <cell r="P260">
            <v>0</v>
          </cell>
          <cell r="V260">
            <v>0</v>
          </cell>
          <cell r="AI260">
            <v>0</v>
          </cell>
        </row>
        <row r="261">
          <cell r="B261">
            <v>1</v>
          </cell>
          <cell r="C261">
            <v>254</v>
          </cell>
          <cell r="D261" t="str">
            <v>2254</v>
          </cell>
          <cell r="E261" t="str">
            <v>Prestations même division, Ateliers électriques installations</v>
          </cell>
          <cell r="F261">
            <v>0</v>
          </cell>
          <cell r="L261">
            <v>0</v>
          </cell>
          <cell r="P261">
            <v>0</v>
          </cell>
          <cell r="V261">
            <v>0</v>
          </cell>
          <cell r="AI261">
            <v>0</v>
          </cell>
        </row>
        <row r="262">
          <cell r="B262">
            <v>1</v>
          </cell>
          <cell r="C262">
            <v>255</v>
          </cell>
          <cell r="D262" t="str">
            <v>2255</v>
          </cell>
          <cell r="E262" t="str">
            <v>Prestations même division, Ateliers sous-ensembles</v>
          </cell>
          <cell r="F262">
            <v>0</v>
          </cell>
          <cell r="L262">
            <v>0</v>
          </cell>
          <cell r="P262">
            <v>0</v>
          </cell>
          <cell r="V262">
            <v>0</v>
          </cell>
          <cell r="AI262">
            <v>0</v>
          </cell>
        </row>
        <row r="263">
          <cell r="B263">
            <v>1</v>
          </cell>
          <cell r="C263">
            <v>256</v>
          </cell>
          <cell r="D263" t="str">
            <v>2256</v>
          </cell>
          <cell r="E263" t="str">
            <v>Prestations même division, Ateliers de réparation véhicules</v>
          </cell>
          <cell r="F263">
            <v>0</v>
          </cell>
          <cell r="L263">
            <v>0</v>
          </cell>
          <cell r="P263">
            <v>0</v>
          </cell>
          <cell r="V263">
            <v>0</v>
          </cell>
          <cell r="AI263">
            <v>0</v>
          </cell>
        </row>
        <row r="264">
          <cell r="B264">
            <v>1</v>
          </cell>
          <cell r="C264">
            <v>257</v>
          </cell>
          <cell r="D264" t="str">
            <v>2257</v>
          </cell>
          <cell r="E264" t="str">
            <v>Prestations même division, Ateliers machines-outils, Ajustage et montage</v>
          </cell>
          <cell r="F264">
            <v>0</v>
          </cell>
          <cell r="L264">
            <v>0</v>
          </cell>
          <cell r="P264">
            <v>0</v>
          </cell>
          <cell r="V264">
            <v>0</v>
          </cell>
          <cell r="AI264">
            <v>0</v>
          </cell>
        </row>
        <row r="265">
          <cell r="B265">
            <v>1</v>
          </cell>
          <cell r="C265">
            <v>260</v>
          </cell>
          <cell r="D265" t="str">
            <v>2260</v>
          </cell>
          <cell r="E265" t="str">
            <v>Prestations même division, Surveillance de chantier</v>
          </cell>
          <cell r="F265">
            <v>0</v>
          </cell>
          <cell r="L265">
            <v>0</v>
          </cell>
          <cell r="P265">
            <v>0</v>
          </cell>
          <cell r="V265">
            <v>0</v>
          </cell>
          <cell r="AI265">
            <v>0</v>
          </cell>
        </row>
        <row r="266">
          <cell r="B266">
            <v>1</v>
          </cell>
          <cell r="C266">
            <v>261</v>
          </cell>
          <cell r="D266" t="str">
            <v>2261</v>
          </cell>
          <cell r="E266" t="str">
            <v>Prestations même division, Equipes de sautage</v>
          </cell>
          <cell r="F266">
            <v>0</v>
          </cell>
          <cell r="L266">
            <v>0</v>
          </cell>
          <cell r="P266">
            <v>0</v>
          </cell>
          <cell r="V266">
            <v>0</v>
          </cell>
          <cell r="AI266">
            <v>0</v>
          </cell>
        </row>
        <row r="267">
          <cell r="B267">
            <v>1</v>
          </cell>
          <cell r="C267">
            <v>262</v>
          </cell>
          <cell r="D267" t="str">
            <v>2262</v>
          </cell>
          <cell r="E267" t="str">
            <v>Prestations même division de conduite</v>
          </cell>
          <cell r="F267">
            <v>0</v>
          </cell>
          <cell r="L267">
            <v>0</v>
          </cell>
          <cell r="P267">
            <v>0</v>
          </cell>
          <cell r="V267">
            <v>0</v>
          </cell>
          <cell r="AI267">
            <v>0</v>
          </cell>
        </row>
        <row r="268">
          <cell r="B268">
            <v>1</v>
          </cell>
          <cell r="C268">
            <v>263</v>
          </cell>
          <cell r="D268" t="str">
            <v>2263</v>
          </cell>
          <cell r="E268" t="str">
            <v>Prestations même division, Equipes mouvement de câble</v>
          </cell>
          <cell r="F268">
            <v>0</v>
          </cell>
          <cell r="L268">
            <v>0</v>
          </cell>
          <cell r="P268">
            <v>0</v>
          </cell>
          <cell r="V268">
            <v>0</v>
          </cell>
          <cell r="AI268">
            <v>0</v>
          </cell>
        </row>
        <row r="269">
          <cell r="B269">
            <v>1</v>
          </cell>
          <cell r="C269">
            <v>270</v>
          </cell>
          <cell r="D269" t="str">
            <v>2270</v>
          </cell>
          <cell r="E269" t="str">
            <v>Prestations même division, Aménagement plate-forme sondeuses</v>
          </cell>
          <cell r="F269">
            <v>0</v>
          </cell>
          <cell r="L269">
            <v>0</v>
          </cell>
          <cell r="P269">
            <v>0</v>
          </cell>
          <cell r="V269">
            <v>0</v>
          </cell>
          <cell r="AI269">
            <v>0</v>
          </cell>
        </row>
        <row r="270">
          <cell r="B270">
            <v>1</v>
          </cell>
          <cell r="C270">
            <v>271</v>
          </cell>
          <cell r="D270" t="str">
            <v>2271</v>
          </cell>
          <cell r="E270" t="str">
            <v>Prestations même division, Aménagement plate-forme machines&amp;acompagnement</v>
          </cell>
          <cell r="F270">
            <v>0</v>
          </cell>
          <cell r="L270">
            <v>0</v>
          </cell>
          <cell r="P270">
            <v>0</v>
          </cell>
          <cell r="V270">
            <v>0</v>
          </cell>
          <cell r="AI270">
            <v>0</v>
          </cell>
        </row>
        <row r="271">
          <cell r="B271">
            <v>1</v>
          </cell>
          <cell r="C271">
            <v>272</v>
          </cell>
          <cell r="D271" t="str">
            <v>2272</v>
          </cell>
          <cell r="E271" t="str">
            <v>Prestations même division, Prélèvement par bulls</v>
          </cell>
          <cell r="F271">
            <v>0</v>
          </cell>
          <cell r="L271">
            <v>0</v>
          </cell>
          <cell r="P271">
            <v>0</v>
          </cell>
          <cell r="V271">
            <v>0</v>
          </cell>
          <cell r="AI271">
            <v>0</v>
          </cell>
        </row>
        <row r="272">
          <cell r="B272">
            <v>1</v>
          </cell>
          <cell r="C272">
            <v>273</v>
          </cell>
          <cell r="D272" t="str">
            <v>2273</v>
          </cell>
          <cell r="E272" t="str">
            <v>Prestations même division, Gerbage</v>
          </cell>
          <cell r="F272">
            <v>0</v>
          </cell>
          <cell r="L272">
            <v>0</v>
          </cell>
          <cell r="P272">
            <v>0</v>
          </cell>
          <cell r="V272">
            <v>0</v>
          </cell>
          <cell r="AI272">
            <v>0</v>
          </cell>
        </row>
        <row r="273">
          <cell r="B273">
            <v>1</v>
          </cell>
          <cell r="C273">
            <v>274</v>
          </cell>
          <cell r="D273" t="str">
            <v>2274</v>
          </cell>
          <cell r="E273" t="str">
            <v>Prestations même division, Aménagement décharge</v>
          </cell>
          <cell r="F273">
            <v>0</v>
          </cell>
          <cell r="L273">
            <v>0</v>
          </cell>
          <cell r="P273">
            <v>0</v>
          </cell>
          <cell r="V273">
            <v>0</v>
          </cell>
          <cell r="AI273">
            <v>0</v>
          </cell>
        </row>
        <row r="274">
          <cell r="B274">
            <v>1</v>
          </cell>
          <cell r="C274">
            <v>275</v>
          </cell>
          <cell r="D274" t="str">
            <v>2275</v>
          </cell>
          <cell r="E274" t="str">
            <v>Prestations Aménagement stocks</v>
          </cell>
          <cell r="F274">
            <v>0</v>
          </cell>
          <cell r="L274">
            <v>0</v>
          </cell>
          <cell r="P274">
            <v>0</v>
          </cell>
          <cell r="V274">
            <v>0</v>
          </cell>
          <cell r="AI274">
            <v>0</v>
          </cell>
        </row>
        <row r="275">
          <cell r="B275">
            <v>1</v>
          </cell>
          <cell r="C275">
            <v>276</v>
          </cell>
          <cell r="D275" t="str">
            <v>2276</v>
          </cell>
          <cell r="E275" t="str">
            <v>Prestations même division, Travaux de piste</v>
          </cell>
          <cell r="F275">
            <v>0</v>
          </cell>
          <cell r="L275">
            <v>0</v>
          </cell>
          <cell r="P275">
            <v>0</v>
          </cell>
          <cell r="V275">
            <v>0</v>
          </cell>
          <cell r="AI275">
            <v>0</v>
          </cell>
        </row>
        <row r="276">
          <cell r="B276">
            <v>1</v>
          </cell>
          <cell r="C276">
            <v>280</v>
          </cell>
          <cell r="D276" t="str">
            <v>2280</v>
          </cell>
          <cell r="E276" t="str">
            <v>Prestations même division, Prélèvement</v>
          </cell>
          <cell r="F276">
            <v>0</v>
          </cell>
          <cell r="L276">
            <v>0</v>
          </cell>
          <cell r="P276">
            <v>0</v>
          </cell>
          <cell r="V276">
            <v>0</v>
          </cell>
          <cell r="AI276">
            <v>0</v>
          </cell>
        </row>
        <row r="277">
          <cell r="B277">
            <v>1</v>
          </cell>
          <cell r="C277">
            <v>300</v>
          </cell>
          <cell r="D277" t="str">
            <v>2300</v>
          </cell>
          <cell r="E277" t="str">
            <v>Prestations autres divisions, Jardinages et pépinières</v>
          </cell>
          <cell r="F277">
            <v>0</v>
          </cell>
          <cell r="L277">
            <v>0</v>
          </cell>
          <cell r="P277">
            <v>0</v>
          </cell>
          <cell r="V277">
            <v>0</v>
          </cell>
          <cell r="AH277">
            <v>4332</v>
          </cell>
          <cell r="AI277">
            <v>4332</v>
          </cell>
        </row>
        <row r="278">
          <cell r="B278">
            <v>1</v>
          </cell>
          <cell r="C278">
            <v>301</v>
          </cell>
          <cell r="D278" t="str">
            <v>2301</v>
          </cell>
          <cell r="E278" t="str">
            <v>Prestations autres divisions, Nettoyage</v>
          </cell>
          <cell r="F278">
            <v>0</v>
          </cell>
          <cell r="L278">
            <v>0</v>
          </cell>
          <cell r="P278">
            <v>0</v>
          </cell>
          <cell r="R278">
            <v>780</v>
          </cell>
          <cell r="V278">
            <v>0</v>
          </cell>
          <cell r="AH278">
            <v>4596</v>
          </cell>
          <cell r="AI278">
            <v>5376</v>
          </cell>
        </row>
        <row r="279">
          <cell r="B279">
            <v>1</v>
          </cell>
          <cell r="C279">
            <v>302</v>
          </cell>
          <cell r="D279" t="str">
            <v>2302</v>
          </cell>
          <cell r="E279" t="str">
            <v>Prestations autres divisions, Menuiserie</v>
          </cell>
          <cell r="F279">
            <v>0</v>
          </cell>
          <cell r="L279">
            <v>0</v>
          </cell>
          <cell r="N279">
            <v>972</v>
          </cell>
          <cell r="O279">
            <v>324</v>
          </cell>
          <cell r="P279">
            <v>1296</v>
          </cell>
          <cell r="V279">
            <v>0</v>
          </cell>
          <cell r="AG279">
            <v>372</v>
          </cell>
          <cell r="AI279">
            <v>1668</v>
          </cell>
        </row>
        <row r="280">
          <cell r="B280">
            <v>1</v>
          </cell>
          <cell r="C280">
            <v>303</v>
          </cell>
          <cell r="D280" t="str">
            <v>2303</v>
          </cell>
          <cell r="E280" t="str">
            <v>Prestations autres divisions, Peinture et vitrerie</v>
          </cell>
          <cell r="F280">
            <v>0</v>
          </cell>
          <cell r="L280">
            <v>0</v>
          </cell>
          <cell r="P280">
            <v>0</v>
          </cell>
          <cell r="V280">
            <v>0</v>
          </cell>
          <cell r="AI280">
            <v>0</v>
          </cell>
        </row>
        <row r="281">
          <cell r="B281">
            <v>1</v>
          </cell>
          <cell r="C281">
            <v>304</v>
          </cell>
          <cell r="D281" t="str">
            <v>2304</v>
          </cell>
          <cell r="E281" t="str">
            <v>Prestations autres divisions, Plomberie</v>
          </cell>
          <cell r="F281">
            <v>0</v>
          </cell>
          <cell r="L281">
            <v>0</v>
          </cell>
          <cell r="P281">
            <v>0</v>
          </cell>
          <cell r="V281">
            <v>0</v>
          </cell>
          <cell r="AH281">
            <v>2448</v>
          </cell>
          <cell r="AI281">
            <v>2448</v>
          </cell>
        </row>
        <row r="282">
          <cell r="B282">
            <v>1</v>
          </cell>
          <cell r="C282">
            <v>305</v>
          </cell>
          <cell r="D282" t="str">
            <v>2305</v>
          </cell>
          <cell r="E282" t="str">
            <v>Prestations autres divisions, Froid et climatisation</v>
          </cell>
          <cell r="F282">
            <v>0</v>
          </cell>
          <cell r="L282">
            <v>0</v>
          </cell>
          <cell r="P282">
            <v>0</v>
          </cell>
          <cell r="V282">
            <v>0</v>
          </cell>
          <cell r="AI282">
            <v>0</v>
          </cell>
        </row>
        <row r="283">
          <cell r="B283">
            <v>1</v>
          </cell>
          <cell r="C283">
            <v>307</v>
          </cell>
          <cell r="D283" t="str">
            <v>2307</v>
          </cell>
          <cell r="E283" t="str">
            <v>Prestations autres divisions, Agencement mobilier</v>
          </cell>
          <cell r="F283">
            <v>0</v>
          </cell>
          <cell r="L283">
            <v>0</v>
          </cell>
          <cell r="P283">
            <v>0</v>
          </cell>
          <cell r="V283">
            <v>0</v>
          </cell>
          <cell r="AI283">
            <v>0</v>
          </cell>
        </row>
        <row r="284">
          <cell r="B284">
            <v>1</v>
          </cell>
          <cell r="C284">
            <v>310</v>
          </cell>
          <cell r="D284" t="str">
            <v>2310</v>
          </cell>
          <cell r="E284" t="str">
            <v>Prestations autres divisions, Ateliers électroniques</v>
          </cell>
          <cell r="F284">
            <v>0</v>
          </cell>
          <cell r="L284">
            <v>0</v>
          </cell>
          <cell r="P284">
            <v>0</v>
          </cell>
          <cell r="V284">
            <v>0</v>
          </cell>
          <cell r="AI284">
            <v>0</v>
          </cell>
        </row>
        <row r="285">
          <cell r="B285">
            <v>1</v>
          </cell>
          <cell r="C285">
            <v>311</v>
          </cell>
          <cell r="D285" t="str">
            <v>2311</v>
          </cell>
          <cell r="E285" t="str">
            <v>Prestations autres divisions, Ateliers mécaniques</v>
          </cell>
          <cell r="F285">
            <v>0</v>
          </cell>
          <cell r="L285">
            <v>0</v>
          </cell>
          <cell r="P285">
            <v>0</v>
          </cell>
          <cell r="V285">
            <v>0</v>
          </cell>
          <cell r="AI285">
            <v>0</v>
          </cell>
        </row>
        <row r="286">
          <cell r="B286">
            <v>1</v>
          </cell>
          <cell r="C286">
            <v>312</v>
          </cell>
          <cell r="D286" t="str">
            <v>2312</v>
          </cell>
          <cell r="E286" t="str">
            <v>Prestations autres divisions, Ateliers éléctriques</v>
          </cell>
          <cell r="F286">
            <v>0</v>
          </cell>
          <cell r="L286">
            <v>0</v>
          </cell>
          <cell r="P286">
            <v>0</v>
          </cell>
          <cell r="V286">
            <v>0</v>
          </cell>
          <cell r="AI286">
            <v>0</v>
          </cell>
        </row>
        <row r="287">
          <cell r="B287">
            <v>1</v>
          </cell>
          <cell r="C287">
            <v>313</v>
          </cell>
          <cell r="D287" t="str">
            <v>2313</v>
          </cell>
          <cell r="E287" t="str">
            <v>Prestations autres divisions, Ateliers draglines</v>
          </cell>
          <cell r="F287">
            <v>0</v>
          </cell>
          <cell r="L287">
            <v>0</v>
          </cell>
          <cell r="P287">
            <v>0</v>
          </cell>
          <cell r="V287">
            <v>0</v>
          </cell>
          <cell r="AI287">
            <v>0</v>
          </cell>
        </row>
        <row r="288">
          <cell r="B288">
            <v>1</v>
          </cell>
          <cell r="C288">
            <v>314</v>
          </cell>
          <cell r="D288" t="str">
            <v>2314</v>
          </cell>
          <cell r="E288" t="str">
            <v>Prestations autres divisions, Ateliers des eaux</v>
          </cell>
          <cell r="F288">
            <v>0</v>
          </cell>
          <cell r="L288">
            <v>0</v>
          </cell>
          <cell r="P288">
            <v>0</v>
          </cell>
          <cell r="V288">
            <v>0</v>
          </cell>
          <cell r="AI288">
            <v>0</v>
          </cell>
        </row>
        <row r="289">
          <cell r="B289">
            <v>1</v>
          </cell>
          <cell r="C289">
            <v>315</v>
          </cell>
          <cell r="D289" t="str">
            <v>2315</v>
          </cell>
          <cell r="E289" t="str">
            <v>Prestations autres divisions, Ateliers génie civil</v>
          </cell>
          <cell r="F289">
            <v>0</v>
          </cell>
          <cell r="L289">
            <v>0</v>
          </cell>
          <cell r="P289">
            <v>0</v>
          </cell>
          <cell r="V289">
            <v>0</v>
          </cell>
          <cell r="AH289">
            <v>1800</v>
          </cell>
          <cell r="AI289">
            <v>1800</v>
          </cell>
        </row>
        <row r="290">
          <cell r="B290">
            <v>1</v>
          </cell>
          <cell r="C290">
            <v>316</v>
          </cell>
          <cell r="D290" t="str">
            <v>2316</v>
          </cell>
          <cell r="E290" t="str">
            <v>Prestations autres divisions, Géologie</v>
          </cell>
          <cell r="F290">
            <v>0</v>
          </cell>
          <cell r="L290">
            <v>0</v>
          </cell>
          <cell r="P290">
            <v>0</v>
          </cell>
          <cell r="V290">
            <v>0</v>
          </cell>
          <cell r="AI290">
            <v>0</v>
          </cell>
        </row>
        <row r="291">
          <cell r="B291">
            <v>1</v>
          </cell>
          <cell r="C291">
            <v>317</v>
          </cell>
          <cell r="D291" t="str">
            <v>2317</v>
          </cell>
          <cell r="E291" t="str">
            <v>Prestations autres divisions, Ateliers pneumatique</v>
          </cell>
          <cell r="F291">
            <v>0</v>
          </cell>
          <cell r="L291">
            <v>0</v>
          </cell>
          <cell r="P291">
            <v>0</v>
          </cell>
          <cell r="V291">
            <v>0</v>
          </cell>
          <cell r="AI291">
            <v>0</v>
          </cell>
        </row>
        <row r="292">
          <cell r="B292">
            <v>1</v>
          </cell>
          <cell r="C292">
            <v>318</v>
          </cell>
          <cell r="D292" t="str">
            <v>2318</v>
          </cell>
          <cell r="E292" t="str">
            <v>Prestations autres divisions, Ateliers chaudronnerie lourde</v>
          </cell>
          <cell r="F292">
            <v>0</v>
          </cell>
          <cell r="L292">
            <v>0</v>
          </cell>
          <cell r="P292">
            <v>0</v>
          </cell>
          <cell r="V292">
            <v>0</v>
          </cell>
          <cell r="AI292">
            <v>0</v>
          </cell>
        </row>
        <row r="293">
          <cell r="B293">
            <v>1</v>
          </cell>
          <cell r="C293">
            <v>319</v>
          </cell>
          <cell r="D293" t="str">
            <v>2319</v>
          </cell>
          <cell r="E293" t="str">
            <v>Prestations autres divisions, Ateliers des engins divers</v>
          </cell>
          <cell r="F293">
            <v>0</v>
          </cell>
          <cell r="L293">
            <v>0</v>
          </cell>
          <cell r="P293">
            <v>0</v>
          </cell>
          <cell r="V293">
            <v>0</v>
          </cell>
          <cell r="AI293">
            <v>0</v>
          </cell>
        </row>
        <row r="294">
          <cell r="B294">
            <v>1</v>
          </cell>
          <cell r="C294">
            <v>330</v>
          </cell>
          <cell r="D294" t="str">
            <v>2330</v>
          </cell>
          <cell r="E294" t="str">
            <v>Prestations autres divisions, Draglines et pelles</v>
          </cell>
          <cell r="F294">
            <v>0</v>
          </cell>
          <cell r="L294">
            <v>0</v>
          </cell>
          <cell r="P294">
            <v>0</v>
          </cell>
          <cell r="V294">
            <v>0</v>
          </cell>
          <cell r="AI294">
            <v>0</v>
          </cell>
        </row>
        <row r="295">
          <cell r="B295">
            <v>1</v>
          </cell>
          <cell r="C295">
            <v>331</v>
          </cell>
          <cell r="D295" t="str">
            <v>2331</v>
          </cell>
          <cell r="E295" t="str">
            <v>Prestations autres divisions, Camions de chantier</v>
          </cell>
          <cell r="F295">
            <v>0</v>
          </cell>
          <cell r="L295">
            <v>0</v>
          </cell>
          <cell r="P295">
            <v>0</v>
          </cell>
          <cell r="V295">
            <v>0</v>
          </cell>
          <cell r="AI295">
            <v>0</v>
          </cell>
        </row>
        <row r="296">
          <cell r="B296">
            <v>1</v>
          </cell>
          <cell r="C296">
            <v>332</v>
          </cell>
          <cell r="D296" t="str">
            <v>2332</v>
          </cell>
          <cell r="E296" t="str">
            <v>Prestations autres divisions, Bulldzers</v>
          </cell>
          <cell r="F296">
            <v>0</v>
          </cell>
          <cell r="L296">
            <v>0</v>
          </cell>
          <cell r="P296">
            <v>0</v>
          </cell>
          <cell r="V296">
            <v>0</v>
          </cell>
          <cell r="AI296">
            <v>0</v>
          </cell>
        </row>
        <row r="297">
          <cell r="B297">
            <v>1</v>
          </cell>
          <cell r="C297">
            <v>333</v>
          </cell>
          <cell r="D297" t="str">
            <v>2333</v>
          </cell>
          <cell r="E297" t="str">
            <v>Prestations autres divisions, Niveleuses</v>
          </cell>
          <cell r="F297">
            <v>0</v>
          </cell>
          <cell r="L297">
            <v>0</v>
          </cell>
          <cell r="P297">
            <v>0</v>
          </cell>
          <cell r="V297">
            <v>0</v>
          </cell>
          <cell r="AI297">
            <v>0</v>
          </cell>
        </row>
        <row r="298">
          <cell r="B298">
            <v>1</v>
          </cell>
          <cell r="C298">
            <v>334</v>
          </cell>
          <cell r="D298" t="str">
            <v>2334</v>
          </cell>
          <cell r="E298" t="str">
            <v>Prestations autres divisions, Chargeuses</v>
          </cell>
          <cell r="F298">
            <v>0</v>
          </cell>
          <cell r="L298">
            <v>0</v>
          </cell>
          <cell r="P298">
            <v>0</v>
          </cell>
          <cell r="V298">
            <v>0</v>
          </cell>
          <cell r="AI298">
            <v>0</v>
          </cell>
        </row>
        <row r="299">
          <cell r="B299">
            <v>1</v>
          </cell>
          <cell r="C299">
            <v>335</v>
          </cell>
          <cell r="D299" t="str">
            <v>2335</v>
          </cell>
          <cell r="E299" t="str">
            <v>Prestations autres divisions, Sondeuses</v>
          </cell>
          <cell r="F299">
            <v>0</v>
          </cell>
          <cell r="L299">
            <v>0</v>
          </cell>
          <cell r="P299">
            <v>0</v>
          </cell>
          <cell r="V299">
            <v>0</v>
          </cell>
          <cell r="AI299">
            <v>0</v>
          </cell>
        </row>
        <row r="300">
          <cell r="B300">
            <v>1</v>
          </cell>
          <cell r="C300">
            <v>336</v>
          </cell>
          <cell r="D300" t="str">
            <v>2336</v>
          </cell>
          <cell r="E300" t="str">
            <v>Prestations autres divisions, Moto scrapers</v>
          </cell>
          <cell r="F300">
            <v>0</v>
          </cell>
          <cell r="L300">
            <v>0</v>
          </cell>
          <cell r="P300">
            <v>0</v>
          </cell>
          <cell r="V300">
            <v>0</v>
          </cell>
          <cell r="AI300">
            <v>0</v>
          </cell>
        </row>
        <row r="301">
          <cell r="B301">
            <v>1</v>
          </cell>
          <cell r="C301">
            <v>337</v>
          </cell>
          <cell r="D301" t="str">
            <v>2337</v>
          </cell>
          <cell r="E301" t="str">
            <v>Prestations autres divisions, Garage véhicules</v>
          </cell>
          <cell r="F301">
            <v>0</v>
          </cell>
          <cell r="L301">
            <v>0</v>
          </cell>
          <cell r="P301">
            <v>0</v>
          </cell>
          <cell r="V301">
            <v>0</v>
          </cell>
          <cell r="AI301">
            <v>0</v>
          </cell>
        </row>
        <row r="302">
          <cell r="B302">
            <v>1</v>
          </cell>
          <cell r="C302">
            <v>339</v>
          </cell>
          <cell r="D302" t="str">
            <v>2339</v>
          </cell>
          <cell r="E302" t="str">
            <v>Prestations autres divisions, Locations véhicules et engins divers</v>
          </cell>
          <cell r="F302">
            <v>0</v>
          </cell>
          <cell r="L302">
            <v>0</v>
          </cell>
          <cell r="P302">
            <v>0</v>
          </cell>
          <cell r="V302">
            <v>0</v>
          </cell>
          <cell r="AI302">
            <v>0</v>
          </cell>
        </row>
        <row r="303">
          <cell r="B303">
            <v>1</v>
          </cell>
          <cell r="C303">
            <v>340</v>
          </cell>
          <cell r="D303" t="str">
            <v>2340</v>
          </cell>
          <cell r="E303" t="str">
            <v>Prestations autres divisions, Matériels et administration des réseaux</v>
          </cell>
          <cell r="F303">
            <v>0</v>
          </cell>
          <cell r="L303">
            <v>0</v>
          </cell>
          <cell r="P303">
            <v>0</v>
          </cell>
          <cell r="V303">
            <v>0</v>
          </cell>
          <cell r="AI303">
            <v>0</v>
          </cell>
        </row>
        <row r="304">
          <cell r="B304">
            <v>1</v>
          </cell>
          <cell r="C304">
            <v>341</v>
          </cell>
          <cell r="D304" t="str">
            <v>2341</v>
          </cell>
          <cell r="E304" t="str">
            <v>Prestations autres divisions, Station service</v>
          </cell>
          <cell r="F304">
            <v>0</v>
          </cell>
          <cell r="L304">
            <v>0</v>
          </cell>
          <cell r="P304">
            <v>0</v>
          </cell>
          <cell r="V304">
            <v>0</v>
          </cell>
          <cell r="AI304">
            <v>0</v>
          </cell>
        </row>
        <row r="305">
          <cell r="B305">
            <v>1</v>
          </cell>
          <cell r="C305">
            <v>342</v>
          </cell>
          <cell r="D305" t="str">
            <v>2342</v>
          </cell>
          <cell r="E305" t="str">
            <v>Prestations autres divisions, Laboratoires</v>
          </cell>
          <cell r="F305">
            <v>0</v>
          </cell>
          <cell r="L305">
            <v>0</v>
          </cell>
          <cell r="P305">
            <v>0</v>
          </cell>
          <cell r="V305">
            <v>0</v>
          </cell>
          <cell r="Z305">
            <v>26544</v>
          </cell>
          <cell r="AH305">
            <v>226260</v>
          </cell>
          <cell r="AI305">
            <v>252804</v>
          </cell>
        </row>
        <row r="306">
          <cell r="B306">
            <v>1</v>
          </cell>
          <cell r="C306">
            <v>343</v>
          </cell>
          <cell r="D306" t="str">
            <v>2343</v>
          </cell>
          <cell r="E306" t="str">
            <v>Prestations autres divisions, Imprimerie et micro-film</v>
          </cell>
          <cell r="F306">
            <v>0</v>
          </cell>
          <cell r="L306">
            <v>0</v>
          </cell>
          <cell r="P306">
            <v>0</v>
          </cell>
          <cell r="V306">
            <v>0</v>
          </cell>
          <cell r="AI306">
            <v>0</v>
          </cell>
        </row>
        <row r="307">
          <cell r="B307">
            <v>1</v>
          </cell>
          <cell r="C307">
            <v>344</v>
          </cell>
          <cell r="D307" t="str">
            <v>2344</v>
          </cell>
          <cell r="E307" t="str">
            <v>Prestations autres divisions, Production informatique service ordinateur</v>
          </cell>
          <cell r="F307">
            <v>0</v>
          </cell>
          <cell r="L307">
            <v>0</v>
          </cell>
          <cell r="P307">
            <v>0</v>
          </cell>
          <cell r="V307">
            <v>0</v>
          </cell>
          <cell r="AI307">
            <v>0</v>
          </cell>
        </row>
        <row r="308">
          <cell r="B308">
            <v>1</v>
          </cell>
          <cell r="C308">
            <v>345</v>
          </cell>
          <cell r="D308" t="str">
            <v>2345</v>
          </cell>
          <cell r="E308" t="str">
            <v>Prestations autres divisions, Télécommunications</v>
          </cell>
          <cell r="F308">
            <v>0</v>
          </cell>
          <cell r="L308">
            <v>0</v>
          </cell>
          <cell r="P308">
            <v>0</v>
          </cell>
          <cell r="V308">
            <v>0</v>
          </cell>
          <cell r="AI308">
            <v>0</v>
          </cell>
        </row>
        <row r="309">
          <cell r="B309">
            <v>1</v>
          </cell>
          <cell r="C309">
            <v>347</v>
          </cell>
          <cell r="D309" t="str">
            <v>2347</v>
          </cell>
          <cell r="E309" t="str">
            <v>Prestations autres divisions, Bureautiques et maintenance</v>
          </cell>
          <cell r="F309">
            <v>0</v>
          </cell>
          <cell r="L309">
            <v>0</v>
          </cell>
          <cell r="P309">
            <v>0</v>
          </cell>
          <cell r="V309">
            <v>0</v>
          </cell>
          <cell r="AI309">
            <v>0</v>
          </cell>
        </row>
        <row r="310">
          <cell r="B310">
            <v>1</v>
          </cell>
          <cell r="C310">
            <v>348</v>
          </cell>
          <cell r="D310" t="str">
            <v>2348</v>
          </cell>
          <cell r="E310" t="str">
            <v>Prestations autres divisions, études diverses et développements informatiques</v>
          </cell>
          <cell r="F310">
            <v>0</v>
          </cell>
          <cell r="L310">
            <v>0</v>
          </cell>
          <cell r="P310">
            <v>0</v>
          </cell>
          <cell r="V310">
            <v>0</v>
          </cell>
          <cell r="AI310">
            <v>0</v>
          </cell>
        </row>
        <row r="311">
          <cell r="B311">
            <v>1</v>
          </cell>
          <cell r="C311">
            <v>349</v>
          </cell>
          <cell r="D311" t="str">
            <v>2349</v>
          </cell>
          <cell r="E311" t="str">
            <v>Prestations autres divisions diverses</v>
          </cell>
          <cell r="F311">
            <v>0</v>
          </cell>
          <cell r="L311">
            <v>0</v>
          </cell>
          <cell r="P311">
            <v>0</v>
          </cell>
          <cell r="V311">
            <v>0</v>
          </cell>
          <cell r="AI311">
            <v>0</v>
          </cell>
        </row>
        <row r="312">
          <cell r="B312">
            <v>1</v>
          </cell>
          <cell r="C312">
            <v>350</v>
          </cell>
          <cell r="D312" t="str">
            <v>2350</v>
          </cell>
          <cell r="E312" t="str">
            <v>Prestations autres divisions, Ateliers vulcanisation</v>
          </cell>
          <cell r="F312">
            <v>0</v>
          </cell>
          <cell r="L312">
            <v>0</v>
          </cell>
          <cell r="P312">
            <v>0</v>
          </cell>
          <cell r="V312">
            <v>0</v>
          </cell>
          <cell r="AI312">
            <v>0</v>
          </cell>
        </row>
        <row r="313">
          <cell r="B313">
            <v>1</v>
          </cell>
          <cell r="C313">
            <v>351</v>
          </cell>
          <cell r="D313" t="str">
            <v>2351</v>
          </cell>
          <cell r="E313" t="str">
            <v>Prestations autres divisions, Ateliers de régulation</v>
          </cell>
          <cell r="F313">
            <v>0</v>
          </cell>
          <cell r="L313">
            <v>0</v>
          </cell>
          <cell r="P313">
            <v>0</v>
          </cell>
          <cell r="V313">
            <v>0</v>
          </cell>
          <cell r="AI313">
            <v>0</v>
          </cell>
        </row>
        <row r="314">
          <cell r="B314">
            <v>1</v>
          </cell>
          <cell r="C314">
            <v>352</v>
          </cell>
          <cell r="D314" t="str">
            <v>2352</v>
          </cell>
          <cell r="E314" t="str">
            <v>Prestations autres divisions, Atelier électrique draglines</v>
          </cell>
          <cell r="F314">
            <v>0</v>
          </cell>
          <cell r="L314">
            <v>0</v>
          </cell>
          <cell r="P314">
            <v>0</v>
          </cell>
          <cell r="V314">
            <v>0</v>
          </cell>
          <cell r="AI314">
            <v>0</v>
          </cell>
        </row>
        <row r="315">
          <cell r="B315">
            <v>1</v>
          </cell>
          <cell r="C315">
            <v>353</v>
          </cell>
          <cell r="D315" t="str">
            <v>2353</v>
          </cell>
          <cell r="E315" t="str">
            <v>Prestations autres divisions, Atelier chaudronnerie entretien</v>
          </cell>
          <cell r="F315">
            <v>0</v>
          </cell>
          <cell r="L315">
            <v>0</v>
          </cell>
          <cell r="P315">
            <v>0</v>
          </cell>
          <cell r="V315">
            <v>0</v>
          </cell>
          <cell r="AI315">
            <v>0</v>
          </cell>
        </row>
        <row r="316">
          <cell r="B316">
            <v>1</v>
          </cell>
          <cell r="C316">
            <v>354</v>
          </cell>
          <cell r="D316" t="str">
            <v>2354</v>
          </cell>
          <cell r="E316" t="str">
            <v>Prestations autres divisions, Atelier électrique installations</v>
          </cell>
          <cell r="F316">
            <v>0</v>
          </cell>
          <cell r="L316">
            <v>0</v>
          </cell>
          <cell r="P316">
            <v>0</v>
          </cell>
          <cell r="V316">
            <v>0</v>
          </cell>
          <cell r="AI316">
            <v>0</v>
          </cell>
        </row>
        <row r="317">
          <cell r="B317">
            <v>1</v>
          </cell>
          <cell r="C317">
            <v>355</v>
          </cell>
          <cell r="D317" t="str">
            <v>2355</v>
          </cell>
          <cell r="E317" t="str">
            <v>Prestations autres divisions, Atelier sous-ensembles</v>
          </cell>
          <cell r="F317">
            <v>0</v>
          </cell>
          <cell r="L317">
            <v>0</v>
          </cell>
          <cell r="P317">
            <v>0</v>
          </cell>
          <cell r="V317">
            <v>0</v>
          </cell>
          <cell r="AI317">
            <v>0</v>
          </cell>
        </row>
        <row r="318">
          <cell r="B318">
            <v>1</v>
          </cell>
          <cell r="C318">
            <v>356</v>
          </cell>
          <cell r="D318" t="str">
            <v>2356</v>
          </cell>
          <cell r="E318" t="str">
            <v>Prestations autres divisions, Atelier de réparation véhicules</v>
          </cell>
          <cell r="F318">
            <v>0</v>
          </cell>
          <cell r="L318">
            <v>0</v>
          </cell>
          <cell r="P318">
            <v>0</v>
          </cell>
          <cell r="V318">
            <v>0</v>
          </cell>
          <cell r="AI318">
            <v>0</v>
          </cell>
        </row>
        <row r="319">
          <cell r="B319">
            <v>1</v>
          </cell>
          <cell r="C319">
            <v>357</v>
          </cell>
          <cell r="D319" t="str">
            <v>2357</v>
          </cell>
          <cell r="E319" t="str">
            <v>Prestations autres divisions, Atelier machines-outils, Ajustage et montage</v>
          </cell>
          <cell r="F319">
            <v>0</v>
          </cell>
          <cell r="L319">
            <v>0</v>
          </cell>
          <cell r="P319">
            <v>0</v>
          </cell>
          <cell r="V319">
            <v>0</v>
          </cell>
          <cell r="AI319">
            <v>0</v>
          </cell>
        </row>
        <row r="320">
          <cell r="B320">
            <v>1</v>
          </cell>
          <cell r="C320">
            <v>358</v>
          </cell>
          <cell r="D320" t="str">
            <v>2358</v>
          </cell>
          <cell r="E320" t="str">
            <v>Prestations autres divisions, Ateliers hydrauliques</v>
          </cell>
          <cell r="F320">
            <v>0</v>
          </cell>
          <cell r="L320">
            <v>0</v>
          </cell>
          <cell r="P320">
            <v>0</v>
          </cell>
          <cell r="V320">
            <v>0</v>
          </cell>
          <cell r="AI320">
            <v>0</v>
          </cell>
        </row>
        <row r="321">
          <cell r="B321">
            <v>1</v>
          </cell>
          <cell r="C321">
            <v>359</v>
          </cell>
          <cell r="D321" t="str">
            <v>2359</v>
          </cell>
          <cell r="E321" t="str">
            <v>Prestations autres divisions, Ateliers centraux, contrôle qualité</v>
          </cell>
          <cell r="F321">
            <v>0</v>
          </cell>
          <cell r="L321">
            <v>0</v>
          </cell>
          <cell r="P321">
            <v>0</v>
          </cell>
          <cell r="V321">
            <v>0</v>
          </cell>
          <cell r="AI321">
            <v>0</v>
          </cell>
        </row>
        <row r="322">
          <cell r="B322">
            <v>1</v>
          </cell>
          <cell r="C322">
            <v>360</v>
          </cell>
          <cell r="D322" t="str">
            <v>2360</v>
          </cell>
          <cell r="E322" t="str">
            <v>Prestations autres divisions, Surveillance de chantier</v>
          </cell>
          <cell r="F322">
            <v>0</v>
          </cell>
          <cell r="L322">
            <v>0</v>
          </cell>
          <cell r="P322">
            <v>0</v>
          </cell>
          <cell r="V322">
            <v>0</v>
          </cell>
          <cell r="AI322">
            <v>0</v>
          </cell>
        </row>
        <row r="323">
          <cell r="B323">
            <v>1</v>
          </cell>
          <cell r="C323">
            <v>361</v>
          </cell>
          <cell r="D323" t="str">
            <v>2361</v>
          </cell>
          <cell r="E323" t="str">
            <v>Prestations autres divisions, Equipe de sautage</v>
          </cell>
          <cell r="F323">
            <v>0</v>
          </cell>
          <cell r="L323">
            <v>0</v>
          </cell>
          <cell r="P323">
            <v>0</v>
          </cell>
          <cell r="V323">
            <v>0</v>
          </cell>
          <cell r="AI323">
            <v>0</v>
          </cell>
        </row>
        <row r="324">
          <cell r="B324">
            <v>1</v>
          </cell>
          <cell r="C324">
            <v>362</v>
          </cell>
          <cell r="D324" t="str">
            <v>2362</v>
          </cell>
          <cell r="E324" t="str">
            <v>Prestations autres divisions de conduite</v>
          </cell>
          <cell r="F324">
            <v>0</v>
          </cell>
          <cell r="L324">
            <v>0</v>
          </cell>
          <cell r="P324">
            <v>0</v>
          </cell>
          <cell r="V324">
            <v>0</v>
          </cell>
          <cell r="AI324">
            <v>0</v>
          </cell>
        </row>
        <row r="325">
          <cell r="B325">
            <v>1</v>
          </cell>
          <cell r="C325">
            <v>370</v>
          </cell>
          <cell r="D325" t="str">
            <v>2370</v>
          </cell>
          <cell r="E325" t="str">
            <v>Prestations autres divisions, Aménagement plate-forme sondeuses</v>
          </cell>
          <cell r="F325">
            <v>0</v>
          </cell>
          <cell r="L325">
            <v>0</v>
          </cell>
          <cell r="P325">
            <v>0</v>
          </cell>
          <cell r="V325">
            <v>0</v>
          </cell>
          <cell r="AI325">
            <v>0</v>
          </cell>
        </row>
        <row r="326">
          <cell r="B326">
            <v>1</v>
          </cell>
          <cell r="C326">
            <v>371</v>
          </cell>
          <cell r="D326" t="str">
            <v>2371</v>
          </cell>
          <cell r="E326" t="str">
            <v>Prestations autres divisions, Aménagement plate-forme machines &amp; accompagnement</v>
          </cell>
          <cell r="F326">
            <v>0</v>
          </cell>
          <cell r="L326">
            <v>0</v>
          </cell>
          <cell r="P326">
            <v>0</v>
          </cell>
          <cell r="V326">
            <v>0</v>
          </cell>
          <cell r="AI326">
            <v>0</v>
          </cell>
        </row>
        <row r="327">
          <cell r="B327">
            <v>1</v>
          </cell>
          <cell r="C327">
            <v>372</v>
          </cell>
          <cell r="D327" t="str">
            <v>2372</v>
          </cell>
          <cell r="E327" t="str">
            <v>Prestations autres divisions, Prélèvement par bulls</v>
          </cell>
          <cell r="F327">
            <v>0</v>
          </cell>
          <cell r="L327">
            <v>0</v>
          </cell>
          <cell r="P327">
            <v>0</v>
          </cell>
          <cell r="V327">
            <v>0</v>
          </cell>
          <cell r="AI327">
            <v>0</v>
          </cell>
        </row>
        <row r="328">
          <cell r="B328">
            <v>1</v>
          </cell>
          <cell r="C328">
            <v>373</v>
          </cell>
          <cell r="D328" t="str">
            <v>2373</v>
          </cell>
          <cell r="E328" t="str">
            <v>Prestations autres divisions, Gerbage</v>
          </cell>
          <cell r="F328">
            <v>0</v>
          </cell>
          <cell r="L328">
            <v>0</v>
          </cell>
          <cell r="P328">
            <v>0</v>
          </cell>
          <cell r="V328">
            <v>0</v>
          </cell>
          <cell r="AI328">
            <v>0</v>
          </cell>
        </row>
        <row r="329">
          <cell r="B329">
            <v>1</v>
          </cell>
          <cell r="C329">
            <v>374</v>
          </cell>
          <cell r="D329" t="str">
            <v>2374</v>
          </cell>
          <cell r="E329" t="str">
            <v>Prestations autres divisions, Aménagement décharge</v>
          </cell>
          <cell r="F329">
            <v>0</v>
          </cell>
          <cell r="L329">
            <v>0</v>
          </cell>
          <cell r="P329">
            <v>0</v>
          </cell>
          <cell r="V329">
            <v>0</v>
          </cell>
          <cell r="AI329">
            <v>0</v>
          </cell>
        </row>
        <row r="330">
          <cell r="B330">
            <v>1</v>
          </cell>
          <cell r="C330">
            <v>375</v>
          </cell>
          <cell r="D330" t="str">
            <v>2375</v>
          </cell>
          <cell r="E330" t="str">
            <v>Prestations autres divisions, Aménagement stocks</v>
          </cell>
          <cell r="F330">
            <v>0</v>
          </cell>
          <cell r="L330">
            <v>0</v>
          </cell>
          <cell r="P330">
            <v>0</v>
          </cell>
          <cell r="V330">
            <v>0</v>
          </cell>
          <cell r="AI330">
            <v>0</v>
          </cell>
        </row>
        <row r="331">
          <cell r="B331">
            <v>1</v>
          </cell>
          <cell r="C331">
            <v>376</v>
          </cell>
          <cell r="D331" t="str">
            <v>2376</v>
          </cell>
          <cell r="E331" t="str">
            <v>Prestations autres divisions, Travaux de piste</v>
          </cell>
          <cell r="F331">
            <v>0</v>
          </cell>
          <cell r="L331">
            <v>0</v>
          </cell>
          <cell r="P331">
            <v>0</v>
          </cell>
          <cell r="V331">
            <v>0</v>
          </cell>
          <cell r="AI331">
            <v>0</v>
          </cell>
        </row>
        <row r="332">
          <cell r="B332">
            <v>1</v>
          </cell>
          <cell r="C332">
            <v>380</v>
          </cell>
          <cell r="D332" t="str">
            <v>2380</v>
          </cell>
          <cell r="E332" t="str">
            <v>Prestations autres divisions, Prélèvement</v>
          </cell>
          <cell r="F332">
            <v>0</v>
          </cell>
          <cell r="L332">
            <v>0</v>
          </cell>
          <cell r="P332">
            <v>0</v>
          </cell>
          <cell r="V332">
            <v>0</v>
          </cell>
          <cell r="AI332">
            <v>0</v>
          </cell>
        </row>
        <row r="333">
          <cell r="B333">
            <v>1</v>
          </cell>
          <cell r="C333">
            <v>390</v>
          </cell>
          <cell r="D333" t="str">
            <v>2390</v>
          </cell>
          <cell r="E333" t="str">
            <v>Prestations autres divisions, Restaurant</v>
          </cell>
          <cell r="F333">
            <v>0</v>
          </cell>
          <cell r="L333">
            <v>0</v>
          </cell>
          <cell r="P333">
            <v>0</v>
          </cell>
          <cell r="V333">
            <v>0</v>
          </cell>
          <cell r="AI333">
            <v>0</v>
          </cell>
        </row>
        <row r="334">
          <cell r="B334">
            <v>1</v>
          </cell>
          <cell r="C334">
            <v>400</v>
          </cell>
          <cell r="D334" t="str">
            <v>4250</v>
          </cell>
          <cell r="E334" t="str">
            <v>Consommation, Bois de mine</v>
          </cell>
          <cell r="F334">
            <v>0</v>
          </cell>
          <cell r="L334">
            <v>0</v>
          </cell>
          <cell r="N334">
            <v>609864</v>
          </cell>
          <cell r="O334">
            <v>510900</v>
          </cell>
          <cell r="P334">
            <v>1120764</v>
          </cell>
          <cell r="V334">
            <v>0</v>
          </cell>
          <cell r="AI334">
            <v>1120764</v>
          </cell>
        </row>
        <row r="335">
          <cell r="B335">
            <v>1</v>
          </cell>
          <cell r="C335">
            <v>402</v>
          </cell>
          <cell r="D335" t="str">
            <v>4251</v>
          </cell>
          <cell r="E335" t="str">
            <v>Consommation, Courroies transporteuses</v>
          </cell>
          <cell r="F335">
            <v>126276</v>
          </cell>
          <cell r="G335">
            <v>198756</v>
          </cell>
          <cell r="H335">
            <v>167028</v>
          </cell>
          <cell r="I335">
            <v>96312</v>
          </cell>
          <cell r="J335">
            <v>165336</v>
          </cell>
          <cell r="K335">
            <v>174996</v>
          </cell>
          <cell r="L335">
            <v>928704</v>
          </cell>
          <cell r="N335">
            <v>361656</v>
          </cell>
          <cell r="O335">
            <v>849252</v>
          </cell>
          <cell r="P335">
            <v>1210908</v>
          </cell>
          <cell r="V335">
            <v>0</v>
          </cell>
          <cell r="AI335">
            <v>2139612</v>
          </cell>
        </row>
        <row r="336">
          <cell r="B336">
            <v>1</v>
          </cell>
          <cell r="C336">
            <v>403</v>
          </cell>
          <cell r="D336" t="str">
            <v>4252</v>
          </cell>
          <cell r="E336" t="str">
            <v>Consommation, Explosifs</v>
          </cell>
          <cell r="F336">
            <v>0</v>
          </cell>
          <cell r="L336">
            <v>0</v>
          </cell>
          <cell r="N336">
            <v>26952</v>
          </cell>
          <cell r="O336">
            <v>56688</v>
          </cell>
          <cell r="P336">
            <v>83640</v>
          </cell>
          <cell r="V336">
            <v>0</v>
          </cell>
          <cell r="AI336">
            <v>83640</v>
          </cell>
        </row>
        <row r="337">
          <cell r="B337">
            <v>1</v>
          </cell>
          <cell r="C337">
            <v>404</v>
          </cell>
          <cell r="D337" t="str">
            <v>4232</v>
          </cell>
          <cell r="E337" t="str">
            <v>Consommation, Essence légère</v>
          </cell>
          <cell r="F337">
            <v>0</v>
          </cell>
          <cell r="L337">
            <v>0</v>
          </cell>
          <cell r="P337">
            <v>0</v>
          </cell>
          <cell r="V337">
            <v>0</v>
          </cell>
          <cell r="AI337">
            <v>0</v>
          </cell>
        </row>
        <row r="338">
          <cell r="B338">
            <v>1</v>
          </cell>
          <cell r="C338">
            <v>405</v>
          </cell>
          <cell r="D338" t="str">
            <v>4233</v>
          </cell>
          <cell r="E338" t="str">
            <v>Consommation, Gasoil</v>
          </cell>
          <cell r="F338">
            <v>0</v>
          </cell>
          <cell r="L338">
            <v>0</v>
          </cell>
          <cell r="P338">
            <v>0</v>
          </cell>
          <cell r="V338">
            <v>0</v>
          </cell>
          <cell r="Y338">
            <v>670680</v>
          </cell>
          <cell r="AA338">
            <v>14652</v>
          </cell>
          <cell r="AH338">
            <v>3948</v>
          </cell>
          <cell r="AI338">
            <v>689280</v>
          </cell>
        </row>
        <row r="339">
          <cell r="B339">
            <v>1</v>
          </cell>
          <cell r="C339">
            <v>406</v>
          </cell>
          <cell r="D339" t="str">
            <v>4234</v>
          </cell>
          <cell r="E339" t="str">
            <v>Consommation, Lubrifiants</v>
          </cell>
          <cell r="F339">
            <v>28200</v>
          </cell>
          <cell r="G339">
            <v>19536</v>
          </cell>
          <cell r="H339">
            <v>23472</v>
          </cell>
          <cell r="I339">
            <v>18444</v>
          </cell>
          <cell r="J339">
            <v>19992</v>
          </cell>
          <cell r="K339">
            <v>19032</v>
          </cell>
          <cell r="L339">
            <v>128676</v>
          </cell>
          <cell r="M339">
            <v>5664</v>
          </cell>
          <cell r="N339">
            <v>98868</v>
          </cell>
          <cell r="O339">
            <v>133404</v>
          </cell>
          <cell r="P339">
            <v>232272</v>
          </cell>
          <cell r="R339">
            <v>444</v>
          </cell>
          <cell r="S339">
            <v>27852</v>
          </cell>
          <cell r="V339">
            <v>0</v>
          </cell>
          <cell r="Y339">
            <v>314328</v>
          </cell>
          <cell r="AC339">
            <v>27564</v>
          </cell>
          <cell r="AF339">
            <v>5364</v>
          </cell>
          <cell r="AG339">
            <v>36456</v>
          </cell>
          <cell r="AI339">
            <v>778620</v>
          </cell>
        </row>
        <row r="340">
          <cell r="B340">
            <v>1</v>
          </cell>
          <cell r="C340">
            <v>407</v>
          </cell>
          <cell r="D340" t="str">
            <v>4270</v>
          </cell>
          <cell r="E340" t="str">
            <v>Consommation, Fournitures de bureau</v>
          </cell>
          <cell r="F340">
            <v>0</v>
          </cell>
          <cell r="L340">
            <v>0</v>
          </cell>
          <cell r="P340">
            <v>0</v>
          </cell>
          <cell r="V340">
            <v>0</v>
          </cell>
          <cell r="Y340">
            <v>444</v>
          </cell>
          <cell r="AA340">
            <v>132</v>
          </cell>
          <cell r="AH340">
            <v>30084</v>
          </cell>
          <cell r="AI340">
            <v>30660</v>
          </cell>
        </row>
        <row r="341">
          <cell r="B341">
            <v>1</v>
          </cell>
          <cell r="C341">
            <v>408</v>
          </cell>
          <cell r="D341" t="str">
            <v>4253</v>
          </cell>
          <cell r="E341" t="str">
            <v>Consommation, Rouleaux de convoyeurs</v>
          </cell>
          <cell r="F341">
            <v>0</v>
          </cell>
          <cell r="L341">
            <v>0</v>
          </cell>
          <cell r="M341">
            <v>4404</v>
          </cell>
          <cell r="N341">
            <v>47040</v>
          </cell>
          <cell r="O341">
            <v>77088</v>
          </cell>
          <cell r="P341">
            <v>124128</v>
          </cell>
          <cell r="S341">
            <v>89064</v>
          </cell>
          <cell r="V341">
            <v>0</v>
          </cell>
          <cell r="AG341">
            <v>46404</v>
          </cell>
          <cell r="AI341">
            <v>264000</v>
          </cell>
        </row>
        <row r="342">
          <cell r="B342">
            <v>1</v>
          </cell>
          <cell r="C342">
            <v>409</v>
          </cell>
          <cell r="D342" t="str">
            <v>4248</v>
          </cell>
          <cell r="E342" t="str">
            <v>Consommation, Matières et fournitures consommables diverses</v>
          </cell>
          <cell r="F342">
            <v>103680</v>
          </cell>
          <cell r="G342">
            <v>104400</v>
          </cell>
          <cell r="H342">
            <v>175284</v>
          </cell>
          <cell r="I342">
            <v>175476</v>
          </cell>
          <cell r="J342">
            <v>102252</v>
          </cell>
          <cell r="K342">
            <v>120612</v>
          </cell>
          <cell r="L342">
            <v>781704</v>
          </cell>
          <cell r="M342">
            <v>147144</v>
          </cell>
          <cell r="N342">
            <v>622752</v>
          </cell>
          <cell r="O342">
            <v>801960</v>
          </cell>
          <cell r="P342">
            <v>1424712</v>
          </cell>
          <cell r="R342">
            <v>88980</v>
          </cell>
          <cell r="S342">
            <v>208632</v>
          </cell>
          <cell r="V342">
            <v>0</v>
          </cell>
          <cell r="W342">
            <v>5340</v>
          </cell>
          <cell r="X342">
            <v>2880</v>
          </cell>
          <cell r="Y342">
            <v>36912</v>
          </cell>
          <cell r="Z342">
            <v>228912</v>
          </cell>
          <cell r="AA342">
            <v>33518</v>
          </cell>
          <cell r="AB342">
            <v>14268</v>
          </cell>
          <cell r="AC342">
            <v>10524</v>
          </cell>
          <cell r="AD342">
            <v>2964</v>
          </cell>
          <cell r="AE342">
            <v>7116</v>
          </cell>
          <cell r="AF342">
            <v>4848</v>
          </cell>
          <cell r="AG342">
            <v>68280</v>
          </cell>
          <cell r="AH342">
            <v>29760</v>
          </cell>
          <cell r="AI342">
            <v>3096494</v>
          </cell>
        </row>
        <row r="343">
          <cell r="B343">
            <v>1</v>
          </cell>
          <cell r="C343">
            <v>410</v>
          </cell>
          <cell r="D343" t="str">
            <v>4254</v>
          </cell>
          <cell r="E343" t="str">
            <v>Consommation, Lames d'usure de bulles et niveleuses</v>
          </cell>
          <cell r="F343">
            <v>0</v>
          </cell>
          <cell r="L343">
            <v>0</v>
          </cell>
          <cell r="P343">
            <v>0</v>
          </cell>
          <cell r="V343">
            <v>0</v>
          </cell>
          <cell r="AI343">
            <v>0</v>
          </cell>
        </row>
        <row r="344">
          <cell r="B344">
            <v>1</v>
          </cell>
          <cell r="C344">
            <v>411</v>
          </cell>
          <cell r="D344" t="str">
            <v>4255</v>
          </cell>
          <cell r="E344" t="str">
            <v>Consommation, Tiges, drill - collar</v>
          </cell>
          <cell r="F344">
            <v>0</v>
          </cell>
          <cell r="L344">
            <v>0</v>
          </cell>
          <cell r="P344">
            <v>0</v>
          </cell>
          <cell r="V344">
            <v>0</v>
          </cell>
          <cell r="AI344">
            <v>0</v>
          </cell>
        </row>
        <row r="345">
          <cell r="B345">
            <v>1</v>
          </cell>
          <cell r="C345">
            <v>412</v>
          </cell>
          <cell r="D345" t="str">
            <v>4256</v>
          </cell>
          <cell r="E345" t="str">
            <v>Consommation, Tricones de sondeuses</v>
          </cell>
          <cell r="F345">
            <v>0</v>
          </cell>
          <cell r="L345">
            <v>0</v>
          </cell>
          <cell r="P345">
            <v>0</v>
          </cell>
          <cell r="V345">
            <v>0</v>
          </cell>
          <cell r="AI345">
            <v>0</v>
          </cell>
        </row>
        <row r="346">
          <cell r="B346">
            <v>1</v>
          </cell>
          <cell r="C346">
            <v>413</v>
          </cell>
          <cell r="D346" t="str">
            <v>4257</v>
          </cell>
          <cell r="E346" t="str">
            <v>Consommation, Cables de draglines</v>
          </cell>
          <cell r="F346">
            <v>0</v>
          </cell>
          <cell r="L346">
            <v>0</v>
          </cell>
          <cell r="P346">
            <v>0</v>
          </cell>
          <cell r="V346">
            <v>0</v>
          </cell>
          <cell r="AI346">
            <v>0</v>
          </cell>
        </row>
        <row r="347">
          <cell r="B347">
            <v>1</v>
          </cell>
          <cell r="C347">
            <v>414</v>
          </cell>
          <cell r="D347" t="str">
            <v>4258</v>
          </cell>
          <cell r="E347" t="str">
            <v>Consommation, Godets et dents de draglines</v>
          </cell>
          <cell r="F347">
            <v>0</v>
          </cell>
          <cell r="L347">
            <v>0</v>
          </cell>
          <cell r="P347">
            <v>0</v>
          </cell>
          <cell r="V347">
            <v>0</v>
          </cell>
          <cell r="AI347">
            <v>0</v>
          </cell>
        </row>
        <row r="348">
          <cell r="B348">
            <v>1</v>
          </cell>
          <cell r="C348">
            <v>415</v>
          </cell>
          <cell r="D348" t="str">
            <v>4261</v>
          </cell>
          <cell r="E348" t="str">
            <v>Consommation, Pneumatiques pour engins lourds</v>
          </cell>
          <cell r="F348">
            <v>0</v>
          </cell>
          <cell r="L348">
            <v>0</v>
          </cell>
          <cell r="P348">
            <v>0</v>
          </cell>
          <cell r="V348">
            <v>0</v>
          </cell>
          <cell r="Y348">
            <v>30216</v>
          </cell>
          <cell r="AA348">
            <v>2232</v>
          </cell>
          <cell r="AH348">
            <v>4284</v>
          </cell>
          <cell r="AI348">
            <v>36732</v>
          </cell>
        </row>
        <row r="349">
          <cell r="B349">
            <v>1</v>
          </cell>
          <cell r="C349">
            <v>416</v>
          </cell>
          <cell r="D349" t="str">
            <v>4259</v>
          </cell>
          <cell r="E349" t="str">
            <v>Consommation, Cables électriques</v>
          </cell>
          <cell r="F349">
            <v>0</v>
          </cell>
          <cell r="H349">
            <v>984</v>
          </cell>
          <cell r="I349">
            <v>4056</v>
          </cell>
          <cell r="J349">
            <v>516</v>
          </cell>
          <cell r="L349">
            <v>5556</v>
          </cell>
          <cell r="M349">
            <v>1668</v>
          </cell>
          <cell r="N349">
            <v>20760</v>
          </cell>
          <cell r="O349">
            <v>18264</v>
          </cell>
          <cell r="P349">
            <v>39024</v>
          </cell>
          <cell r="R349">
            <v>1752</v>
          </cell>
          <cell r="S349">
            <v>2292</v>
          </cell>
          <cell r="V349">
            <v>0</v>
          </cell>
          <cell r="Z349">
            <v>20400</v>
          </cell>
          <cell r="AC349">
            <v>564</v>
          </cell>
          <cell r="AI349">
            <v>71256</v>
          </cell>
        </row>
        <row r="350">
          <cell r="B350">
            <v>1</v>
          </cell>
          <cell r="C350">
            <v>417</v>
          </cell>
          <cell r="D350" t="str">
            <v>4263</v>
          </cell>
          <cell r="E350" t="str">
            <v>Consommation, Pièces de rechange du matériel</v>
          </cell>
          <cell r="F350">
            <v>253008</v>
          </cell>
          <cell r="G350">
            <v>136632</v>
          </cell>
          <cell r="H350">
            <v>87432</v>
          </cell>
          <cell r="I350">
            <v>227520</v>
          </cell>
          <cell r="J350">
            <v>176208</v>
          </cell>
          <cell r="K350">
            <v>260136</v>
          </cell>
          <cell r="L350">
            <v>1140936</v>
          </cell>
          <cell r="M350">
            <v>388908</v>
          </cell>
          <cell r="N350">
            <v>2139192</v>
          </cell>
          <cell r="O350">
            <v>2003256</v>
          </cell>
          <cell r="P350">
            <v>4142448</v>
          </cell>
          <cell r="R350">
            <v>264756</v>
          </cell>
          <cell r="S350">
            <v>239844</v>
          </cell>
          <cell r="V350">
            <v>0</v>
          </cell>
          <cell r="W350">
            <v>300</v>
          </cell>
          <cell r="X350">
            <v>384</v>
          </cell>
          <cell r="Y350">
            <v>1143168</v>
          </cell>
          <cell r="Z350">
            <v>607104</v>
          </cell>
          <cell r="AA350">
            <v>26940</v>
          </cell>
          <cell r="AB350">
            <v>264</v>
          </cell>
          <cell r="AC350">
            <v>17592</v>
          </cell>
          <cell r="AF350">
            <v>2940</v>
          </cell>
          <cell r="AG350">
            <v>45048</v>
          </cell>
          <cell r="AH350">
            <v>21984</v>
          </cell>
          <cell r="AI350">
            <v>8042616</v>
          </cell>
        </row>
        <row r="351">
          <cell r="B351">
            <v>1</v>
          </cell>
          <cell r="C351" t="str">
            <v>418</v>
          </cell>
          <cell r="D351" t="str">
            <v>4264</v>
          </cell>
          <cell r="E351" t="str">
            <v>Consommation, Pièces détachées automobiles</v>
          </cell>
          <cell r="F351">
            <v>0</v>
          </cell>
          <cell r="L351">
            <v>0</v>
          </cell>
          <cell r="P351">
            <v>0</v>
          </cell>
          <cell r="V351">
            <v>0</v>
          </cell>
          <cell r="Y351">
            <v>15084</v>
          </cell>
          <cell r="Z351">
            <v>1692</v>
          </cell>
          <cell r="AC351">
            <v>324</v>
          </cell>
          <cell r="AH351">
            <v>2448</v>
          </cell>
          <cell r="AI351">
            <v>19548</v>
          </cell>
        </row>
        <row r="352">
          <cell r="B352">
            <v>1</v>
          </cell>
          <cell r="C352">
            <v>419</v>
          </cell>
          <cell r="D352" t="str">
            <v>4265</v>
          </cell>
          <cell r="E352" t="str">
            <v>Consommation, Petit outillage</v>
          </cell>
          <cell r="F352">
            <v>0</v>
          </cell>
          <cell r="H352">
            <v>1176</v>
          </cell>
          <cell r="L352">
            <v>1176</v>
          </cell>
          <cell r="M352">
            <v>1920</v>
          </cell>
          <cell r="N352">
            <v>1344</v>
          </cell>
          <cell r="O352">
            <v>672</v>
          </cell>
          <cell r="P352">
            <v>2016</v>
          </cell>
          <cell r="R352">
            <v>108</v>
          </cell>
          <cell r="S352">
            <v>1668</v>
          </cell>
          <cell r="V352">
            <v>0</v>
          </cell>
          <cell r="Y352">
            <v>1668</v>
          </cell>
          <cell r="Z352">
            <v>5484</v>
          </cell>
          <cell r="AA352">
            <v>21156</v>
          </cell>
          <cell r="AI352">
            <v>35196</v>
          </cell>
        </row>
        <row r="353">
          <cell r="B353">
            <v>1</v>
          </cell>
          <cell r="C353">
            <v>420</v>
          </cell>
          <cell r="D353" t="str">
            <v>4262</v>
          </cell>
          <cell r="E353" t="str">
            <v>Consommation, Pneumatiques voitures légères</v>
          </cell>
          <cell r="F353">
            <v>0</v>
          </cell>
          <cell r="L353">
            <v>0</v>
          </cell>
          <cell r="P353">
            <v>0</v>
          </cell>
          <cell r="V353">
            <v>0</v>
          </cell>
          <cell r="AI353">
            <v>0</v>
          </cell>
        </row>
        <row r="354">
          <cell r="B354">
            <v>1</v>
          </cell>
          <cell r="C354">
            <v>421</v>
          </cell>
          <cell r="D354" t="str">
            <v>4266</v>
          </cell>
          <cell r="E354" t="str">
            <v>Consommation, Produits pharmaceutiques</v>
          </cell>
          <cell r="F354">
            <v>0</v>
          </cell>
          <cell r="L354">
            <v>0</v>
          </cell>
          <cell r="P354">
            <v>0</v>
          </cell>
          <cell r="V354">
            <v>0</v>
          </cell>
          <cell r="Z354">
            <v>2052</v>
          </cell>
          <cell r="AI354">
            <v>2052</v>
          </cell>
        </row>
        <row r="355">
          <cell r="B355">
            <v>1</v>
          </cell>
          <cell r="C355">
            <v>423</v>
          </cell>
          <cell r="D355" t="str">
            <v>4267</v>
          </cell>
          <cell r="E355" t="str">
            <v>Consommation, Petit matériel à usage médicale</v>
          </cell>
          <cell r="F355">
            <v>0</v>
          </cell>
          <cell r="L355">
            <v>0</v>
          </cell>
          <cell r="P355">
            <v>0</v>
          </cell>
          <cell r="V355">
            <v>0</v>
          </cell>
          <cell r="AI355">
            <v>0</v>
          </cell>
        </row>
        <row r="356">
          <cell r="B356">
            <v>1</v>
          </cell>
          <cell r="C356">
            <v>424</v>
          </cell>
          <cell r="D356" t="str">
            <v>4243</v>
          </cell>
          <cell r="E356" t="str">
            <v>Consommation, Aciers et gaz industriels</v>
          </cell>
          <cell r="F356">
            <v>1416</v>
          </cell>
          <cell r="G356">
            <v>2580</v>
          </cell>
          <cell r="H356">
            <v>4716</v>
          </cell>
          <cell r="I356">
            <v>1416</v>
          </cell>
          <cell r="J356">
            <v>2400</v>
          </cell>
          <cell r="K356">
            <v>3756</v>
          </cell>
          <cell r="L356">
            <v>16284</v>
          </cell>
          <cell r="M356">
            <v>78300</v>
          </cell>
          <cell r="N356">
            <v>63456</v>
          </cell>
          <cell r="O356">
            <v>106344</v>
          </cell>
          <cell r="P356">
            <v>169800</v>
          </cell>
          <cell r="R356">
            <v>26832</v>
          </cell>
          <cell r="S356">
            <v>1068</v>
          </cell>
          <cell r="V356">
            <v>0</v>
          </cell>
          <cell r="Y356">
            <v>8268</v>
          </cell>
          <cell r="Z356">
            <v>8508</v>
          </cell>
          <cell r="AG356">
            <v>20640</v>
          </cell>
          <cell r="AI356">
            <v>329700</v>
          </cell>
        </row>
        <row r="357">
          <cell r="B357">
            <v>1</v>
          </cell>
          <cell r="C357">
            <v>425</v>
          </cell>
          <cell r="D357" t="str">
            <v>4244</v>
          </cell>
          <cell r="E357" t="str">
            <v>Consommation, Habillement et produits de sécurité</v>
          </cell>
          <cell r="F357">
            <v>9096</v>
          </cell>
          <cell r="G357">
            <v>13296</v>
          </cell>
          <cell r="H357">
            <v>14808</v>
          </cell>
          <cell r="I357">
            <v>13716</v>
          </cell>
          <cell r="J357">
            <v>13800</v>
          </cell>
          <cell r="K357">
            <v>15960</v>
          </cell>
          <cell r="L357">
            <v>80676</v>
          </cell>
          <cell r="M357">
            <v>15600</v>
          </cell>
          <cell r="N357">
            <v>52320</v>
          </cell>
          <cell r="O357">
            <v>62916</v>
          </cell>
          <cell r="P357">
            <v>115236</v>
          </cell>
          <cell r="R357">
            <v>27972</v>
          </cell>
          <cell r="S357">
            <v>43632</v>
          </cell>
          <cell r="V357">
            <v>0</v>
          </cell>
          <cell r="W357">
            <v>9264</v>
          </cell>
          <cell r="X357">
            <v>2988</v>
          </cell>
          <cell r="Y357">
            <v>29544</v>
          </cell>
          <cell r="Z357">
            <v>25932</v>
          </cell>
          <cell r="AA357">
            <v>13416</v>
          </cell>
          <cell r="AB357">
            <v>5820</v>
          </cell>
          <cell r="AC357">
            <v>2184</v>
          </cell>
          <cell r="AD357">
            <v>1692</v>
          </cell>
          <cell r="AE357">
            <v>4944</v>
          </cell>
          <cell r="AF357">
            <v>1620</v>
          </cell>
          <cell r="AG357">
            <v>9192</v>
          </cell>
          <cell r="AH357">
            <v>6012</v>
          </cell>
          <cell r="AI357">
            <v>395724</v>
          </cell>
        </row>
        <row r="358">
          <cell r="B358">
            <v>1</v>
          </cell>
          <cell r="C358">
            <v>426</v>
          </cell>
          <cell r="D358" t="str">
            <v>4245</v>
          </cell>
          <cell r="E358" t="str">
            <v>Consommation, Matériaux et produits de construction</v>
          </cell>
          <cell r="F358">
            <v>0</v>
          </cell>
          <cell r="L358">
            <v>0</v>
          </cell>
          <cell r="M358">
            <v>10500</v>
          </cell>
          <cell r="N358">
            <v>864</v>
          </cell>
          <cell r="P358">
            <v>864</v>
          </cell>
          <cell r="R358">
            <v>852</v>
          </cell>
          <cell r="S358">
            <v>948</v>
          </cell>
          <cell r="V358">
            <v>0</v>
          </cell>
          <cell r="Y358">
            <v>108</v>
          </cell>
          <cell r="Z358">
            <v>1536</v>
          </cell>
          <cell r="AH358">
            <v>1932</v>
          </cell>
          <cell r="AI358">
            <v>16740</v>
          </cell>
        </row>
        <row r="359">
          <cell r="B359">
            <v>1</v>
          </cell>
          <cell r="C359" t="str">
            <v>485</v>
          </cell>
          <cell r="D359" t="str">
            <v>4241</v>
          </cell>
          <cell r="E359" t="str">
            <v>Consommation, Produits d'entretien</v>
          </cell>
          <cell r="F359">
            <v>0</v>
          </cell>
          <cell r="L359">
            <v>0</v>
          </cell>
          <cell r="N359">
            <v>2604</v>
          </cell>
          <cell r="O359">
            <v>26700</v>
          </cell>
          <cell r="P359">
            <v>29304</v>
          </cell>
          <cell r="V359">
            <v>0</v>
          </cell>
          <cell r="Z359">
            <v>16908</v>
          </cell>
          <cell r="AI359">
            <v>46212</v>
          </cell>
        </row>
        <row r="360">
          <cell r="B360">
            <v>1</v>
          </cell>
          <cell r="C360" t="str">
            <v>486</v>
          </cell>
          <cell r="D360" t="str">
            <v>4614</v>
          </cell>
          <cell r="E360" t="str">
            <v>Autres travaux à façon éxécutés à l'extérieur</v>
          </cell>
          <cell r="F360">
            <v>0</v>
          </cell>
          <cell r="L360">
            <v>0</v>
          </cell>
          <cell r="N360">
            <v>18300</v>
          </cell>
          <cell r="O360">
            <v>8448</v>
          </cell>
          <cell r="P360">
            <v>26748</v>
          </cell>
          <cell r="V360">
            <v>0</v>
          </cell>
          <cell r="AH360">
            <v>1716</v>
          </cell>
          <cell r="AI360">
            <v>28464</v>
          </cell>
        </row>
        <row r="361">
          <cell r="B361">
            <v>1</v>
          </cell>
          <cell r="C361">
            <v>487</v>
          </cell>
          <cell r="D361" t="str">
            <v>4612</v>
          </cell>
          <cell r="E361" t="str">
            <v>Travaux de fonçage de puits</v>
          </cell>
          <cell r="F361">
            <v>0</v>
          </cell>
          <cell r="L361">
            <v>0</v>
          </cell>
          <cell r="P361">
            <v>0</v>
          </cell>
          <cell r="V361">
            <v>0</v>
          </cell>
          <cell r="Z361">
            <v>3067764</v>
          </cell>
          <cell r="AI361">
            <v>3067764</v>
          </cell>
        </row>
        <row r="362">
          <cell r="B362">
            <v>1</v>
          </cell>
          <cell r="C362">
            <v>491</v>
          </cell>
          <cell r="D362" t="str">
            <v>4511</v>
          </cell>
          <cell r="E362" t="str">
            <v>Fourniture d'énérgie électrique</v>
          </cell>
          <cell r="F362">
            <v>0</v>
          </cell>
          <cell r="L362">
            <v>0</v>
          </cell>
          <cell r="P362">
            <v>0</v>
          </cell>
          <cell r="V362">
            <v>0</v>
          </cell>
          <cell r="AI362">
            <v>0</v>
          </cell>
        </row>
        <row r="363">
          <cell r="B363">
            <v>1</v>
          </cell>
          <cell r="C363">
            <v>501</v>
          </cell>
          <cell r="D363" t="str">
            <v>5311</v>
          </cell>
          <cell r="E363" t="str">
            <v>Location de terrains</v>
          </cell>
          <cell r="F363">
            <v>0</v>
          </cell>
          <cell r="L363">
            <v>0</v>
          </cell>
          <cell r="P363">
            <v>0</v>
          </cell>
          <cell r="V363">
            <v>0</v>
          </cell>
          <cell r="AI363">
            <v>0</v>
          </cell>
        </row>
        <row r="364">
          <cell r="B364">
            <v>1</v>
          </cell>
          <cell r="C364">
            <v>501</v>
          </cell>
          <cell r="D364" t="str">
            <v>5312</v>
          </cell>
          <cell r="E364" t="str">
            <v>Location de constructions</v>
          </cell>
          <cell r="F364">
            <v>0</v>
          </cell>
          <cell r="L364">
            <v>0</v>
          </cell>
          <cell r="P364">
            <v>0</v>
          </cell>
          <cell r="V364">
            <v>0</v>
          </cell>
          <cell r="AI364">
            <v>0</v>
          </cell>
        </row>
        <row r="365">
          <cell r="B365">
            <v>1</v>
          </cell>
          <cell r="C365">
            <v>501</v>
          </cell>
          <cell r="D365" t="str">
            <v>5313</v>
          </cell>
          <cell r="E365" t="str">
            <v>Location de matériel et outillage</v>
          </cell>
          <cell r="F365">
            <v>0</v>
          </cell>
          <cell r="L365">
            <v>0</v>
          </cell>
          <cell r="P365">
            <v>0</v>
          </cell>
          <cell r="V365">
            <v>0</v>
          </cell>
          <cell r="AI365">
            <v>0</v>
          </cell>
        </row>
        <row r="366">
          <cell r="B366">
            <v>1</v>
          </cell>
          <cell r="C366">
            <v>501</v>
          </cell>
          <cell r="D366" t="str">
            <v>5314</v>
          </cell>
          <cell r="E366" t="str">
            <v>Location du mobilier et du matériel de bureau</v>
          </cell>
          <cell r="F366">
            <v>0</v>
          </cell>
          <cell r="L366">
            <v>0</v>
          </cell>
          <cell r="P366">
            <v>0</v>
          </cell>
          <cell r="V366">
            <v>0</v>
          </cell>
          <cell r="AI366">
            <v>0</v>
          </cell>
        </row>
        <row r="367">
          <cell r="B367">
            <v>1</v>
          </cell>
          <cell r="C367">
            <v>501</v>
          </cell>
          <cell r="D367" t="str">
            <v>5315</v>
          </cell>
          <cell r="E367" t="str">
            <v>Location de materiel informatique</v>
          </cell>
          <cell r="F367">
            <v>0</v>
          </cell>
          <cell r="L367">
            <v>0</v>
          </cell>
          <cell r="P367">
            <v>0</v>
          </cell>
          <cell r="V367">
            <v>0</v>
          </cell>
          <cell r="AI367">
            <v>0</v>
          </cell>
        </row>
        <row r="368">
          <cell r="B368">
            <v>1</v>
          </cell>
          <cell r="C368">
            <v>501</v>
          </cell>
          <cell r="D368" t="str">
            <v>5318</v>
          </cell>
          <cell r="E368" t="str">
            <v>Locations et charges locatives diverses</v>
          </cell>
          <cell r="F368">
            <v>0</v>
          </cell>
          <cell r="L368">
            <v>0</v>
          </cell>
          <cell r="P368">
            <v>0</v>
          </cell>
          <cell r="V368">
            <v>0</v>
          </cell>
          <cell r="AI368">
            <v>0</v>
          </cell>
        </row>
        <row r="369">
          <cell r="B369">
            <v>1</v>
          </cell>
          <cell r="C369" t="str">
            <v>510</v>
          </cell>
          <cell r="D369" t="str">
            <v>5332</v>
          </cell>
          <cell r="E369" t="str">
            <v>Entretiens &amp; réparations autres immobilisations</v>
          </cell>
          <cell r="F369">
            <v>91620</v>
          </cell>
          <cell r="I369">
            <v>26880</v>
          </cell>
          <cell r="J369">
            <v>22524</v>
          </cell>
          <cell r="K369">
            <v>49296</v>
          </cell>
          <cell r="L369">
            <v>190320</v>
          </cell>
          <cell r="N369">
            <v>78660</v>
          </cell>
          <cell r="O369">
            <v>31884</v>
          </cell>
          <cell r="P369">
            <v>110544</v>
          </cell>
          <cell r="V369">
            <v>0</v>
          </cell>
          <cell r="Y369">
            <v>241524</v>
          </cell>
          <cell r="Z369">
            <v>55404</v>
          </cell>
          <cell r="AA369">
            <v>504</v>
          </cell>
          <cell r="AG369">
            <v>21636</v>
          </cell>
          <cell r="AI369">
            <v>619932</v>
          </cell>
        </row>
        <row r="370">
          <cell r="B370">
            <v>1</v>
          </cell>
          <cell r="C370">
            <v>521</v>
          </cell>
          <cell r="D370" t="str">
            <v>5371</v>
          </cell>
          <cell r="E370" t="str">
            <v>Redevances pour brevets</v>
          </cell>
          <cell r="F370">
            <v>0</v>
          </cell>
          <cell r="L370">
            <v>0</v>
          </cell>
          <cell r="P370">
            <v>0</v>
          </cell>
          <cell r="V370">
            <v>0</v>
          </cell>
          <cell r="AI370">
            <v>0</v>
          </cell>
        </row>
        <row r="371">
          <cell r="B371">
            <v>1</v>
          </cell>
          <cell r="C371">
            <v>522</v>
          </cell>
          <cell r="D371" t="str">
            <v>5301</v>
          </cell>
          <cell r="E371" t="str">
            <v>Indemnisations de dégats de surface et de récolte</v>
          </cell>
          <cell r="F371">
            <v>0</v>
          </cell>
          <cell r="L371">
            <v>0</v>
          </cell>
          <cell r="P371">
            <v>0</v>
          </cell>
          <cell r="V371">
            <v>0</v>
          </cell>
          <cell r="AI371">
            <v>0</v>
          </cell>
        </row>
        <row r="372">
          <cell r="B372">
            <v>1</v>
          </cell>
          <cell r="C372">
            <v>530</v>
          </cell>
          <cell r="D372" t="str">
            <v>5306</v>
          </cell>
          <cell r="E372" t="str">
            <v>Indemnisations pour préjudices causés aux tiers</v>
          </cell>
          <cell r="F372">
            <v>0</v>
          </cell>
          <cell r="L372">
            <v>0</v>
          </cell>
          <cell r="P372">
            <v>0</v>
          </cell>
          <cell r="V372">
            <v>0</v>
          </cell>
          <cell r="AI372">
            <v>0</v>
          </cell>
        </row>
        <row r="373">
          <cell r="B373">
            <v>1</v>
          </cell>
          <cell r="C373">
            <v>531</v>
          </cell>
          <cell r="D373" t="str">
            <v>5368</v>
          </cell>
          <cell r="E373" t="str">
            <v>Autres rémunérations d'intermédiaires</v>
          </cell>
          <cell r="F373">
            <v>0</v>
          </cell>
          <cell r="L373">
            <v>0</v>
          </cell>
          <cell r="P373">
            <v>0</v>
          </cell>
          <cell r="V373">
            <v>0</v>
          </cell>
          <cell r="AI373">
            <v>0</v>
          </cell>
        </row>
        <row r="374">
          <cell r="B374">
            <v>1</v>
          </cell>
          <cell r="C374">
            <v>532</v>
          </cell>
          <cell r="D374" t="str">
            <v>5365</v>
          </cell>
          <cell r="E374" t="str">
            <v>Honoraires</v>
          </cell>
          <cell r="F374">
            <v>0</v>
          </cell>
          <cell r="L374">
            <v>0</v>
          </cell>
          <cell r="P374">
            <v>0</v>
          </cell>
          <cell r="V374">
            <v>0</v>
          </cell>
          <cell r="AI374">
            <v>0</v>
          </cell>
        </row>
        <row r="375">
          <cell r="B375">
            <v>1</v>
          </cell>
          <cell r="C375">
            <v>540</v>
          </cell>
          <cell r="D375" t="str">
            <v>5342</v>
          </cell>
          <cell r="E375" t="str">
            <v>Assurances automobiles</v>
          </cell>
          <cell r="F375">
            <v>0</v>
          </cell>
          <cell r="L375">
            <v>0</v>
          </cell>
          <cell r="P375">
            <v>0</v>
          </cell>
          <cell r="V375">
            <v>0</v>
          </cell>
          <cell r="AI375">
            <v>0</v>
          </cell>
        </row>
        <row r="376">
          <cell r="B376">
            <v>2</v>
          </cell>
          <cell r="C376">
            <v>540</v>
          </cell>
          <cell r="D376" t="str">
            <v>5345</v>
          </cell>
          <cell r="E376" t="str">
            <v>Assurances transports maritimes et terrestres</v>
          </cell>
          <cell r="F376">
            <v>0</v>
          </cell>
          <cell r="L376">
            <v>0</v>
          </cell>
          <cell r="P376">
            <v>0</v>
          </cell>
          <cell r="V376">
            <v>0</v>
          </cell>
          <cell r="AI376">
            <v>0</v>
          </cell>
        </row>
        <row r="377">
          <cell r="B377">
            <v>3</v>
          </cell>
          <cell r="C377">
            <v>540</v>
          </cell>
          <cell r="D377" t="str">
            <v>5348</v>
          </cell>
          <cell r="E377" t="str">
            <v>Autres assurances</v>
          </cell>
          <cell r="F377">
            <v>0</v>
          </cell>
          <cell r="L377">
            <v>0</v>
          </cell>
          <cell r="P377">
            <v>0</v>
          </cell>
          <cell r="V377">
            <v>0</v>
          </cell>
          <cell r="AI377">
            <v>0</v>
          </cell>
        </row>
        <row r="378">
          <cell r="B378">
            <v>1</v>
          </cell>
          <cell r="C378">
            <v>550</v>
          </cell>
          <cell r="D378" t="str">
            <v>5411</v>
          </cell>
          <cell r="E378" t="str">
            <v>Etudes</v>
          </cell>
          <cell r="F378">
            <v>0</v>
          </cell>
          <cell r="L378">
            <v>0</v>
          </cell>
          <cell r="P378">
            <v>0</v>
          </cell>
          <cell r="V378">
            <v>0</v>
          </cell>
          <cell r="AI378">
            <v>0</v>
          </cell>
        </row>
        <row r="379">
          <cell r="B379">
            <v>1</v>
          </cell>
          <cell r="C379">
            <v>550</v>
          </cell>
          <cell r="D379" t="str">
            <v>5412</v>
          </cell>
          <cell r="E379" t="str">
            <v>Analyses</v>
          </cell>
          <cell r="F379">
            <v>0</v>
          </cell>
          <cell r="L379">
            <v>0</v>
          </cell>
          <cell r="P379">
            <v>0</v>
          </cell>
          <cell r="V379">
            <v>0</v>
          </cell>
          <cell r="AI379">
            <v>0</v>
          </cell>
        </row>
        <row r="380">
          <cell r="B380">
            <v>2</v>
          </cell>
          <cell r="C380">
            <v>551</v>
          </cell>
          <cell r="D380" t="str">
            <v>5415</v>
          </cell>
          <cell r="E380" t="str">
            <v>Documentation générale</v>
          </cell>
          <cell r="F380">
            <v>0</v>
          </cell>
          <cell r="L380">
            <v>0</v>
          </cell>
          <cell r="P380">
            <v>0</v>
          </cell>
          <cell r="V380">
            <v>0</v>
          </cell>
          <cell r="AI380">
            <v>0</v>
          </cell>
        </row>
        <row r="381">
          <cell r="B381">
            <v>3</v>
          </cell>
          <cell r="C381">
            <v>551</v>
          </cell>
          <cell r="D381" t="str">
            <v>5416</v>
          </cell>
          <cell r="E381" t="str">
            <v>Documentation technique</v>
          </cell>
          <cell r="F381">
            <v>0</v>
          </cell>
          <cell r="L381">
            <v>0</v>
          </cell>
          <cell r="P381">
            <v>0</v>
          </cell>
          <cell r="V381">
            <v>0</v>
          </cell>
          <cell r="AI381">
            <v>0</v>
          </cell>
        </row>
        <row r="382">
          <cell r="B382">
            <v>1</v>
          </cell>
          <cell r="C382">
            <v>560</v>
          </cell>
          <cell r="D382" t="str">
            <v>5601</v>
          </cell>
          <cell r="E382" t="str">
            <v>Frais de transport du personnel</v>
          </cell>
          <cell r="F382">
            <v>0</v>
          </cell>
          <cell r="L382">
            <v>0</v>
          </cell>
          <cell r="P382">
            <v>0</v>
          </cell>
          <cell r="V382">
            <v>0</v>
          </cell>
          <cell r="Z382">
            <v>2744484</v>
          </cell>
          <cell r="AI382">
            <v>2744484</v>
          </cell>
        </row>
        <row r="383">
          <cell r="B383">
            <v>1</v>
          </cell>
          <cell r="C383">
            <v>561</v>
          </cell>
          <cell r="D383" t="str">
            <v>5731</v>
          </cell>
          <cell r="E383" t="str">
            <v>Voyages et deplacements</v>
          </cell>
          <cell r="F383">
            <v>180</v>
          </cell>
          <cell r="G383">
            <v>264</v>
          </cell>
          <cell r="H383">
            <v>444</v>
          </cell>
          <cell r="I383">
            <v>108</v>
          </cell>
          <cell r="L383">
            <v>996</v>
          </cell>
          <cell r="M383">
            <v>1248</v>
          </cell>
          <cell r="N383">
            <v>1140</v>
          </cell>
          <cell r="O383">
            <v>516</v>
          </cell>
          <cell r="P383">
            <v>1656</v>
          </cell>
          <cell r="R383">
            <v>768</v>
          </cell>
          <cell r="S383">
            <v>2952</v>
          </cell>
          <cell r="V383">
            <v>0</v>
          </cell>
          <cell r="W383">
            <v>204</v>
          </cell>
          <cell r="X383">
            <v>2208</v>
          </cell>
          <cell r="Y383">
            <v>828</v>
          </cell>
          <cell r="Z383">
            <v>14040</v>
          </cell>
          <cell r="AA383">
            <v>482</v>
          </cell>
          <cell r="AB383">
            <v>2568</v>
          </cell>
          <cell r="AD383">
            <v>1212</v>
          </cell>
          <cell r="AE383">
            <v>288</v>
          </cell>
          <cell r="AF383">
            <v>972</v>
          </cell>
          <cell r="AG383">
            <v>576</v>
          </cell>
          <cell r="AH383">
            <v>50436</v>
          </cell>
          <cell r="AI383">
            <v>81434</v>
          </cell>
        </row>
        <row r="384">
          <cell r="B384">
            <v>1</v>
          </cell>
          <cell r="C384">
            <v>571</v>
          </cell>
          <cell r="D384" t="str">
            <v>5735</v>
          </cell>
          <cell r="E384" t="str">
            <v>Frais de missions</v>
          </cell>
          <cell r="F384">
            <v>0</v>
          </cell>
          <cell r="L384">
            <v>0</v>
          </cell>
          <cell r="P384">
            <v>0</v>
          </cell>
          <cell r="V384">
            <v>0</v>
          </cell>
          <cell r="AI384">
            <v>0</v>
          </cell>
        </row>
        <row r="385">
          <cell r="B385">
            <v>2</v>
          </cell>
          <cell r="C385">
            <v>571</v>
          </cell>
          <cell r="D385" t="str">
            <v>5736</v>
          </cell>
          <cell r="E385" t="str">
            <v>Frais de reception</v>
          </cell>
          <cell r="F385">
            <v>0</v>
          </cell>
          <cell r="L385">
            <v>0</v>
          </cell>
          <cell r="P385">
            <v>0</v>
          </cell>
          <cell r="V385">
            <v>0</v>
          </cell>
          <cell r="AI385">
            <v>0</v>
          </cell>
        </row>
        <row r="386">
          <cell r="B386">
            <v>1</v>
          </cell>
          <cell r="C386">
            <v>579</v>
          </cell>
          <cell r="D386" t="str">
            <v>5737</v>
          </cell>
          <cell r="E386" t="str">
            <v>Frais des conseils et assemblees</v>
          </cell>
          <cell r="F386">
            <v>0</v>
          </cell>
          <cell r="L386">
            <v>0</v>
          </cell>
          <cell r="P386">
            <v>0</v>
          </cell>
          <cell r="V386">
            <v>0</v>
          </cell>
          <cell r="AI386">
            <v>0</v>
          </cell>
        </row>
        <row r="387">
          <cell r="B387">
            <v>1</v>
          </cell>
          <cell r="C387">
            <v>581</v>
          </cell>
          <cell r="D387" t="str">
            <v>5755</v>
          </cell>
          <cell r="E387" t="str">
            <v>Téléphone</v>
          </cell>
          <cell r="F387">
            <v>0</v>
          </cell>
          <cell r="L387">
            <v>0</v>
          </cell>
          <cell r="P387">
            <v>0</v>
          </cell>
          <cell r="V387">
            <v>0</v>
          </cell>
          <cell r="AI387">
            <v>0</v>
          </cell>
        </row>
        <row r="388">
          <cell r="B388">
            <v>1</v>
          </cell>
          <cell r="C388">
            <v>680</v>
          </cell>
          <cell r="D388" t="str">
            <v>6380</v>
          </cell>
          <cell r="E388" t="str">
            <v>Dotations d'exploitation aux amortissements et aux provisions des immobilisations</v>
          </cell>
          <cell r="F388">
            <v>30384</v>
          </cell>
          <cell r="G388">
            <v>1164</v>
          </cell>
          <cell r="H388">
            <v>47064</v>
          </cell>
          <cell r="I388">
            <v>10452</v>
          </cell>
          <cell r="J388">
            <v>1764</v>
          </cell>
          <cell r="K388">
            <v>29688</v>
          </cell>
          <cell r="L388">
            <v>120516</v>
          </cell>
          <cell r="M388">
            <v>79572</v>
          </cell>
          <cell r="N388">
            <v>243228</v>
          </cell>
          <cell r="O388">
            <v>270624</v>
          </cell>
          <cell r="P388">
            <v>513852</v>
          </cell>
          <cell r="R388">
            <v>806172</v>
          </cell>
          <cell r="S388">
            <v>1756428</v>
          </cell>
          <cell r="T388">
            <v>105540</v>
          </cell>
          <cell r="U388">
            <v>168960</v>
          </cell>
          <cell r="V388">
            <v>274500</v>
          </cell>
          <cell r="Y388">
            <v>491400</v>
          </cell>
          <cell r="Z388">
            <v>971844</v>
          </cell>
          <cell r="AA388">
            <v>324</v>
          </cell>
          <cell r="AC388">
            <v>110304</v>
          </cell>
          <cell r="AG388">
            <v>4583544</v>
          </cell>
          <cell r="AH388">
            <v>260844</v>
          </cell>
          <cell r="AI388">
            <v>9969300</v>
          </cell>
        </row>
        <row r="389">
          <cell r="B389">
            <v>1</v>
          </cell>
          <cell r="C389">
            <v>720</v>
          </cell>
          <cell r="D389" t="str">
            <v>7050</v>
          </cell>
          <cell r="E389" t="str">
            <v>Locations diverses reçues</v>
          </cell>
          <cell r="F389">
            <v>0</v>
          </cell>
          <cell r="L389">
            <v>0</v>
          </cell>
          <cell r="P389">
            <v>0</v>
          </cell>
          <cell r="V389">
            <v>0</v>
          </cell>
          <cell r="AI389">
            <v>0</v>
          </cell>
        </row>
        <row r="390">
          <cell r="B390">
            <v>1</v>
          </cell>
          <cell r="C390">
            <v>800</v>
          </cell>
          <cell r="D390" t="str">
            <v>8100</v>
          </cell>
          <cell r="E390" t="str">
            <v>Recettes ligne 2100</v>
          </cell>
          <cell r="F390">
            <v>0</v>
          </cell>
          <cell r="L390">
            <v>0</v>
          </cell>
          <cell r="P390">
            <v>0</v>
          </cell>
          <cell r="V390">
            <v>0</v>
          </cell>
          <cell r="AI390">
            <v>0</v>
          </cell>
        </row>
        <row r="391">
          <cell r="B391">
            <v>1</v>
          </cell>
          <cell r="C391">
            <v>802</v>
          </cell>
          <cell r="D391" t="str">
            <v>8102</v>
          </cell>
          <cell r="E391" t="str">
            <v>Recettes ligne 2102</v>
          </cell>
          <cell r="F391">
            <v>0</v>
          </cell>
          <cell r="L391">
            <v>0</v>
          </cell>
          <cell r="P391">
            <v>0</v>
          </cell>
          <cell r="V391">
            <v>0</v>
          </cell>
          <cell r="AI391">
            <v>0</v>
          </cell>
        </row>
        <row r="392">
          <cell r="B392">
            <v>1</v>
          </cell>
          <cell r="C392">
            <v>803</v>
          </cell>
          <cell r="D392" t="str">
            <v>8103</v>
          </cell>
          <cell r="E392" t="str">
            <v>Recettes ligne 2103</v>
          </cell>
          <cell r="F392">
            <v>0</v>
          </cell>
          <cell r="L392">
            <v>0</v>
          </cell>
          <cell r="P392">
            <v>0</v>
          </cell>
          <cell r="V392">
            <v>0</v>
          </cell>
          <cell r="AI392">
            <v>0</v>
          </cell>
        </row>
        <row r="393">
          <cell r="B393">
            <v>1</v>
          </cell>
          <cell r="C393">
            <v>806</v>
          </cell>
          <cell r="D393" t="str">
            <v>8106</v>
          </cell>
          <cell r="E393" t="str">
            <v>Recettes ligne 2106</v>
          </cell>
          <cell r="F393">
            <v>0</v>
          </cell>
          <cell r="L393">
            <v>0</v>
          </cell>
          <cell r="P393">
            <v>0</v>
          </cell>
          <cell r="V393">
            <v>0</v>
          </cell>
          <cell r="AI393">
            <v>0</v>
          </cell>
        </row>
        <row r="394">
          <cell r="B394">
            <v>1</v>
          </cell>
          <cell r="C394">
            <v>807</v>
          </cell>
          <cell r="D394" t="str">
            <v>8107</v>
          </cell>
          <cell r="E394" t="str">
            <v>Recettes ligne 2107</v>
          </cell>
          <cell r="F394">
            <v>0</v>
          </cell>
          <cell r="L394">
            <v>0</v>
          </cell>
          <cell r="P394">
            <v>0</v>
          </cell>
          <cell r="V394">
            <v>0</v>
          </cell>
          <cell r="AI394">
            <v>0</v>
          </cell>
        </row>
        <row r="395">
          <cell r="B395">
            <v>1</v>
          </cell>
          <cell r="C395">
            <v>820</v>
          </cell>
          <cell r="D395" t="str">
            <v>8200</v>
          </cell>
          <cell r="E395" t="str">
            <v>Recettes lignes 2200 à 2290</v>
          </cell>
          <cell r="F395">
            <v>0</v>
          </cell>
          <cell r="L395">
            <v>0</v>
          </cell>
          <cell r="P395">
            <v>0</v>
          </cell>
          <cell r="V395">
            <v>0</v>
          </cell>
          <cell r="AI395">
            <v>0</v>
          </cell>
        </row>
        <row r="396">
          <cell r="B396">
            <v>1</v>
          </cell>
          <cell r="C396">
            <v>830</v>
          </cell>
          <cell r="D396" t="str">
            <v>8300</v>
          </cell>
          <cell r="E396" t="str">
            <v>Recettes lignes 2300à 2390</v>
          </cell>
          <cell r="F396">
            <v>0</v>
          </cell>
          <cell r="L396">
            <v>0</v>
          </cell>
          <cell r="P396">
            <v>0</v>
          </cell>
          <cell r="V396">
            <v>0</v>
          </cell>
          <cell r="AI396">
            <v>0</v>
          </cell>
        </row>
        <row r="397">
          <cell r="B397">
            <v>1</v>
          </cell>
          <cell r="C397" t="str">
            <v>721-722</v>
          </cell>
          <cell r="D397" t="str">
            <v>7053</v>
          </cell>
          <cell r="E397" t="str">
            <v>Cessions eau, électricité au personnel</v>
          </cell>
          <cell r="F397">
            <v>0</v>
          </cell>
          <cell r="L397">
            <v>0</v>
          </cell>
          <cell r="P397">
            <v>0</v>
          </cell>
          <cell r="V397">
            <v>0</v>
          </cell>
          <cell r="AI397">
            <v>0</v>
          </cell>
        </row>
        <row r="398">
          <cell r="D398" t="str">
            <v>0</v>
          </cell>
          <cell r="E398" t="str">
            <v>Non Significative</v>
          </cell>
          <cell r="F398">
            <v>0</v>
          </cell>
          <cell r="L398">
            <v>0</v>
          </cell>
          <cell r="P398">
            <v>0</v>
          </cell>
          <cell r="V398">
            <v>0</v>
          </cell>
          <cell r="AI398">
            <v>0</v>
          </cell>
        </row>
        <row r="399">
          <cell r="D399" t="str">
            <v>0640</v>
          </cell>
          <cell r="E399" t="str">
            <v>Achats revendus des marchadises sur exrecices antérieurs</v>
          </cell>
          <cell r="F399">
            <v>0</v>
          </cell>
          <cell r="L399">
            <v>0</v>
          </cell>
          <cell r="P399">
            <v>0</v>
          </cell>
          <cell r="V399">
            <v>0</v>
          </cell>
          <cell r="AI399">
            <v>0</v>
          </cell>
        </row>
        <row r="400">
          <cell r="D400" t="str">
            <v>0641</v>
          </cell>
          <cell r="E400" t="str">
            <v>RRRO des achats sur exercices antérieurs</v>
          </cell>
          <cell r="F400">
            <v>0</v>
          </cell>
          <cell r="L400">
            <v>0</v>
          </cell>
          <cell r="P400">
            <v>0</v>
          </cell>
          <cell r="V400">
            <v>0</v>
          </cell>
          <cell r="AI400">
            <v>0</v>
          </cell>
        </row>
        <row r="401">
          <cell r="D401" t="str">
            <v>0642</v>
          </cell>
          <cell r="E401" t="str">
            <v>Matières premières sur exercices antérieurs</v>
          </cell>
          <cell r="F401">
            <v>0</v>
          </cell>
          <cell r="L401">
            <v>0</v>
          </cell>
          <cell r="P401">
            <v>0</v>
          </cell>
          <cell r="V401">
            <v>0</v>
          </cell>
          <cell r="AI401">
            <v>0</v>
          </cell>
        </row>
        <row r="402">
          <cell r="D402" t="str">
            <v>0643</v>
          </cell>
          <cell r="E402" t="str">
            <v>Matières et fournitures consommables sur exercice antérieur</v>
          </cell>
          <cell r="F402">
            <v>0</v>
          </cell>
          <cell r="L402">
            <v>0</v>
          </cell>
          <cell r="P402">
            <v>0</v>
          </cell>
          <cell r="V402">
            <v>0</v>
          </cell>
          <cell r="AI402">
            <v>0</v>
          </cell>
        </row>
        <row r="403">
          <cell r="D403" t="str">
            <v>0644</v>
          </cell>
          <cell r="E403" t="str">
            <v>Emballages à usage mixte sur exercices antérieurs</v>
          </cell>
          <cell r="F403">
            <v>0</v>
          </cell>
          <cell r="L403">
            <v>0</v>
          </cell>
          <cell r="P403">
            <v>0</v>
          </cell>
          <cell r="V403">
            <v>0</v>
          </cell>
          <cell r="AI403">
            <v>0</v>
          </cell>
        </row>
        <row r="404">
          <cell r="D404" t="str">
            <v>0645</v>
          </cell>
          <cell r="E404" t="str">
            <v>Matières et fournitures non stockées sur exercices antérieurs</v>
          </cell>
          <cell r="F404">
            <v>0</v>
          </cell>
          <cell r="L404">
            <v>0</v>
          </cell>
          <cell r="P404">
            <v>0</v>
          </cell>
          <cell r="V404">
            <v>0</v>
          </cell>
          <cell r="AI404">
            <v>0</v>
          </cell>
        </row>
        <row r="405">
          <cell r="D405" t="str">
            <v>0646</v>
          </cell>
          <cell r="E405" t="str">
            <v>Travaux, Etudes et prestations de service sur exercices antérieurs</v>
          </cell>
          <cell r="F405">
            <v>0</v>
          </cell>
          <cell r="L405">
            <v>0</v>
          </cell>
          <cell r="P405">
            <v>0</v>
          </cell>
          <cell r="V405">
            <v>0</v>
          </cell>
          <cell r="AI405">
            <v>0</v>
          </cell>
        </row>
        <row r="406">
          <cell r="D406" t="str">
            <v>0648</v>
          </cell>
          <cell r="E406" t="str">
            <v>RRRO sur achat de matières premières sur exercices antérieurs</v>
          </cell>
          <cell r="F406">
            <v>0</v>
          </cell>
          <cell r="L406">
            <v>0</v>
          </cell>
          <cell r="P406">
            <v>0</v>
          </cell>
          <cell r="V406">
            <v>0</v>
          </cell>
          <cell r="AI406">
            <v>0</v>
          </cell>
        </row>
        <row r="407">
          <cell r="D407" t="str">
            <v>0649</v>
          </cell>
          <cell r="E407" t="str">
            <v>RRRO sur achat de matière et fourniture consommable sur exercices antérieurs</v>
          </cell>
          <cell r="F407">
            <v>0</v>
          </cell>
          <cell r="L407">
            <v>0</v>
          </cell>
          <cell r="P407">
            <v>0</v>
          </cell>
          <cell r="V407">
            <v>0</v>
          </cell>
          <cell r="AI407">
            <v>0</v>
          </cell>
        </row>
        <row r="408">
          <cell r="D408" t="str">
            <v>0650</v>
          </cell>
          <cell r="E408" t="str">
            <v>RRRO sur achat de travaux, études et prestation de service sur exercices antérieurs</v>
          </cell>
          <cell r="F408">
            <v>0</v>
          </cell>
          <cell r="L408">
            <v>0</v>
          </cell>
          <cell r="P408">
            <v>0</v>
          </cell>
          <cell r="V408">
            <v>0</v>
          </cell>
          <cell r="AI408">
            <v>0</v>
          </cell>
        </row>
        <row r="409">
          <cell r="D409" t="str">
            <v>0651</v>
          </cell>
          <cell r="E409" t="str">
            <v>Frais d'achat et de ventes de titres sur exercices antérieurs</v>
          </cell>
          <cell r="F409">
            <v>0</v>
          </cell>
          <cell r="L409">
            <v>0</v>
          </cell>
          <cell r="P409">
            <v>0</v>
          </cell>
          <cell r="V409">
            <v>0</v>
          </cell>
          <cell r="AI409">
            <v>0</v>
          </cell>
        </row>
        <row r="410">
          <cell r="D410" t="str">
            <v>0652</v>
          </cell>
          <cell r="E410" t="str">
            <v>Frais sur effet de commerce sur exercices antérieurs</v>
          </cell>
          <cell r="F410">
            <v>0</v>
          </cell>
          <cell r="L410">
            <v>0</v>
          </cell>
          <cell r="P410">
            <v>0</v>
          </cell>
          <cell r="V410">
            <v>0</v>
          </cell>
          <cell r="AI410">
            <v>0</v>
          </cell>
        </row>
        <row r="411">
          <cell r="D411" t="str">
            <v>0653</v>
          </cell>
          <cell r="E411" t="str">
            <v>Frais et commissions sur Credoc sur exercices antérieurs</v>
          </cell>
          <cell r="F411">
            <v>0</v>
          </cell>
          <cell r="L411">
            <v>0</v>
          </cell>
          <cell r="P411">
            <v>0</v>
          </cell>
          <cell r="V411">
            <v>0</v>
          </cell>
          <cell r="AI411">
            <v>0</v>
          </cell>
        </row>
        <row r="412">
          <cell r="D412" t="str">
            <v>0654</v>
          </cell>
          <cell r="E412" t="str">
            <v>Frais et commissions sur Remdoc sur exercices antérieurs</v>
          </cell>
          <cell r="F412">
            <v>0</v>
          </cell>
          <cell r="L412">
            <v>0</v>
          </cell>
          <cell r="P412">
            <v>0</v>
          </cell>
          <cell r="V412">
            <v>0</v>
          </cell>
          <cell r="AI412">
            <v>0</v>
          </cell>
        </row>
        <row r="413">
          <cell r="D413" t="str">
            <v>0655</v>
          </cell>
          <cell r="E413" t="str">
            <v>Frais et commissions sur opérations effectuées selon les conditions générales d'achat sur exercices antérieurs</v>
          </cell>
          <cell r="F413">
            <v>0</v>
          </cell>
          <cell r="L413">
            <v>0</v>
          </cell>
          <cell r="P413">
            <v>0</v>
          </cell>
          <cell r="V413">
            <v>0</v>
          </cell>
          <cell r="AI413">
            <v>0</v>
          </cell>
        </row>
        <row r="414">
          <cell r="D414" t="str">
            <v>0656</v>
          </cell>
          <cell r="E414" t="str">
            <v>Frais sur quotions bancaires sur exercices antérieurs</v>
          </cell>
          <cell r="F414">
            <v>0</v>
          </cell>
          <cell r="L414">
            <v>0</v>
          </cell>
          <cell r="P414">
            <v>0</v>
          </cell>
          <cell r="V414">
            <v>0</v>
          </cell>
          <cell r="AI414">
            <v>0</v>
          </cell>
        </row>
        <row r="415">
          <cell r="D415" t="str">
            <v>0658</v>
          </cell>
          <cell r="E415" t="str">
            <v>Autres charges externes sur exercices antérieurs</v>
          </cell>
          <cell r="F415">
            <v>0</v>
          </cell>
          <cell r="L415">
            <v>0</v>
          </cell>
          <cell r="P415">
            <v>0</v>
          </cell>
          <cell r="V415">
            <v>0</v>
          </cell>
          <cell r="AI415">
            <v>0</v>
          </cell>
        </row>
        <row r="416">
          <cell r="D416" t="str">
            <v>0661</v>
          </cell>
          <cell r="E416" t="str">
            <v>Rémunération du personnel sur exercices antérieurs</v>
          </cell>
          <cell r="F416">
            <v>0</v>
          </cell>
          <cell r="L416">
            <v>0</v>
          </cell>
          <cell r="P416">
            <v>0</v>
          </cell>
          <cell r="V416">
            <v>0</v>
          </cell>
          <cell r="AI416">
            <v>0</v>
          </cell>
        </row>
        <row r="417">
          <cell r="D417" t="str">
            <v>0664</v>
          </cell>
          <cell r="E417" t="str">
            <v>Charges sociales sur exercices antérieurs</v>
          </cell>
          <cell r="F417">
            <v>0</v>
          </cell>
          <cell r="L417">
            <v>0</v>
          </cell>
          <cell r="P417">
            <v>0</v>
          </cell>
          <cell r="V417">
            <v>0</v>
          </cell>
          <cell r="AI417">
            <v>0</v>
          </cell>
        </row>
        <row r="418">
          <cell r="D418" t="str">
            <v>0666</v>
          </cell>
          <cell r="E418" t="str">
            <v>Charges sociales diverses sur exercices antérieurs</v>
          </cell>
          <cell r="F418">
            <v>0</v>
          </cell>
          <cell r="L418">
            <v>0</v>
          </cell>
          <cell r="P418">
            <v>0</v>
          </cell>
          <cell r="V418">
            <v>0</v>
          </cell>
          <cell r="AI418">
            <v>0</v>
          </cell>
        </row>
        <row r="419">
          <cell r="D419" t="str">
            <v>0668</v>
          </cell>
          <cell r="E419" t="str">
            <v>Impôts et taxes sur exercices antérieurs</v>
          </cell>
          <cell r="F419">
            <v>0</v>
          </cell>
          <cell r="L419">
            <v>0</v>
          </cell>
          <cell r="P419">
            <v>0</v>
          </cell>
          <cell r="V419">
            <v>0</v>
          </cell>
          <cell r="AI419">
            <v>0</v>
          </cell>
        </row>
        <row r="420">
          <cell r="D420" t="str">
            <v>0669</v>
          </cell>
          <cell r="E420" t="str">
            <v>Autres charges d'exploitation des exercices antérieurs</v>
          </cell>
          <cell r="F420">
            <v>0</v>
          </cell>
          <cell r="L420">
            <v>0</v>
          </cell>
          <cell r="P420">
            <v>0</v>
          </cell>
          <cell r="V420">
            <v>0</v>
          </cell>
          <cell r="AI420">
            <v>0</v>
          </cell>
        </row>
        <row r="421">
          <cell r="D421" t="str">
            <v>0674</v>
          </cell>
          <cell r="E421" t="str">
            <v>Dotations d'exploitation aux provisions des exercices antérieurs</v>
          </cell>
          <cell r="F421">
            <v>0</v>
          </cell>
          <cell r="L421">
            <v>0</v>
          </cell>
          <cell r="P421">
            <v>0</v>
          </cell>
          <cell r="V421">
            <v>0</v>
          </cell>
          <cell r="AI421">
            <v>0</v>
          </cell>
        </row>
        <row r="422">
          <cell r="D422" t="str">
            <v>0679</v>
          </cell>
          <cell r="E422" t="str">
            <v>Intérêts des emprunts des crédits financiers sur exercices antérieurs</v>
          </cell>
          <cell r="F422">
            <v>0</v>
          </cell>
          <cell r="L422">
            <v>0</v>
          </cell>
          <cell r="P422">
            <v>0</v>
          </cell>
          <cell r="V422">
            <v>0</v>
          </cell>
          <cell r="AI422">
            <v>0</v>
          </cell>
        </row>
        <row r="423">
          <cell r="D423" t="str">
            <v>0680</v>
          </cell>
          <cell r="E423" t="str">
            <v>Dotations des immobilisations sur exercices antérieurs</v>
          </cell>
          <cell r="F423">
            <v>0</v>
          </cell>
          <cell r="L423">
            <v>0</v>
          </cell>
          <cell r="P423">
            <v>0</v>
          </cell>
          <cell r="V423">
            <v>0</v>
          </cell>
          <cell r="AI423">
            <v>0</v>
          </cell>
        </row>
        <row r="424">
          <cell r="D424" t="str">
            <v>0681</v>
          </cell>
          <cell r="E424" t="str">
            <v>Intérêts des emprunts des crédits acheteurs sur exercices antérieurs</v>
          </cell>
          <cell r="F424">
            <v>0</v>
          </cell>
          <cell r="L424">
            <v>0</v>
          </cell>
          <cell r="P424">
            <v>0</v>
          </cell>
          <cell r="V424">
            <v>0</v>
          </cell>
          <cell r="AI424">
            <v>0</v>
          </cell>
        </row>
        <row r="425">
          <cell r="D425" t="str">
            <v>0682</v>
          </cell>
          <cell r="E425" t="str">
            <v>Intérêts des emprunts des crédits gouvernementaux sur exercices antérieurs</v>
          </cell>
          <cell r="F425">
            <v>0</v>
          </cell>
          <cell r="L425">
            <v>0</v>
          </cell>
          <cell r="P425">
            <v>0</v>
          </cell>
          <cell r="V425">
            <v>0</v>
          </cell>
          <cell r="AI425">
            <v>0</v>
          </cell>
        </row>
        <row r="426">
          <cell r="D426" t="str">
            <v>0683</v>
          </cell>
          <cell r="E426" t="str">
            <v>Intérêts des crédits financiers rééchelonnés sur exercices antérieurs</v>
          </cell>
          <cell r="F426">
            <v>0</v>
          </cell>
          <cell r="L426">
            <v>0</v>
          </cell>
          <cell r="P426">
            <v>0</v>
          </cell>
          <cell r="V426">
            <v>0</v>
          </cell>
          <cell r="AI426">
            <v>0</v>
          </cell>
        </row>
        <row r="427">
          <cell r="D427" t="str">
            <v>0684</v>
          </cell>
          <cell r="E427" t="str">
            <v>Intérêts des crédits acheteurs rééchelonnés sur exercices antérieurs</v>
          </cell>
          <cell r="F427">
            <v>0</v>
          </cell>
          <cell r="L427">
            <v>0</v>
          </cell>
          <cell r="P427">
            <v>0</v>
          </cell>
          <cell r="V427">
            <v>0</v>
          </cell>
          <cell r="AI427">
            <v>0</v>
          </cell>
        </row>
        <row r="428">
          <cell r="D428" t="str">
            <v>0685</v>
          </cell>
          <cell r="E428" t="str">
            <v>Intérêts des emprunts et des charges rééchelonnées à compenser en MAD sur exercices antérieurs</v>
          </cell>
          <cell r="F428">
            <v>0</v>
          </cell>
          <cell r="L428">
            <v>0</v>
          </cell>
          <cell r="P428">
            <v>0</v>
          </cell>
          <cell r="V428">
            <v>0</v>
          </cell>
          <cell r="AI428">
            <v>0</v>
          </cell>
        </row>
        <row r="429">
          <cell r="D429" t="str">
            <v>0686</v>
          </cell>
          <cell r="E429" t="str">
            <v>Intérêts des dettes rattachées à des participations sur exercices antérieurs</v>
          </cell>
          <cell r="F429">
            <v>0</v>
          </cell>
          <cell r="L429">
            <v>0</v>
          </cell>
          <cell r="P429">
            <v>0</v>
          </cell>
          <cell r="V429">
            <v>0</v>
          </cell>
          <cell r="AI429">
            <v>0</v>
          </cell>
        </row>
        <row r="430">
          <cell r="D430" t="str">
            <v>0687</v>
          </cell>
          <cell r="E430" t="str">
            <v>Intérêts des comptes ordinaires sur exercices antérieurs</v>
          </cell>
          <cell r="F430">
            <v>0</v>
          </cell>
          <cell r="L430">
            <v>0</v>
          </cell>
          <cell r="P430">
            <v>0</v>
          </cell>
          <cell r="V430">
            <v>0</v>
          </cell>
          <cell r="AI430">
            <v>0</v>
          </cell>
        </row>
        <row r="431">
          <cell r="D431" t="str">
            <v>0688</v>
          </cell>
          <cell r="E431" t="str">
            <v>Intérêts bancaires sur opérations de financement sur exercices antérieurs</v>
          </cell>
          <cell r="F431">
            <v>0</v>
          </cell>
          <cell r="L431">
            <v>0</v>
          </cell>
          <cell r="P431">
            <v>0</v>
          </cell>
          <cell r="V431">
            <v>0</v>
          </cell>
          <cell r="AI431">
            <v>0</v>
          </cell>
        </row>
        <row r="432">
          <cell r="D432" t="str">
            <v>0689</v>
          </cell>
          <cell r="E432" t="str">
            <v>Intérêts de capitalisation CIR sur exercices antérieurs</v>
          </cell>
          <cell r="F432">
            <v>0</v>
          </cell>
          <cell r="L432">
            <v>0</v>
          </cell>
          <cell r="P432">
            <v>0</v>
          </cell>
          <cell r="V432">
            <v>0</v>
          </cell>
          <cell r="AI432">
            <v>0</v>
          </cell>
        </row>
        <row r="433">
          <cell r="D433" t="str">
            <v>0690</v>
          </cell>
          <cell r="E433" t="str">
            <v>Pertes de change sur remboursement des emprunts sur exercices antérieurs</v>
          </cell>
          <cell r="F433">
            <v>0</v>
          </cell>
          <cell r="L433">
            <v>0</v>
          </cell>
          <cell r="P433">
            <v>0</v>
          </cell>
          <cell r="V433">
            <v>0</v>
          </cell>
          <cell r="AI433">
            <v>0</v>
          </cell>
        </row>
        <row r="434">
          <cell r="D434" t="str">
            <v>0691</v>
          </cell>
          <cell r="E434" t="str">
            <v>Pertes de change sur opération de trésorerie sur exercices antérieurs</v>
          </cell>
          <cell r="F434">
            <v>0</v>
          </cell>
          <cell r="L434">
            <v>0</v>
          </cell>
          <cell r="P434">
            <v>0</v>
          </cell>
          <cell r="V434">
            <v>0</v>
          </cell>
          <cell r="AI434">
            <v>0</v>
          </cell>
        </row>
        <row r="435">
          <cell r="D435" t="str">
            <v>0692</v>
          </cell>
          <cell r="E435" t="str">
            <v>Autres charges financières sur exercices antérieurs</v>
          </cell>
          <cell r="F435">
            <v>0</v>
          </cell>
          <cell r="L435">
            <v>0</v>
          </cell>
          <cell r="P435">
            <v>0</v>
          </cell>
          <cell r="V435">
            <v>0</v>
          </cell>
          <cell r="AI435">
            <v>0</v>
          </cell>
        </row>
        <row r="436">
          <cell r="D436" t="str">
            <v>0693</v>
          </cell>
          <cell r="E436" t="str">
            <v>Dotations financières sur exercices antérieurs</v>
          </cell>
          <cell r="F436">
            <v>0</v>
          </cell>
          <cell r="L436">
            <v>0</v>
          </cell>
          <cell r="P436">
            <v>0</v>
          </cell>
          <cell r="V436">
            <v>0</v>
          </cell>
          <cell r="AI436">
            <v>0</v>
          </cell>
        </row>
        <row r="437">
          <cell r="D437" t="str">
            <v>0694</v>
          </cell>
          <cell r="E437" t="str">
            <v>Subventions accordées des exercices antérieurs</v>
          </cell>
          <cell r="F437">
            <v>0</v>
          </cell>
          <cell r="L437">
            <v>0</v>
          </cell>
          <cell r="P437">
            <v>0</v>
          </cell>
          <cell r="V437">
            <v>0</v>
          </cell>
          <cell r="AI437">
            <v>0</v>
          </cell>
        </row>
        <row r="438">
          <cell r="D438" t="str">
            <v>0697</v>
          </cell>
          <cell r="E438" t="str">
            <v>Autres charges non courantes sur exercices antérieurs</v>
          </cell>
          <cell r="F438">
            <v>0</v>
          </cell>
          <cell r="L438">
            <v>0</v>
          </cell>
          <cell r="P438">
            <v>0</v>
          </cell>
          <cell r="V438">
            <v>0</v>
          </cell>
          <cell r="AI438">
            <v>0</v>
          </cell>
        </row>
        <row r="439">
          <cell r="D439" t="str">
            <v>0698</v>
          </cell>
          <cell r="E439" t="str">
            <v>Dotations non courantes sur exercices antérieurs</v>
          </cell>
          <cell r="F439">
            <v>0</v>
          </cell>
          <cell r="L439">
            <v>0</v>
          </cell>
          <cell r="P439">
            <v>0</v>
          </cell>
          <cell r="V439">
            <v>0</v>
          </cell>
          <cell r="AI439">
            <v>0</v>
          </cell>
        </row>
        <row r="440">
          <cell r="D440" t="str">
            <v>0701</v>
          </cell>
          <cell r="E440" t="str">
            <v>Ventes de marchandises des exercices antérieurs</v>
          </cell>
          <cell r="F440">
            <v>0</v>
          </cell>
          <cell r="L440">
            <v>0</v>
          </cell>
          <cell r="P440">
            <v>0</v>
          </cell>
          <cell r="V440">
            <v>0</v>
          </cell>
          <cell r="AI440">
            <v>0</v>
          </cell>
        </row>
        <row r="441">
          <cell r="D441" t="str">
            <v>0711</v>
          </cell>
          <cell r="E441" t="str">
            <v>Ventes de biens produits des exercices antérieurs au Maroc</v>
          </cell>
          <cell r="F441">
            <v>0</v>
          </cell>
          <cell r="L441">
            <v>0</v>
          </cell>
          <cell r="P441">
            <v>0</v>
          </cell>
          <cell r="V441">
            <v>0</v>
          </cell>
          <cell r="AI441">
            <v>0</v>
          </cell>
        </row>
        <row r="442">
          <cell r="D442" t="str">
            <v>0712</v>
          </cell>
          <cell r="E442" t="str">
            <v>Vente de biens produits sur exercices antérieurs à l'étranger</v>
          </cell>
          <cell r="F442">
            <v>0</v>
          </cell>
          <cell r="L442">
            <v>0</v>
          </cell>
          <cell r="P442">
            <v>0</v>
          </cell>
          <cell r="V442">
            <v>0</v>
          </cell>
          <cell r="AI442">
            <v>0</v>
          </cell>
        </row>
        <row r="443">
          <cell r="D443" t="str">
            <v>0714</v>
          </cell>
          <cell r="E443" t="str">
            <v>Vente de services produits sur exercices antérieurs Maroc</v>
          </cell>
          <cell r="F443">
            <v>0</v>
          </cell>
          <cell r="L443">
            <v>0</v>
          </cell>
          <cell r="P443">
            <v>0</v>
          </cell>
          <cell r="V443">
            <v>0</v>
          </cell>
          <cell r="AI443">
            <v>0</v>
          </cell>
        </row>
        <row r="444">
          <cell r="D444" t="str">
            <v>0715</v>
          </cell>
          <cell r="E444" t="str">
            <v>Vente de services produits sur exercices antérieurs étranger</v>
          </cell>
          <cell r="F444">
            <v>0</v>
          </cell>
          <cell r="L444">
            <v>0</v>
          </cell>
          <cell r="P444">
            <v>0</v>
          </cell>
          <cell r="V444">
            <v>0</v>
          </cell>
          <cell r="AI444">
            <v>0</v>
          </cell>
        </row>
        <row r="445">
          <cell r="D445" t="str">
            <v>0716</v>
          </cell>
          <cell r="E445" t="str">
            <v>Vente produits accessoires sur exercices antérieurs</v>
          </cell>
          <cell r="F445">
            <v>0</v>
          </cell>
          <cell r="L445">
            <v>0</v>
          </cell>
          <cell r="P445">
            <v>0</v>
          </cell>
          <cell r="V445">
            <v>0</v>
          </cell>
          <cell r="AI445">
            <v>0</v>
          </cell>
        </row>
        <row r="446">
          <cell r="D446" t="str">
            <v>0717</v>
          </cell>
          <cell r="E446" t="str">
            <v>RRRA accordées sur ventes de biens produits au Maroc sur exercices antérieurs</v>
          </cell>
          <cell r="F446">
            <v>0</v>
          </cell>
          <cell r="L446">
            <v>0</v>
          </cell>
          <cell r="P446">
            <v>0</v>
          </cell>
          <cell r="V446">
            <v>0</v>
          </cell>
          <cell r="AI446">
            <v>0</v>
          </cell>
        </row>
        <row r="447">
          <cell r="D447" t="str">
            <v>0718</v>
          </cell>
          <cell r="E447" t="str">
            <v>RRRA accordées sur ventes de biens produits à l'étranger sur exercices antérieurs</v>
          </cell>
          <cell r="F447">
            <v>0</v>
          </cell>
          <cell r="L447">
            <v>0</v>
          </cell>
          <cell r="P447">
            <v>0</v>
          </cell>
          <cell r="V447">
            <v>0</v>
          </cell>
          <cell r="AI447">
            <v>0</v>
          </cell>
        </row>
        <row r="448">
          <cell r="D448" t="str">
            <v>0719</v>
          </cell>
          <cell r="E448" t="str">
            <v>RRRA sur vente de biens et services au Maroc sur exercices antérieurs</v>
          </cell>
          <cell r="F448">
            <v>0</v>
          </cell>
          <cell r="L448">
            <v>0</v>
          </cell>
          <cell r="P448">
            <v>0</v>
          </cell>
          <cell r="V448">
            <v>0</v>
          </cell>
          <cell r="AI448">
            <v>0</v>
          </cell>
        </row>
        <row r="449">
          <cell r="D449" t="str">
            <v>0720</v>
          </cell>
          <cell r="E449" t="str">
            <v>RRRA sur vente de services accordées à l'étranger sur exercices antérieurs</v>
          </cell>
          <cell r="F449">
            <v>0</v>
          </cell>
          <cell r="L449">
            <v>0</v>
          </cell>
          <cell r="P449">
            <v>0</v>
          </cell>
          <cell r="V449">
            <v>0</v>
          </cell>
          <cell r="AI449">
            <v>0</v>
          </cell>
        </row>
        <row r="450">
          <cell r="D450" t="str">
            <v>0721</v>
          </cell>
          <cell r="E450" t="str">
            <v>Immobilisations produites sur exercices antérieurs</v>
          </cell>
          <cell r="F450">
            <v>0</v>
          </cell>
          <cell r="L450">
            <v>0</v>
          </cell>
          <cell r="P450">
            <v>0</v>
          </cell>
          <cell r="V450">
            <v>0</v>
          </cell>
          <cell r="AI450">
            <v>0</v>
          </cell>
        </row>
        <row r="451">
          <cell r="D451" t="str">
            <v>0736</v>
          </cell>
          <cell r="E451" t="str">
            <v>Subventions d'exploitation reçues sur exercices antérieurs</v>
          </cell>
          <cell r="F451">
            <v>0</v>
          </cell>
          <cell r="L451">
            <v>0</v>
          </cell>
          <cell r="P451">
            <v>0</v>
          </cell>
          <cell r="V451">
            <v>0</v>
          </cell>
          <cell r="AI451">
            <v>0</v>
          </cell>
        </row>
        <row r="452">
          <cell r="D452" t="str">
            <v>0748</v>
          </cell>
          <cell r="E452" t="str">
            <v>Autres produits d'exploitations sur exercices antérieurs</v>
          </cell>
          <cell r="F452">
            <v>0</v>
          </cell>
          <cell r="L452">
            <v>0</v>
          </cell>
          <cell r="P452">
            <v>0</v>
          </cell>
          <cell r="V452">
            <v>0</v>
          </cell>
          <cell r="AI452">
            <v>0</v>
          </cell>
        </row>
        <row r="453">
          <cell r="D453" t="str">
            <v>0769</v>
          </cell>
          <cell r="E453" t="str">
            <v>Reprise sur provision sur exercices antérieurs</v>
          </cell>
          <cell r="F453">
            <v>0</v>
          </cell>
          <cell r="L453">
            <v>0</v>
          </cell>
          <cell r="P453">
            <v>0</v>
          </cell>
          <cell r="V453">
            <v>0</v>
          </cell>
          <cell r="AI453">
            <v>0</v>
          </cell>
        </row>
        <row r="454">
          <cell r="D454" t="str">
            <v>0780</v>
          </cell>
          <cell r="E454" t="str">
            <v>VNA et PC des immobilisations sur exercices antérieurs</v>
          </cell>
          <cell r="F454">
            <v>0</v>
          </cell>
          <cell r="L454">
            <v>0</v>
          </cell>
          <cell r="P454">
            <v>0</v>
          </cell>
          <cell r="V454">
            <v>0</v>
          </cell>
          <cell r="AI454">
            <v>0</v>
          </cell>
        </row>
        <row r="455">
          <cell r="D455" t="str">
            <v>0781</v>
          </cell>
          <cell r="E455" t="str">
            <v>Reprises sur amortissements des exercices antérieurs</v>
          </cell>
          <cell r="F455">
            <v>0</v>
          </cell>
          <cell r="L455">
            <v>0</v>
          </cell>
          <cell r="P455">
            <v>0</v>
          </cell>
          <cell r="V455">
            <v>0</v>
          </cell>
          <cell r="AI455">
            <v>0</v>
          </cell>
        </row>
        <row r="456">
          <cell r="D456" t="str">
            <v>0782</v>
          </cell>
          <cell r="E456" t="str">
            <v>Produits des titres de participation et des autres titres sur exercices antérieurs</v>
          </cell>
          <cell r="F456">
            <v>0</v>
          </cell>
          <cell r="L456">
            <v>0</v>
          </cell>
          <cell r="P456">
            <v>0</v>
          </cell>
          <cell r="V456">
            <v>0</v>
          </cell>
          <cell r="AI456">
            <v>0</v>
          </cell>
        </row>
        <row r="457">
          <cell r="D457" t="str">
            <v>0783</v>
          </cell>
          <cell r="E457" t="str">
            <v>Gains de change sur remboursement des dettes de financement sur exercices antérieurs</v>
          </cell>
          <cell r="F457">
            <v>0</v>
          </cell>
          <cell r="L457">
            <v>0</v>
          </cell>
          <cell r="P457">
            <v>0</v>
          </cell>
          <cell r="V457">
            <v>0</v>
          </cell>
          <cell r="AI457">
            <v>0</v>
          </cell>
        </row>
        <row r="458">
          <cell r="D458" t="str">
            <v>0784</v>
          </cell>
          <cell r="E458" t="str">
            <v>Gains de change sur opérations de trésorerie sur exercices antérieurs</v>
          </cell>
          <cell r="F458">
            <v>0</v>
          </cell>
          <cell r="L458">
            <v>0</v>
          </cell>
          <cell r="P458">
            <v>0</v>
          </cell>
          <cell r="V458">
            <v>0</v>
          </cell>
          <cell r="AI458">
            <v>0</v>
          </cell>
        </row>
        <row r="459">
          <cell r="D459" t="str">
            <v>0786</v>
          </cell>
          <cell r="E459" t="str">
            <v>Intérêts et autres produits financiers sur exercices antérieurs</v>
          </cell>
          <cell r="F459">
            <v>0</v>
          </cell>
          <cell r="L459">
            <v>0</v>
          </cell>
          <cell r="P459">
            <v>0</v>
          </cell>
          <cell r="V459">
            <v>0</v>
          </cell>
          <cell r="AI459">
            <v>0</v>
          </cell>
        </row>
        <row r="460">
          <cell r="D460" t="str">
            <v>0789</v>
          </cell>
          <cell r="E460" t="str">
            <v>Reprises sur dotations financières sur exercices antérieurs</v>
          </cell>
          <cell r="F460">
            <v>0</v>
          </cell>
          <cell r="L460">
            <v>0</v>
          </cell>
          <cell r="P460">
            <v>0</v>
          </cell>
          <cell r="V460">
            <v>0</v>
          </cell>
          <cell r="AI460">
            <v>0</v>
          </cell>
        </row>
        <row r="461">
          <cell r="D461" t="str">
            <v>0796</v>
          </cell>
          <cell r="E461" t="str">
            <v>Subventions d'équilibres reçus sur exercices antérieurs</v>
          </cell>
          <cell r="F461">
            <v>0</v>
          </cell>
          <cell r="L461">
            <v>0</v>
          </cell>
          <cell r="P461">
            <v>0</v>
          </cell>
          <cell r="V461">
            <v>0</v>
          </cell>
          <cell r="AI461">
            <v>0</v>
          </cell>
        </row>
        <row r="462">
          <cell r="D462" t="str">
            <v>0798</v>
          </cell>
          <cell r="E462" t="str">
            <v>Autres produits non courants sur exercices antérieurs</v>
          </cell>
          <cell r="F462">
            <v>0</v>
          </cell>
          <cell r="L462">
            <v>0</v>
          </cell>
          <cell r="P462">
            <v>0</v>
          </cell>
          <cell r="V462">
            <v>0</v>
          </cell>
          <cell r="AI462">
            <v>0</v>
          </cell>
        </row>
        <row r="463">
          <cell r="D463" t="str">
            <v>0799</v>
          </cell>
          <cell r="E463" t="str">
            <v>Reprises non courantes sur exercices antérieurs</v>
          </cell>
          <cell r="F463">
            <v>0</v>
          </cell>
          <cell r="L463">
            <v>0</v>
          </cell>
          <cell r="P463">
            <v>0</v>
          </cell>
          <cell r="V463">
            <v>0</v>
          </cell>
          <cell r="AI463">
            <v>0</v>
          </cell>
        </row>
        <row r="464">
          <cell r="D464" t="str">
            <v>1128</v>
          </cell>
          <cell r="E464" t="str">
            <v>Primes annuelles personnel HC</v>
          </cell>
          <cell r="F464">
            <v>0</v>
          </cell>
          <cell r="L464">
            <v>0</v>
          </cell>
          <cell r="P464">
            <v>0</v>
          </cell>
          <cell r="V464">
            <v>0</v>
          </cell>
          <cell r="AI464">
            <v>0</v>
          </cell>
        </row>
        <row r="465">
          <cell r="D465" t="str">
            <v>1130</v>
          </cell>
          <cell r="E465" t="str">
            <v>Gratifications exceptionnelles personnel tâcherons</v>
          </cell>
          <cell r="F465">
            <v>0</v>
          </cell>
          <cell r="L465">
            <v>0</v>
          </cell>
          <cell r="P465">
            <v>0</v>
          </cell>
          <cell r="V465">
            <v>0</v>
          </cell>
          <cell r="AI465">
            <v>0</v>
          </cell>
        </row>
        <row r="466">
          <cell r="D466" t="str">
            <v>1131</v>
          </cell>
          <cell r="E466" t="str">
            <v>Gratifications exceptionnelles personnel OEB</v>
          </cell>
          <cell r="F466">
            <v>0</v>
          </cell>
          <cell r="L466">
            <v>0</v>
          </cell>
          <cell r="P466">
            <v>0</v>
          </cell>
          <cell r="V466">
            <v>0</v>
          </cell>
          <cell r="AI466">
            <v>0</v>
          </cell>
        </row>
        <row r="467">
          <cell r="D467" t="str">
            <v>1132</v>
          </cell>
          <cell r="E467" t="str">
            <v>Gratifications exceptionnelles personnel OEJ</v>
          </cell>
          <cell r="F467">
            <v>0</v>
          </cell>
          <cell r="L467">
            <v>0</v>
          </cell>
          <cell r="P467">
            <v>0</v>
          </cell>
          <cell r="V467">
            <v>0</v>
          </cell>
          <cell r="AI467">
            <v>0</v>
          </cell>
        </row>
        <row r="468">
          <cell r="D468" t="str">
            <v>1133</v>
          </cell>
          <cell r="E468" t="str">
            <v>Gratifications exceptionnelles personnel OEF</v>
          </cell>
          <cell r="F468">
            <v>0</v>
          </cell>
          <cell r="L468">
            <v>0</v>
          </cell>
          <cell r="P468">
            <v>0</v>
          </cell>
          <cell r="V468">
            <v>0</v>
          </cell>
          <cell r="AI468">
            <v>0</v>
          </cell>
        </row>
        <row r="469">
          <cell r="D469" t="str">
            <v>1134</v>
          </cell>
          <cell r="E469" t="str">
            <v>Gratifications exceptionnelles personnel appoints</v>
          </cell>
          <cell r="F469">
            <v>0</v>
          </cell>
          <cell r="L469">
            <v>0</v>
          </cell>
          <cell r="P469">
            <v>0</v>
          </cell>
          <cell r="V469">
            <v>0</v>
          </cell>
          <cell r="AI469">
            <v>0</v>
          </cell>
        </row>
        <row r="470">
          <cell r="D470" t="str">
            <v>1135</v>
          </cell>
          <cell r="E470" t="str">
            <v>Gratifications exceptionnelles personnel OEM</v>
          </cell>
          <cell r="F470">
            <v>0</v>
          </cell>
          <cell r="L470">
            <v>0</v>
          </cell>
          <cell r="P470">
            <v>0</v>
          </cell>
          <cell r="V470">
            <v>0</v>
          </cell>
          <cell r="AI470">
            <v>0</v>
          </cell>
        </row>
        <row r="471">
          <cell r="D471" t="str">
            <v>1136</v>
          </cell>
          <cell r="E471" t="str">
            <v>Gratifications exceptionnelles personnel TAMCA</v>
          </cell>
          <cell r="F471">
            <v>0</v>
          </cell>
          <cell r="L471">
            <v>0</v>
          </cell>
          <cell r="P471">
            <v>0</v>
          </cell>
          <cell r="V471">
            <v>0</v>
          </cell>
          <cell r="AI471">
            <v>0</v>
          </cell>
        </row>
        <row r="472">
          <cell r="D472" t="str">
            <v>1138</v>
          </cell>
          <cell r="E472" t="str">
            <v>Gratifications exceptionnelles personnel HC</v>
          </cell>
          <cell r="F472">
            <v>0</v>
          </cell>
          <cell r="L472">
            <v>0</v>
          </cell>
          <cell r="P472">
            <v>0</v>
          </cell>
          <cell r="V472">
            <v>0</v>
          </cell>
          <cell r="AI472">
            <v>0</v>
          </cell>
        </row>
        <row r="473">
          <cell r="D473" t="str">
            <v>1266</v>
          </cell>
          <cell r="E473" t="str">
            <v>Prime à la construction prêts hypothécaires personnel OE et TAMCA</v>
          </cell>
          <cell r="F473">
            <v>0</v>
          </cell>
          <cell r="L473">
            <v>0</v>
          </cell>
          <cell r="P473">
            <v>0</v>
          </cell>
          <cell r="V473">
            <v>0</v>
          </cell>
          <cell r="AI473">
            <v>0</v>
          </cell>
        </row>
        <row r="474">
          <cell r="D474" t="str">
            <v>1269</v>
          </cell>
          <cell r="E474" t="str">
            <v>Primes à la construction, Prêts hypothécaires, Toutes catégories</v>
          </cell>
          <cell r="F474">
            <v>0</v>
          </cell>
          <cell r="L474">
            <v>0</v>
          </cell>
          <cell r="P474">
            <v>0</v>
          </cell>
          <cell r="V474">
            <v>0</v>
          </cell>
          <cell r="AI474">
            <v>0</v>
          </cell>
        </row>
        <row r="475">
          <cell r="D475" t="str">
            <v>1319</v>
          </cell>
          <cell r="E475" t="str">
            <v>Actualisation, engagement retraite, Toute catégorie</v>
          </cell>
          <cell r="F475">
            <v>0</v>
          </cell>
          <cell r="L475">
            <v>0</v>
          </cell>
          <cell r="P475">
            <v>0</v>
          </cell>
          <cell r="V475">
            <v>0</v>
          </cell>
          <cell r="AI475">
            <v>0</v>
          </cell>
        </row>
        <row r="476">
          <cell r="D476" t="str">
            <v>1360</v>
          </cell>
          <cell r="E476" t="str">
            <v>Part patronale, Validation des services antérieurs OS 824, Personnel OET</v>
          </cell>
          <cell r="F476">
            <v>0</v>
          </cell>
          <cell r="L476">
            <v>0</v>
          </cell>
          <cell r="P476">
            <v>0</v>
          </cell>
          <cell r="V476">
            <v>0</v>
          </cell>
          <cell r="AI476">
            <v>0</v>
          </cell>
        </row>
        <row r="477">
          <cell r="D477" t="str">
            <v>1361</v>
          </cell>
          <cell r="E477" t="str">
            <v>Part patronale, Validation des services antérieurs OS 824, Personnel OEB</v>
          </cell>
          <cell r="F477">
            <v>0</v>
          </cell>
          <cell r="L477">
            <v>0</v>
          </cell>
          <cell r="P477">
            <v>0</v>
          </cell>
          <cell r="V477">
            <v>0</v>
          </cell>
          <cell r="AI477">
            <v>0</v>
          </cell>
        </row>
        <row r="478">
          <cell r="D478" t="str">
            <v>1362</v>
          </cell>
          <cell r="E478" t="str">
            <v>Part patronale, Validation des services antérieurs OS 824, Personnel OEJ</v>
          </cell>
          <cell r="F478">
            <v>0</v>
          </cell>
          <cell r="L478">
            <v>0</v>
          </cell>
          <cell r="P478">
            <v>0</v>
          </cell>
          <cell r="V478">
            <v>0</v>
          </cell>
          <cell r="AI478">
            <v>0</v>
          </cell>
        </row>
        <row r="479">
          <cell r="D479" t="str">
            <v>1363</v>
          </cell>
          <cell r="E479" t="str">
            <v>Part patronale, Validation des services antérieurs OS 824, Personnel OEF</v>
          </cell>
          <cell r="F479">
            <v>0</v>
          </cell>
          <cell r="L479">
            <v>0</v>
          </cell>
          <cell r="P479">
            <v>0</v>
          </cell>
          <cell r="V479">
            <v>0</v>
          </cell>
          <cell r="AI479">
            <v>0</v>
          </cell>
        </row>
        <row r="480">
          <cell r="D480" t="str">
            <v>1364</v>
          </cell>
          <cell r="E480" t="str">
            <v>Part patronale, Validation des services antérieurs OS 824, Personnel appoints</v>
          </cell>
          <cell r="F480">
            <v>0</v>
          </cell>
          <cell r="L480">
            <v>0</v>
          </cell>
          <cell r="P480">
            <v>0</v>
          </cell>
          <cell r="V480">
            <v>0</v>
          </cell>
          <cell r="AI480">
            <v>0</v>
          </cell>
        </row>
        <row r="481">
          <cell r="D481" t="str">
            <v>1365</v>
          </cell>
          <cell r="E481" t="str">
            <v>Part patronale, Validation des services antérieurs OS 824, Personnel OEM</v>
          </cell>
          <cell r="F481">
            <v>0</v>
          </cell>
          <cell r="L481">
            <v>0</v>
          </cell>
          <cell r="P481">
            <v>0</v>
          </cell>
          <cell r="V481">
            <v>0</v>
          </cell>
          <cell r="AI481">
            <v>0</v>
          </cell>
        </row>
        <row r="482">
          <cell r="D482" t="str">
            <v>1366</v>
          </cell>
          <cell r="E482" t="str">
            <v>Part patronale, Validation des services antérieurs OS 824, Personnel TAMCA</v>
          </cell>
          <cell r="F482">
            <v>0</v>
          </cell>
          <cell r="L482">
            <v>0</v>
          </cell>
          <cell r="P482">
            <v>0</v>
          </cell>
          <cell r="V482">
            <v>0</v>
          </cell>
          <cell r="AI482">
            <v>0</v>
          </cell>
        </row>
        <row r="483">
          <cell r="D483" t="str">
            <v>1368</v>
          </cell>
          <cell r="E483" t="str">
            <v>Part patronale, Validation des services antérieurs OS 824, Personnel HC</v>
          </cell>
          <cell r="F483">
            <v>0</v>
          </cell>
          <cell r="L483">
            <v>0</v>
          </cell>
          <cell r="P483">
            <v>0</v>
          </cell>
          <cell r="V483">
            <v>0</v>
          </cell>
          <cell r="AI483">
            <v>0</v>
          </cell>
        </row>
        <row r="484">
          <cell r="D484" t="str">
            <v>1370</v>
          </cell>
          <cell r="E484" t="str">
            <v>Part patronale, Validation des services antérieurs OS 824, Note Service 652, Personnel OET</v>
          </cell>
          <cell r="F484">
            <v>0</v>
          </cell>
          <cell r="L484">
            <v>0</v>
          </cell>
          <cell r="P484">
            <v>0</v>
          </cell>
          <cell r="V484">
            <v>0</v>
          </cell>
          <cell r="AI484">
            <v>0</v>
          </cell>
        </row>
        <row r="485">
          <cell r="D485" t="str">
            <v>1371</v>
          </cell>
          <cell r="E485" t="str">
            <v>Part patronale, Validation des services antérieurs OS 824, Note Service 652, Personnel OEB</v>
          </cell>
          <cell r="F485">
            <v>0</v>
          </cell>
          <cell r="L485">
            <v>0</v>
          </cell>
          <cell r="P485">
            <v>0</v>
          </cell>
          <cell r="V485">
            <v>0</v>
          </cell>
          <cell r="AI485">
            <v>0</v>
          </cell>
        </row>
        <row r="486">
          <cell r="D486" t="str">
            <v>1372</v>
          </cell>
          <cell r="E486" t="str">
            <v>Part patronale, Validation des services antérieurs OS 824, Note Service 652, Personnel OEJ</v>
          </cell>
          <cell r="F486">
            <v>0</v>
          </cell>
          <cell r="L486">
            <v>0</v>
          </cell>
          <cell r="P486">
            <v>0</v>
          </cell>
          <cell r="V486">
            <v>0</v>
          </cell>
          <cell r="AI486">
            <v>0</v>
          </cell>
        </row>
        <row r="487">
          <cell r="D487" t="str">
            <v>1373</v>
          </cell>
          <cell r="E487" t="str">
            <v>Part patronale, Validation des services antérieurs OS 824, Note Service 652, Personnel OEF</v>
          </cell>
          <cell r="F487">
            <v>0</v>
          </cell>
          <cell r="L487">
            <v>0</v>
          </cell>
          <cell r="P487">
            <v>0</v>
          </cell>
          <cell r="V487">
            <v>0</v>
          </cell>
          <cell r="AI487">
            <v>0</v>
          </cell>
        </row>
        <row r="488">
          <cell r="D488" t="str">
            <v>1374</v>
          </cell>
          <cell r="E488" t="str">
            <v>Part patronale, Validation des services antérieurs OS 824, Note Service 652, Personnel appoints</v>
          </cell>
          <cell r="F488">
            <v>0</v>
          </cell>
          <cell r="L488">
            <v>0</v>
          </cell>
          <cell r="P488">
            <v>0</v>
          </cell>
          <cell r="V488">
            <v>0</v>
          </cell>
          <cell r="AI488">
            <v>0</v>
          </cell>
        </row>
        <row r="489">
          <cell r="D489" t="str">
            <v>1375</v>
          </cell>
          <cell r="E489" t="str">
            <v>Part patronale, Validation des services antérieurs OS 824, Note Service 652, Personnel OEM</v>
          </cell>
          <cell r="F489">
            <v>0</v>
          </cell>
          <cell r="L489">
            <v>0</v>
          </cell>
          <cell r="P489">
            <v>0</v>
          </cell>
          <cell r="V489">
            <v>0</v>
          </cell>
          <cell r="AI489">
            <v>0</v>
          </cell>
        </row>
        <row r="490">
          <cell r="D490" t="str">
            <v>1376</v>
          </cell>
          <cell r="E490" t="str">
            <v>Part patronale, Validation des services antérieurs OS 824, Note Service 652, Personnel TAMCA</v>
          </cell>
          <cell r="F490">
            <v>0</v>
          </cell>
          <cell r="L490">
            <v>0</v>
          </cell>
          <cell r="P490">
            <v>0</v>
          </cell>
          <cell r="V490">
            <v>0</v>
          </cell>
          <cell r="AI490">
            <v>0</v>
          </cell>
        </row>
        <row r="491">
          <cell r="D491" t="str">
            <v>1378</v>
          </cell>
          <cell r="E491" t="str">
            <v>Part patronale, Validation des services antérieurs OS 824, Note Service 652, Personnel HC</v>
          </cell>
          <cell r="F491">
            <v>0</v>
          </cell>
          <cell r="L491">
            <v>0</v>
          </cell>
          <cell r="P491">
            <v>0</v>
          </cell>
          <cell r="V491">
            <v>0</v>
          </cell>
          <cell r="AI491">
            <v>0</v>
          </cell>
        </row>
        <row r="492">
          <cell r="D492" t="str">
            <v>1380</v>
          </cell>
          <cell r="E492" t="str">
            <v>Part patronale, Recrus après 1-1-2001, Personnel OET</v>
          </cell>
          <cell r="F492">
            <v>0</v>
          </cell>
          <cell r="L492">
            <v>0</v>
          </cell>
          <cell r="P492">
            <v>0</v>
          </cell>
          <cell r="V492">
            <v>0</v>
          </cell>
          <cell r="AI492">
            <v>0</v>
          </cell>
        </row>
        <row r="493">
          <cell r="D493" t="str">
            <v>1381</v>
          </cell>
          <cell r="E493" t="str">
            <v>Part patronale, Recrus après 1-1-2001, Personnel OEB</v>
          </cell>
          <cell r="F493">
            <v>0</v>
          </cell>
          <cell r="L493">
            <v>0</v>
          </cell>
          <cell r="P493">
            <v>0</v>
          </cell>
          <cell r="V493">
            <v>0</v>
          </cell>
          <cell r="AI493">
            <v>0</v>
          </cell>
        </row>
        <row r="494">
          <cell r="D494" t="str">
            <v>1382</v>
          </cell>
          <cell r="E494" t="str">
            <v>Part patronale, Recrus après 1-1-2001, Personnel OEJ</v>
          </cell>
          <cell r="F494">
            <v>0</v>
          </cell>
          <cell r="L494">
            <v>0</v>
          </cell>
          <cell r="P494">
            <v>0</v>
          </cell>
          <cell r="V494">
            <v>0</v>
          </cell>
          <cell r="AI494">
            <v>0</v>
          </cell>
        </row>
        <row r="495">
          <cell r="D495" t="str">
            <v>1383</v>
          </cell>
          <cell r="E495" t="str">
            <v>Part patronale, Recrus après 1-1-2001, Personnel OEF</v>
          </cell>
          <cell r="F495">
            <v>0</v>
          </cell>
          <cell r="L495">
            <v>0</v>
          </cell>
          <cell r="P495">
            <v>0</v>
          </cell>
          <cell r="V495">
            <v>0</v>
          </cell>
          <cell r="AI495">
            <v>0</v>
          </cell>
        </row>
        <row r="496">
          <cell r="D496" t="str">
            <v>1384</v>
          </cell>
          <cell r="E496" t="str">
            <v>Part patronale, Recrus après 1-1-2001, Personnel appoints</v>
          </cell>
          <cell r="F496">
            <v>0</v>
          </cell>
          <cell r="L496">
            <v>0</v>
          </cell>
          <cell r="P496">
            <v>0</v>
          </cell>
          <cell r="V496">
            <v>0</v>
          </cell>
          <cell r="AI496">
            <v>0</v>
          </cell>
        </row>
        <row r="497">
          <cell r="D497" t="str">
            <v>1385</v>
          </cell>
          <cell r="E497" t="str">
            <v>Part patronale, Recrus après 1-1-2001, Personnel OEM</v>
          </cell>
          <cell r="F497">
            <v>0</v>
          </cell>
          <cell r="L497">
            <v>0</v>
          </cell>
          <cell r="P497">
            <v>0</v>
          </cell>
          <cell r="V497">
            <v>0</v>
          </cell>
          <cell r="AI497">
            <v>0</v>
          </cell>
        </row>
        <row r="498">
          <cell r="D498" t="str">
            <v>1386</v>
          </cell>
          <cell r="E498" t="str">
            <v>Part patronale, Recrus après 1-1-2001, Personnel TAMCA</v>
          </cell>
          <cell r="F498">
            <v>0</v>
          </cell>
          <cell r="L498">
            <v>0</v>
          </cell>
          <cell r="P498">
            <v>0</v>
          </cell>
          <cell r="V498">
            <v>0</v>
          </cell>
          <cell r="AI498">
            <v>0</v>
          </cell>
        </row>
        <row r="499">
          <cell r="D499" t="str">
            <v>1388</v>
          </cell>
          <cell r="E499" t="str">
            <v>Part patronale, Recrus après 1-1-2001, Personnel HC</v>
          </cell>
          <cell r="F499">
            <v>0</v>
          </cell>
          <cell r="L499">
            <v>0</v>
          </cell>
          <cell r="P499">
            <v>0</v>
          </cell>
          <cell r="V499">
            <v>0</v>
          </cell>
          <cell r="AI499">
            <v>0</v>
          </cell>
        </row>
        <row r="500">
          <cell r="D500" t="str">
            <v>1390</v>
          </cell>
          <cell r="E500" t="str">
            <v>Recore, frais d'etalement des cotisations 1-12001au 31-7-2001, Personnel OET</v>
          </cell>
          <cell r="F500">
            <v>0</v>
          </cell>
          <cell r="L500">
            <v>0</v>
          </cell>
          <cell r="P500">
            <v>0</v>
          </cell>
          <cell r="V500">
            <v>0</v>
          </cell>
          <cell r="AI500">
            <v>0</v>
          </cell>
        </row>
        <row r="501">
          <cell r="D501" t="str">
            <v>1391</v>
          </cell>
          <cell r="E501" t="str">
            <v>Recore, frais d'etalement des cotisations 1-12001au 31-7-2001, Personnel OEB</v>
          </cell>
          <cell r="F501">
            <v>0</v>
          </cell>
          <cell r="L501">
            <v>0</v>
          </cell>
          <cell r="P501">
            <v>0</v>
          </cell>
          <cell r="V501">
            <v>0</v>
          </cell>
          <cell r="AI501">
            <v>0</v>
          </cell>
        </row>
        <row r="502">
          <cell r="D502" t="str">
            <v>1392</v>
          </cell>
          <cell r="E502" t="str">
            <v>Recore, frais d'étalement des cotisations 1-12001au 31-7-2001, Personnel OEJ</v>
          </cell>
          <cell r="F502">
            <v>0</v>
          </cell>
          <cell r="L502">
            <v>0</v>
          </cell>
          <cell r="P502">
            <v>0</v>
          </cell>
          <cell r="V502">
            <v>0</v>
          </cell>
          <cell r="AI502">
            <v>0</v>
          </cell>
        </row>
        <row r="503">
          <cell r="D503" t="str">
            <v>1393</v>
          </cell>
          <cell r="E503" t="str">
            <v>Recore, frais d'étalement des cotisations 1-12001au 31-7-2001, Personnel OEF</v>
          </cell>
          <cell r="F503">
            <v>0</v>
          </cell>
          <cell r="L503">
            <v>0</v>
          </cell>
          <cell r="P503">
            <v>0</v>
          </cell>
          <cell r="V503">
            <v>0</v>
          </cell>
          <cell r="AI503">
            <v>0</v>
          </cell>
        </row>
        <row r="504">
          <cell r="D504" t="str">
            <v>1394</v>
          </cell>
          <cell r="E504" t="str">
            <v>Recore, frais d'étalement des cotisations 1-12001au 31-7-2001, Personnel appt</v>
          </cell>
          <cell r="F504">
            <v>0</v>
          </cell>
          <cell r="L504">
            <v>0</v>
          </cell>
          <cell r="P504">
            <v>0</v>
          </cell>
          <cell r="V504">
            <v>0</v>
          </cell>
          <cell r="AI504">
            <v>0</v>
          </cell>
        </row>
        <row r="505">
          <cell r="D505" t="str">
            <v>1395</v>
          </cell>
          <cell r="E505" t="str">
            <v>Recore, frais d'étalement des cotisations 1-12001au 31-7-2001, Personnel OEM</v>
          </cell>
          <cell r="F505">
            <v>0</v>
          </cell>
          <cell r="L505">
            <v>0</v>
          </cell>
          <cell r="P505">
            <v>0</v>
          </cell>
          <cell r="V505">
            <v>0</v>
          </cell>
          <cell r="AI505">
            <v>0</v>
          </cell>
        </row>
        <row r="506">
          <cell r="D506" t="str">
            <v>1396</v>
          </cell>
          <cell r="E506" t="str">
            <v>Recore, frais d'étalement des cotisations 1-1-01au 31-7-2001, Personnel TAMCA</v>
          </cell>
          <cell r="F506">
            <v>0</v>
          </cell>
          <cell r="L506">
            <v>0</v>
          </cell>
          <cell r="P506">
            <v>0</v>
          </cell>
          <cell r="V506">
            <v>0</v>
          </cell>
          <cell r="AI506">
            <v>0</v>
          </cell>
        </row>
        <row r="507">
          <cell r="D507" t="str">
            <v>1398</v>
          </cell>
          <cell r="E507" t="str">
            <v>Recore, frais d'étalement des cotisations 1-12001au 31-7-2001 PHC</v>
          </cell>
          <cell r="F507">
            <v>0</v>
          </cell>
          <cell r="L507">
            <v>0</v>
          </cell>
          <cell r="P507">
            <v>0</v>
          </cell>
          <cell r="V507">
            <v>0</v>
          </cell>
          <cell r="AI507">
            <v>0</v>
          </cell>
        </row>
        <row r="508">
          <cell r="D508" t="str">
            <v>1508</v>
          </cell>
          <cell r="E508" t="str">
            <v>Part patronale sécurité sociale Paris</v>
          </cell>
          <cell r="F508">
            <v>0</v>
          </cell>
          <cell r="L508">
            <v>0</v>
          </cell>
          <cell r="P508">
            <v>0</v>
          </cell>
          <cell r="V508">
            <v>0</v>
          </cell>
          <cell r="AI508">
            <v>0</v>
          </cell>
        </row>
        <row r="509">
          <cell r="D509" t="str">
            <v>1518</v>
          </cell>
          <cell r="E509" t="str">
            <v>Part patronale CNSS PHC</v>
          </cell>
          <cell r="F509">
            <v>0</v>
          </cell>
          <cell r="L509">
            <v>0</v>
          </cell>
          <cell r="P509">
            <v>0</v>
          </cell>
          <cell r="V509">
            <v>0</v>
          </cell>
          <cell r="AI509">
            <v>0</v>
          </cell>
        </row>
        <row r="510">
          <cell r="D510" t="str">
            <v>1528</v>
          </cell>
          <cell r="E510" t="str">
            <v>Part patronale CIMR PHC</v>
          </cell>
          <cell r="F510">
            <v>0</v>
          </cell>
          <cell r="L510">
            <v>0</v>
          </cell>
          <cell r="P510">
            <v>0</v>
          </cell>
          <cell r="V510">
            <v>0</v>
          </cell>
          <cell r="AI510">
            <v>0</v>
          </cell>
        </row>
        <row r="511">
          <cell r="D511" t="str">
            <v>1788</v>
          </cell>
          <cell r="E511" t="str">
            <v>Bourses et frais de formation, personnel hors cadres</v>
          </cell>
          <cell r="F511">
            <v>0</v>
          </cell>
          <cell r="L511">
            <v>0</v>
          </cell>
          <cell r="P511">
            <v>0</v>
          </cell>
          <cell r="V511">
            <v>0</v>
          </cell>
          <cell r="AI511">
            <v>0</v>
          </cell>
        </row>
        <row r="512">
          <cell r="D512" t="str">
            <v>1789</v>
          </cell>
          <cell r="E512" t="str">
            <v>Bourses et frais de formation toutes catégories</v>
          </cell>
          <cell r="F512">
            <v>0</v>
          </cell>
          <cell r="L512">
            <v>0</v>
          </cell>
          <cell r="P512">
            <v>0</v>
          </cell>
          <cell r="V512">
            <v>0</v>
          </cell>
          <cell r="AI512">
            <v>0</v>
          </cell>
        </row>
        <row r="513">
          <cell r="D513" t="str">
            <v>1826</v>
          </cell>
          <cell r="E513" t="str">
            <v>Frais d'appareillage orthopédique-accidentés,rentiers OE et TAMCA</v>
          </cell>
          <cell r="F513">
            <v>0</v>
          </cell>
          <cell r="L513">
            <v>0</v>
          </cell>
          <cell r="P513">
            <v>0</v>
          </cell>
          <cell r="V513">
            <v>0</v>
          </cell>
          <cell r="AI513">
            <v>0</v>
          </cell>
        </row>
        <row r="514">
          <cell r="D514" t="str">
            <v>1828</v>
          </cell>
          <cell r="E514" t="str">
            <v>Frais d'appareillage orthopédique-accidentés,rentiers HC</v>
          </cell>
          <cell r="F514">
            <v>0</v>
          </cell>
          <cell r="L514">
            <v>0</v>
          </cell>
          <cell r="P514">
            <v>0</v>
          </cell>
          <cell r="V514">
            <v>0</v>
          </cell>
          <cell r="AI514">
            <v>0</v>
          </cell>
        </row>
        <row r="515">
          <cell r="D515" t="str">
            <v>1829</v>
          </cell>
          <cell r="E515" t="str">
            <v>Frais d'appareils orthopédiques, accidentés, rentiers toutes catégories</v>
          </cell>
          <cell r="F515">
            <v>0</v>
          </cell>
          <cell r="L515">
            <v>0</v>
          </cell>
          <cell r="P515">
            <v>0</v>
          </cell>
          <cell r="V515">
            <v>0</v>
          </cell>
          <cell r="AI515">
            <v>0</v>
          </cell>
        </row>
        <row r="516">
          <cell r="D516" t="str">
            <v>1906</v>
          </cell>
          <cell r="E516" t="str">
            <v>Allocations des oeuvres sociales personnel OE et TAMCA</v>
          </cell>
          <cell r="F516">
            <v>0</v>
          </cell>
          <cell r="L516">
            <v>0</v>
          </cell>
          <cell r="P516">
            <v>0</v>
          </cell>
          <cell r="V516">
            <v>0</v>
          </cell>
          <cell r="AI516">
            <v>0</v>
          </cell>
        </row>
        <row r="517">
          <cell r="D517" t="str">
            <v>1908</v>
          </cell>
          <cell r="E517" t="str">
            <v>Allocations des oeuvres sociales personnel HC</v>
          </cell>
          <cell r="F517">
            <v>0</v>
          </cell>
          <cell r="L517">
            <v>0</v>
          </cell>
          <cell r="P517">
            <v>0</v>
          </cell>
          <cell r="V517">
            <v>0</v>
          </cell>
          <cell r="AI517">
            <v>0</v>
          </cell>
        </row>
        <row r="518">
          <cell r="D518" t="str">
            <v>1909</v>
          </cell>
          <cell r="E518" t="str">
            <v>Allocations des oeuvres sociales, toutes catégories</v>
          </cell>
          <cell r="F518">
            <v>0</v>
          </cell>
          <cell r="L518">
            <v>0</v>
          </cell>
          <cell r="P518">
            <v>0</v>
          </cell>
          <cell r="V518">
            <v>0</v>
          </cell>
          <cell r="AI518">
            <v>0</v>
          </cell>
        </row>
        <row r="519">
          <cell r="D519" t="str">
            <v>1916</v>
          </cell>
          <cell r="E519" t="str">
            <v>Subventions internes des activités sociales personnel OE et TAMCA</v>
          </cell>
          <cell r="F519">
            <v>0</v>
          </cell>
          <cell r="L519">
            <v>0</v>
          </cell>
          <cell r="P519">
            <v>0</v>
          </cell>
          <cell r="V519">
            <v>0</v>
          </cell>
          <cell r="AI519">
            <v>0</v>
          </cell>
        </row>
        <row r="520">
          <cell r="D520" t="str">
            <v>1918</v>
          </cell>
          <cell r="E520" t="str">
            <v>Subventions internes des activités sociales personnel HC</v>
          </cell>
          <cell r="F520">
            <v>0</v>
          </cell>
          <cell r="L520">
            <v>0</v>
          </cell>
          <cell r="P520">
            <v>0</v>
          </cell>
          <cell r="V520">
            <v>0</v>
          </cell>
          <cell r="AI520">
            <v>0</v>
          </cell>
        </row>
        <row r="521">
          <cell r="D521" t="str">
            <v>1919</v>
          </cell>
          <cell r="E521" t="str">
            <v>Subventions internes des activités sociales, toutes catégories</v>
          </cell>
          <cell r="F521">
            <v>0</v>
          </cell>
          <cell r="L521">
            <v>0</v>
          </cell>
          <cell r="P521">
            <v>0</v>
          </cell>
          <cell r="V521">
            <v>0</v>
          </cell>
          <cell r="AI521">
            <v>0</v>
          </cell>
        </row>
        <row r="522">
          <cell r="D522" t="str">
            <v>1920</v>
          </cell>
          <cell r="E522" t="str">
            <v>Indemnité de licenciement personnel tâcherons</v>
          </cell>
          <cell r="F522">
            <v>0</v>
          </cell>
          <cell r="L522">
            <v>0</v>
          </cell>
          <cell r="P522">
            <v>0</v>
          </cell>
          <cell r="V522">
            <v>0</v>
          </cell>
          <cell r="AI522">
            <v>0</v>
          </cell>
        </row>
        <row r="523">
          <cell r="D523" t="str">
            <v>1921</v>
          </cell>
          <cell r="E523" t="str">
            <v>Indemnité de licenciement personnel OEB</v>
          </cell>
          <cell r="F523">
            <v>0</v>
          </cell>
          <cell r="L523">
            <v>0</v>
          </cell>
          <cell r="P523">
            <v>0</v>
          </cell>
          <cell r="V523">
            <v>0</v>
          </cell>
          <cell r="AI523">
            <v>0</v>
          </cell>
        </row>
        <row r="524">
          <cell r="D524" t="str">
            <v>1922</v>
          </cell>
          <cell r="E524" t="str">
            <v>Indemnité de licenciement personnel OEJ</v>
          </cell>
          <cell r="F524">
            <v>0</v>
          </cell>
          <cell r="L524">
            <v>0</v>
          </cell>
          <cell r="P524">
            <v>0</v>
          </cell>
          <cell r="V524">
            <v>0</v>
          </cell>
          <cell r="AI524">
            <v>0</v>
          </cell>
        </row>
        <row r="525">
          <cell r="D525" t="str">
            <v>1923</v>
          </cell>
          <cell r="E525" t="str">
            <v>Indemnité de licenciement personnel OEF</v>
          </cell>
          <cell r="F525">
            <v>0</v>
          </cell>
          <cell r="L525">
            <v>0</v>
          </cell>
          <cell r="P525">
            <v>0</v>
          </cell>
          <cell r="V525">
            <v>0</v>
          </cell>
          <cell r="AI525">
            <v>0</v>
          </cell>
        </row>
        <row r="526">
          <cell r="D526" t="str">
            <v>1924</v>
          </cell>
          <cell r="E526" t="str">
            <v>Indemnité de licenciement personnel appoints</v>
          </cell>
          <cell r="F526">
            <v>0</v>
          </cell>
          <cell r="L526">
            <v>0</v>
          </cell>
          <cell r="P526">
            <v>0</v>
          </cell>
          <cell r="V526">
            <v>0</v>
          </cell>
          <cell r="AI526">
            <v>0</v>
          </cell>
        </row>
        <row r="527">
          <cell r="D527" t="str">
            <v>1925</v>
          </cell>
          <cell r="E527" t="str">
            <v>Indemnité de licenciement personnel OEM</v>
          </cell>
          <cell r="F527">
            <v>0</v>
          </cell>
          <cell r="L527">
            <v>0</v>
          </cell>
          <cell r="P527">
            <v>0</v>
          </cell>
          <cell r="V527">
            <v>0</v>
          </cell>
          <cell r="AI527">
            <v>0</v>
          </cell>
        </row>
        <row r="528">
          <cell r="D528" t="str">
            <v>1926</v>
          </cell>
          <cell r="E528" t="str">
            <v>Indemnité de licenciement personnel TAMCA</v>
          </cell>
          <cell r="F528">
            <v>0</v>
          </cell>
          <cell r="L528">
            <v>0</v>
          </cell>
          <cell r="P528">
            <v>0</v>
          </cell>
          <cell r="V528">
            <v>0</v>
          </cell>
          <cell r="AI528">
            <v>0</v>
          </cell>
        </row>
        <row r="529">
          <cell r="D529" t="str">
            <v>1928</v>
          </cell>
          <cell r="E529" t="str">
            <v>Indemnité de licenciement personnel HC</v>
          </cell>
          <cell r="F529">
            <v>0</v>
          </cell>
          <cell r="L529">
            <v>0</v>
          </cell>
          <cell r="P529">
            <v>0</v>
          </cell>
          <cell r="V529">
            <v>0</v>
          </cell>
          <cell r="AI529">
            <v>0</v>
          </cell>
        </row>
        <row r="530">
          <cell r="D530" t="str">
            <v>1936</v>
          </cell>
          <cell r="E530" t="str">
            <v>Contribution au fond de formation professionnelle personnel OE et TAMCA</v>
          </cell>
          <cell r="F530">
            <v>0</v>
          </cell>
          <cell r="L530">
            <v>0</v>
          </cell>
          <cell r="P530">
            <v>0</v>
          </cell>
          <cell r="V530">
            <v>0</v>
          </cell>
          <cell r="AI530">
            <v>0</v>
          </cell>
        </row>
        <row r="531">
          <cell r="D531" t="str">
            <v>1938</v>
          </cell>
          <cell r="E531" t="str">
            <v>Contribution au fond de formation professionnelle personnel HC</v>
          </cell>
          <cell r="F531">
            <v>0</v>
          </cell>
          <cell r="L531">
            <v>0</v>
          </cell>
          <cell r="P531">
            <v>0</v>
          </cell>
          <cell r="V531">
            <v>0</v>
          </cell>
          <cell r="AI531">
            <v>0</v>
          </cell>
        </row>
        <row r="532">
          <cell r="D532" t="str">
            <v>1939</v>
          </cell>
          <cell r="E532" t="str">
            <v>Contribution au fonds de formation professionnell toutes catégories</v>
          </cell>
          <cell r="F532">
            <v>0</v>
          </cell>
          <cell r="L532">
            <v>0</v>
          </cell>
          <cell r="P532">
            <v>0</v>
          </cell>
          <cell r="V532">
            <v>0</v>
          </cell>
          <cell r="AI532">
            <v>0</v>
          </cell>
        </row>
        <row r="533">
          <cell r="D533" t="str">
            <v>1946</v>
          </cell>
          <cell r="E533" t="str">
            <v>Contribution au fond de majoration des accidents de travail OE et TAMCA</v>
          </cell>
          <cell r="F533">
            <v>0</v>
          </cell>
          <cell r="L533">
            <v>0</v>
          </cell>
          <cell r="P533">
            <v>0</v>
          </cell>
          <cell r="V533">
            <v>0</v>
          </cell>
          <cell r="AI533">
            <v>0</v>
          </cell>
        </row>
        <row r="534">
          <cell r="D534" t="str">
            <v>1948</v>
          </cell>
          <cell r="E534" t="str">
            <v>Contribution au fond de majoration des accidents de travail HC</v>
          </cell>
          <cell r="F534">
            <v>0</v>
          </cell>
          <cell r="L534">
            <v>0</v>
          </cell>
          <cell r="P534">
            <v>0</v>
          </cell>
          <cell r="V534">
            <v>0</v>
          </cell>
          <cell r="AI534">
            <v>0</v>
          </cell>
        </row>
        <row r="535">
          <cell r="D535" t="str">
            <v>1949</v>
          </cell>
          <cell r="E535" t="str">
            <v>Contributions au fonds de majoration des accidents de travail, toutes catégories</v>
          </cell>
          <cell r="F535">
            <v>0</v>
          </cell>
          <cell r="L535">
            <v>0</v>
          </cell>
          <cell r="P535">
            <v>0</v>
          </cell>
          <cell r="V535">
            <v>0</v>
          </cell>
          <cell r="AI535">
            <v>0</v>
          </cell>
        </row>
        <row r="536">
          <cell r="D536" t="str">
            <v>1956</v>
          </cell>
          <cell r="E536" t="str">
            <v>Participation aux frais de sejour durant le conge annuel personnel OE et TAMCA</v>
          </cell>
          <cell r="F536">
            <v>0</v>
          </cell>
          <cell r="L536">
            <v>0</v>
          </cell>
          <cell r="P536">
            <v>0</v>
          </cell>
          <cell r="V536">
            <v>0</v>
          </cell>
          <cell r="AI536">
            <v>0</v>
          </cell>
        </row>
        <row r="537">
          <cell r="D537" t="str">
            <v>1958</v>
          </cell>
          <cell r="E537" t="str">
            <v>Participation aux frais de sejour durant le conge annuel personnel HC</v>
          </cell>
          <cell r="F537">
            <v>0</v>
          </cell>
          <cell r="L537">
            <v>0</v>
          </cell>
          <cell r="P537">
            <v>0</v>
          </cell>
          <cell r="V537">
            <v>0</v>
          </cell>
          <cell r="AI537">
            <v>0</v>
          </cell>
        </row>
        <row r="538">
          <cell r="D538" t="str">
            <v>1959</v>
          </cell>
          <cell r="E538" t="str">
            <v>Participations au frais de séjour congé annuel, Toutes catégories</v>
          </cell>
          <cell r="F538">
            <v>0</v>
          </cell>
          <cell r="L538">
            <v>0</v>
          </cell>
          <cell r="P538">
            <v>0</v>
          </cell>
          <cell r="V538">
            <v>0</v>
          </cell>
          <cell r="AI538">
            <v>0</v>
          </cell>
        </row>
        <row r="539">
          <cell r="D539" t="str">
            <v>1969</v>
          </cell>
          <cell r="E539" t="str">
            <v>Système de reconnaissance et d'émulation des cercles de qualité OE personnel OE</v>
          </cell>
          <cell r="F539">
            <v>0</v>
          </cell>
          <cell r="L539">
            <v>0</v>
          </cell>
          <cell r="P539">
            <v>0</v>
          </cell>
          <cell r="V539">
            <v>0</v>
          </cell>
          <cell r="AI539">
            <v>0</v>
          </cell>
        </row>
        <row r="540">
          <cell r="D540" t="str">
            <v>1979</v>
          </cell>
          <cell r="E540" t="str">
            <v>Système de reconnaissance et d'émulation des cercles de qualité, Personnel TAMCA</v>
          </cell>
          <cell r="F540">
            <v>0</v>
          </cell>
          <cell r="L540">
            <v>0</v>
          </cell>
          <cell r="P540">
            <v>0</v>
          </cell>
          <cell r="V540">
            <v>0</v>
          </cell>
          <cell r="AI540">
            <v>0</v>
          </cell>
        </row>
        <row r="541">
          <cell r="D541" t="str">
            <v>2110</v>
          </cell>
          <cell r="E541" t="str">
            <v>Fournitures internes, Eau de mer</v>
          </cell>
          <cell r="F541">
            <v>0</v>
          </cell>
          <cell r="L541">
            <v>0</v>
          </cell>
          <cell r="P541">
            <v>0</v>
          </cell>
          <cell r="V541">
            <v>0</v>
          </cell>
          <cell r="AI541">
            <v>0</v>
          </cell>
        </row>
        <row r="542">
          <cell r="D542" t="str">
            <v>2121</v>
          </cell>
          <cell r="E542" t="str">
            <v>Fournitures internes, Eau brute</v>
          </cell>
          <cell r="F542">
            <v>0</v>
          </cell>
          <cell r="L542">
            <v>0</v>
          </cell>
          <cell r="P542">
            <v>0</v>
          </cell>
          <cell r="V542">
            <v>0</v>
          </cell>
          <cell r="AI542">
            <v>0</v>
          </cell>
        </row>
        <row r="543">
          <cell r="D543" t="str">
            <v>2122</v>
          </cell>
          <cell r="E543" t="str">
            <v>Fournitures internes, Eau filtrée</v>
          </cell>
          <cell r="F543">
            <v>0</v>
          </cell>
          <cell r="L543">
            <v>0</v>
          </cell>
          <cell r="P543">
            <v>0</v>
          </cell>
          <cell r="V543">
            <v>0</v>
          </cell>
          <cell r="AI543">
            <v>0</v>
          </cell>
        </row>
        <row r="544">
          <cell r="D544" t="str">
            <v>2123</v>
          </cell>
          <cell r="E544" t="str">
            <v>Fournitures internes, Eau potable</v>
          </cell>
          <cell r="F544">
            <v>0</v>
          </cell>
          <cell r="L544">
            <v>0</v>
          </cell>
          <cell r="P544">
            <v>0</v>
          </cell>
          <cell r="V544">
            <v>0</v>
          </cell>
          <cell r="AI544">
            <v>0</v>
          </cell>
        </row>
        <row r="545">
          <cell r="D545" t="str">
            <v>2124</v>
          </cell>
          <cell r="E545" t="str">
            <v>Fournitures internes, Eau déminéralisée</v>
          </cell>
          <cell r="F545">
            <v>0</v>
          </cell>
          <cell r="L545">
            <v>0</v>
          </cell>
          <cell r="P545">
            <v>0</v>
          </cell>
          <cell r="V545">
            <v>0</v>
          </cell>
          <cell r="AI545">
            <v>0</v>
          </cell>
        </row>
        <row r="546">
          <cell r="D546" t="str">
            <v>2125</v>
          </cell>
          <cell r="E546" t="str">
            <v>Fournitures internes, Eau désilicée</v>
          </cell>
          <cell r="F546">
            <v>0</v>
          </cell>
          <cell r="L546">
            <v>0</v>
          </cell>
          <cell r="P546">
            <v>0</v>
          </cell>
          <cell r="V546">
            <v>0</v>
          </cell>
          <cell r="AI546">
            <v>0</v>
          </cell>
        </row>
        <row r="547">
          <cell r="D547" t="str">
            <v>2126</v>
          </cell>
          <cell r="E547" t="str">
            <v>Fournitures internes, Eau alimentaire</v>
          </cell>
          <cell r="F547">
            <v>0</v>
          </cell>
          <cell r="L547">
            <v>0</v>
          </cell>
          <cell r="P547">
            <v>0</v>
          </cell>
          <cell r="V547">
            <v>0</v>
          </cell>
          <cell r="AI547">
            <v>0</v>
          </cell>
        </row>
        <row r="548">
          <cell r="D548" t="str">
            <v>2130</v>
          </cell>
          <cell r="E548" t="str">
            <v>Fournitures internes, Air comprimé</v>
          </cell>
          <cell r="F548">
            <v>0</v>
          </cell>
          <cell r="L548">
            <v>0</v>
          </cell>
          <cell r="P548">
            <v>0</v>
          </cell>
          <cell r="V548">
            <v>0</v>
          </cell>
          <cell r="AI548">
            <v>0</v>
          </cell>
        </row>
        <row r="549">
          <cell r="D549" t="str">
            <v>2140</v>
          </cell>
          <cell r="E549" t="str">
            <v>Fournitures internes, Vapeur BP</v>
          </cell>
          <cell r="F549">
            <v>0</v>
          </cell>
          <cell r="L549">
            <v>0</v>
          </cell>
          <cell r="P549">
            <v>0</v>
          </cell>
          <cell r="V549">
            <v>0</v>
          </cell>
          <cell r="AI549">
            <v>0</v>
          </cell>
        </row>
        <row r="550">
          <cell r="D550" t="str">
            <v>2141</v>
          </cell>
          <cell r="E550" t="str">
            <v>Fournitures internes, Vapeur MP</v>
          </cell>
          <cell r="F550">
            <v>0</v>
          </cell>
          <cell r="L550">
            <v>0</v>
          </cell>
          <cell r="P550">
            <v>0</v>
          </cell>
          <cell r="V550">
            <v>0</v>
          </cell>
          <cell r="AI550">
            <v>0</v>
          </cell>
        </row>
        <row r="551">
          <cell r="D551" t="str">
            <v>2142</v>
          </cell>
          <cell r="E551" t="str">
            <v>Fournitures internes, Vapeur HP</v>
          </cell>
          <cell r="F551">
            <v>0</v>
          </cell>
          <cell r="L551">
            <v>0</v>
          </cell>
          <cell r="P551">
            <v>0</v>
          </cell>
          <cell r="V551">
            <v>0</v>
          </cell>
          <cell r="AI551">
            <v>0</v>
          </cell>
        </row>
        <row r="552">
          <cell r="D552" t="str">
            <v>2149</v>
          </cell>
          <cell r="E552" t="str">
            <v>Fournitures internes, Vapeur BP, MP, HP</v>
          </cell>
          <cell r="F552">
            <v>0</v>
          </cell>
          <cell r="L552">
            <v>0</v>
          </cell>
          <cell r="P552">
            <v>0</v>
          </cell>
          <cell r="V552">
            <v>0</v>
          </cell>
          <cell r="AI552">
            <v>0</v>
          </cell>
        </row>
        <row r="553">
          <cell r="D553" t="str">
            <v>2150</v>
          </cell>
          <cell r="E553" t="str">
            <v>Fournitures internes, Phosphate lavé MPII</v>
          </cell>
          <cell r="F553">
            <v>0</v>
          </cell>
          <cell r="L553">
            <v>0</v>
          </cell>
          <cell r="P553">
            <v>0</v>
          </cell>
          <cell r="V553">
            <v>0</v>
          </cell>
          <cell r="AI553">
            <v>0</v>
          </cell>
        </row>
        <row r="554">
          <cell r="D554" t="str">
            <v>2151</v>
          </cell>
          <cell r="E554" t="str">
            <v>Fournitures internes, Phosphate broyé</v>
          </cell>
          <cell r="F554">
            <v>0</v>
          </cell>
          <cell r="L554">
            <v>0</v>
          </cell>
          <cell r="P554">
            <v>0</v>
          </cell>
          <cell r="V554">
            <v>0</v>
          </cell>
          <cell r="AI554">
            <v>0</v>
          </cell>
        </row>
        <row r="555">
          <cell r="D555" t="str">
            <v>2152</v>
          </cell>
          <cell r="E555" t="str">
            <v>Fournitures internes, Soufre fondu</v>
          </cell>
          <cell r="F555">
            <v>0</v>
          </cell>
          <cell r="L555">
            <v>0</v>
          </cell>
          <cell r="P555">
            <v>0</v>
          </cell>
          <cell r="V555">
            <v>0</v>
          </cell>
          <cell r="AI555">
            <v>0</v>
          </cell>
        </row>
        <row r="556">
          <cell r="D556" t="str">
            <v>2153</v>
          </cell>
          <cell r="E556" t="str">
            <v>Fournitures internes, Soufre filtré</v>
          </cell>
          <cell r="F556">
            <v>0</v>
          </cell>
          <cell r="L556">
            <v>0</v>
          </cell>
          <cell r="P556">
            <v>0</v>
          </cell>
          <cell r="V556">
            <v>0</v>
          </cell>
          <cell r="AI556">
            <v>0</v>
          </cell>
        </row>
        <row r="557">
          <cell r="D557" t="str">
            <v>2154</v>
          </cell>
          <cell r="E557" t="str">
            <v>Fournitures internes, Acide sulfurique</v>
          </cell>
          <cell r="F557">
            <v>0</v>
          </cell>
          <cell r="L557">
            <v>0</v>
          </cell>
          <cell r="P557">
            <v>0</v>
          </cell>
          <cell r="V557">
            <v>0</v>
          </cell>
          <cell r="AI557">
            <v>0</v>
          </cell>
        </row>
        <row r="558">
          <cell r="D558" t="str">
            <v>2155</v>
          </cell>
          <cell r="E558" t="str">
            <v>Fournitures internes, Acide phosphorique 30%</v>
          </cell>
          <cell r="F558">
            <v>0</v>
          </cell>
          <cell r="L558">
            <v>0</v>
          </cell>
          <cell r="P558">
            <v>0</v>
          </cell>
          <cell r="V558">
            <v>0</v>
          </cell>
          <cell r="AI558">
            <v>0</v>
          </cell>
        </row>
        <row r="559">
          <cell r="D559" t="str">
            <v>2156</v>
          </cell>
          <cell r="E559" t="str">
            <v>Fournitures internes, Acide phosphorique 54% NC</v>
          </cell>
          <cell r="F559">
            <v>0</v>
          </cell>
          <cell r="L559">
            <v>0</v>
          </cell>
          <cell r="P559">
            <v>0</v>
          </cell>
          <cell r="V559">
            <v>0</v>
          </cell>
          <cell r="AI559">
            <v>0</v>
          </cell>
        </row>
        <row r="560">
          <cell r="D560" t="str">
            <v>2157</v>
          </cell>
          <cell r="E560" t="str">
            <v>Fournitures internes, Acide phosphorique 54% CL</v>
          </cell>
          <cell r="F560">
            <v>0</v>
          </cell>
          <cell r="L560">
            <v>0</v>
          </cell>
          <cell r="P560">
            <v>0</v>
          </cell>
          <cell r="V560">
            <v>0</v>
          </cell>
          <cell r="AI560">
            <v>0</v>
          </cell>
        </row>
        <row r="561">
          <cell r="D561" t="str">
            <v>2158</v>
          </cell>
          <cell r="E561" t="str">
            <v>Fournitures internes, Acide prétraité</v>
          </cell>
          <cell r="F561">
            <v>0</v>
          </cell>
          <cell r="L561">
            <v>0</v>
          </cell>
          <cell r="P561">
            <v>0</v>
          </cell>
          <cell r="V561">
            <v>0</v>
          </cell>
          <cell r="AI561">
            <v>0</v>
          </cell>
        </row>
        <row r="562">
          <cell r="D562" t="str">
            <v>2159</v>
          </cell>
          <cell r="E562" t="str">
            <v>Fournitures internes, Acide traité</v>
          </cell>
          <cell r="F562">
            <v>0</v>
          </cell>
          <cell r="L562">
            <v>0</v>
          </cell>
          <cell r="P562">
            <v>0</v>
          </cell>
          <cell r="V562">
            <v>0</v>
          </cell>
          <cell r="AI562">
            <v>0</v>
          </cell>
        </row>
        <row r="563">
          <cell r="D563" t="str">
            <v>2160</v>
          </cell>
          <cell r="E563" t="str">
            <v>Fournitures internes, Engrais TSP (Intermédiaires)</v>
          </cell>
          <cell r="F563">
            <v>0</v>
          </cell>
          <cell r="L563">
            <v>0</v>
          </cell>
          <cell r="P563">
            <v>0</v>
          </cell>
          <cell r="V563">
            <v>0</v>
          </cell>
          <cell r="AI563">
            <v>0</v>
          </cell>
        </row>
        <row r="564">
          <cell r="D564" t="str">
            <v>2161</v>
          </cell>
          <cell r="E564" t="str">
            <v>Fournitures internes, Engrais DAP (Intermédiaires)</v>
          </cell>
          <cell r="F564">
            <v>0</v>
          </cell>
          <cell r="L564">
            <v>0</v>
          </cell>
          <cell r="P564">
            <v>0</v>
          </cell>
          <cell r="V564">
            <v>0</v>
          </cell>
          <cell r="AI564">
            <v>0</v>
          </cell>
        </row>
        <row r="565">
          <cell r="D565" t="str">
            <v>2162</v>
          </cell>
          <cell r="E565" t="str">
            <v>Fournitures internes, Engrais MAP (Intermédiaires)</v>
          </cell>
          <cell r="F565">
            <v>0</v>
          </cell>
          <cell r="L565">
            <v>0</v>
          </cell>
          <cell r="P565">
            <v>0</v>
          </cell>
          <cell r="V565">
            <v>0</v>
          </cell>
          <cell r="AI565">
            <v>0</v>
          </cell>
        </row>
        <row r="566">
          <cell r="D566" t="str">
            <v>2163</v>
          </cell>
          <cell r="E566" t="str">
            <v>Fournitures internes, Engrais NPK (Intermédiaires)</v>
          </cell>
          <cell r="F566">
            <v>0</v>
          </cell>
          <cell r="L566">
            <v>0</v>
          </cell>
          <cell r="P566">
            <v>0</v>
          </cell>
          <cell r="V566">
            <v>0</v>
          </cell>
          <cell r="AI566">
            <v>0</v>
          </cell>
        </row>
        <row r="567">
          <cell r="D567" t="str">
            <v>2164</v>
          </cell>
          <cell r="E567" t="str">
            <v>Fournitures internes, Engrais ASP (Intermédiaires)</v>
          </cell>
          <cell r="F567">
            <v>0</v>
          </cell>
          <cell r="L567">
            <v>0</v>
          </cell>
          <cell r="P567">
            <v>0</v>
          </cell>
          <cell r="V567">
            <v>0</v>
          </cell>
          <cell r="AI567">
            <v>0</v>
          </cell>
        </row>
        <row r="568">
          <cell r="D568" t="str">
            <v>2169</v>
          </cell>
          <cell r="E568" t="str">
            <v>Fournitures internes, Engrais Autres formules (Intermédiaires)</v>
          </cell>
          <cell r="F568">
            <v>0</v>
          </cell>
          <cell r="L568">
            <v>0</v>
          </cell>
          <cell r="P568">
            <v>0</v>
          </cell>
          <cell r="V568">
            <v>0</v>
          </cell>
          <cell r="AI568">
            <v>0</v>
          </cell>
        </row>
        <row r="569">
          <cell r="D569" t="str">
            <v>2290</v>
          </cell>
          <cell r="E569" t="str">
            <v>Prestations même division, Restaurant</v>
          </cell>
          <cell r="F569">
            <v>0</v>
          </cell>
          <cell r="L569">
            <v>0</v>
          </cell>
          <cell r="P569">
            <v>0</v>
          </cell>
          <cell r="V569">
            <v>0</v>
          </cell>
          <cell r="AI569">
            <v>0</v>
          </cell>
        </row>
        <row r="570">
          <cell r="D570" t="str">
            <v>2600</v>
          </cell>
          <cell r="E570" t="str">
            <v>Solde des SA d'exécution</v>
          </cell>
          <cell r="F570">
            <v>0</v>
          </cell>
          <cell r="L570">
            <v>0</v>
          </cell>
          <cell r="P570">
            <v>0</v>
          </cell>
          <cell r="V570">
            <v>0</v>
          </cell>
          <cell r="AI570">
            <v>0</v>
          </cell>
        </row>
        <row r="571">
          <cell r="D571" t="str">
            <v>3170</v>
          </cell>
          <cell r="E571" t="str">
            <v>Cessions hors prix de revient, Soufre solide</v>
          </cell>
          <cell r="F571">
            <v>0</v>
          </cell>
          <cell r="L571">
            <v>0</v>
          </cell>
          <cell r="P571">
            <v>0</v>
          </cell>
          <cell r="V571">
            <v>0</v>
          </cell>
          <cell r="AI571">
            <v>0</v>
          </cell>
        </row>
        <row r="572">
          <cell r="D572" t="str">
            <v>3171</v>
          </cell>
          <cell r="E572" t="str">
            <v>Cessions hors prix de revient, Soufre liquide</v>
          </cell>
          <cell r="F572">
            <v>0</v>
          </cell>
          <cell r="L572">
            <v>0</v>
          </cell>
          <cell r="P572">
            <v>0</v>
          </cell>
          <cell r="V572">
            <v>0</v>
          </cell>
          <cell r="AI572">
            <v>0</v>
          </cell>
        </row>
        <row r="573">
          <cell r="D573" t="str">
            <v>3174</v>
          </cell>
          <cell r="E573" t="str">
            <v>Cessions hors prix de revient, Acide sulfurique</v>
          </cell>
          <cell r="F573">
            <v>0</v>
          </cell>
          <cell r="L573">
            <v>0</v>
          </cell>
          <cell r="P573">
            <v>0</v>
          </cell>
          <cell r="V573">
            <v>0</v>
          </cell>
          <cell r="AI573">
            <v>0</v>
          </cell>
        </row>
        <row r="574">
          <cell r="D574" t="str">
            <v>3220</v>
          </cell>
          <cell r="E574" t="str">
            <v>Cessions hors prix de revient, Matières auxiliaires</v>
          </cell>
          <cell r="F574">
            <v>0</v>
          </cell>
          <cell r="L574">
            <v>0</v>
          </cell>
          <cell r="P574">
            <v>0</v>
          </cell>
          <cell r="V574">
            <v>0</v>
          </cell>
          <cell r="AI574">
            <v>0</v>
          </cell>
        </row>
        <row r="575">
          <cell r="D575" t="str">
            <v>3231</v>
          </cell>
          <cell r="E575" t="str">
            <v>Cessions hors prix de revient, Mazout de chauffe</v>
          </cell>
          <cell r="F575">
            <v>0</v>
          </cell>
          <cell r="L575">
            <v>0</v>
          </cell>
          <cell r="P575">
            <v>0</v>
          </cell>
          <cell r="V575">
            <v>0</v>
          </cell>
          <cell r="AI575">
            <v>0</v>
          </cell>
        </row>
        <row r="576">
          <cell r="D576" t="str">
            <v>3232</v>
          </cell>
          <cell r="E576" t="str">
            <v>Cessions hors prix de revient, Essence légère</v>
          </cell>
          <cell r="F576">
            <v>0</v>
          </cell>
          <cell r="L576">
            <v>0</v>
          </cell>
          <cell r="P576">
            <v>0</v>
          </cell>
          <cell r="V576">
            <v>0</v>
          </cell>
          <cell r="AI576">
            <v>0</v>
          </cell>
        </row>
        <row r="577">
          <cell r="D577" t="str">
            <v>3233</v>
          </cell>
          <cell r="E577" t="str">
            <v>Cessions hors prix de revient, Gasoil</v>
          </cell>
          <cell r="F577">
            <v>0</v>
          </cell>
          <cell r="L577">
            <v>0</v>
          </cell>
          <cell r="P577">
            <v>0</v>
          </cell>
          <cell r="V577">
            <v>0</v>
          </cell>
          <cell r="AI577">
            <v>0</v>
          </cell>
        </row>
        <row r="578">
          <cell r="D578" t="str">
            <v>3234</v>
          </cell>
          <cell r="E578" t="str">
            <v>Cessions hors prix de revient, Lubrifiants</v>
          </cell>
          <cell r="F578">
            <v>0</v>
          </cell>
          <cell r="L578">
            <v>0</v>
          </cell>
          <cell r="P578">
            <v>0</v>
          </cell>
          <cell r="V578">
            <v>0</v>
          </cell>
          <cell r="AI578">
            <v>0</v>
          </cell>
        </row>
        <row r="579">
          <cell r="D579" t="str">
            <v>3236</v>
          </cell>
          <cell r="E579" t="str">
            <v>Cessions hors prix de revient, Coke de pétrole</v>
          </cell>
          <cell r="F579">
            <v>0</v>
          </cell>
          <cell r="L579">
            <v>0</v>
          </cell>
          <cell r="P579">
            <v>0</v>
          </cell>
          <cell r="V579">
            <v>0</v>
          </cell>
          <cell r="AI579">
            <v>0</v>
          </cell>
        </row>
        <row r="580">
          <cell r="D580" t="str">
            <v>3241</v>
          </cell>
          <cell r="E580" t="str">
            <v>Cessions hors prix de revient, Produits d'entretien</v>
          </cell>
          <cell r="F580">
            <v>0</v>
          </cell>
          <cell r="L580">
            <v>0</v>
          </cell>
          <cell r="P580">
            <v>0</v>
          </cell>
          <cell r="V580">
            <v>0</v>
          </cell>
          <cell r="AI580">
            <v>0</v>
          </cell>
        </row>
        <row r="581">
          <cell r="D581" t="str">
            <v>3242</v>
          </cell>
          <cell r="E581" t="str">
            <v>Cessions hors prix de revient, Produits de laboratoire</v>
          </cell>
          <cell r="F581">
            <v>0</v>
          </cell>
          <cell r="L581">
            <v>0</v>
          </cell>
          <cell r="P581">
            <v>0</v>
          </cell>
          <cell r="V581">
            <v>0</v>
          </cell>
          <cell r="AI581">
            <v>0</v>
          </cell>
        </row>
        <row r="582">
          <cell r="D582" t="str">
            <v>3243</v>
          </cell>
          <cell r="E582" t="str">
            <v>Cessions hors prix de revient, Aciers et gaz industriels</v>
          </cell>
          <cell r="F582">
            <v>0</v>
          </cell>
          <cell r="L582">
            <v>0</v>
          </cell>
          <cell r="P582">
            <v>0</v>
          </cell>
          <cell r="V582">
            <v>0</v>
          </cell>
          <cell r="AI582">
            <v>0</v>
          </cell>
        </row>
        <row r="583">
          <cell r="D583" t="str">
            <v>3244</v>
          </cell>
          <cell r="E583" t="str">
            <v>Cessions hors prix de revient, Habillement et produits de sécurité</v>
          </cell>
          <cell r="F583">
            <v>0</v>
          </cell>
          <cell r="L583">
            <v>0</v>
          </cell>
          <cell r="P583">
            <v>0</v>
          </cell>
          <cell r="V583">
            <v>0</v>
          </cell>
          <cell r="AI583">
            <v>0</v>
          </cell>
        </row>
        <row r="584">
          <cell r="D584" t="str">
            <v>3245</v>
          </cell>
          <cell r="E584" t="str">
            <v>Cessions hors prix de revient, Matériaux et produits de construction</v>
          </cell>
          <cell r="F584">
            <v>0</v>
          </cell>
          <cell r="L584">
            <v>0</v>
          </cell>
          <cell r="P584">
            <v>0</v>
          </cell>
          <cell r="V584">
            <v>0</v>
          </cell>
          <cell r="AI584">
            <v>0</v>
          </cell>
        </row>
        <row r="585">
          <cell r="D585" t="str">
            <v>3248</v>
          </cell>
          <cell r="E585" t="str">
            <v>Cessions hors prix de revient, Matières et fournitures consommables diverses</v>
          </cell>
          <cell r="F585">
            <v>0</v>
          </cell>
          <cell r="L585">
            <v>0</v>
          </cell>
          <cell r="P585">
            <v>0</v>
          </cell>
          <cell r="V585">
            <v>0</v>
          </cell>
          <cell r="AI585">
            <v>0</v>
          </cell>
        </row>
        <row r="586">
          <cell r="D586" t="str">
            <v>3251</v>
          </cell>
          <cell r="E586" t="str">
            <v>Cessions hors prix de revient, Courroies transporteuses</v>
          </cell>
          <cell r="F586">
            <v>0</v>
          </cell>
          <cell r="L586">
            <v>0</v>
          </cell>
          <cell r="P586">
            <v>0</v>
          </cell>
          <cell r="V586">
            <v>0</v>
          </cell>
          <cell r="AI586">
            <v>0</v>
          </cell>
        </row>
        <row r="587">
          <cell r="D587" t="str">
            <v>3253</v>
          </cell>
          <cell r="E587" t="str">
            <v>Cessions hors prix de revient, Rouleaux de convoyeurs</v>
          </cell>
          <cell r="F587">
            <v>0</v>
          </cell>
          <cell r="L587">
            <v>0</v>
          </cell>
          <cell r="P587">
            <v>0</v>
          </cell>
          <cell r="V587">
            <v>0</v>
          </cell>
          <cell r="AI587">
            <v>0</v>
          </cell>
        </row>
        <row r="588">
          <cell r="D588" t="str">
            <v>3254</v>
          </cell>
          <cell r="E588" t="str">
            <v>Cessions hors prix de revient, Lames d'usure de bulls et niveleuses</v>
          </cell>
          <cell r="F588">
            <v>0</v>
          </cell>
          <cell r="L588">
            <v>0</v>
          </cell>
          <cell r="P588">
            <v>0</v>
          </cell>
          <cell r="V588">
            <v>0</v>
          </cell>
          <cell r="AI588">
            <v>0</v>
          </cell>
        </row>
        <row r="589">
          <cell r="D589" t="str">
            <v>3255</v>
          </cell>
          <cell r="E589" t="str">
            <v>Cessions hors prix de revient, Tiges, drill - collar</v>
          </cell>
          <cell r="F589">
            <v>0</v>
          </cell>
          <cell r="L589">
            <v>0</v>
          </cell>
          <cell r="P589">
            <v>0</v>
          </cell>
          <cell r="V589">
            <v>0</v>
          </cell>
          <cell r="AI589">
            <v>0</v>
          </cell>
        </row>
        <row r="590">
          <cell r="D590" t="str">
            <v>3256</v>
          </cell>
          <cell r="E590" t="str">
            <v>Cessions hors prix de revient, Tricones de sondeuses</v>
          </cell>
          <cell r="F590">
            <v>0</v>
          </cell>
          <cell r="L590">
            <v>0</v>
          </cell>
          <cell r="P590">
            <v>0</v>
          </cell>
          <cell r="V590">
            <v>0</v>
          </cell>
          <cell r="AI590">
            <v>0</v>
          </cell>
        </row>
        <row r="591">
          <cell r="D591" t="str">
            <v>3259</v>
          </cell>
          <cell r="E591" t="str">
            <v>Cessions hors prix de revient, Câbles électriques</v>
          </cell>
          <cell r="F591">
            <v>0</v>
          </cell>
          <cell r="L591">
            <v>0</v>
          </cell>
          <cell r="P591">
            <v>0</v>
          </cell>
          <cell r="V591">
            <v>0</v>
          </cell>
          <cell r="AI591">
            <v>0</v>
          </cell>
        </row>
        <row r="592">
          <cell r="D592" t="str">
            <v>3261</v>
          </cell>
          <cell r="E592" t="str">
            <v>Cessions hors prix de revient, Pneumatiques pour engins lourds</v>
          </cell>
          <cell r="F592">
            <v>0</v>
          </cell>
          <cell r="L592">
            <v>0</v>
          </cell>
          <cell r="P592">
            <v>0</v>
          </cell>
          <cell r="V592">
            <v>0</v>
          </cell>
          <cell r="AI592">
            <v>0</v>
          </cell>
        </row>
        <row r="593">
          <cell r="D593" t="str">
            <v>3262</v>
          </cell>
          <cell r="E593" t="str">
            <v>Cessions hors prix de revient, Pneumatiques pour voitures légères</v>
          </cell>
          <cell r="F593">
            <v>0</v>
          </cell>
          <cell r="L593">
            <v>0</v>
          </cell>
          <cell r="P593">
            <v>0</v>
          </cell>
          <cell r="V593">
            <v>0</v>
          </cell>
          <cell r="AI593">
            <v>0</v>
          </cell>
        </row>
        <row r="594">
          <cell r="D594" t="str">
            <v>3263</v>
          </cell>
          <cell r="E594" t="str">
            <v>Cessions hors prix de revient, Pièces de rechange du matériel</v>
          </cell>
          <cell r="F594">
            <v>0</v>
          </cell>
          <cell r="L594">
            <v>0</v>
          </cell>
          <cell r="P594">
            <v>0</v>
          </cell>
          <cell r="V594">
            <v>0</v>
          </cell>
          <cell r="AI594">
            <v>0</v>
          </cell>
        </row>
        <row r="595">
          <cell r="D595" t="str">
            <v>3264</v>
          </cell>
          <cell r="E595" t="str">
            <v>Cessions hors prix de revient, Pièces détachés automobiles</v>
          </cell>
          <cell r="F595">
            <v>0</v>
          </cell>
          <cell r="L595">
            <v>0</v>
          </cell>
          <cell r="P595">
            <v>0</v>
          </cell>
          <cell r="V595">
            <v>0</v>
          </cell>
          <cell r="AI595">
            <v>0</v>
          </cell>
        </row>
        <row r="596">
          <cell r="D596" t="str">
            <v>3265</v>
          </cell>
          <cell r="E596" t="str">
            <v>Cessions hors prix de revient, Petit outillage</v>
          </cell>
          <cell r="F596">
            <v>0</v>
          </cell>
          <cell r="L596">
            <v>0</v>
          </cell>
          <cell r="P596">
            <v>0</v>
          </cell>
          <cell r="V596">
            <v>0</v>
          </cell>
          <cell r="AI596">
            <v>0</v>
          </cell>
        </row>
        <row r="597">
          <cell r="D597" t="str">
            <v>3270</v>
          </cell>
          <cell r="E597" t="str">
            <v>Cessions hors prix de revient, Fournitures de bureau</v>
          </cell>
          <cell r="F597">
            <v>0</v>
          </cell>
          <cell r="L597">
            <v>0</v>
          </cell>
          <cell r="P597">
            <v>0</v>
          </cell>
          <cell r="V597">
            <v>0</v>
          </cell>
          <cell r="AI597">
            <v>0</v>
          </cell>
        </row>
        <row r="598">
          <cell r="D598" t="str">
            <v>3330</v>
          </cell>
          <cell r="E598" t="str">
            <v>Cessions hors prix de revient, Emballages à usage mixte</v>
          </cell>
          <cell r="F598">
            <v>0</v>
          </cell>
          <cell r="L598">
            <v>0</v>
          </cell>
          <cell r="P598">
            <v>0</v>
          </cell>
          <cell r="V598">
            <v>0</v>
          </cell>
          <cell r="AI598">
            <v>0</v>
          </cell>
        </row>
        <row r="599">
          <cell r="D599" t="str">
            <v>4011</v>
          </cell>
          <cell r="E599" t="str">
            <v>Achats produits TAF</v>
          </cell>
          <cell r="F599">
            <v>0</v>
          </cell>
          <cell r="L599">
            <v>0</v>
          </cell>
          <cell r="P599">
            <v>0</v>
          </cell>
          <cell r="V599">
            <v>0</v>
          </cell>
          <cell r="AI599">
            <v>0</v>
          </cell>
        </row>
        <row r="600">
          <cell r="D600" t="str">
            <v>4012</v>
          </cell>
          <cell r="E600" t="str">
            <v>Rabais remises et ristournes obtenus sur achats produits TAF</v>
          </cell>
          <cell r="F600">
            <v>0</v>
          </cell>
          <cell r="L600">
            <v>0</v>
          </cell>
          <cell r="P600">
            <v>0</v>
          </cell>
          <cell r="V600">
            <v>0</v>
          </cell>
          <cell r="AI600">
            <v>0</v>
          </cell>
        </row>
        <row r="601">
          <cell r="D601" t="str">
            <v>4100</v>
          </cell>
          <cell r="E601" t="str">
            <v>Consommation, Phosphate Y1</v>
          </cell>
          <cell r="F601">
            <v>0</v>
          </cell>
          <cell r="L601">
            <v>0</v>
          </cell>
          <cell r="P601">
            <v>0</v>
          </cell>
          <cell r="V601">
            <v>0</v>
          </cell>
          <cell r="AI601">
            <v>0</v>
          </cell>
        </row>
        <row r="602">
          <cell r="D602" t="str">
            <v>4101</v>
          </cell>
          <cell r="E602" t="str">
            <v>Consommation, Phosphate Y12</v>
          </cell>
          <cell r="F602">
            <v>0</v>
          </cell>
          <cell r="L602">
            <v>0</v>
          </cell>
          <cell r="P602">
            <v>0</v>
          </cell>
          <cell r="V602">
            <v>0</v>
          </cell>
          <cell r="AI602">
            <v>0</v>
          </cell>
        </row>
        <row r="603">
          <cell r="D603" t="str">
            <v>4102</v>
          </cell>
          <cell r="E603" t="str">
            <v>Consommation, Phosphate Y2</v>
          </cell>
          <cell r="F603">
            <v>0</v>
          </cell>
          <cell r="L603">
            <v>0</v>
          </cell>
          <cell r="P603">
            <v>0</v>
          </cell>
          <cell r="V603">
            <v>0</v>
          </cell>
          <cell r="AI603">
            <v>0</v>
          </cell>
        </row>
        <row r="604">
          <cell r="D604" t="str">
            <v>4103</v>
          </cell>
          <cell r="E604" t="str">
            <v>Consommation, Phosphate Y21</v>
          </cell>
          <cell r="F604">
            <v>0</v>
          </cell>
          <cell r="L604">
            <v>0</v>
          </cell>
          <cell r="P604">
            <v>0</v>
          </cell>
          <cell r="V604">
            <v>0</v>
          </cell>
          <cell r="AI604">
            <v>0</v>
          </cell>
        </row>
        <row r="605">
          <cell r="D605" t="str">
            <v>4104</v>
          </cell>
          <cell r="E605" t="str">
            <v>Consommation, Phosphate Y23</v>
          </cell>
          <cell r="F605">
            <v>0</v>
          </cell>
          <cell r="L605">
            <v>0</v>
          </cell>
          <cell r="P605">
            <v>0</v>
          </cell>
          <cell r="V605">
            <v>0</v>
          </cell>
          <cell r="AI605">
            <v>0</v>
          </cell>
        </row>
        <row r="606">
          <cell r="D606" t="str">
            <v>4105</v>
          </cell>
          <cell r="E606" t="str">
            <v>Consommation, Phosphate noir séché YNS</v>
          </cell>
          <cell r="F606">
            <v>0</v>
          </cell>
          <cell r="L606">
            <v>0</v>
          </cell>
          <cell r="P606">
            <v>0</v>
          </cell>
          <cell r="V606">
            <v>0</v>
          </cell>
          <cell r="AI606">
            <v>0</v>
          </cell>
        </row>
        <row r="607">
          <cell r="D607" t="str">
            <v>4120</v>
          </cell>
          <cell r="E607" t="str">
            <v>Consommation, Phosphate BG humide standard</v>
          </cell>
          <cell r="F607">
            <v>0</v>
          </cell>
          <cell r="L607">
            <v>0</v>
          </cell>
          <cell r="P607">
            <v>0</v>
          </cell>
          <cell r="V607">
            <v>0</v>
          </cell>
          <cell r="AI607">
            <v>0</v>
          </cell>
        </row>
        <row r="608">
          <cell r="D608" t="str">
            <v>4121</v>
          </cell>
          <cell r="E608" t="str">
            <v>Consommation, Phosphate humide BG spécial</v>
          </cell>
          <cell r="F608">
            <v>0</v>
          </cell>
          <cell r="L608">
            <v>0</v>
          </cell>
          <cell r="P608">
            <v>0</v>
          </cell>
          <cell r="V608">
            <v>0</v>
          </cell>
          <cell r="AI608">
            <v>0</v>
          </cell>
        </row>
        <row r="609">
          <cell r="D609" t="str">
            <v>4122</v>
          </cell>
          <cell r="E609" t="str">
            <v>Consommation, Phosphate C4 BG sec</v>
          </cell>
          <cell r="F609">
            <v>0</v>
          </cell>
          <cell r="L609">
            <v>0</v>
          </cell>
          <cell r="P609">
            <v>0</v>
          </cell>
          <cell r="V609">
            <v>0</v>
          </cell>
          <cell r="AI609">
            <v>0</v>
          </cell>
        </row>
        <row r="610">
          <cell r="D610" t="str">
            <v>4123</v>
          </cell>
          <cell r="E610" t="str">
            <v>Consommation, Phosphate C4 BG humide criblé</v>
          </cell>
          <cell r="F610">
            <v>0</v>
          </cell>
          <cell r="L610">
            <v>0</v>
          </cell>
          <cell r="P610">
            <v>0</v>
          </cell>
          <cell r="V610">
            <v>0</v>
          </cell>
          <cell r="AI610">
            <v>0</v>
          </cell>
        </row>
        <row r="611">
          <cell r="D611" t="str">
            <v>4134</v>
          </cell>
          <cell r="E611" t="str">
            <v>Consommation, Phosphate Khouribga K02</v>
          </cell>
          <cell r="F611">
            <v>0</v>
          </cell>
          <cell r="L611">
            <v>0</v>
          </cell>
          <cell r="P611">
            <v>0</v>
          </cell>
          <cell r="V611">
            <v>0</v>
          </cell>
          <cell r="AI611">
            <v>0</v>
          </cell>
        </row>
        <row r="612">
          <cell r="D612" t="str">
            <v>4135</v>
          </cell>
          <cell r="E612" t="str">
            <v>Consommation, Phosphate Khouribga K09</v>
          </cell>
          <cell r="F612">
            <v>0</v>
          </cell>
          <cell r="L612">
            <v>0</v>
          </cell>
          <cell r="P612">
            <v>0</v>
          </cell>
          <cell r="V612">
            <v>0</v>
          </cell>
          <cell r="AI612">
            <v>0</v>
          </cell>
        </row>
        <row r="613">
          <cell r="D613" t="str">
            <v>4136</v>
          </cell>
          <cell r="E613" t="str">
            <v>Consommation, Phosphate Khouribga K09 semi-séché</v>
          </cell>
          <cell r="F613">
            <v>0</v>
          </cell>
          <cell r="L613">
            <v>0</v>
          </cell>
          <cell r="P613">
            <v>0</v>
          </cell>
          <cell r="V613">
            <v>0</v>
          </cell>
          <cell r="AI613">
            <v>0</v>
          </cell>
        </row>
        <row r="614">
          <cell r="D614" t="str">
            <v>4137</v>
          </cell>
          <cell r="E614" t="str">
            <v>Consommation, Phosphate Khouribga K10</v>
          </cell>
          <cell r="F614">
            <v>0</v>
          </cell>
          <cell r="L614">
            <v>0</v>
          </cell>
          <cell r="P614">
            <v>0</v>
          </cell>
          <cell r="V614">
            <v>0</v>
          </cell>
          <cell r="AI614">
            <v>0</v>
          </cell>
        </row>
        <row r="615">
          <cell r="D615" t="str">
            <v>4138</v>
          </cell>
          <cell r="E615" t="str">
            <v>Consommation, Phosphate Khouribga K12 GP</v>
          </cell>
          <cell r="F615">
            <v>0</v>
          </cell>
          <cell r="L615">
            <v>0</v>
          </cell>
          <cell r="P615">
            <v>0</v>
          </cell>
          <cell r="V615">
            <v>0</v>
          </cell>
          <cell r="AI615">
            <v>0</v>
          </cell>
        </row>
        <row r="616">
          <cell r="D616" t="str">
            <v>4139</v>
          </cell>
          <cell r="E616" t="str">
            <v>Consommation, Phosphate Khouribga K20 GP</v>
          </cell>
          <cell r="F616">
            <v>0</v>
          </cell>
          <cell r="L616">
            <v>0</v>
          </cell>
          <cell r="P616">
            <v>0</v>
          </cell>
          <cell r="V616">
            <v>0</v>
          </cell>
          <cell r="AI616">
            <v>0</v>
          </cell>
        </row>
        <row r="617">
          <cell r="D617" t="str">
            <v>4160</v>
          </cell>
          <cell r="E617" t="str">
            <v>Consommation, Phosphate Boucraa 80% BPL</v>
          </cell>
          <cell r="F617">
            <v>0</v>
          </cell>
          <cell r="L617">
            <v>0</v>
          </cell>
          <cell r="P617">
            <v>0</v>
          </cell>
          <cell r="V617">
            <v>0</v>
          </cell>
          <cell r="AI617">
            <v>0</v>
          </cell>
        </row>
        <row r="618">
          <cell r="D618" t="str">
            <v>4170</v>
          </cell>
          <cell r="E618" t="str">
            <v>Consommation, Soufre solide</v>
          </cell>
          <cell r="F618">
            <v>0</v>
          </cell>
          <cell r="L618">
            <v>0</v>
          </cell>
          <cell r="P618">
            <v>0</v>
          </cell>
          <cell r="V618">
            <v>0</v>
          </cell>
          <cell r="AI618">
            <v>0</v>
          </cell>
        </row>
        <row r="619">
          <cell r="D619" t="str">
            <v>4171</v>
          </cell>
          <cell r="E619" t="str">
            <v>Consommation, Soufre liquide</v>
          </cell>
          <cell r="F619">
            <v>0</v>
          </cell>
          <cell r="L619">
            <v>0</v>
          </cell>
          <cell r="P619">
            <v>0</v>
          </cell>
          <cell r="V619">
            <v>0</v>
          </cell>
          <cell r="AI619">
            <v>0</v>
          </cell>
        </row>
        <row r="620">
          <cell r="D620" t="str">
            <v>4172</v>
          </cell>
          <cell r="E620" t="str">
            <v>Consommation, KCl</v>
          </cell>
          <cell r="F620">
            <v>0</v>
          </cell>
          <cell r="L620">
            <v>0</v>
          </cell>
          <cell r="P620">
            <v>0</v>
          </cell>
          <cell r="V620">
            <v>0</v>
          </cell>
          <cell r="AI620">
            <v>0</v>
          </cell>
        </row>
        <row r="621">
          <cell r="D621" t="str">
            <v>4173</v>
          </cell>
          <cell r="E621" t="str">
            <v>Consommation, Ammoniac import</v>
          </cell>
          <cell r="F621">
            <v>0</v>
          </cell>
          <cell r="L621">
            <v>0</v>
          </cell>
          <cell r="P621">
            <v>0</v>
          </cell>
          <cell r="V621">
            <v>0</v>
          </cell>
          <cell r="AI621">
            <v>0</v>
          </cell>
        </row>
        <row r="622">
          <cell r="D622" t="str">
            <v>4174</v>
          </cell>
          <cell r="E622" t="str">
            <v>Consommation, Acide sulfurique import</v>
          </cell>
          <cell r="F622">
            <v>0</v>
          </cell>
          <cell r="L622">
            <v>0</v>
          </cell>
          <cell r="P622">
            <v>0</v>
          </cell>
          <cell r="V622">
            <v>0</v>
          </cell>
          <cell r="AI622">
            <v>0</v>
          </cell>
        </row>
        <row r="623">
          <cell r="D623" t="str">
            <v>4220</v>
          </cell>
          <cell r="E623" t="str">
            <v>Consommation, Matières auxiliaires</v>
          </cell>
          <cell r="F623">
            <v>0</v>
          </cell>
          <cell r="L623">
            <v>0</v>
          </cell>
          <cell r="P623">
            <v>0</v>
          </cell>
          <cell r="V623">
            <v>0</v>
          </cell>
          <cell r="AI623">
            <v>0</v>
          </cell>
        </row>
        <row r="624">
          <cell r="D624" t="str">
            <v>4231</v>
          </cell>
          <cell r="E624" t="str">
            <v>Consommation, Mazout de chauffe</v>
          </cell>
          <cell r="F624">
            <v>0</v>
          </cell>
          <cell r="L624">
            <v>0</v>
          </cell>
          <cell r="P624">
            <v>0</v>
          </cell>
          <cell r="V624">
            <v>0</v>
          </cell>
          <cell r="AI624">
            <v>0</v>
          </cell>
        </row>
        <row r="625">
          <cell r="D625" t="str">
            <v>4236</v>
          </cell>
          <cell r="E625" t="str">
            <v>Consommation, Coke de pétrole</v>
          </cell>
          <cell r="F625">
            <v>0</v>
          </cell>
          <cell r="L625">
            <v>0</v>
          </cell>
          <cell r="P625">
            <v>0</v>
          </cell>
          <cell r="V625">
            <v>0</v>
          </cell>
          <cell r="AI625">
            <v>0</v>
          </cell>
        </row>
        <row r="626">
          <cell r="D626" t="str">
            <v>4242</v>
          </cell>
          <cell r="E626" t="str">
            <v>Consommation, Produits de laboratoires</v>
          </cell>
          <cell r="F626">
            <v>0</v>
          </cell>
          <cell r="L626">
            <v>0</v>
          </cell>
          <cell r="P626">
            <v>0</v>
          </cell>
          <cell r="V626">
            <v>0</v>
          </cell>
          <cell r="AI626">
            <v>0</v>
          </cell>
        </row>
        <row r="627">
          <cell r="D627" t="str">
            <v>4330</v>
          </cell>
          <cell r="E627" t="str">
            <v>Consommation, Emballages à usage mixte</v>
          </cell>
          <cell r="F627">
            <v>0</v>
          </cell>
          <cell r="L627">
            <v>0</v>
          </cell>
          <cell r="P627">
            <v>0</v>
          </cell>
          <cell r="V627">
            <v>0</v>
          </cell>
          <cell r="AI627">
            <v>0</v>
          </cell>
        </row>
        <row r="628">
          <cell r="D628" t="str">
            <v>4512</v>
          </cell>
          <cell r="E628" t="str">
            <v>Fournitures non stockables - eau -</v>
          </cell>
          <cell r="F628">
            <v>0</v>
          </cell>
          <cell r="L628">
            <v>0</v>
          </cell>
          <cell r="P628">
            <v>0</v>
          </cell>
          <cell r="V628">
            <v>0</v>
          </cell>
          <cell r="AI628">
            <v>0</v>
          </cell>
        </row>
        <row r="629">
          <cell r="D629" t="str">
            <v>4515</v>
          </cell>
          <cell r="E629" t="str">
            <v>Fournitures non stockables - gaz de chauffe-</v>
          </cell>
          <cell r="F629">
            <v>0</v>
          </cell>
          <cell r="L629">
            <v>0</v>
          </cell>
          <cell r="P629">
            <v>0</v>
          </cell>
          <cell r="V629">
            <v>0</v>
          </cell>
          <cell r="AI629">
            <v>0</v>
          </cell>
        </row>
        <row r="630">
          <cell r="D630" t="str">
            <v>4610</v>
          </cell>
          <cell r="E630" t="str">
            <v>Travaux topographiques</v>
          </cell>
          <cell r="F630">
            <v>0</v>
          </cell>
          <cell r="L630">
            <v>0</v>
          </cell>
          <cell r="P630">
            <v>0</v>
          </cell>
          <cell r="V630">
            <v>0</v>
          </cell>
          <cell r="AI630">
            <v>0</v>
          </cell>
        </row>
        <row r="631">
          <cell r="D631" t="str">
            <v>4620</v>
          </cell>
          <cell r="E631" t="str">
            <v>Etudes</v>
          </cell>
          <cell r="F631">
            <v>0</v>
          </cell>
          <cell r="L631">
            <v>0</v>
          </cell>
          <cell r="P631">
            <v>0</v>
          </cell>
          <cell r="V631">
            <v>0</v>
          </cell>
          <cell r="AI631">
            <v>0</v>
          </cell>
        </row>
        <row r="632">
          <cell r="D632" t="str">
            <v>4630</v>
          </cell>
          <cell r="E632" t="str">
            <v>Prestations de service</v>
          </cell>
          <cell r="F632">
            <v>0</v>
          </cell>
          <cell r="L632">
            <v>0</v>
          </cell>
          <cell r="P632">
            <v>0</v>
          </cell>
          <cell r="V632">
            <v>0</v>
          </cell>
          <cell r="AI632">
            <v>0</v>
          </cell>
        </row>
        <row r="633">
          <cell r="D633" t="str">
            <v>4750</v>
          </cell>
          <cell r="E633" t="str">
            <v>Acide prétraité</v>
          </cell>
          <cell r="F633">
            <v>0</v>
          </cell>
          <cell r="L633">
            <v>0</v>
          </cell>
          <cell r="P633">
            <v>0</v>
          </cell>
          <cell r="V633">
            <v>0</v>
          </cell>
          <cell r="AI633">
            <v>0</v>
          </cell>
        </row>
        <row r="634">
          <cell r="D634" t="str">
            <v>4760</v>
          </cell>
          <cell r="E634" t="str">
            <v>Acide de retour</v>
          </cell>
          <cell r="F634">
            <v>0</v>
          </cell>
          <cell r="L634">
            <v>0</v>
          </cell>
          <cell r="P634">
            <v>0</v>
          </cell>
          <cell r="V634">
            <v>0</v>
          </cell>
          <cell r="AI634">
            <v>0</v>
          </cell>
        </row>
        <row r="635">
          <cell r="D635" t="str">
            <v>4920</v>
          </cell>
          <cell r="E635" t="str">
            <v>R.R.R.O sur achats de soufre</v>
          </cell>
          <cell r="F635">
            <v>0</v>
          </cell>
          <cell r="L635">
            <v>0</v>
          </cell>
          <cell r="P635">
            <v>0</v>
          </cell>
          <cell r="V635">
            <v>0</v>
          </cell>
          <cell r="AI635">
            <v>0</v>
          </cell>
        </row>
        <row r="636">
          <cell r="D636" t="str">
            <v>4922</v>
          </cell>
          <cell r="E636" t="str">
            <v>R.R.R.O sur achats de KCL</v>
          </cell>
          <cell r="F636">
            <v>0</v>
          </cell>
          <cell r="L636">
            <v>0</v>
          </cell>
          <cell r="P636">
            <v>0</v>
          </cell>
          <cell r="V636">
            <v>0</v>
          </cell>
          <cell r="AI636">
            <v>0</v>
          </cell>
        </row>
        <row r="637">
          <cell r="D637" t="str">
            <v>4923</v>
          </cell>
          <cell r="E637" t="str">
            <v>R.R.R.O sur achats d'ammoniac</v>
          </cell>
          <cell r="F637">
            <v>0</v>
          </cell>
          <cell r="L637">
            <v>0</v>
          </cell>
          <cell r="P637">
            <v>0</v>
          </cell>
          <cell r="V637">
            <v>0</v>
          </cell>
          <cell r="AI637">
            <v>0</v>
          </cell>
        </row>
        <row r="638">
          <cell r="D638" t="str">
            <v>4948</v>
          </cell>
          <cell r="E638" t="str">
            <v>R.R.R.O sur achats de matières et fournitures consonsommables</v>
          </cell>
          <cell r="F638">
            <v>0</v>
          </cell>
          <cell r="L638">
            <v>0</v>
          </cell>
          <cell r="P638">
            <v>0</v>
          </cell>
          <cell r="V638">
            <v>0</v>
          </cell>
          <cell r="AI638">
            <v>0</v>
          </cell>
        </row>
        <row r="639">
          <cell r="D639" t="str">
            <v>4970</v>
          </cell>
          <cell r="E639" t="str">
            <v>R.R.R.O sur achats d'emballages</v>
          </cell>
          <cell r="F639">
            <v>0</v>
          </cell>
          <cell r="L639">
            <v>0</v>
          </cell>
          <cell r="P639">
            <v>0</v>
          </cell>
          <cell r="V639">
            <v>0</v>
          </cell>
          <cell r="AI639">
            <v>0</v>
          </cell>
        </row>
        <row r="640">
          <cell r="D640" t="str">
            <v>4996</v>
          </cell>
          <cell r="E640" t="str">
            <v>R.R.R.O sur achats de travaux, études et prestations de service</v>
          </cell>
          <cell r="F640">
            <v>0</v>
          </cell>
          <cell r="L640">
            <v>0</v>
          </cell>
          <cell r="P640">
            <v>0</v>
          </cell>
          <cell r="V640">
            <v>0</v>
          </cell>
          <cell r="AI640">
            <v>0</v>
          </cell>
        </row>
        <row r="641">
          <cell r="D641" t="str">
            <v>5335</v>
          </cell>
          <cell r="E641" t="str">
            <v>Maintenance contrat annuel</v>
          </cell>
          <cell r="F641">
            <v>0</v>
          </cell>
          <cell r="L641">
            <v>0</v>
          </cell>
          <cell r="P641">
            <v>0</v>
          </cell>
          <cell r="V641">
            <v>0</v>
          </cell>
          <cell r="AI641">
            <v>0</v>
          </cell>
        </row>
        <row r="642">
          <cell r="D642" t="str">
            <v>5341</v>
          </cell>
          <cell r="E642" t="str">
            <v>Assurances multirisques</v>
          </cell>
          <cell r="F642">
            <v>0</v>
          </cell>
          <cell r="L642">
            <v>0</v>
          </cell>
          <cell r="P642">
            <v>0</v>
          </cell>
          <cell r="V642">
            <v>0</v>
          </cell>
          <cell r="AI642">
            <v>0</v>
          </cell>
        </row>
        <row r="643">
          <cell r="D643" t="str">
            <v>5350</v>
          </cell>
          <cell r="E643" t="str">
            <v>Rémunérations des agents makhzen mobile</v>
          </cell>
          <cell r="F643">
            <v>0</v>
          </cell>
          <cell r="L643">
            <v>0</v>
          </cell>
          <cell r="P643">
            <v>0</v>
          </cell>
          <cell r="V643">
            <v>0</v>
          </cell>
          <cell r="AI643">
            <v>0</v>
          </cell>
        </row>
        <row r="644">
          <cell r="D644" t="str">
            <v>5351</v>
          </cell>
          <cell r="E644" t="str">
            <v>Rémunérations du personnel occasionnel</v>
          </cell>
          <cell r="F644">
            <v>0</v>
          </cell>
          <cell r="L644">
            <v>0</v>
          </cell>
          <cell r="P644">
            <v>0</v>
          </cell>
          <cell r="V644">
            <v>0</v>
          </cell>
          <cell r="AI644">
            <v>0</v>
          </cell>
        </row>
        <row r="645">
          <cell r="D645" t="str">
            <v>5352</v>
          </cell>
          <cell r="E645" t="str">
            <v>Rémunérations du personnel intérimaire</v>
          </cell>
          <cell r="F645">
            <v>0</v>
          </cell>
          <cell r="L645">
            <v>0</v>
          </cell>
          <cell r="P645">
            <v>0</v>
          </cell>
          <cell r="V645">
            <v>0</v>
          </cell>
          <cell r="AI645">
            <v>0</v>
          </cell>
        </row>
        <row r="646">
          <cell r="D646" t="str">
            <v>5353</v>
          </cell>
          <cell r="E646" t="str">
            <v>Rémunerations du personnel dettaché</v>
          </cell>
          <cell r="F646">
            <v>0</v>
          </cell>
          <cell r="L646">
            <v>0</v>
          </cell>
          <cell r="P646">
            <v>0</v>
          </cell>
          <cell r="V646">
            <v>0</v>
          </cell>
          <cell r="AI646">
            <v>0</v>
          </cell>
        </row>
        <row r="647">
          <cell r="D647" t="str">
            <v>5361</v>
          </cell>
          <cell r="E647" t="str">
            <v>Commissions et courtages sur achats</v>
          </cell>
          <cell r="F647">
            <v>0</v>
          </cell>
          <cell r="L647">
            <v>0</v>
          </cell>
          <cell r="P647">
            <v>0</v>
          </cell>
          <cell r="V647">
            <v>0</v>
          </cell>
          <cell r="AI647">
            <v>0</v>
          </cell>
        </row>
        <row r="648">
          <cell r="D648" t="str">
            <v>5362</v>
          </cell>
          <cell r="E648" t="str">
            <v>Commissions et courtages sur ventes</v>
          </cell>
          <cell r="F648">
            <v>0</v>
          </cell>
          <cell r="L648">
            <v>0</v>
          </cell>
          <cell r="P648">
            <v>0</v>
          </cell>
          <cell r="V648">
            <v>0</v>
          </cell>
          <cell r="AI648">
            <v>0</v>
          </cell>
        </row>
        <row r="649">
          <cell r="D649" t="str">
            <v>5366</v>
          </cell>
          <cell r="E649" t="str">
            <v>Débours et intermédiaires</v>
          </cell>
          <cell r="F649">
            <v>0</v>
          </cell>
          <cell r="L649">
            <v>0</v>
          </cell>
          <cell r="P649">
            <v>0</v>
          </cell>
          <cell r="V649">
            <v>0</v>
          </cell>
          <cell r="AI649">
            <v>0</v>
          </cell>
        </row>
        <row r="650">
          <cell r="D650" t="str">
            <v>5367</v>
          </cell>
          <cell r="E650" t="str">
            <v>Frais d'actes et de contentieux</v>
          </cell>
          <cell r="F650">
            <v>0</v>
          </cell>
          <cell r="L650">
            <v>0</v>
          </cell>
          <cell r="P650">
            <v>0</v>
          </cell>
          <cell r="V650">
            <v>0</v>
          </cell>
          <cell r="AI650">
            <v>0</v>
          </cell>
        </row>
        <row r="651">
          <cell r="D651" t="str">
            <v>5378</v>
          </cell>
          <cell r="E651" t="str">
            <v>Autres redevances</v>
          </cell>
          <cell r="F651">
            <v>0</v>
          </cell>
          <cell r="L651">
            <v>0</v>
          </cell>
          <cell r="P651">
            <v>0</v>
          </cell>
          <cell r="V651">
            <v>0</v>
          </cell>
          <cell r="AI651">
            <v>0</v>
          </cell>
        </row>
        <row r="652">
          <cell r="D652" t="str">
            <v>5393</v>
          </cell>
          <cell r="E652" t="str">
            <v>Charges externes de façonnage GP</v>
          </cell>
          <cell r="F652">
            <v>0</v>
          </cell>
          <cell r="L652">
            <v>0</v>
          </cell>
          <cell r="P652">
            <v>0</v>
          </cell>
          <cell r="V652">
            <v>0</v>
          </cell>
          <cell r="AI652">
            <v>0</v>
          </cell>
        </row>
        <row r="653">
          <cell r="D653" t="str">
            <v>5413</v>
          </cell>
          <cell r="E653" t="str">
            <v>Recherches</v>
          </cell>
          <cell r="F653">
            <v>0</v>
          </cell>
          <cell r="L653">
            <v>0</v>
          </cell>
          <cell r="P653">
            <v>0</v>
          </cell>
          <cell r="V653">
            <v>0</v>
          </cell>
          <cell r="AI653">
            <v>0</v>
          </cell>
        </row>
        <row r="654">
          <cell r="D654" t="str">
            <v>5610</v>
          </cell>
          <cell r="E654" t="str">
            <v>Transports phosphates ONCF, Axe Khouribga-Jorf Lasfar</v>
          </cell>
          <cell r="F654">
            <v>0</v>
          </cell>
          <cell r="L654">
            <v>0</v>
          </cell>
          <cell r="P654">
            <v>0</v>
          </cell>
          <cell r="V654">
            <v>0</v>
          </cell>
          <cell r="AI654">
            <v>0</v>
          </cell>
        </row>
        <row r="655">
          <cell r="D655" t="str">
            <v>5611</v>
          </cell>
          <cell r="E655" t="str">
            <v>Transports phosphates ONCF, Axe Bni idir-Jorf Lasfar</v>
          </cell>
          <cell r="F655">
            <v>0</v>
          </cell>
          <cell r="L655">
            <v>0</v>
          </cell>
          <cell r="P655">
            <v>0</v>
          </cell>
          <cell r="V655">
            <v>0</v>
          </cell>
          <cell r="AI655">
            <v>0</v>
          </cell>
        </row>
        <row r="656">
          <cell r="D656" t="str">
            <v>5612</v>
          </cell>
          <cell r="E656" t="str">
            <v>Transports phosphates ONCF, Axe Daoui-Jorf lasfar</v>
          </cell>
          <cell r="F656">
            <v>0</v>
          </cell>
          <cell r="L656">
            <v>0</v>
          </cell>
          <cell r="P656">
            <v>0</v>
          </cell>
          <cell r="V656">
            <v>0</v>
          </cell>
          <cell r="AI656">
            <v>0</v>
          </cell>
        </row>
        <row r="657">
          <cell r="D657" t="str">
            <v>5613</v>
          </cell>
          <cell r="E657" t="str">
            <v>Transports phosphates ONCF, Axe Benguerir-Safi</v>
          </cell>
          <cell r="F657">
            <v>0</v>
          </cell>
          <cell r="L657">
            <v>0</v>
          </cell>
          <cell r="P657">
            <v>0</v>
          </cell>
          <cell r="V657">
            <v>0</v>
          </cell>
          <cell r="AI657">
            <v>0</v>
          </cell>
        </row>
        <row r="658">
          <cell r="D658" t="str">
            <v>5614</v>
          </cell>
          <cell r="E658" t="str">
            <v>Transports phosphates ONCF, Axe Benguerir-Jorf Lasfar</v>
          </cell>
          <cell r="F658">
            <v>0</v>
          </cell>
          <cell r="L658">
            <v>0</v>
          </cell>
          <cell r="P658">
            <v>0</v>
          </cell>
          <cell r="V658">
            <v>0</v>
          </cell>
          <cell r="AI658">
            <v>0</v>
          </cell>
        </row>
        <row r="659">
          <cell r="D659" t="str">
            <v>5615</v>
          </cell>
          <cell r="E659" t="str">
            <v>Transports phosphates ONCF, Axe Benguerir-Casa</v>
          </cell>
          <cell r="F659">
            <v>0</v>
          </cell>
          <cell r="L659">
            <v>0</v>
          </cell>
          <cell r="P659">
            <v>0</v>
          </cell>
          <cell r="V659">
            <v>0</v>
          </cell>
          <cell r="AI659">
            <v>0</v>
          </cell>
        </row>
        <row r="660">
          <cell r="D660" t="str">
            <v>5616</v>
          </cell>
          <cell r="E660" t="str">
            <v>Transports phosphates ONCF, Axe Youssoufia-Safi</v>
          </cell>
          <cell r="F660">
            <v>0</v>
          </cell>
          <cell r="L660">
            <v>0</v>
          </cell>
          <cell r="P660">
            <v>0</v>
          </cell>
          <cell r="V660">
            <v>0</v>
          </cell>
          <cell r="AI660">
            <v>0</v>
          </cell>
        </row>
        <row r="661">
          <cell r="D661" t="str">
            <v>5617</v>
          </cell>
          <cell r="E661" t="str">
            <v>Transports phosphates ONCF, Axe Youssoufia-Casa</v>
          </cell>
          <cell r="F661">
            <v>0</v>
          </cell>
          <cell r="L661">
            <v>0</v>
          </cell>
          <cell r="P661">
            <v>0</v>
          </cell>
          <cell r="V661">
            <v>0</v>
          </cell>
          <cell r="AI661">
            <v>0</v>
          </cell>
        </row>
        <row r="662">
          <cell r="D662" t="str">
            <v>5618</v>
          </cell>
          <cell r="E662" t="str">
            <v>Transports phosphates ONCF, Axe Youssoufia-Jorf lasfar</v>
          </cell>
          <cell r="F662">
            <v>0</v>
          </cell>
          <cell r="L662">
            <v>0</v>
          </cell>
          <cell r="P662">
            <v>0</v>
          </cell>
          <cell r="V662">
            <v>0</v>
          </cell>
          <cell r="AI662">
            <v>0</v>
          </cell>
        </row>
        <row r="663">
          <cell r="D663" t="str">
            <v>5619</v>
          </cell>
          <cell r="E663" t="str">
            <v>Transports phosphates ONCF, Axe Khouribga-Casa</v>
          </cell>
          <cell r="F663">
            <v>0</v>
          </cell>
          <cell r="L663">
            <v>0</v>
          </cell>
          <cell r="P663">
            <v>0</v>
          </cell>
          <cell r="V663">
            <v>0</v>
          </cell>
          <cell r="AI663">
            <v>0</v>
          </cell>
        </row>
        <row r="664">
          <cell r="D664" t="str">
            <v>5620</v>
          </cell>
          <cell r="E664" t="str">
            <v>Transports phosphates ONCF, Axe Daoui-Casa</v>
          </cell>
          <cell r="F664">
            <v>0</v>
          </cell>
          <cell r="L664">
            <v>0</v>
          </cell>
          <cell r="P664">
            <v>0</v>
          </cell>
          <cell r="V664">
            <v>0</v>
          </cell>
          <cell r="AI664">
            <v>0</v>
          </cell>
        </row>
        <row r="665">
          <cell r="D665" t="str">
            <v>5621</v>
          </cell>
          <cell r="E665" t="str">
            <v>Transports phosphates ONCF, Axe Bni idir-Casa</v>
          </cell>
          <cell r="F665">
            <v>0</v>
          </cell>
          <cell r="L665">
            <v>0</v>
          </cell>
          <cell r="P665">
            <v>0</v>
          </cell>
          <cell r="V665">
            <v>0</v>
          </cell>
          <cell r="AI665">
            <v>0</v>
          </cell>
        </row>
        <row r="666">
          <cell r="D666" t="str">
            <v>5622</v>
          </cell>
          <cell r="E666" t="str">
            <v>Transports phosphates ONCF, Axe Benguérir-Youssoufia</v>
          </cell>
          <cell r="F666">
            <v>0</v>
          </cell>
          <cell r="L666">
            <v>0</v>
          </cell>
          <cell r="P666">
            <v>0</v>
          </cell>
          <cell r="V666">
            <v>0</v>
          </cell>
          <cell r="AI666">
            <v>0</v>
          </cell>
        </row>
        <row r="667">
          <cell r="D667" t="str">
            <v>5623</v>
          </cell>
          <cell r="E667" t="str">
            <v>Brouettage ONCF, TSP-Export</v>
          </cell>
          <cell r="F667">
            <v>0</v>
          </cell>
          <cell r="L667">
            <v>0</v>
          </cell>
          <cell r="P667">
            <v>0</v>
          </cell>
          <cell r="V667">
            <v>0</v>
          </cell>
          <cell r="AI667">
            <v>0</v>
          </cell>
        </row>
        <row r="668">
          <cell r="D668" t="str">
            <v>5630</v>
          </cell>
          <cell r="E668" t="str">
            <v>Brouettage ONCF, P205-Export</v>
          </cell>
          <cell r="F668">
            <v>0</v>
          </cell>
          <cell r="L668">
            <v>0</v>
          </cell>
          <cell r="P668">
            <v>0</v>
          </cell>
          <cell r="V668">
            <v>0</v>
          </cell>
          <cell r="AI668">
            <v>0</v>
          </cell>
        </row>
        <row r="669">
          <cell r="D669" t="str">
            <v>5640</v>
          </cell>
          <cell r="E669" t="str">
            <v>Brouettage ONCF, MAP-Export</v>
          </cell>
          <cell r="F669">
            <v>0</v>
          </cell>
          <cell r="L669">
            <v>0</v>
          </cell>
          <cell r="P669">
            <v>0</v>
          </cell>
          <cell r="V669">
            <v>0</v>
          </cell>
          <cell r="AI669">
            <v>0</v>
          </cell>
        </row>
        <row r="670">
          <cell r="D670" t="str">
            <v>5641</v>
          </cell>
          <cell r="E670" t="str">
            <v>Brouittage ONCF-DAP-Export</v>
          </cell>
          <cell r="F670">
            <v>0</v>
          </cell>
          <cell r="L670">
            <v>0</v>
          </cell>
          <cell r="P670">
            <v>0</v>
          </cell>
          <cell r="V670">
            <v>0</v>
          </cell>
          <cell r="AI670">
            <v>0</v>
          </cell>
        </row>
        <row r="671">
          <cell r="D671" t="str">
            <v>5650</v>
          </cell>
          <cell r="E671" t="str">
            <v>Transport terrestre sur ventes</v>
          </cell>
          <cell r="F671">
            <v>0</v>
          </cell>
          <cell r="L671">
            <v>0</v>
          </cell>
          <cell r="P671">
            <v>0</v>
          </cell>
          <cell r="V671">
            <v>0</v>
          </cell>
          <cell r="AI671">
            <v>0</v>
          </cell>
        </row>
        <row r="672">
          <cell r="D672" t="str">
            <v>5651</v>
          </cell>
          <cell r="E672" t="str">
            <v>Transports maritimes sur ventes</v>
          </cell>
          <cell r="F672">
            <v>0</v>
          </cell>
          <cell r="L672">
            <v>0</v>
          </cell>
          <cell r="P672">
            <v>0</v>
          </cell>
          <cell r="V672">
            <v>0</v>
          </cell>
          <cell r="AI672">
            <v>0</v>
          </cell>
        </row>
        <row r="673">
          <cell r="D673" t="str">
            <v>5658</v>
          </cell>
          <cell r="E673" t="str">
            <v>Transport phosphates par cammion</v>
          </cell>
          <cell r="F673">
            <v>0</v>
          </cell>
          <cell r="L673">
            <v>0</v>
          </cell>
          <cell r="P673">
            <v>0</v>
          </cell>
          <cell r="V673">
            <v>0</v>
          </cell>
          <cell r="AI673">
            <v>0</v>
          </cell>
        </row>
        <row r="674">
          <cell r="D674" t="str">
            <v>5659</v>
          </cell>
          <cell r="E674" t="str">
            <v>Transport colonnie de vacances</v>
          </cell>
          <cell r="F674">
            <v>0</v>
          </cell>
          <cell r="L674">
            <v>0</v>
          </cell>
          <cell r="P674">
            <v>0</v>
          </cell>
          <cell r="V674">
            <v>0</v>
          </cell>
          <cell r="AI674">
            <v>0</v>
          </cell>
        </row>
        <row r="675">
          <cell r="D675" t="str">
            <v>5673</v>
          </cell>
          <cell r="E675" t="str">
            <v>Transport excursion et déplacemt activités sociales et sportives</v>
          </cell>
          <cell r="F675">
            <v>0</v>
          </cell>
          <cell r="L675">
            <v>0</v>
          </cell>
          <cell r="P675">
            <v>0</v>
          </cell>
          <cell r="V675">
            <v>0</v>
          </cell>
          <cell r="AI675">
            <v>0</v>
          </cell>
        </row>
        <row r="676">
          <cell r="D676" t="str">
            <v>5733</v>
          </cell>
          <cell r="E676" t="str">
            <v>Frais de demenagement du personnel</v>
          </cell>
          <cell r="F676">
            <v>0</v>
          </cell>
          <cell r="L676">
            <v>0</v>
          </cell>
          <cell r="P676">
            <v>0</v>
          </cell>
          <cell r="V676">
            <v>0</v>
          </cell>
          <cell r="AI676">
            <v>0</v>
          </cell>
        </row>
        <row r="677">
          <cell r="D677" t="str">
            <v>5741</v>
          </cell>
          <cell r="E677" t="str">
            <v>Annonces et insertions</v>
          </cell>
          <cell r="F677">
            <v>0</v>
          </cell>
          <cell r="L677">
            <v>0</v>
          </cell>
          <cell r="P677">
            <v>0</v>
          </cell>
          <cell r="V677">
            <v>0</v>
          </cell>
          <cell r="AI677">
            <v>0</v>
          </cell>
        </row>
        <row r="678">
          <cell r="D678" t="str">
            <v>5742</v>
          </cell>
          <cell r="E678" t="str">
            <v>Echantillons,catalogues et imprimes publicitaires</v>
          </cell>
          <cell r="F678">
            <v>0</v>
          </cell>
          <cell r="L678">
            <v>0</v>
          </cell>
          <cell r="P678">
            <v>0</v>
          </cell>
          <cell r="V678">
            <v>0</v>
          </cell>
          <cell r="AI678">
            <v>0</v>
          </cell>
        </row>
        <row r="679">
          <cell r="D679" t="str">
            <v>5743</v>
          </cell>
          <cell r="E679" t="str">
            <v>Foires et expositions</v>
          </cell>
          <cell r="F679">
            <v>0</v>
          </cell>
          <cell r="L679">
            <v>0</v>
          </cell>
          <cell r="P679">
            <v>0</v>
          </cell>
          <cell r="V679">
            <v>0</v>
          </cell>
          <cell r="AI679">
            <v>0</v>
          </cell>
        </row>
        <row r="680">
          <cell r="D680" t="str">
            <v>5744</v>
          </cell>
          <cell r="E680" t="str">
            <v>Primes de publicite</v>
          </cell>
          <cell r="F680">
            <v>0</v>
          </cell>
          <cell r="L680">
            <v>0</v>
          </cell>
          <cell r="P680">
            <v>0</v>
          </cell>
          <cell r="V680">
            <v>0</v>
          </cell>
          <cell r="AI680">
            <v>0</v>
          </cell>
        </row>
        <row r="681">
          <cell r="D681" t="str">
            <v>5746</v>
          </cell>
          <cell r="E681" t="str">
            <v>Publications</v>
          </cell>
          <cell r="F681">
            <v>0</v>
          </cell>
          <cell r="L681">
            <v>0</v>
          </cell>
          <cell r="P681">
            <v>0</v>
          </cell>
          <cell r="V681">
            <v>0</v>
          </cell>
          <cell r="AI681">
            <v>0</v>
          </cell>
        </row>
        <row r="682">
          <cell r="D682" t="str">
            <v>5748</v>
          </cell>
          <cell r="E682" t="str">
            <v>Autres charges de publicite et relations publiques</v>
          </cell>
          <cell r="F682">
            <v>0</v>
          </cell>
          <cell r="L682">
            <v>0</v>
          </cell>
          <cell r="P682">
            <v>0</v>
          </cell>
          <cell r="V682">
            <v>0</v>
          </cell>
          <cell r="AI682">
            <v>0</v>
          </cell>
        </row>
        <row r="683">
          <cell r="D683" t="str">
            <v>5751</v>
          </cell>
          <cell r="E683" t="str">
            <v>Affranchissements</v>
          </cell>
          <cell r="F683">
            <v>0</v>
          </cell>
          <cell r="L683">
            <v>0</v>
          </cell>
          <cell r="P683">
            <v>0</v>
          </cell>
          <cell r="V683">
            <v>0</v>
          </cell>
          <cell r="AI683">
            <v>0</v>
          </cell>
        </row>
        <row r="684">
          <cell r="D684" t="str">
            <v>5756</v>
          </cell>
          <cell r="E684" t="str">
            <v>Telex et telegrammes</v>
          </cell>
          <cell r="F684">
            <v>0</v>
          </cell>
          <cell r="L684">
            <v>0</v>
          </cell>
          <cell r="P684">
            <v>0</v>
          </cell>
          <cell r="V684">
            <v>0</v>
          </cell>
          <cell r="AI684">
            <v>0</v>
          </cell>
        </row>
        <row r="685">
          <cell r="D685" t="str">
            <v>5757</v>
          </cell>
          <cell r="E685" t="str">
            <v>Abonnement internet</v>
          </cell>
          <cell r="F685">
            <v>0</v>
          </cell>
          <cell r="L685">
            <v>0</v>
          </cell>
          <cell r="P685">
            <v>0</v>
          </cell>
          <cell r="V685">
            <v>0</v>
          </cell>
          <cell r="AI685">
            <v>0</v>
          </cell>
        </row>
        <row r="686">
          <cell r="D686" t="str">
            <v>5761</v>
          </cell>
          <cell r="E686" t="str">
            <v>Cotisations</v>
          </cell>
          <cell r="F686">
            <v>0</v>
          </cell>
          <cell r="L686">
            <v>0</v>
          </cell>
          <cell r="P686">
            <v>0</v>
          </cell>
          <cell r="V686">
            <v>0</v>
          </cell>
          <cell r="AI686">
            <v>0</v>
          </cell>
        </row>
        <row r="687">
          <cell r="D687" t="str">
            <v>5762</v>
          </cell>
          <cell r="E687" t="str">
            <v>Dons</v>
          </cell>
          <cell r="F687">
            <v>0</v>
          </cell>
          <cell r="L687">
            <v>0</v>
          </cell>
          <cell r="P687">
            <v>0</v>
          </cell>
          <cell r="V687">
            <v>0</v>
          </cell>
          <cell r="AI687">
            <v>0</v>
          </cell>
        </row>
        <row r="688">
          <cell r="D688" t="str">
            <v>5771</v>
          </cell>
          <cell r="E688" t="str">
            <v>Frais d'achat et de vente de titres</v>
          </cell>
          <cell r="F688">
            <v>0</v>
          </cell>
          <cell r="L688">
            <v>0</v>
          </cell>
          <cell r="P688">
            <v>0</v>
          </cell>
          <cell r="V688">
            <v>0</v>
          </cell>
          <cell r="AI688">
            <v>0</v>
          </cell>
        </row>
        <row r="689">
          <cell r="D689" t="str">
            <v>5772</v>
          </cell>
          <cell r="E689" t="str">
            <v>Frais sur effets de commerce</v>
          </cell>
          <cell r="F689">
            <v>0</v>
          </cell>
          <cell r="L689">
            <v>0</v>
          </cell>
          <cell r="P689">
            <v>0</v>
          </cell>
          <cell r="V689">
            <v>0</v>
          </cell>
          <cell r="AI689">
            <v>0</v>
          </cell>
        </row>
        <row r="690">
          <cell r="D690" t="str">
            <v>5773</v>
          </cell>
          <cell r="E690" t="str">
            <v>Frais et commissions sur CREDOC</v>
          </cell>
          <cell r="F690">
            <v>0</v>
          </cell>
          <cell r="L690">
            <v>0</v>
          </cell>
          <cell r="P690">
            <v>0</v>
          </cell>
          <cell r="V690">
            <v>0</v>
          </cell>
          <cell r="AI690">
            <v>0</v>
          </cell>
        </row>
        <row r="691">
          <cell r="D691" t="str">
            <v>5774</v>
          </cell>
          <cell r="E691" t="str">
            <v>Frais et commissions sur REMDOC</v>
          </cell>
          <cell r="F691">
            <v>0</v>
          </cell>
          <cell r="L691">
            <v>0</v>
          </cell>
          <cell r="P691">
            <v>0</v>
          </cell>
          <cell r="V691">
            <v>0</v>
          </cell>
          <cell r="AI691">
            <v>0</v>
          </cell>
        </row>
        <row r="692">
          <cell r="D692" t="str">
            <v>5775</v>
          </cell>
          <cell r="E692" t="str">
            <v>Frais et commissions sur opérations effectuées selon les conditions générales d'achat</v>
          </cell>
          <cell r="F692">
            <v>0</v>
          </cell>
          <cell r="L692">
            <v>0</v>
          </cell>
          <cell r="P692">
            <v>0</v>
          </cell>
          <cell r="V692">
            <v>0</v>
          </cell>
          <cell r="AI692">
            <v>0</v>
          </cell>
        </row>
        <row r="693">
          <cell r="D693" t="str">
            <v>5776</v>
          </cell>
          <cell r="E693" t="str">
            <v>Frais sur cautions bancaires</v>
          </cell>
          <cell r="F693">
            <v>0</v>
          </cell>
          <cell r="L693">
            <v>0</v>
          </cell>
          <cell r="P693">
            <v>0</v>
          </cell>
          <cell r="V693">
            <v>0</v>
          </cell>
          <cell r="AI693">
            <v>0</v>
          </cell>
        </row>
        <row r="694">
          <cell r="D694" t="str">
            <v>5778</v>
          </cell>
          <cell r="E694" t="str">
            <v>Autres services bancaires</v>
          </cell>
          <cell r="F694">
            <v>0</v>
          </cell>
          <cell r="L694">
            <v>0</v>
          </cell>
          <cell r="P694">
            <v>0</v>
          </cell>
          <cell r="V694">
            <v>0</v>
          </cell>
          <cell r="AI694">
            <v>0</v>
          </cell>
        </row>
        <row r="695">
          <cell r="D695" t="str">
            <v>6111</v>
          </cell>
          <cell r="E695" t="str">
            <v>Taxe urbaine</v>
          </cell>
          <cell r="F695">
            <v>0</v>
          </cell>
          <cell r="L695">
            <v>0</v>
          </cell>
          <cell r="P695">
            <v>0</v>
          </cell>
          <cell r="V695">
            <v>0</v>
          </cell>
          <cell r="AI695">
            <v>0</v>
          </cell>
        </row>
        <row r="696">
          <cell r="D696" t="str">
            <v>6112</v>
          </cell>
          <cell r="E696" t="str">
            <v>Patente</v>
          </cell>
          <cell r="F696">
            <v>0</v>
          </cell>
          <cell r="L696">
            <v>0</v>
          </cell>
          <cell r="P696">
            <v>0</v>
          </cell>
          <cell r="V696">
            <v>0</v>
          </cell>
          <cell r="AI696">
            <v>0</v>
          </cell>
        </row>
        <row r="697">
          <cell r="D697" t="str">
            <v>6115</v>
          </cell>
          <cell r="E697" t="str">
            <v>Taxes locales</v>
          </cell>
          <cell r="F697">
            <v>0</v>
          </cell>
          <cell r="L697">
            <v>0</v>
          </cell>
          <cell r="P697">
            <v>0</v>
          </cell>
          <cell r="V697">
            <v>0</v>
          </cell>
          <cell r="AI697">
            <v>0</v>
          </cell>
        </row>
        <row r="698">
          <cell r="D698" t="str">
            <v>6116</v>
          </cell>
          <cell r="E698" t="str">
            <v>Redevance sur l'exploitation des phosphates</v>
          </cell>
          <cell r="F698">
            <v>0</v>
          </cell>
          <cell r="L698">
            <v>0</v>
          </cell>
          <cell r="P698">
            <v>0</v>
          </cell>
          <cell r="V698">
            <v>0</v>
          </cell>
          <cell r="AI698">
            <v>0</v>
          </cell>
        </row>
        <row r="699">
          <cell r="D699" t="str">
            <v>6171</v>
          </cell>
          <cell r="E699" t="str">
            <v>Droits d'enregistrement et timbres</v>
          </cell>
          <cell r="F699">
            <v>0</v>
          </cell>
          <cell r="L699">
            <v>0</v>
          </cell>
          <cell r="P699">
            <v>0</v>
          </cell>
          <cell r="V699">
            <v>0</v>
          </cell>
          <cell r="AI699">
            <v>0</v>
          </cell>
        </row>
        <row r="700">
          <cell r="D700" t="str">
            <v>6172</v>
          </cell>
          <cell r="E700" t="str">
            <v>Droits d'enregistrement des actes et marchés</v>
          </cell>
          <cell r="F700">
            <v>0</v>
          </cell>
          <cell r="L700">
            <v>0</v>
          </cell>
          <cell r="P700">
            <v>0</v>
          </cell>
          <cell r="V700">
            <v>0</v>
          </cell>
          <cell r="AI700">
            <v>0</v>
          </cell>
        </row>
        <row r="701">
          <cell r="D701" t="str">
            <v>6173</v>
          </cell>
          <cell r="E701" t="str">
            <v>Taxes sur les véhicules</v>
          </cell>
          <cell r="F701">
            <v>0</v>
          </cell>
          <cell r="L701">
            <v>0</v>
          </cell>
          <cell r="P701">
            <v>0</v>
          </cell>
          <cell r="V701">
            <v>0</v>
          </cell>
          <cell r="AI701">
            <v>0</v>
          </cell>
        </row>
        <row r="702">
          <cell r="D702" t="str">
            <v>6174</v>
          </cell>
          <cell r="E702" t="str">
            <v>Taxes sur les services</v>
          </cell>
          <cell r="F702">
            <v>0</v>
          </cell>
          <cell r="L702">
            <v>0</v>
          </cell>
          <cell r="P702">
            <v>0</v>
          </cell>
          <cell r="V702">
            <v>0</v>
          </cell>
          <cell r="AI702">
            <v>0</v>
          </cell>
        </row>
        <row r="703">
          <cell r="D703" t="str">
            <v>6175</v>
          </cell>
          <cell r="E703" t="str">
            <v>Taxes à l'exportation</v>
          </cell>
          <cell r="F703">
            <v>0</v>
          </cell>
          <cell r="L703">
            <v>0</v>
          </cell>
          <cell r="P703">
            <v>0</v>
          </cell>
          <cell r="V703">
            <v>0</v>
          </cell>
          <cell r="AI703">
            <v>0</v>
          </cell>
        </row>
        <row r="704">
          <cell r="D704" t="str">
            <v>6176</v>
          </cell>
          <cell r="E704" t="str">
            <v>Impôts et taxes exigibles à l'étranger</v>
          </cell>
          <cell r="F704">
            <v>0</v>
          </cell>
          <cell r="L704">
            <v>0</v>
          </cell>
          <cell r="P704">
            <v>0</v>
          </cell>
          <cell r="V704">
            <v>0</v>
          </cell>
          <cell r="AI704">
            <v>0</v>
          </cell>
        </row>
        <row r="705">
          <cell r="D705" t="str">
            <v>6177</v>
          </cell>
          <cell r="E705" t="str">
            <v>Impôts et taxes directs</v>
          </cell>
          <cell r="F705">
            <v>0</v>
          </cell>
          <cell r="L705">
            <v>0</v>
          </cell>
          <cell r="P705">
            <v>0</v>
          </cell>
          <cell r="V705">
            <v>0</v>
          </cell>
          <cell r="AI705">
            <v>0</v>
          </cell>
        </row>
        <row r="706">
          <cell r="D706" t="str">
            <v>6178</v>
          </cell>
          <cell r="E706" t="str">
            <v>Autres impôts, taxes et droits assimilés</v>
          </cell>
          <cell r="F706">
            <v>0</v>
          </cell>
          <cell r="L706">
            <v>0</v>
          </cell>
          <cell r="P706">
            <v>0</v>
          </cell>
          <cell r="V706">
            <v>0</v>
          </cell>
          <cell r="AI706">
            <v>0</v>
          </cell>
        </row>
        <row r="707">
          <cell r="D707" t="str">
            <v>6282</v>
          </cell>
          <cell r="E707" t="str">
            <v>Pertes sur créances irrécouvrables</v>
          </cell>
          <cell r="F707">
            <v>0</v>
          </cell>
          <cell r="L707">
            <v>0</v>
          </cell>
          <cell r="P707">
            <v>0</v>
          </cell>
          <cell r="V707">
            <v>0</v>
          </cell>
          <cell r="AI707">
            <v>0</v>
          </cell>
        </row>
        <row r="708">
          <cell r="D708" t="str">
            <v>6283</v>
          </cell>
          <cell r="E708" t="str">
            <v>Rejets de TVA liquidées</v>
          </cell>
          <cell r="F708">
            <v>0</v>
          </cell>
          <cell r="L708">
            <v>0</v>
          </cell>
          <cell r="P708">
            <v>0</v>
          </cell>
          <cell r="V708">
            <v>0</v>
          </cell>
          <cell r="AI708">
            <v>0</v>
          </cell>
        </row>
        <row r="709">
          <cell r="D709" t="str">
            <v>6284</v>
          </cell>
          <cell r="E709" t="str">
            <v>Prorata de déductions sur TVA à récupérer</v>
          </cell>
          <cell r="F709">
            <v>0</v>
          </cell>
          <cell r="L709">
            <v>0</v>
          </cell>
          <cell r="P709">
            <v>0</v>
          </cell>
          <cell r="V709">
            <v>0</v>
          </cell>
          <cell r="AI709">
            <v>0</v>
          </cell>
        </row>
        <row r="710">
          <cell r="D710" t="str">
            <v>6286</v>
          </cell>
          <cell r="E710" t="str">
            <v>Transferts de profits sur opérations faites en commun</v>
          </cell>
          <cell r="F710">
            <v>0</v>
          </cell>
          <cell r="L710">
            <v>0</v>
          </cell>
          <cell r="P710">
            <v>0</v>
          </cell>
          <cell r="V710">
            <v>0</v>
          </cell>
          <cell r="AI710">
            <v>0</v>
          </cell>
        </row>
        <row r="711">
          <cell r="D711" t="str">
            <v>6288</v>
          </cell>
          <cell r="E711" t="str">
            <v>Autres charges d'exploitation</v>
          </cell>
          <cell r="F711">
            <v>0</v>
          </cell>
          <cell r="L711">
            <v>0</v>
          </cell>
          <cell r="P711">
            <v>0</v>
          </cell>
          <cell r="V711">
            <v>0</v>
          </cell>
          <cell r="AI711">
            <v>0</v>
          </cell>
        </row>
        <row r="712">
          <cell r="D712" t="str">
            <v>6385</v>
          </cell>
          <cell r="E712" t="str">
            <v>D.E.P. pour risques et charges durables</v>
          </cell>
          <cell r="F712">
            <v>0</v>
          </cell>
          <cell r="L712">
            <v>0</v>
          </cell>
          <cell r="P712">
            <v>0</v>
          </cell>
          <cell r="V712">
            <v>0</v>
          </cell>
          <cell r="AI712">
            <v>0</v>
          </cell>
        </row>
        <row r="713">
          <cell r="D713" t="str">
            <v>6386</v>
          </cell>
          <cell r="E713" t="str">
            <v>D.E.P. pour risques et charges momentanes</v>
          </cell>
          <cell r="F713">
            <v>0</v>
          </cell>
          <cell r="L713">
            <v>0</v>
          </cell>
          <cell r="P713">
            <v>0</v>
          </cell>
          <cell r="V713">
            <v>0</v>
          </cell>
          <cell r="AI713">
            <v>0</v>
          </cell>
        </row>
        <row r="714">
          <cell r="D714" t="str">
            <v>6387</v>
          </cell>
          <cell r="E714" t="str">
            <v>D.E.P. pour dépréciation des stocks</v>
          </cell>
          <cell r="F714">
            <v>0</v>
          </cell>
          <cell r="L714">
            <v>0</v>
          </cell>
          <cell r="P714">
            <v>0</v>
          </cell>
          <cell r="V714">
            <v>0</v>
          </cell>
          <cell r="AI714">
            <v>0</v>
          </cell>
        </row>
        <row r="715">
          <cell r="D715" t="str">
            <v>6388</v>
          </cell>
          <cell r="E715" t="str">
            <v>D.E.P. des créances de l'actif circulant</v>
          </cell>
          <cell r="F715">
            <v>0</v>
          </cell>
          <cell r="L715">
            <v>0</v>
          </cell>
          <cell r="P715">
            <v>0</v>
          </cell>
          <cell r="V715">
            <v>0</v>
          </cell>
          <cell r="AI715">
            <v>0</v>
          </cell>
        </row>
        <row r="716">
          <cell r="D716" t="str">
            <v>6391</v>
          </cell>
          <cell r="E716" t="str">
            <v>D.E.A. des exer. antérieurs</v>
          </cell>
          <cell r="F716">
            <v>0</v>
          </cell>
          <cell r="L716">
            <v>0</v>
          </cell>
          <cell r="P716">
            <v>0</v>
          </cell>
          <cell r="V716">
            <v>0</v>
          </cell>
          <cell r="AI716">
            <v>0</v>
          </cell>
        </row>
        <row r="717">
          <cell r="D717" t="str">
            <v>6411</v>
          </cell>
          <cell r="E717" t="str">
            <v>Intérêts des emprunts des crédit financiers</v>
          </cell>
          <cell r="F717">
            <v>0</v>
          </cell>
          <cell r="L717">
            <v>0</v>
          </cell>
          <cell r="P717">
            <v>0</v>
          </cell>
          <cell r="V717">
            <v>0</v>
          </cell>
          <cell r="AI717">
            <v>0</v>
          </cell>
        </row>
        <row r="718">
          <cell r="D718" t="str">
            <v>6413</v>
          </cell>
          <cell r="E718" t="str">
            <v>Intérêts des emprunts des crédits acheteurs</v>
          </cell>
          <cell r="F718">
            <v>0</v>
          </cell>
          <cell r="L718">
            <v>0</v>
          </cell>
          <cell r="P718">
            <v>0</v>
          </cell>
          <cell r="V718">
            <v>0</v>
          </cell>
          <cell r="AI718">
            <v>0</v>
          </cell>
        </row>
        <row r="719">
          <cell r="D719" t="str">
            <v>6414</v>
          </cell>
          <cell r="E719" t="str">
            <v>Intérêts des emprunts des crédits gouvernementaux</v>
          </cell>
          <cell r="F719">
            <v>0</v>
          </cell>
          <cell r="L719">
            <v>0</v>
          </cell>
          <cell r="P719">
            <v>0</v>
          </cell>
          <cell r="V719">
            <v>0</v>
          </cell>
          <cell r="AI719">
            <v>0</v>
          </cell>
        </row>
        <row r="720">
          <cell r="D720" t="str">
            <v>6421</v>
          </cell>
          <cell r="E720" t="str">
            <v>Intérêts des crédits financiers rééchelonnés</v>
          </cell>
          <cell r="F720">
            <v>0</v>
          </cell>
          <cell r="L720">
            <v>0</v>
          </cell>
          <cell r="P720">
            <v>0</v>
          </cell>
          <cell r="V720">
            <v>0</v>
          </cell>
          <cell r="AI720">
            <v>0</v>
          </cell>
        </row>
        <row r="721">
          <cell r="D721" t="str">
            <v>6422</v>
          </cell>
          <cell r="E721" t="str">
            <v>Intérêts des crédits acheteurs rééchelonnés</v>
          </cell>
          <cell r="F721">
            <v>0</v>
          </cell>
          <cell r="L721">
            <v>0</v>
          </cell>
          <cell r="P721">
            <v>0</v>
          </cell>
          <cell r="V721">
            <v>0</v>
          </cell>
          <cell r="AI721">
            <v>0</v>
          </cell>
        </row>
        <row r="722">
          <cell r="D722" t="str">
            <v>6423</v>
          </cell>
          <cell r="E722" t="str">
            <v>Intérêts des emprunts des charges rééchelonnées à compenser en MAD</v>
          </cell>
          <cell r="F722">
            <v>0</v>
          </cell>
          <cell r="L722">
            <v>0</v>
          </cell>
          <cell r="P722">
            <v>0</v>
          </cell>
          <cell r="V722">
            <v>0</v>
          </cell>
          <cell r="AI722">
            <v>0</v>
          </cell>
        </row>
        <row r="723">
          <cell r="D723" t="str">
            <v>6424</v>
          </cell>
          <cell r="E723" t="str">
            <v>Intérêts des dettes rattachées à des participations</v>
          </cell>
          <cell r="F723">
            <v>0</v>
          </cell>
          <cell r="L723">
            <v>0</v>
          </cell>
          <cell r="P723">
            <v>0</v>
          </cell>
          <cell r="V723">
            <v>0</v>
          </cell>
          <cell r="AI723">
            <v>0</v>
          </cell>
        </row>
        <row r="724">
          <cell r="D724" t="str">
            <v>6425</v>
          </cell>
          <cell r="E724" t="str">
            <v>Intérêts des comptes ordinaires</v>
          </cell>
          <cell r="F724">
            <v>0</v>
          </cell>
          <cell r="L724">
            <v>0</v>
          </cell>
          <cell r="P724">
            <v>0</v>
          </cell>
          <cell r="V724">
            <v>0</v>
          </cell>
          <cell r="AI724">
            <v>0</v>
          </cell>
        </row>
        <row r="725">
          <cell r="D725" t="str">
            <v>6426</v>
          </cell>
          <cell r="E725" t="str">
            <v>Intérêts bancaires sur opérations de financements comptes ordinaires</v>
          </cell>
          <cell r="F725">
            <v>0</v>
          </cell>
          <cell r="L725">
            <v>0</v>
          </cell>
          <cell r="P725">
            <v>0</v>
          </cell>
          <cell r="V725">
            <v>0</v>
          </cell>
          <cell r="AI725">
            <v>0</v>
          </cell>
        </row>
        <row r="726">
          <cell r="D726" t="str">
            <v>6427</v>
          </cell>
          <cell r="E726" t="str">
            <v>Intérêts de capitalisation caisse de retraite</v>
          </cell>
          <cell r="F726">
            <v>0</v>
          </cell>
          <cell r="L726">
            <v>0</v>
          </cell>
          <cell r="P726">
            <v>0</v>
          </cell>
          <cell r="V726">
            <v>0</v>
          </cell>
          <cell r="AI726">
            <v>0</v>
          </cell>
        </row>
        <row r="727">
          <cell r="D727" t="str">
            <v>6428</v>
          </cell>
          <cell r="E727" t="str">
            <v>Remises sur crédits des quittances douanières</v>
          </cell>
          <cell r="F727">
            <v>0</v>
          </cell>
          <cell r="L727">
            <v>0</v>
          </cell>
          <cell r="P727">
            <v>0</v>
          </cell>
          <cell r="V727">
            <v>0</v>
          </cell>
          <cell r="AI727">
            <v>0</v>
          </cell>
        </row>
        <row r="728">
          <cell r="D728" t="str">
            <v>6456</v>
          </cell>
          <cell r="E728" t="str">
            <v>Pertes de change sur remboursement des emprunts</v>
          </cell>
          <cell r="F728">
            <v>0</v>
          </cell>
          <cell r="L728">
            <v>0</v>
          </cell>
          <cell r="P728">
            <v>0</v>
          </cell>
          <cell r="V728">
            <v>0</v>
          </cell>
          <cell r="AI728">
            <v>0</v>
          </cell>
        </row>
        <row r="729">
          <cell r="D729" t="str">
            <v>6457</v>
          </cell>
          <cell r="E729" t="str">
            <v>Pertes de change sur opérations de trésorerie</v>
          </cell>
          <cell r="F729">
            <v>0</v>
          </cell>
          <cell r="L729">
            <v>0</v>
          </cell>
          <cell r="P729">
            <v>0</v>
          </cell>
          <cell r="V729">
            <v>0</v>
          </cell>
          <cell r="AI729">
            <v>0</v>
          </cell>
        </row>
        <row r="730">
          <cell r="D730" t="str">
            <v>6458</v>
          </cell>
          <cell r="E730" t="str">
            <v>Pertes de change sur opérations commerciales</v>
          </cell>
          <cell r="F730">
            <v>0</v>
          </cell>
          <cell r="L730">
            <v>0</v>
          </cell>
          <cell r="P730">
            <v>0</v>
          </cell>
          <cell r="V730">
            <v>0</v>
          </cell>
          <cell r="AI730">
            <v>0</v>
          </cell>
        </row>
        <row r="731">
          <cell r="D731" t="str">
            <v>6482</v>
          </cell>
          <cell r="E731" t="str">
            <v>Pertes sur créances liées à des participations</v>
          </cell>
          <cell r="F731">
            <v>0</v>
          </cell>
          <cell r="L731">
            <v>0</v>
          </cell>
          <cell r="P731">
            <v>0</v>
          </cell>
          <cell r="V731">
            <v>0</v>
          </cell>
          <cell r="AI731">
            <v>0</v>
          </cell>
        </row>
        <row r="732">
          <cell r="D732" t="str">
            <v>6485</v>
          </cell>
          <cell r="E732" t="str">
            <v>Charges nettes sur cessions de titres &amp; valeur de placement</v>
          </cell>
          <cell r="F732">
            <v>0</v>
          </cell>
          <cell r="L732">
            <v>0</v>
          </cell>
          <cell r="P732">
            <v>0</v>
          </cell>
          <cell r="V732">
            <v>0</v>
          </cell>
          <cell r="AI732">
            <v>0</v>
          </cell>
        </row>
        <row r="733">
          <cell r="D733" t="str">
            <v>6486</v>
          </cell>
          <cell r="E733" t="str">
            <v>Escomptes accordés</v>
          </cell>
          <cell r="F733">
            <v>0</v>
          </cell>
          <cell r="L733">
            <v>0</v>
          </cell>
          <cell r="P733">
            <v>0</v>
          </cell>
          <cell r="V733">
            <v>0</v>
          </cell>
          <cell r="AI733">
            <v>0</v>
          </cell>
        </row>
        <row r="734">
          <cell r="D734" t="str">
            <v>6491</v>
          </cell>
          <cell r="E734" t="str">
            <v>Dotations aux amortissements des primes de remboursements</v>
          </cell>
          <cell r="F734">
            <v>0</v>
          </cell>
          <cell r="L734">
            <v>0</v>
          </cell>
          <cell r="P734">
            <v>0</v>
          </cell>
          <cell r="V734">
            <v>0</v>
          </cell>
          <cell r="AI734">
            <v>0</v>
          </cell>
        </row>
        <row r="735">
          <cell r="D735" t="str">
            <v>6492</v>
          </cell>
          <cell r="E735" t="str">
            <v>Dotations aux provisions pour dépréciation des immobilisations financières</v>
          </cell>
          <cell r="F735">
            <v>0</v>
          </cell>
          <cell r="L735">
            <v>0</v>
          </cell>
          <cell r="P735">
            <v>0</v>
          </cell>
          <cell r="V735">
            <v>0</v>
          </cell>
          <cell r="AI735">
            <v>0</v>
          </cell>
        </row>
        <row r="736">
          <cell r="D736" t="str">
            <v>6493</v>
          </cell>
          <cell r="E736" t="str">
            <v>Dotations financières aux provisions pour risques de change des crédits financiers</v>
          </cell>
          <cell r="F736">
            <v>0</v>
          </cell>
          <cell r="L736">
            <v>0</v>
          </cell>
          <cell r="P736">
            <v>0</v>
          </cell>
          <cell r="V736">
            <v>0</v>
          </cell>
          <cell r="AI736">
            <v>0</v>
          </cell>
        </row>
        <row r="737">
          <cell r="D737" t="str">
            <v>6494</v>
          </cell>
          <cell r="E737" t="str">
            <v>Dotations financières aux provisions pour risques de change des crédits acheteurs</v>
          </cell>
          <cell r="F737">
            <v>0</v>
          </cell>
          <cell r="L737">
            <v>0</v>
          </cell>
          <cell r="P737">
            <v>0</v>
          </cell>
          <cell r="V737">
            <v>0</v>
          </cell>
          <cell r="AI737">
            <v>0</v>
          </cell>
        </row>
        <row r="738">
          <cell r="D738" t="str">
            <v>6495</v>
          </cell>
          <cell r="E738" t="str">
            <v>Dotations financières aux provisions pour risques de change des emprunts des crédits gouvernementaux</v>
          </cell>
          <cell r="F738">
            <v>0</v>
          </cell>
          <cell r="L738">
            <v>0</v>
          </cell>
          <cell r="P738">
            <v>0</v>
          </cell>
          <cell r="V738">
            <v>0</v>
          </cell>
          <cell r="AI738">
            <v>0</v>
          </cell>
        </row>
        <row r="739">
          <cell r="D739" t="str">
            <v>6496</v>
          </cell>
          <cell r="E739" t="str">
            <v>Dotations financières aux provisions pour risques de change des crédits financiers rééchelonés</v>
          </cell>
          <cell r="F739">
            <v>0</v>
          </cell>
          <cell r="L739">
            <v>0</v>
          </cell>
          <cell r="P739">
            <v>0</v>
          </cell>
          <cell r="V739">
            <v>0</v>
          </cell>
          <cell r="AI739">
            <v>0</v>
          </cell>
        </row>
        <row r="740">
          <cell r="D740" t="str">
            <v>6497</v>
          </cell>
          <cell r="E740" t="str">
            <v>Dotations financières aux provisions pour risques de change des crédits acheteurs rééchelonnés</v>
          </cell>
          <cell r="F740">
            <v>0</v>
          </cell>
          <cell r="L740">
            <v>0</v>
          </cell>
          <cell r="P740">
            <v>0</v>
          </cell>
          <cell r="V740">
            <v>0</v>
          </cell>
          <cell r="AI740">
            <v>0</v>
          </cell>
        </row>
        <row r="741">
          <cell r="D741" t="str">
            <v>6501</v>
          </cell>
          <cell r="E741" t="str">
            <v>Dotations aux provisions pour dépréciation des titres &amp; valeurs de placement</v>
          </cell>
          <cell r="F741">
            <v>0</v>
          </cell>
          <cell r="L741">
            <v>0</v>
          </cell>
          <cell r="P741">
            <v>0</v>
          </cell>
          <cell r="V741">
            <v>0</v>
          </cell>
          <cell r="AI741">
            <v>0</v>
          </cell>
        </row>
        <row r="742">
          <cell r="D742" t="str">
            <v>6502</v>
          </cell>
          <cell r="E742" t="str">
            <v>Dotations aux provisions pour dépréciation des comptes de trésorerie</v>
          </cell>
          <cell r="F742">
            <v>0</v>
          </cell>
          <cell r="L742">
            <v>0</v>
          </cell>
          <cell r="P742">
            <v>0</v>
          </cell>
          <cell r="V742">
            <v>0</v>
          </cell>
          <cell r="AI742">
            <v>0</v>
          </cell>
        </row>
        <row r="743">
          <cell r="D743" t="str">
            <v>6512</v>
          </cell>
          <cell r="E743" t="str">
            <v>V.N.A des immobilisations incorporelles cedées</v>
          </cell>
          <cell r="F743">
            <v>0</v>
          </cell>
          <cell r="L743">
            <v>0</v>
          </cell>
          <cell r="P743">
            <v>0</v>
          </cell>
          <cell r="V743">
            <v>0</v>
          </cell>
          <cell r="AI743">
            <v>0</v>
          </cell>
        </row>
        <row r="744">
          <cell r="D744" t="str">
            <v>6513</v>
          </cell>
          <cell r="E744" t="str">
            <v>V.N.A des immobilisations corporelles</v>
          </cell>
          <cell r="F744">
            <v>0</v>
          </cell>
          <cell r="L744">
            <v>0</v>
          </cell>
          <cell r="P744">
            <v>0</v>
          </cell>
          <cell r="V744">
            <v>0</v>
          </cell>
          <cell r="AI744">
            <v>0</v>
          </cell>
        </row>
        <row r="745">
          <cell r="D745" t="str">
            <v>6514</v>
          </cell>
          <cell r="E745" t="str">
            <v>V.N.A des immobilisations financières cedées</v>
          </cell>
          <cell r="F745">
            <v>0</v>
          </cell>
          <cell r="L745">
            <v>0</v>
          </cell>
          <cell r="P745">
            <v>0</v>
          </cell>
          <cell r="V745">
            <v>0</v>
          </cell>
          <cell r="AI745">
            <v>0</v>
          </cell>
        </row>
        <row r="746">
          <cell r="D746" t="str">
            <v>6523</v>
          </cell>
          <cell r="E746" t="str">
            <v>Charges sur cessions d'immobilisations</v>
          </cell>
          <cell r="F746">
            <v>0</v>
          </cell>
          <cell r="L746">
            <v>0</v>
          </cell>
          <cell r="P746">
            <v>0</v>
          </cell>
          <cell r="V746">
            <v>0</v>
          </cell>
          <cell r="AI746">
            <v>0</v>
          </cell>
        </row>
        <row r="747">
          <cell r="D747" t="str">
            <v>6561</v>
          </cell>
          <cell r="E747" t="str">
            <v>Subventions accordées de l'exercice</v>
          </cell>
          <cell r="F747">
            <v>0</v>
          </cell>
          <cell r="L747">
            <v>0</v>
          </cell>
          <cell r="P747">
            <v>0</v>
          </cell>
          <cell r="V747">
            <v>0</v>
          </cell>
          <cell r="AI747">
            <v>0</v>
          </cell>
        </row>
        <row r="748">
          <cell r="D748" t="str">
            <v>6581</v>
          </cell>
          <cell r="E748" t="str">
            <v>Autres charges non courantes -pénalités sur marchés et dédits -</v>
          </cell>
          <cell r="F748">
            <v>0</v>
          </cell>
          <cell r="L748">
            <v>0</v>
          </cell>
          <cell r="P748">
            <v>0</v>
          </cell>
          <cell r="V748">
            <v>0</v>
          </cell>
          <cell r="AI748">
            <v>0</v>
          </cell>
        </row>
        <row r="749">
          <cell r="D749" t="str">
            <v>6582</v>
          </cell>
          <cell r="E749" t="str">
            <v>Autres charges non courantes -rappels d'impôts -</v>
          </cell>
          <cell r="F749">
            <v>0</v>
          </cell>
          <cell r="L749">
            <v>0</v>
          </cell>
          <cell r="P749">
            <v>0</v>
          </cell>
          <cell r="V749">
            <v>0</v>
          </cell>
          <cell r="AI749">
            <v>0</v>
          </cell>
        </row>
        <row r="750">
          <cell r="D750" t="str">
            <v>6583</v>
          </cell>
          <cell r="E750" t="str">
            <v>Pénalités et amendes fiscales ou pénales</v>
          </cell>
          <cell r="F750">
            <v>0</v>
          </cell>
          <cell r="L750">
            <v>0</v>
          </cell>
          <cell r="P750">
            <v>0</v>
          </cell>
          <cell r="V750">
            <v>0</v>
          </cell>
          <cell r="AI750">
            <v>0</v>
          </cell>
        </row>
        <row r="751">
          <cell r="D751" t="str">
            <v>6585</v>
          </cell>
          <cell r="E751" t="str">
            <v>Créances devenues irrécouvrables</v>
          </cell>
          <cell r="F751">
            <v>0</v>
          </cell>
          <cell r="L751">
            <v>0</v>
          </cell>
          <cell r="P751">
            <v>0</v>
          </cell>
          <cell r="V751">
            <v>0</v>
          </cell>
          <cell r="AI751">
            <v>0</v>
          </cell>
        </row>
        <row r="752">
          <cell r="D752" t="str">
            <v>6586</v>
          </cell>
          <cell r="E752" t="str">
            <v>Dons, libéralités et lots</v>
          </cell>
          <cell r="F752">
            <v>0</v>
          </cell>
          <cell r="L752">
            <v>0</v>
          </cell>
          <cell r="P752">
            <v>0</v>
          </cell>
          <cell r="V752">
            <v>0</v>
          </cell>
          <cell r="AI752">
            <v>0</v>
          </cell>
        </row>
        <row r="753">
          <cell r="D753" t="str">
            <v>6587</v>
          </cell>
          <cell r="E753" t="str">
            <v>Charges diverses non courantes</v>
          </cell>
          <cell r="F753">
            <v>0</v>
          </cell>
          <cell r="L753">
            <v>0</v>
          </cell>
          <cell r="P753">
            <v>0</v>
          </cell>
          <cell r="V753">
            <v>0</v>
          </cell>
          <cell r="AI753">
            <v>0</v>
          </cell>
        </row>
        <row r="754">
          <cell r="D754" t="str">
            <v>6942</v>
          </cell>
          <cell r="E754" t="str">
            <v>Dotations non courantes pour value en instance d'imposition</v>
          </cell>
          <cell r="F754">
            <v>0</v>
          </cell>
          <cell r="L754">
            <v>0</v>
          </cell>
          <cell r="P754">
            <v>0</v>
          </cell>
          <cell r="V754">
            <v>0</v>
          </cell>
          <cell r="AI754">
            <v>0</v>
          </cell>
        </row>
        <row r="755">
          <cell r="D755" t="str">
            <v>6944</v>
          </cell>
          <cell r="E755" t="str">
            <v>Dotations non courantes pour investissements</v>
          </cell>
          <cell r="F755">
            <v>0</v>
          </cell>
          <cell r="L755">
            <v>0</v>
          </cell>
          <cell r="P755">
            <v>0</v>
          </cell>
          <cell r="V755">
            <v>0</v>
          </cell>
          <cell r="AI755">
            <v>0</v>
          </cell>
        </row>
        <row r="756">
          <cell r="D756" t="str">
            <v>6945</v>
          </cell>
          <cell r="E756" t="str">
            <v>Dotations non courantes pour reconstitution de gisements</v>
          </cell>
          <cell r="F756">
            <v>0</v>
          </cell>
          <cell r="L756">
            <v>0</v>
          </cell>
          <cell r="P756">
            <v>0</v>
          </cell>
          <cell r="V756">
            <v>0</v>
          </cell>
          <cell r="AI756">
            <v>0</v>
          </cell>
        </row>
        <row r="757">
          <cell r="D757" t="str">
            <v>6946</v>
          </cell>
          <cell r="E757" t="str">
            <v>Dotations non courantes pour acquisition et construction de gis.</v>
          </cell>
          <cell r="F757">
            <v>0</v>
          </cell>
          <cell r="L757">
            <v>0</v>
          </cell>
          <cell r="P757">
            <v>0</v>
          </cell>
          <cell r="V757">
            <v>0</v>
          </cell>
          <cell r="AI757">
            <v>0</v>
          </cell>
        </row>
        <row r="758">
          <cell r="D758" t="str">
            <v>6955</v>
          </cell>
          <cell r="E758" t="str">
            <v>Dotations non courantes aux provi.pour ris. et charges durables</v>
          </cell>
          <cell r="F758">
            <v>0</v>
          </cell>
          <cell r="L758">
            <v>0</v>
          </cell>
          <cell r="P758">
            <v>0</v>
          </cell>
          <cell r="V758">
            <v>0</v>
          </cell>
          <cell r="AI758">
            <v>0</v>
          </cell>
        </row>
        <row r="759">
          <cell r="D759" t="str">
            <v>6957</v>
          </cell>
          <cell r="E759" t="str">
            <v>Dotations non courantes aux provi. pour ris. et char.momentanes</v>
          </cell>
          <cell r="F759">
            <v>0</v>
          </cell>
          <cell r="L759">
            <v>0</v>
          </cell>
          <cell r="P759">
            <v>0</v>
          </cell>
          <cell r="V759">
            <v>0</v>
          </cell>
          <cell r="AI759">
            <v>0</v>
          </cell>
        </row>
        <row r="760">
          <cell r="D760" t="str">
            <v>6962</v>
          </cell>
          <cell r="E760" t="str">
            <v>Dotations non courantes aux provisions pour depre. de l'actif immo.</v>
          </cell>
          <cell r="F760">
            <v>0</v>
          </cell>
          <cell r="L760">
            <v>0</v>
          </cell>
          <cell r="P760">
            <v>0</v>
          </cell>
          <cell r="V760">
            <v>0</v>
          </cell>
          <cell r="AI760">
            <v>0</v>
          </cell>
        </row>
        <row r="761">
          <cell r="D761" t="str">
            <v>6991</v>
          </cell>
          <cell r="E761" t="str">
            <v>Impôts sur les bénéfices</v>
          </cell>
          <cell r="F761">
            <v>0</v>
          </cell>
          <cell r="L761">
            <v>0</v>
          </cell>
          <cell r="P761">
            <v>0</v>
          </cell>
          <cell r="V761">
            <v>0</v>
          </cell>
          <cell r="AI761">
            <v>0</v>
          </cell>
        </row>
        <row r="762">
          <cell r="D762" t="str">
            <v>6995</v>
          </cell>
          <cell r="E762" t="str">
            <v>Imposition minimale annuelle des sociétés</v>
          </cell>
          <cell r="F762">
            <v>0</v>
          </cell>
          <cell r="L762">
            <v>0</v>
          </cell>
          <cell r="P762">
            <v>0</v>
          </cell>
          <cell r="V762">
            <v>0</v>
          </cell>
          <cell r="AI762">
            <v>0</v>
          </cell>
        </row>
        <row r="763">
          <cell r="D763" t="str">
            <v>6998</v>
          </cell>
          <cell r="E763" t="str">
            <v>Rappels et dégrèvements des impôts sur les résultats</v>
          </cell>
          <cell r="F763">
            <v>0</v>
          </cell>
          <cell r="L763">
            <v>0</v>
          </cell>
          <cell r="P763">
            <v>0</v>
          </cell>
          <cell r="V763">
            <v>0</v>
          </cell>
          <cell r="AI763">
            <v>0</v>
          </cell>
        </row>
        <row r="764">
          <cell r="D764" t="str">
            <v>7001</v>
          </cell>
          <cell r="E764" t="str">
            <v>Ventes de marchandises au Maroc</v>
          </cell>
          <cell r="F764">
            <v>0</v>
          </cell>
          <cell r="L764">
            <v>0</v>
          </cell>
          <cell r="P764">
            <v>0</v>
          </cell>
          <cell r="V764">
            <v>0</v>
          </cell>
          <cell r="AI764">
            <v>0</v>
          </cell>
        </row>
        <row r="765">
          <cell r="D765" t="str">
            <v>7003</v>
          </cell>
          <cell r="E765" t="str">
            <v>Ventes de marchandises à l'étranger</v>
          </cell>
          <cell r="F765">
            <v>0</v>
          </cell>
          <cell r="L765">
            <v>0</v>
          </cell>
          <cell r="P765">
            <v>0</v>
          </cell>
          <cell r="V765">
            <v>0</v>
          </cell>
          <cell r="AI765">
            <v>0</v>
          </cell>
        </row>
        <row r="766">
          <cell r="D766" t="str">
            <v>7009</v>
          </cell>
          <cell r="E766" t="str">
            <v>R.R.R. Accordées</v>
          </cell>
          <cell r="F766">
            <v>0</v>
          </cell>
          <cell r="L766">
            <v>0</v>
          </cell>
          <cell r="P766">
            <v>0</v>
          </cell>
          <cell r="V766">
            <v>0</v>
          </cell>
          <cell r="AI766">
            <v>0</v>
          </cell>
        </row>
        <row r="767">
          <cell r="D767" t="str">
            <v>7011</v>
          </cell>
          <cell r="E767" t="str">
            <v>Ventes de produits finis Maroc</v>
          </cell>
          <cell r="F767">
            <v>0</v>
          </cell>
          <cell r="L767">
            <v>0</v>
          </cell>
          <cell r="P767">
            <v>0</v>
          </cell>
          <cell r="V767">
            <v>0</v>
          </cell>
          <cell r="AI767">
            <v>0</v>
          </cell>
        </row>
        <row r="768">
          <cell r="D768" t="str">
            <v>7012</v>
          </cell>
          <cell r="E768" t="str">
            <v>Ventes de produits intermédiaires Maroc</v>
          </cell>
          <cell r="F768">
            <v>0</v>
          </cell>
          <cell r="L768">
            <v>0</v>
          </cell>
          <cell r="P768">
            <v>0</v>
          </cell>
          <cell r="V768">
            <v>0</v>
          </cell>
          <cell r="AI768">
            <v>0</v>
          </cell>
        </row>
        <row r="769">
          <cell r="D769" t="str">
            <v>7017</v>
          </cell>
          <cell r="E769" t="str">
            <v>Ventes de produits résiduels Maroc</v>
          </cell>
          <cell r="F769">
            <v>0</v>
          </cell>
          <cell r="L769">
            <v>0</v>
          </cell>
          <cell r="P769">
            <v>0</v>
          </cell>
          <cell r="V769">
            <v>0</v>
          </cell>
          <cell r="AI769">
            <v>0</v>
          </cell>
        </row>
        <row r="770">
          <cell r="D770" t="str">
            <v>7024</v>
          </cell>
          <cell r="E770" t="str">
            <v>Ventes de produits finis étranger</v>
          </cell>
          <cell r="F770">
            <v>0</v>
          </cell>
          <cell r="L770">
            <v>0</v>
          </cell>
          <cell r="P770">
            <v>0</v>
          </cell>
          <cell r="V770">
            <v>0</v>
          </cell>
          <cell r="AI770">
            <v>0</v>
          </cell>
        </row>
        <row r="771">
          <cell r="D771" t="str">
            <v>7025</v>
          </cell>
          <cell r="E771" t="str">
            <v>Ventes de produits intermédiaires étranger</v>
          </cell>
          <cell r="F771">
            <v>0</v>
          </cell>
          <cell r="L771">
            <v>0</v>
          </cell>
          <cell r="P771">
            <v>0</v>
          </cell>
          <cell r="V771">
            <v>0</v>
          </cell>
          <cell r="AI771">
            <v>0</v>
          </cell>
        </row>
        <row r="772">
          <cell r="D772" t="str">
            <v>7031</v>
          </cell>
          <cell r="E772" t="str">
            <v>Travaux au Maroc</v>
          </cell>
          <cell r="F772">
            <v>0</v>
          </cell>
          <cell r="L772">
            <v>0</v>
          </cell>
          <cell r="P772">
            <v>0</v>
          </cell>
          <cell r="V772">
            <v>0</v>
          </cell>
          <cell r="AI772">
            <v>0</v>
          </cell>
        </row>
        <row r="773">
          <cell r="D773" t="str">
            <v>7032</v>
          </cell>
          <cell r="E773" t="str">
            <v>Etudes au Maroc</v>
          </cell>
          <cell r="F773">
            <v>0</v>
          </cell>
          <cell r="L773">
            <v>0</v>
          </cell>
          <cell r="P773">
            <v>0</v>
          </cell>
          <cell r="V773">
            <v>0</v>
          </cell>
          <cell r="AI773">
            <v>0</v>
          </cell>
        </row>
        <row r="774">
          <cell r="D774" t="str">
            <v>7033</v>
          </cell>
          <cell r="E774" t="str">
            <v>Prestations de services au Maroc</v>
          </cell>
          <cell r="F774">
            <v>0</v>
          </cell>
          <cell r="L774">
            <v>0</v>
          </cell>
          <cell r="P774">
            <v>0</v>
          </cell>
          <cell r="V774">
            <v>0</v>
          </cell>
          <cell r="AI774">
            <v>0</v>
          </cell>
        </row>
        <row r="775">
          <cell r="D775" t="str">
            <v>7034</v>
          </cell>
          <cell r="E775" t="str">
            <v>Travaux à l'étranger</v>
          </cell>
          <cell r="F775">
            <v>0</v>
          </cell>
          <cell r="L775">
            <v>0</v>
          </cell>
          <cell r="P775">
            <v>0</v>
          </cell>
          <cell r="V775">
            <v>0</v>
          </cell>
          <cell r="AI775">
            <v>0</v>
          </cell>
        </row>
        <row r="776">
          <cell r="D776" t="str">
            <v>7035</v>
          </cell>
          <cell r="E776" t="str">
            <v>Etudes à l'étranger</v>
          </cell>
          <cell r="F776">
            <v>0</v>
          </cell>
          <cell r="L776">
            <v>0</v>
          </cell>
          <cell r="P776">
            <v>0</v>
          </cell>
          <cell r="V776">
            <v>0</v>
          </cell>
          <cell r="AI776">
            <v>0</v>
          </cell>
        </row>
        <row r="777">
          <cell r="D777" t="str">
            <v>7036</v>
          </cell>
          <cell r="E777" t="str">
            <v>Prestations de services à l'étranger</v>
          </cell>
          <cell r="F777">
            <v>0</v>
          </cell>
          <cell r="L777">
            <v>0</v>
          </cell>
          <cell r="P777">
            <v>0</v>
          </cell>
          <cell r="V777">
            <v>0</v>
          </cell>
          <cell r="AI777">
            <v>0</v>
          </cell>
        </row>
        <row r="778">
          <cell r="D778" t="str">
            <v>7046</v>
          </cell>
          <cell r="E778" t="str">
            <v>Redevances pour brevets, marques, droits et valeurs similaires</v>
          </cell>
          <cell r="F778">
            <v>0</v>
          </cell>
          <cell r="L778">
            <v>0</v>
          </cell>
          <cell r="P778">
            <v>0</v>
          </cell>
          <cell r="V778">
            <v>0</v>
          </cell>
          <cell r="AI778">
            <v>0</v>
          </cell>
        </row>
        <row r="779">
          <cell r="D779" t="str">
            <v>7051</v>
          </cell>
          <cell r="E779" t="str">
            <v>Commissions et courtages reçus</v>
          </cell>
          <cell r="F779">
            <v>0</v>
          </cell>
          <cell r="L779">
            <v>0</v>
          </cell>
          <cell r="P779">
            <v>0</v>
          </cell>
          <cell r="V779">
            <v>0</v>
          </cell>
          <cell r="AI779">
            <v>0</v>
          </cell>
        </row>
        <row r="780">
          <cell r="D780" t="str">
            <v>7052</v>
          </cell>
          <cell r="E780" t="str">
            <v>Loyer du personnel logé</v>
          </cell>
          <cell r="F780">
            <v>0</v>
          </cell>
          <cell r="L780">
            <v>0</v>
          </cell>
          <cell r="P780">
            <v>0</v>
          </cell>
          <cell r="V780">
            <v>0</v>
          </cell>
          <cell r="AI780">
            <v>0</v>
          </cell>
        </row>
        <row r="781">
          <cell r="D781" t="str">
            <v>7054</v>
          </cell>
          <cell r="E781" t="str">
            <v>Formation et perfectionnement du personnel</v>
          </cell>
          <cell r="F781">
            <v>0</v>
          </cell>
          <cell r="L781">
            <v>0</v>
          </cell>
          <cell r="P781">
            <v>0</v>
          </cell>
          <cell r="V781">
            <v>0</v>
          </cell>
          <cell r="AI781">
            <v>0</v>
          </cell>
        </row>
        <row r="782">
          <cell r="D782" t="str">
            <v>7056</v>
          </cell>
          <cell r="E782" t="str">
            <v>Centres d'estivage et colonies de vacances</v>
          </cell>
          <cell r="F782">
            <v>0</v>
          </cell>
          <cell r="L782">
            <v>0</v>
          </cell>
          <cell r="P782">
            <v>0</v>
          </cell>
          <cell r="V782">
            <v>0</v>
          </cell>
          <cell r="AI782">
            <v>0</v>
          </cell>
        </row>
        <row r="783">
          <cell r="D783" t="str">
            <v>7057</v>
          </cell>
          <cell r="E783" t="str">
            <v>Prestations médicales</v>
          </cell>
          <cell r="F783">
            <v>0</v>
          </cell>
          <cell r="L783">
            <v>0</v>
          </cell>
          <cell r="P783">
            <v>0</v>
          </cell>
          <cell r="V783">
            <v>0</v>
          </cell>
          <cell r="AI783">
            <v>0</v>
          </cell>
        </row>
        <row r="784">
          <cell r="D784" t="str">
            <v>7058</v>
          </cell>
          <cell r="E784" t="str">
            <v>Prestations club et économat</v>
          </cell>
          <cell r="F784">
            <v>0</v>
          </cell>
          <cell r="L784">
            <v>0</v>
          </cell>
          <cell r="P784">
            <v>0</v>
          </cell>
          <cell r="V784">
            <v>0</v>
          </cell>
          <cell r="AI784">
            <v>0</v>
          </cell>
        </row>
        <row r="785">
          <cell r="D785" t="str">
            <v>7059</v>
          </cell>
          <cell r="E785" t="str">
            <v>Restauration</v>
          </cell>
          <cell r="F785">
            <v>0</v>
          </cell>
          <cell r="L785">
            <v>0</v>
          </cell>
          <cell r="P785">
            <v>0</v>
          </cell>
          <cell r="V785">
            <v>0</v>
          </cell>
          <cell r="AI785">
            <v>0</v>
          </cell>
        </row>
        <row r="786">
          <cell r="D786" t="str">
            <v>7060</v>
          </cell>
          <cell r="E786" t="str">
            <v>Frais du personnel</v>
          </cell>
          <cell r="F786">
            <v>0</v>
          </cell>
          <cell r="L786">
            <v>0</v>
          </cell>
          <cell r="P786">
            <v>0</v>
          </cell>
          <cell r="V786">
            <v>0</v>
          </cell>
          <cell r="AI786">
            <v>0</v>
          </cell>
        </row>
        <row r="787">
          <cell r="D787" t="str">
            <v>7065</v>
          </cell>
          <cell r="E787" t="str">
            <v>Bonis sur reprises d'emballages consignés</v>
          </cell>
          <cell r="F787">
            <v>0</v>
          </cell>
          <cell r="L787">
            <v>0</v>
          </cell>
          <cell r="P787">
            <v>0</v>
          </cell>
          <cell r="V787">
            <v>0</v>
          </cell>
          <cell r="AI787">
            <v>0</v>
          </cell>
        </row>
        <row r="788">
          <cell r="D788" t="str">
            <v>7066</v>
          </cell>
          <cell r="E788" t="str">
            <v>Ports et frais accessoires facturés</v>
          </cell>
          <cell r="F788">
            <v>0</v>
          </cell>
          <cell r="L788">
            <v>0</v>
          </cell>
          <cell r="P788">
            <v>0</v>
          </cell>
          <cell r="V788">
            <v>0</v>
          </cell>
          <cell r="AI788">
            <v>0</v>
          </cell>
        </row>
        <row r="789">
          <cell r="D789" t="str">
            <v>7071</v>
          </cell>
          <cell r="E789" t="str">
            <v>Dédouanement</v>
          </cell>
          <cell r="F789">
            <v>0</v>
          </cell>
          <cell r="L789">
            <v>0</v>
          </cell>
          <cell r="P789">
            <v>0</v>
          </cell>
          <cell r="V789">
            <v>0</v>
          </cell>
          <cell r="AI789">
            <v>0</v>
          </cell>
        </row>
        <row r="790">
          <cell r="D790" t="str">
            <v>7072</v>
          </cell>
          <cell r="E790" t="str">
            <v>Prestations garage et station de service</v>
          </cell>
          <cell r="F790">
            <v>0</v>
          </cell>
          <cell r="L790">
            <v>0</v>
          </cell>
          <cell r="P790">
            <v>0</v>
          </cell>
          <cell r="V790">
            <v>0</v>
          </cell>
          <cell r="AI790">
            <v>0</v>
          </cell>
        </row>
        <row r="791">
          <cell r="D791" t="str">
            <v>7073</v>
          </cell>
          <cell r="E791" t="str">
            <v>Imprimerie</v>
          </cell>
          <cell r="F791">
            <v>0</v>
          </cell>
          <cell r="L791">
            <v>0</v>
          </cell>
          <cell r="P791">
            <v>0</v>
          </cell>
          <cell r="V791">
            <v>0</v>
          </cell>
          <cell r="AI791">
            <v>0</v>
          </cell>
        </row>
        <row r="792">
          <cell r="D792" t="str">
            <v>7074</v>
          </cell>
          <cell r="E792" t="str">
            <v>Prestations maritimes</v>
          </cell>
          <cell r="F792">
            <v>0</v>
          </cell>
          <cell r="L792">
            <v>0</v>
          </cell>
          <cell r="P792">
            <v>0</v>
          </cell>
          <cell r="V792">
            <v>0</v>
          </cell>
          <cell r="AI792">
            <v>0</v>
          </cell>
        </row>
        <row r="793">
          <cell r="D793" t="str">
            <v>7075</v>
          </cell>
          <cell r="E793" t="str">
            <v>Prestations ateliers</v>
          </cell>
          <cell r="F793">
            <v>0</v>
          </cell>
          <cell r="L793">
            <v>0</v>
          </cell>
          <cell r="P793">
            <v>0</v>
          </cell>
          <cell r="V793">
            <v>0</v>
          </cell>
          <cell r="AI793">
            <v>0</v>
          </cell>
        </row>
        <row r="794">
          <cell r="D794" t="str">
            <v>7076</v>
          </cell>
          <cell r="E794" t="str">
            <v>Prestations siège</v>
          </cell>
          <cell r="F794">
            <v>0</v>
          </cell>
          <cell r="L794">
            <v>0</v>
          </cell>
          <cell r="P794">
            <v>0</v>
          </cell>
          <cell r="V794">
            <v>0</v>
          </cell>
          <cell r="AI794">
            <v>0</v>
          </cell>
        </row>
        <row r="795">
          <cell r="D795" t="str">
            <v>7077</v>
          </cell>
          <cell r="E795" t="str">
            <v>Retraite</v>
          </cell>
          <cell r="F795">
            <v>0</v>
          </cell>
          <cell r="L795">
            <v>0</v>
          </cell>
          <cell r="P795">
            <v>0</v>
          </cell>
          <cell r="V795">
            <v>0</v>
          </cell>
          <cell r="AI795">
            <v>0</v>
          </cell>
        </row>
        <row r="796">
          <cell r="D796" t="str">
            <v>7078</v>
          </cell>
          <cell r="E796" t="str">
            <v>Téléphone</v>
          </cell>
          <cell r="F796">
            <v>0</v>
          </cell>
          <cell r="L796">
            <v>0</v>
          </cell>
          <cell r="P796">
            <v>0</v>
          </cell>
          <cell r="V796">
            <v>0</v>
          </cell>
          <cell r="AI796">
            <v>0</v>
          </cell>
        </row>
        <row r="797">
          <cell r="D797" t="str">
            <v>7079</v>
          </cell>
          <cell r="E797" t="str">
            <v>Transport</v>
          </cell>
          <cell r="F797">
            <v>0</v>
          </cell>
          <cell r="L797">
            <v>0</v>
          </cell>
          <cell r="P797">
            <v>0</v>
          </cell>
          <cell r="V797">
            <v>0</v>
          </cell>
          <cell r="AI797">
            <v>0</v>
          </cell>
        </row>
        <row r="798">
          <cell r="D798" t="str">
            <v>7080</v>
          </cell>
          <cell r="E798" t="str">
            <v>Vapeur</v>
          </cell>
          <cell r="F798">
            <v>0</v>
          </cell>
          <cell r="L798">
            <v>0</v>
          </cell>
          <cell r="P798">
            <v>0</v>
          </cell>
          <cell r="V798">
            <v>0</v>
          </cell>
          <cell r="AI798">
            <v>0</v>
          </cell>
        </row>
        <row r="799">
          <cell r="D799" t="str">
            <v>7089</v>
          </cell>
          <cell r="E799" t="str">
            <v>Autres ventes et produits accessoires</v>
          </cell>
          <cell r="F799">
            <v>0</v>
          </cell>
          <cell r="L799">
            <v>0</v>
          </cell>
          <cell r="P799">
            <v>0</v>
          </cell>
          <cell r="V799">
            <v>0</v>
          </cell>
          <cell r="AI799">
            <v>0</v>
          </cell>
        </row>
        <row r="800">
          <cell r="D800" t="str">
            <v>7091</v>
          </cell>
          <cell r="E800" t="str">
            <v>R.R.R accordés sur ventes au Maroc des biens produits</v>
          </cell>
          <cell r="F800">
            <v>0</v>
          </cell>
          <cell r="L800">
            <v>0</v>
          </cell>
          <cell r="P800">
            <v>0</v>
          </cell>
          <cell r="V800">
            <v>0</v>
          </cell>
          <cell r="AI800">
            <v>0</v>
          </cell>
        </row>
        <row r="801">
          <cell r="D801" t="str">
            <v>7092</v>
          </cell>
          <cell r="E801" t="str">
            <v>R.R.R accordés sur ventes à l'étranger des biens produits</v>
          </cell>
          <cell r="F801">
            <v>0</v>
          </cell>
          <cell r="L801">
            <v>0</v>
          </cell>
          <cell r="P801">
            <v>0</v>
          </cell>
          <cell r="V801">
            <v>0</v>
          </cell>
          <cell r="AI801">
            <v>0</v>
          </cell>
        </row>
        <row r="802">
          <cell r="D802" t="str">
            <v>7094</v>
          </cell>
          <cell r="E802" t="str">
            <v>R.R.R accordés sur ventes au Maroc des services produits</v>
          </cell>
          <cell r="F802">
            <v>0</v>
          </cell>
          <cell r="L802">
            <v>0</v>
          </cell>
          <cell r="P802">
            <v>0</v>
          </cell>
          <cell r="V802">
            <v>0</v>
          </cell>
          <cell r="AI802">
            <v>0</v>
          </cell>
        </row>
        <row r="803">
          <cell r="D803" t="str">
            <v>7095</v>
          </cell>
          <cell r="E803" t="str">
            <v>R.R.R accordés sur ventes à l'étranger des services produits</v>
          </cell>
          <cell r="F803">
            <v>0</v>
          </cell>
          <cell r="L803">
            <v>0</v>
          </cell>
          <cell r="P803">
            <v>0</v>
          </cell>
          <cell r="V803">
            <v>0</v>
          </cell>
          <cell r="AI803">
            <v>0</v>
          </cell>
        </row>
        <row r="804">
          <cell r="D804" t="str">
            <v>7110</v>
          </cell>
          <cell r="E804" t="str">
            <v>Variation des stocks de produits en cours</v>
          </cell>
          <cell r="F804">
            <v>0</v>
          </cell>
          <cell r="L804">
            <v>0</v>
          </cell>
          <cell r="P804">
            <v>0</v>
          </cell>
          <cell r="V804">
            <v>0</v>
          </cell>
          <cell r="AI804">
            <v>0</v>
          </cell>
        </row>
        <row r="805">
          <cell r="D805" t="str">
            <v>7112</v>
          </cell>
          <cell r="E805" t="str">
            <v>Variation des stocks de produits intermédiaires en cours</v>
          </cell>
          <cell r="F805">
            <v>0</v>
          </cell>
          <cell r="L805">
            <v>0</v>
          </cell>
          <cell r="P805">
            <v>0</v>
          </cell>
          <cell r="V805">
            <v>0</v>
          </cell>
          <cell r="AI805">
            <v>0</v>
          </cell>
        </row>
        <row r="806">
          <cell r="D806" t="str">
            <v>7117</v>
          </cell>
          <cell r="E806" t="str">
            <v>Variation des stocks de produits résiduels en cours</v>
          </cell>
          <cell r="F806">
            <v>0</v>
          </cell>
          <cell r="L806">
            <v>0</v>
          </cell>
          <cell r="P806">
            <v>0</v>
          </cell>
          <cell r="V806">
            <v>0</v>
          </cell>
          <cell r="AI806">
            <v>0</v>
          </cell>
        </row>
        <row r="807">
          <cell r="D807" t="str">
            <v>7121</v>
          </cell>
          <cell r="E807" t="str">
            <v>Variation des stocks de produits finis</v>
          </cell>
          <cell r="F807">
            <v>0</v>
          </cell>
          <cell r="L807">
            <v>0</v>
          </cell>
          <cell r="P807">
            <v>0</v>
          </cell>
          <cell r="V807">
            <v>0</v>
          </cell>
          <cell r="AI807">
            <v>0</v>
          </cell>
        </row>
        <row r="808">
          <cell r="D808" t="str">
            <v>7122</v>
          </cell>
          <cell r="E808" t="str">
            <v>Variation des stocks de produits intermédiaires</v>
          </cell>
          <cell r="F808">
            <v>0</v>
          </cell>
          <cell r="L808">
            <v>0</v>
          </cell>
          <cell r="P808">
            <v>0</v>
          </cell>
          <cell r="V808">
            <v>0</v>
          </cell>
          <cell r="AI808">
            <v>0</v>
          </cell>
        </row>
        <row r="809">
          <cell r="D809" t="str">
            <v>7127</v>
          </cell>
          <cell r="E809" t="str">
            <v>Variation des stocks de produits résiduels</v>
          </cell>
          <cell r="F809">
            <v>0</v>
          </cell>
          <cell r="L809">
            <v>0</v>
          </cell>
          <cell r="P809">
            <v>0</v>
          </cell>
          <cell r="V809">
            <v>0</v>
          </cell>
          <cell r="AI809">
            <v>0</v>
          </cell>
        </row>
        <row r="810">
          <cell r="D810" t="str">
            <v>7131</v>
          </cell>
          <cell r="E810" t="str">
            <v>Variation des stocks de travaux en cours</v>
          </cell>
          <cell r="F810">
            <v>0</v>
          </cell>
          <cell r="L810">
            <v>0</v>
          </cell>
          <cell r="P810">
            <v>0</v>
          </cell>
          <cell r="V810">
            <v>0</v>
          </cell>
          <cell r="AI810">
            <v>0</v>
          </cell>
        </row>
        <row r="811">
          <cell r="D811" t="str">
            <v>7132</v>
          </cell>
          <cell r="E811" t="str">
            <v>Variation des stocks d'études en cours</v>
          </cell>
          <cell r="F811">
            <v>0</v>
          </cell>
          <cell r="L811">
            <v>0</v>
          </cell>
          <cell r="P811">
            <v>0</v>
          </cell>
          <cell r="V811">
            <v>0</v>
          </cell>
          <cell r="AI811">
            <v>0</v>
          </cell>
        </row>
        <row r="812">
          <cell r="D812" t="str">
            <v>7133</v>
          </cell>
          <cell r="E812" t="str">
            <v>Variation des stocks de prestations en cours</v>
          </cell>
          <cell r="F812">
            <v>0</v>
          </cell>
          <cell r="L812">
            <v>0</v>
          </cell>
          <cell r="P812">
            <v>0</v>
          </cell>
          <cell r="V812">
            <v>0</v>
          </cell>
          <cell r="AI812">
            <v>0</v>
          </cell>
        </row>
        <row r="813">
          <cell r="D813" t="str">
            <v>7141</v>
          </cell>
          <cell r="E813" t="str">
            <v>Immobilisations en non-valeur produites</v>
          </cell>
          <cell r="F813">
            <v>0</v>
          </cell>
          <cell r="L813">
            <v>0</v>
          </cell>
          <cell r="P813">
            <v>0</v>
          </cell>
          <cell r="V813">
            <v>0</v>
          </cell>
          <cell r="AI813">
            <v>0</v>
          </cell>
        </row>
        <row r="814">
          <cell r="D814" t="str">
            <v>7142</v>
          </cell>
          <cell r="E814" t="str">
            <v>Immobilisations incorporelles produites</v>
          </cell>
          <cell r="F814">
            <v>0</v>
          </cell>
          <cell r="L814">
            <v>0</v>
          </cell>
          <cell r="P814">
            <v>0</v>
          </cell>
          <cell r="V814">
            <v>0</v>
          </cell>
          <cell r="AI814">
            <v>0</v>
          </cell>
        </row>
        <row r="815">
          <cell r="D815" t="str">
            <v>7143</v>
          </cell>
          <cell r="E815" t="str">
            <v>Immobilisations corporelles produites</v>
          </cell>
          <cell r="F815">
            <v>0</v>
          </cell>
          <cell r="L815">
            <v>0</v>
          </cell>
          <cell r="P815">
            <v>0</v>
          </cell>
          <cell r="V815">
            <v>0</v>
          </cell>
          <cell r="AI815">
            <v>0</v>
          </cell>
        </row>
        <row r="816">
          <cell r="D816" t="str">
            <v>7152</v>
          </cell>
          <cell r="E816" t="str">
            <v>Production d'articles codifiés mis en stocks</v>
          </cell>
          <cell r="F816">
            <v>0</v>
          </cell>
          <cell r="L816">
            <v>0</v>
          </cell>
          <cell r="P816">
            <v>0</v>
          </cell>
          <cell r="V816">
            <v>0</v>
          </cell>
          <cell r="AI816">
            <v>0</v>
          </cell>
        </row>
        <row r="817">
          <cell r="D817" t="str">
            <v>7161</v>
          </cell>
          <cell r="E817" t="str">
            <v>Subventions d'exploitation reçues de l'exercice</v>
          </cell>
          <cell r="F817">
            <v>0</v>
          </cell>
          <cell r="L817">
            <v>0</v>
          </cell>
          <cell r="P817">
            <v>0</v>
          </cell>
          <cell r="V817">
            <v>0</v>
          </cell>
          <cell r="AI817">
            <v>0</v>
          </cell>
        </row>
        <row r="818">
          <cell r="D818" t="str">
            <v>7181</v>
          </cell>
          <cell r="E818" t="str">
            <v>Jetons de présence reçus</v>
          </cell>
          <cell r="F818">
            <v>0</v>
          </cell>
          <cell r="L818">
            <v>0</v>
          </cell>
          <cell r="P818">
            <v>0</v>
          </cell>
          <cell r="V818">
            <v>0</v>
          </cell>
          <cell r="AI818">
            <v>0</v>
          </cell>
        </row>
        <row r="819">
          <cell r="D819" t="str">
            <v>7182</v>
          </cell>
          <cell r="E819" t="str">
            <v>Revenus des immeubles non affectés à l'exploitation</v>
          </cell>
          <cell r="F819">
            <v>0</v>
          </cell>
          <cell r="L819">
            <v>0</v>
          </cell>
          <cell r="P819">
            <v>0</v>
          </cell>
          <cell r="V819">
            <v>0</v>
          </cell>
          <cell r="AI819">
            <v>0</v>
          </cell>
        </row>
        <row r="820">
          <cell r="D820" t="str">
            <v>7185</v>
          </cell>
          <cell r="E820" t="str">
            <v>Profits sur opérations faites en commun</v>
          </cell>
          <cell r="F820">
            <v>0</v>
          </cell>
          <cell r="L820">
            <v>0</v>
          </cell>
          <cell r="P820">
            <v>0</v>
          </cell>
          <cell r="V820">
            <v>0</v>
          </cell>
          <cell r="AI820">
            <v>0</v>
          </cell>
        </row>
        <row r="821">
          <cell r="D821" t="str">
            <v>7186</v>
          </cell>
          <cell r="E821" t="str">
            <v>Transfert de pertes sur opérations faites en commun</v>
          </cell>
          <cell r="F821">
            <v>0</v>
          </cell>
          <cell r="L821">
            <v>0</v>
          </cell>
          <cell r="P821">
            <v>0</v>
          </cell>
          <cell r="V821">
            <v>0</v>
          </cell>
          <cell r="AI821">
            <v>0</v>
          </cell>
        </row>
        <row r="822">
          <cell r="D822" t="str">
            <v>7195</v>
          </cell>
          <cell r="E822" t="str">
            <v>Reprises sur provisions pour risques et charges</v>
          </cell>
          <cell r="F822">
            <v>0</v>
          </cell>
          <cell r="L822">
            <v>0</v>
          </cell>
          <cell r="P822">
            <v>0</v>
          </cell>
          <cell r="V822">
            <v>0</v>
          </cell>
          <cell r="AI822">
            <v>0</v>
          </cell>
        </row>
        <row r="823">
          <cell r="D823" t="str">
            <v>7196</v>
          </cell>
          <cell r="E823" t="str">
            <v>Reprises sur provisions pour dépréciation de l'actif circulant</v>
          </cell>
          <cell r="F823">
            <v>0</v>
          </cell>
          <cell r="L823">
            <v>0</v>
          </cell>
          <cell r="P823">
            <v>0</v>
          </cell>
          <cell r="V823">
            <v>0</v>
          </cell>
          <cell r="AI823">
            <v>0</v>
          </cell>
        </row>
        <row r="824">
          <cell r="D824" t="str">
            <v>7271</v>
          </cell>
          <cell r="E824" t="str">
            <v>T.C.E. achats de marchandises</v>
          </cell>
          <cell r="F824">
            <v>0</v>
          </cell>
          <cell r="L824">
            <v>0</v>
          </cell>
          <cell r="P824">
            <v>0</v>
          </cell>
          <cell r="V824">
            <v>0</v>
          </cell>
          <cell r="AI824">
            <v>0</v>
          </cell>
        </row>
        <row r="825">
          <cell r="D825" t="str">
            <v>7272</v>
          </cell>
          <cell r="E825" t="str">
            <v>T.C.E. achats consommés de matières premières et fournitures</v>
          </cell>
          <cell r="F825">
            <v>0</v>
          </cell>
          <cell r="L825">
            <v>0</v>
          </cell>
          <cell r="P825">
            <v>0</v>
          </cell>
          <cell r="V825">
            <v>0</v>
          </cell>
          <cell r="AI825">
            <v>0</v>
          </cell>
        </row>
        <row r="826">
          <cell r="D826" t="str">
            <v>7273</v>
          </cell>
          <cell r="E826" t="str">
            <v>T.C.E. autres charges externes</v>
          </cell>
          <cell r="F826">
            <v>0</v>
          </cell>
          <cell r="L826">
            <v>0</v>
          </cell>
          <cell r="P826">
            <v>0</v>
          </cell>
          <cell r="V826">
            <v>0</v>
          </cell>
          <cell r="AI826">
            <v>0</v>
          </cell>
        </row>
        <row r="827">
          <cell r="D827" t="str">
            <v>7275</v>
          </cell>
          <cell r="E827" t="str">
            <v>T.C.E. impôts et taxes</v>
          </cell>
          <cell r="F827">
            <v>0</v>
          </cell>
          <cell r="L827">
            <v>0</v>
          </cell>
          <cell r="P827">
            <v>0</v>
          </cell>
          <cell r="V827">
            <v>0</v>
          </cell>
          <cell r="AI827">
            <v>0</v>
          </cell>
        </row>
        <row r="828">
          <cell r="D828" t="str">
            <v>7276</v>
          </cell>
          <cell r="E828" t="str">
            <v>T.C.E. charges du personnel</v>
          </cell>
          <cell r="F828">
            <v>0</v>
          </cell>
          <cell r="L828">
            <v>0</v>
          </cell>
          <cell r="P828">
            <v>0</v>
          </cell>
          <cell r="V828">
            <v>0</v>
          </cell>
          <cell r="AI828">
            <v>0</v>
          </cell>
        </row>
        <row r="829">
          <cell r="D829" t="str">
            <v>7278</v>
          </cell>
          <cell r="E829" t="str">
            <v>T.C.E. autres charges d'exploitation</v>
          </cell>
          <cell r="F829">
            <v>0</v>
          </cell>
          <cell r="L829">
            <v>0</v>
          </cell>
          <cell r="P829">
            <v>0</v>
          </cell>
          <cell r="V829">
            <v>0</v>
          </cell>
          <cell r="AI829">
            <v>0</v>
          </cell>
        </row>
        <row r="830">
          <cell r="D830" t="str">
            <v>7321</v>
          </cell>
          <cell r="E830" t="str">
            <v>Revenus des titres de participation</v>
          </cell>
          <cell r="F830">
            <v>0</v>
          </cell>
          <cell r="L830">
            <v>0</v>
          </cell>
          <cell r="P830">
            <v>0</v>
          </cell>
          <cell r="V830">
            <v>0</v>
          </cell>
          <cell r="AI830">
            <v>0</v>
          </cell>
        </row>
        <row r="831">
          <cell r="D831" t="str">
            <v>7325</v>
          </cell>
          <cell r="E831" t="str">
            <v>Revenus des titres immobilisés</v>
          </cell>
          <cell r="F831">
            <v>0</v>
          </cell>
          <cell r="L831">
            <v>0</v>
          </cell>
          <cell r="P831">
            <v>0</v>
          </cell>
          <cell r="V831">
            <v>0</v>
          </cell>
          <cell r="AI831">
            <v>0</v>
          </cell>
        </row>
        <row r="832">
          <cell r="D832" t="str">
            <v>7329</v>
          </cell>
          <cell r="E832" t="str">
            <v>Gains de change sur remboursement des dettes de financement</v>
          </cell>
          <cell r="F832">
            <v>0</v>
          </cell>
          <cell r="L832">
            <v>0</v>
          </cell>
          <cell r="P832">
            <v>0</v>
          </cell>
          <cell r="V832">
            <v>0</v>
          </cell>
          <cell r="AI832">
            <v>0</v>
          </cell>
        </row>
        <row r="833">
          <cell r="D833" t="str">
            <v>7331</v>
          </cell>
          <cell r="E833" t="str">
            <v>Gains de change sur opérations de trésorerie</v>
          </cell>
          <cell r="F833">
            <v>0</v>
          </cell>
          <cell r="L833">
            <v>0</v>
          </cell>
          <cell r="P833">
            <v>0</v>
          </cell>
          <cell r="V833">
            <v>0</v>
          </cell>
          <cell r="AI833">
            <v>0</v>
          </cell>
        </row>
        <row r="834">
          <cell r="D834" t="str">
            <v>7332</v>
          </cell>
          <cell r="E834" t="str">
            <v>Gains de change sur opérations commerciales</v>
          </cell>
          <cell r="F834">
            <v>0</v>
          </cell>
          <cell r="L834">
            <v>0</v>
          </cell>
          <cell r="P834">
            <v>0</v>
          </cell>
          <cell r="V834">
            <v>0</v>
          </cell>
          <cell r="AI834">
            <v>0</v>
          </cell>
        </row>
        <row r="835">
          <cell r="D835" t="str">
            <v>7342</v>
          </cell>
          <cell r="E835" t="str">
            <v>Intérêts des prêts hypothécaires accordés au personnel OE</v>
          </cell>
          <cell r="F835">
            <v>0</v>
          </cell>
          <cell r="L835">
            <v>0</v>
          </cell>
          <cell r="P835">
            <v>0</v>
          </cell>
          <cell r="V835">
            <v>0</v>
          </cell>
          <cell r="AI835">
            <v>0</v>
          </cell>
        </row>
        <row r="836">
          <cell r="D836" t="str">
            <v>7346</v>
          </cell>
          <cell r="E836" t="str">
            <v>Intérêts des prêts hypothécaires accordés au personnel TAMCA</v>
          </cell>
          <cell r="F836">
            <v>0</v>
          </cell>
          <cell r="L836">
            <v>0</v>
          </cell>
          <cell r="P836">
            <v>0</v>
          </cell>
          <cell r="V836">
            <v>0</v>
          </cell>
          <cell r="AI836">
            <v>0</v>
          </cell>
        </row>
        <row r="837">
          <cell r="D837" t="str">
            <v>7349</v>
          </cell>
          <cell r="E837" t="str">
            <v>Intérêts des prêts hypothécaires accordés au personnel hors cadres</v>
          </cell>
          <cell r="F837">
            <v>0</v>
          </cell>
          <cell r="L837">
            <v>0</v>
          </cell>
          <cell r="P837">
            <v>0</v>
          </cell>
          <cell r="V837">
            <v>0</v>
          </cell>
          <cell r="AI837">
            <v>0</v>
          </cell>
        </row>
        <row r="838">
          <cell r="D838" t="str">
            <v>7352</v>
          </cell>
          <cell r="E838" t="str">
            <v>Intérêts des prêts achats de véhicules accordés au personnel OE</v>
          </cell>
          <cell r="F838">
            <v>0</v>
          </cell>
          <cell r="L838">
            <v>0</v>
          </cell>
          <cell r="P838">
            <v>0</v>
          </cell>
          <cell r="V838">
            <v>0</v>
          </cell>
          <cell r="AI838">
            <v>0</v>
          </cell>
        </row>
        <row r="839">
          <cell r="D839" t="str">
            <v>7356</v>
          </cell>
          <cell r="E839" t="str">
            <v>Intérêts des prêts achats de véhicules accordés au personnel tamca</v>
          </cell>
          <cell r="F839">
            <v>0</v>
          </cell>
          <cell r="L839">
            <v>0</v>
          </cell>
          <cell r="P839">
            <v>0</v>
          </cell>
          <cell r="V839">
            <v>0</v>
          </cell>
          <cell r="AI839">
            <v>0</v>
          </cell>
        </row>
        <row r="840">
          <cell r="D840" t="str">
            <v>7359</v>
          </cell>
          <cell r="E840" t="str">
            <v>Intérêts des prêts achats de véhicules accordés au personnel hors cadres</v>
          </cell>
          <cell r="F840">
            <v>0</v>
          </cell>
          <cell r="L840">
            <v>0</v>
          </cell>
          <cell r="P840">
            <v>0</v>
          </cell>
          <cell r="V840">
            <v>0</v>
          </cell>
          <cell r="AI840">
            <v>0</v>
          </cell>
        </row>
        <row r="841">
          <cell r="D841" t="str">
            <v>7362</v>
          </cell>
          <cell r="E841" t="str">
            <v>Intérêts des prêts ménagers rémunérés pl OE</v>
          </cell>
          <cell r="F841">
            <v>0</v>
          </cell>
          <cell r="L841">
            <v>0</v>
          </cell>
          <cell r="P841">
            <v>0</v>
          </cell>
          <cell r="V841">
            <v>0</v>
          </cell>
          <cell r="AI841">
            <v>0</v>
          </cell>
        </row>
        <row r="842">
          <cell r="D842" t="str">
            <v>7366</v>
          </cell>
          <cell r="E842" t="str">
            <v>Intérêts des prêts ménagers rémunérés pl TAMCA</v>
          </cell>
          <cell r="F842">
            <v>0</v>
          </cell>
          <cell r="L842">
            <v>0</v>
          </cell>
          <cell r="P842">
            <v>0</v>
          </cell>
          <cell r="V842">
            <v>0</v>
          </cell>
          <cell r="AI842">
            <v>0</v>
          </cell>
        </row>
        <row r="843">
          <cell r="D843" t="str">
            <v>7369</v>
          </cell>
          <cell r="E843" t="str">
            <v>Intérêts des prêts ménagers rémunérés pl hors cadres</v>
          </cell>
          <cell r="F843">
            <v>0</v>
          </cell>
          <cell r="L843">
            <v>0</v>
          </cell>
          <cell r="P843">
            <v>0</v>
          </cell>
          <cell r="V843">
            <v>0</v>
          </cell>
          <cell r="AI843">
            <v>0</v>
          </cell>
        </row>
        <row r="844">
          <cell r="D844" t="str">
            <v>7372</v>
          </cell>
          <cell r="E844" t="str">
            <v>Intérêts des prêts de cessions logements pl OE</v>
          </cell>
          <cell r="F844">
            <v>0</v>
          </cell>
          <cell r="L844">
            <v>0</v>
          </cell>
          <cell r="P844">
            <v>0</v>
          </cell>
          <cell r="V844">
            <v>0</v>
          </cell>
          <cell r="AI844">
            <v>0</v>
          </cell>
        </row>
        <row r="845">
          <cell r="D845" t="str">
            <v>7376</v>
          </cell>
          <cell r="E845" t="str">
            <v>Intérêts des prêts de cessions logements personnel TAMCA</v>
          </cell>
          <cell r="F845">
            <v>0</v>
          </cell>
          <cell r="L845">
            <v>0</v>
          </cell>
          <cell r="P845">
            <v>0</v>
          </cell>
          <cell r="V845">
            <v>0</v>
          </cell>
          <cell r="AI845">
            <v>0</v>
          </cell>
        </row>
        <row r="846">
          <cell r="D846" t="str">
            <v>7379</v>
          </cell>
          <cell r="E846" t="str">
            <v>Intérêts des prêts de cessions logements personnel hors cadres</v>
          </cell>
          <cell r="F846">
            <v>0</v>
          </cell>
          <cell r="L846">
            <v>0</v>
          </cell>
          <cell r="P846">
            <v>0</v>
          </cell>
          <cell r="V846">
            <v>0</v>
          </cell>
          <cell r="AI846">
            <v>0</v>
          </cell>
        </row>
        <row r="847">
          <cell r="D847" t="str">
            <v>7382</v>
          </cell>
          <cell r="E847" t="str">
            <v>Intérêts des autres prêts au personnel OE</v>
          </cell>
          <cell r="F847">
            <v>0</v>
          </cell>
          <cell r="L847">
            <v>0</v>
          </cell>
          <cell r="P847">
            <v>0</v>
          </cell>
          <cell r="V847">
            <v>0</v>
          </cell>
          <cell r="AI847">
            <v>0</v>
          </cell>
        </row>
        <row r="848">
          <cell r="D848" t="str">
            <v>7386</v>
          </cell>
          <cell r="E848" t="str">
            <v>Intérêts des autres prêts au personnel TAMCA</v>
          </cell>
          <cell r="F848">
            <v>0</v>
          </cell>
          <cell r="L848">
            <v>0</v>
          </cell>
          <cell r="P848">
            <v>0</v>
          </cell>
          <cell r="V848">
            <v>0</v>
          </cell>
          <cell r="AI848">
            <v>0</v>
          </cell>
        </row>
        <row r="849">
          <cell r="D849" t="str">
            <v>7389</v>
          </cell>
          <cell r="E849" t="str">
            <v>Intérêts des autres prêts au personnel hors cadres</v>
          </cell>
          <cell r="F849">
            <v>0</v>
          </cell>
          <cell r="L849">
            <v>0</v>
          </cell>
          <cell r="P849">
            <v>0</v>
          </cell>
          <cell r="V849">
            <v>0</v>
          </cell>
          <cell r="AI849">
            <v>0</v>
          </cell>
        </row>
        <row r="850">
          <cell r="D850" t="str">
            <v>7391</v>
          </cell>
          <cell r="E850" t="str">
            <v>Intérêts bancaires Maroc</v>
          </cell>
          <cell r="F850">
            <v>0</v>
          </cell>
          <cell r="L850">
            <v>0</v>
          </cell>
          <cell r="P850">
            <v>0</v>
          </cell>
          <cell r="V850">
            <v>0</v>
          </cell>
          <cell r="AI850">
            <v>0</v>
          </cell>
        </row>
        <row r="851">
          <cell r="D851" t="str">
            <v>7392</v>
          </cell>
          <cell r="E851" t="str">
            <v>Intérêts bancaires bureau de Paris</v>
          </cell>
          <cell r="F851">
            <v>0</v>
          </cell>
          <cell r="L851">
            <v>0</v>
          </cell>
          <cell r="P851">
            <v>0</v>
          </cell>
          <cell r="V851">
            <v>0</v>
          </cell>
          <cell r="AI851">
            <v>0</v>
          </cell>
        </row>
        <row r="852">
          <cell r="D852" t="str">
            <v>7393</v>
          </cell>
          <cell r="E852" t="str">
            <v>Intérêts des placements en devises</v>
          </cell>
          <cell r="F852">
            <v>0</v>
          </cell>
          <cell r="L852">
            <v>0</v>
          </cell>
          <cell r="P852">
            <v>0</v>
          </cell>
          <cell r="V852">
            <v>0</v>
          </cell>
          <cell r="AI852">
            <v>0</v>
          </cell>
        </row>
        <row r="853">
          <cell r="D853" t="str">
            <v>7394</v>
          </cell>
          <cell r="E853" t="str">
            <v>Intérêts bancaires créditeurs</v>
          </cell>
          <cell r="F853">
            <v>0</v>
          </cell>
          <cell r="L853">
            <v>0</v>
          </cell>
          <cell r="P853">
            <v>0</v>
          </cell>
          <cell r="V853">
            <v>0</v>
          </cell>
          <cell r="AI853">
            <v>0</v>
          </cell>
        </row>
        <row r="854">
          <cell r="D854" t="str">
            <v>7403</v>
          </cell>
          <cell r="E854" t="str">
            <v>Revenus des créances rattachées a des participations</v>
          </cell>
          <cell r="F854">
            <v>0</v>
          </cell>
          <cell r="L854">
            <v>0</v>
          </cell>
          <cell r="P854">
            <v>0</v>
          </cell>
          <cell r="V854">
            <v>0</v>
          </cell>
          <cell r="AI854">
            <v>0</v>
          </cell>
        </row>
        <row r="855">
          <cell r="D855" t="str">
            <v>7404</v>
          </cell>
          <cell r="E855" t="str">
            <v>Revenus des titres et valeurs de placement</v>
          </cell>
          <cell r="F855">
            <v>0</v>
          </cell>
          <cell r="L855">
            <v>0</v>
          </cell>
          <cell r="P855">
            <v>0</v>
          </cell>
          <cell r="V855">
            <v>0</v>
          </cell>
          <cell r="AI855">
            <v>0</v>
          </cell>
        </row>
        <row r="856">
          <cell r="D856" t="str">
            <v>7405</v>
          </cell>
          <cell r="E856" t="str">
            <v>Produits nets sur cessions de titres et valeurs de placement</v>
          </cell>
          <cell r="F856">
            <v>0</v>
          </cell>
          <cell r="L856">
            <v>0</v>
          </cell>
          <cell r="P856">
            <v>0</v>
          </cell>
          <cell r="V856">
            <v>0</v>
          </cell>
          <cell r="AI856">
            <v>0</v>
          </cell>
        </row>
        <row r="857">
          <cell r="D857" t="str">
            <v>7406</v>
          </cell>
          <cell r="E857" t="str">
            <v>Escomptes obtenus</v>
          </cell>
          <cell r="F857">
            <v>0</v>
          </cell>
          <cell r="L857">
            <v>0</v>
          </cell>
          <cell r="P857">
            <v>0</v>
          </cell>
          <cell r="V857">
            <v>0</v>
          </cell>
          <cell r="AI857">
            <v>0</v>
          </cell>
        </row>
        <row r="858">
          <cell r="D858" t="str">
            <v>7410</v>
          </cell>
          <cell r="E858" t="str">
            <v>Reprises sur amortissements des primes</v>
          </cell>
          <cell r="F858">
            <v>0</v>
          </cell>
          <cell r="L858">
            <v>0</v>
          </cell>
          <cell r="P858">
            <v>0</v>
          </cell>
          <cell r="V858">
            <v>0</v>
          </cell>
          <cell r="AI858">
            <v>0</v>
          </cell>
        </row>
        <row r="859">
          <cell r="D859" t="str">
            <v>7420</v>
          </cell>
          <cell r="E859" t="str">
            <v>Reprises sur provisions pour dépréciation des immo.financières</v>
          </cell>
          <cell r="F859">
            <v>0</v>
          </cell>
          <cell r="L859">
            <v>0</v>
          </cell>
          <cell r="P859">
            <v>0</v>
          </cell>
          <cell r="V859">
            <v>0</v>
          </cell>
          <cell r="AI859">
            <v>0</v>
          </cell>
        </row>
        <row r="860">
          <cell r="D860" t="str">
            <v>7430</v>
          </cell>
          <cell r="E860" t="str">
            <v>Reprises sur provisions pour risques et charges financiers</v>
          </cell>
          <cell r="F860">
            <v>0</v>
          </cell>
          <cell r="L860">
            <v>0</v>
          </cell>
          <cell r="P860">
            <v>0</v>
          </cell>
          <cell r="V860">
            <v>0</v>
          </cell>
          <cell r="AI860">
            <v>0</v>
          </cell>
        </row>
        <row r="861">
          <cell r="D861" t="str">
            <v>7431</v>
          </cell>
          <cell r="E861" t="str">
            <v>Reprises sur provisions pour risques et charges financieres sur dettes financières</v>
          </cell>
          <cell r="F861">
            <v>0</v>
          </cell>
          <cell r="L861">
            <v>0</v>
          </cell>
          <cell r="P861">
            <v>0</v>
          </cell>
          <cell r="V861">
            <v>0</v>
          </cell>
          <cell r="AI861">
            <v>0</v>
          </cell>
        </row>
        <row r="862">
          <cell r="D862" t="str">
            <v>7432</v>
          </cell>
          <cell r="E862" t="str">
            <v>Reprises sur provisions pour risques et charges financières</v>
          </cell>
          <cell r="F862">
            <v>0</v>
          </cell>
          <cell r="L862">
            <v>0</v>
          </cell>
          <cell r="P862">
            <v>0</v>
          </cell>
          <cell r="V862">
            <v>0</v>
          </cell>
          <cell r="AI862">
            <v>0</v>
          </cell>
        </row>
        <row r="863">
          <cell r="D863" t="str">
            <v>7440</v>
          </cell>
          <cell r="E863" t="str">
            <v>Reprises sur provisions pour dépréciation des titres et valeurs de placement</v>
          </cell>
          <cell r="F863">
            <v>0</v>
          </cell>
          <cell r="L863">
            <v>0</v>
          </cell>
          <cell r="P863">
            <v>0</v>
          </cell>
          <cell r="V863">
            <v>0</v>
          </cell>
          <cell r="AI863">
            <v>0</v>
          </cell>
        </row>
        <row r="864">
          <cell r="D864" t="str">
            <v>7441</v>
          </cell>
          <cell r="E864" t="str">
            <v>Reprises sur provisions pour dépréciation des VPM SICAV</v>
          </cell>
          <cell r="F864">
            <v>0</v>
          </cell>
          <cell r="L864">
            <v>0</v>
          </cell>
          <cell r="P864">
            <v>0</v>
          </cell>
          <cell r="V864">
            <v>0</v>
          </cell>
          <cell r="AI864">
            <v>0</v>
          </cell>
        </row>
        <row r="865">
          <cell r="D865" t="str">
            <v>7460</v>
          </cell>
          <cell r="E865" t="str">
            <v>Reprises sur provisions pour dépréciation des comptes de trésorerie</v>
          </cell>
          <cell r="F865">
            <v>0</v>
          </cell>
          <cell r="L865">
            <v>0</v>
          </cell>
          <cell r="P865">
            <v>0</v>
          </cell>
          <cell r="V865">
            <v>0</v>
          </cell>
          <cell r="AI865">
            <v>0</v>
          </cell>
        </row>
        <row r="866">
          <cell r="D866" t="str">
            <v>7471</v>
          </cell>
          <cell r="E866" t="str">
            <v>Transferts - charges d'intérêts</v>
          </cell>
          <cell r="F866">
            <v>0</v>
          </cell>
          <cell r="L866">
            <v>0</v>
          </cell>
          <cell r="P866">
            <v>0</v>
          </cell>
          <cell r="V866">
            <v>0</v>
          </cell>
          <cell r="AI866">
            <v>0</v>
          </cell>
        </row>
        <row r="867">
          <cell r="D867" t="str">
            <v>7473</v>
          </cell>
          <cell r="E867" t="str">
            <v>Transferts - pertes de change</v>
          </cell>
          <cell r="F867">
            <v>0</v>
          </cell>
          <cell r="L867">
            <v>0</v>
          </cell>
          <cell r="P867">
            <v>0</v>
          </cell>
          <cell r="V867">
            <v>0</v>
          </cell>
          <cell r="AI867">
            <v>0</v>
          </cell>
        </row>
        <row r="868">
          <cell r="D868" t="str">
            <v>7478</v>
          </cell>
          <cell r="E868" t="str">
            <v>Transferts - autres charges financières</v>
          </cell>
          <cell r="F868">
            <v>0</v>
          </cell>
          <cell r="L868">
            <v>0</v>
          </cell>
          <cell r="P868">
            <v>0</v>
          </cell>
          <cell r="V868">
            <v>0</v>
          </cell>
          <cell r="AI868">
            <v>0</v>
          </cell>
        </row>
        <row r="869">
          <cell r="D869" t="str">
            <v>7514</v>
          </cell>
          <cell r="E869" t="str">
            <v>Produits de cession des immobilisations financières droits de propriété</v>
          </cell>
          <cell r="F869">
            <v>0</v>
          </cell>
          <cell r="L869">
            <v>0</v>
          </cell>
          <cell r="P869">
            <v>0</v>
          </cell>
          <cell r="V869">
            <v>0</v>
          </cell>
          <cell r="AI869">
            <v>0</v>
          </cell>
        </row>
        <row r="870">
          <cell r="D870" t="str">
            <v>7561</v>
          </cell>
          <cell r="E870" t="str">
            <v>Subventions d'équilibre reçues de l'exercice</v>
          </cell>
          <cell r="F870">
            <v>0</v>
          </cell>
          <cell r="L870">
            <v>0</v>
          </cell>
          <cell r="P870">
            <v>0</v>
          </cell>
          <cell r="V870">
            <v>0</v>
          </cell>
          <cell r="AI870">
            <v>0</v>
          </cell>
        </row>
        <row r="871">
          <cell r="D871" t="str">
            <v>7580</v>
          </cell>
          <cell r="E871" t="str">
            <v>Valeur net des amortissements des immobilisations</v>
          </cell>
          <cell r="F871">
            <v>0</v>
          </cell>
          <cell r="L871">
            <v>0</v>
          </cell>
          <cell r="P871">
            <v>0</v>
          </cell>
          <cell r="V871">
            <v>0</v>
          </cell>
          <cell r="AI871">
            <v>0</v>
          </cell>
        </row>
        <row r="872">
          <cell r="D872" t="str">
            <v>7581</v>
          </cell>
          <cell r="E872" t="str">
            <v>Pénalités et dédits reçus</v>
          </cell>
          <cell r="F872">
            <v>0</v>
          </cell>
          <cell r="L872">
            <v>0</v>
          </cell>
          <cell r="P872">
            <v>0</v>
          </cell>
          <cell r="V872">
            <v>0</v>
          </cell>
          <cell r="AI872">
            <v>0</v>
          </cell>
        </row>
        <row r="873">
          <cell r="D873" t="str">
            <v>7584</v>
          </cell>
          <cell r="E873" t="str">
            <v>Dégrèvements d'impôts autres qu'impôts sur les résultats</v>
          </cell>
          <cell r="F873">
            <v>0</v>
          </cell>
          <cell r="L873">
            <v>0</v>
          </cell>
          <cell r="P873">
            <v>0</v>
          </cell>
          <cell r="V873">
            <v>0</v>
          </cell>
          <cell r="AI873">
            <v>0</v>
          </cell>
        </row>
        <row r="874">
          <cell r="D874" t="str">
            <v>7585</v>
          </cell>
          <cell r="E874" t="str">
            <v>Rentrées sur créances soldées</v>
          </cell>
          <cell r="F874">
            <v>0</v>
          </cell>
          <cell r="L874">
            <v>0</v>
          </cell>
          <cell r="P874">
            <v>0</v>
          </cell>
          <cell r="V874">
            <v>0</v>
          </cell>
          <cell r="AI874">
            <v>0</v>
          </cell>
        </row>
        <row r="875">
          <cell r="D875" t="str">
            <v>7586</v>
          </cell>
          <cell r="E875" t="str">
            <v>Dons, libéralités et lots reçus</v>
          </cell>
          <cell r="F875">
            <v>0</v>
          </cell>
          <cell r="L875">
            <v>0</v>
          </cell>
          <cell r="P875">
            <v>0</v>
          </cell>
          <cell r="V875">
            <v>0</v>
          </cell>
          <cell r="AI875">
            <v>0</v>
          </cell>
        </row>
        <row r="876">
          <cell r="D876" t="str">
            <v>7641</v>
          </cell>
          <cell r="E876" t="str">
            <v>Reprises sur amortissements dérogatoires</v>
          </cell>
          <cell r="F876">
            <v>0</v>
          </cell>
          <cell r="L876">
            <v>0</v>
          </cell>
          <cell r="P876">
            <v>0</v>
          </cell>
          <cell r="V876">
            <v>0</v>
          </cell>
          <cell r="AI876">
            <v>0</v>
          </cell>
        </row>
        <row r="877">
          <cell r="D877" t="str">
            <v>7642</v>
          </cell>
          <cell r="E877" t="str">
            <v>Reprises sur plus values en instance d'imposition</v>
          </cell>
          <cell r="F877">
            <v>0</v>
          </cell>
          <cell r="L877">
            <v>0</v>
          </cell>
          <cell r="P877">
            <v>0</v>
          </cell>
          <cell r="V877">
            <v>0</v>
          </cell>
          <cell r="AI877">
            <v>0</v>
          </cell>
        </row>
        <row r="878">
          <cell r="D878" t="str">
            <v>7644</v>
          </cell>
          <cell r="E878" t="str">
            <v>Reprises sur provisions pour investissements</v>
          </cell>
          <cell r="F878">
            <v>0</v>
          </cell>
          <cell r="L878">
            <v>0</v>
          </cell>
          <cell r="P878">
            <v>0</v>
          </cell>
          <cell r="V878">
            <v>0</v>
          </cell>
          <cell r="AI878">
            <v>0</v>
          </cell>
        </row>
        <row r="879">
          <cell r="D879" t="str">
            <v>7645</v>
          </cell>
          <cell r="E879" t="str">
            <v>Reprises sur provisions pour reconstitution de gisements</v>
          </cell>
          <cell r="F879">
            <v>0</v>
          </cell>
          <cell r="L879">
            <v>0</v>
          </cell>
          <cell r="P879">
            <v>0</v>
          </cell>
          <cell r="V879">
            <v>0</v>
          </cell>
          <cell r="AI879">
            <v>0</v>
          </cell>
        </row>
        <row r="880">
          <cell r="D880" t="str">
            <v>7646</v>
          </cell>
          <cell r="E880" t="str">
            <v>Reprises sur provisions pour acquisition et construction de logements</v>
          </cell>
          <cell r="F880">
            <v>0</v>
          </cell>
          <cell r="L880">
            <v>0</v>
          </cell>
          <cell r="P880">
            <v>0</v>
          </cell>
          <cell r="V880">
            <v>0</v>
          </cell>
          <cell r="AI880">
            <v>0</v>
          </cell>
        </row>
        <row r="881">
          <cell r="D881" t="str">
            <v>7655</v>
          </cell>
          <cell r="E881" t="str">
            <v>Reprises sur provisions pour risques et charges durables</v>
          </cell>
          <cell r="F881">
            <v>0</v>
          </cell>
          <cell r="L881">
            <v>0</v>
          </cell>
          <cell r="P881">
            <v>0</v>
          </cell>
          <cell r="V881">
            <v>0</v>
          </cell>
          <cell r="AI881">
            <v>0</v>
          </cell>
        </row>
        <row r="882">
          <cell r="D882" t="str">
            <v>7657</v>
          </cell>
          <cell r="E882" t="str">
            <v>Reprises sur provisions pour risques et charges momentanés</v>
          </cell>
          <cell r="F882">
            <v>0</v>
          </cell>
          <cell r="L882">
            <v>0</v>
          </cell>
          <cell r="P882">
            <v>0</v>
          </cell>
          <cell r="V882">
            <v>0</v>
          </cell>
          <cell r="AI882">
            <v>0</v>
          </cell>
        </row>
        <row r="883">
          <cell r="D883" t="str">
            <v>7662</v>
          </cell>
          <cell r="E883" t="str">
            <v>R.N.C sur provisions pour dépréciation de l'actif immobilisé</v>
          </cell>
          <cell r="F883">
            <v>0</v>
          </cell>
          <cell r="L883">
            <v>0</v>
          </cell>
          <cell r="P883">
            <v>0</v>
          </cell>
          <cell r="V883">
            <v>0</v>
          </cell>
          <cell r="AI883">
            <v>0</v>
          </cell>
        </row>
        <row r="884">
          <cell r="D884" t="str">
            <v>7663</v>
          </cell>
          <cell r="E884" t="str">
            <v>R.N.C sur provisions pour dépréciation de l'actif circulant</v>
          </cell>
          <cell r="F884">
            <v>0</v>
          </cell>
          <cell r="L884">
            <v>0</v>
          </cell>
          <cell r="P884">
            <v>0</v>
          </cell>
          <cell r="V884">
            <v>0</v>
          </cell>
          <cell r="AI884">
            <v>0</v>
          </cell>
        </row>
        <row r="885">
          <cell r="D885" t="str">
            <v>7670</v>
          </cell>
          <cell r="E885" t="str">
            <v>Transferts de charges non courantes</v>
          </cell>
          <cell r="F885">
            <v>0</v>
          </cell>
          <cell r="L885">
            <v>0</v>
          </cell>
          <cell r="P885">
            <v>0</v>
          </cell>
          <cell r="V885">
            <v>0</v>
          </cell>
          <cell r="AI885">
            <v>0</v>
          </cell>
        </row>
        <row r="886">
          <cell r="D886" t="str">
            <v>8101</v>
          </cell>
          <cell r="E886" t="str">
            <v>Recettes ligne 2101</v>
          </cell>
          <cell r="F886">
            <v>0</v>
          </cell>
          <cell r="L886">
            <v>0</v>
          </cell>
          <cell r="P886">
            <v>0</v>
          </cell>
          <cell r="V886">
            <v>0</v>
          </cell>
          <cell r="AI886">
            <v>0</v>
          </cell>
        </row>
        <row r="887">
          <cell r="D887" t="str">
            <v>8104</v>
          </cell>
          <cell r="E887" t="str">
            <v>Recettes ligne 2104</v>
          </cell>
          <cell r="F887">
            <v>0</v>
          </cell>
          <cell r="L887">
            <v>0</v>
          </cell>
          <cell r="P887">
            <v>0</v>
          </cell>
          <cell r="V887">
            <v>0</v>
          </cell>
          <cell r="AI887">
            <v>0</v>
          </cell>
        </row>
        <row r="888">
          <cell r="D888" t="str">
            <v>8105</v>
          </cell>
          <cell r="E888" t="str">
            <v>Recettes ligne 2105</v>
          </cell>
          <cell r="F888">
            <v>0</v>
          </cell>
          <cell r="L888">
            <v>0</v>
          </cell>
          <cell r="P888">
            <v>0</v>
          </cell>
          <cell r="V888">
            <v>0</v>
          </cell>
          <cell r="AI888">
            <v>0</v>
          </cell>
        </row>
        <row r="889">
          <cell r="D889" t="str">
            <v>8110</v>
          </cell>
          <cell r="E889" t="str">
            <v>Recettes ligne 2110</v>
          </cell>
          <cell r="F889">
            <v>0</v>
          </cell>
          <cell r="L889">
            <v>0</v>
          </cell>
          <cell r="P889">
            <v>0</v>
          </cell>
          <cell r="V889">
            <v>0</v>
          </cell>
          <cell r="AI889">
            <v>0</v>
          </cell>
        </row>
        <row r="890">
          <cell r="D890" t="str">
            <v>8121</v>
          </cell>
          <cell r="E890" t="str">
            <v>Recette ligne 2121</v>
          </cell>
          <cell r="F890">
            <v>0</v>
          </cell>
          <cell r="L890">
            <v>0</v>
          </cell>
          <cell r="P890">
            <v>0</v>
          </cell>
          <cell r="V890">
            <v>0</v>
          </cell>
          <cell r="AI890">
            <v>0</v>
          </cell>
        </row>
        <row r="891">
          <cell r="D891" t="str">
            <v>8122</v>
          </cell>
          <cell r="E891" t="str">
            <v>Recette ligne 2122</v>
          </cell>
          <cell r="F891">
            <v>0</v>
          </cell>
          <cell r="L891">
            <v>0</v>
          </cell>
          <cell r="P891">
            <v>0</v>
          </cell>
          <cell r="V891">
            <v>0</v>
          </cell>
          <cell r="AI891">
            <v>0</v>
          </cell>
        </row>
        <row r="892">
          <cell r="D892" t="str">
            <v>8123</v>
          </cell>
          <cell r="E892" t="str">
            <v>Recette ligne 2123</v>
          </cell>
          <cell r="F892">
            <v>0</v>
          </cell>
          <cell r="L892">
            <v>0</v>
          </cell>
          <cell r="P892">
            <v>0</v>
          </cell>
          <cell r="V892">
            <v>0</v>
          </cell>
          <cell r="AI892">
            <v>0</v>
          </cell>
        </row>
        <row r="893">
          <cell r="D893" t="str">
            <v>8124</v>
          </cell>
          <cell r="E893" t="str">
            <v>Recette ligne 2124</v>
          </cell>
          <cell r="F893">
            <v>0</v>
          </cell>
          <cell r="L893">
            <v>0</v>
          </cell>
          <cell r="P893">
            <v>0</v>
          </cell>
          <cell r="V893">
            <v>0</v>
          </cell>
          <cell r="AI893">
            <v>0</v>
          </cell>
        </row>
        <row r="894">
          <cell r="D894" t="str">
            <v>8125</v>
          </cell>
          <cell r="E894" t="str">
            <v>Recette ligne 2125</v>
          </cell>
          <cell r="F894">
            <v>0</v>
          </cell>
          <cell r="L894">
            <v>0</v>
          </cell>
          <cell r="P894">
            <v>0</v>
          </cell>
          <cell r="V894">
            <v>0</v>
          </cell>
          <cell r="AI894">
            <v>0</v>
          </cell>
        </row>
        <row r="895">
          <cell r="D895" t="str">
            <v>8126</v>
          </cell>
          <cell r="E895" t="str">
            <v>Recette ligne 2126</v>
          </cell>
          <cell r="F895">
            <v>0</v>
          </cell>
          <cell r="L895">
            <v>0</v>
          </cell>
          <cell r="P895">
            <v>0</v>
          </cell>
          <cell r="V895">
            <v>0</v>
          </cell>
          <cell r="AI895">
            <v>0</v>
          </cell>
        </row>
        <row r="896">
          <cell r="D896" t="str">
            <v>8130</v>
          </cell>
          <cell r="E896" t="str">
            <v>Recette ligne 2130</v>
          </cell>
          <cell r="F896">
            <v>0</v>
          </cell>
          <cell r="L896">
            <v>0</v>
          </cell>
          <cell r="P896">
            <v>0</v>
          </cell>
          <cell r="V896">
            <v>0</v>
          </cell>
          <cell r="AI896">
            <v>0</v>
          </cell>
        </row>
        <row r="897">
          <cell r="D897" t="str">
            <v>8140</v>
          </cell>
          <cell r="E897" t="str">
            <v>Recette ligne 2140</v>
          </cell>
          <cell r="F897">
            <v>0</v>
          </cell>
          <cell r="L897">
            <v>0</v>
          </cell>
          <cell r="P897">
            <v>0</v>
          </cell>
          <cell r="V897">
            <v>0</v>
          </cell>
          <cell r="AI897">
            <v>0</v>
          </cell>
        </row>
        <row r="898">
          <cell r="D898" t="str">
            <v>8141</v>
          </cell>
          <cell r="E898" t="str">
            <v>Recette ligne 2141</v>
          </cell>
          <cell r="F898">
            <v>0</v>
          </cell>
          <cell r="L898">
            <v>0</v>
          </cell>
          <cell r="P898">
            <v>0</v>
          </cell>
          <cell r="V898">
            <v>0</v>
          </cell>
          <cell r="AI898">
            <v>0</v>
          </cell>
        </row>
        <row r="899">
          <cell r="D899" t="str">
            <v>8142</v>
          </cell>
          <cell r="E899" t="str">
            <v>Recette ligne 2142</v>
          </cell>
          <cell r="F899">
            <v>0</v>
          </cell>
          <cell r="L899">
            <v>0</v>
          </cell>
          <cell r="P899">
            <v>0</v>
          </cell>
          <cell r="V899">
            <v>0</v>
          </cell>
          <cell r="AI899">
            <v>0</v>
          </cell>
        </row>
        <row r="900">
          <cell r="D900" t="str">
            <v>8149</v>
          </cell>
          <cell r="E900" t="str">
            <v>Recette ligne 2142 à 2149</v>
          </cell>
          <cell r="F900">
            <v>0</v>
          </cell>
          <cell r="L900">
            <v>0</v>
          </cell>
          <cell r="P900">
            <v>0</v>
          </cell>
          <cell r="V900">
            <v>0</v>
          </cell>
          <cell r="AI900">
            <v>0</v>
          </cell>
        </row>
        <row r="901">
          <cell r="D901" t="str">
            <v>8150</v>
          </cell>
          <cell r="E901" t="str">
            <v>Recettes ligne 2150</v>
          </cell>
          <cell r="F901">
            <v>0</v>
          </cell>
          <cell r="L901">
            <v>0</v>
          </cell>
          <cell r="P901">
            <v>0</v>
          </cell>
          <cell r="V901">
            <v>0</v>
          </cell>
          <cell r="AI901">
            <v>0</v>
          </cell>
        </row>
        <row r="902">
          <cell r="D902" t="str">
            <v>8151</v>
          </cell>
          <cell r="E902" t="str">
            <v>Recettes ligne 2151</v>
          </cell>
          <cell r="F902">
            <v>0</v>
          </cell>
          <cell r="L902">
            <v>0</v>
          </cell>
          <cell r="P902">
            <v>0</v>
          </cell>
          <cell r="V902">
            <v>0</v>
          </cell>
          <cell r="AI902">
            <v>0</v>
          </cell>
        </row>
        <row r="903">
          <cell r="D903" t="str">
            <v>8152</v>
          </cell>
          <cell r="E903" t="str">
            <v>Recettes ligne 2152</v>
          </cell>
          <cell r="F903">
            <v>0</v>
          </cell>
          <cell r="L903">
            <v>0</v>
          </cell>
          <cell r="P903">
            <v>0</v>
          </cell>
          <cell r="V903">
            <v>0</v>
          </cell>
          <cell r="AI903">
            <v>0</v>
          </cell>
        </row>
        <row r="904">
          <cell r="D904" t="str">
            <v>8153</v>
          </cell>
          <cell r="E904" t="str">
            <v>Recettes ligne 2153</v>
          </cell>
          <cell r="F904">
            <v>0</v>
          </cell>
          <cell r="L904">
            <v>0</v>
          </cell>
          <cell r="P904">
            <v>0</v>
          </cell>
          <cell r="V904">
            <v>0</v>
          </cell>
          <cell r="AI904">
            <v>0</v>
          </cell>
        </row>
        <row r="905">
          <cell r="D905" t="str">
            <v>8154</v>
          </cell>
          <cell r="E905" t="str">
            <v>Recettes ligne 2154</v>
          </cell>
          <cell r="F905">
            <v>0</v>
          </cell>
          <cell r="L905">
            <v>0</v>
          </cell>
          <cell r="P905">
            <v>0</v>
          </cell>
          <cell r="V905">
            <v>0</v>
          </cell>
          <cell r="AI905">
            <v>0</v>
          </cell>
        </row>
        <row r="906">
          <cell r="D906" t="str">
            <v>8155</v>
          </cell>
          <cell r="E906" t="str">
            <v>Recettes ligne 2155</v>
          </cell>
          <cell r="F906">
            <v>0</v>
          </cell>
          <cell r="L906">
            <v>0</v>
          </cell>
          <cell r="P906">
            <v>0</v>
          </cell>
          <cell r="V906">
            <v>0</v>
          </cell>
          <cell r="AI906">
            <v>0</v>
          </cell>
        </row>
        <row r="907">
          <cell r="D907" t="str">
            <v>8156</v>
          </cell>
          <cell r="E907" t="str">
            <v>Recettes ligne 2156</v>
          </cell>
          <cell r="F907">
            <v>0</v>
          </cell>
          <cell r="L907">
            <v>0</v>
          </cell>
          <cell r="P907">
            <v>0</v>
          </cell>
          <cell r="V907">
            <v>0</v>
          </cell>
          <cell r="AI907">
            <v>0</v>
          </cell>
        </row>
        <row r="908">
          <cell r="D908" t="str">
            <v>8157</v>
          </cell>
          <cell r="E908" t="str">
            <v>Recettes ligne 2157</v>
          </cell>
          <cell r="F908">
            <v>0</v>
          </cell>
          <cell r="L908">
            <v>0</v>
          </cell>
          <cell r="P908">
            <v>0</v>
          </cell>
          <cell r="V908">
            <v>0</v>
          </cell>
          <cell r="AI908">
            <v>0</v>
          </cell>
        </row>
        <row r="909">
          <cell r="D909" t="str">
            <v>8158</v>
          </cell>
          <cell r="E909" t="str">
            <v>Recettes ligne 2158</v>
          </cell>
          <cell r="F909">
            <v>0</v>
          </cell>
          <cell r="L909">
            <v>0</v>
          </cell>
          <cell r="P909">
            <v>0</v>
          </cell>
          <cell r="V909">
            <v>0</v>
          </cell>
          <cell r="AI909">
            <v>0</v>
          </cell>
        </row>
        <row r="910">
          <cell r="D910" t="str">
            <v>8159</v>
          </cell>
          <cell r="E910" t="str">
            <v>Recettes ligne 2159</v>
          </cell>
          <cell r="F910">
            <v>0</v>
          </cell>
          <cell r="L910">
            <v>0</v>
          </cell>
          <cell r="P910">
            <v>0</v>
          </cell>
          <cell r="V910">
            <v>0</v>
          </cell>
          <cell r="AI910">
            <v>0</v>
          </cell>
        </row>
        <row r="911">
          <cell r="D911" t="str">
            <v>8160</v>
          </cell>
          <cell r="E911" t="str">
            <v>Recettes ligne 2160</v>
          </cell>
          <cell r="F911">
            <v>0</v>
          </cell>
          <cell r="L911">
            <v>0</v>
          </cell>
          <cell r="P911">
            <v>0</v>
          </cell>
          <cell r="V911">
            <v>0</v>
          </cell>
          <cell r="AI911">
            <v>0</v>
          </cell>
        </row>
        <row r="912">
          <cell r="D912" t="str">
            <v>8161</v>
          </cell>
          <cell r="E912" t="str">
            <v>Recettes ligne 2161</v>
          </cell>
          <cell r="F912">
            <v>0</v>
          </cell>
          <cell r="L912">
            <v>0</v>
          </cell>
          <cell r="P912">
            <v>0</v>
          </cell>
          <cell r="V912">
            <v>0</v>
          </cell>
          <cell r="AI912">
            <v>0</v>
          </cell>
        </row>
        <row r="913">
          <cell r="D913" t="str">
            <v>8162</v>
          </cell>
          <cell r="E913" t="str">
            <v>Recettes ligne 2162</v>
          </cell>
          <cell r="F913">
            <v>0</v>
          </cell>
          <cell r="L913">
            <v>0</v>
          </cell>
          <cell r="P913">
            <v>0</v>
          </cell>
          <cell r="V913">
            <v>0</v>
          </cell>
          <cell r="AI913">
            <v>0</v>
          </cell>
        </row>
        <row r="914">
          <cell r="D914" t="str">
            <v>8163</v>
          </cell>
          <cell r="E914" t="str">
            <v>Recettes ligne 2163</v>
          </cell>
          <cell r="F914">
            <v>0</v>
          </cell>
          <cell r="L914">
            <v>0</v>
          </cell>
          <cell r="P914">
            <v>0</v>
          </cell>
          <cell r="V914">
            <v>0</v>
          </cell>
          <cell r="AI914">
            <v>0</v>
          </cell>
        </row>
        <row r="915">
          <cell r="D915" t="str">
            <v>8164</v>
          </cell>
          <cell r="E915" t="str">
            <v>Recettes ligne 2164</v>
          </cell>
          <cell r="F915">
            <v>0</v>
          </cell>
          <cell r="L915">
            <v>0</v>
          </cell>
          <cell r="P915">
            <v>0</v>
          </cell>
          <cell r="V915">
            <v>0</v>
          </cell>
          <cell r="AI915">
            <v>0</v>
          </cell>
        </row>
        <row r="916">
          <cell r="D916" t="str">
            <v>8169</v>
          </cell>
          <cell r="E916" t="str">
            <v>Recettes ligne 2169</v>
          </cell>
          <cell r="F916">
            <v>0</v>
          </cell>
          <cell r="L916">
            <v>0</v>
          </cell>
          <cell r="P916">
            <v>0</v>
          </cell>
          <cell r="V916">
            <v>0</v>
          </cell>
          <cell r="AI916">
            <v>0</v>
          </cell>
        </row>
        <row r="917">
          <cell r="D917" t="str">
            <v>8600</v>
          </cell>
          <cell r="E917" t="str">
            <v>Recette d'équilibrage des SA d'exécution, contrepartie LPR 2600</v>
          </cell>
          <cell r="F917">
            <v>0</v>
          </cell>
          <cell r="L917">
            <v>0</v>
          </cell>
          <cell r="P917">
            <v>0</v>
          </cell>
          <cell r="V917">
            <v>0</v>
          </cell>
          <cell r="AI917">
            <v>0</v>
          </cell>
        </row>
        <row r="918">
          <cell r="D918" t="str">
            <v>9099</v>
          </cell>
          <cell r="E918" t="str">
            <v>Achats de matières premières</v>
          </cell>
          <cell r="F918">
            <v>0</v>
          </cell>
          <cell r="L918">
            <v>0</v>
          </cell>
          <cell r="P918">
            <v>0</v>
          </cell>
          <cell r="V918">
            <v>0</v>
          </cell>
          <cell r="AI918">
            <v>0</v>
          </cell>
        </row>
        <row r="919">
          <cell r="D919" t="str">
            <v>9100</v>
          </cell>
          <cell r="E919" t="str">
            <v>Phosphate y1</v>
          </cell>
          <cell r="F919">
            <v>0</v>
          </cell>
          <cell r="L919">
            <v>0</v>
          </cell>
          <cell r="P919">
            <v>0</v>
          </cell>
          <cell r="V919">
            <v>0</v>
          </cell>
          <cell r="AI919">
            <v>0</v>
          </cell>
        </row>
        <row r="920">
          <cell r="D920" t="str">
            <v>9101</v>
          </cell>
          <cell r="E920" t="str">
            <v>Phosphate y12</v>
          </cell>
          <cell r="F920">
            <v>0</v>
          </cell>
          <cell r="L920">
            <v>0</v>
          </cell>
          <cell r="P920">
            <v>0</v>
          </cell>
          <cell r="V920">
            <v>0</v>
          </cell>
          <cell r="AI920">
            <v>0</v>
          </cell>
        </row>
        <row r="921">
          <cell r="D921" t="str">
            <v>9102</v>
          </cell>
          <cell r="E921" t="str">
            <v>Phosphate y2</v>
          </cell>
          <cell r="F921">
            <v>0</v>
          </cell>
          <cell r="L921">
            <v>0</v>
          </cell>
          <cell r="P921">
            <v>0</v>
          </cell>
          <cell r="V921">
            <v>0</v>
          </cell>
          <cell r="AI921">
            <v>0</v>
          </cell>
        </row>
        <row r="922">
          <cell r="D922" t="str">
            <v>9103</v>
          </cell>
          <cell r="E922" t="str">
            <v>Phosphate y21</v>
          </cell>
          <cell r="F922">
            <v>0</v>
          </cell>
          <cell r="L922">
            <v>0</v>
          </cell>
          <cell r="P922">
            <v>0</v>
          </cell>
          <cell r="V922">
            <v>0</v>
          </cell>
          <cell r="AI922">
            <v>0</v>
          </cell>
        </row>
        <row r="923">
          <cell r="D923" t="str">
            <v>9104</v>
          </cell>
          <cell r="E923" t="str">
            <v>Phosphate y23</v>
          </cell>
          <cell r="F923">
            <v>0</v>
          </cell>
          <cell r="L923">
            <v>0</v>
          </cell>
          <cell r="P923">
            <v>0</v>
          </cell>
          <cell r="V923">
            <v>0</v>
          </cell>
          <cell r="AI923">
            <v>0</v>
          </cell>
        </row>
        <row r="924">
          <cell r="D924" t="str">
            <v>9105</v>
          </cell>
          <cell r="E924" t="str">
            <v>Phosphate noir seché yns</v>
          </cell>
          <cell r="F924">
            <v>0</v>
          </cell>
          <cell r="L924">
            <v>0</v>
          </cell>
          <cell r="P924">
            <v>0</v>
          </cell>
          <cell r="V924">
            <v>0</v>
          </cell>
          <cell r="AI924">
            <v>0</v>
          </cell>
        </row>
        <row r="925">
          <cell r="D925" t="str">
            <v>9106</v>
          </cell>
          <cell r="E925" t="str">
            <v>Phosphate humide BG standard BG st</v>
          </cell>
          <cell r="F925">
            <v>0</v>
          </cell>
          <cell r="L925">
            <v>0</v>
          </cell>
          <cell r="P925">
            <v>0</v>
          </cell>
          <cell r="V925">
            <v>0</v>
          </cell>
          <cell r="AI925">
            <v>0</v>
          </cell>
        </row>
        <row r="926">
          <cell r="D926" t="str">
            <v>9107</v>
          </cell>
          <cell r="E926" t="str">
            <v>Phosphate humide BG spécial BG sp</v>
          </cell>
          <cell r="F926">
            <v>0</v>
          </cell>
          <cell r="L926">
            <v>0</v>
          </cell>
          <cell r="P926">
            <v>0</v>
          </cell>
          <cell r="V926">
            <v>0</v>
          </cell>
          <cell r="AI926">
            <v>0</v>
          </cell>
        </row>
        <row r="927">
          <cell r="D927" t="str">
            <v>9108</v>
          </cell>
          <cell r="E927" t="str">
            <v>Phosphate C4 BG sec</v>
          </cell>
          <cell r="F927">
            <v>0</v>
          </cell>
          <cell r="L927">
            <v>0</v>
          </cell>
          <cell r="P927">
            <v>0</v>
          </cell>
          <cell r="V927">
            <v>0</v>
          </cell>
          <cell r="AI927">
            <v>0</v>
          </cell>
        </row>
        <row r="928">
          <cell r="D928" t="str">
            <v>9109</v>
          </cell>
          <cell r="E928" t="str">
            <v>Phosphate C4 BG Humide Criblé</v>
          </cell>
          <cell r="F928">
            <v>0</v>
          </cell>
          <cell r="L928">
            <v>0</v>
          </cell>
          <cell r="P928">
            <v>0</v>
          </cell>
          <cell r="V928">
            <v>0</v>
          </cell>
          <cell r="AI928">
            <v>0</v>
          </cell>
        </row>
        <row r="929">
          <cell r="D929" t="str">
            <v>9110</v>
          </cell>
          <cell r="E929" t="str">
            <v>Phosphate K02</v>
          </cell>
          <cell r="F929">
            <v>0</v>
          </cell>
          <cell r="L929">
            <v>0</v>
          </cell>
          <cell r="P929">
            <v>0</v>
          </cell>
          <cell r="V929">
            <v>0</v>
          </cell>
          <cell r="AI929">
            <v>0</v>
          </cell>
        </row>
        <row r="930">
          <cell r="D930" t="str">
            <v>9111</v>
          </cell>
          <cell r="E930" t="str">
            <v>Phosphate K09</v>
          </cell>
          <cell r="F930">
            <v>0</v>
          </cell>
          <cell r="L930">
            <v>0</v>
          </cell>
          <cell r="P930">
            <v>0</v>
          </cell>
          <cell r="V930">
            <v>0</v>
          </cell>
          <cell r="AI930">
            <v>0</v>
          </cell>
        </row>
        <row r="931">
          <cell r="D931" t="str">
            <v>9112</v>
          </cell>
          <cell r="E931" t="str">
            <v>Phosphate K10</v>
          </cell>
          <cell r="F931">
            <v>0</v>
          </cell>
          <cell r="L931">
            <v>0</v>
          </cell>
          <cell r="P931">
            <v>0</v>
          </cell>
          <cell r="V931">
            <v>0</v>
          </cell>
          <cell r="AI931">
            <v>0</v>
          </cell>
        </row>
        <row r="932">
          <cell r="D932" t="str">
            <v>9113</v>
          </cell>
          <cell r="E932" t="str">
            <v>Phosphate K12 Grande Paroisse</v>
          </cell>
          <cell r="F932">
            <v>0</v>
          </cell>
          <cell r="L932">
            <v>0</v>
          </cell>
          <cell r="P932">
            <v>0</v>
          </cell>
          <cell r="V932">
            <v>0</v>
          </cell>
          <cell r="AI932">
            <v>0</v>
          </cell>
        </row>
        <row r="933">
          <cell r="D933" t="str">
            <v>9114</v>
          </cell>
          <cell r="E933" t="str">
            <v>Phosphate K20 Grande Paroisse</v>
          </cell>
          <cell r="F933">
            <v>0</v>
          </cell>
          <cell r="L933">
            <v>0</v>
          </cell>
          <cell r="P933">
            <v>0</v>
          </cell>
          <cell r="V933">
            <v>0</v>
          </cell>
          <cell r="AI933">
            <v>0</v>
          </cell>
        </row>
        <row r="934">
          <cell r="D934" t="str">
            <v>9115</v>
          </cell>
          <cell r="E934" t="str">
            <v>Phosphates boucraa 80°/° bpl</v>
          </cell>
          <cell r="F934">
            <v>0</v>
          </cell>
          <cell r="L934">
            <v>0</v>
          </cell>
          <cell r="P934">
            <v>0</v>
          </cell>
          <cell r="V934">
            <v>0</v>
          </cell>
          <cell r="AI934">
            <v>0</v>
          </cell>
        </row>
        <row r="935">
          <cell r="D935" t="str">
            <v>9120</v>
          </cell>
          <cell r="E935" t="str">
            <v>Soufre solide</v>
          </cell>
          <cell r="F935">
            <v>0</v>
          </cell>
          <cell r="L935">
            <v>0</v>
          </cell>
          <cell r="P935">
            <v>0</v>
          </cell>
          <cell r="V935">
            <v>0</v>
          </cell>
          <cell r="AI935">
            <v>0</v>
          </cell>
        </row>
        <row r="936">
          <cell r="D936" t="str">
            <v>9121</v>
          </cell>
          <cell r="E936" t="str">
            <v>Soufre liquide</v>
          </cell>
          <cell r="F936">
            <v>0</v>
          </cell>
          <cell r="L936">
            <v>0</v>
          </cell>
          <cell r="P936">
            <v>0</v>
          </cell>
          <cell r="V936">
            <v>0</v>
          </cell>
          <cell r="AI936">
            <v>0</v>
          </cell>
        </row>
        <row r="937">
          <cell r="D937" t="str">
            <v>9122</v>
          </cell>
          <cell r="E937" t="str">
            <v>KCL chlorure de potasse</v>
          </cell>
          <cell r="F937">
            <v>0</v>
          </cell>
          <cell r="L937">
            <v>0</v>
          </cell>
          <cell r="P937">
            <v>0</v>
          </cell>
          <cell r="V937">
            <v>0</v>
          </cell>
          <cell r="AI937">
            <v>0</v>
          </cell>
        </row>
        <row r="938">
          <cell r="D938" t="str">
            <v>9123</v>
          </cell>
          <cell r="E938" t="str">
            <v>Ammoniac import</v>
          </cell>
          <cell r="F938">
            <v>0</v>
          </cell>
          <cell r="L938">
            <v>0</v>
          </cell>
          <cell r="P938">
            <v>0</v>
          </cell>
          <cell r="V938">
            <v>0</v>
          </cell>
          <cell r="AI938">
            <v>0</v>
          </cell>
        </row>
        <row r="939">
          <cell r="D939" t="str">
            <v>9140</v>
          </cell>
          <cell r="E939" t="str">
            <v>Acide sulfurique import</v>
          </cell>
          <cell r="F939">
            <v>0</v>
          </cell>
          <cell r="L939">
            <v>0</v>
          </cell>
          <cell r="P939">
            <v>0</v>
          </cell>
          <cell r="V939">
            <v>0</v>
          </cell>
          <cell r="AI939">
            <v>0</v>
          </cell>
        </row>
        <row r="940">
          <cell r="D940" t="str">
            <v>9151</v>
          </cell>
          <cell r="E940" t="str">
            <v>Transport de phosphates</v>
          </cell>
          <cell r="F940">
            <v>0</v>
          </cell>
          <cell r="L940">
            <v>0</v>
          </cell>
          <cell r="P940">
            <v>0</v>
          </cell>
          <cell r="V940">
            <v>0</v>
          </cell>
          <cell r="AI940">
            <v>0</v>
          </cell>
        </row>
        <row r="941">
          <cell r="D941" t="str">
            <v>9161</v>
          </cell>
          <cell r="E941" t="str">
            <v>Frêt et frais sur importations soufre</v>
          </cell>
          <cell r="F941">
            <v>0</v>
          </cell>
          <cell r="L941">
            <v>0</v>
          </cell>
          <cell r="P941">
            <v>0</v>
          </cell>
          <cell r="V941">
            <v>0</v>
          </cell>
          <cell r="AI941">
            <v>0</v>
          </cell>
        </row>
        <row r="942">
          <cell r="D942" t="str">
            <v>9164</v>
          </cell>
          <cell r="E942" t="str">
            <v>Frêt et frais sur importation KCL</v>
          </cell>
          <cell r="F942">
            <v>0</v>
          </cell>
          <cell r="L942">
            <v>0</v>
          </cell>
          <cell r="P942">
            <v>0</v>
          </cell>
          <cell r="V942">
            <v>0</v>
          </cell>
          <cell r="AI942">
            <v>0</v>
          </cell>
        </row>
        <row r="943">
          <cell r="D943" t="str">
            <v>9166</v>
          </cell>
          <cell r="E943" t="str">
            <v>Frêt et frais sur importations ammoniac</v>
          </cell>
          <cell r="F943">
            <v>0</v>
          </cell>
          <cell r="L943">
            <v>0</v>
          </cell>
          <cell r="P943">
            <v>0</v>
          </cell>
          <cell r="V943">
            <v>0</v>
          </cell>
          <cell r="AI943">
            <v>0</v>
          </cell>
        </row>
        <row r="944">
          <cell r="D944" t="str">
            <v>9168</v>
          </cell>
          <cell r="E944" t="str">
            <v>Frêt et frais sur importations acide sulfurique</v>
          </cell>
          <cell r="F944">
            <v>0</v>
          </cell>
          <cell r="L944">
            <v>0</v>
          </cell>
          <cell r="P944">
            <v>0</v>
          </cell>
          <cell r="V944">
            <v>0</v>
          </cell>
          <cell r="AI944">
            <v>0</v>
          </cell>
        </row>
        <row r="945">
          <cell r="D945" t="str">
            <v>9199</v>
          </cell>
          <cell r="E945" t="str">
            <v>Achats de matières et fournitures consommables</v>
          </cell>
          <cell r="F945">
            <v>0</v>
          </cell>
          <cell r="L945">
            <v>0</v>
          </cell>
          <cell r="P945">
            <v>0</v>
          </cell>
          <cell r="V945">
            <v>0</v>
          </cell>
          <cell r="AI945">
            <v>0</v>
          </cell>
        </row>
        <row r="946">
          <cell r="D946" t="str">
            <v>9220</v>
          </cell>
          <cell r="E946" t="str">
            <v>Matières auxiliaires</v>
          </cell>
          <cell r="F946">
            <v>0</v>
          </cell>
          <cell r="L946">
            <v>0</v>
          </cell>
          <cell r="P946">
            <v>0</v>
          </cell>
          <cell r="V946">
            <v>0</v>
          </cell>
          <cell r="AI946">
            <v>0</v>
          </cell>
        </row>
        <row r="947">
          <cell r="D947" t="str">
            <v>9232</v>
          </cell>
          <cell r="E947" t="str">
            <v>Essence légère</v>
          </cell>
          <cell r="F947">
            <v>0</v>
          </cell>
          <cell r="L947">
            <v>0</v>
          </cell>
          <cell r="P947">
            <v>0</v>
          </cell>
          <cell r="V947">
            <v>0</v>
          </cell>
          <cell r="AI947">
            <v>0</v>
          </cell>
        </row>
        <row r="948">
          <cell r="D948" t="str">
            <v>9233</v>
          </cell>
          <cell r="E948" t="str">
            <v>Gasoil</v>
          </cell>
          <cell r="F948">
            <v>0</v>
          </cell>
          <cell r="L948">
            <v>0</v>
          </cell>
          <cell r="P948">
            <v>0</v>
          </cell>
          <cell r="V948">
            <v>0</v>
          </cell>
          <cell r="AI948">
            <v>0</v>
          </cell>
        </row>
        <row r="949">
          <cell r="D949" t="str">
            <v>9234</v>
          </cell>
          <cell r="E949" t="str">
            <v>Lubrifiants</v>
          </cell>
          <cell r="F949">
            <v>0</v>
          </cell>
          <cell r="L949">
            <v>0</v>
          </cell>
          <cell r="P949">
            <v>0</v>
          </cell>
          <cell r="V949">
            <v>0</v>
          </cell>
          <cell r="AI949">
            <v>0</v>
          </cell>
        </row>
        <row r="950">
          <cell r="D950" t="str">
            <v>9241</v>
          </cell>
          <cell r="E950" t="str">
            <v>Produits d'entretien</v>
          </cell>
          <cell r="F950">
            <v>0</v>
          </cell>
          <cell r="L950">
            <v>0</v>
          </cell>
          <cell r="P950">
            <v>0</v>
          </cell>
          <cell r="V950">
            <v>0</v>
          </cell>
          <cell r="AI950">
            <v>0</v>
          </cell>
        </row>
        <row r="951">
          <cell r="D951" t="str">
            <v>9242</v>
          </cell>
          <cell r="E951" t="str">
            <v>Produits de laboratoires</v>
          </cell>
          <cell r="F951">
            <v>0</v>
          </cell>
          <cell r="L951">
            <v>0</v>
          </cell>
          <cell r="P951">
            <v>0</v>
          </cell>
          <cell r="V951">
            <v>0</v>
          </cell>
          <cell r="AI951">
            <v>0</v>
          </cell>
        </row>
        <row r="952">
          <cell r="D952" t="str">
            <v>9243</v>
          </cell>
          <cell r="E952" t="str">
            <v>Aciers et gaz industriels</v>
          </cell>
          <cell r="F952">
            <v>0</v>
          </cell>
          <cell r="L952">
            <v>0</v>
          </cell>
          <cell r="P952">
            <v>0</v>
          </cell>
          <cell r="V952">
            <v>0</v>
          </cell>
          <cell r="AI952">
            <v>0</v>
          </cell>
        </row>
        <row r="953">
          <cell r="D953" t="str">
            <v>9244</v>
          </cell>
          <cell r="E953" t="str">
            <v>Habillement et produits de sécurité</v>
          </cell>
          <cell r="F953">
            <v>0</v>
          </cell>
          <cell r="L953">
            <v>0</v>
          </cell>
          <cell r="P953">
            <v>0</v>
          </cell>
          <cell r="V953">
            <v>0</v>
          </cell>
          <cell r="AI953">
            <v>0</v>
          </cell>
        </row>
        <row r="954">
          <cell r="D954" t="str">
            <v>9245</v>
          </cell>
          <cell r="E954" t="str">
            <v>Matériaux et produits de construction</v>
          </cell>
          <cell r="F954">
            <v>0</v>
          </cell>
          <cell r="L954">
            <v>0</v>
          </cell>
          <cell r="P954">
            <v>0</v>
          </cell>
          <cell r="V954">
            <v>0</v>
          </cell>
          <cell r="AI954">
            <v>0</v>
          </cell>
        </row>
        <row r="955">
          <cell r="D955" t="str">
            <v>9248</v>
          </cell>
          <cell r="E955" t="str">
            <v>Matières et fournitures consommables diverses</v>
          </cell>
          <cell r="F955">
            <v>0</v>
          </cell>
          <cell r="L955">
            <v>0</v>
          </cell>
          <cell r="P955">
            <v>0</v>
          </cell>
          <cell r="V955">
            <v>0</v>
          </cell>
          <cell r="AI955">
            <v>0</v>
          </cell>
        </row>
        <row r="956">
          <cell r="D956" t="str">
            <v>9250</v>
          </cell>
          <cell r="E956" t="str">
            <v>Bois de mine</v>
          </cell>
          <cell r="F956">
            <v>0</v>
          </cell>
          <cell r="L956">
            <v>0</v>
          </cell>
          <cell r="P956">
            <v>0</v>
          </cell>
          <cell r="V956">
            <v>0</v>
          </cell>
          <cell r="AI956">
            <v>0</v>
          </cell>
        </row>
        <row r="957">
          <cell r="D957" t="str">
            <v>9251</v>
          </cell>
          <cell r="E957" t="str">
            <v>Courroies transporteuses</v>
          </cell>
          <cell r="F957">
            <v>0</v>
          </cell>
          <cell r="L957">
            <v>0</v>
          </cell>
          <cell r="P957">
            <v>0</v>
          </cell>
          <cell r="V957">
            <v>0</v>
          </cell>
          <cell r="AI957">
            <v>0</v>
          </cell>
        </row>
        <row r="958">
          <cell r="D958" t="str">
            <v>9252</v>
          </cell>
          <cell r="E958" t="str">
            <v>Explosifs</v>
          </cell>
          <cell r="F958">
            <v>0</v>
          </cell>
          <cell r="L958">
            <v>0</v>
          </cell>
          <cell r="P958">
            <v>0</v>
          </cell>
          <cell r="V958">
            <v>0</v>
          </cell>
          <cell r="AI958">
            <v>0</v>
          </cell>
        </row>
        <row r="959">
          <cell r="D959" t="str">
            <v>9253</v>
          </cell>
          <cell r="E959" t="str">
            <v>Rouleaux de convoyeurs</v>
          </cell>
          <cell r="F959">
            <v>0</v>
          </cell>
          <cell r="L959">
            <v>0</v>
          </cell>
          <cell r="P959">
            <v>0</v>
          </cell>
          <cell r="V959">
            <v>0</v>
          </cell>
          <cell r="AI959">
            <v>0</v>
          </cell>
        </row>
        <row r="960">
          <cell r="D960" t="str">
            <v>9254</v>
          </cell>
          <cell r="E960" t="str">
            <v>Lames d'usure de bulls et niveleuses</v>
          </cell>
          <cell r="F960">
            <v>0</v>
          </cell>
          <cell r="L960">
            <v>0</v>
          </cell>
          <cell r="P960">
            <v>0</v>
          </cell>
          <cell r="V960">
            <v>0</v>
          </cell>
          <cell r="AI960">
            <v>0</v>
          </cell>
        </row>
        <row r="961">
          <cell r="D961" t="str">
            <v>9255</v>
          </cell>
          <cell r="E961" t="str">
            <v>Tiges, drill - collar</v>
          </cell>
          <cell r="F961">
            <v>0</v>
          </cell>
          <cell r="L961">
            <v>0</v>
          </cell>
          <cell r="P961">
            <v>0</v>
          </cell>
          <cell r="V961">
            <v>0</v>
          </cell>
          <cell r="AI961">
            <v>0</v>
          </cell>
        </row>
        <row r="962">
          <cell r="D962" t="str">
            <v>9256</v>
          </cell>
          <cell r="E962" t="str">
            <v>Tricones de sondeuses</v>
          </cell>
          <cell r="F962">
            <v>0</v>
          </cell>
          <cell r="L962">
            <v>0</v>
          </cell>
          <cell r="P962">
            <v>0</v>
          </cell>
          <cell r="V962">
            <v>0</v>
          </cell>
          <cell r="AI962">
            <v>0</v>
          </cell>
        </row>
        <row r="963">
          <cell r="D963" t="str">
            <v>9257</v>
          </cell>
          <cell r="E963" t="str">
            <v>Cables de draglines</v>
          </cell>
          <cell r="F963">
            <v>0</v>
          </cell>
          <cell r="L963">
            <v>0</v>
          </cell>
          <cell r="P963">
            <v>0</v>
          </cell>
          <cell r="V963">
            <v>0</v>
          </cell>
          <cell r="AI963">
            <v>0</v>
          </cell>
        </row>
        <row r="964">
          <cell r="D964" t="str">
            <v>9258</v>
          </cell>
          <cell r="E964" t="str">
            <v>Godets et dents de draglines</v>
          </cell>
          <cell r="F964">
            <v>0</v>
          </cell>
          <cell r="L964">
            <v>0</v>
          </cell>
          <cell r="P964">
            <v>0</v>
          </cell>
          <cell r="V964">
            <v>0</v>
          </cell>
          <cell r="AI964">
            <v>0</v>
          </cell>
        </row>
        <row r="965">
          <cell r="D965" t="str">
            <v>9259</v>
          </cell>
          <cell r="E965" t="str">
            <v>Cables éléctriques</v>
          </cell>
          <cell r="F965">
            <v>0</v>
          </cell>
          <cell r="L965">
            <v>0</v>
          </cell>
          <cell r="P965">
            <v>0</v>
          </cell>
          <cell r="V965">
            <v>0</v>
          </cell>
          <cell r="AI965">
            <v>0</v>
          </cell>
        </row>
        <row r="966">
          <cell r="D966" t="str">
            <v>9261</v>
          </cell>
          <cell r="E966" t="str">
            <v>Pneumatiques pour engins lourds</v>
          </cell>
          <cell r="F966">
            <v>0</v>
          </cell>
          <cell r="L966">
            <v>0</v>
          </cell>
          <cell r="P966">
            <v>0</v>
          </cell>
          <cell r="V966">
            <v>0</v>
          </cell>
          <cell r="AI966">
            <v>0</v>
          </cell>
        </row>
        <row r="967">
          <cell r="D967" t="str">
            <v>9262</v>
          </cell>
          <cell r="E967" t="str">
            <v>Pneumatiques pour voitures légères</v>
          </cell>
          <cell r="F967">
            <v>0</v>
          </cell>
          <cell r="L967">
            <v>0</v>
          </cell>
          <cell r="P967">
            <v>0</v>
          </cell>
          <cell r="V967">
            <v>0</v>
          </cell>
          <cell r="AI967">
            <v>0</v>
          </cell>
        </row>
        <row r="968">
          <cell r="D968" t="str">
            <v>9263</v>
          </cell>
          <cell r="E968" t="str">
            <v>Pièces de rechange du matériel</v>
          </cell>
          <cell r="F968">
            <v>0</v>
          </cell>
          <cell r="L968">
            <v>0</v>
          </cell>
          <cell r="P968">
            <v>0</v>
          </cell>
          <cell r="V968">
            <v>0</v>
          </cell>
          <cell r="AI968">
            <v>0</v>
          </cell>
        </row>
        <row r="969">
          <cell r="D969" t="str">
            <v>9264</v>
          </cell>
          <cell r="E969" t="str">
            <v>Pièces détachées automobiles</v>
          </cell>
          <cell r="F969">
            <v>0</v>
          </cell>
          <cell r="L969">
            <v>0</v>
          </cell>
          <cell r="P969">
            <v>0</v>
          </cell>
          <cell r="V969">
            <v>0</v>
          </cell>
          <cell r="AI969">
            <v>0</v>
          </cell>
        </row>
        <row r="970">
          <cell r="D970" t="str">
            <v>9265</v>
          </cell>
          <cell r="E970" t="str">
            <v>Petit outillage</v>
          </cell>
          <cell r="F970">
            <v>0</v>
          </cell>
          <cell r="L970">
            <v>0</v>
          </cell>
          <cell r="P970">
            <v>0</v>
          </cell>
          <cell r="V970">
            <v>0</v>
          </cell>
          <cell r="AI970">
            <v>0</v>
          </cell>
        </row>
        <row r="971">
          <cell r="D971" t="str">
            <v>9266</v>
          </cell>
          <cell r="E971" t="str">
            <v>Produits pharmaceutiques</v>
          </cell>
          <cell r="F971">
            <v>0</v>
          </cell>
          <cell r="L971">
            <v>0</v>
          </cell>
          <cell r="P971">
            <v>0</v>
          </cell>
          <cell r="V971">
            <v>0</v>
          </cell>
          <cell r="AI971">
            <v>0</v>
          </cell>
        </row>
        <row r="972">
          <cell r="D972" t="str">
            <v>9267</v>
          </cell>
          <cell r="E972" t="str">
            <v>Petit matériel à usage médical</v>
          </cell>
          <cell r="F972">
            <v>0</v>
          </cell>
          <cell r="L972">
            <v>0</v>
          </cell>
          <cell r="P972">
            <v>0</v>
          </cell>
          <cell r="V972">
            <v>0</v>
          </cell>
          <cell r="AI972">
            <v>0</v>
          </cell>
        </row>
        <row r="973">
          <cell r="D973" t="str">
            <v>9270</v>
          </cell>
          <cell r="E973" t="str">
            <v>Fournitures de bureau</v>
          </cell>
          <cell r="F973">
            <v>0</v>
          </cell>
          <cell r="L973">
            <v>0</v>
          </cell>
          <cell r="P973">
            <v>0</v>
          </cell>
          <cell r="V973">
            <v>0</v>
          </cell>
          <cell r="AI973">
            <v>0</v>
          </cell>
        </row>
        <row r="974">
          <cell r="D974" t="str">
            <v>9284</v>
          </cell>
          <cell r="E974" t="str">
            <v>Frêt et frais sur importations de matières et fournitures consommables</v>
          </cell>
          <cell r="F974">
            <v>0</v>
          </cell>
          <cell r="L974">
            <v>0</v>
          </cell>
          <cell r="P974">
            <v>0</v>
          </cell>
          <cell r="V974">
            <v>0</v>
          </cell>
          <cell r="AI974">
            <v>0</v>
          </cell>
        </row>
        <row r="975">
          <cell r="D975" t="str">
            <v>9286</v>
          </cell>
          <cell r="E975" t="str">
            <v>Droits de douane sur importations de matières et fournitures consom.</v>
          </cell>
          <cell r="F975">
            <v>0</v>
          </cell>
          <cell r="L975">
            <v>0</v>
          </cell>
          <cell r="P975">
            <v>0</v>
          </cell>
          <cell r="V975">
            <v>0</v>
          </cell>
          <cell r="AI975">
            <v>0</v>
          </cell>
        </row>
        <row r="976">
          <cell r="D976" t="str">
            <v>9330</v>
          </cell>
          <cell r="E976" t="str">
            <v>Emballages à usage mixte</v>
          </cell>
          <cell r="F976">
            <v>0</v>
          </cell>
          <cell r="L976">
            <v>0</v>
          </cell>
          <cell r="P976">
            <v>0</v>
          </cell>
          <cell r="V976">
            <v>0</v>
          </cell>
          <cell r="AI976">
            <v>0</v>
          </cell>
        </row>
        <row r="977">
          <cell r="D977" t="str">
            <v>9541</v>
          </cell>
          <cell r="E977" t="str">
            <v>Tonnage initial</v>
          </cell>
          <cell r="F977">
            <v>0</v>
          </cell>
          <cell r="L977">
            <v>0</v>
          </cell>
          <cell r="P977">
            <v>0</v>
          </cell>
          <cell r="V977">
            <v>0</v>
          </cell>
          <cell r="AI977">
            <v>0</v>
          </cell>
        </row>
        <row r="978">
          <cell r="D978" t="str">
            <v>9542</v>
          </cell>
          <cell r="E978" t="str">
            <v>Tonnage final</v>
          </cell>
          <cell r="F978">
            <v>0</v>
          </cell>
          <cell r="L978">
            <v>0</v>
          </cell>
          <cell r="P978">
            <v>0</v>
          </cell>
          <cell r="V978">
            <v>0</v>
          </cell>
          <cell r="AI978">
            <v>0</v>
          </cell>
        </row>
        <row r="979">
          <cell r="D979" t="str">
            <v>9543</v>
          </cell>
          <cell r="E979" t="str">
            <v>Tonnage déclassé</v>
          </cell>
          <cell r="F979">
            <v>0</v>
          </cell>
          <cell r="L979">
            <v>0</v>
          </cell>
          <cell r="P979">
            <v>0</v>
          </cell>
          <cell r="V979">
            <v>0</v>
          </cell>
          <cell r="AI979">
            <v>0</v>
          </cell>
        </row>
        <row r="980">
          <cell r="D980" t="str">
            <v>9544</v>
          </cell>
          <cell r="E980" t="str">
            <v>Tonnage surclassé</v>
          </cell>
          <cell r="F980">
            <v>0</v>
          </cell>
          <cell r="L980">
            <v>0</v>
          </cell>
          <cell r="P980">
            <v>0</v>
          </cell>
          <cell r="V980">
            <v>0</v>
          </cell>
          <cell r="AI980">
            <v>0</v>
          </cell>
        </row>
        <row r="981">
          <cell r="D981" t="str">
            <v>9545</v>
          </cell>
          <cell r="E981" t="str">
            <v>Tonnage sortant</v>
          </cell>
          <cell r="F981">
            <v>0</v>
          </cell>
          <cell r="L981">
            <v>0</v>
          </cell>
          <cell r="P981">
            <v>0</v>
          </cell>
          <cell r="V981">
            <v>0</v>
          </cell>
          <cell r="AI981">
            <v>0</v>
          </cell>
        </row>
        <row r="982">
          <cell r="D982" t="str">
            <v>9546</v>
          </cell>
          <cell r="E982" t="str">
            <v>Tonnage entrant</v>
          </cell>
          <cell r="F982">
            <v>0</v>
          </cell>
          <cell r="L982">
            <v>0</v>
          </cell>
          <cell r="P982">
            <v>0</v>
          </cell>
          <cell r="V982">
            <v>0</v>
          </cell>
          <cell r="AI982">
            <v>0</v>
          </cell>
        </row>
        <row r="983">
          <cell r="L983">
            <v>0</v>
          </cell>
          <cell r="P983">
            <v>0</v>
          </cell>
          <cell r="V983">
            <v>0</v>
          </cell>
          <cell r="AI983">
            <v>0</v>
          </cell>
        </row>
        <row r="984">
          <cell r="L984">
            <v>0</v>
          </cell>
          <cell r="P984">
            <v>0</v>
          </cell>
          <cell r="V984">
            <v>0</v>
          </cell>
          <cell r="AI984">
            <v>0</v>
          </cell>
        </row>
      </sheetData>
      <sheetData sheetId="5" refreshError="1">
        <row r="7">
          <cell r="B7" t="str">
            <v>N°</v>
          </cell>
          <cell r="C7" t="str">
            <v xml:space="preserve">Anc.LPR </v>
          </cell>
          <cell r="D7" t="str">
            <v xml:space="preserve">Netph.LPR </v>
          </cell>
          <cell r="E7" t="str">
            <v>Description</v>
          </cell>
          <cell r="F7">
            <v>65132</v>
          </cell>
          <cell r="G7">
            <v>65134</v>
          </cell>
          <cell r="H7">
            <v>65258</v>
          </cell>
          <cell r="I7">
            <v>65767</v>
          </cell>
          <cell r="J7">
            <v>65771</v>
          </cell>
          <cell r="K7">
            <v>65772</v>
          </cell>
          <cell r="L7" t="str">
            <v>Total</v>
          </cell>
          <cell r="M7" t="str">
            <v>Total</v>
          </cell>
          <cell r="N7">
            <v>65000</v>
          </cell>
          <cell r="O7">
            <v>65004</v>
          </cell>
          <cell r="P7" t="str">
            <v>Total</v>
          </cell>
          <cell r="Q7" t="str">
            <v>Total</v>
          </cell>
          <cell r="R7" t="str">
            <v>Total</v>
          </cell>
          <cell r="T7" t="str">
            <v>---</v>
          </cell>
          <cell r="U7" t="str">
            <v>---</v>
          </cell>
          <cell r="V7" t="str">
            <v>---</v>
          </cell>
          <cell r="W7" t="str">
            <v>---</v>
          </cell>
          <cell r="X7" t="str">
            <v>---</v>
          </cell>
          <cell r="Y7" t="str">
            <v>---</v>
          </cell>
          <cell r="Z7" t="str">
            <v>---</v>
          </cell>
          <cell r="AA7" t="str">
            <v>---</v>
          </cell>
          <cell r="AB7" t="str">
            <v>---</v>
          </cell>
          <cell r="AC7" t="str">
            <v>TOTALRecette 9</v>
          </cell>
        </row>
        <row r="8">
          <cell r="D8" t="str">
            <v>0</v>
          </cell>
          <cell r="E8" t="str">
            <v>Non Significative</v>
          </cell>
          <cell r="F8">
            <v>0</v>
          </cell>
          <cell r="L8">
            <v>0</v>
          </cell>
          <cell r="P8">
            <v>0</v>
          </cell>
          <cell r="AC8">
            <v>0</v>
          </cell>
        </row>
        <row r="9">
          <cell r="D9" t="str">
            <v>0640</v>
          </cell>
          <cell r="E9" t="str">
            <v>Achats revendus des marchadises sur exrecices antérieurs</v>
          </cell>
          <cell r="F9">
            <v>0</v>
          </cell>
          <cell r="L9">
            <v>0</v>
          </cell>
          <cell r="P9">
            <v>0</v>
          </cell>
          <cell r="AC9">
            <v>0</v>
          </cell>
        </row>
        <row r="10">
          <cell r="D10" t="str">
            <v>0641</v>
          </cell>
          <cell r="E10" t="str">
            <v>RRRO des achats sur exercices antérieurs</v>
          </cell>
          <cell r="F10">
            <v>0</v>
          </cell>
          <cell r="L10">
            <v>0</v>
          </cell>
          <cell r="P10">
            <v>0</v>
          </cell>
          <cell r="AC10">
            <v>0</v>
          </cell>
        </row>
        <row r="11">
          <cell r="D11" t="str">
            <v>0642</v>
          </cell>
          <cell r="E11" t="str">
            <v>Matières premières sur exercices antérieurs</v>
          </cell>
          <cell r="F11">
            <v>0</v>
          </cell>
          <cell r="L11">
            <v>0</v>
          </cell>
          <cell r="P11">
            <v>0</v>
          </cell>
          <cell r="AC11">
            <v>0</v>
          </cell>
        </row>
        <row r="12">
          <cell r="D12" t="str">
            <v>0643</v>
          </cell>
          <cell r="E12" t="str">
            <v>Matières et fournitures consommables sur exercice antérieur</v>
          </cell>
          <cell r="F12">
            <v>0</v>
          </cell>
          <cell r="L12">
            <v>0</v>
          </cell>
          <cell r="P12">
            <v>0</v>
          </cell>
          <cell r="AC12">
            <v>0</v>
          </cell>
        </row>
        <row r="13">
          <cell r="D13" t="str">
            <v>0644</v>
          </cell>
          <cell r="E13" t="str">
            <v>Emballages à usage mixte sur exercices antérieurs</v>
          </cell>
          <cell r="F13">
            <v>0</v>
          </cell>
          <cell r="L13">
            <v>0</v>
          </cell>
          <cell r="P13">
            <v>0</v>
          </cell>
          <cell r="AC13">
            <v>0</v>
          </cell>
        </row>
        <row r="14">
          <cell r="D14" t="str">
            <v>0645</v>
          </cell>
          <cell r="E14" t="str">
            <v>Matières et fournitures non stockées sur exercices antérieurs</v>
          </cell>
          <cell r="F14">
            <v>0</v>
          </cell>
          <cell r="L14">
            <v>0</v>
          </cell>
          <cell r="P14">
            <v>0</v>
          </cell>
          <cell r="AC14">
            <v>0</v>
          </cell>
        </row>
        <row r="15">
          <cell r="D15" t="str">
            <v>0646</v>
          </cell>
          <cell r="E15" t="str">
            <v>Travaux, Etudes et prestations de service sur exercices antérieurs</v>
          </cell>
          <cell r="F15">
            <v>0</v>
          </cell>
          <cell r="L15">
            <v>0</v>
          </cell>
          <cell r="P15">
            <v>0</v>
          </cell>
          <cell r="AC15">
            <v>0</v>
          </cell>
        </row>
        <row r="16">
          <cell r="D16" t="str">
            <v>0648</v>
          </cell>
          <cell r="E16" t="str">
            <v>RRRO sur achat de matières premières sur exercices antérieurs</v>
          </cell>
          <cell r="F16">
            <v>0</v>
          </cell>
          <cell r="L16">
            <v>0</v>
          </cell>
          <cell r="P16">
            <v>0</v>
          </cell>
          <cell r="AC16">
            <v>0</v>
          </cell>
        </row>
        <row r="17">
          <cell r="D17" t="str">
            <v>0649</v>
          </cell>
          <cell r="E17" t="str">
            <v>RRRO sur achat de matière et fourniture consommable sur exercices antérieurs</v>
          </cell>
          <cell r="F17">
            <v>0</v>
          </cell>
          <cell r="L17">
            <v>0</v>
          </cell>
          <cell r="P17">
            <v>0</v>
          </cell>
          <cell r="AC17">
            <v>0</v>
          </cell>
        </row>
        <row r="18">
          <cell r="D18" t="str">
            <v>0650</v>
          </cell>
          <cell r="E18" t="str">
            <v>RRRO sur achat de travaux, études et prestation de service sur exercices antérieurs</v>
          </cell>
          <cell r="F18">
            <v>0</v>
          </cell>
          <cell r="L18">
            <v>0</v>
          </cell>
          <cell r="P18">
            <v>0</v>
          </cell>
          <cell r="AC18">
            <v>0</v>
          </cell>
        </row>
        <row r="19">
          <cell r="D19" t="str">
            <v>0651</v>
          </cell>
          <cell r="E19" t="str">
            <v>Frais d'achat et de ventes de titres sur exercices antérieurs</v>
          </cell>
          <cell r="F19">
            <v>0</v>
          </cell>
          <cell r="L19">
            <v>0</v>
          </cell>
          <cell r="P19">
            <v>0</v>
          </cell>
          <cell r="AC19">
            <v>0</v>
          </cell>
        </row>
        <row r="20">
          <cell r="D20" t="str">
            <v>0652</v>
          </cell>
          <cell r="E20" t="str">
            <v>Frais sur effet de commerce sur exercices antérieurs</v>
          </cell>
          <cell r="F20">
            <v>0</v>
          </cell>
          <cell r="L20">
            <v>0</v>
          </cell>
          <cell r="P20">
            <v>0</v>
          </cell>
          <cell r="AC20">
            <v>0</v>
          </cell>
        </row>
        <row r="21">
          <cell r="D21" t="str">
            <v>0653</v>
          </cell>
          <cell r="E21" t="str">
            <v>Frais et commissions sur Credoc sur exercices antérieurs</v>
          </cell>
          <cell r="F21">
            <v>0</v>
          </cell>
          <cell r="L21">
            <v>0</v>
          </cell>
          <cell r="P21">
            <v>0</v>
          </cell>
          <cell r="AC21">
            <v>0</v>
          </cell>
        </row>
        <row r="22">
          <cell r="D22" t="str">
            <v>0654</v>
          </cell>
          <cell r="E22" t="str">
            <v>Frais et commissions sur Remdoc sur exercices antérieurs</v>
          </cell>
          <cell r="F22">
            <v>0</v>
          </cell>
          <cell r="L22">
            <v>0</v>
          </cell>
          <cell r="P22">
            <v>0</v>
          </cell>
          <cell r="AC22">
            <v>0</v>
          </cell>
        </row>
        <row r="23">
          <cell r="D23" t="str">
            <v>0655</v>
          </cell>
          <cell r="E23" t="str">
            <v>Frais et commissions sur opérations effectuées selon les conditions générales d'achat sur exercices antérieurs</v>
          </cell>
          <cell r="F23">
            <v>0</v>
          </cell>
          <cell r="L23">
            <v>0</v>
          </cell>
          <cell r="P23">
            <v>0</v>
          </cell>
          <cell r="AC23">
            <v>0</v>
          </cell>
        </row>
        <row r="24">
          <cell r="D24" t="str">
            <v>0656</v>
          </cell>
          <cell r="E24" t="str">
            <v>Frais sur quotions bancaires sur exercices antérieurs</v>
          </cell>
          <cell r="F24">
            <v>0</v>
          </cell>
          <cell r="L24">
            <v>0</v>
          </cell>
          <cell r="P24">
            <v>0</v>
          </cell>
          <cell r="AC24">
            <v>0</v>
          </cell>
        </row>
        <row r="25">
          <cell r="D25" t="str">
            <v>0658</v>
          </cell>
          <cell r="E25" t="str">
            <v>Autres charges externes sur exercices antérieurs</v>
          </cell>
          <cell r="F25">
            <v>0</v>
          </cell>
          <cell r="L25">
            <v>0</v>
          </cell>
          <cell r="P25">
            <v>0</v>
          </cell>
          <cell r="AC25">
            <v>0</v>
          </cell>
        </row>
        <row r="26">
          <cell r="D26" t="str">
            <v>0661</v>
          </cell>
          <cell r="E26" t="str">
            <v>Rémunération du personnel sur exercices antérieurs</v>
          </cell>
          <cell r="F26">
            <v>0</v>
          </cell>
          <cell r="L26">
            <v>0</v>
          </cell>
          <cell r="P26">
            <v>0</v>
          </cell>
          <cell r="AC26">
            <v>0</v>
          </cell>
        </row>
        <row r="27">
          <cell r="D27" t="str">
            <v>0664</v>
          </cell>
          <cell r="E27" t="str">
            <v>Charges sociales sur exercices antérieurs</v>
          </cell>
          <cell r="F27">
            <v>0</v>
          </cell>
          <cell r="L27">
            <v>0</v>
          </cell>
          <cell r="P27">
            <v>0</v>
          </cell>
          <cell r="AC27">
            <v>0</v>
          </cell>
        </row>
        <row r="28">
          <cell r="D28" t="str">
            <v>0666</v>
          </cell>
          <cell r="E28" t="str">
            <v>Charges sociales diverses sur exercices antérieurs</v>
          </cell>
          <cell r="F28">
            <v>0</v>
          </cell>
          <cell r="L28">
            <v>0</v>
          </cell>
          <cell r="P28">
            <v>0</v>
          </cell>
          <cell r="AC28">
            <v>0</v>
          </cell>
        </row>
        <row r="29">
          <cell r="D29" t="str">
            <v>0668</v>
          </cell>
          <cell r="E29" t="str">
            <v>Impôts et taxes sur exercices antérieurs</v>
          </cell>
          <cell r="F29">
            <v>0</v>
          </cell>
          <cell r="L29">
            <v>0</v>
          </cell>
          <cell r="P29">
            <v>0</v>
          </cell>
          <cell r="AC29">
            <v>0</v>
          </cell>
        </row>
        <row r="30">
          <cell r="D30" t="str">
            <v>0669</v>
          </cell>
          <cell r="E30" t="str">
            <v>Autres charges d'exploitation des exercices antérieurs</v>
          </cell>
          <cell r="F30">
            <v>0</v>
          </cell>
          <cell r="L30">
            <v>0</v>
          </cell>
          <cell r="P30">
            <v>0</v>
          </cell>
          <cell r="AC30">
            <v>0</v>
          </cell>
        </row>
        <row r="31">
          <cell r="D31" t="str">
            <v>0674</v>
          </cell>
          <cell r="E31" t="str">
            <v>Dotations d'exploitation aux provisions des exercices antérieurs</v>
          </cell>
          <cell r="F31">
            <v>0</v>
          </cell>
          <cell r="L31">
            <v>0</v>
          </cell>
          <cell r="P31">
            <v>0</v>
          </cell>
          <cell r="AC31">
            <v>0</v>
          </cell>
        </row>
        <row r="32">
          <cell r="D32" t="str">
            <v>0679</v>
          </cell>
          <cell r="E32" t="str">
            <v>Intérêts des emprunts des crédits financiers sur exercices antérieurs</v>
          </cell>
          <cell r="F32">
            <v>0</v>
          </cell>
          <cell r="L32">
            <v>0</v>
          </cell>
          <cell r="P32">
            <v>0</v>
          </cell>
          <cell r="AC32">
            <v>0</v>
          </cell>
        </row>
        <row r="33">
          <cell r="D33" t="str">
            <v>0680</v>
          </cell>
          <cell r="E33" t="str">
            <v>Dotations des immobilisations sur exercices antérieurs</v>
          </cell>
          <cell r="F33">
            <v>0</v>
          </cell>
          <cell r="L33">
            <v>0</v>
          </cell>
          <cell r="P33">
            <v>0</v>
          </cell>
          <cell r="AC33">
            <v>0</v>
          </cell>
        </row>
        <row r="34">
          <cell r="D34" t="str">
            <v>0681</v>
          </cell>
          <cell r="E34" t="str">
            <v>Intérêts des emprunts des crédits acheteurs sur exercices antérieurs</v>
          </cell>
          <cell r="F34">
            <v>0</v>
          </cell>
          <cell r="L34">
            <v>0</v>
          </cell>
          <cell r="P34">
            <v>0</v>
          </cell>
          <cell r="AC34">
            <v>0</v>
          </cell>
        </row>
        <row r="35">
          <cell r="D35" t="str">
            <v>0682</v>
          </cell>
          <cell r="E35" t="str">
            <v>Intérêts des emprunts des crédits gouvernementaux sur exercices antérieurs</v>
          </cell>
          <cell r="F35">
            <v>0</v>
          </cell>
          <cell r="L35">
            <v>0</v>
          </cell>
          <cell r="P35">
            <v>0</v>
          </cell>
          <cell r="AC35">
            <v>0</v>
          </cell>
        </row>
        <row r="36">
          <cell r="D36" t="str">
            <v>0683</v>
          </cell>
          <cell r="E36" t="str">
            <v>Intérêts des crédits financiers rééchelonnés sur exercices antérieurs</v>
          </cell>
          <cell r="F36">
            <v>0</v>
          </cell>
          <cell r="L36">
            <v>0</v>
          </cell>
          <cell r="P36">
            <v>0</v>
          </cell>
          <cell r="AC36">
            <v>0</v>
          </cell>
        </row>
        <row r="37">
          <cell r="D37" t="str">
            <v>0684</v>
          </cell>
          <cell r="E37" t="str">
            <v>Intérêts des crédits acheteurs rééchelonnés sur exercices antérieurs</v>
          </cell>
          <cell r="F37">
            <v>0</v>
          </cell>
          <cell r="L37">
            <v>0</v>
          </cell>
          <cell r="P37">
            <v>0</v>
          </cell>
          <cell r="AC37">
            <v>0</v>
          </cell>
        </row>
        <row r="38">
          <cell r="D38" t="str">
            <v>0685</v>
          </cell>
          <cell r="E38" t="str">
            <v>Intérêts des emprunts et des charges rééchelonnées à compenser en MAD sur exercices antérieurs</v>
          </cell>
          <cell r="F38">
            <v>0</v>
          </cell>
          <cell r="L38">
            <v>0</v>
          </cell>
          <cell r="P38">
            <v>0</v>
          </cell>
          <cell r="AC38">
            <v>0</v>
          </cell>
        </row>
        <row r="39">
          <cell r="D39" t="str">
            <v>0686</v>
          </cell>
          <cell r="E39" t="str">
            <v>Intérêts des dettes rattachées à des participations sur exercices antérieurs</v>
          </cell>
          <cell r="F39">
            <v>0</v>
          </cell>
          <cell r="L39">
            <v>0</v>
          </cell>
          <cell r="P39">
            <v>0</v>
          </cell>
          <cell r="AC39">
            <v>0</v>
          </cell>
        </row>
        <row r="40">
          <cell r="D40" t="str">
            <v>0687</v>
          </cell>
          <cell r="E40" t="str">
            <v>Intérêts des comptes ordinaires sur exercices antérieurs</v>
          </cell>
          <cell r="F40">
            <v>0</v>
          </cell>
          <cell r="L40">
            <v>0</v>
          </cell>
          <cell r="P40">
            <v>0</v>
          </cell>
          <cell r="AC40">
            <v>0</v>
          </cell>
        </row>
        <row r="41">
          <cell r="D41" t="str">
            <v>0688</v>
          </cell>
          <cell r="E41" t="str">
            <v>Intérêts bancaires sur opérations de financement sur exercices antérieurs</v>
          </cell>
          <cell r="F41">
            <v>0</v>
          </cell>
          <cell r="L41">
            <v>0</v>
          </cell>
          <cell r="P41">
            <v>0</v>
          </cell>
          <cell r="AC41">
            <v>0</v>
          </cell>
        </row>
        <row r="42">
          <cell r="D42" t="str">
            <v>0689</v>
          </cell>
          <cell r="E42" t="str">
            <v>Intérêts de capitalisation CIR sur exercices antérieurs</v>
          </cell>
          <cell r="F42">
            <v>0</v>
          </cell>
          <cell r="L42">
            <v>0</v>
          </cell>
          <cell r="P42">
            <v>0</v>
          </cell>
          <cell r="AC42">
            <v>0</v>
          </cell>
        </row>
        <row r="43">
          <cell r="D43" t="str">
            <v>0690</v>
          </cell>
          <cell r="E43" t="str">
            <v>Pertes de change sur remboursement des emprunts sur exercices antérieurs</v>
          </cell>
          <cell r="F43">
            <v>0</v>
          </cell>
          <cell r="L43">
            <v>0</v>
          </cell>
          <cell r="P43">
            <v>0</v>
          </cell>
          <cell r="AC43">
            <v>0</v>
          </cell>
        </row>
        <row r="44">
          <cell r="D44" t="str">
            <v>0691</v>
          </cell>
          <cell r="E44" t="str">
            <v>Pertes de change sur opération de trésorerie sur exercices antérieurs</v>
          </cell>
          <cell r="F44">
            <v>0</v>
          </cell>
          <cell r="L44">
            <v>0</v>
          </cell>
          <cell r="P44">
            <v>0</v>
          </cell>
          <cell r="AC44">
            <v>0</v>
          </cell>
        </row>
        <row r="45">
          <cell r="D45" t="str">
            <v>0692</v>
          </cell>
          <cell r="E45" t="str">
            <v>Autres charges financières sur exercices antérieurs</v>
          </cell>
          <cell r="F45">
            <v>0</v>
          </cell>
          <cell r="L45">
            <v>0</v>
          </cell>
          <cell r="P45">
            <v>0</v>
          </cell>
          <cell r="AC45">
            <v>0</v>
          </cell>
        </row>
        <row r="46">
          <cell r="D46" t="str">
            <v>0693</v>
          </cell>
          <cell r="E46" t="str">
            <v>Dotations financières sur exercices antérieurs</v>
          </cell>
          <cell r="F46">
            <v>0</v>
          </cell>
          <cell r="L46">
            <v>0</v>
          </cell>
          <cell r="P46">
            <v>0</v>
          </cell>
          <cell r="AC46">
            <v>0</v>
          </cell>
        </row>
        <row r="47">
          <cell r="D47" t="str">
            <v>0694</v>
          </cell>
          <cell r="E47" t="str">
            <v>Subventions accordées des exercices antérieurs</v>
          </cell>
          <cell r="F47">
            <v>0</v>
          </cell>
          <cell r="L47">
            <v>0</v>
          </cell>
          <cell r="P47">
            <v>0</v>
          </cell>
          <cell r="AC47">
            <v>0</v>
          </cell>
        </row>
        <row r="48">
          <cell r="D48" t="str">
            <v>0697</v>
          </cell>
          <cell r="E48" t="str">
            <v>Autres charges non courantes sur exercices antérieurs</v>
          </cell>
          <cell r="F48">
            <v>0</v>
          </cell>
          <cell r="L48">
            <v>0</v>
          </cell>
          <cell r="P48">
            <v>0</v>
          </cell>
          <cell r="AC48">
            <v>0</v>
          </cell>
        </row>
        <row r="49">
          <cell r="D49" t="str">
            <v>0698</v>
          </cell>
          <cell r="E49" t="str">
            <v>Dotations non courantes sur exercices antérieurs</v>
          </cell>
          <cell r="F49">
            <v>0</v>
          </cell>
          <cell r="L49">
            <v>0</v>
          </cell>
          <cell r="P49">
            <v>0</v>
          </cell>
          <cell r="AC49">
            <v>0</v>
          </cell>
        </row>
        <row r="50">
          <cell r="D50" t="str">
            <v>0701</v>
          </cell>
          <cell r="E50" t="str">
            <v>Ventes de marchandises des exercices antérieurs</v>
          </cell>
          <cell r="F50">
            <v>0</v>
          </cell>
          <cell r="L50">
            <v>0</v>
          </cell>
          <cell r="P50">
            <v>0</v>
          </cell>
          <cell r="AC50">
            <v>0</v>
          </cell>
        </row>
        <row r="51">
          <cell r="D51" t="str">
            <v>0711</v>
          </cell>
          <cell r="E51" t="str">
            <v>Ventes de biens produits des exercices antérieurs au Maroc</v>
          </cell>
          <cell r="F51">
            <v>0</v>
          </cell>
          <cell r="L51">
            <v>0</v>
          </cell>
          <cell r="P51">
            <v>0</v>
          </cell>
          <cell r="AC51">
            <v>0</v>
          </cell>
        </row>
        <row r="52">
          <cell r="D52" t="str">
            <v>0712</v>
          </cell>
          <cell r="E52" t="str">
            <v>Vente de biens produits sur exercices antérieurs à l'étranger</v>
          </cell>
          <cell r="F52">
            <v>0</v>
          </cell>
          <cell r="L52">
            <v>0</v>
          </cell>
          <cell r="P52">
            <v>0</v>
          </cell>
          <cell r="AC52">
            <v>0</v>
          </cell>
        </row>
        <row r="53">
          <cell r="D53" t="str">
            <v>0714</v>
          </cell>
          <cell r="E53" t="str">
            <v>Vente de services produits sur exercices antérieurs Maroc</v>
          </cell>
          <cell r="F53">
            <v>0</v>
          </cell>
          <cell r="L53">
            <v>0</v>
          </cell>
          <cell r="P53">
            <v>0</v>
          </cell>
          <cell r="AC53">
            <v>0</v>
          </cell>
        </row>
        <row r="54">
          <cell r="D54" t="str">
            <v>0715</v>
          </cell>
          <cell r="E54" t="str">
            <v>Vente de services produits sur exercices antérieurs étranger</v>
          </cell>
          <cell r="F54">
            <v>0</v>
          </cell>
          <cell r="L54">
            <v>0</v>
          </cell>
          <cell r="P54">
            <v>0</v>
          </cell>
          <cell r="AC54">
            <v>0</v>
          </cell>
        </row>
        <row r="55">
          <cell r="D55" t="str">
            <v>0716</v>
          </cell>
          <cell r="E55" t="str">
            <v>Vente produits accessoires sur exercices antérieurs</v>
          </cell>
          <cell r="F55">
            <v>0</v>
          </cell>
          <cell r="L55">
            <v>0</v>
          </cell>
          <cell r="P55">
            <v>0</v>
          </cell>
          <cell r="AC55">
            <v>0</v>
          </cell>
        </row>
        <row r="56">
          <cell r="D56" t="str">
            <v>0717</v>
          </cell>
          <cell r="E56" t="str">
            <v>RRRA accordées sur ventes de biens produits au Maroc sur exercices antérieurs</v>
          </cell>
          <cell r="F56">
            <v>0</v>
          </cell>
          <cell r="L56">
            <v>0</v>
          </cell>
          <cell r="P56">
            <v>0</v>
          </cell>
          <cell r="AC56">
            <v>0</v>
          </cell>
        </row>
        <row r="57">
          <cell r="D57" t="str">
            <v>0718</v>
          </cell>
          <cell r="E57" t="str">
            <v>RRRA accordées sur ventes de biens produits à l'étranger sur exercices antérieurs</v>
          </cell>
          <cell r="F57">
            <v>0</v>
          </cell>
          <cell r="L57">
            <v>0</v>
          </cell>
          <cell r="P57">
            <v>0</v>
          </cell>
          <cell r="AC57">
            <v>0</v>
          </cell>
        </row>
        <row r="58">
          <cell r="D58" t="str">
            <v>0719</v>
          </cell>
          <cell r="E58" t="str">
            <v>RRRA sur vente de biens et services au Maroc sur exercices antérieurs</v>
          </cell>
          <cell r="F58">
            <v>0</v>
          </cell>
          <cell r="L58">
            <v>0</v>
          </cell>
          <cell r="P58">
            <v>0</v>
          </cell>
          <cell r="AC58">
            <v>0</v>
          </cell>
        </row>
        <row r="59">
          <cell r="D59" t="str">
            <v>0720</v>
          </cell>
          <cell r="E59" t="str">
            <v>RRRA sur vente de services accordées à l'étranger sur exercices antérieurs</v>
          </cell>
          <cell r="F59">
            <v>0</v>
          </cell>
          <cell r="L59">
            <v>0</v>
          </cell>
          <cell r="P59">
            <v>0</v>
          </cell>
          <cell r="AC59">
            <v>0</v>
          </cell>
        </row>
        <row r="60">
          <cell r="D60" t="str">
            <v>0721</v>
          </cell>
          <cell r="E60" t="str">
            <v>Immobilisations produites sur exercices antérieurs</v>
          </cell>
          <cell r="F60">
            <v>0</v>
          </cell>
          <cell r="L60">
            <v>0</v>
          </cell>
          <cell r="P60">
            <v>0</v>
          </cell>
          <cell r="AC60">
            <v>0</v>
          </cell>
        </row>
        <row r="61">
          <cell r="D61" t="str">
            <v>0736</v>
          </cell>
          <cell r="E61" t="str">
            <v>Subventions d'exploitation reçues sur exercices antérieurs</v>
          </cell>
          <cell r="F61">
            <v>0</v>
          </cell>
          <cell r="L61">
            <v>0</v>
          </cell>
          <cell r="P61">
            <v>0</v>
          </cell>
          <cell r="AC61">
            <v>0</v>
          </cell>
        </row>
        <row r="62">
          <cell r="D62" t="str">
            <v>0748</v>
          </cell>
          <cell r="E62" t="str">
            <v>Autres produits d'exploitations sur exercices antérieurs</v>
          </cell>
          <cell r="F62">
            <v>0</v>
          </cell>
          <cell r="L62">
            <v>0</v>
          </cell>
          <cell r="P62">
            <v>0</v>
          </cell>
          <cell r="AC62">
            <v>0</v>
          </cell>
        </row>
        <row r="63">
          <cell r="D63" t="str">
            <v>0769</v>
          </cell>
          <cell r="E63" t="str">
            <v>Reprise sur provision sur exercices antérieurs</v>
          </cell>
          <cell r="F63">
            <v>0</v>
          </cell>
          <cell r="L63">
            <v>0</v>
          </cell>
          <cell r="P63">
            <v>0</v>
          </cell>
          <cell r="AC63">
            <v>0</v>
          </cell>
        </row>
        <row r="64">
          <cell r="D64" t="str">
            <v>0780</v>
          </cell>
          <cell r="E64" t="str">
            <v>VNA et PC des immobilisations sur exercices antérieurs</v>
          </cell>
          <cell r="F64">
            <v>0</v>
          </cell>
          <cell r="L64">
            <v>0</v>
          </cell>
          <cell r="P64">
            <v>0</v>
          </cell>
          <cell r="AC64">
            <v>0</v>
          </cell>
        </row>
        <row r="65">
          <cell r="D65" t="str">
            <v>0781</v>
          </cell>
          <cell r="E65" t="str">
            <v>Reprises sur amortissements des exercices antérieurs</v>
          </cell>
          <cell r="F65">
            <v>0</v>
          </cell>
          <cell r="L65">
            <v>0</v>
          </cell>
          <cell r="P65">
            <v>0</v>
          </cell>
          <cell r="AC65">
            <v>0</v>
          </cell>
        </row>
        <row r="66">
          <cell r="D66" t="str">
            <v>0782</v>
          </cell>
          <cell r="E66" t="str">
            <v>Produits des titres de participation et des autres titres sur exercices antérieurs</v>
          </cell>
          <cell r="F66">
            <v>0</v>
          </cell>
          <cell r="L66">
            <v>0</v>
          </cell>
          <cell r="P66">
            <v>0</v>
          </cell>
          <cell r="AC66">
            <v>0</v>
          </cell>
        </row>
        <row r="67">
          <cell r="D67" t="str">
            <v>0783</v>
          </cell>
          <cell r="E67" t="str">
            <v>Gains de change sur remboursement des dettes de financement sur exercices antérieurs</v>
          </cell>
          <cell r="F67">
            <v>0</v>
          </cell>
          <cell r="L67">
            <v>0</v>
          </cell>
          <cell r="P67">
            <v>0</v>
          </cell>
          <cell r="AC67">
            <v>0</v>
          </cell>
        </row>
        <row r="68">
          <cell r="D68" t="str">
            <v>0784</v>
          </cell>
          <cell r="E68" t="str">
            <v>Gains de change sur opérations de trésorerie sur exercices antérieurs</v>
          </cell>
          <cell r="F68">
            <v>0</v>
          </cell>
          <cell r="L68">
            <v>0</v>
          </cell>
          <cell r="P68">
            <v>0</v>
          </cell>
          <cell r="AC68">
            <v>0</v>
          </cell>
        </row>
        <row r="69">
          <cell r="D69" t="str">
            <v>0786</v>
          </cell>
          <cell r="E69" t="str">
            <v>Intérêts et autres produits financiers sur exercices antérieurs</v>
          </cell>
          <cell r="F69">
            <v>0</v>
          </cell>
          <cell r="L69">
            <v>0</v>
          </cell>
          <cell r="P69">
            <v>0</v>
          </cell>
          <cell r="AC69">
            <v>0</v>
          </cell>
        </row>
        <row r="70">
          <cell r="D70" t="str">
            <v>0789</v>
          </cell>
          <cell r="E70" t="str">
            <v>Reprises sur dotations financières sur exercices antérieurs</v>
          </cell>
          <cell r="F70">
            <v>0</v>
          </cell>
          <cell r="L70">
            <v>0</v>
          </cell>
          <cell r="P70">
            <v>0</v>
          </cell>
          <cell r="AC70">
            <v>0</v>
          </cell>
        </row>
        <row r="71">
          <cell r="D71" t="str">
            <v>0796</v>
          </cell>
          <cell r="E71" t="str">
            <v>Subventions d'équilibres reçus sur exercices antérieurs</v>
          </cell>
          <cell r="F71">
            <v>0</v>
          </cell>
          <cell r="L71">
            <v>0</v>
          </cell>
          <cell r="P71">
            <v>0</v>
          </cell>
          <cell r="AC71">
            <v>0</v>
          </cell>
        </row>
        <row r="72">
          <cell r="D72" t="str">
            <v>0798</v>
          </cell>
          <cell r="E72" t="str">
            <v>Autres produits non courants sur exercices antérieurs</v>
          </cell>
          <cell r="F72">
            <v>0</v>
          </cell>
          <cell r="L72">
            <v>0</v>
          </cell>
          <cell r="P72">
            <v>0</v>
          </cell>
          <cell r="AC72">
            <v>0</v>
          </cell>
        </row>
        <row r="73">
          <cell r="D73" t="str">
            <v>0799</v>
          </cell>
          <cell r="E73" t="str">
            <v>Reprises non courantes sur exercices antérieurs</v>
          </cell>
          <cell r="F73">
            <v>0</v>
          </cell>
          <cell r="L73">
            <v>0</v>
          </cell>
          <cell r="P73">
            <v>0</v>
          </cell>
          <cell r="AC73">
            <v>0</v>
          </cell>
        </row>
        <row r="74">
          <cell r="B74">
            <v>1</v>
          </cell>
          <cell r="C74" t="str">
            <v>010</v>
          </cell>
          <cell r="D74" t="str">
            <v>1100</v>
          </cell>
          <cell r="E74" t="str">
            <v>Salaires et appointements, Personnel tâcheron</v>
          </cell>
          <cell r="F74">
            <v>334008</v>
          </cell>
          <cell r="G74">
            <v>360864</v>
          </cell>
          <cell r="H74">
            <v>328344</v>
          </cell>
          <cell r="I74">
            <v>360936</v>
          </cell>
          <cell r="J74">
            <v>285024</v>
          </cell>
          <cell r="K74">
            <v>381828</v>
          </cell>
          <cell r="L74">
            <v>2051004</v>
          </cell>
          <cell r="P74">
            <v>0</v>
          </cell>
          <cell r="AC74">
            <v>2051004</v>
          </cell>
        </row>
        <row r="75">
          <cell r="B75">
            <v>1</v>
          </cell>
          <cell r="C75" t="str">
            <v>016</v>
          </cell>
          <cell r="D75" t="str">
            <v>1101</v>
          </cell>
          <cell r="E75" t="str">
            <v>Salaires et appointements personnel OEF</v>
          </cell>
          <cell r="F75">
            <v>135084</v>
          </cell>
          <cell r="G75">
            <v>120588</v>
          </cell>
          <cell r="H75">
            <v>81396</v>
          </cell>
          <cell r="I75">
            <v>95760</v>
          </cell>
          <cell r="J75">
            <v>79704</v>
          </cell>
          <cell r="K75">
            <v>110988</v>
          </cell>
          <cell r="L75">
            <v>623520</v>
          </cell>
          <cell r="P75">
            <v>0</v>
          </cell>
          <cell r="AC75">
            <v>623520</v>
          </cell>
        </row>
        <row r="76">
          <cell r="B76">
            <v>1</v>
          </cell>
          <cell r="C76" t="str">
            <v>014</v>
          </cell>
          <cell r="D76" t="str">
            <v>1102</v>
          </cell>
          <cell r="E76" t="str">
            <v>Salaires et appointements personnel OEJ</v>
          </cell>
          <cell r="L76">
            <v>0</v>
          </cell>
          <cell r="P76">
            <v>0</v>
          </cell>
          <cell r="AC76">
            <v>0</v>
          </cell>
        </row>
        <row r="77">
          <cell r="B77">
            <v>1</v>
          </cell>
          <cell r="C77" t="str">
            <v>012</v>
          </cell>
          <cell r="D77" t="str">
            <v>1103</v>
          </cell>
          <cell r="E77" t="str">
            <v>Salaires et appointements personnel OEB</v>
          </cell>
          <cell r="L77">
            <v>0</v>
          </cell>
          <cell r="P77">
            <v>0</v>
          </cell>
          <cell r="AC77">
            <v>0</v>
          </cell>
        </row>
        <row r="78">
          <cell r="B78">
            <v>1</v>
          </cell>
          <cell r="C78" t="str">
            <v>018</v>
          </cell>
          <cell r="D78" t="str">
            <v>1104</v>
          </cell>
          <cell r="E78" t="str">
            <v>Salaires et appointements personnel appoints</v>
          </cell>
          <cell r="L78">
            <v>0</v>
          </cell>
          <cell r="P78">
            <v>0</v>
          </cell>
          <cell r="AC78">
            <v>0</v>
          </cell>
        </row>
        <row r="79">
          <cell r="B79">
            <v>1</v>
          </cell>
          <cell r="C79" t="str">
            <v>020</v>
          </cell>
          <cell r="D79" t="str">
            <v>1105</v>
          </cell>
          <cell r="E79" t="str">
            <v>Salaires et appointements personnel OEM</v>
          </cell>
          <cell r="L79">
            <v>0</v>
          </cell>
          <cell r="P79">
            <v>0</v>
          </cell>
          <cell r="AC79">
            <v>0</v>
          </cell>
        </row>
        <row r="80">
          <cell r="B80">
            <v>1</v>
          </cell>
          <cell r="C80" t="str">
            <v>022</v>
          </cell>
          <cell r="D80" t="str">
            <v>1106</v>
          </cell>
          <cell r="E80" t="str">
            <v>Salaires et appointements personnel TAMCA</v>
          </cell>
          <cell r="F80">
            <v>64272</v>
          </cell>
          <cell r="G80">
            <v>23532</v>
          </cell>
          <cell r="H80">
            <v>39288</v>
          </cell>
          <cell r="I80">
            <v>52956</v>
          </cell>
          <cell r="J80">
            <v>28920</v>
          </cell>
          <cell r="K80">
            <v>40428</v>
          </cell>
          <cell r="L80">
            <v>249396</v>
          </cell>
          <cell r="P80">
            <v>0</v>
          </cell>
          <cell r="AC80">
            <v>249396</v>
          </cell>
        </row>
        <row r="81">
          <cell r="B81">
            <v>1</v>
          </cell>
          <cell r="C81" t="str">
            <v>040</v>
          </cell>
          <cell r="D81" t="str">
            <v>1108</v>
          </cell>
          <cell r="E81" t="str">
            <v>Salaires et appointements, Personnel Hors Cadre</v>
          </cell>
          <cell r="L81">
            <v>0</v>
          </cell>
          <cell r="P81">
            <v>0</v>
          </cell>
          <cell r="AC81">
            <v>0</v>
          </cell>
        </row>
        <row r="82">
          <cell r="B82">
            <v>1</v>
          </cell>
          <cell r="C82" t="str">
            <v>051</v>
          </cell>
          <cell r="D82" t="str">
            <v>1111</v>
          </cell>
          <cell r="E82" t="str">
            <v>Heures supplémentaires, Personnel OEB</v>
          </cell>
          <cell r="L82">
            <v>0</v>
          </cell>
          <cell r="P82">
            <v>0</v>
          </cell>
          <cell r="AC82">
            <v>0</v>
          </cell>
        </row>
        <row r="83">
          <cell r="B83">
            <v>1</v>
          </cell>
          <cell r="C83" t="str">
            <v>052</v>
          </cell>
          <cell r="D83" t="str">
            <v>1112</v>
          </cell>
          <cell r="E83" t="str">
            <v>Heures supplémentaires, Personnel OEJ</v>
          </cell>
          <cell r="L83">
            <v>0</v>
          </cell>
          <cell r="P83">
            <v>0</v>
          </cell>
          <cell r="AC83">
            <v>0</v>
          </cell>
        </row>
        <row r="84">
          <cell r="B84">
            <v>1</v>
          </cell>
          <cell r="C84" t="str">
            <v>053</v>
          </cell>
          <cell r="D84" t="str">
            <v>1113</v>
          </cell>
          <cell r="E84" t="str">
            <v>Heures supplementaires, Personnel OEF</v>
          </cell>
          <cell r="F84">
            <v>24096</v>
          </cell>
          <cell r="G84">
            <v>23316</v>
          </cell>
          <cell r="H84">
            <v>16464</v>
          </cell>
          <cell r="I84">
            <v>16920</v>
          </cell>
          <cell r="J84">
            <v>18852</v>
          </cell>
          <cell r="K84">
            <v>21156</v>
          </cell>
          <cell r="L84">
            <v>120804</v>
          </cell>
          <cell r="P84">
            <v>0</v>
          </cell>
          <cell r="AC84">
            <v>120804</v>
          </cell>
        </row>
        <row r="85">
          <cell r="B85">
            <v>1</v>
          </cell>
          <cell r="C85" t="str">
            <v>054</v>
          </cell>
          <cell r="D85" t="str">
            <v>1114</v>
          </cell>
          <cell r="E85" t="str">
            <v>Heures supplémentaires des appoints</v>
          </cell>
          <cell r="L85">
            <v>0</v>
          </cell>
          <cell r="P85">
            <v>0</v>
          </cell>
          <cell r="AC85">
            <v>0</v>
          </cell>
        </row>
        <row r="86">
          <cell r="B86">
            <v>1</v>
          </cell>
          <cell r="C86" t="str">
            <v>055</v>
          </cell>
          <cell r="D86" t="str">
            <v>1115</v>
          </cell>
          <cell r="E86" t="str">
            <v>Heures supplementaires, Personnel OEM</v>
          </cell>
          <cell r="L86">
            <v>0</v>
          </cell>
          <cell r="P86">
            <v>0</v>
          </cell>
          <cell r="AC86">
            <v>0</v>
          </cell>
        </row>
        <row r="87">
          <cell r="B87">
            <v>1</v>
          </cell>
          <cell r="C87" t="str">
            <v>056</v>
          </cell>
          <cell r="D87" t="str">
            <v>1116</v>
          </cell>
          <cell r="E87" t="str">
            <v>Heures supplementaires, Personnel TAMCA</v>
          </cell>
          <cell r="F87">
            <v>13044</v>
          </cell>
          <cell r="G87">
            <v>6324</v>
          </cell>
          <cell r="H87">
            <v>6336</v>
          </cell>
          <cell r="I87">
            <v>8760</v>
          </cell>
          <cell r="J87">
            <v>5316</v>
          </cell>
          <cell r="K87">
            <v>5340</v>
          </cell>
          <cell r="L87">
            <v>45120</v>
          </cell>
          <cell r="P87">
            <v>0</v>
          </cell>
          <cell r="AC87">
            <v>45120</v>
          </cell>
        </row>
        <row r="88">
          <cell r="B88">
            <v>1</v>
          </cell>
          <cell r="C88" t="str">
            <v>060</v>
          </cell>
          <cell r="D88" t="str">
            <v>1120</v>
          </cell>
          <cell r="E88" t="str">
            <v>Primes annuelles, Personnel tâcherons</v>
          </cell>
          <cell r="F88">
            <v>78180</v>
          </cell>
          <cell r="G88">
            <v>81168</v>
          </cell>
          <cell r="H88">
            <v>60564</v>
          </cell>
          <cell r="I88">
            <v>80268</v>
          </cell>
          <cell r="J88">
            <v>61656</v>
          </cell>
          <cell r="K88">
            <v>91128</v>
          </cell>
          <cell r="L88">
            <v>452964</v>
          </cell>
          <cell r="P88">
            <v>0</v>
          </cell>
          <cell r="AC88">
            <v>452964</v>
          </cell>
        </row>
        <row r="89">
          <cell r="B89">
            <v>1</v>
          </cell>
          <cell r="C89" t="str">
            <v>061</v>
          </cell>
          <cell r="D89" t="str">
            <v>1121</v>
          </cell>
          <cell r="E89" t="str">
            <v>Primes annuelles personnel OEB</v>
          </cell>
          <cell r="L89">
            <v>0</v>
          </cell>
          <cell r="P89">
            <v>0</v>
          </cell>
          <cell r="AC89">
            <v>0</v>
          </cell>
        </row>
        <row r="90">
          <cell r="B90">
            <v>1</v>
          </cell>
          <cell r="C90" t="str">
            <v>062</v>
          </cell>
          <cell r="D90" t="str">
            <v>1122</v>
          </cell>
          <cell r="E90" t="str">
            <v>Primes annuelles personnel OEJ</v>
          </cell>
          <cell r="L90">
            <v>0</v>
          </cell>
          <cell r="P90">
            <v>0</v>
          </cell>
          <cell r="AC90">
            <v>0</v>
          </cell>
        </row>
        <row r="91">
          <cell r="B91">
            <v>1</v>
          </cell>
          <cell r="C91" t="str">
            <v>063</v>
          </cell>
          <cell r="D91" t="str">
            <v>1123</v>
          </cell>
          <cell r="E91" t="str">
            <v>Primes annuelles personnel OEF</v>
          </cell>
          <cell r="F91">
            <v>32436</v>
          </cell>
          <cell r="G91">
            <v>36240</v>
          </cell>
          <cell r="H91">
            <v>23244</v>
          </cell>
          <cell r="I91">
            <v>25248</v>
          </cell>
          <cell r="J91">
            <v>17844</v>
          </cell>
          <cell r="K91">
            <v>27048</v>
          </cell>
          <cell r="L91">
            <v>162060</v>
          </cell>
          <cell r="P91">
            <v>0</v>
          </cell>
          <cell r="AC91">
            <v>162060</v>
          </cell>
        </row>
        <row r="92">
          <cell r="B92">
            <v>1</v>
          </cell>
          <cell r="C92" t="str">
            <v>064</v>
          </cell>
          <cell r="D92" t="str">
            <v>1125</v>
          </cell>
          <cell r="E92" t="str">
            <v>Primes annuelles personnel OEM</v>
          </cell>
          <cell r="L92">
            <v>0</v>
          </cell>
          <cell r="P92">
            <v>0</v>
          </cell>
          <cell r="AC92">
            <v>0</v>
          </cell>
        </row>
        <row r="93">
          <cell r="B93">
            <v>1</v>
          </cell>
          <cell r="C93" t="str">
            <v>065</v>
          </cell>
          <cell r="D93" t="str">
            <v>1126</v>
          </cell>
          <cell r="E93" t="str">
            <v>Primes annuelles personnel TAMCA</v>
          </cell>
          <cell r="F93">
            <v>14484</v>
          </cell>
          <cell r="G93">
            <v>7140</v>
          </cell>
          <cell r="H93">
            <v>8604</v>
          </cell>
          <cell r="I93">
            <v>11376</v>
          </cell>
          <cell r="J93">
            <v>6180</v>
          </cell>
          <cell r="K93">
            <v>6924</v>
          </cell>
          <cell r="L93">
            <v>54708</v>
          </cell>
          <cell r="P93">
            <v>0</v>
          </cell>
          <cell r="AC93">
            <v>54708</v>
          </cell>
        </row>
        <row r="94">
          <cell r="D94" t="str">
            <v>1128</v>
          </cell>
          <cell r="E94" t="str">
            <v>Primes annuelles personnel HC</v>
          </cell>
          <cell r="F94">
            <v>0</v>
          </cell>
          <cell r="L94">
            <v>0</v>
          </cell>
          <cell r="P94">
            <v>0</v>
          </cell>
          <cell r="AC94">
            <v>0</v>
          </cell>
        </row>
        <row r="95">
          <cell r="D95" t="str">
            <v>1130</v>
          </cell>
          <cell r="E95" t="str">
            <v>Gratifications exceptionnelles personnel tâcherons</v>
          </cell>
          <cell r="F95">
            <v>0</v>
          </cell>
          <cell r="L95">
            <v>0</v>
          </cell>
          <cell r="P95">
            <v>0</v>
          </cell>
          <cell r="AC95">
            <v>0</v>
          </cell>
        </row>
        <row r="96">
          <cell r="D96" t="str">
            <v>1131</v>
          </cell>
          <cell r="E96" t="str">
            <v>Gratifications exceptionnelles personnel OEB</v>
          </cell>
          <cell r="F96">
            <v>0</v>
          </cell>
          <cell r="L96">
            <v>0</v>
          </cell>
          <cell r="P96">
            <v>0</v>
          </cell>
          <cell r="AC96">
            <v>0</v>
          </cell>
        </row>
        <row r="97">
          <cell r="D97" t="str">
            <v>1132</v>
          </cell>
          <cell r="E97" t="str">
            <v>Gratifications exceptionnelles personnel OEJ</v>
          </cell>
          <cell r="F97">
            <v>0</v>
          </cell>
          <cell r="L97">
            <v>0</v>
          </cell>
          <cell r="P97">
            <v>0</v>
          </cell>
          <cell r="AC97">
            <v>0</v>
          </cell>
        </row>
        <row r="98">
          <cell r="D98" t="str">
            <v>1133</v>
          </cell>
          <cell r="E98" t="str">
            <v>Gratifications exceptionnelles personnel OEF</v>
          </cell>
          <cell r="F98">
            <v>0</v>
          </cell>
          <cell r="L98">
            <v>0</v>
          </cell>
          <cell r="P98">
            <v>0</v>
          </cell>
          <cell r="AC98">
            <v>0</v>
          </cell>
        </row>
        <row r="99">
          <cell r="D99" t="str">
            <v>1134</v>
          </cell>
          <cell r="E99" t="str">
            <v>Gratifications exceptionnelles personnel appoints</v>
          </cell>
          <cell r="F99">
            <v>0</v>
          </cell>
          <cell r="L99">
            <v>0</v>
          </cell>
          <cell r="P99">
            <v>0</v>
          </cell>
          <cell r="AC99">
            <v>0</v>
          </cell>
        </row>
        <row r="100">
          <cell r="D100" t="str">
            <v>1135</v>
          </cell>
          <cell r="E100" t="str">
            <v>Gratifications exceptionnelles personnel OEM</v>
          </cell>
          <cell r="F100">
            <v>0</v>
          </cell>
          <cell r="L100">
            <v>0</v>
          </cell>
          <cell r="P100">
            <v>0</v>
          </cell>
          <cell r="AC100">
            <v>0</v>
          </cell>
        </row>
        <row r="101">
          <cell r="D101" t="str">
            <v>1136</v>
          </cell>
          <cell r="E101" t="str">
            <v>Gratifications exceptionnelles personnel TAMCA</v>
          </cell>
          <cell r="F101">
            <v>0</v>
          </cell>
          <cell r="L101">
            <v>0</v>
          </cell>
          <cell r="P101">
            <v>0</v>
          </cell>
          <cell r="AC101">
            <v>0</v>
          </cell>
        </row>
        <row r="102">
          <cell r="D102" t="str">
            <v>1138</v>
          </cell>
          <cell r="E102" t="str">
            <v>Gratifications exceptionnelles personnel HC</v>
          </cell>
          <cell r="F102">
            <v>0</v>
          </cell>
          <cell r="L102">
            <v>0</v>
          </cell>
          <cell r="P102">
            <v>0</v>
          </cell>
          <cell r="AC102">
            <v>0</v>
          </cell>
        </row>
        <row r="103">
          <cell r="B103">
            <v>1</v>
          </cell>
          <cell r="C103" t="str">
            <v>011</v>
          </cell>
          <cell r="D103" t="str">
            <v>1200</v>
          </cell>
          <cell r="E103" t="str">
            <v>Frais médicaux et pharmaceutiques exterieurs, prises en charge tach.</v>
          </cell>
          <cell r="F103">
            <v>159432</v>
          </cell>
          <cell r="G103">
            <v>160344</v>
          </cell>
          <cell r="H103">
            <v>151344</v>
          </cell>
          <cell r="I103">
            <v>176340</v>
          </cell>
          <cell r="J103">
            <v>137460</v>
          </cell>
          <cell r="K103">
            <v>181128</v>
          </cell>
          <cell r="L103">
            <v>966048</v>
          </cell>
          <cell r="P103">
            <v>0</v>
          </cell>
          <cell r="AC103">
            <v>966048</v>
          </cell>
        </row>
        <row r="104">
          <cell r="B104">
            <v>1</v>
          </cell>
          <cell r="C104" t="str">
            <v>017</v>
          </cell>
          <cell r="D104" t="str">
            <v>1201</v>
          </cell>
          <cell r="E104" t="str">
            <v>Frais médicaux et pharmaceutiques exterieurs, prises en charge OEB</v>
          </cell>
          <cell r="F104">
            <v>137592</v>
          </cell>
          <cell r="G104">
            <v>130020</v>
          </cell>
          <cell r="H104">
            <v>93948</v>
          </cell>
          <cell r="I104">
            <v>122772</v>
          </cell>
          <cell r="J104">
            <v>84708</v>
          </cell>
          <cell r="K104">
            <v>113436</v>
          </cell>
          <cell r="L104">
            <v>682476</v>
          </cell>
          <cell r="P104">
            <v>0</v>
          </cell>
          <cell r="AC104">
            <v>682476</v>
          </cell>
        </row>
        <row r="105">
          <cell r="B105">
            <v>1</v>
          </cell>
          <cell r="C105" t="str">
            <v>015</v>
          </cell>
          <cell r="D105" t="str">
            <v>1202</v>
          </cell>
          <cell r="E105" t="str">
            <v>Frais médicaux et pharmaceutiques exterieurs, prises en charge OEJ</v>
          </cell>
          <cell r="L105">
            <v>0</v>
          </cell>
          <cell r="P105">
            <v>0</v>
          </cell>
          <cell r="AC105">
            <v>0</v>
          </cell>
        </row>
        <row r="106">
          <cell r="B106">
            <v>1</v>
          </cell>
          <cell r="C106" t="str">
            <v>013</v>
          </cell>
          <cell r="D106" t="str">
            <v>1203</v>
          </cell>
          <cell r="E106" t="str">
            <v>Frais médicaux et pharmaceutiques exterieurs, prises en charge OEF</v>
          </cell>
          <cell r="L106">
            <v>0</v>
          </cell>
          <cell r="P106">
            <v>0</v>
          </cell>
          <cell r="AC106">
            <v>0</v>
          </cell>
        </row>
        <row r="107">
          <cell r="B107">
            <v>1</v>
          </cell>
          <cell r="C107" t="str">
            <v>019</v>
          </cell>
          <cell r="D107" t="str">
            <v>1204</v>
          </cell>
          <cell r="E107" t="str">
            <v>Frais médicaux et pharmaceutiques exterieurs, prises en charge appts</v>
          </cell>
          <cell r="L107">
            <v>0</v>
          </cell>
          <cell r="P107">
            <v>0</v>
          </cell>
          <cell r="AC107">
            <v>0</v>
          </cell>
        </row>
        <row r="108">
          <cell r="B108">
            <v>1</v>
          </cell>
          <cell r="C108" t="str">
            <v>021</v>
          </cell>
          <cell r="D108" t="str">
            <v>1205</v>
          </cell>
          <cell r="E108" t="str">
            <v>Frais médicaux et pharmaceutiques, exterieurs prises en chargeOEM</v>
          </cell>
          <cell r="L108">
            <v>0</v>
          </cell>
          <cell r="P108">
            <v>0</v>
          </cell>
          <cell r="AC108">
            <v>0</v>
          </cell>
        </row>
        <row r="109">
          <cell r="B109">
            <v>1</v>
          </cell>
          <cell r="C109" t="str">
            <v>023</v>
          </cell>
          <cell r="D109" t="str">
            <v>1206</v>
          </cell>
          <cell r="E109" t="str">
            <v>Frais médicaux et pharmaceutiques, exterieurs prises en charge TAMCA</v>
          </cell>
          <cell r="F109">
            <v>21900</v>
          </cell>
          <cell r="G109">
            <v>9876</v>
          </cell>
          <cell r="H109">
            <v>22008</v>
          </cell>
          <cell r="I109">
            <v>12900</v>
          </cell>
          <cell r="J109">
            <v>9648</v>
          </cell>
          <cell r="K109">
            <v>17040</v>
          </cell>
          <cell r="L109">
            <v>93372</v>
          </cell>
          <cell r="P109">
            <v>0</v>
          </cell>
          <cell r="AC109">
            <v>93372</v>
          </cell>
        </row>
        <row r="110">
          <cell r="B110">
            <v>1</v>
          </cell>
          <cell r="C110" t="str">
            <v>041</v>
          </cell>
          <cell r="D110" t="str">
            <v>1208</v>
          </cell>
          <cell r="E110" t="str">
            <v>Frais médicaux et pharmaceutiques exterieurs, prises en charge, Personnel HC</v>
          </cell>
          <cell r="L110">
            <v>0</v>
          </cell>
          <cell r="P110">
            <v>0</v>
          </cell>
          <cell r="AC110">
            <v>0</v>
          </cell>
        </row>
        <row r="111">
          <cell r="B111">
            <v>2</v>
          </cell>
          <cell r="C111" t="str">
            <v>011</v>
          </cell>
          <cell r="D111" t="str">
            <v>1210</v>
          </cell>
          <cell r="E111" t="str">
            <v>Salaires des congés payés, Maladie, Maternité, Accidents, Personnel OET</v>
          </cell>
          <cell r="F111">
            <v>0</v>
          </cell>
          <cell r="L111">
            <v>0</v>
          </cell>
          <cell r="P111">
            <v>0</v>
          </cell>
          <cell r="AC111">
            <v>0</v>
          </cell>
        </row>
        <row r="112">
          <cell r="B112">
            <v>2</v>
          </cell>
          <cell r="C112" t="str">
            <v>017</v>
          </cell>
          <cell r="D112" t="str">
            <v>1211</v>
          </cell>
          <cell r="E112" t="str">
            <v>Salaires des congés payés, Maladie, Maternité, Accidents, Personnel OEB</v>
          </cell>
          <cell r="F112">
            <v>0</v>
          </cell>
          <cell r="L112">
            <v>0</v>
          </cell>
          <cell r="P112">
            <v>0</v>
          </cell>
          <cell r="AC112">
            <v>0</v>
          </cell>
        </row>
        <row r="113">
          <cell r="B113">
            <v>2</v>
          </cell>
          <cell r="C113" t="str">
            <v>015</v>
          </cell>
          <cell r="D113" t="str">
            <v>1212</v>
          </cell>
          <cell r="E113" t="str">
            <v>Salaires des congés payés, Maladie, Maternité, Accidents, Personnel OEJ</v>
          </cell>
          <cell r="F113">
            <v>0</v>
          </cell>
          <cell r="L113">
            <v>0</v>
          </cell>
          <cell r="P113">
            <v>0</v>
          </cell>
          <cell r="AC113">
            <v>0</v>
          </cell>
        </row>
        <row r="114">
          <cell r="B114">
            <v>2</v>
          </cell>
          <cell r="C114" t="str">
            <v>013</v>
          </cell>
          <cell r="D114" t="str">
            <v>1213</v>
          </cell>
          <cell r="E114" t="str">
            <v>Salaires des congés payés, Maladie, Maternité, Accidents, Personnel OEF</v>
          </cell>
          <cell r="F114">
            <v>0</v>
          </cell>
          <cell r="L114">
            <v>0</v>
          </cell>
          <cell r="P114">
            <v>0</v>
          </cell>
          <cell r="AC114">
            <v>0</v>
          </cell>
        </row>
        <row r="115">
          <cell r="B115">
            <v>2</v>
          </cell>
          <cell r="C115" t="str">
            <v>019</v>
          </cell>
          <cell r="D115" t="str">
            <v>1214</v>
          </cell>
          <cell r="E115" t="str">
            <v>Salaires des congés payés, Maladie, Maternité, Accidents app.</v>
          </cell>
          <cell r="F115">
            <v>0</v>
          </cell>
          <cell r="L115">
            <v>0</v>
          </cell>
          <cell r="P115">
            <v>0</v>
          </cell>
          <cell r="AC115">
            <v>0</v>
          </cell>
        </row>
        <row r="116">
          <cell r="B116">
            <v>2</v>
          </cell>
          <cell r="C116" t="str">
            <v>021</v>
          </cell>
          <cell r="D116" t="str">
            <v>1215</v>
          </cell>
          <cell r="E116" t="str">
            <v>Salaires des congés payés, Maladie, Maternité, Accidents, Personnel OEM</v>
          </cell>
          <cell r="F116">
            <v>0</v>
          </cell>
          <cell r="L116">
            <v>0</v>
          </cell>
          <cell r="P116">
            <v>0</v>
          </cell>
          <cell r="AC116">
            <v>0</v>
          </cell>
        </row>
        <row r="117">
          <cell r="B117">
            <v>2</v>
          </cell>
          <cell r="C117" t="str">
            <v>023</v>
          </cell>
          <cell r="D117" t="str">
            <v>1216</v>
          </cell>
          <cell r="E117" t="str">
            <v>Salaires des congés payés, Maladie, Maternité, Accidents, Personnel TAMCA</v>
          </cell>
          <cell r="F117">
            <v>0</v>
          </cell>
          <cell r="L117">
            <v>0</v>
          </cell>
          <cell r="P117">
            <v>0</v>
          </cell>
          <cell r="AC117">
            <v>0</v>
          </cell>
        </row>
        <row r="118">
          <cell r="B118">
            <v>2</v>
          </cell>
          <cell r="C118" t="str">
            <v>041</v>
          </cell>
          <cell r="D118" t="str">
            <v>1218</v>
          </cell>
          <cell r="E118" t="str">
            <v>Salaires des congés payés, Maladie, Maternité, Accidents, Personnel Hors Cadre</v>
          </cell>
          <cell r="F118">
            <v>0</v>
          </cell>
          <cell r="L118">
            <v>0</v>
          </cell>
          <cell r="P118">
            <v>0</v>
          </cell>
          <cell r="AC118">
            <v>0</v>
          </cell>
        </row>
        <row r="119">
          <cell r="B119">
            <v>3</v>
          </cell>
          <cell r="C119" t="str">
            <v>011</v>
          </cell>
          <cell r="D119" t="str">
            <v>1220</v>
          </cell>
          <cell r="E119" t="str">
            <v>Indemnités d'éloignement et de transport, Personnel OET</v>
          </cell>
          <cell r="F119">
            <v>0</v>
          </cell>
          <cell r="L119">
            <v>0</v>
          </cell>
          <cell r="P119">
            <v>0</v>
          </cell>
          <cell r="AC119">
            <v>0</v>
          </cell>
        </row>
        <row r="120">
          <cell r="B120">
            <v>3</v>
          </cell>
          <cell r="C120" t="str">
            <v>017</v>
          </cell>
          <cell r="D120" t="str">
            <v>1221</v>
          </cell>
          <cell r="E120" t="str">
            <v>Indemnités d'éloignement et de transport, Personnel OEB</v>
          </cell>
          <cell r="F120">
            <v>0</v>
          </cell>
          <cell r="L120">
            <v>0</v>
          </cell>
          <cell r="P120">
            <v>0</v>
          </cell>
          <cell r="AC120">
            <v>0</v>
          </cell>
        </row>
        <row r="121">
          <cell r="B121">
            <v>3</v>
          </cell>
          <cell r="C121" t="str">
            <v>015</v>
          </cell>
          <cell r="D121" t="str">
            <v>1222</v>
          </cell>
          <cell r="E121" t="str">
            <v>Indemnités d'éloignement et de transport, Personnel OEJ</v>
          </cell>
          <cell r="F121">
            <v>0</v>
          </cell>
          <cell r="L121">
            <v>0</v>
          </cell>
          <cell r="P121">
            <v>0</v>
          </cell>
          <cell r="AC121">
            <v>0</v>
          </cell>
        </row>
        <row r="122">
          <cell r="B122">
            <v>3</v>
          </cell>
          <cell r="C122" t="str">
            <v>013</v>
          </cell>
          <cell r="D122" t="str">
            <v>1223</v>
          </cell>
          <cell r="E122" t="str">
            <v>Indemnités d'éloignement et de transport, Personnel OEF</v>
          </cell>
          <cell r="F122">
            <v>0</v>
          </cell>
          <cell r="L122">
            <v>0</v>
          </cell>
          <cell r="P122">
            <v>0</v>
          </cell>
          <cell r="AC122">
            <v>0</v>
          </cell>
        </row>
        <row r="123">
          <cell r="B123">
            <v>3</v>
          </cell>
          <cell r="C123" t="str">
            <v>019</v>
          </cell>
          <cell r="D123" t="str">
            <v>1224</v>
          </cell>
          <cell r="E123" t="str">
            <v>Indemnités d'éloignement et de transport, Personnel appoints</v>
          </cell>
          <cell r="F123">
            <v>0</v>
          </cell>
          <cell r="L123">
            <v>0</v>
          </cell>
          <cell r="P123">
            <v>0</v>
          </cell>
          <cell r="AC123">
            <v>0</v>
          </cell>
        </row>
        <row r="124">
          <cell r="B124">
            <v>3</v>
          </cell>
          <cell r="C124" t="str">
            <v>021</v>
          </cell>
          <cell r="D124" t="str">
            <v>1225</v>
          </cell>
          <cell r="E124" t="str">
            <v>Indemnités d'éloignement et de transport, Personnel OEM</v>
          </cell>
          <cell r="F124">
            <v>0</v>
          </cell>
          <cell r="L124">
            <v>0</v>
          </cell>
          <cell r="P124">
            <v>0</v>
          </cell>
          <cell r="AC124">
            <v>0</v>
          </cell>
        </row>
        <row r="125">
          <cell r="B125">
            <v>3</v>
          </cell>
          <cell r="C125" t="str">
            <v>023</v>
          </cell>
          <cell r="D125" t="str">
            <v>1226</v>
          </cell>
          <cell r="E125" t="str">
            <v>Indemnités d'éloignement et de transport, Personnel TAMCA</v>
          </cell>
          <cell r="F125">
            <v>0</v>
          </cell>
          <cell r="L125">
            <v>0</v>
          </cell>
          <cell r="P125">
            <v>0</v>
          </cell>
          <cell r="AC125">
            <v>0</v>
          </cell>
        </row>
        <row r="126">
          <cell r="B126">
            <v>3</v>
          </cell>
          <cell r="C126" t="str">
            <v>041</v>
          </cell>
          <cell r="D126" t="str">
            <v>1228</v>
          </cell>
          <cell r="E126" t="str">
            <v>Indemnités d'éloignement et de transport, Personnel HC</v>
          </cell>
          <cell r="F126">
            <v>0</v>
          </cell>
          <cell r="L126">
            <v>0</v>
          </cell>
          <cell r="P126">
            <v>0</v>
          </cell>
          <cell r="AC126">
            <v>0</v>
          </cell>
        </row>
        <row r="127">
          <cell r="B127">
            <v>4</v>
          </cell>
          <cell r="C127" t="str">
            <v>011</v>
          </cell>
          <cell r="D127" t="str">
            <v>1230</v>
          </cell>
          <cell r="E127" t="str">
            <v>Indemnité forfaitaire de congé, Personnel OET</v>
          </cell>
          <cell r="F127">
            <v>0</v>
          </cell>
          <cell r="L127">
            <v>0</v>
          </cell>
          <cell r="P127">
            <v>0</v>
          </cell>
          <cell r="AC127">
            <v>0</v>
          </cell>
        </row>
        <row r="128">
          <cell r="B128">
            <v>4</v>
          </cell>
          <cell r="C128" t="str">
            <v>017</v>
          </cell>
          <cell r="D128" t="str">
            <v>1231</v>
          </cell>
          <cell r="E128" t="str">
            <v>Indemnité forfaitaire de congé, Personnel OEB</v>
          </cell>
          <cell r="F128">
            <v>0</v>
          </cell>
          <cell r="L128">
            <v>0</v>
          </cell>
          <cell r="P128">
            <v>0</v>
          </cell>
          <cell r="AC128">
            <v>0</v>
          </cell>
        </row>
        <row r="129">
          <cell r="B129">
            <v>4</v>
          </cell>
          <cell r="C129" t="str">
            <v>015</v>
          </cell>
          <cell r="D129" t="str">
            <v>1232</v>
          </cell>
          <cell r="E129" t="str">
            <v>Indemnité forfaitaire de congé, Personnel OEJ</v>
          </cell>
          <cell r="F129">
            <v>0</v>
          </cell>
          <cell r="L129">
            <v>0</v>
          </cell>
          <cell r="P129">
            <v>0</v>
          </cell>
          <cell r="AC129">
            <v>0</v>
          </cell>
        </row>
        <row r="130">
          <cell r="B130">
            <v>4</v>
          </cell>
          <cell r="C130" t="str">
            <v>013</v>
          </cell>
          <cell r="D130" t="str">
            <v>1233</v>
          </cell>
          <cell r="E130" t="str">
            <v>Indemnité forfaitaire de congé, Personnel OEF</v>
          </cell>
          <cell r="F130">
            <v>0</v>
          </cell>
          <cell r="L130">
            <v>0</v>
          </cell>
          <cell r="P130">
            <v>0</v>
          </cell>
          <cell r="AC130">
            <v>0</v>
          </cell>
        </row>
        <row r="131">
          <cell r="B131">
            <v>4</v>
          </cell>
          <cell r="C131" t="str">
            <v>019</v>
          </cell>
          <cell r="D131" t="str">
            <v>1234</v>
          </cell>
          <cell r="E131" t="str">
            <v>Iindemnité forfaitaire de congé, Personnel appoints</v>
          </cell>
          <cell r="F131">
            <v>0</v>
          </cell>
          <cell r="L131">
            <v>0</v>
          </cell>
          <cell r="P131">
            <v>0</v>
          </cell>
          <cell r="AC131">
            <v>0</v>
          </cell>
        </row>
        <row r="132">
          <cell r="B132">
            <v>4</v>
          </cell>
          <cell r="C132" t="str">
            <v>021</v>
          </cell>
          <cell r="D132" t="str">
            <v>1235</v>
          </cell>
          <cell r="E132" t="str">
            <v>Indemnité forfaitaire de congé, Personnel OEM</v>
          </cell>
          <cell r="F132">
            <v>0</v>
          </cell>
          <cell r="L132">
            <v>0</v>
          </cell>
          <cell r="P132">
            <v>0</v>
          </cell>
          <cell r="AC132">
            <v>0</v>
          </cell>
        </row>
        <row r="133">
          <cell r="B133">
            <v>4</v>
          </cell>
          <cell r="C133" t="str">
            <v>023</v>
          </cell>
          <cell r="D133" t="str">
            <v>1236</v>
          </cell>
          <cell r="E133" t="str">
            <v>Indemnité forfaitaire de congé, Personnel TAMCA</v>
          </cell>
          <cell r="F133">
            <v>0</v>
          </cell>
          <cell r="L133">
            <v>0</v>
          </cell>
          <cell r="P133">
            <v>0</v>
          </cell>
          <cell r="AC133">
            <v>0</v>
          </cell>
        </row>
        <row r="134">
          <cell r="B134">
            <v>4</v>
          </cell>
          <cell r="C134" t="str">
            <v>041</v>
          </cell>
          <cell r="D134" t="str">
            <v>1238</v>
          </cell>
          <cell r="E134" t="str">
            <v>Indemnité forfaitaire de congé, Paersonnel HC</v>
          </cell>
          <cell r="F134">
            <v>0</v>
          </cell>
          <cell r="L134">
            <v>0</v>
          </cell>
          <cell r="P134">
            <v>0</v>
          </cell>
          <cell r="AC134">
            <v>0</v>
          </cell>
        </row>
        <row r="135">
          <cell r="B135">
            <v>5</v>
          </cell>
          <cell r="C135" t="str">
            <v>011</v>
          </cell>
          <cell r="D135" t="str">
            <v>1240</v>
          </cell>
          <cell r="E135" t="str">
            <v>Indemnité de logement, Personnel tâcherons</v>
          </cell>
          <cell r="F135">
            <v>0</v>
          </cell>
          <cell r="L135">
            <v>0</v>
          </cell>
          <cell r="P135">
            <v>0</v>
          </cell>
          <cell r="AC135">
            <v>0</v>
          </cell>
        </row>
        <row r="136">
          <cell r="B136">
            <v>5</v>
          </cell>
          <cell r="C136" t="str">
            <v>017</v>
          </cell>
          <cell r="D136" t="str">
            <v>1241</v>
          </cell>
          <cell r="E136" t="str">
            <v>Indemnité de logement, Personnel OEB</v>
          </cell>
          <cell r="F136">
            <v>0</v>
          </cell>
          <cell r="L136">
            <v>0</v>
          </cell>
          <cell r="P136">
            <v>0</v>
          </cell>
          <cell r="AC136">
            <v>0</v>
          </cell>
        </row>
        <row r="137">
          <cell r="B137">
            <v>5</v>
          </cell>
          <cell r="C137" t="str">
            <v>015</v>
          </cell>
          <cell r="D137" t="str">
            <v>1242</v>
          </cell>
          <cell r="E137" t="str">
            <v>Indemnité de logement, Personnel OEJ</v>
          </cell>
          <cell r="F137">
            <v>0</v>
          </cell>
          <cell r="L137">
            <v>0</v>
          </cell>
          <cell r="P137">
            <v>0</v>
          </cell>
          <cell r="AC137">
            <v>0</v>
          </cell>
        </row>
        <row r="138">
          <cell r="B138">
            <v>5</v>
          </cell>
          <cell r="C138" t="str">
            <v>013</v>
          </cell>
          <cell r="D138" t="str">
            <v>1243</v>
          </cell>
          <cell r="E138" t="str">
            <v>Indemnité de logement, Personnel OEF</v>
          </cell>
          <cell r="F138">
            <v>0</v>
          </cell>
          <cell r="L138">
            <v>0</v>
          </cell>
          <cell r="P138">
            <v>0</v>
          </cell>
          <cell r="AC138">
            <v>0</v>
          </cell>
        </row>
        <row r="139">
          <cell r="B139">
            <v>5</v>
          </cell>
          <cell r="C139" t="str">
            <v>019</v>
          </cell>
          <cell r="D139" t="str">
            <v>1244</v>
          </cell>
          <cell r="E139" t="str">
            <v>Indemnité de logement, Personnel appoints</v>
          </cell>
          <cell r="F139">
            <v>0</v>
          </cell>
          <cell r="L139">
            <v>0</v>
          </cell>
          <cell r="P139">
            <v>0</v>
          </cell>
          <cell r="AC139">
            <v>0</v>
          </cell>
        </row>
        <row r="140">
          <cell r="B140">
            <v>5</v>
          </cell>
          <cell r="C140" t="str">
            <v>021</v>
          </cell>
          <cell r="D140" t="str">
            <v>1245</v>
          </cell>
          <cell r="E140" t="str">
            <v>Indemnité de logement, Personnel OEM</v>
          </cell>
          <cell r="F140">
            <v>0</v>
          </cell>
          <cell r="L140">
            <v>0</v>
          </cell>
          <cell r="P140">
            <v>0</v>
          </cell>
          <cell r="AC140">
            <v>0</v>
          </cell>
        </row>
        <row r="141">
          <cell r="B141">
            <v>5</v>
          </cell>
          <cell r="C141" t="str">
            <v>023</v>
          </cell>
          <cell r="D141" t="str">
            <v>1246</v>
          </cell>
          <cell r="E141" t="str">
            <v>Indemnité de logement, Personnel TAMCA</v>
          </cell>
          <cell r="F141">
            <v>0</v>
          </cell>
          <cell r="L141">
            <v>0</v>
          </cell>
          <cell r="P141">
            <v>0</v>
          </cell>
          <cell r="AC141">
            <v>0</v>
          </cell>
        </row>
        <row r="142">
          <cell r="B142">
            <v>5</v>
          </cell>
          <cell r="C142" t="str">
            <v>041</v>
          </cell>
          <cell r="D142" t="str">
            <v>1248</v>
          </cell>
          <cell r="E142" t="str">
            <v>Indemnité de logement, Personnel HC</v>
          </cell>
          <cell r="F142">
            <v>0</v>
          </cell>
          <cell r="L142">
            <v>0</v>
          </cell>
          <cell r="P142">
            <v>0</v>
          </cell>
          <cell r="AC142">
            <v>0</v>
          </cell>
        </row>
        <row r="143">
          <cell r="B143">
            <v>6</v>
          </cell>
          <cell r="C143" t="str">
            <v>011</v>
          </cell>
          <cell r="D143" t="str">
            <v>1250</v>
          </cell>
          <cell r="E143" t="str">
            <v>Aide au logement, Personnel OET</v>
          </cell>
          <cell r="F143">
            <v>0</v>
          </cell>
          <cell r="L143">
            <v>0</v>
          </cell>
          <cell r="P143">
            <v>0</v>
          </cell>
          <cell r="AC143">
            <v>0</v>
          </cell>
        </row>
        <row r="144">
          <cell r="B144">
            <v>6</v>
          </cell>
          <cell r="C144" t="str">
            <v>017</v>
          </cell>
          <cell r="D144" t="str">
            <v>1251</v>
          </cell>
          <cell r="E144" t="str">
            <v>Aide au logement, Personnel OEB</v>
          </cell>
          <cell r="F144">
            <v>0</v>
          </cell>
          <cell r="L144">
            <v>0</v>
          </cell>
          <cell r="P144">
            <v>0</v>
          </cell>
          <cell r="AC144">
            <v>0</v>
          </cell>
        </row>
        <row r="145">
          <cell r="B145">
            <v>6</v>
          </cell>
          <cell r="C145" t="str">
            <v>015</v>
          </cell>
          <cell r="D145" t="str">
            <v>1252</v>
          </cell>
          <cell r="E145" t="str">
            <v>Aide au logement, Personnel OEJ</v>
          </cell>
          <cell r="F145">
            <v>0</v>
          </cell>
          <cell r="L145">
            <v>0</v>
          </cell>
          <cell r="P145">
            <v>0</v>
          </cell>
          <cell r="AC145">
            <v>0</v>
          </cell>
        </row>
        <row r="146">
          <cell r="B146">
            <v>6</v>
          </cell>
          <cell r="C146" t="str">
            <v>013</v>
          </cell>
          <cell r="D146" t="str">
            <v>1253</v>
          </cell>
          <cell r="E146" t="str">
            <v>Aide au logement, Personnel OEF</v>
          </cell>
          <cell r="F146">
            <v>0</v>
          </cell>
          <cell r="L146">
            <v>0</v>
          </cell>
          <cell r="P146">
            <v>0</v>
          </cell>
          <cell r="AC146">
            <v>0</v>
          </cell>
        </row>
        <row r="147">
          <cell r="B147">
            <v>6</v>
          </cell>
          <cell r="C147" t="str">
            <v>019</v>
          </cell>
          <cell r="D147" t="str">
            <v>1254</v>
          </cell>
          <cell r="E147" t="str">
            <v>Aide au logement, Personnel appoints</v>
          </cell>
          <cell r="F147">
            <v>0</v>
          </cell>
          <cell r="L147">
            <v>0</v>
          </cell>
          <cell r="P147">
            <v>0</v>
          </cell>
          <cell r="AC147">
            <v>0</v>
          </cell>
        </row>
        <row r="148">
          <cell r="B148">
            <v>6</v>
          </cell>
          <cell r="C148" t="str">
            <v>021</v>
          </cell>
          <cell r="D148" t="str">
            <v>1255</v>
          </cell>
          <cell r="E148" t="str">
            <v>Aide au logement, Personnel OEM</v>
          </cell>
          <cell r="F148">
            <v>0</v>
          </cell>
          <cell r="L148">
            <v>0</v>
          </cell>
          <cell r="P148">
            <v>0</v>
          </cell>
          <cell r="AC148">
            <v>0</v>
          </cell>
        </row>
        <row r="149">
          <cell r="B149">
            <v>6</v>
          </cell>
          <cell r="C149" t="str">
            <v>023</v>
          </cell>
          <cell r="D149" t="str">
            <v>1256</v>
          </cell>
          <cell r="E149" t="str">
            <v>Aide au logement, Personnel TAMCA</v>
          </cell>
          <cell r="F149">
            <v>0</v>
          </cell>
          <cell r="L149">
            <v>0</v>
          </cell>
          <cell r="P149">
            <v>0</v>
          </cell>
          <cell r="AC149">
            <v>0</v>
          </cell>
        </row>
        <row r="150">
          <cell r="B150">
            <v>6</v>
          </cell>
          <cell r="C150" t="str">
            <v>041</v>
          </cell>
          <cell r="D150" t="str">
            <v>1258</v>
          </cell>
          <cell r="E150" t="str">
            <v>Aide au logement, Personnel HC</v>
          </cell>
          <cell r="F150">
            <v>0</v>
          </cell>
          <cell r="L150">
            <v>0</v>
          </cell>
          <cell r="P150">
            <v>0</v>
          </cell>
          <cell r="AC150">
            <v>0</v>
          </cell>
        </row>
        <row r="151">
          <cell r="D151" t="str">
            <v>1266</v>
          </cell>
          <cell r="E151" t="str">
            <v>Prime à la construction prêts hypothécaires personnel OE et TAMCA</v>
          </cell>
          <cell r="F151">
            <v>0</v>
          </cell>
          <cell r="L151">
            <v>0</v>
          </cell>
          <cell r="P151">
            <v>0</v>
          </cell>
          <cell r="AC151">
            <v>0</v>
          </cell>
        </row>
        <row r="152">
          <cell r="B152">
            <v>7</v>
          </cell>
          <cell r="C152" t="str">
            <v>041</v>
          </cell>
          <cell r="D152" t="str">
            <v>1268</v>
          </cell>
          <cell r="E152" t="str">
            <v>Prime à la construction prêts hypothécaires, Personnel HC</v>
          </cell>
          <cell r="F152">
            <v>0</v>
          </cell>
          <cell r="L152">
            <v>0</v>
          </cell>
          <cell r="P152">
            <v>0</v>
          </cell>
          <cell r="AC152">
            <v>0</v>
          </cell>
        </row>
        <row r="153">
          <cell r="D153" t="str">
            <v>1269</v>
          </cell>
          <cell r="E153" t="str">
            <v>Primes à la construction, Prêts hypothécaires, Toutes catégories</v>
          </cell>
          <cell r="F153">
            <v>0</v>
          </cell>
          <cell r="L153">
            <v>0</v>
          </cell>
          <cell r="P153">
            <v>0</v>
          </cell>
          <cell r="AC153">
            <v>0</v>
          </cell>
        </row>
        <row r="154">
          <cell r="B154">
            <v>7</v>
          </cell>
          <cell r="C154" t="str">
            <v>011</v>
          </cell>
          <cell r="D154" t="str">
            <v>1270</v>
          </cell>
          <cell r="E154" t="str">
            <v>Prime de responsabilité, de rendement et d'asseduite, Personnel OET</v>
          </cell>
          <cell r="F154">
            <v>0</v>
          </cell>
          <cell r="L154">
            <v>0</v>
          </cell>
          <cell r="P154">
            <v>0</v>
          </cell>
          <cell r="AC154">
            <v>0</v>
          </cell>
        </row>
        <row r="155">
          <cell r="B155">
            <v>7</v>
          </cell>
          <cell r="C155" t="str">
            <v>017</v>
          </cell>
          <cell r="D155" t="str">
            <v>1271</v>
          </cell>
          <cell r="E155" t="str">
            <v>Prime de responsabilité, de rendement et d'asséduité, Personnel OEB</v>
          </cell>
          <cell r="F155">
            <v>0</v>
          </cell>
          <cell r="L155">
            <v>0</v>
          </cell>
          <cell r="P155">
            <v>0</v>
          </cell>
          <cell r="AC155">
            <v>0</v>
          </cell>
        </row>
        <row r="156">
          <cell r="B156">
            <v>7</v>
          </cell>
          <cell r="C156" t="str">
            <v>015</v>
          </cell>
          <cell r="D156" t="str">
            <v>1272</v>
          </cell>
          <cell r="E156" t="str">
            <v>Prime de responsabilité, de rendement et d'asséduité, Personnel OEJ</v>
          </cell>
          <cell r="F156">
            <v>0</v>
          </cell>
          <cell r="L156">
            <v>0</v>
          </cell>
          <cell r="P156">
            <v>0</v>
          </cell>
          <cell r="AC156">
            <v>0</v>
          </cell>
        </row>
        <row r="157">
          <cell r="B157">
            <v>7</v>
          </cell>
          <cell r="C157" t="str">
            <v>013</v>
          </cell>
          <cell r="D157" t="str">
            <v>1273</v>
          </cell>
          <cell r="E157" t="str">
            <v>Prime de responsabilité, de rendement et d'asséduité, Personnel OEF</v>
          </cell>
          <cell r="F157">
            <v>0</v>
          </cell>
          <cell r="L157">
            <v>0</v>
          </cell>
          <cell r="P157">
            <v>0</v>
          </cell>
          <cell r="AC157">
            <v>0</v>
          </cell>
        </row>
        <row r="158">
          <cell r="B158">
            <v>7</v>
          </cell>
          <cell r="C158" t="str">
            <v>019</v>
          </cell>
          <cell r="D158" t="str">
            <v>1274</v>
          </cell>
          <cell r="E158" t="str">
            <v>Prime de responsabilité, de rendement et d'asséduité, Personnel appoints</v>
          </cell>
          <cell r="F158">
            <v>0</v>
          </cell>
          <cell r="L158">
            <v>0</v>
          </cell>
          <cell r="P158">
            <v>0</v>
          </cell>
          <cell r="AC158">
            <v>0</v>
          </cell>
        </row>
        <row r="159">
          <cell r="B159">
            <v>7</v>
          </cell>
          <cell r="C159" t="str">
            <v>021</v>
          </cell>
          <cell r="D159" t="str">
            <v>1275</v>
          </cell>
          <cell r="E159" t="str">
            <v>Prime de responsabilité, de rendement et d'asséduité, Personnel OEM</v>
          </cell>
          <cell r="F159">
            <v>0</v>
          </cell>
          <cell r="L159">
            <v>0</v>
          </cell>
          <cell r="P159">
            <v>0</v>
          </cell>
          <cell r="AC159">
            <v>0</v>
          </cell>
        </row>
        <row r="160">
          <cell r="B160">
            <v>7</v>
          </cell>
          <cell r="C160" t="str">
            <v>023</v>
          </cell>
          <cell r="D160" t="str">
            <v>1276</v>
          </cell>
          <cell r="E160" t="str">
            <v>Prime de responsabilité, de rendement et d'asséduité, Personnel TAMCA</v>
          </cell>
          <cell r="F160">
            <v>0</v>
          </cell>
          <cell r="L160">
            <v>0</v>
          </cell>
          <cell r="P160">
            <v>0</v>
          </cell>
          <cell r="AC160">
            <v>0</v>
          </cell>
        </row>
        <row r="161">
          <cell r="B161">
            <v>8</v>
          </cell>
          <cell r="C161" t="str">
            <v>041</v>
          </cell>
          <cell r="D161" t="str">
            <v>1278</v>
          </cell>
          <cell r="E161" t="str">
            <v>Prime de responsabilité, de rendement et d'asséduité, Personnel HC</v>
          </cell>
          <cell r="F161">
            <v>0</v>
          </cell>
          <cell r="L161">
            <v>0</v>
          </cell>
          <cell r="P161">
            <v>0</v>
          </cell>
          <cell r="AC161">
            <v>0</v>
          </cell>
        </row>
        <row r="162">
          <cell r="B162">
            <v>8</v>
          </cell>
          <cell r="C162" t="str">
            <v>011</v>
          </cell>
          <cell r="D162" t="str">
            <v>1280</v>
          </cell>
          <cell r="E162" t="str">
            <v>Charges fami. mariage, naiss.,decès, a. f... tâcherons</v>
          </cell>
          <cell r="F162">
            <v>0</v>
          </cell>
          <cell r="L162">
            <v>0</v>
          </cell>
          <cell r="P162">
            <v>0</v>
          </cell>
          <cell r="AC162">
            <v>0</v>
          </cell>
        </row>
        <row r="163">
          <cell r="B163">
            <v>8</v>
          </cell>
          <cell r="C163" t="str">
            <v>017</v>
          </cell>
          <cell r="D163" t="str">
            <v>1281</v>
          </cell>
          <cell r="E163" t="str">
            <v>Charges familiales, Mariages, Naissances, Décès, a. f... OEB</v>
          </cell>
          <cell r="F163">
            <v>0</v>
          </cell>
          <cell r="L163">
            <v>0</v>
          </cell>
          <cell r="P163">
            <v>0</v>
          </cell>
          <cell r="AC163">
            <v>0</v>
          </cell>
        </row>
        <row r="164">
          <cell r="B164">
            <v>8</v>
          </cell>
          <cell r="C164" t="str">
            <v>015</v>
          </cell>
          <cell r="D164" t="str">
            <v>1282</v>
          </cell>
          <cell r="E164" t="str">
            <v>Charges fami. mariage, naiss.,decès, a. f... OEJ</v>
          </cell>
          <cell r="F164">
            <v>0</v>
          </cell>
          <cell r="L164">
            <v>0</v>
          </cell>
          <cell r="P164">
            <v>0</v>
          </cell>
          <cell r="AC164">
            <v>0</v>
          </cell>
        </row>
        <row r="165">
          <cell r="B165">
            <v>8</v>
          </cell>
          <cell r="C165" t="str">
            <v>013</v>
          </cell>
          <cell r="D165" t="str">
            <v>1283</v>
          </cell>
          <cell r="E165" t="str">
            <v>Charges familiales, Mariages, Naissances, Décès, a. f... OEF</v>
          </cell>
          <cell r="F165">
            <v>0</v>
          </cell>
          <cell r="L165">
            <v>0</v>
          </cell>
          <cell r="P165">
            <v>0</v>
          </cell>
          <cell r="AC165">
            <v>0</v>
          </cell>
        </row>
        <row r="166">
          <cell r="B166">
            <v>8</v>
          </cell>
          <cell r="C166" t="str">
            <v>019</v>
          </cell>
          <cell r="D166" t="str">
            <v>1284</v>
          </cell>
          <cell r="E166" t="str">
            <v>Charges fami. mariage, naiss.,decès, a. f... appoints</v>
          </cell>
          <cell r="F166">
            <v>0</v>
          </cell>
          <cell r="L166">
            <v>0</v>
          </cell>
          <cell r="P166">
            <v>0</v>
          </cell>
          <cell r="AC166">
            <v>0</v>
          </cell>
        </row>
        <row r="167">
          <cell r="B167">
            <v>8</v>
          </cell>
          <cell r="C167" t="str">
            <v>021</v>
          </cell>
          <cell r="D167" t="str">
            <v>1285</v>
          </cell>
          <cell r="E167" t="str">
            <v>Charges fami. mariage, naiss.,decès, a. f... OEM</v>
          </cell>
          <cell r="F167">
            <v>0</v>
          </cell>
          <cell r="L167">
            <v>0</v>
          </cell>
          <cell r="P167">
            <v>0</v>
          </cell>
          <cell r="AC167">
            <v>0</v>
          </cell>
        </row>
        <row r="168">
          <cell r="B168">
            <v>8</v>
          </cell>
          <cell r="C168" t="str">
            <v>023</v>
          </cell>
          <cell r="D168" t="str">
            <v>1286</v>
          </cell>
          <cell r="E168" t="str">
            <v>Charges fami. mariage, naiss.,decès, a. f... TAMCA</v>
          </cell>
          <cell r="F168">
            <v>0</v>
          </cell>
          <cell r="L168">
            <v>0</v>
          </cell>
          <cell r="P168">
            <v>0</v>
          </cell>
          <cell r="AC168">
            <v>0</v>
          </cell>
        </row>
        <row r="169">
          <cell r="B169">
            <v>9</v>
          </cell>
          <cell r="C169" t="str">
            <v>041</v>
          </cell>
          <cell r="D169" t="str">
            <v>1288</v>
          </cell>
          <cell r="E169" t="str">
            <v>Charges fami. mariage, naiss.,decès, a. f... PHC</v>
          </cell>
          <cell r="F169">
            <v>0</v>
          </cell>
          <cell r="L169">
            <v>0</v>
          </cell>
          <cell r="P169">
            <v>0</v>
          </cell>
          <cell r="AC169">
            <v>0</v>
          </cell>
        </row>
        <row r="170">
          <cell r="B170">
            <v>9</v>
          </cell>
          <cell r="C170" t="str">
            <v>011</v>
          </cell>
          <cell r="D170" t="str">
            <v>1290</v>
          </cell>
          <cell r="E170" t="str">
            <v>Autres avantages et indemnités diverses, Scolarité, Mecque etc..,  Personnel OET</v>
          </cell>
          <cell r="F170">
            <v>0</v>
          </cell>
          <cell r="L170">
            <v>0</v>
          </cell>
          <cell r="P170">
            <v>0</v>
          </cell>
          <cell r="AC170">
            <v>0</v>
          </cell>
        </row>
        <row r="171">
          <cell r="B171">
            <v>9</v>
          </cell>
          <cell r="C171" t="str">
            <v>017</v>
          </cell>
          <cell r="D171" t="str">
            <v>1291</v>
          </cell>
          <cell r="E171" t="str">
            <v>Autres avantages et indemnités diverses scolarité, voy mecque etc., Personnel OEB</v>
          </cell>
          <cell r="F171">
            <v>0</v>
          </cell>
          <cell r="L171">
            <v>0</v>
          </cell>
          <cell r="P171">
            <v>0</v>
          </cell>
          <cell r="AC171">
            <v>0</v>
          </cell>
        </row>
        <row r="172">
          <cell r="B172">
            <v>9</v>
          </cell>
          <cell r="C172" t="str">
            <v>015</v>
          </cell>
          <cell r="D172" t="str">
            <v>1292</v>
          </cell>
          <cell r="E172" t="str">
            <v>Autres avantages et indemnités diverses, Scolarité, Mecque etc.., Personnel OEJ</v>
          </cell>
          <cell r="F172">
            <v>0</v>
          </cell>
          <cell r="L172">
            <v>0</v>
          </cell>
          <cell r="P172">
            <v>0</v>
          </cell>
          <cell r="AC172">
            <v>0</v>
          </cell>
        </row>
        <row r="173">
          <cell r="B173">
            <v>9</v>
          </cell>
          <cell r="C173" t="str">
            <v>013</v>
          </cell>
          <cell r="D173" t="str">
            <v>1293</v>
          </cell>
          <cell r="E173" t="str">
            <v>Autres avantages et indemnités diverses, Scolarité, Mecque etc.., Personnel OEF</v>
          </cell>
          <cell r="F173">
            <v>0</v>
          </cell>
          <cell r="L173">
            <v>0</v>
          </cell>
          <cell r="P173">
            <v>0</v>
          </cell>
          <cell r="AC173">
            <v>0</v>
          </cell>
        </row>
        <row r="174">
          <cell r="B174">
            <v>9</v>
          </cell>
          <cell r="C174" t="str">
            <v>019</v>
          </cell>
          <cell r="D174" t="str">
            <v>1294</v>
          </cell>
          <cell r="E174" t="str">
            <v>Autres avan. et indemnités diverses scolarité, voy mecque etc., Personnel app.</v>
          </cell>
          <cell r="F174">
            <v>0</v>
          </cell>
          <cell r="L174">
            <v>0</v>
          </cell>
          <cell r="P174">
            <v>0</v>
          </cell>
          <cell r="AC174">
            <v>0</v>
          </cell>
        </row>
        <row r="175">
          <cell r="B175">
            <v>9</v>
          </cell>
          <cell r="C175" t="str">
            <v>021</v>
          </cell>
          <cell r="D175" t="str">
            <v>1295</v>
          </cell>
          <cell r="E175" t="str">
            <v>Autres avantages et indemnités diverses scolarité, voy mecque etc., Personnel OEM</v>
          </cell>
          <cell r="F175">
            <v>0</v>
          </cell>
          <cell r="L175">
            <v>0</v>
          </cell>
          <cell r="P175">
            <v>0</v>
          </cell>
          <cell r="AC175">
            <v>0</v>
          </cell>
        </row>
        <row r="176">
          <cell r="B176">
            <v>9</v>
          </cell>
          <cell r="C176" t="str">
            <v>023</v>
          </cell>
          <cell r="D176" t="str">
            <v>1296</v>
          </cell>
          <cell r="E176" t="str">
            <v>Autres avantages et indemnites diverses, Scolarité, Mecque etc.., Personnel TAMCA</v>
          </cell>
          <cell r="F176">
            <v>0</v>
          </cell>
          <cell r="L176">
            <v>0</v>
          </cell>
          <cell r="P176">
            <v>0</v>
          </cell>
          <cell r="AC176">
            <v>0</v>
          </cell>
        </row>
        <row r="177">
          <cell r="B177">
            <v>10</v>
          </cell>
          <cell r="C177" t="str">
            <v>041</v>
          </cell>
          <cell r="D177" t="str">
            <v>1298</v>
          </cell>
          <cell r="E177" t="str">
            <v>Autres avantages et indemnités diverses, Scolarité, Mecque etc.., Personnel Hors Cadre</v>
          </cell>
          <cell r="F177">
            <v>0</v>
          </cell>
          <cell r="L177">
            <v>0</v>
          </cell>
          <cell r="P177">
            <v>0</v>
          </cell>
          <cell r="AC177">
            <v>0</v>
          </cell>
        </row>
        <row r="178">
          <cell r="B178">
            <v>1</v>
          </cell>
          <cell r="C178" t="str">
            <v>070</v>
          </cell>
          <cell r="D178" t="str">
            <v>1300</v>
          </cell>
          <cell r="E178" t="str">
            <v>Part patronale retraite OS 800, Personnel permanent OET</v>
          </cell>
          <cell r="F178">
            <v>45360</v>
          </cell>
          <cell r="G178">
            <v>46452</v>
          </cell>
          <cell r="H178">
            <v>39312</v>
          </cell>
          <cell r="I178">
            <v>49452</v>
          </cell>
          <cell r="J178">
            <v>36624</v>
          </cell>
          <cell r="K178">
            <v>51468</v>
          </cell>
          <cell r="L178">
            <v>268668</v>
          </cell>
          <cell r="P178">
            <v>0</v>
          </cell>
          <cell r="AC178">
            <v>268668</v>
          </cell>
        </row>
        <row r="179">
          <cell r="B179">
            <v>1</v>
          </cell>
          <cell r="C179" t="str">
            <v>071</v>
          </cell>
          <cell r="D179" t="str">
            <v>1301</v>
          </cell>
          <cell r="E179" t="str">
            <v>Part patronale retraite OS 800, Personnel permanent OEB</v>
          </cell>
          <cell r="L179">
            <v>0</v>
          </cell>
          <cell r="P179">
            <v>0</v>
          </cell>
          <cell r="AC179">
            <v>0</v>
          </cell>
        </row>
        <row r="180">
          <cell r="B180">
            <v>1</v>
          </cell>
          <cell r="C180" t="str">
            <v>072</v>
          </cell>
          <cell r="D180" t="str">
            <v>1302</v>
          </cell>
          <cell r="E180" t="str">
            <v>Part patronale retraite OS 800, Personnel permanent OEJ</v>
          </cell>
          <cell r="L180">
            <v>0</v>
          </cell>
          <cell r="P180">
            <v>0</v>
          </cell>
          <cell r="AC180">
            <v>0</v>
          </cell>
        </row>
        <row r="181">
          <cell r="B181">
            <v>1</v>
          </cell>
          <cell r="C181" t="str">
            <v>073</v>
          </cell>
          <cell r="D181" t="str">
            <v>1303</v>
          </cell>
          <cell r="E181" t="str">
            <v>Part patronale retraite OS 800, Personnel permanent OEF</v>
          </cell>
          <cell r="F181">
            <v>28896</v>
          </cell>
          <cell r="G181">
            <v>22212</v>
          </cell>
          <cell r="H181">
            <v>17964</v>
          </cell>
          <cell r="I181">
            <v>21228</v>
          </cell>
          <cell r="J181">
            <v>14448</v>
          </cell>
          <cell r="K181">
            <v>24996</v>
          </cell>
          <cell r="L181">
            <v>129744</v>
          </cell>
          <cell r="P181">
            <v>0</v>
          </cell>
          <cell r="AC181">
            <v>129744</v>
          </cell>
        </row>
        <row r="182">
          <cell r="B182">
            <v>1</v>
          </cell>
          <cell r="C182" t="str">
            <v>074</v>
          </cell>
          <cell r="D182" t="str">
            <v>1304</v>
          </cell>
          <cell r="E182" t="str">
            <v>Part patronale retraite OS 800, Personnel permanent appoints</v>
          </cell>
          <cell r="L182">
            <v>0</v>
          </cell>
          <cell r="P182">
            <v>0</v>
          </cell>
          <cell r="AC182">
            <v>0</v>
          </cell>
        </row>
        <row r="183">
          <cell r="B183">
            <v>1</v>
          </cell>
          <cell r="C183" t="str">
            <v>076</v>
          </cell>
          <cell r="D183" t="str">
            <v>1305</v>
          </cell>
          <cell r="E183" t="str">
            <v>Part patronale retraite OS 800, Personnel permanent OEM</v>
          </cell>
          <cell r="L183">
            <v>0</v>
          </cell>
          <cell r="P183">
            <v>0</v>
          </cell>
          <cell r="AC183">
            <v>0</v>
          </cell>
        </row>
        <row r="184">
          <cell r="B184">
            <v>1</v>
          </cell>
          <cell r="C184" t="str">
            <v>075</v>
          </cell>
          <cell r="D184" t="str">
            <v>1306</v>
          </cell>
          <cell r="E184" t="str">
            <v>Part patronale retraite OS 800, Personnel permanent TAMCA</v>
          </cell>
          <cell r="F184">
            <v>2184</v>
          </cell>
          <cell r="G184">
            <v>300</v>
          </cell>
          <cell r="H184">
            <v>7512</v>
          </cell>
          <cell r="I184">
            <v>4164</v>
          </cell>
          <cell r="J184">
            <v>1596</v>
          </cell>
          <cell r="K184">
            <v>6432</v>
          </cell>
          <cell r="L184">
            <v>22188</v>
          </cell>
          <cell r="P184">
            <v>0</v>
          </cell>
          <cell r="AC184">
            <v>22188</v>
          </cell>
        </row>
        <row r="185">
          <cell r="B185">
            <v>1</v>
          </cell>
          <cell r="C185" t="str">
            <v>077</v>
          </cell>
          <cell r="D185" t="str">
            <v>1308</v>
          </cell>
          <cell r="E185" t="str">
            <v>Part patronale retraite OS 800, Personnel permanent HC</v>
          </cell>
          <cell r="L185">
            <v>0</v>
          </cell>
          <cell r="P185">
            <v>0</v>
          </cell>
          <cell r="AC185">
            <v>0</v>
          </cell>
        </row>
        <row r="186">
          <cell r="D186" t="str">
            <v>1319</v>
          </cell>
          <cell r="E186" t="str">
            <v>Actualisation, engagement retraite, Toute catégorie</v>
          </cell>
          <cell r="F186">
            <v>0</v>
          </cell>
          <cell r="L186">
            <v>0</v>
          </cell>
          <cell r="P186">
            <v>0</v>
          </cell>
          <cell r="AC186">
            <v>0</v>
          </cell>
        </row>
        <row r="187">
          <cell r="B187">
            <v>1</v>
          </cell>
          <cell r="C187" t="str">
            <v>035</v>
          </cell>
          <cell r="D187" t="str">
            <v>1320</v>
          </cell>
          <cell r="E187" t="str">
            <v>Part patronale OS 824 OET</v>
          </cell>
          <cell r="F187">
            <v>1800</v>
          </cell>
          <cell r="G187">
            <v>9228</v>
          </cell>
          <cell r="H187">
            <v>3288</v>
          </cell>
          <cell r="I187">
            <v>2556</v>
          </cell>
          <cell r="J187">
            <v>2796</v>
          </cell>
          <cell r="K187">
            <v>3180</v>
          </cell>
          <cell r="L187">
            <v>22848</v>
          </cell>
          <cell r="P187">
            <v>0</v>
          </cell>
          <cell r="AC187">
            <v>22848</v>
          </cell>
        </row>
        <row r="188">
          <cell r="B188">
            <v>2</v>
          </cell>
          <cell r="C188" t="str">
            <v>035</v>
          </cell>
          <cell r="D188" t="str">
            <v>1321</v>
          </cell>
          <cell r="E188" t="str">
            <v>Part patronale OS 824 OEB</v>
          </cell>
          <cell r="F188">
            <v>0</v>
          </cell>
          <cell r="L188">
            <v>0</v>
          </cell>
          <cell r="P188">
            <v>0</v>
          </cell>
          <cell r="AC188">
            <v>0</v>
          </cell>
        </row>
        <row r="189">
          <cell r="B189">
            <v>3</v>
          </cell>
          <cell r="C189" t="str">
            <v>035</v>
          </cell>
          <cell r="D189" t="str">
            <v>1322</v>
          </cell>
          <cell r="E189" t="str">
            <v>Part patronale OS 824 OEJ</v>
          </cell>
          <cell r="F189">
            <v>0</v>
          </cell>
          <cell r="L189">
            <v>0</v>
          </cell>
          <cell r="P189">
            <v>0</v>
          </cell>
          <cell r="AC189">
            <v>0</v>
          </cell>
        </row>
        <row r="190">
          <cell r="B190">
            <v>4</v>
          </cell>
          <cell r="C190" t="str">
            <v>035</v>
          </cell>
          <cell r="D190" t="str">
            <v>1323</v>
          </cell>
          <cell r="E190" t="str">
            <v>Part patronale OS 824 OEF</v>
          </cell>
          <cell r="F190">
            <v>0</v>
          </cell>
          <cell r="L190">
            <v>0</v>
          </cell>
          <cell r="P190">
            <v>0</v>
          </cell>
          <cell r="AC190">
            <v>0</v>
          </cell>
        </row>
        <row r="191">
          <cell r="B191">
            <v>5</v>
          </cell>
          <cell r="C191" t="str">
            <v>035</v>
          </cell>
          <cell r="D191" t="str">
            <v>1324</v>
          </cell>
          <cell r="E191" t="str">
            <v>Part patronale OS 824 appoints</v>
          </cell>
          <cell r="F191">
            <v>0</v>
          </cell>
          <cell r="L191">
            <v>0</v>
          </cell>
          <cell r="P191">
            <v>0</v>
          </cell>
          <cell r="AC191">
            <v>0</v>
          </cell>
        </row>
        <row r="192">
          <cell r="B192">
            <v>6</v>
          </cell>
          <cell r="C192" t="str">
            <v>035</v>
          </cell>
          <cell r="D192" t="str">
            <v>1325</v>
          </cell>
          <cell r="E192" t="str">
            <v>Part patronale OS 824, Personnel OEM</v>
          </cell>
          <cell r="F192">
            <v>0</v>
          </cell>
          <cell r="L192">
            <v>0</v>
          </cell>
          <cell r="P192">
            <v>0</v>
          </cell>
          <cell r="AC192">
            <v>0</v>
          </cell>
        </row>
        <row r="193">
          <cell r="B193">
            <v>1</v>
          </cell>
          <cell r="C193" t="str">
            <v>085</v>
          </cell>
          <cell r="D193" t="str">
            <v>1326</v>
          </cell>
          <cell r="E193" t="str">
            <v>Part patronale OS 824 TAMCA</v>
          </cell>
          <cell r="F193">
            <v>10656</v>
          </cell>
          <cell r="G193">
            <v>4488</v>
          </cell>
          <cell r="I193">
            <v>5940</v>
          </cell>
          <cell r="J193">
            <v>3912</v>
          </cell>
          <cell r="K193">
            <v>708</v>
          </cell>
          <cell r="L193">
            <v>25704</v>
          </cell>
          <cell r="P193">
            <v>0</v>
          </cell>
          <cell r="AC193">
            <v>25704</v>
          </cell>
        </row>
        <row r="194">
          <cell r="B194">
            <v>1</v>
          </cell>
          <cell r="C194" t="str">
            <v>045</v>
          </cell>
          <cell r="D194" t="str">
            <v>1328</v>
          </cell>
          <cell r="E194" t="str">
            <v>Part patronale OS 824 PHC</v>
          </cell>
          <cell r="L194">
            <v>0</v>
          </cell>
          <cell r="P194">
            <v>0</v>
          </cell>
          <cell r="AC194">
            <v>0</v>
          </cell>
        </row>
        <row r="195">
          <cell r="B195">
            <v>1</v>
          </cell>
          <cell r="C195" t="str">
            <v>036</v>
          </cell>
          <cell r="D195" t="str">
            <v>1330</v>
          </cell>
          <cell r="E195" t="str">
            <v>Part patronale Recore OS 824, Personnel OET</v>
          </cell>
          <cell r="F195">
            <v>708</v>
          </cell>
          <cell r="G195">
            <v>1596</v>
          </cell>
          <cell r="H195">
            <v>972</v>
          </cell>
          <cell r="I195">
            <v>1416</v>
          </cell>
          <cell r="J195">
            <v>1560</v>
          </cell>
          <cell r="K195">
            <v>2556</v>
          </cell>
          <cell r="L195">
            <v>8808</v>
          </cell>
          <cell r="P195">
            <v>0</v>
          </cell>
          <cell r="AC195">
            <v>8808</v>
          </cell>
        </row>
        <row r="196">
          <cell r="B196">
            <v>2</v>
          </cell>
          <cell r="C196" t="str">
            <v>036</v>
          </cell>
          <cell r="D196" t="str">
            <v>1331</v>
          </cell>
          <cell r="E196" t="str">
            <v>Part patronale Recore OS 824, Personnel OEB</v>
          </cell>
          <cell r="F196">
            <v>0</v>
          </cell>
          <cell r="L196">
            <v>0</v>
          </cell>
          <cell r="P196">
            <v>0</v>
          </cell>
          <cell r="AC196">
            <v>0</v>
          </cell>
        </row>
        <row r="197">
          <cell r="B197">
            <v>3</v>
          </cell>
          <cell r="C197" t="str">
            <v>036</v>
          </cell>
          <cell r="D197" t="str">
            <v>1332</v>
          </cell>
          <cell r="E197" t="str">
            <v>Part patronale Recore OS 824, Personnel OEJ</v>
          </cell>
          <cell r="F197">
            <v>0</v>
          </cell>
          <cell r="L197">
            <v>0</v>
          </cell>
          <cell r="P197">
            <v>0</v>
          </cell>
          <cell r="AC197">
            <v>0</v>
          </cell>
        </row>
        <row r="198">
          <cell r="B198">
            <v>4</v>
          </cell>
          <cell r="C198" t="str">
            <v>036</v>
          </cell>
          <cell r="D198" t="str">
            <v>1333</v>
          </cell>
          <cell r="E198" t="str">
            <v>Part patronale Recore OS 824, Personnel OEF</v>
          </cell>
          <cell r="F198">
            <v>0</v>
          </cell>
          <cell r="L198">
            <v>0</v>
          </cell>
          <cell r="P198">
            <v>0</v>
          </cell>
          <cell r="AC198">
            <v>0</v>
          </cell>
        </row>
        <row r="199">
          <cell r="B199">
            <v>5</v>
          </cell>
          <cell r="C199" t="str">
            <v>036</v>
          </cell>
          <cell r="D199" t="str">
            <v>1334</v>
          </cell>
          <cell r="E199" t="str">
            <v>Part patronale Recore OS 824, Personnel appoints</v>
          </cell>
          <cell r="F199">
            <v>0</v>
          </cell>
          <cell r="L199">
            <v>0</v>
          </cell>
          <cell r="P199">
            <v>0</v>
          </cell>
          <cell r="AC199">
            <v>0</v>
          </cell>
        </row>
        <row r="200">
          <cell r="B200">
            <v>6</v>
          </cell>
          <cell r="C200" t="str">
            <v>036</v>
          </cell>
          <cell r="D200" t="str">
            <v>1335</v>
          </cell>
          <cell r="E200" t="str">
            <v>Part patronale Recore OS 824, Personnel OEM</v>
          </cell>
          <cell r="F200">
            <v>0</v>
          </cell>
          <cell r="L200">
            <v>0</v>
          </cell>
          <cell r="P200">
            <v>0</v>
          </cell>
          <cell r="AC200">
            <v>0</v>
          </cell>
        </row>
        <row r="201">
          <cell r="B201">
            <v>1</v>
          </cell>
          <cell r="C201" t="str">
            <v>086</v>
          </cell>
          <cell r="D201" t="str">
            <v>1336</v>
          </cell>
          <cell r="E201" t="str">
            <v>Part patronale Recore OS 824, Personnel TAMCA</v>
          </cell>
          <cell r="F201">
            <v>948</v>
          </cell>
          <cell r="G201">
            <v>660</v>
          </cell>
          <cell r="I201">
            <v>228</v>
          </cell>
          <cell r="J201">
            <v>276</v>
          </cell>
          <cell r="K201">
            <v>108</v>
          </cell>
          <cell r="L201">
            <v>2220</v>
          </cell>
          <cell r="P201">
            <v>0</v>
          </cell>
          <cell r="AC201">
            <v>2220</v>
          </cell>
        </row>
        <row r="202">
          <cell r="B202">
            <v>1</v>
          </cell>
          <cell r="C202" t="str">
            <v>046</v>
          </cell>
          <cell r="D202" t="str">
            <v>1338</v>
          </cell>
          <cell r="E202" t="str">
            <v>Part patronale Recore OS 824, Personnel Hors Cadre</v>
          </cell>
          <cell r="L202">
            <v>0</v>
          </cell>
          <cell r="P202">
            <v>0</v>
          </cell>
          <cell r="AC202">
            <v>0</v>
          </cell>
        </row>
        <row r="203">
          <cell r="B203">
            <v>1</v>
          </cell>
          <cell r="C203" t="str">
            <v>037</v>
          </cell>
          <cell r="D203" t="str">
            <v>1340</v>
          </cell>
          <cell r="E203" t="str">
            <v>Part patronale RCAR régime de base, Personnel OET</v>
          </cell>
          <cell r="L203">
            <v>0</v>
          </cell>
          <cell r="P203">
            <v>0</v>
          </cell>
          <cell r="AC203">
            <v>0</v>
          </cell>
        </row>
        <row r="204">
          <cell r="B204">
            <v>2</v>
          </cell>
          <cell r="C204" t="str">
            <v>037</v>
          </cell>
          <cell r="D204" t="str">
            <v>1341</v>
          </cell>
          <cell r="E204" t="str">
            <v>Part patronale RCAR régime de base, Personnel OEB</v>
          </cell>
          <cell r="F204">
            <v>0</v>
          </cell>
          <cell r="L204">
            <v>0</v>
          </cell>
          <cell r="P204">
            <v>0</v>
          </cell>
          <cell r="AC204">
            <v>0</v>
          </cell>
        </row>
        <row r="205">
          <cell r="B205">
            <v>3</v>
          </cell>
          <cell r="C205" t="str">
            <v>037</v>
          </cell>
          <cell r="D205" t="str">
            <v>1342</v>
          </cell>
          <cell r="E205" t="str">
            <v>Part patronale RCAR régime de base, Personnel OEJ</v>
          </cell>
          <cell r="F205">
            <v>0</v>
          </cell>
          <cell r="L205">
            <v>0</v>
          </cell>
          <cell r="P205">
            <v>0</v>
          </cell>
          <cell r="AC205">
            <v>0</v>
          </cell>
        </row>
        <row r="206">
          <cell r="B206">
            <v>4</v>
          </cell>
          <cell r="C206" t="str">
            <v>037</v>
          </cell>
          <cell r="D206" t="str">
            <v>1343</v>
          </cell>
          <cell r="E206" t="str">
            <v>Part patronale RCAR régime de base, Personnel OEF</v>
          </cell>
          <cell r="F206">
            <v>0</v>
          </cell>
          <cell r="L206">
            <v>0</v>
          </cell>
          <cell r="P206">
            <v>0</v>
          </cell>
          <cell r="AC206">
            <v>0</v>
          </cell>
        </row>
        <row r="207">
          <cell r="B207">
            <v>5</v>
          </cell>
          <cell r="C207" t="str">
            <v>037</v>
          </cell>
          <cell r="D207" t="str">
            <v>1344</v>
          </cell>
          <cell r="E207" t="str">
            <v>Part patronale RCAR régime de base, Personnel appoints</v>
          </cell>
          <cell r="F207">
            <v>0</v>
          </cell>
          <cell r="L207">
            <v>0</v>
          </cell>
          <cell r="P207">
            <v>0</v>
          </cell>
          <cell r="AC207">
            <v>0</v>
          </cell>
        </row>
        <row r="208">
          <cell r="B208">
            <v>6</v>
          </cell>
          <cell r="C208" t="str">
            <v>037</v>
          </cell>
          <cell r="D208" t="str">
            <v>1345</v>
          </cell>
          <cell r="E208" t="str">
            <v>Part patronale RCAR régime de base, Personnel OEM</v>
          </cell>
          <cell r="F208">
            <v>0</v>
          </cell>
          <cell r="L208">
            <v>0</v>
          </cell>
          <cell r="P208">
            <v>0</v>
          </cell>
          <cell r="AC208">
            <v>0</v>
          </cell>
        </row>
        <row r="209">
          <cell r="B209">
            <v>1</v>
          </cell>
          <cell r="C209" t="str">
            <v>087</v>
          </cell>
          <cell r="D209" t="str">
            <v>1346</v>
          </cell>
          <cell r="E209" t="str">
            <v>Part patronale RCAR régime de base, Personnel TAMCA</v>
          </cell>
          <cell r="L209">
            <v>0</v>
          </cell>
          <cell r="P209">
            <v>0</v>
          </cell>
          <cell r="AC209">
            <v>0</v>
          </cell>
        </row>
        <row r="210">
          <cell r="B210">
            <v>1</v>
          </cell>
          <cell r="C210" t="str">
            <v>047</v>
          </cell>
          <cell r="D210" t="str">
            <v>1348</v>
          </cell>
          <cell r="E210" t="str">
            <v>Part patronale RCAR régime de base, Personnel Hors Cadre</v>
          </cell>
          <cell r="L210">
            <v>0</v>
          </cell>
          <cell r="P210">
            <v>0</v>
          </cell>
          <cell r="AC210">
            <v>0</v>
          </cell>
        </row>
        <row r="211">
          <cell r="B211">
            <v>1</v>
          </cell>
          <cell r="C211" t="str">
            <v>038</v>
          </cell>
          <cell r="D211" t="str">
            <v>1350</v>
          </cell>
          <cell r="E211" t="str">
            <v>Part patronale RCAR régime complementaire, Personnel OET</v>
          </cell>
          <cell r="L211">
            <v>0</v>
          </cell>
          <cell r="P211">
            <v>0</v>
          </cell>
          <cell r="AC211">
            <v>0</v>
          </cell>
        </row>
        <row r="212">
          <cell r="B212">
            <v>2</v>
          </cell>
          <cell r="C212" t="str">
            <v>038</v>
          </cell>
          <cell r="D212" t="str">
            <v>1351</v>
          </cell>
          <cell r="E212" t="str">
            <v>Part patronale RCAR régime complementaire, Personnel OEB</v>
          </cell>
          <cell r="F212">
            <v>0</v>
          </cell>
          <cell r="L212">
            <v>0</v>
          </cell>
          <cell r="P212">
            <v>0</v>
          </cell>
          <cell r="AC212">
            <v>0</v>
          </cell>
        </row>
        <row r="213">
          <cell r="B213">
            <v>3</v>
          </cell>
          <cell r="C213" t="str">
            <v>038</v>
          </cell>
          <cell r="D213" t="str">
            <v>1352</v>
          </cell>
          <cell r="E213" t="str">
            <v>Part patronale RCAR régime complementaire, Personnel OEJ</v>
          </cell>
          <cell r="F213">
            <v>0</v>
          </cell>
          <cell r="L213">
            <v>0</v>
          </cell>
          <cell r="P213">
            <v>0</v>
          </cell>
          <cell r="AC213">
            <v>0</v>
          </cell>
        </row>
        <row r="214">
          <cell r="B214">
            <v>4</v>
          </cell>
          <cell r="C214" t="str">
            <v>038</v>
          </cell>
          <cell r="D214" t="str">
            <v>1353</v>
          </cell>
          <cell r="E214" t="str">
            <v>Part patronale RCAR régime complémentaire, Personnel OEF</v>
          </cell>
          <cell r="F214">
            <v>0</v>
          </cell>
          <cell r="L214">
            <v>0</v>
          </cell>
          <cell r="P214">
            <v>0</v>
          </cell>
          <cell r="AC214">
            <v>0</v>
          </cell>
        </row>
        <row r="215">
          <cell r="B215">
            <v>5</v>
          </cell>
          <cell r="C215" t="str">
            <v>038</v>
          </cell>
          <cell r="D215" t="str">
            <v>1354</v>
          </cell>
          <cell r="E215" t="str">
            <v>Part patronale RCAR régime complémentaire, Personnel appoints</v>
          </cell>
          <cell r="F215">
            <v>0</v>
          </cell>
          <cell r="L215">
            <v>0</v>
          </cell>
          <cell r="P215">
            <v>0</v>
          </cell>
          <cell r="AC215">
            <v>0</v>
          </cell>
        </row>
        <row r="216">
          <cell r="B216">
            <v>6</v>
          </cell>
          <cell r="C216" t="str">
            <v>038</v>
          </cell>
          <cell r="D216" t="str">
            <v>1355</v>
          </cell>
          <cell r="E216" t="str">
            <v>Part patronale RCAR regime complementaire, Personnel OEM</v>
          </cell>
          <cell r="F216">
            <v>0</v>
          </cell>
          <cell r="L216">
            <v>0</v>
          </cell>
          <cell r="P216">
            <v>0</v>
          </cell>
          <cell r="AC216">
            <v>0</v>
          </cell>
        </row>
        <row r="217">
          <cell r="B217">
            <v>7</v>
          </cell>
          <cell r="C217" t="str">
            <v>038</v>
          </cell>
          <cell r="D217" t="str">
            <v>1356</v>
          </cell>
          <cell r="E217" t="str">
            <v>Part patronale, RCAR régime complémentaire, Personnel TAMCA</v>
          </cell>
          <cell r="F217">
            <v>0</v>
          </cell>
          <cell r="L217">
            <v>0</v>
          </cell>
          <cell r="P217">
            <v>0</v>
          </cell>
          <cell r="AC217">
            <v>0</v>
          </cell>
        </row>
        <row r="218">
          <cell r="B218">
            <v>8</v>
          </cell>
          <cell r="C218" t="str">
            <v>038</v>
          </cell>
          <cell r="D218" t="str">
            <v>1358</v>
          </cell>
          <cell r="E218" t="str">
            <v>Part patronale RCAR regime complementaire, Personnel HC</v>
          </cell>
          <cell r="F218">
            <v>0</v>
          </cell>
          <cell r="L218">
            <v>0</v>
          </cell>
          <cell r="P218">
            <v>0</v>
          </cell>
          <cell r="AC218">
            <v>0</v>
          </cell>
        </row>
        <row r="219">
          <cell r="D219" t="str">
            <v>1360</v>
          </cell>
          <cell r="E219" t="str">
            <v>Part patronale, Validation des services antérieurs OS 824, Personnel OET</v>
          </cell>
          <cell r="F219">
            <v>0</v>
          </cell>
          <cell r="L219">
            <v>0</v>
          </cell>
          <cell r="P219">
            <v>0</v>
          </cell>
          <cell r="AC219">
            <v>0</v>
          </cell>
        </row>
        <row r="220">
          <cell r="D220" t="str">
            <v>1361</v>
          </cell>
          <cell r="E220" t="str">
            <v>Part patronale, Validation des services antérieurs OS 824, Personnel OEB</v>
          </cell>
          <cell r="F220">
            <v>0</v>
          </cell>
          <cell r="L220">
            <v>0</v>
          </cell>
          <cell r="P220">
            <v>0</v>
          </cell>
          <cell r="AC220">
            <v>0</v>
          </cell>
        </row>
        <row r="221">
          <cell r="D221" t="str">
            <v>1362</v>
          </cell>
          <cell r="E221" t="str">
            <v>Part patronale, Validation des services antérieurs OS 824, Personnel OEJ</v>
          </cell>
          <cell r="F221">
            <v>0</v>
          </cell>
          <cell r="L221">
            <v>0</v>
          </cell>
          <cell r="P221">
            <v>0</v>
          </cell>
          <cell r="AC221">
            <v>0</v>
          </cell>
        </row>
        <row r="222">
          <cell r="D222" t="str">
            <v>1363</v>
          </cell>
          <cell r="E222" t="str">
            <v>Part patronale, Validation des services antérieurs OS 824, Personnel OEF</v>
          </cell>
          <cell r="F222">
            <v>0</v>
          </cell>
          <cell r="L222">
            <v>0</v>
          </cell>
          <cell r="P222">
            <v>0</v>
          </cell>
          <cell r="AC222">
            <v>0</v>
          </cell>
        </row>
        <row r="223">
          <cell r="D223" t="str">
            <v>1364</v>
          </cell>
          <cell r="E223" t="str">
            <v>Part patronale, Validation des services antérieurs OS 824, Personnel appoints</v>
          </cell>
          <cell r="F223">
            <v>0</v>
          </cell>
          <cell r="L223">
            <v>0</v>
          </cell>
          <cell r="P223">
            <v>0</v>
          </cell>
          <cell r="AC223">
            <v>0</v>
          </cell>
        </row>
        <row r="224">
          <cell r="D224" t="str">
            <v>1365</v>
          </cell>
          <cell r="E224" t="str">
            <v>Part patronale, Validation des services antérieurs OS 824, Personnel OEM</v>
          </cell>
          <cell r="F224">
            <v>0</v>
          </cell>
          <cell r="L224">
            <v>0</v>
          </cell>
          <cell r="P224">
            <v>0</v>
          </cell>
          <cell r="AC224">
            <v>0</v>
          </cell>
        </row>
        <row r="225">
          <cell r="D225" t="str">
            <v>1366</v>
          </cell>
          <cell r="E225" t="str">
            <v>Part patronale, Validation des services antérieurs OS 824, Personnel TAMCA</v>
          </cell>
          <cell r="F225">
            <v>0</v>
          </cell>
          <cell r="L225">
            <v>0</v>
          </cell>
          <cell r="P225">
            <v>0</v>
          </cell>
          <cell r="AC225">
            <v>0</v>
          </cell>
        </row>
        <row r="226">
          <cell r="D226" t="str">
            <v>1368</v>
          </cell>
          <cell r="E226" t="str">
            <v>Part patronale, Validation des services antérieurs OS 824, Personnel HC</v>
          </cell>
          <cell r="F226">
            <v>0</v>
          </cell>
          <cell r="L226">
            <v>0</v>
          </cell>
          <cell r="P226">
            <v>0</v>
          </cell>
          <cell r="AC226">
            <v>0</v>
          </cell>
        </row>
        <row r="227">
          <cell r="D227" t="str">
            <v>1370</v>
          </cell>
          <cell r="E227" t="str">
            <v>Part patronale, Validation des services antérieurs OS 824, Note Service 652, Personnel OET</v>
          </cell>
          <cell r="F227">
            <v>0</v>
          </cell>
          <cell r="L227">
            <v>0</v>
          </cell>
          <cell r="P227">
            <v>0</v>
          </cell>
          <cell r="AC227">
            <v>0</v>
          </cell>
        </row>
        <row r="228">
          <cell r="D228" t="str">
            <v>1371</v>
          </cell>
          <cell r="E228" t="str">
            <v>Part patronale, Validation des services antérieurs OS 824, Note Service 652, Personnel OEB</v>
          </cell>
          <cell r="F228">
            <v>0</v>
          </cell>
          <cell r="L228">
            <v>0</v>
          </cell>
          <cell r="P228">
            <v>0</v>
          </cell>
          <cell r="AC228">
            <v>0</v>
          </cell>
        </row>
        <row r="229">
          <cell r="D229" t="str">
            <v>1372</v>
          </cell>
          <cell r="E229" t="str">
            <v>Part patronale, Validation des services antérieurs OS 824, Note Service 652, Personnel OEJ</v>
          </cell>
          <cell r="F229">
            <v>0</v>
          </cell>
          <cell r="L229">
            <v>0</v>
          </cell>
          <cell r="P229">
            <v>0</v>
          </cell>
          <cell r="AC229">
            <v>0</v>
          </cell>
        </row>
        <row r="230">
          <cell r="D230" t="str">
            <v>1373</v>
          </cell>
          <cell r="E230" t="str">
            <v>Part patronale, Validation des services antérieurs OS 824, Note Service 652, Personnel OEF</v>
          </cell>
          <cell r="F230">
            <v>0</v>
          </cell>
          <cell r="L230">
            <v>0</v>
          </cell>
          <cell r="P230">
            <v>0</v>
          </cell>
          <cell r="AC230">
            <v>0</v>
          </cell>
        </row>
        <row r="231">
          <cell r="D231" t="str">
            <v>1374</v>
          </cell>
          <cell r="E231" t="str">
            <v>Part patronale, Validation des services antérieurs OS 824, Note Service 652, Personnel appoints</v>
          </cell>
          <cell r="F231">
            <v>0</v>
          </cell>
          <cell r="L231">
            <v>0</v>
          </cell>
          <cell r="P231">
            <v>0</v>
          </cell>
          <cell r="AC231">
            <v>0</v>
          </cell>
        </row>
        <row r="232">
          <cell r="D232" t="str">
            <v>1375</v>
          </cell>
          <cell r="E232" t="str">
            <v>Part patronale, Validation des services antérieurs OS 824, Note Service 652, Personnel OEM</v>
          </cell>
          <cell r="F232">
            <v>0</v>
          </cell>
          <cell r="L232">
            <v>0</v>
          </cell>
          <cell r="P232">
            <v>0</v>
          </cell>
          <cell r="AC232">
            <v>0</v>
          </cell>
        </row>
        <row r="233">
          <cell r="D233" t="str">
            <v>1376</v>
          </cell>
          <cell r="E233" t="str">
            <v>Part patronale, Validation des services antérieurs OS 824, Note Service 652, Personnel TAMCA</v>
          </cell>
          <cell r="F233">
            <v>0</v>
          </cell>
          <cell r="L233">
            <v>0</v>
          </cell>
          <cell r="P233">
            <v>0</v>
          </cell>
          <cell r="AC233">
            <v>0</v>
          </cell>
        </row>
        <row r="234">
          <cell r="D234" t="str">
            <v>1378</v>
          </cell>
          <cell r="E234" t="str">
            <v>Part patronale, Validation des services antérieurs OS 824, Note Service 652, Personnel HC</v>
          </cell>
          <cell r="F234">
            <v>0</v>
          </cell>
          <cell r="L234">
            <v>0</v>
          </cell>
          <cell r="P234">
            <v>0</v>
          </cell>
          <cell r="AC234">
            <v>0</v>
          </cell>
        </row>
        <row r="235">
          <cell r="D235" t="str">
            <v>1380</v>
          </cell>
          <cell r="E235" t="str">
            <v>Part patronale, Recrus après 1-1-2001, Personnel OET</v>
          </cell>
          <cell r="F235">
            <v>0</v>
          </cell>
          <cell r="L235">
            <v>0</v>
          </cell>
          <cell r="P235">
            <v>0</v>
          </cell>
          <cell r="AC235">
            <v>0</v>
          </cell>
        </row>
        <row r="236">
          <cell r="D236" t="str">
            <v>1381</v>
          </cell>
          <cell r="E236" t="str">
            <v>Part patronale, Recrus après 1-1-2001, Personnel OEB</v>
          </cell>
          <cell r="F236">
            <v>0</v>
          </cell>
          <cell r="L236">
            <v>0</v>
          </cell>
          <cell r="P236">
            <v>0</v>
          </cell>
          <cell r="AC236">
            <v>0</v>
          </cell>
        </row>
        <row r="237">
          <cell r="D237" t="str">
            <v>1382</v>
          </cell>
          <cell r="E237" t="str">
            <v>Part patronale, Recrus après 1-1-2001, Personnel OEJ</v>
          </cell>
          <cell r="F237">
            <v>0</v>
          </cell>
          <cell r="L237">
            <v>0</v>
          </cell>
          <cell r="P237">
            <v>0</v>
          </cell>
          <cell r="AC237">
            <v>0</v>
          </cell>
        </row>
        <row r="238">
          <cell r="D238" t="str">
            <v>1383</v>
          </cell>
          <cell r="E238" t="str">
            <v>Part patronale, Recrus après 1-1-2001, Personnel OEF</v>
          </cell>
          <cell r="F238">
            <v>0</v>
          </cell>
          <cell r="L238">
            <v>0</v>
          </cell>
          <cell r="P238">
            <v>0</v>
          </cell>
          <cell r="AC238">
            <v>0</v>
          </cell>
        </row>
        <row r="239">
          <cell r="D239" t="str">
            <v>1384</v>
          </cell>
          <cell r="E239" t="str">
            <v>Part patronale, Recrus après 1-1-2001, Personnel appoints</v>
          </cell>
          <cell r="F239">
            <v>0</v>
          </cell>
          <cell r="L239">
            <v>0</v>
          </cell>
          <cell r="P239">
            <v>0</v>
          </cell>
          <cell r="AC239">
            <v>0</v>
          </cell>
        </row>
        <row r="240">
          <cell r="D240" t="str">
            <v>1385</v>
          </cell>
          <cell r="E240" t="str">
            <v>Part patronale, Recrus après 1-1-2001, Personnel OEM</v>
          </cell>
          <cell r="F240">
            <v>0</v>
          </cell>
          <cell r="L240">
            <v>0</v>
          </cell>
          <cell r="P240">
            <v>0</v>
          </cell>
          <cell r="AC240">
            <v>0</v>
          </cell>
        </row>
        <row r="241">
          <cell r="D241" t="str">
            <v>1386</v>
          </cell>
          <cell r="E241" t="str">
            <v>Part patronale, Recrus après 1-1-2001, Personnel TAMCA</v>
          </cell>
          <cell r="F241">
            <v>0</v>
          </cell>
          <cell r="L241">
            <v>0</v>
          </cell>
          <cell r="P241">
            <v>0</v>
          </cell>
          <cell r="AC241">
            <v>0</v>
          </cell>
        </row>
        <row r="242">
          <cell r="D242" t="str">
            <v>1388</v>
          </cell>
          <cell r="E242" t="str">
            <v>Part patronale, Recrus après 1-1-2001, Personnel HC</v>
          </cell>
          <cell r="F242">
            <v>0</v>
          </cell>
          <cell r="L242">
            <v>0</v>
          </cell>
          <cell r="P242">
            <v>0</v>
          </cell>
          <cell r="AC242">
            <v>0</v>
          </cell>
        </row>
        <row r="243">
          <cell r="D243" t="str">
            <v>1390</v>
          </cell>
          <cell r="E243" t="str">
            <v>Recore, frais d'etalement des cotisations 1-12001au 31-7-2001, Personnel OET</v>
          </cell>
          <cell r="F243">
            <v>0</v>
          </cell>
          <cell r="L243">
            <v>0</v>
          </cell>
          <cell r="P243">
            <v>0</v>
          </cell>
          <cell r="AC243">
            <v>0</v>
          </cell>
        </row>
        <row r="244">
          <cell r="D244" t="str">
            <v>1391</v>
          </cell>
          <cell r="E244" t="str">
            <v>Recore, frais d'etalement des cotisations 1-12001au 31-7-2001, Personnel OEB</v>
          </cell>
          <cell r="F244">
            <v>0</v>
          </cell>
          <cell r="L244">
            <v>0</v>
          </cell>
          <cell r="P244">
            <v>0</v>
          </cell>
          <cell r="AC244">
            <v>0</v>
          </cell>
        </row>
        <row r="245">
          <cell r="D245" t="str">
            <v>1392</v>
          </cell>
          <cell r="E245" t="str">
            <v>Recore, frais d'étalement des cotisations 1-12001au 31-7-2001, Personnel OEJ</v>
          </cell>
          <cell r="F245">
            <v>0</v>
          </cell>
          <cell r="L245">
            <v>0</v>
          </cell>
          <cell r="P245">
            <v>0</v>
          </cell>
          <cell r="AC245">
            <v>0</v>
          </cell>
        </row>
        <row r="246">
          <cell r="D246" t="str">
            <v>1393</v>
          </cell>
          <cell r="E246" t="str">
            <v>Recore, frais d'étalement des cotisations 1-12001au 31-7-2001, Personnel OEF</v>
          </cell>
          <cell r="F246">
            <v>0</v>
          </cell>
          <cell r="L246">
            <v>0</v>
          </cell>
          <cell r="P246">
            <v>0</v>
          </cell>
          <cell r="AC246">
            <v>0</v>
          </cell>
        </row>
        <row r="247">
          <cell r="D247" t="str">
            <v>1394</v>
          </cell>
          <cell r="E247" t="str">
            <v>Recore, frais d'étalement des cotisations 1-12001au 31-7-2001, Personnel appt</v>
          </cell>
          <cell r="F247">
            <v>0</v>
          </cell>
          <cell r="L247">
            <v>0</v>
          </cell>
          <cell r="P247">
            <v>0</v>
          </cell>
          <cell r="AC247">
            <v>0</v>
          </cell>
        </row>
        <row r="248">
          <cell r="D248" t="str">
            <v>1395</v>
          </cell>
          <cell r="E248" t="str">
            <v>Recore, frais d'étalement des cotisations 1-12001au 31-7-2001, Personnel OEM</v>
          </cell>
          <cell r="F248">
            <v>0</v>
          </cell>
          <cell r="L248">
            <v>0</v>
          </cell>
          <cell r="P248">
            <v>0</v>
          </cell>
          <cell r="AC248">
            <v>0</v>
          </cell>
        </row>
        <row r="249">
          <cell r="D249" t="str">
            <v>1396</v>
          </cell>
          <cell r="E249" t="str">
            <v>Recore, frais d'étalement des cotisations 1-1-01au 31-7-2001, Personnel TAMCA</v>
          </cell>
          <cell r="F249">
            <v>0</v>
          </cell>
          <cell r="L249">
            <v>0</v>
          </cell>
          <cell r="P249">
            <v>0</v>
          </cell>
          <cell r="AC249">
            <v>0</v>
          </cell>
        </row>
        <row r="250">
          <cell r="D250" t="str">
            <v>1398</v>
          </cell>
          <cell r="E250" t="str">
            <v>Recore, frais d'étalement des cotisations 1-12001au 31-7-2001 PHC</v>
          </cell>
          <cell r="F250">
            <v>0</v>
          </cell>
          <cell r="L250">
            <v>0</v>
          </cell>
          <cell r="P250">
            <v>0</v>
          </cell>
          <cell r="AC250">
            <v>0</v>
          </cell>
        </row>
        <row r="251">
          <cell r="B251">
            <v>1</v>
          </cell>
          <cell r="C251" t="str">
            <v>079</v>
          </cell>
          <cell r="D251" t="str">
            <v>1410</v>
          </cell>
          <cell r="E251" t="str">
            <v>Part patronale sur primes de fin d'année OS 800, Personnel permanent OET</v>
          </cell>
          <cell r="F251">
            <v>19440</v>
          </cell>
          <cell r="G251">
            <v>19344</v>
          </cell>
          <cell r="H251">
            <v>15744</v>
          </cell>
          <cell r="I251">
            <v>19032</v>
          </cell>
          <cell r="J251">
            <v>13728</v>
          </cell>
          <cell r="K251">
            <v>21060</v>
          </cell>
          <cell r="L251">
            <v>108348</v>
          </cell>
          <cell r="P251">
            <v>0</v>
          </cell>
          <cell r="AC251">
            <v>108348</v>
          </cell>
        </row>
        <row r="252">
          <cell r="B252">
            <v>2</v>
          </cell>
          <cell r="C252" t="str">
            <v>079</v>
          </cell>
          <cell r="D252" t="str">
            <v>1411</v>
          </cell>
          <cell r="E252" t="str">
            <v>Part patronale sur primes de fin d'année OS 800, Personnel permanent OEB</v>
          </cell>
          <cell r="F252">
            <v>0</v>
          </cell>
          <cell r="L252">
            <v>0</v>
          </cell>
          <cell r="P252">
            <v>0</v>
          </cell>
          <cell r="AC252">
            <v>0</v>
          </cell>
        </row>
        <row r="253">
          <cell r="B253">
            <v>3</v>
          </cell>
          <cell r="C253" t="str">
            <v>079</v>
          </cell>
          <cell r="D253" t="str">
            <v>1412</v>
          </cell>
          <cell r="E253" t="str">
            <v>Part patronale sur primes de fin d'année OS 800, Personnel permanent OEJ</v>
          </cell>
          <cell r="F253">
            <v>0</v>
          </cell>
          <cell r="L253">
            <v>0</v>
          </cell>
          <cell r="P253">
            <v>0</v>
          </cell>
          <cell r="AC253">
            <v>0</v>
          </cell>
        </row>
        <row r="254">
          <cell r="B254">
            <v>4</v>
          </cell>
          <cell r="C254" t="str">
            <v>079</v>
          </cell>
          <cell r="D254" t="str">
            <v>1413</v>
          </cell>
          <cell r="E254" t="str">
            <v>Part patronale sur primes de fin d'année OS 800, Personnel permanent OEF</v>
          </cell>
          <cell r="F254">
            <v>0</v>
          </cell>
          <cell r="L254">
            <v>0</v>
          </cell>
          <cell r="P254">
            <v>0</v>
          </cell>
          <cell r="AC254">
            <v>0</v>
          </cell>
        </row>
        <row r="255">
          <cell r="B255">
            <v>5</v>
          </cell>
          <cell r="C255" t="str">
            <v>079</v>
          </cell>
          <cell r="D255" t="str">
            <v>1414</v>
          </cell>
          <cell r="E255" t="str">
            <v>Part patronale sur primes de fin d'année OS 800, Personnel permanent appoints</v>
          </cell>
          <cell r="F255">
            <v>0</v>
          </cell>
          <cell r="L255">
            <v>0</v>
          </cell>
          <cell r="P255">
            <v>0</v>
          </cell>
          <cell r="AC255">
            <v>0</v>
          </cell>
        </row>
        <row r="256">
          <cell r="B256">
            <v>6</v>
          </cell>
          <cell r="C256" t="str">
            <v>079</v>
          </cell>
          <cell r="D256" t="str">
            <v>1415</v>
          </cell>
          <cell r="E256" t="str">
            <v>Part patronale sur primes de fin d'année OS 800, Personnel permanent OEM</v>
          </cell>
          <cell r="F256">
            <v>0</v>
          </cell>
          <cell r="L256">
            <v>0</v>
          </cell>
          <cell r="P256">
            <v>0</v>
          </cell>
          <cell r="AC256">
            <v>0</v>
          </cell>
        </row>
        <row r="257">
          <cell r="B257">
            <v>7</v>
          </cell>
          <cell r="C257" t="str">
            <v>079</v>
          </cell>
          <cell r="D257" t="str">
            <v>1416</v>
          </cell>
          <cell r="E257" t="str">
            <v>Part patronale sur primes de fin d'année OS 800, Personnel permanent TAMCA</v>
          </cell>
          <cell r="F257">
            <v>0</v>
          </cell>
          <cell r="L257">
            <v>0</v>
          </cell>
          <cell r="P257">
            <v>0</v>
          </cell>
          <cell r="AC257">
            <v>0</v>
          </cell>
        </row>
        <row r="258">
          <cell r="B258">
            <v>8</v>
          </cell>
          <cell r="C258" t="str">
            <v>079</v>
          </cell>
          <cell r="D258" t="str">
            <v>1418</v>
          </cell>
          <cell r="E258" t="str">
            <v>Part patronale sur primes de fin d'année OS 800, Personnel permanent HC</v>
          </cell>
          <cell r="F258">
            <v>0</v>
          </cell>
          <cell r="L258">
            <v>0</v>
          </cell>
          <cell r="P258">
            <v>0</v>
          </cell>
          <cell r="AC258">
            <v>0</v>
          </cell>
        </row>
        <row r="259">
          <cell r="B259">
            <v>1</v>
          </cell>
          <cell r="C259" t="str">
            <v>049</v>
          </cell>
          <cell r="D259" t="str">
            <v>1420</v>
          </cell>
          <cell r="E259" t="str">
            <v>Part patronale sur primes de fin d'année OS 824, Personnel permanent OET</v>
          </cell>
          <cell r="F259">
            <v>2808</v>
          </cell>
          <cell r="G259">
            <v>2808</v>
          </cell>
          <cell r="H259">
            <v>612</v>
          </cell>
          <cell r="I259">
            <v>1704</v>
          </cell>
          <cell r="J259">
            <v>1476</v>
          </cell>
          <cell r="K259">
            <v>1092</v>
          </cell>
          <cell r="L259">
            <v>10500</v>
          </cell>
          <cell r="P259">
            <v>0</v>
          </cell>
          <cell r="AC259">
            <v>10500</v>
          </cell>
        </row>
        <row r="260">
          <cell r="B260">
            <v>2</v>
          </cell>
          <cell r="C260" t="str">
            <v>049</v>
          </cell>
          <cell r="D260" t="str">
            <v>1421</v>
          </cell>
          <cell r="E260" t="str">
            <v>Part patronale sur primes de fin d'année OS 824, Personnel permanent OEB</v>
          </cell>
          <cell r="F260">
            <v>0</v>
          </cell>
          <cell r="L260">
            <v>0</v>
          </cell>
          <cell r="P260">
            <v>0</v>
          </cell>
          <cell r="AC260">
            <v>0</v>
          </cell>
        </row>
        <row r="261">
          <cell r="B261">
            <v>3</v>
          </cell>
          <cell r="C261" t="str">
            <v>049</v>
          </cell>
          <cell r="D261" t="str">
            <v>1422</v>
          </cell>
          <cell r="E261" t="str">
            <v>Part patronale sur primes de fin d'année OS 824, Personnel permanent OEJ</v>
          </cell>
          <cell r="F261">
            <v>0</v>
          </cell>
          <cell r="L261">
            <v>0</v>
          </cell>
          <cell r="P261">
            <v>0</v>
          </cell>
          <cell r="AC261">
            <v>0</v>
          </cell>
        </row>
        <row r="262">
          <cell r="B262">
            <v>4</v>
          </cell>
          <cell r="C262" t="str">
            <v>049</v>
          </cell>
          <cell r="D262" t="str">
            <v>1423</v>
          </cell>
          <cell r="E262" t="str">
            <v>Part patronale sur primes de fin d'année OS 824, Personnel permanent OEF</v>
          </cell>
          <cell r="F262">
            <v>0</v>
          </cell>
          <cell r="L262">
            <v>0</v>
          </cell>
          <cell r="P262">
            <v>0</v>
          </cell>
          <cell r="AC262">
            <v>0</v>
          </cell>
        </row>
        <row r="263">
          <cell r="B263">
            <v>5</v>
          </cell>
          <cell r="C263" t="str">
            <v>049</v>
          </cell>
          <cell r="D263" t="str">
            <v>1424</v>
          </cell>
          <cell r="E263" t="str">
            <v>Part patronale sur primes fin d'année OS 824, Personnel permanent appoints</v>
          </cell>
          <cell r="F263">
            <v>0</v>
          </cell>
          <cell r="L263">
            <v>0</v>
          </cell>
          <cell r="P263">
            <v>0</v>
          </cell>
          <cell r="AC263">
            <v>0</v>
          </cell>
        </row>
        <row r="264">
          <cell r="B264">
            <v>6</v>
          </cell>
          <cell r="C264" t="str">
            <v>049</v>
          </cell>
          <cell r="D264" t="str">
            <v>1425</v>
          </cell>
          <cell r="E264" t="str">
            <v>Part patronale sur primes de fin d'année OS 824, Personnel permanent OEM</v>
          </cell>
          <cell r="F264">
            <v>0</v>
          </cell>
          <cell r="L264">
            <v>0</v>
          </cell>
          <cell r="P264">
            <v>0</v>
          </cell>
          <cell r="AC264">
            <v>0</v>
          </cell>
        </row>
        <row r="265">
          <cell r="B265">
            <v>7</v>
          </cell>
          <cell r="C265" t="str">
            <v>049</v>
          </cell>
          <cell r="D265" t="str">
            <v>1426</v>
          </cell>
          <cell r="E265" t="str">
            <v>Part patronale sur primes de fin d'année OS 824, Personnel permanent TAMCA</v>
          </cell>
          <cell r="F265">
            <v>0</v>
          </cell>
          <cell r="L265">
            <v>0</v>
          </cell>
          <cell r="P265">
            <v>0</v>
          </cell>
          <cell r="AC265">
            <v>0</v>
          </cell>
        </row>
        <row r="266">
          <cell r="B266">
            <v>8</v>
          </cell>
          <cell r="C266" t="str">
            <v>049</v>
          </cell>
          <cell r="D266" t="str">
            <v>1428</v>
          </cell>
          <cell r="E266" t="str">
            <v>Part patronale sur primes de fin d'année OS 824, Personnel permanent HC</v>
          </cell>
          <cell r="F266">
            <v>0</v>
          </cell>
          <cell r="L266">
            <v>0</v>
          </cell>
          <cell r="P266">
            <v>0</v>
          </cell>
          <cell r="AC266">
            <v>0</v>
          </cell>
        </row>
        <row r="267">
          <cell r="B267">
            <v>1</v>
          </cell>
          <cell r="C267" t="str">
            <v>039</v>
          </cell>
          <cell r="D267" t="str">
            <v>1430</v>
          </cell>
          <cell r="E267" t="str">
            <v>Part patronale sur primes RCAR, Personnel permanent OET</v>
          </cell>
          <cell r="L267">
            <v>0</v>
          </cell>
          <cell r="P267">
            <v>0</v>
          </cell>
          <cell r="AC267">
            <v>0</v>
          </cell>
        </row>
        <row r="268">
          <cell r="B268">
            <v>2</v>
          </cell>
          <cell r="C268" t="str">
            <v>039</v>
          </cell>
          <cell r="D268" t="str">
            <v>1431</v>
          </cell>
          <cell r="E268" t="str">
            <v>Part patronale sur primes RCAR, Personnel permanent OEB</v>
          </cell>
          <cell r="F268">
            <v>0</v>
          </cell>
          <cell r="L268">
            <v>0</v>
          </cell>
          <cell r="P268">
            <v>0</v>
          </cell>
          <cell r="AC268">
            <v>0</v>
          </cell>
        </row>
        <row r="269">
          <cell r="B269">
            <v>3</v>
          </cell>
          <cell r="C269" t="str">
            <v>039</v>
          </cell>
          <cell r="D269" t="str">
            <v>1432</v>
          </cell>
          <cell r="E269" t="str">
            <v>Part patronale sur primes RCAR, Personnel permanent OEJ</v>
          </cell>
          <cell r="F269">
            <v>0</v>
          </cell>
          <cell r="L269">
            <v>0</v>
          </cell>
          <cell r="P269">
            <v>0</v>
          </cell>
          <cell r="AC269">
            <v>0</v>
          </cell>
        </row>
        <row r="270">
          <cell r="B270">
            <v>4</v>
          </cell>
          <cell r="C270" t="str">
            <v>039</v>
          </cell>
          <cell r="D270" t="str">
            <v>1433</v>
          </cell>
          <cell r="E270" t="str">
            <v>Part patronale sur primes RCAR, Personnel permanent OEF</v>
          </cell>
          <cell r="F270">
            <v>0</v>
          </cell>
          <cell r="L270">
            <v>0</v>
          </cell>
          <cell r="P270">
            <v>0</v>
          </cell>
          <cell r="AC270">
            <v>0</v>
          </cell>
        </row>
        <row r="271">
          <cell r="B271">
            <v>5</v>
          </cell>
          <cell r="C271" t="str">
            <v>039</v>
          </cell>
          <cell r="D271" t="str">
            <v>1434</v>
          </cell>
          <cell r="E271" t="str">
            <v>Part patronale sur primes RCAR, Personnel permanent appoints</v>
          </cell>
          <cell r="F271">
            <v>0</v>
          </cell>
          <cell r="L271">
            <v>0</v>
          </cell>
          <cell r="P271">
            <v>0</v>
          </cell>
          <cell r="AC271">
            <v>0</v>
          </cell>
        </row>
        <row r="272">
          <cell r="B272">
            <v>6</v>
          </cell>
          <cell r="C272" t="str">
            <v>039</v>
          </cell>
          <cell r="D272" t="str">
            <v>1435</v>
          </cell>
          <cell r="E272" t="str">
            <v>Part patronale sur primes RCAR, Personnel permanent OEM</v>
          </cell>
          <cell r="F272">
            <v>0</v>
          </cell>
          <cell r="L272">
            <v>0</v>
          </cell>
          <cell r="P272">
            <v>0</v>
          </cell>
          <cell r="AC272">
            <v>0</v>
          </cell>
        </row>
        <row r="273">
          <cell r="B273">
            <v>7</v>
          </cell>
          <cell r="C273" t="str">
            <v>039</v>
          </cell>
          <cell r="D273" t="str">
            <v>1436</v>
          </cell>
          <cell r="E273" t="str">
            <v>Part patronale sur primes RCAR, Personnel permanent TAMCA</v>
          </cell>
          <cell r="F273">
            <v>0</v>
          </cell>
          <cell r="L273">
            <v>0</v>
          </cell>
          <cell r="P273">
            <v>0</v>
          </cell>
          <cell r="AC273">
            <v>0</v>
          </cell>
        </row>
        <row r="274">
          <cell r="B274">
            <v>8</v>
          </cell>
          <cell r="C274" t="str">
            <v>039</v>
          </cell>
          <cell r="D274" t="str">
            <v>1438</v>
          </cell>
          <cell r="E274" t="str">
            <v>Part patronale sur primes de fin RCAR, Personnel permanent HC</v>
          </cell>
          <cell r="F274">
            <v>0</v>
          </cell>
          <cell r="L274">
            <v>0</v>
          </cell>
          <cell r="P274">
            <v>0</v>
          </cell>
          <cell r="AC274">
            <v>0</v>
          </cell>
        </row>
        <row r="275">
          <cell r="D275" t="str">
            <v>1508</v>
          </cell>
          <cell r="E275" t="str">
            <v>Part patronale sécurité sociale Paris</v>
          </cell>
          <cell r="F275">
            <v>0</v>
          </cell>
          <cell r="L275">
            <v>0</v>
          </cell>
          <cell r="P275">
            <v>0</v>
          </cell>
          <cell r="AC275">
            <v>0</v>
          </cell>
        </row>
        <row r="276">
          <cell r="D276" t="str">
            <v>1518</v>
          </cell>
          <cell r="E276" t="str">
            <v>Part patronale CNSS PHC</v>
          </cell>
          <cell r="F276">
            <v>0</v>
          </cell>
          <cell r="L276">
            <v>0</v>
          </cell>
          <cell r="P276">
            <v>0</v>
          </cell>
          <cell r="AC276">
            <v>0</v>
          </cell>
        </row>
        <row r="277">
          <cell r="D277" t="str">
            <v>1528</v>
          </cell>
          <cell r="E277" t="str">
            <v>Part patronale CIMR PHC</v>
          </cell>
          <cell r="F277">
            <v>0</v>
          </cell>
          <cell r="L277">
            <v>0</v>
          </cell>
          <cell r="P277">
            <v>0</v>
          </cell>
          <cell r="AC277">
            <v>0</v>
          </cell>
        </row>
        <row r="278">
          <cell r="B278">
            <v>1</v>
          </cell>
          <cell r="C278" t="str">
            <v>066</v>
          </cell>
          <cell r="D278" t="str">
            <v>1600</v>
          </cell>
          <cell r="E278" t="str">
            <v>Part patronale mutuelle et prestation personnel permanent OET</v>
          </cell>
          <cell r="L278">
            <v>0</v>
          </cell>
          <cell r="P278">
            <v>0</v>
          </cell>
          <cell r="AC278">
            <v>0</v>
          </cell>
        </row>
        <row r="279">
          <cell r="B279">
            <v>2</v>
          </cell>
          <cell r="C279" t="str">
            <v>066</v>
          </cell>
          <cell r="D279" t="str">
            <v>1601</v>
          </cell>
          <cell r="E279" t="str">
            <v>Part patronale mutuelle et prestation personnel permanent OEB</v>
          </cell>
          <cell r="F279">
            <v>0</v>
          </cell>
          <cell r="L279">
            <v>0</v>
          </cell>
          <cell r="P279">
            <v>0</v>
          </cell>
          <cell r="AC279">
            <v>0</v>
          </cell>
        </row>
        <row r="280">
          <cell r="B280">
            <v>3</v>
          </cell>
          <cell r="C280" t="str">
            <v>066</v>
          </cell>
          <cell r="D280" t="str">
            <v>1602</v>
          </cell>
          <cell r="E280" t="str">
            <v>Part patronale mutuelle et prestation personnel permanent OEJ</v>
          </cell>
          <cell r="F280">
            <v>0</v>
          </cell>
          <cell r="L280">
            <v>0</v>
          </cell>
          <cell r="P280">
            <v>0</v>
          </cell>
          <cell r="AC280">
            <v>0</v>
          </cell>
        </row>
        <row r="281">
          <cell r="B281">
            <v>4</v>
          </cell>
          <cell r="C281" t="str">
            <v>066</v>
          </cell>
          <cell r="D281" t="str">
            <v>1603</v>
          </cell>
          <cell r="E281" t="str">
            <v>Part patronale mutuelle et prestation personnel permanent OEF</v>
          </cell>
          <cell r="F281">
            <v>0</v>
          </cell>
          <cell r="L281">
            <v>0</v>
          </cell>
          <cell r="P281">
            <v>0</v>
          </cell>
          <cell r="AC281">
            <v>0</v>
          </cell>
        </row>
        <row r="282">
          <cell r="B282">
            <v>5</v>
          </cell>
          <cell r="C282" t="str">
            <v>066</v>
          </cell>
          <cell r="D282" t="str">
            <v>1604</v>
          </cell>
          <cell r="E282" t="str">
            <v>Part patronale mutuelle et prestation personnel permanent appoints</v>
          </cell>
          <cell r="F282">
            <v>0</v>
          </cell>
          <cell r="L282">
            <v>0</v>
          </cell>
          <cell r="P282">
            <v>0</v>
          </cell>
          <cell r="AC282">
            <v>0</v>
          </cell>
        </row>
        <row r="283">
          <cell r="B283">
            <v>6</v>
          </cell>
          <cell r="C283" t="str">
            <v>066</v>
          </cell>
          <cell r="D283" t="str">
            <v>1605</v>
          </cell>
          <cell r="E283" t="str">
            <v>Part patronale mutuelle et prestation personnel permanent OEM</v>
          </cell>
          <cell r="F283">
            <v>0</v>
          </cell>
          <cell r="L283">
            <v>0</v>
          </cell>
          <cell r="P283">
            <v>0</v>
          </cell>
          <cell r="AC283">
            <v>0</v>
          </cell>
        </row>
        <row r="284">
          <cell r="B284">
            <v>7</v>
          </cell>
          <cell r="C284" t="str">
            <v>066</v>
          </cell>
          <cell r="D284" t="str">
            <v>1606</v>
          </cell>
          <cell r="E284" t="str">
            <v>Part patronale mutuelle et prestation personnel permanent TAMCA</v>
          </cell>
          <cell r="F284">
            <v>0</v>
          </cell>
          <cell r="L284">
            <v>0</v>
          </cell>
          <cell r="P284">
            <v>0</v>
          </cell>
          <cell r="AC284">
            <v>0</v>
          </cell>
        </row>
        <row r="285">
          <cell r="B285">
            <v>8</v>
          </cell>
          <cell r="C285" t="str">
            <v>066</v>
          </cell>
          <cell r="D285" t="str">
            <v>1608</v>
          </cell>
          <cell r="E285" t="str">
            <v>Part patronale mutuelle et prestation, Personnel permanent HC</v>
          </cell>
          <cell r="F285">
            <v>0</v>
          </cell>
          <cell r="L285">
            <v>0</v>
          </cell>
          <cell r="P285">
            <v>0</v>
          </cell>
          <cell r="AC285">
            <v>0</v>
          </cell>
        </row>
        <row r="286">
          <cell r="B286">
            <v>1</v>
          </cell>
          <cell r="C286" t="str">
            <v>067</v>
          </cell>
          <cell r="D286" t="str">
            <v>1610</v>
          </cell>
          <cell r="E286" t="str">
            <v>Part patronale mutuelle accident de travail, Personnel OET</v>
          </cell>
          <cell r="L286">
            <v>0</v>
          </cell>
          <cell r="P286">
            <v>0</v>
          </cell>
          <cell r="AC286">
            <v>0</v>
          </cell>
        </row>
        <row r="287">
          <cell r="B287">
            <v>2</v>
          </cell>
          <cell r="C287" t="str">
            <v>067</v>
          </cell>
          <cell r="D287" t="str">
            <v>1611</v>
          </cell>
          <cell r="E287" t="str">
            <v>Part patronale mutuelle accident de travail, Personnel OEB</v>
          </cell>
          <cell r="F287">
            <v>0</v>
          </cell>
          <cell r="L287">
            <v>0</v>
          </cell>
          <cell r="P287">
            <v>0</v>
          </cell>
          <cell r="AC287">
            <v>0</v>
          </cell>
        </row>
        <row r="288">
          <cell r="B288">
            <v>3</v>
          </cell>
          <cell r="C288" t="str">
            <v>067</v>
          </cell>
          <cell r="D288" t="str">
            <v>1612</v>
          </cell>
          <cell r="E288" t="str">
            <v>Part patronale mutuelle accident de travail, Personnel OEJ</v>
          </cell>
          <cell r="F288">
            <v>0</v>
          </cell>
          <cell r="L288">
            <v>0</v>
          </cell>
          <cell r="P288">
            <v>0</v>
          </cell>
          <cell r="AC288">
            <v>0</v>
          </cell>
        </row>
        <row r="289">
          <cell r="B289">
            <v>4</v>
          </cell>
          <cell r="C289" t="str">
            <v>067</v>
          </cell>
          <cell r="D289" t="str">
            <v>1613</v>
          </cell>
          <cell r="E289" t="str">
            <v>Part patronale mutuelle accident de travail, personnel OEF</v>
          </cell>
          <cell r="F289">
            <v>0</v>
          </cell>
          <cell r="L289">
            <v>0</v>
          </cell>
          <cell r="P289">
            <v>0</v>
          </cell>
          <cell r="AC289">
            <v>0</v>
          </cell>
        </row>
        <row r="290">
          <cell r="B290">
            <v>5</v>
          </cell>
          <cell r="C290" t="str">
            <v>067</v>
          </cell>
          <cell r="D290" t="str">
            <v>1614</v>
          </cell>
          <cell r="E290" t="str">
            <v>Part patronale mutuelle accident de travail, Personnel appoints</v>
          </cell>
          <cell r="F290">
            <v>0</v>
          </cell>
          <cell r="L290">
            <v>0</v>
          </cell>
          <cell r="P290">
            <v>0</v>
          </cell>
          <cell r="AC290">
            <v>0</v>
          </cell>
        </row>
        <row r="291">
          <cell r="B291">
            <v>6</v>
          </cell>
          <cell r="C291" t="str">
            <v>067</v>
          </cell>
          <cell r="D291" t="str">
            <v>1615</v>
          </cell>
          <cell r="E291" t="str">
            <v>Part patronale mutuelle accident de travail, Personnel OEM</v>
          </cell>
          <cell r="F291">
            <v>0</v>
          </cell>
          <cell r="L291">
            <v>0</v>
          </cell>
          <cell r="P291">
            <v>0</v>
          </cell>
          <cell r="AC291">
            <v>0</v>
          </cell>
        </row>
        <row r="292">
          <cell r="B292">
            <v>7</v>
          </cell>
          <cell r="C292" t="str">
            <v>067</v>
          </cell>
          <cell r="D292" t="str">
            <v>1616</v>
          </cell>
          <cell r="E292" t="str">
            <v>Part patronale mutuelle accident de travail, Personnel TAMCA</v>
          </cell>
          <cell r="F292">
            <v>0</v>
          </cell>
          <cell r="L292">
            <v>0</v>
          </cell>
          <cell r="P292">
            <v>0</v>
          </cell>
          <cell r="AC292">
            <v>0</v>
          </cell>
        </row>
        <row r="293">
          <cell r="B293">
            <v>8</v>
          </cell>
          <cell r="C293" t="str">
            <v>067</v>
          </cell>
          <cell r="D293" t="str">
            <v>1618</v>
          </cell>
          <cell r="E293" t="str">
            <v>Part patronale mutuelle accident de travail PHC</v>
          </cell>
          <cell r="F293">
            <v>0</v>
          </cell>
          <cell r="L293">
            <v>0</v>
          </cell>
          <cell r="P293">
            <v>0</v>
          </cell>
          <cell r="AC293">
            <v>0</v>
          </cell>
        </row>
        <row r="294">
          <cell r="B294">
            <v>1</v>
          </cell>
          <cell r="C294" t="str">
            <v>068</v>
          </cell>
          <cell r="D294" t="str">
            <v>1620</v>
          </cell>
          <cell r="E294" t="str">
            <v>Part patronale mutuelle décés invalidité, Personnel permanent OET</v>
          </cell>
          <cell r="L294">
            <v>0</v>
          </cell>
          <cell r="P294">
            <v>0</v>
          </cell>
          <cell r="AC294">
            <v>0</v>
          </cell>
        </row>
        <row r="295">
          <cell r="B295">
            <v>2</v>
          </cell>
          <cell r="C295" t="str">
            <v>068</v>
          </cell>
          <cell r="D295" t="str">
            <v>1621</v>
          </cell>
          <cell r="E295" t="str">
            <v>Part patronale mutuelle décés invalidité, Personnel permanent OEB</v>
          </cell>
          <cell r="F295">
            <v>0</v>
          </cell>
          <cell r="L295">
            <v>0</v>
          </cell>
          <cell r="P295">
            <v>0</v>
          </cell>
          <cell r="AC295">
            <v>0</v>
          </cell>
        </row>
        <row r="296">
          <cell r="B296">
            <v>3</v>
          </cell>
          <cell r="C296" t="str">
            <v>068</v>
          </cell>
          <cell r="D296" t="str">
            <v>1622</v>
          </cell>
          <cell r="E296" t="str">
            <v>Part patronale mutuelle décés invalidité, Personnel permanent OEJ</v>
          </cell>
          <cell r="F296">
            <v>0</v>
          </cell>
          <cell r="L296">
            <v>0</v>
          </cell>
          <cell r="P296">
            <v>0</v>
          </cell>
          <cell r="AC296">
            <v>0</v>
          </cell>
        </row>
        <row r="297">
          <cell r="B297">
            <v>4</v>
          </cell>
          <cell r="C297" t="str">
            <v>068</v>
          </cell>
          <cell r="D297" t="str">
            <v>1623</v>
          </cell>
          <cell r="E297" t="str">
            <v>Part patronale mutuelle décés invalidité, Personnel permanent OEF</v>
          </cell>
          <cell r="F297">
            <v>0</v>
          </cell>
          <cell r="L297">
            <v>0</v>
          </cell>
          <cell r="P297">
            <v>0</v>
          </cell>
          <cell r="AC297">
            <v>0</v>
          </cell>
        </row>
        <row r="298">
          <cell r="B298">
            <v>5</v>
          </cell>
          <cell r="C298" t="str">
            <v>068</v>
          </cell>
          <cell r="D298" t="str">
            <v>1624</v>
          </cell>
          <cell r="E298" t="str">
            <v>Part patronale mutuelle décés invalidité, Personnel permanent appoints</v>
          </cell>
          <cell r="F298">
            <v>0</v>
          </cell>
          <cell r="L298">
            <v>0</v>
          </cell>
          <cell r="P298">
            <v>0</v>
          </cell>
          <cell r="AC298">
            <v>0</v>
          </cell>
        </row>
        <row r="299">
          <cell r="B299">
            <v>6</v>
          </cell>
          <cell r="C299" t="str">
            <v>068</v>
          </cell>
          <cell r="D299" t="str">
            <v>1625</v>
          </cell>
          <cell r="E299" t="str">
            <v>Part patronale mutuelle décés invalidité, Personnel permanent OEM</v>
          </cell>
          <cell r="F299">
            <v>0</v>
          </cell>
          <cell r="L299">
            <v>0</v>
          </cell>
          <cell r="P299">
            <v>0</v>
          </cell>
          <cell r="AC299">
            <v>0</v>
          </cell>
        </row>
        <row r="300">
          <cell r="B300">
            <v>7</v>
          </cell>
          <cell r="C300" t="str">
            <v>068</v>
          </cell>
          <cell r="D300" t="str">
            <v>1626</v>
          </cell>
          <cell r="E300" t="str">
            <v>Part patronale mutuelle décés invalidité, Personnel permanent TAMCA</v>
          </cell>
          <cell r="F300">
            <v>0</v>
          </cell>
          <cell r="L300">
            <v>0</v>
          </cell>
          <cell r="P300">
            <v>0</v>
          </cell>
          <cell r="AC300">
            <v>0</v>
          </cell>
        </row>
        <row r="301">
          <cell r="B301">
            <v>8</v>
          </cell>
          <cell r="C301" t="str">
            <v>068</v>
          </cell>
          <cell r="D301" t="str">
            <v>1628</v>
          </cell>
          <cell r="E301" t="str">
            <v>Part patronale mutuelle décés invalidité, Personnel permanent HC</v>
          </cell>
          <cell r="F301">
            <v>0</v>
          </cell>
          <cell r="L301">
            <v>0</v>
          </cell>
          <cell r="P301">
            <v>0</v>
          </cell>
          <cell r="AC301">
            <v>0</v>
          </cell>
        </row>
        <row r="302">
          <cell r="B302">
            <v>1</v>
          </cell>
          <cell r="C302" t="str">
            <v>069</v>
          </cell>
          <cell r="D302" t="str">
            <v>1630</v>
          </cell>
          <cell r="E302" t="str">
            <v>P.P. mutuelle décés invalidité personnel retraité OET</v>
          </cell>
          <cell r="L302">
            <v>0</v>
          </cell>
          <cell r="P302">
            <v>0</v>
          </cell>
          <cell r="AC302">
            <v>0</v>
          </cell>
        </row>
        <row r="303">
          <cell r="B303">
            <v>2</v>
          </cell>
          <cell r="C303" t="str">
            <v>069</v>
          </cell>
          <cell r="D303" t="str">
            <v>1631</v>
          </cell>
          <cell r="E303" t="str">
            <v>P.P. mutuelle décés invalidité personnel retraité OEB</v>
          </cell>
          <cell r="F303">
            <v>0</v>
          </cell>
          <cell r="L303">
            <v>0</v>
          </cell>
          <cell r="P303">
            <v>0</v>
          </cell>
          <cell r="AC303">
            <v>0</v>
          </cell>
        </row>
        <row r="304">
          <cell r="B304">
            <v>3</v>
          </cell>
          <cell r="C304" t="str">
            <v>069</v>
          </cell>
          <cell r="D304" t="str">
            <v>1632</v>
          </cell>
          <cell r="E304" t="str">
            <v>P.P. mutuelle décés invalidité personnel retraité OEJ</v>
          </cell>
          <cell r="F304">
            <v>0</v>
          </cell>
          <cell r="L304">
            <v>0</v>
          </cell>
          <cell r="P304">
            <v>0</v>
          </cell>
          <cell r="AC304">
            <v>0</v>
          </cell>
        </row>
        <row r="305">
          <cell r="B305">
            <v>4</v>
          </cell>
          <cell r="C305" t="str">
            <v>069</v>
          </cell>
          <cell r="D305" t="str">
            <v>1633</v>
          </cell>
          <cell r="E305" t="str">
            <v>P.P. mutuelle décés invalidité personnel retraité OEF</v>
          </cell>
          <cell r="F305">
            <v>0</v>
          </cell>
          <cell r="L305">
            <v>0</v>
          </cell>
          <cell r="P305">
            <v>0</v>
          </cell>
          <cell r="AC305">
            <v>0</v>
          </cell>
        </row>
        <row r="306">
          <cell r="B306">
            <v>5</v>
          </cell>
          <cell r="C306" t="str">
            <v>069</v>
          </cell>
          <cell r="D306" t="str">
            <v>1634</v>
          </cell>
          <cell r="E306" t="str">
            <v>P.P. mutuelle décés invalidité personnel retraité appoints</v>
          </cell>
          <cell r="F306">
            <v>0</v>
          </cell>
          <cell r="L306">
            <v>0</v>
          </cell>
          <cell r="P306">
            <v>0</v>
          </cell>
          <cell r="AC306">
            <v>0</v>
          </cell>
        </row>
        <row r="307">
          <cell r="B307">
            <v>6</v>
          </cell>
          <cell r="C307" t="str">
            <v>069</v>
          </cell>
          <cell r="D307" t="str">
            <v>1635</v>
          </cell>
          <cell r="E307" t="str">
            <v>P.P. mutuelle décés invalidité personnel retraité OEM</v>
          </cell>
          <cell r="F307">
            <v>0</v>
          </cell>
          <cell r="L307">
            <v>0</v>
          </cell>
          <cell r="P307">
            <v>0</v>
          </cell>
          <cell r="AC307">
            <v>0</v>
          </cell>
        </row>
        <row r="308">
          <cell r="B308">
            <v>7</v>
          </cell>
          <cell r="C308" t="str">
            <v>069</v>
          </cell>
          <cell r="D308" t="str">
            <v>1636</v>
          </cell>
          <cell r="E308" t="str">
            <v>P.P. mutuelle décés invalidité personnel retraité TAMCA</v>
          </cell>
          <cell r="F308">
            <v>0</v>
          </cell>
          <cell r="L308">
            <v>0</v>
          </cell>
          <cell r="P308">
            <v>0</v>
          </cell>
          <cell r="AC308">
            <v>0</v>
          </cell>
        </row>
        <row r="309">
          <cell r="B309">
            <v>8</v>
          </cell>
          <cell r="C309" t="str">
            <v>069</v>
          </cell>
          <cell r="D309" t="str">
            <v>1638</v>
          </cell>
          <cell r="E309" t="str">
            <v>P.P. mutuelle décés invalidité personnel retraité HC</v>
          </cell>
          <cell r="F309">
            <v>0</v>
          </cell>
          <cell r="L309">
            <v>0</v>
          </cell>
          <cell r="P309">
            <v>0</v>
          </cell>
          <cell r="AC309">
            <v>0</v>
          </cell>
        </row>
        <row r="310">
          <cell r="B310">
            <v>1</v>
          </cell>
          <cell r="C310" t="str">
            <v>030</v>
          </cell>
          <cell r="D310" t="str">
            <v>1749</v>
          </cell>
          <cell r="E310" t="str">
            <v>Bourses et frais de formation personnel OE à l'OCP</v>
          </cell>
          <cell r="L310">
            <v>0</v>
          </cell>
          <cell r="P310">
            <v>0</v>
          </cell>
          <cell r="AC310">
            <v>0</v>
          </cell>
        </row>
        <row r="311">
          <cell r="B311">
            <v>1</v>
          </cell>
          <cell r="C311" t="str">
            <v>031</v>
          </cell>
          <cell r="D311" t="str">
            <v>1759</v>
          </cell>
          <cell r="E311" t="str">
            <v>Bourses et frais de formation personnel TAMCA à l'OCP</v>
          </cell>
          <cell r="L311">
            <v>0</v>
          </cell>
          <cell r="P311">
            <v>0</v>
          </cell>
          <cell r="AC311">
            <v>0</v>
          </cell>
        </row>
        <row r="312">
          <cell r="B312">
            <v>1</v>
          </cell>
          <cell r="C312" t="str">
            <v>032</v>
          </cell>
          <cell r="D312" t="str">
            <v>1769</v>
          </cell>
          <cell r="E312" t="str">
            <v>Bourses et frais de formation à l'exterieur, Personnel OE</v>
          </cell>
          <cell r="L312">
            <v>0</v>
          </cell>
          <cell r="P312">
            <v>0</v>
          </cell>
          <cell r="AC312">
            <v>0</v>
          </cell>
        </row>
        <row r="313">
          <cell r="B313">
            <v>1</v>
          </cell>
          <cell r="C313" t="str">
            <v>033</v>
          </cell>
          <cell r="D313" t="str">
            <v>1779</v>
          </cell>
          <cell r="E313" t="str">
            <v>Bourses et frais de formation personnel TAMCA à l'exterieur</v>
          </cell>
          <cell r="L313">
            <v>0</v>
          </cell>
          <cell r="P313">
            <v>0</v>
          </cell>
          <cell r="AC313">
            <v>0</v>
          </cell>
        </row>
        <row r="314">
          <cell r="D314" t="str">
            <v>1788</v>
          </cell>
          <cell r="E314" t="str">
            <v>Bourses et frais de formation, personnel hors cadres</v>
          </cell>
          <cell r="F314">
            <v>0</v>
          </cell>
          <cell r="L314">
            <v>0</v>
          </cell>
          <cell r="P314">
            <v>0</v>
          </cell>
          <cell r="AC314">
            <v>0</v>
          </cell>
        </row>
        <row r="315">
          <cell r="D315" t="str">
            <v>1789</v>
          </cell>
          <cell r="E315" t="str">
            <v>Bourses et frais de formation toutes catégories</v>
          </cell>
          <cell r="F315">
            <v>0</v>
          </cell>
          <cell r="L315">
            <v>0</v>
          </cell>
          <cell r="P315">
            <v>0</v>
          </cell>
          <cell r="AC315">
            <v>0</v>
          </cell>
        </row>
        <row r="316">
          <cell r="D316" t="str">
            <v>1826</v>
          </cell>
          <cell r="E316" t="str">
            <v>Frais d'appareillage orthopédique-accidentés,rentiers OE et TAMCA</v>
          </cell>
          <cell r="F316">
            <v>0</v>
          </cell>
          <cell r="L316">
            <v>0</v>
          </cell>
          <cell r="P316">
            <v>0</v>
          </cell>
          <cell r="AC316">
            <v>0</v>
          </cell>
        </row>
        <row r="317">
          <cell r="D317" t="str">
            <v>1828</v>
          </cell>
          <cell r="E317" t="str">
            <v>Frais d'appareillage orthopédique-accidentés,rentiers HC</v>
          </cell>
          <cell r="F317">
            <v>0</v>
          </cell>
          <cell r="L317">
            <v>0</v>
          </cell>
          <cell r="P317">
            <v>0</v>
          </cell>
          <cell r="AC317">
            <v>0</v>
          </cell>
        </row>
        <row r="318">
          <cell r="D318" t="str">
            <v>1829</v>
          </cell>
          <cell r="E318" t="str">
            <v>Frais d'appareils orthopédiques, accidentés, rentiers toutes catégories</v>
          </cell>
          <cell r="F318">
            <v>0</v>
          </cell>
          <cell r="L318">
            <v>0</v>
          </cell>
          <cell r="P318">
            <v>0</v>
          </cell>
          <cell r="AC318">
            <v>0</v>
          </cell>
        </row>
        <row r="319">
          <cell r="D319" t="str">
            <v>1906</v>
          </cell>
          <cell r="E319" t="str">
            <v>Allocations des oeuvres sociales personnel OE et TAMCA</v>
          </cell>
          <cell r="F319">
            <v>0</v>
          </cell>
          <cell r="L319">
            <v>0</v>
          </cell>
          <cell r="P319">
            <v>0</v>
          </cell>
          <cell r="AC319">
            <v>0</v>
          </cell>
        </row>
        <row r="320">
          <cell r="D320" t="str">
            <v>1908</v>
          </cell>
          <cell r="E320" t="str">
            <v>Allocations des oeuvres sociales personnel HC</v>
          </cell>
          <cell r="F320">
            <v>0</v>
          </cell>
          <cell r="L320">
            <v>0</v>
          </cell>
          <cell r="P320">
            <v>0</v>
          </cell>
          <cell r="AC320">
            <v>0</v>
          </cell>
        </row>
        <row r="321">
          <cell r="D321" t="str">
            <v>1909</v>
          </cell>
          <cell r="E321" t="str">
            <v>Allocations des oeuvres sociales, toutes catégories</v>
          </cell>
          <cell r="F321">
            <v>0</v>
          </cell>
          <cell r="L321">
            <v>0</v>
          </cell>
          <cell r="P321">
            <v>0</v>
          </cell>
          <cell r="AC321">
            <v>0</v>
          </cell>
        </row>
        <row r="322">
          <cell r="D322" t="str">
            <v>1916</v>
          </cell>
          <cell r="E322" t="str">
            <v>Subventions internes des activités sociales personnel OE et TAMCA</v>
          </cell>
          <cell r="F322">
            <v>0</v>
          </cell>
          <cell r="L322">
            <v>0</v>
          </cell>
          <cell r="P322">
            <v>0</v>
          </cell>
          <cell r="AC322">
            <v>0</v>
          </cell>
        </row>
        <row r="323">
          <cell r="D323" t="str">
            <v>1918</v>
          </cell>
          <cell r="E323" t="str">
            <v>Subventions internes des activités sociales personnel HC</v>
          </cell>
          <cell r="F323">
            <v>0</v>
          </cell>
          <cell r="L323">
            <v>0</v>
          </cell>
          <cell r="P323">
            <v>0</v>
          </cell>
          <cell r="AC323">
            <v>0</v>
          </cell>
        </row>
        <row r="324">
          <cell r="D324" t="str">
            <v>1919</v>
          </cell>
          <cell r="E324" t="str">
            <v>Subventions internes des activités sociales, toutes catégories</v>
          </cell>
          <cell r="F324">
            <v>0</v>
          </cell>
          <cell r="L324">
            <v>0</v>
          </cell>
          <cell r="P324">
            <v>0</v>
          </cell>
          <cell r="AC324">
            <v>0</v>
          </cell>
        </row>
        <row r="325">
          <cell r="D325" t="str">
            <v>1920</v>
          </cell>
          <cell r="E325" t="str">
            <v>Indemnité de licenciement personnel tâcherons</v>
          </cell>
          <cell r="F325">
            <v>0</v>
          </cell>
          <cell r="L325">
            <v>0</v>
          </cell>
          <cell r="P325">
            <v>0</v>
          </cell>
          <cell r="AC325">
            <v>0</v>
          </cell>
        </row>
        <row r="326">
          <cell r="D326" t="str">
            <v>1921</v>
          </cell>
          <cell r="E326" t="str">
            <v>Indemnité de licenciement personnel OEB</v>
          </cell>
          <cell r="F326">
            <v>0</v>
          </cell>
          <cell r="L326">
            <v>0</v>
          </cell>
          <cell r="P326">
            <v>0</v>
          </cell>
          <cell r="AC326">
            <v>0</v>
          </cell>
        </row>
        <row r="327">
          <cell r="D327" t="str">
            <v>1922</v>
          </cell>
          <cell r="E327" t="str">
            <v>Indemnité de licenciement personnel OEJ</v>
          </cell>
          <cell r="F327">
            <v>0</v>
          </cell>
          <cell r="L327">
            <v>0</v>
          </cell>
          <cell r="P327">
            <v>0</v>
          </cell>
          <cell r="AC327">
            <v>0</v>
          </cell>
        </row>
        <row r="328">
          <cell r="D328" t="str">
            <v>1923</v>
          </cell>
          <cell r="E328" t="str">
            <v>Indemnité de licenciement personnel OEF</v>
          </cell>
          <cell r="F328">
            <v>0</v>
          </cell>
          <cell r="L328">
            <v>0</v>
          </cell>
          <cell r="P328">
            <v>0</v>
          </cell>
          <cell r="AC328">
            <v>0</v>
          </cell>
        </row>
        <row r="329">
          <cell r="D329" t="str">
            <v>1924</v>
          </cell>
          <cell r="E329" t="str">
            <v>Indemnité de licenciement personnel appoints</v>
          </cell>
          <cell r="F329">
            <v>0</v>
          </cell>
          <cell r="L329">
            <v>0</v>
          </cell>
          <cell r="P329">
            <v>0</v>
          </cell>
          <cell r="AC329">
            <v>0</v>
          </cell>
        </row>
        <row r="330">
          <cell r="D330" t="str">
            <v>1925</v>
          </cell>
          <cell r="E330" t="str">
            <v>Indemnité de licenciement personnel OEM</v>
          </cell>
          <cell r="F330">
            <v>0</v>
          </cell>
          <cell r="L330">
            <v>0</v>
          </cell>
          <cell r="P330">
            <v>0</v>
          </cell>
          <cell r="AC330">
            <v>0</v>
          </cell>
        </row>
        <row r="331">
          <cell r="D331" t="str">
            <v>1926</v>
          </cell>
          <cell r="E331" t="str">
            <v>Indemnité de licenciement personnel TAMCA</v>
          </cell>
          <cell r="F331">
            <v>0</v>
          </cell>
          <cell r="L331">
            <v>0</v>
          </cell>
          <cell r="P331">
            <v>0</v>
          </cell>
          <cell r="AC331">
            <v>0</v>
          </cell>
        </row>
        <row r="332">
          <cell r="D332" t="str">
            <v>1928</v>
          </cell>
          <cell r="E332" t="str">
            <v>Indemnité de licenciement personnel HC</v>
          </cell>
          <cell r="F332">
            <v>0</v>
          </cell>
          <cell r="L332">
            <v>0</v>
          </cell>
          <cell r="P332">
            <v>0</v>
          </cell>
          <cell r="AC332">
            <v>0</v>
          </cell>
        </row>
        <row r="333">
          <cell r="D333" t="str">
            <v>1936</v>
          </cell>
          <cell r="E333" t="str">
            <v>Contribution au fond de formation professionnelle personnel OE et TAMCA</v>
          </cell>
          <cell r="F333">
            <v>0</v>
          </cell>
          <cell r="L333">
            <v>0</v>
          </cell>
          <cell r="P333">
            <v>0</v>
          </cell>
          <cell r="AC333">
            <v>0</v>
          </cell>
        </row>
        <row r="334">
          <cell r="D334" t="str">
            <v>1938</v>
          </cell>
          <cell r="E334" t="str">
            <v>Contribution au fond de formation professionnelle personnel HC</v>
          </cell>
          <cell r="F334">
            <v>0</v>
          </cell>
          <cell r="L334">
            <v>0</v>
          </cell>
          <cell r="P334">
            <v>0</v>
          </cell>
          <cell r="AC334">
            <v>0</v>
          </cell>
        </row>
        <row r="335">
          <cell r="D335" t="str">
            <v>1939</v>
          </cell>
          <cell r="E335" t="str">
            <v>Contribution au fonds de formation professionnell toutes catégories</v>
          </cell>
          <cell r="F335">
            <v>0</v>
          </cell>
          <cell r="L335">
            <v>0</v>
          </cell>
          <cell r="P335">
            <v>0</v>
          </cell>
          <cell r="AC335">
            <v>0</v>
          </cell>
        </row>
        <row r="336">
          <cell r="D336" t="str">
            <v>1946</v>
          </cell>
          <cell r="E336" t="str">
            <v>Contribution au fond de majoration des accidents de travail OE et TAMCA</v>
          </cell>
          <cell r="F336">
            <v>0</v>
          </cell>
          <cell r="L336">
            <v>0</v>
          </cell>
          <cell r="P336">
            <v>0</v>
          </cell>
          <cell r="AC336">
            <v>0</v>
          </cell>
        </row>
        <row r="337">
          <cell r="D337" t="str">
            <v>1948</v>
          </cell>
          <cell r="E337" t="str">
            <v>Contribution au fond de majoration des accidents de travail HC</v>
          </cell>
          <cell r="F337">
            <v>0</v>
          </cell>
          <cell r="L337">
            <v>0</v>
          </cell>
          <cell r="P337">
            <v>0</v>
          </cell>
          <cell r="AC337">
            <v>0</v>
          </cell>
        </row>
        <row r="338">
          <cell r="D338" t="str">
            <v>1949</v>
          </cell>
          <cell r="E338" t="str">
            <v>Contributions au fonds de majoration des accidents de travail, toutes catégories</v>
          </cell>
          <cell r="F338">
            <v>0</v>
          </cell>
          <cell r="L338">
            <v>0</v>
          </cell>
          <cell r="P338">
            <v>0</v>
          </cell>
          <cell r="AC338">
            <v>0</v>
          </cell>
        </row>
        <row r="339">
          <cell r="D339" t="str">
            <v>1956</v>
          </cell>
          <cell r="E339" t="str">
            <v>Participation aux frais de sejour durant le conge annuel personnel OE et TAMCA</v>
          </cell>
          <cell r="F339">
            <v>0</v>
          </cell>
          <cell r="L339">
            <v>0</v>
          </cell>
          <cell r="P339">
            <v>0</v>
          </cell>
          <cell r="AC339">
            <v>0</v>
          </cell>
        </row>
        <row r="340">
          <cell r="D340" t="str">
            <v>1958</v>
          </cell>
          <cell r="E340" t="str">
            <v>Participation aux frais de sejour durant le conge annuel personnel HC</v>
          </cell>
          <cell r="F340">
            <v>0</v>
          </cell>
          <cell r="L340">
            <v>0</v>
          </cell>
          <cell r="P340">
            <v>0</v>
          </cell>
          <cell r="AC340">
            <v>0</v>
          </cell>
        </row>
        <row r="341">
          <cell r="D341" t="str">
            <v>1959</v>
          </cell>
          <cell r="E341" t="str">
            <v>Participations au frais de séjour congé annuel, Toutes catégories</v>
          </cell>
          <cell r="F341">
            <v>0</v>
          </cell>
          <cell r="L341">
            <v>0</v>
          </cell>
          <cell r="P341">
            <v>0</v>
          </cell>
          <cell r="AC341">
            <v>0</v>
          </cell>
        </row>
        <row r="342">
          <cell r="D342" t="str">
            <v>1969</v>
          </cell>
          <cell r="E342" t="str">
            <v>Système de reconnaissance et d'émulation des cercles de qualité OE personnel OE</v>
          </cell>
          <cell r="F342">
            <v>0</v>
          </cell>
          <cell r="L342">
            <v>0</v>
          </cell>
          <cell r="P342">
            <v>0</v>
          </cell>
          <cell r="AC342">
            <v>0</v>
          </cell>
        </row>
        <row r="343">
          <cell r="D343" t="str">
            <v>1979</v>
          </cell>
          <cell r="E343" t="str">
            <v>Système de reconnaissance et d'émulation des cercles de qualité, Personnel TAMCA</v>
          </cell>
          <cell r="F343">
            <v>0</v>
          </cell>
          <cell r="L343">
            <v>0</v>
          </cell>
          <cell r="P343">
            <v>0</v>
          </cell>
          <cell r="AC343">
            <v>0</v>
          </cell>
        </row>
        <row r="344">
          <cell r="B344">
            <v>1</v>
          </cell>
          <cell r="C344">
            <v>100</v>
          </cell>
          <cell r="D344" t="str">
            <v>2100</v>
          </cell>
          <cell r="E344" t="str">
            <v>Fournitures internes, Electricité SA Fact.à SA Fact.même DIV</v>
          </cell>
          <cell r="L344">
            <v>0</v>
          </cell>
          <cell r="P344">
            <v>0</v>
          </cell>
          <cell r="AC344">
            <v>0</v>
          </cell>
        </row>
        <row r="345">
          <cell r="B345">
            <v>1</v>
          </cell>
          <cell r="C345">
            <v>101</v>
          </cell>
          <cell r="D345" t="str">
            <v>2101</v>
          </cell>
          <cell r="E345" t="str">
            <v>Fournitures internes, Electricité SA Fact. À SA Fact.autres DIV</v>
          </cell>
          <cell r="L345">
            <v>0</v>
          </cell>
          <cell r="P345">
            <v>0</v>
          </cell>
          <cell r="AC345">
            <v>0</v>
          </cell>
        </row>
        <row r="346">
          <cell r="B346">
            <v>1</v>
          </cell>
          <cell r="C346">
            <v>102</v>
          </cell>
          <cell r="D346" t="str">
            <v>2102</v>
          </cell>
          <cell r="E346" t="str">
            <v>Fournitures internes, Electricite (SA FACT à SA Consommation même DIV)</v>
          </cell>
          <cell r="F346">
            <v>44496</v>
          </cell>
          <cell r="G346">
            <v>45108</v>
          </cell>
          <cell r="H346">
            <v>49824</v>
          </cell>
          <cell r="I346">
            <v>54192</v>
          </cell>
          <cell r="J346">
            <v>38892</v>
          </cell>
          <cell r="K346">
            <v>55824</v>
          </cell>
          <cell r="L346">
            <v>288336</v>
          </cell>
          <cell r="P346">
            <v>0</v>
          </cell>
          <cell r="AC346">
            <v>288336</v>
          </cell>
        </row>
        <row r="347">
          <cell r="B347">
            <v>1</v>
          </cell>
          <cell r="C347">
            <v>103</v>
          </cell>
          <cell r="D347" t="str">
            <v>2103</v>
          </cell>
          <cell r="E347" t="str">
            <v>Fournitures internes, Electricité (SA Fact.à SA Consommation autres DIV)</v>
          </cell>
          <cell r="L347">
            <v>0</v>
          </cell>
          <cell r="P347">
            <v>0</v>
          </cell>
          <cell r="AC347">
            <v>0</v>
          </cell>
        </row>
        <row r="348">
          <cell r="B348">
            <v>1</v>
          </cell>
          <cell r="C348">
            <v>104</v>
          </cell>
          <cell r="D348" t="str">
            <v>2104</v>
          </cell>
          <cell r="E348" t="str">
            <v>Fournitures internes, Eau OCP ( SA Fact.à SA Fact. Même DIV)</v>
          </cell>
          <cell r="L348">
            <v>0</v>
          </cell>
          <cell r="P348">
            <v>0</v>
          </cell>
          <cell r="AC348">
            <v>0</v>
          </cell>
        </row>
        <row r="349">
          <cell r="B349">
            <v>1</v>
          </cell>
          <cell r="C349">
            <v>105</v>
          </cell>
          <cell r="D349" t="str">
            <v>2105</v>
          </cell>
          <cell r="E349" t="str">
            <v>Fournitures internes, Eau OCP ( SA Fact.à SA Fact. autres DIV)</v>
          </cell>
          <cell r="L349">
            <v>0</v>
          </cell>
          <cell r="P349">
            <v>0</v>
          </cell>
          <cell r="AC349">
            <v>0</v>
          </cell>
        </row>
        <row r="350">
          <cell r="B350">
            <v>1</v>
          </cell>
          <cell r="C350">
            <v>106</v>
          </cell>
          <cell r="D350" t="str">
            <v>2106</v>
          </cell>
          <cell r="E350" t="str">
            <v>Fournitures internes, Eau OCP (SA Fact.à SA Consommation même DIV)</v>
          </cell>
          <cell r="L350">
            <v>0</v>
          </cell>
          <cell r="P350">
            <v>0</v>
          </cell>
          <cell r="AC350">
            <v>0</v>
          </cell>
        </row>
        <row r="351">
          <cell r="B351">
            <v>1</v>
          </cell>
          <cell r="C351">
            <v>107</v>
          </cell>
          <cell r="D351" t="str">
            <v>2107</v>
          </cell>
          <cell r="E351" t="str">
            <v>Fournitures internes, Eau OCP ( SA Fact.à SA Consommation autres DIV)</v>
          </cell>
          <cell r="L351">
            <v>0</v>
          </cell>
          <cell r="P351">
            <v>0</v>
          </cell>
          <cell r="AC351">
            <v>0</v>
          </cell>
        </row>
        <row r="352">
          <cell r="D352" t="str">
            <v>2110</v>
          </cell>
          <cell r="E352" t="str">
            <v>Fournitures internes, Eau de mer</v>
          </cell>
          <cell r="F352">
            <v>0</v>
          </cell>
          <cell r="L352">
            <v>0</v>
          </cell>
          <cell r="P352">
            <v>0</v>
          </cell>
          <cell r="AC352">
            <v>0</v>
          </cell>
        </row>
        <row r="353">
          <cell r="D353" t="str">
            <v>2121</v>
          </cell>
          <cell r="E353" t="str">
            <v>Fournitures internes, Eau brute</v>
          </cell>
          <cell r="F353">
            <v>0</v>
          </cell>
          <cell r="L353">
            <v>0</v>
          </cell>
          <cell r="P353">
            <v>0</v>
          </cell>
          <cell r="AC353">
            <v>0</v>
          </cell>
        </row>
        <row r="354">
          <cell r="D354" t="str">
            <v>2122</v>
          </cell>
          <cell r="E354" t="str">
            <v>Fournitures internes, Eau filtrée</v>
          </cell>
          <cell r="F354">
            <v>0</v>
          </cell>
          <cell r="L354">
            <v>0</v>
          </cell>
          <cell r="P354">
            <v>0</v>
          </cell>
          <cell r="AC354">
            <v>0</v>
          </cell>
        </row>
        <row r="355">
          <cell r="D355" t="str">
            <v>2123</v>
          </cell>
          <cell r="E355" t="str">
            <v>Fournitures internes, Eau potable</v>
          </cell>
          <cell r="F355">
            <v>0</v>
          </cell>
          <cell r="L355">
            <v>0</v>
          </cell>
          <cell r="P355">
            <v>0</v>
          </cell>
          <cell r="AC355">
            <v>0</v>
          </cell>
        </row>
        <row r="356">
          <cell r="D356" t="str">
            <v>2124</v>
          </cell>
          <cell r="E356" t="str">
            <v>Fournitures internes, Eau déminéralisée</v>
          </cell>
          <cell r="F356">
            <v>0</v>
          </cell>
          <cell r="L356">
            <v>0</v>
          </cell>
          <cell r="P356">
            <v>0</v>
          </cell>
          <cell r="AC356">
            <v>0</v>
          </cell>
        </row>
        <row r="357">
          <cell r="D357" t="str">
            <v>2125</v>
          </cell>
          <cell r="E357" t="str">
            <v>Fournitures internes, Eau désilicée</v>
          </cell>
          <cell r="F357">
            <v>0</v>
          </cell>
          <cell r="L357">
            <v>0</v>
          </cell>
          <cell r="P357">
            <v>0</v>
          </cell>
          <cell r="AC357">
            <v>0</v>
          </cell>
        </row>
        <row r="358">
          <cell r="D358" t="str">
            <v>2126</v>
          </cell>
          <cell r="E358" t="str">
            <v>Fournitures internes, Eau alimentaire</v>
          </cell>
          <cell r="F358">
            <v>0</v>
          </cell>
          <cell r="L358">
            <v>0</v>
          </cell>
          <cell r="P358">
            <v>0</v>
          </cell>
          <cell r="AC358">
            <v>0</v>
          </cell>
        </row>
        <row r="359">
          <cell r="D359" t="str">
            <v>2130</v>
          </cell>
          <cell r="E359" t="str">
            <v>Fournitures internes, Air comprimé</v>
          </cell>
          <cell r="F359">
            <v>0</v>
          </cell>
          <cell r="L359">
            <v>0</v>
          </cell>
          <cell r="P359">
            <v>0</v>
          </cell>
          <cell r="AC359">
            <v>0</v>
          </cell>
        </row>
        <row r="360">
          <cell r="D360" t="str">
            <v>2140</v>
          </cell>
          <cell r="E360" t="str">
            <v>Fournitures internes, Vapeur BP</v>
          </cell>
          <cell r="F360">
            <v>0</v>
          </cell>
          <cell r="L360">
            <v>0</v>
          </cell>
          <cell r="P360">
            <v>0</v>
          </cell>
          <cell r="AC360">
            <v>0</v>
          </cell>
        </row>
        <row r="361">
          <cell r="D361" t="str">
            <v>2141</v>
          </cell>
          <cell r="E361" t="str">
            <v>Fournitures internes, Vapeur MP</v>
          </cell>
          <cell r="F361">
            <v>0</v>
          </cell>
          <cell r="L361">
            <v>0</v>
          </cell>
          <cell r="P361">
            <v>0</v>
          </cell>
          <cell r="AC361">
            <v>0</v>
          </cell>
        </row>
        <row r="362">
          <cell r="D362" t="str">
            <v>2142</v>
          </cell>
          <cell r="E362" t="str">
            <v>Fournitures internes, Vapeur HP</v>
          </cell>
          <cell r="F362">
            <v>0</v>
          </cell>
          <cell r="L362">
            <v>0</v>
          </cell>
          <cell r="P362">
            <v>0</v>
          </cell>
          <cell r="AC362">
            <v>0</v>
          </cell>
        </row>
        <row r="363">
          <cell r="D363" t="str">
            <v>2149</v>
          </cell>
          <cell r="E363" t="str">
            <v>Fournitures internes, Vapeur BP, MP, HP</v>
          </cell>
          <cell r="F363">
            <v>0</v>
          </cell>
          <cell r="L363">
            <v>0</v>
          </cell>
          <cell r="P363">
            <v>0</v>
          </cell>
          <cell r="AC363">
            <v>0</v>
          </cell>
        </row>
        <row r="364">
          <cell r="D364" t="str">
            <v>2150</v>
          </cell>
          <cell r="E364" t="str">
            <v>Fournitures internes, Phosphate lavé MPII</v>
          </cell>
          <cell r="F364">
            <v>0</v>
          </cell>
          <cell r="L364">
            <v>0</v>
          </cell>
          <cell r="P364">
            <v>0</v>
          </cell>
          <cell r="AC364">
            <v>0</v>
          </cell>
        </row>
        <row r="365">
          <cell r="D365" t="str">
            <v>2151</v>
          </cell>
          <cell r="E365" t="str">
            <v>Fournitures internes, Phosphate broyé</v>
          </cell>
          <cell r="F365">
            <v>0</v>
          </cell>
          <cell r="L365">
            <v>0</v>
          </cell>
          <cell r="P365">
            <v>0</v>
          </cell>
          <cell r="AC365">
            <v>0</v>
          </cell>
        </row>
        <row r="366">
          <cell r="D366" t="str">
            <v>2152</v>
          </cell>
          <cell r="E366" t="str">
            <v>Fournitures internes, Soufre fondu</v>
          </cell>
          <cell r="F366">
            <v>0</v>
          </cell>
          <cell r="L366">
            <v>0</v>
          </cell>
          <cell r="P366">
            <v>0</v>
          </cell>
          <cell r="AC366">
            <v>0</v>
          </cell>
        </row>
        <row r="367">
          <cell r="D367" t="str">
            <v>2153</v>
          </cell>
          <cell r="E367" t="str">
            <v>Fournitures internes, Soufre filtré</v>
          </cell>
          <cell r="F367">
            <v>0</v>
          </cell>
          <cell r="L367">
            <v>0</v>
          </cell>
          <cell r="P367">
            <v>0</v>
          </cell>
          <cell r="AC367">
            <v>0</v>
          </cell>
        </row>
        <row r="368">
          <cell r="D368" t="str">
            <v>2154</v>
          </cell>
          <cell r="E368" t="str">
            <v>Fournitures internes, Acide sulfurique</v>
          </cell>
          <cell r="F368">
            <v>0</v>
          </cell>
          <cell r="L368">
            <v>0</v>
          </cell>
          <cell r="P368">
            <v>0</v>
          </cell>
          <cell r="AC368">
            <v>0</v>
          </cell>
        </row>
        <row r="369">
          <cell r="D369" t="str">
            <v>2155</v>
          </cell>
          <cell r="E369" t="str">
            <v>Fournitures internes, Acide phosphorique 30%</v>
          </cell>
          <cell r="F369">
            <v>0</v>
          </cell>
          <cell r="L369">
            <v>0</v>
          </cell>
          <cell r="P369">
            <v>0</v>
          </cell>
          <cell r="AC369">
            <v>0</v>
          </cell>
        </row>
        <row r="370">
          <cell r="D370" t="str">
            <v>2156</v>
          </cell>
          <cell r="E370" t="str">
            <v>Fournitures internes, Acide phosphorique 54% NC</v>
          </cell>
          <cell r="F370">
            <v>0</v>
          </cell>
          <cell r="L370">
            <v>0</v>
          </cell>
          <cell r="P370">
            <v>0</v>
          </cell>
          <cell r="AC370">
            <v>0</v>
          </cell>
        </row>
        <row r="371">
          <cell r="D371" t="str">
            <v>2157</v>
          </cell>
          <cell r="E371" t="str">
            <v>Fournitures internes, Acide phosphorique 54% CL</v>
          </cell>
          <cell r="F371">
            <v>0</v>
          </cell>
          <cell r="L371">
            <v>0</v>
          </cell>
          <cell r="P371">
            <v>0</v>
          </cell>
          <cell r="AC371">
            <v>0</v>
          </cell>
        </row>
        <row r="372">
          <cell r="D372" t="str">
            <v>2158</v>
          </cell>
          <cell r="E372" t="str">
            <v>Fournitures internes, Acide prétraité</v>
          </cell>
          <cell r="F372">
            <v>0</v>
          </cell>
          <cell r="L372">
            <v>0</v>
          </cell>
          <cell r="P372">
            <v>0</v>
          </cell>
          <cell r="AC372">
            <v>0</v>
          </cell>
        </row>
        <row r="373">
          <cell r="D373" t="str">
            <v>2159</v>
          </cell>
          <cell r="E373" t="str">
            <v>Fournitures internes, Acide traité</v>
          </cell>
          <cell r="F373">
            <v>0</v>
          </cell>
          <cell r="L373">
            <v>0</v>
          </cell>
          <cell r="P373">
            <v>0</v>
          </cell>
          <cell r="AC373">
            <v>0</v>
          </cell>
        </row>
        <row r="374">
          <cell r="D374" t="str">
            <v>2160</v>
          </cell>
          <cell r="E374" t="str">
            <v>Fournitures internes, Engrais TSP (Intermédiaires)</v>
          </cell>
          <cell r="F374">
            <v>0</v>
          </cell>
          <cell r="L374">
            <v>0</v>
          </cell>
          <cell r="P374">
            <v>0</v>
          </cell>
          <cell r="AC374">
            <v>0</v>
          </cell>
        </row>
        <row r="375">
          <cell r="D375" t="str">
            <v>2161</v>
          </cell>
          <cell r="E375" t="str">
            <v>Fournitures internes, Engrais DAP (Intermédiaires)</v>
          </cell>
          <cell r="F375">
            <v>0</v>
          </cell>
          <cell r="L375">
            <v>0</v>
          </cell>
          <cell r="P375">
            <v>0</v>
          </cell>
          <cell r="AC375">
            <v>0</v>
          </cell>
        </row>
        <row r="376">
          <cell r="D376" t="str">
            <v>2162</v>
          </cell>
          <cell r="E376" t="str">
            <v>Fournitures internes, Engrais MAP (Intermédiaires)</v>
          </cell>
          <cell r="F376">
            <v>0</v>
          </cell>
          <cell r="L376">
            <v>0</v>
          </cell>
          <cell r="P376">
            <v>0</v>
          </cell>
          <cell r="AC376">
            <v>0</v>
          </cell>
        </row>
        <row r="377">
          <cell r="D377" t="str">
            <v>2163</v>
          </cell>
          <cell r="E377" t="str">
            <v>Fournitures internes, Engrais NPK (Intermédiaires)</v>
          </cell>
          <cell r="F377">
            <v>0</v>
          </cell>
          <cell r="L377">
            <v>0</v>
          </cell>
          <cell r="P377">
            <v>0</v>
          </cell>
          <cell r="AC377">
            <v>0</v>
          </cell>
        </row>
        <row r="378">
          <cell r="D378" t="str">
            <v>2164</v>
          </cell>
          <cell r="E378" t="str">
            <v>Fournitures internes, Engrais ASP (Intermédiaires)</v>
          </cell>
          <cell r="F378">
            <v>0</v>
          </cell>
          <cell r="L378">
            <v>0</v>
          </cell>
          <cell r="P378">
            <v>0</v>
          </cell>
          <cell r="AC378">
            <v>0</v>
          </cell>
        </row>
        <row r="379">
          <cell r="D379" t="str">
            <v>2169</v>
          </cell>
          <cell r="E379" t="str">
            <v>Fournitures internes, Engrais Autres formules (Intermédiaires)</v>
          </cell>
          <cell r="F379">
            <v>0</v>
          </cell>
          <cell r="L379">
            <v>0</v>
          </cell>
          <cell r="P379">
            <v>0</v>
          </cell>
          <cell r="AC379">
            <v>0</v>
          </cell>
        </row>
        <row r="380">
          <cell r="B380">
            <v>1</v>
          </cell>
          <cell r="C380">
            <v>200</v>
          </cell>
          <cell r="D380" t="str">
            <v>2200</v>
          </cell>
          <cell r="E380" t="str">
            <v>Prestations même division, Jardinages et pépinières</v>
          </cell>
          <cell r="L380">
            <v>0</v>
          </cell>
          <cell r="P380">
            <v>0</v>
          </cell>
          <cell r="AC380">
            <v>0</v>
          </cell>
        </row>
        <row r="381">
          <cell r="B381">
            <v>1</v>
          </cell>
          <cell r="C381">
            <v>201</v>
          </cell>
          <cell r="D381" t="str">
            <v>2201</v>
          </cell>
          <cell r="E381" t="str">
            <v>Prestations même division, Nettoyage</v>
          </cell>
          <cell r="L381">
            <v>0</v>
          </cell>
          <cell r="P381">
            <v>0</v>
          </cell>
          <cell r="AC381">
            <v>0</v>
          </cell>
        </row>
        <row r="382">
          <cell r="B382">
            <v>1</v>
          </cell>
          <cell r="C382">
            <v>202</v>
          </cell>
          <cell r="D382" t="str">
            <v>2202</v>
          </cell>
          <cell r="E382" t="str">
            <v>Prestations même division, Menuiserie</v>
          </cell>
          <cell r="L382">
            <v>0</v>
          </cell>
          <cell r="P382">
            <v>0</v>
          </cell>
          <cell r="AC382">
            <v>0</v>
          </cell>
        </row>
        <row r="383">
          <cell r="B383">
            <v>1</v>
          </cell>
          <cell r="C383">
            <v>203</v>
          </cell>
          <cell r="D383" t="str">
            <v>2203</v>
          </cell>
          <cell r="E383" t="str">
            <v>Prestations même division, Peinture et vitrerie</v>
          </cell>
          <cell r="L383">
            <v>0</v>
          </cell>
          <cell r="P383">
            <v>0</v>
          </cell>
          <cell r="AC383">
            <v>0</v>
          </cell>
        </row>
        <row r="384">
          <cell r="B384">
            <v>1</v>
          </cell>
          <cell r="C384">
            <v>204</v>
          </cell>
          <cell r="D384" t="str">
            <v>2204</v>
          </cell>
          <cell r="E384" t="str">
            <v>Prestations même division, Plomberie</v>
          </cell>
          <cell r="L384">
            <v>0</v>
          </cell>
          <cell r="P384">
            <v>0</v>
          </cell>
          <cell r="AC384">
            <v>0</v>
          </cell>
        </row>
        <row r="385">
          <cell r="B385">
            <v>1</v>
          </cell>
          <cell r="C385">
            <v>205</v>
          </cell>
          <cell r="D385" t="str">
            <v>2205</v>
          </cell>
          <cell r="E385" t="str">
            <v>Prestations même division, Froid et climatisation</v>
          </cell>
          <cell r="L385">
            <v>0</v>
          </cell>
          <cell r="P385">
            <v>0</v>
          </cell>
          <cell r="AC385">
            <v>0</v>
          </cell>
        </row>
        <row r="386">
          <cell r="B386">
            <v>1</v>
          </cell>
          <cell r="C386">
            <v>207</v>
          </cell>
          <cell r="D386" t="str">
            <v>2207</v>
          </cell>
          <cell r="E386" t="str">
            <v>Prestations même division, Agencement mobilier</v>
          </cell>
          <cell r="L386">
            <v>0</v>
          </cell>
          <cell r="P386">
            <v>0</v>
          </cell>
          <cell r="AC386">
            <v>0</v>
          </cell>
        </row>
        <row r="387">
          <cell r="B387">
            <v>1</v>
          </cell>
          <cell r="C387">
            <v>208</v>
          </cell>
          <cell r="D387" t="str">
            <v>2208</v>
          </cell>
          <cell r="E387" t="str">
            <v>Prestations même division, Ateliers téléphoniques</v>
          </cell>
          <cell r="L387">
            <v>0</v>
          </cell>
          <cell r="P387">
            <v>0</v>
          </cell>
          <cell r="AC387">
            <v>0</v>
          </cell>
        </row>
        <row r="388">
          <cell r="B388">
            <v>1</v>
          </cell>
          <cell r="C388">
            <v>210</v>
          </cell>
          <cell r="D388" t="str">
            <v>2210</v>
          </cell>
          <cell r="E388" t="str">
            <v>Prestations même division, Ateliers électroniques</v>
          </cell>
          <cell r="L388">
            <v>0</v>
          </cell>
          <cell r="P388">
            <v>0</v>
          </cell>
          <cell r="AC388">
            <v>0</v>
          </cell>
        </row>
        <row r="389">
          <cell r="B389">
            <v>1</v>
          </cell>
          <cell r="C389">
            <v>211</v>
          </cell>
          <cell r="D389" t="str">
            <v>2211</v>
          </cell>
          <cell r="E389" t="str">
            <v>Prestations même division, Ateliers mécaniques</v>
          </cell>
          <cell r="F389">
            <v>129144</v>
          </cell>
          <cell r="G389">
            <v>74268</v>
          </cell>
          <cell r="H389">
            <v>107100</v>
          </cell>
          <cell r="I389">
            <v>73476</v>
          </cell>
          <cell r="J389">
            <v>65196</v>
          </cell>
          <cell r="K389">
            <v>85368</v>
          </cell>
          <cell r="L389">
            <v>534552</v>
          </cell>
          <cell r="M389">
            <v>18588</v>
          </cell>
          <cell r="P389">
            <v>0</v>
          </cell>
          <cell r="AC389">
            <v>553140</v>
          </cell>
        </row>
        <row r="390">
          <cell r="B390">
            <v>1</v>
          </cell>
          <cell r="C390">
            <v>212</v>
          </cell>
          <cell r="D390" t="str">
            <v>2212</v>
          </cell>
          <cell r="E390" t="str">
            <v>Prestations même division, Ateliers éléctriques</v>
          </cell>
          <cell r="F390">
            <v>50460</v>
          </cell>
          <cell r="G390">
            <v>29232</v>
          </cell>
          <cell r="H390">
            <v>33804</v>
          </cell>
          <cell r="I390">
            <v>31140</v>
          </cell>
          <cell r="J390">
            <v>20136</v>
          </cell>
          <cell r="K390">
            <v>30540</v>
          </cell>
          <cell r="L390">
            <v>195312</v>
          </cell>
          <cell r="M390">
            <v>44796</v>
          </cell>
          <cell r="P390">
            <v>0</v>
          </cell>
          <cell r="AC390">
            <v>240108</v>
          </cell>
        </row>
        <row r="391">
          <cell r="B391">
            <v>1</v>
          </cell>
          <cell r="C391">
            <v>213</v>
          </cell>
          <cell r="D391" t="str">
            <v>2213</v>
          </cell>
          <cell r="E391" t="str">
            <v>Prestations même division, Ateliers draglines</v>
          </cell>
          <cell r="L391">
            <v>0</v>
          </cell>
          <cell r="P391">
            <v>0</v>
          </cell>
          <cell r="AC391">
            <v>0</v>
          </cell>
        </row>
        <row r="392">
          <cell r="B392">
            <v>1</v>
          </cell>
          <cell r="C392">
            <v>214</v>
          </cell>
          <cell r="D392" t="str">
            <v>2214</v>
          </cell>
          <cell r="E392" t="str">
            <v>Prestations même division, Ateliers des eaux</v>
          </cell>
          <cell r="L392">
            <v>0</v>
          </cell>
          <cell r="P392">
            <v>0</v>
          </cell>
          <cell r="AC392">
            <v>0</v>
          </cell>
        </row>
        <row r="393">
          <cell r="B393">
            <v>1</v>
          </cell>
          <cell r="C393">
            <v>215</v>
          </cell>
          <cell r="D393" t="str">
            <v>2215</v>
          </cell>
          <cell r="E393" t="str">
            <v>Prestations même division, Génie civil</v>
          </cell>
          <cell r="L393">
            <v>0</v>
          </cell>
          <cell r="P393">
            <v>0</v>
          </cell>
          <cell r="AC393">
            <v>0</v>
          </cell>
        </row>
        <row r="394">
          <cell r="B394">
            <v>1</v>
          </cell>
          <cell r="C394">
            <v>216</v>
          </cell>
          <cell r="D394" t="str">
            <v>2216</v>
          </cell>
          <cell r="E394" t="str">
            <v>Prestations même division, Géologie</v>
          </cell>
          <cell r="L394">
            <v>0</v>
          </cell>
          <cell r="P394">
            <v>0</v>
          </cell>
          <cell r="AC394">
            <v>0</v>
          </cell>
        </row>
        <row r="395">
          <cell r="B395">
            <v>1</v>
          </cell>
          <cell r="C395">
            <v>217</v>
          </cell>
          <cell r="D395" t="str">
            <v>2217</v>
          </cell>
          <cell r="E395" t="str">
            <v>Prestations même division, Ateliers pneumatiques</v>
          </cell>
          <cell r="L395">
            <v>0</v>
          </cell>
          <cell r="P395">
            <v>0</v>
          </cell>
          <cell r="AC395">
            <v>0</v>
          </cell>
        </row>
        <row r="396">
          <cell r="B396">
            <v>1</v>
          </cell>
          <cell r="C396">
            <v>218</v>
          </cell>
          <cell r="D396" t="str">
            <v>2218</v>
          </cell>
          <cell r="E396" t="str">
            <v>Prestations même division, Ateliers chaudronnerie lourde</v>
          </cell>
          <cell r="L396">
            <v>0</v>
          </cell>
          <cell r="P396">
            <v>0</v>
          </cell>
          <cell r="AC396">
            <v>0</v>
          </cell>
        </row>
        <row r="397">
          <cell r="B397">
            <v>1</v>
          </cell>
          <cell r="C397">
            <v>219</v>
          </cell>
          <cell r="D397" t="str">
            <v>2219</v>
          </cell>
          <cell r="E397" t="str">
            <v>Prestations même division, Ateliers des engins divers</v>
          </cell>
          <cell r="L397">
            <v>0</v>
          </cell>
          <cell r="P397">
            <v>0</v>
          </cell>
          <cell r="AC397">
            <v>0</v>
          </cell>
        </row>
        <row r="398">
          <cell r="B398">
            <v>1</v>
          </cell>
          <cell r="C398">
            <v>220</v>
          </cell>
          <cell r="D398" t="str">
            <v>2220</v>
          </cell>
          <cell r="E398" t="str">
            <v>Prestations même division, Trémies épierrage</v>
          </cell>
          <cell r="L398">
            <v>0</v>
          </cell>
          <cell r="P398">
            <v>0</v>
          </cell>
          <cell r="AC398">
            <v>0</v>
          </cell>
        </row>
        <row r="399">
          <cell r="B399">
            <v>1</v>
          </cell>
          <cell r="C399">
            <v>221</v>
          </cell>
          <cell r="D399" t="str">
            <v>2221</v>
          </cell>
          <cell r="E399" t="str">
            <v>Prestations même division, Stacker de mise en stock de l'épierré</v>
          </cell>
          <cell r="L399">
            <v>0</v>
          </cell>
          <cell r="P399">
            <v>0</v>
          </cell>
          <cell r="AC399">
            <v>0</v>
          </cell>
        </row>
        <row r="400">
          <cell r="B400">
            <v>1</v>
          </cell>
          <cell r="C400">
            <v>222</v>
          </cell>
          <cell r="D400" t="str">
            <v>2222</v>
          </cell>
          <cell r="E400" t="str">
            <v>Prestations même division, Roue-pelle, Reprise de l'épierré</v>
          </cell>
          <cell r="L400">
            <v>0</v>
          </cell>
          <cell r="P400">
            <v>0</v>
          </cell>
          <cell r="AC400">
            <v>0</v>
          </cell>
        </row>
        <row r="401">
          <cell r="B401">
            <v>1</v>
          </cell>
          <cell r="C401">
            <v>223</v>
          </cell>
          <cell r="D401" t="str">
            <v>2223</v>
          </cell>
          <cell r="E401" t="str">
            <v>Prestations même division, Liaison T1+T2/T13 OCP</v>
          </cell>
          <cell r="L401">
            <v>0</v>
          </cell>
          <cell r="P401">
            <v>0</v>
          </cell>
          <cell r="AC401">
            <v>0</v>
          </cell>
        </row>
        <row r="402">
          <cell r="B402">
            <v>1</v>
          </cell>
          <cell r="C402">
            <v>224</v>
          </cell>
          <cell r="D402" t="str">
            <v>2224</v>
          </cell>
          <cell r="E402" t="str">
            <v>Prestations même division, Stacker</v>
          </cell>
          <cell r="L402">
            <v>0</v>
          </cell>
          <cell r="P402">
            <v>0</v>
          </cell>
          <cell r="AC402">
            <v>0</v>
          </cell>
        </row>
        <row r="403">
          <cell r="B403">
            <v>1</v>
          </cell>
          <cell r="C403">
            <v>225</v>
          </cell>
          <cell r="D403" t="str">
            <v>2225</v>
          </cell>
          <cell r="E403" t="str">
            <v>Prestations même division, Station de criblage</v>
          </cell>
          <cell r="L403">
            <v>0</v>
          </cell>
          <cell r="P403">
            <v>0</v>
          </cell>
          <cell r="AC403">
            <v>0</v>
          </cell>
        </row>
        <row r="404">
          <cell r="B404">
            <v>1</v>
          </cell>
          <cell r="C404">
            <v>226</v>
          </cell>
          <cell r="D404" t="str">
            <v>2226</v>
          </cell>
          <cell r="E404" t="str">
            <v>Prestations même division, Roue-pelle, Reprise du criblé</v>
          </cell>
          <cell r="L404">
            <v>0</v>
          </cell>
          <cell r="P404">
            <v>0</v>
          </cell>
          <cell r="AC404">
            <v>0</v>
          </cell>
        </row>
        <row r="405">
          <cell r="B405">
            <v>1</v>
          </cell>
          <cell r="C405">
            <v>227</v>
          </cell>
          <cell r="D405" t="str">
            <v>2227</v>
          </cell>
          <cell r="E405" t="str">
            <v>Prestations même division, Station de chargement</v>
          </cell>
          <cell r="L405">
            <v>0</v>
          </cell>
          <cell r="P405">
            <v>0</v>
          </cell>
          <cell r="AC405">
            <v>0</v>
          </cell>
        </row>
        <row r="406">
          <cell r="B406">
            <v>1</v>
          </cell>
          <cell r="C406">
            <v>228</v>
          </cell>
          <cell r="D406" t="str">
            <v>2228</v>
          </cell>
          <cell r="E406" t="str">
            <v>Prestations même division, Locotracteurs</v>
          </cell>
          <cell r="L406">
            <v>0</v>
          </cell>
          <cell r="P406">
            <v>0</v>
          </cell>
          <cell r="AC406">
            <v>0</v>
          </cell>
        </row>
        <row r="407">
          <cell r="B407">
            <v>1</v>
          </cell>
          <cell r="C407">
            <v>230</v>
          </cell>
          <cell r="D407" t="str">
            <v>2230</v>
          </cell>
          <cell r="E407" t="str">
            <v>Prestations même division, Draglines et pelles</v>
          </cell>
          <cell r="L407">
            <v>0</v>
          </cell>
          <cell r="P407">
            <v>0</v>
          </cell>
          <cell r="AC407">
            <v>0</v>
          </cell>
        </row>
        <row r="408">
          <cell r="B408">
            <v>1</v>
          </cell>
          <cell r="C408">
            <v>231</v>
          </cell>
          <cell r="D408" t="str">
            <v>2231</v>
          </cell>
          <cell r="E408" t="str">
            <v>Prestations même division, Camions de chantiers</v>
          </cell>
          <cell r="L408">
            <v>0</v>
          </cell>
          <cell r="P408">
            <v>0</v>
          </cell>
          <cell r="AC408">
            <v>0</v>
          </cell>
        </row>
        <row r="409">
          <cell r="B409">
            <v>1</v>
          </cell>
          <cell r="C409">
            <v>232</v>
          </cell>
          <cell r="D409" t="str">
            <v>2232</v>
          </cell>
          <cell r="E409" t="str">
            <v>Prestations même division, Bulldozers</v>
          </cell>
          <cell r="L409">
            <v>0</v>
          </cell>
          <cell r="P409">
            <v>0</v>
          </cell>
          <cell r="AC409">
            <v>0</v>
          </cell>
        </row>
        <row r="410">
          <cell r="B410">
            <v>1</v>
          </cell>
          <cell r="C410">
            <v>233</v>
          </cell>
          <cell r="D410" t="str">
            <v>2233</v>
          </cell>
          <cell r="E410" t="str">
            <v>Prestations même division, Niveleuses</v>
          </cell>
          <cell r="L410">
            <v>0</v>
          </cell>
          <cell r="P410">
            <v>0</v>
          </cell>
          <cell r="AC410">
            <v>0</v>
          </cell>
        </row>
        <row r="411">
          <cell r="B411">
            <v>1</v>
          </cell>
          <cell r="C411">
            <v>234</v>
          </cell>
          <cell r="D411" t="str">
            <v>2234</v>
          </cell>
          <cell r="E411" t="str">
            <v>Prestations même division, Chargeuses</v>
          </cell>
          <cell r="L411">
            <v>0</v>
          </cell>
          <cell r="P411">
            <v>0</v>
          </cell>
          <cell r="AC411">
            <v>0</v>
          </cell>
        </row>
        <row r="412">
          <cell r="B412">
            <v>1</v>
          </cell>
          <cell r="C412">
            <v>235</v>
          </cell>
          <cell r="D412" t="str">
            <v>2235</v>
          </cell>
          <cell r="E412" t="str">
            <v>Prestations même division, Sondeuses</v>
          </cell>
          <cell r="L412">
            <v>0</v>
          </cell>
          <cell r="P412">
            <v>0</v>
          </cell>
          <cell r="AC412">
            <v>0</v>
          </cell>
        </row>
        <row r="413">
          <cell r="B413">
            <v>1</v>
          </cell>
          <cell r="C413">
            <v>236</v>
          </cell>
          <cell r="D413" t="str">
            <v>2236</v>
          </cell>
          <cell r="E413" t="str">
            <v>Prestations même division, Motoscrapers</v>
          </cell>
          <cell r="L413">
            <v>0</v>
          </cell>
          <cell r="P413">
            <v>0</v>
          </cell>
          <cell r="AC413">
            <v>0</v>
          </cell>
        </row>
        <row r="414">
          <cell r="B414">
            <v>1</v>
          </cell>
          <cell r="C414">
            <v>237</v>
          </cell>
          <cell r="D414" t="str">
            <v>2237</v>
          </cell>
          <cell r="E414" t="str">
            <v>Prestations même division, Garage véhicules</v>
          </cell>
          <cell r="L414">
            <v>0</v>
          </cell>
          <cell r="P414">
            <v>0</v>
          </cell>
          <cell r="AC414">
            <v>0</v>
          </cell>
        </row>
        <row r="415">
          <cell r="B415">
            <v>1</v>
          </cell>
          <cell r="C415">
            <v>239</v>
          </cell>
          <cell r="D415" t="str">
            <v>2239</v>
          </cell>
          <cell r="E415" t="str">
            <v>Prestations même division, Locations véhicules et engins divers</v>
          </cell>
          <cell r="L415">
            <v>0</v>
          </cell>
          <cell r="P415">
            <v>0</v>
          </cell>
          <cell r="AC415">
            <v>0</v>
          </cell>
        </row>
        <row r="416">
          <cell r="B416">
            <v>1</v>
          </cell>
          <cell r="C416">
            <v>240</v>
          </cell>
          <cell r="D416" t="str">
            <v>2240</v>
          </cell>
          <cell r="E416" t="str">
            <v>Prestations même division, Matériel &amp; administration des réseaux</v>
          </cell>
          <cell r="L416">
            <v>0</v>
          </cell>
          <cell r="P416">
            <v>0</v>
          </cell>
          <cell r="AC416">
            <v>0</v>
          </cell>
        </row>
        <row r="417">
          <cell r="B417">
            <v>1</v>
          </cell>
          <cell r="C417">
            <v>241</v>
          </cell>
          <cell r="D417" t="str">
            <v>2241</v>
          </cell>
          <cell r="E417" t="str">
            <v>Prestations même division, Station service</v>
          </cell>
          <cell r="L417">
            <v>0</v>
          </cell>
          <cell r="P417">
            <v>0</v>
          </cell>
          <cell r="AC417">
            <v>0</v>
          </cell>
        </row>
        <row r="418">
          <cell r="B418">
            <v>1</v>
          </cell>
          <cell r="C418">
            <v>242</v>
          </cell>
          <cell r="D418" t="str">
            <v>2242</v>
          </cell>
          <cell r="E418" t="str">
            <v>Prestations même division, Laboratoire</v>
          </cell>
          <cell r="L418">
            <v>0</v>
          </cell>
          <cell r="P418">
            <v>0</v>
          </cell>
          <cell r="AC418">
            <v>0</v>
          </cell>
        </row>
        <row r="419">
          <cell r="B419">
            <v>1</v>
          </cell>
          <cell r="C419">
            <v>243</v>
          </cell>
          <cell r="D419" t="str">
            <v>2243</v>
          </cell>
          <cell r="E419" t="str">
            <v>Prestations même division, Imprimerie et micro-film</v>
          </cell>
          <cell r="L419">
            <v>0</v>
          </cell>
          <cell r="P419">
            <v>0</v>
          </cell>
          <cell r="AC419">
            <v>0</v>
          </cell>
        </row>
        <row r="420">
          <cell r="B420">
            <v>1</v>
          </cell>
          <cell r="C420">
            <v>244</v>
          </cell>
          <cell r="D420" t="str">
            <v>2244</v>
          </cell>
          <cell r="E420" t="str">
            <v>Prestations même division, Production informatique service ordinateur</v>
          </cell>
          <cell r="L420">
            <v>0</v>
          </cell>
          <cell r="P420">
            <v>0</v>
          </cell>
          <cell r="AC420">
            <v>0</v>
          </cell>
        </row>
        <row r="421">
          <cell r="B421">
            <v>1</v>
          </cell>
          <cell r="C421">
            <v>245</v>
          </cell>
          <cell r="D421" t="str">
            <v>2245</v>
          </cell>
          <cell r="E421" t="str">
            <v>Prestations même division, Télécommunications</v>
          </cell>
          <cell r="L421">
            <v>0</v>
          </cell>
          <cell r="P421">
            <v>0</v>
          </cell>
          <cell r="AC421">
            <v>0</v>
          </cell>
        </row>
        <row r="422">
          <cell r="B422">
            <v>1</v>
          </cell>
          <cell r="C422">
            <v>246</v>
          </cell>
          <cell r="D422" t="str">
            <v>2246</v>
          </cell>
          <cell r="E422" t="str">
            <v>Prestations même division, SA à répartir par pourcentage fixe (Ex surcode 0009)</v>
          </cell>
          <cell r="L422">
            <v>0</v>
          </cell>
          <cell r="P422">
            <v>0</v>
          </cell>
          <cell r="AC422">
            <v>0</v>
          </cell>
        </row>
        <row r="423">
          <cell r="B423">
            <v>1</v>
          </cell>
          <cell r="C423">
            <v>247</v>
          </cell>
          <cell r="D423" t="str">
            <v>2247</v>
          </cell>
          <cell r="E423" t="str">
            <v>Prestations même division, Bureautiques et maintenance</v>
          </cell>
          <cell r="L423">
            <v>0</v>
          </cell>
          <cell r="P423">
            <v>0</v>
          </cell>
          <cell r="AC423">
            <v>0</v>
          </cell>
        </row>
        <row r="424">
          <cell r="B424">
            <v>1</v>
          </cell>
          <cell r="C424">
            <v>248</v>
          </cell>
          <cell r="D424" t="str">
            <v>2248</v>
          </cell>
          <cell r="E424" t="str">
            <v>Prestations même division, Etudes diverses et développements informatiques</v>
          </cell>
          <cell r="L424">
            <v>0</v>
          </cell>
          <cell r="P424">
            <v>0</v>
          </cell>
          <cell r="AC424">
            <v>0</v>
          </cell>
        </row>
        <row r="425">
          <cell r="B425">
            <v>1</v>
          </cell>
          <cell r="C425">
            <v>249</v>
          </cell>
          <cell r="D425" t="str">
            <v>2249</v>
          </cell>
          <cell r="E425" t="str">
            <v>Prestations même division diverses</v>
          </cell>
          <cell r="L425">
            <v>0</v>
          </cell>
          <cell r="P425">
            <v>0</v>
          </cell>
          <cell r="AC425">
            <v>0</v>
          </cell>
        </row>
        <row r="426">
          <cell r="B426">
            <v>1</v>
          </cell>
          <cell r="C426">
            <v>250</v>
          </cell>
          <cell r="D426" t="str">
            <v>2250</v>
          </cell>
          <cell r="E426" t="str">
            <v>Prestations même division, Ateliers vulcanisation</v>
          </cell>
          <cell r="L426">
            <v>0</v>
          </cell>
          <cell r="P426">
            <v>0</v>
          </cell>
          <cell r="AC426">
            <v>0</v>
          </cell>
        </row>
        <row r="427">
          <cell r="B427">
            <v>1</v>
          </cell>
          <cell r="C427">
            <v>251</v>
          </cell>
          <cell r="D427" t="str">
            <v>2251</v>
          </cell>
          <cell r="E427" t="str">
            <v>Prestations même division, Ateliers de régulation</v>
          </cell>
          <cell r="L427">
            <v>0</v>
          </cell>
          <cell r="P427">
            <v>0</v>
          </cell>
          <cell r="AC427">
            <v>0</v>
          </cell>
        </row>
        <row r="428">
          <cell r="B428">
            <v>1</v>
          </cell>
          <cell r="C428">
            <v>252</v>
          </cell>
          <cell r="D428" t="str">
            <v>2252</v>
          </cell>
          <cell r="E428" t="str">
            <v>Prestations même division, Ateliers électriques draglines</v>
          </cell>
          <cell r="L428">
            <v>0</v>
          </cell>
          <cell r="P428">
            <v>0</v>
          </cell>
          <cell r="AC428">
            <v>0</v>
          </cell>
        </row>
        <row r="429">
          <cell r="B429">
            <v>1</v>
          </cell>
          <cell r="C429">
            <v>253</v>
          </cell>
          <cell r="D429" t="str">
            <v>2253</v>
          </cell>
          <cell r="E429" t="str">
            <v>Prestations même division, Ateliers chaudronnerie entretien</v>
          </cell>
          <cell r="L429">
            <v>0</v>
          </cell>
          <cell r="P429">
            <v>0</v>
          </cell>
          <cell r="AC429">
            <v>0</v>
          </cell>
        </row>
        <row r="430">
          <cell r="B430">
            <v>1</v>
          </cell>
          <cell r="C430">
            <v>254</v>
          </cell>
          <cell r="D430" t="str">
            <v>2254</v>
          </cell>
          <cell r="E430" t="str">
            <v>Prestations même division, Ateliers électriques installations</v>
          </cell>
          <cell r="L430">
            <v>0</v>
          </cell>
          <cell r="P430">
            <v>0</v>
          </cell>
          <cell r="AC430">
            <v>0</v>
          </cell>
        </row>
        <row r="431">
          <cell r="B431">
            <v>1</v>
          </cell>
          <cell r="C431">
            <v>255</v>
          </cell>
          <cell r="D431" t="str">
            <v>2255</v>
          </cell>
          <cell r="E431" t="str">
            <v>Prestations même division, Ateliers sous-ensembles</v>
          </cell>
          <cell r="L431">
            <v>0</v>
          </cell>
          <cell r="P431">
            <v>0</v>
          </cell>
          <cell r="AC431">
            <v>0</v>
          </cell>
        </row>
        <row r="432">
          <cell r="B432">
            <v>1</v>
          </cell>
          <cell r="C432">
            <v>256</v>
          </cell>
          <cell r="D432" t="str">
            <v>2256</v>
          </cell>
          <cell r="E432" t="str">
            <v>Prestations même division, Ateliers de réparation véhicules</v>
          </cell>
          <cell r="L432">
            <v>0</v>
          </cell>
          <cell r="P432">
            <v>0</v>
          </cell>
          <cell r="AC432">
            <v>0</v>
          </cell>
        </row>
        <row r="433">
          <cell r="B433">
            <v>1</v>
          </cell>
          <cell r="C433">
            <v>257</v>
          </cell>
          <cell r="D433" t="str">
            <v>2257</v>
          </cell>
          <cell r="E433" t="str">
            <v>Prestations même division, Ateliers machines-outils, Ajustage et montage</v>
          </cell>
          <cell r="L433">
            <v>0</v>
          </cell>
          <cell r="P433">
            <v>0</v>
          </cell>
          <cell r="AC433">
            <v>0</v>
          </cell>
        </row>
        <row r="434">
          <cell r="B434">
            <v>2</v>
          </cell>
          <cell r="C434">
            <v>211</v>
          </cell>
          <cell r="D434" t="str">
            <v>2258</v>
          </cell>
          <cell r="E434" t="str">
            <v>Prestations même division, Ateliers hydrauliques</v>
          </cell>
          <cell r="F434">
            <v>0</v>
          </cell>
          <cell r="L434">
            <v>0</v>
          </cell>
          <cell r="P434">
            <v>0</v>
          </cell>
          <cell r="AC434">
            <v>0</v>
          </cell>
        </row>
        <row r="435">
          <cell r="B435">
            <v>3</v>
          </cell>
          <cell r="C435">
            <v>211</v>
          </cell>
          <cell r="D435" t="str">
            <v>2259</v>
          </cell>
          <cell r="E435" t="str">
            <v>Prestations même division, Ateliers centraux, contrôle qualité</v>
          </cell>
          <cell r="F435">
            <v>0</v>
          </cell>
          <cell r="L435">
            <v>0</v>
          </cell>
          <cell r="P435">
            <v>0</v>
          </cell>
          <cell r="AC435">
            <v>0</v>
          </cell>
        </row>
        <row r="436">
          <cell r="B436">
            <v>1</v>
          </cell>
          <cell r="C436">
            <v>260</v>
          </cell>
          <cell r="D436" t="str">
            <v>2260</v>
          </cell>
          <cell r="E436" t="str">
            <v>Prestations même division, Surveillance de chantier</v>
          </cell>
          <cell r="L436">
            <v>0</v>
          </cell>
          <cell r="P436">
            <v>0</v>
          </cell>
          <cell r="AC436">
            <v>0</v>
          </cell>
        </row>
        <row r="437">
          <cell r="B437">
            <v>1</v>
          </cell>
          <cell r="C437">
            <v>261</v>
          </cell>
          <cell r="D437" t="str">
            <v>2261</v>
          </cell>
          <cell r="E437" t="str">
            <v>Prestations même division, Equipes de sautage</v>
          </cell>
          <cell r="L437">
            <v>0</v>
          </cell>
          <cell r="P437">
            <v>0</v>
          </cell>
          <cell r="AC437">
            <v>0</v>
          </cell>
        </row>
        <row r="438">
          <cell r="B438">
            <v>1</v>
          </cell>
          <cell r="C438">
            <v>262</v>
          </cell>
          <cell r="D438" t="str">
            <v>2262</v>
          </cell>
          <cell r="E438" t="str">
            <v>Prestations même division de conduite</v>
          </cell>
          <cell r="L438">
            <v>0</v>
          </cell>
          <cell r="P438">
            <v>0</v>
          </cell>
          <cell r="AC438">
            <v>0</v>
          </cell>
        </row>
        <row r="439">
          <cell r="B439">
            <v>1</v>
          </cell>
          <cell r="C439">
            <v>263</v>
          </cell>
          <cell r="D439" t="str">
            <v>2263</v>
          </cell>
          <cell r="E439" t="str">
            <v>Prestations même division, Equipes mouvement de câble</v>
          </cell>
          <cell r="L439">
            <v>0</v>
          </cell>
          <cell r="P439">
            <v>0</v>
          </cell>
          <cell r="AC439">
            <v>0</v>
          </cell>
        </row>
        <row r="440">
          <cell r="B440">
            <v>1</v>
          </cell>
          <cell r="C440">
            <v>270</v>
          </cell>
          <cell r="D440" t="str">
            <v>2270</v>
          </cell>
          <cell r="E440" t="str">
            <v>Prestations même division, Aménagement plate-forme sondeuses</v>
          </cell>
          <cell r="L440">
            <v>0</v>
          </cell>
          <cell r="P440">
            <v>0</v>
          </cell>
          <cell r="AC440">
            <v>0</v>
          </cell>
        </row>
        <row r="441">
          <cell r="B441">
            <v>1</v>
          </cell>
          <cell r="C441">
            <v>271</v>
          </cell>
          <cell r="D441" t="str">
            <v>2271</v>
          </cell>
          <cell r="E441" t="str">
            <v>Prestations même division, Aménagement plate-forme machines&amp;acompagnement</v>
          </cell>
          <cell r="L441">
            <v>0</v>
          </cell>
          <cell r="P441">
            <v>0</v>
          </cell>
          <cell r="AC441">
            <v>0</v>
          </cell>
        </row>
        <row r="442">
          <cell r="B442">
            <v>1</v>
          </cell>
          <cell r="C442">
            <v>272</v>
          </cell>
          <cell r="D442" t="str">
            <v>2272</v>
          </cell>
          <cell r="E442" t="str">
            <v>Prestations même division, Prélèvement par bulls</v>
          </cell>
          <cell r="L442">
            <v>0</v>
          </cell>
          <cell r="P442">
            <v>0</v>
          </cell>
          <cell r="AC442">
            <v>0</v>
          </cell>
        </row>
        <row r="443">
          <cell r="B443">
            <v>1</v>
          </cell>
          <cell r="C443">
            <v>273</v>
          </cell>
          <cell r="D443" t="str">
            <v>2273</v>
          </cell>
          <cell r="E443" t="str">
            <v>Prestations même division, Gerbage</v>
          </cell>
          <cell r="L443">
            <v>0</v>
          </cell>
          <cell r="P443">
            <v>0</v>
          </cell>
          <cell r="AC443">
            <v>0</v>
          </cell>
        </row>
        <row r="444">
          <cell r="B444">
            <v>1</v>
          </cell>
          <cell r="C444">
            <v>274</v>
          </cell>
          <cell r="D444" t="str">
            <v>2274</v>
          </cell>
          <cell r="E444" t="str">
            <v>Prestations même division, Aménagement décharge</v>
          </cell>
          <cell r="L444">
            <v>0</v>
          </cell>
          <cell r="P444">
            <v>0</v>
          </cell>
          <cell r="AC444">
            <v>0</v>
          </cell>
        </row>
        <row r="445">
          <cell r="B445">
            <v>1</v>
          </cell>
          <cell r="C445">
            <v>275</v>
          </cell>
          <cell r="D445" t="str">
            <v>2275</v>
          </cell>
          <cell r="E445" t="str">
            <v>Prestations Aménagement stocks</v>
          </cell>
          <cell r="L445">
            <v>0</v>
          </cell>
          <cell r="P445">
            <v>0</v>
          </cell>
          <cell r="AC445">
            <v>0</v>
          </cell>
        </row>
        <row r="446">
          <cell r="B446">
            <v>1</v>
          </cell>
          <cell r="C446">
            <v>276</v>
          </cell>
          <cell r="D446" t="str">
            <v>2276</v>
          </cell>
          <cell r="E446" t="str">
            <v>Prestations même division, Travaux de piste</v>
          </cell>
          <cell r="L446">
            <v>0</v>
          </cell>
          <cell r="P446">
            <v>0</v>
          </cell>
          <cell r="AC446">
            <v>0</v>
          </cell>
        </row>
        <row r="447">
          <cell r="B447">
            <v>1</v>
          </cell>
          <cell r="C447">
            <v>280</v>
          </cell>
          <cell r="D447" t="str">
            <v>2280</v>
          </cell>
          <cell r="E447" t="str">
            <v>Prestations même division, Prélèvement</v>
          </cell>
          <cell r="L447">
            <v>0</v>
          </cell>
          <cell r="P447">
            <v>0</v>
          </cell>
          <cell r="AC447">
            <v>0</v>
          </cell>
        </row>
        <row r="448">
          <cell r="D448" t="str">
            <v>2290</v>
          </cell>
          <cell r="E448" t="str">
            <v>Prestations même division, Restaurant</v>
          </cell>
          <cell r="F448">
            <v>0</v>
          </cell>
          <cell r="L448">
            <v>0</v>
          </cell>
          <cell r="P448">
            <v>0</v>
          </cell>
          <cell r="AC448">
            <v>0</v>
          </cell>
        </row>
        <row r="449">
          <cell r="B449">
            <v>1</v>
          </cell>
          <cell r="C449">
            <v>300</v>
          </cell>
          <cell r="D449" t="str">
            <v>2300</v>
          </cell>
          <cell r="E449" t="str">
            <v>Prestations autres divisions, Jardinages et pépinières</v>
          </cell>
          <cell r="L449">
            <v>0</v>
          </cell>
          <cell r="P449">
            <v>0</v>
          </cell>
          <cell r="AC449">
            <v>0</v>
          </cell>
        </row>
        <row r="450">
          <cell r="B450">
            <v>1</v>
          </cell>
          <cell r="C450">
            <v>301</v>
          </cell>
          <cell r="D450" t="str">
            <v>2301</v>
          </cell>
          <cell r="E450" t="str">
            <v>Prestations autres divisions, Nettoyage</v>
          </cell>
          <cell r="L450">
            <v>0</v>
          </cell>
          <cell r="P450">
            <v>0</v>
          </cell>
          <cell r="AC450">
            <v>0</v>
          </cell>
        </row>
        <row r="451">
          <cell r="B451">
            <v>1</v>
          </cell>
          <cell r="C451">
            <v>302</v>
          </cell>
          <cell r="D451" t="str">
            <v>2302</v>
          </cell>
          <cell r="E451" t="str">
            <v>Prestations autres divisions, Menuiserie</v>
          </cell>
          <cell r="L451">
            <v>0</v>
          </cell>
          <cell r="P451">
            <v>0</v>
          </cell>
          <cell r="AC451">
            <v>0</v>
          </cell>
        </row>
        <row r="452">
          <cell r="B452">
            <v>1</v>
          </cell>
          <cell r="C452">
            <v>303</v>
          </cell>
          <cell r="D452" t="str">
            <v>2303</v>
          </cell>
          <cell r="E452" t="str">
            <v>Prestations autres divisions, Peinture et vitrerie</v>
          </cell>
          <cell r="L452">
            <v>0</v>
          </cell>
          <cell r="P452">
            <v>0</v>
          </cell>
          <cell r="AC452">
            <v>0</v>
          </cell>
        </row>
        <row r="453">
          <cell r="B453">
            <v>1</v>
          </cell>
          <cell r="C453">
            <v>304</v>
          </cell>
          <cell r="D453" t="str">
            <v>2304</v>
          </cell>
          <cell r="E453" t="str">
            <v>Prestations autres divisions, Plomberie</v>
          </cell>
          <cell r="L453">
            <v>0</v>
          </cell>
          <cell r="P453">
            <v>0</v>
          </cell>
          <cell r="AC453">
            <v>0</v>
          </cell>
        </row>
        <row r="454">
          <cell r="B454">
            <v>1</v>
          </cell>
          <cell r="C454">
            <v>305</v>
          </cell>
          <cell r="D454" t="str">
            <v>2305</v>
          </cell>
          <cell r="E454" t="str">
            <v>Prestations autres divisions, Froid et climatisation</v>
          </cell>
          <cell r="L454">
            <v>0</v>
          </cell>
          <cell r="P454">
            <v>0</v>
          </cell>
          <cell r="AC454">
            <v>0</v>
          </cell>
        </row>
        <row r="455">
          <cell r="B455">
            <v>1</v>
          </cell>
          <cell r="C455">
            <v>307</v>
          </cell>
          <cell r="D455" t="str">
            <v>2307</v>
          </cell>
          <cell r="E455" t="str">
            <v>Prestations autres divisions, Agencement mobilier</v>
          </cell>
          <cell r="L455">
            <v>0</v>
          </cell>
          <cell r="P455">
            <v>0</v>
          </cell>
          <cell r="AC455">
            <v>0</v>
          </cell>
        </row>
        <row r="456">
          <cell r="B456">
            <v>1</v>
          </cell>
          <cell r="C456">
            <v>310</v>
          </cell>
          <cell r="D456" t="str">
            <v>2310</v>
          </cell>
          <cell r="E456" t="str">
            <v>Prestations autres divisions, Ateliers électroniques</v>
          </cell>
          <cell r="L456">
            <v>0</v>
          </cell>
          <cell r="P456">
            <v>0</v>
          </cell>
          <cell r="AC456">
            <v>0</v>
          </cell>
        </row>
        <row r="457">
          <cell r="B457">
            <v>1</v>
          </cell>
          <cell r="C457">
            <v>311</v>
          </cell>
          <cell r="D457" t="str">
            <v>2311</v>
          </cell>
          <cell r="E457" t="str">
            <v>Prestations autres divisions, Ateliers mécaniques</v>
          </cell>
          <cell r="L457">
            <v>0</v>
          </cell>
          <cell r="P457">
            <v>0</v>
          </cell>
          <cell r="AC457">
            <v>0</v>
          </cell>
        </row>
        <row r="458">
          <cell r="B458">
            <v>1</v>
          </cell>
          <cell r="C458">
            <v>312</v>
          </cell>
          <cell r="D458" t="str">
            <v>2312</v>
          </cell>
          <cell r="E458" t="str">
            <v>Prestations autres divisions, Ateliers éléctriques</v>
          </cell>
          <cell r="L458">
            <v>0</v>
          </cell>
          <cell r="P458">
            <v>0</v>
          </cell>
          <cell r="AC458">
            <v>0</v>
          </cell>
        </row>
        <row r="459">
          <cell r="B459">
            <v>1</v>
          </cell>
          <cell r="C459">
            <v>313</v>
          </cell>
          <cell r="D459" t="str">
            <v>2313</v>
          </cell>
          <cell r="E459" t="str">
            <v>Prestations autres divisions, Ateliers draglines</v>
          </cell>
          <cell r="L459">
            <v>0</v>
          </cell>
          <cell r="P459">
            <v>0</v>
          </cell>
          <cell r="AC459">
            <v>0</v>
          </cell>
        </row>
        <row r="460">
          <cell r="B460">
            <v>1</v>
          </cell>
          <cell r="C460">
            <v>314</v>
          </cell>
          <cell r="D460" t="str">
            <v>2314</v>
          </cell>
          <cell r="E460" t="str">
            <v>Prestations autres divisions, Ateliers des eaux</v>
          </cell>
          <cell r="L460">
            <v>0</v>
          </cell>
          <cell r="P460">
            <v>0</v>
          </cell>
          <cell r="AC460">
            <v>0</v>
          </cell>
        </row>
        <row r="461">
          <cell r="B461">
            <v>1</v>
          </cell>
          <cell r="C461">
            <v>315</v>
          </cell>
          <cell r="D461" t="str">
            <v>2315</v>
          </cell>
          <cell r="E461" t="str">
            <v>Prestations autres divisions, Ateliers génie civil</v>
          </cell>
          <cell r="L461">
            <v>0</v>
          </cell>
          <cell r="P461">
            <v>0</v>
          </cell>
          <cell r="AC461">
            <v>0</v>
          </cell>
        </row>
        <row r="462">
          <cell r="B462">
            <v>1</v>
          </cell>
          <cell r="C462">
            <v>316</v>
          </cell>
          <cell r="D462" t="str">
            <v>2316</v>
          </cell>
          <cell r="E462" t="str">
            <v>Prestations autres divisions, Géologie</v>
          </cell>
          <cell r="L462">
            <v>0</v>
          </cell>
          <cell r="P462">
            <v>0</v>
          </cell>
          <cell r="AC462">
            <v>0</v>
          </cell>
        </row>
        <row r="463">
          <cell r="B463">
            <v>1</v>
          </cell>
          <cell r="C463">
            <v>317</v>
          </cell>
          <cell r="D463" t="str">
            <v>2317</v>
          </cell>
          <cell r="E463" t="str">
            <v>Prestations autres divisions, Ateliers pneumatique</v>
          </cell>
          <cell r="L463">
            <v>0</v>
          </cell>
          <cell r="P463">
            <v>0</v>
          </cell>
          <cell r="AC463">
            <v>0</v>
          </cell>
        </row>
        <row r="464">
          <cell r="B464">
            <v>1</v>
          </cell>
          <cell r="C464">
            <v>318</v>
          </cell>
          <cell r="D464" t="str">
            <v>2318</v>
          </cell>
          <cell r="E464" t="str">
            <v>Prestations autres divisions, Ateliers chaudronnerie lourde</v>
          </cell>
          <cell r="L464">
            <v>0</v>
          </cell>
          <cell r="P464">
            <v>0</v>
          </cell>
          <cell r="AC464">
            <v>0</v>
          </cell>
        </row>
        <row r="465">
          <cell r="B465">
            <v>1</v>
          </cell>
          <cell r="C465">
            <v>319</v>
          </cell>
          <cell r="D465" t="str">
            <v>2319</v>
          </cell>
          <cell r="E465" t="str">
            <v>Prestations autres divisions, Ateliers des engins divers</v>
          </cell>
          <cell r="L465">
            <v>0</v>
          </cell>
          <cell r="P465">
            <v>0</v>
          </cell>
          <cell r="AC465">
            <v>0</v>
          </cell>
        </row>
        <row r="466">
          <cell r="B466">
            <v>1</v>
          </cell>
          <cell r="C466">
            <v>330</v>
          </cell>
          <cell r="D466" t="str">
            <v>2330</v>
          </cell>
          <cell r="E466" t="str">
            <v>Prestations autres divisions, Draglines et pelles</v>
          </cell>
          <cell r="L466">
            <v>0</v>
          </cell>
          <cell r="P466">
            <v>0</v>
          </cell>
          <cell r="AC466">
            <v>0</v>
          </cell>
        </row>
        <row r="467">
          <cell r="B467">
            <v>1</v>
          </cell>
          <cell r="C467">
            <v>331</v>
          </cell>
          <cell r="D467" t="str">
            <v>2331</v>
          </cell>
          <cell r="E467" t="str">
            <v>Prestations autres divisions, Camions de chantier</v>
          </cell>
          <cell r="L467">
            <v>0</v>
          </cell>
          <cell r="P467">
            <v>0</v>
          </cell>
          <cell r="AC467">
            <v>0</v>
          </cell>
        </row>
        <row r="468">
          <cell r="B468">
            <v>1</v>
          </cell>
          <cell r="C468">
            <v>332</v>
          </cell>
          <cell r="D468" t="str">
            <v>2332</v>
          </cell>
          <cell r="E468" t="str">
            <v>Prestations autres divisions, Bulldzers</v>
          </cell>
          <cell r="L468">
            <v>0</v>
          </cell>
          <cell r="P468">
            <v>0</v>
          </cell>
          <cell r="AC468">
            <v>0</v>
          </cell>
        </row>
        <row r="469">
          <cell r="B469">
            <v>1</v>
          </cell>
          <cell r="C469">
            <v>333</v>
          </cell>
          <cell r="D469" t="str">
            <v>2333</v>
          </cell>
          <cell r="E469" t="str">
            <v>Prestations autres divisions, Niveleuses</v>
          </cell>
          <cell r="L469">
            <v>0</v>
          </cell>
          <cell r="P469">
            <v>0</v>
          </cell>
          <cell r="AC469">
            <v>0</v>
          </cell>
        </row>
        <row r="470">
          <cell r="B470">
            <v>1</v>
          </cell>
          <cell r="C470">
            <v>334</v>
          </cell>
          <cell r="D470" t="str">
            <v>2334</v>
          </cell>
          <cell r="E470" t="str">
            <v>Prestations autres divisions, Chargeuses</v>
          </cell>
          <cell r="L470">
            <v>0</v>
          </cell>
          <cell r="P470">
            <v>0</v>
          </cell>
          <cell r="AC470">
            <v>0</v>
          </cell>
        </row>
        <row r="471">
          <cell r="B471">
            <v>1</v>
          </cell>
          <cell r="C471">
            <v>335</v>
          </cell>
          <cell r="D471" t="str">
            <v>2335</v>
          </cell>
          <cell r="E471" t="str">
            <v>Prestations autres divisions, Sondeuses</v>
          </cell>
          <cell r="L471">
            <v>0</v>
          </cell>
          <cell r="P471">
            <v>0</v>
          </cell>
          <cell r="AC471">
            <v>0</v>
          </cell>
        </row>
        <row r="472">
          <cell r="B472">
            <v>1</v>
          </cell>
          <cell r="C472">
            <v>336</v>
          </cell>
          <cell r="D472" t="str">
            <v>2336</v>
          </cell>
          <cell r="E472" t="str">
            <v>Prestations autres divisions, Moto scrapers</v>
          </cell>
          <cell r="L472">
            <v>0</v>
          </cell>
          <cell r="P472">
            <v>0</v>
          </cell>
          <cell r="AC472">
            <v>0</v>
          </cell>
        </row>
        <row r="473">
          <cell r="B473">
            <v>1</v>
          </cell>
          <cell r="C473">
            <v>337</v>
          </cell>
          <cell r="D473" t="str">
            <v>2337</v>
          </cell>
          <cell r="E473" t="str">
            <v>Prestations autres divisions, Garage véhicules</v>
          </cell>
          <cell r="L473">
            <v>0</v>
          </cell>
          <cell r="P473">
            <v>0</v>
          </cell>
          <cell r="AC473">
            <v>0</v>
          </cell>
        </row>
        <row r="474">
          <cell r="B474">
            <v>1</v>
          </cell>
          <cell r="C474">
            <v>339</v>
          </cell>
          <cell r="D474" t="str">
            <v>2339</v>
          </cell>
          <cell r="E474" t="str">
            <v>Prestations autres divisions, Locations véhicules et engins divers</v>
          </cell>
          <cell r="L474">
            <v>0</v>
          </cell>
          <cell r="P474">
            <v>0</v>
          </cell>
          <cell r="AC474">
            <v>0</v>
          </cell>
        </row>
        <row r="475">
          <cell r="B475">
            <v>1</v>
          </cell>
          <cell r="C475">
            <v>340</v>
          </cell>
          <cell r="D475" t="str">
            <v>2340</v>
          </cell>
          <cell r="E475" t="str">
            <v>Prestations autres divisions, Matériels et administration des réseaux</v>
          </cell>
          <cell r="L475">
            <v>0</v>
          </cell>
          <cell r="P475">
            <v>0</v>
          </cell>
          <cell r="AC475">
            <v>0</v>
          </cell>
        </row>
        <row r="476">
          <cell r="B476">
            <v>1</v>
          </cell>
          <cell r="C476">
            <v>341</v>
          </cell>
          <cell r="D476" t="str">
            <v>2341</v>
          </cell>
          <cell r="E476" t="str">
            <v>Prestations autres divisions, Station service</v>
          </cell>
          <cell r="L476">
            <v>0</v>
          </cell>
          <cell r="P476">
            <v>0</v>
          </cell>
          <cell r="AC476">
            <v>0</v>
          </cell>
        </row>
        <row r="477">
          <cell r="B477">
            <v>1</v>
          </cell>
          <cell r="C477">
            <v>342</v>
          </cell>
          <cell r="D477" t="str">
            <v>2342</v>
          </cell>
          <cell r="E477" t="str">
            <v>Prestations autres divisions, Laboratoires</v>
          </cell>
          <cell r="L477">
            <v>0</v>
          </cell>
          <cell r="P477">
            <v>0</v>
          </cell>
          <cell r="AC477">
            <v>0</v>
          </cell>
        </row>
        <row r="478">
          <cell r="B478">
            <v>1</v>
          </cell>
          <cell r="C478">
            <v>343</v>
          </cell>
          <cell r="D478" t="str">
            <v>2343</v>
          </cell>
          <cell r="E478" t="str">
            <v>Prestations autres divisions, Imprimerie et micro-film</v>
          </cell>
          <cell r="L478">
            <v>0</v>
          </cell>
          <cell r="P478">
            <v>0</v>
          </cell>
          <cell r="AC478">
            <v>0</v>
          </cell>
        </row>
        <row r="479">
          <cell r="B479">
            <v>1</v>
          </cell>
          <cell r="C479">
            <v>344</v>
          </cell>
          <cell r="D479" t="str">
            <v>2344</v>
          </cell>
          <cell r="E479" t="str">
            <v>Prestations autres divisions, Production informatique service ordinateur</v>
          </cell>
          <cell r="L479">
            <v>0</v>
          </cell>
          <cell r="P479">
            <v>0</v>
          </cell>
          <cell r="AC479">
            <v>0</v>
          </cell>
        </row>
        <row r="480">
          <cell r="B480">
            <v>1</v>
          </cell>
          <cell r="C480">
            <v>345</v>
          </cell>
          <cell r="D480" t="str">
            <v>2345</v>
          </cell>
          <cell r="E480" t="str">
            <v>Prestations autres divisions, Télécommunications</v>
          </cell>
          <cell r="L480">
            <v>0</v>
          </cell>
          <cell r="P480">
            <v>0</v>
          </cell>
          <cell r="AC480">
            <v>0</v>
          </cell>
        </row>
        <row r="481">
          <cell r="B481">
            <v>1</v>
          </cell>
          <cell r="C481">
            <v>347</v>
          </cell>
          <cell r="D481" t="str">
            <v>2347</v>
          </cell>
          <cell r="E481" t="str">
            <v>Prestations autres divisions, Bureautiques et maintenance</v>
          </cell>
          <cell r="L481">
            <v>0</v>
          </cell>
          <cell r="P481">
            <v>0</v>
          </cell>
          <cell r="AC481">
            <v>0</v>
          </cell>
        </row>
        <row r="482">
          <cell r="B482">
            <v>1</v>
          </cell>
          <cell r="C482">
            <v>348</v>
          </cell>
          <cell r="D482" t="str">
            <v>2348</v>
          </cell>
          <cell r="E482" t="str">
            <v>Prestations autres divisions, études diverses et développements informatiques</v>
          </cell>
          <cell r="L482">
            <v>0</v>
          </cell>
          <cell r="P482">
            <v>0</v>
          </cell>
          <cell r="AC482">
            <v>0</v>
          </cell>
        </row>
        <row r="483">
          <cell r="B483">
            <v>1</v>
          </cell>
          <cell r="C483">
            <v>349</v>
          </cell>
          <cell r="D483" t="str">
            <v>2349</v>
          </cell>
          <cell r="E483" t="str">
            <v>Prestations autres divisions diverses</v>
          </cell>
          <cell r="L483">
            <v>0</v>
          </cell>
          <cell r="P483">
            <v>0</v>
          </cell>
          <cell r="AC483">
            <v>0</v>
          </cell>
        </row>
        <row r="484">
          <cell r="B484">
            <v>1</v>
          </cell>
          <cell r="C484">
            <v>350</v>
          </cell>
          <cell r="D484" t="str">
            <v>2350</v>
          </cell>
          <cell r="E484" t="str">
            <v>Prestations autres divisions, Ateliers vulcanisation</v>
          </cell>
          <cell r="L484">
            <v>0</v>
          </cell>
          <cell r="P484">
            <v>0</v>
          </cell>
          <cell r="AC484">
            <v>0</v>
          </cell>
        </row>
        <row r="485">
          <cell r="B485">
            <v>1</v>
          </cell>
          <cell r="C485">
            <v>351</v>
          </cell>
          <cell r="D485" t="str">
            <v>2351</v>
          </cell>
          <cell r="E485" t="str">
            <v>Prestations autres divisions, Ateliers de régulation</v>
          </cell>
          <cell r="L485">
            <v>0</v>
          </cell>
          <cell r="P485">
            <v>0</v>
          </cell>
          <cell r="AC485">
            <v>0</v>
          </cell>
        </row>
        <row r="486">
          <cell r="B486">
            <v>1</v>
          </cell>
          <cell r="C486">
            <v>352</v>
          </cell>
          <cell r="D486" t="str">
            <v>2352</v>
          </cell>
          <cell r="E486" t="str">
            <v>Prestations autres divisions, Atelier électrique draglines</v>
          </cell>
          <cell r="L486">
            <v>0</v>
          </cell>
          <cell r="P486">
            <v>0</v>
          </cell>
          <cell r="AC486">
            <v>0</v>
          </cell>
        </row>
        <row r="487">
          <cell r="B487">
            <v>1</v>
          </cell>
          <cell r="C487">
            <v>353</v>
          </cell>
          <cell r="D487" t="str">
            <v>2353</v>
          </cell>
          <cell r="E487" t="str">
            <v>Prestations autres divisions, Atelier chaudronnerie entretien</v>
          </cell>
          <cell r="L487">
            <v>0</v>
          </cell>
          <cell r="P487">
            <v>0</v>
          </cell>
          <cell r="AC487">
            <v>0</v>
          </cell>
        </row>
        <row r="488">
          <cell r="B488">
            <v>1</v>
          </cell>
          <cell r="C488">
            <v>354</v>
          </cell>
          <cell r="D488" t="str">
            <v>2354</v>
          </cell>
          <cell r="E488" t="str">
            <v>Prestations autres divisions, Atelier électrique installations</v>
          </cell>
          <cell r="L488">
            <v>0</v>
          </cell>
          <cell r="P488">
            <v>0</v>
          </cell>
          <cell r="AC488">
            <v>0</v>
          </cell>
        </row>
        <row r="489">
          <cell r="B489">
            <v>1</v>
          </cell>
          <cell r="C489">
            <v>355</v>
          </cell>
          <cell r="D489" t="str">
            <v>2355</v>
          </cell>
          <cell r="E489" t="str">
            <v>Prestations autres divisions, Atelier sous-ensembles</v>
          </cell>
          <cell r="L489">
            <v>0</v>
          </cell>
          <cell r="P489">
            <v>0</v>
          </cell>
          <cell r="AC489">
            <v>0</v>
          </cell>
        </row>
        <row r="490">
          <cell r="B490">
            <v>1</v>
          </cell>
          <cell r="C490">
            <v>356</v>
          </cell>
          <cell r="D490" t="str">
            <v>2356</v>
          </cell>
          <cell r="E490" t="str">
            <v>Prestations autres divisions, Atelier de réparation véhicules</v>
          </cell>
          <cell r="L490">
            <v>0</v>
          </cell>
          <cell r="P490">
            <v>0</v>
          </cell>
          <cell r="AC490">
            <v>0</v>
          </cell>
        </row>
        <row r="491">
          <cell r="B491">
            <v>1</v>
          </cell>
          <cell r="C491">
            <v>357</v>
          </cell>
          <cell r="D491" t="str">
            <v>2357</v>
          </cell>
          <cell r="E491" t="str">
            <v>Prestations autres divisions, Atelier machines-outils, Ajustage et montage</v>
          </cell>
          <cell r="L491">
            <v>0</v>
          </cell>
          <cell r="P491">
            <v>0</v>
          </cell>
          <cell r="AC491">
            <v>0</v>
          </cell>
        </row>
        <row r="492">
          <cell r="B492">
            <v>1</v>
          </cell>
          <cell r="C492">
            <v>358</v>
          </cell>
          <cell r="D492" t="str">
            <v>2358</v>
          </cell>
          <cell r="E492" t="str">
            <v>Prestations autres divisions, Ateliers hydrauliques</v>
          </cell>
          <cell r="L492">
            <v>0</v>
          </cell>
          <cell r="P492">
            <v>0</v>
          </cell>
          <cell r="AC492">
            <v>0</v>
          </cell>
        </row>
        <row r="493">
          <cell r="B493">
            <v>1</v>
          </cell>
          <cell r="C493">
            <v>359</v>
          </cell>
          <cell r="D493" t="str">
            <v>2359</v>
          </cell>
          <cell r="E493" t="str">
            <v>Prestations autres divisions, Ateliers centraux, contrôle qualité</v>
          </cell>
          <cell r="L493">
            <v>0</v>
          </cell>
          <cell r="P493">
            <v>0</v>
          </cell>
          <cell r="AC493">
            <v>0</v>
          </cell>
        </row>
        <row r="494">
          <cell r="B494">
            <v>1</v>
          </cell>
          <cell r="C494">
            <v>360</v>
          </cell>
          <cell r="D494" t="str">
            <v>2360</v>
          </cell>
          <cell r="E494" t="str">
            <v>Prestations autres divisions, Surveillance de chantier</v>
          </cell>
          <cell r="L494">
            <v>0</v>
          </cell>
          <cell r="P494">
            <v>0</v>
          </cell>
          <cell r="AC494">
            <v>0</v>
          </cell>
        </row>
        <row r="495">
          <cell r="B495">
            <v>1</v>
          </cell>
          <cell r="C495">
            <v>361</v>
          </cell>
          <cell r="D495" t="str">
            <v>2361</v>
          </cell>
          <cell r="E495" t="str">
            <v>Prestations autres divisions, Equipe de sautage</v>
          </cell>
          <cell r="L495">
            <v>0</v>
          </cell>
          <cell r="P495">
            <v>0</v>
          </cell>
          <cell r="AC495">
            <v>0</v>
          </cell>
        </row>
        <row r="496">
          <cell r="B496">
            <v>1</v>
          </cell>
          <cell r="C496">
            <v>362</v>
          </cell>
          <cell r="D496" t="str">
            <v>2362</v>
          </cell>
          <cell r="E496" t="str">
            <v>Prestations autres divisions de conduite</v>
          </cell>
          <cell r="L496">
            <v>0</v>
          </cell>
          <cell r="P496">
            <v>0</v>
          </cell>
          <cell r="AC496">
            <v>0</v>
          </cell>
        </row>
        <row r="497">
          <cell r="B497">
            <v>1</v>
          </cell>
          <cell r="C497">
            <v>370</v>
          </cell>
          <cell r="D497" t="str">
            <v>2370</v>
          </cell>
          <cell r="E497" t="str">
            <v>Prestations autres divisions, Aménagement plate-forme sondeuses</v>
          </cell>
          <cell r="L497">
            <v>0</v>
          </cell>
          <cell r="P497">
            <v>0</v>
          </cell>
          <cell r="AC497">
            <v>0</v>
          </cell>
        </row>
        <row r="498">
          <cell r="B498">
            <v>1</v>
          </cell>
          <cell r="C498">
            <v>371</v>
          </cell>
          <cell r="D498" t="str">
            <v>2371</v>
          </cell>
          <cell r="E498" t="str">
            <v>Prestations autres divisions, Aménagement plate-forme machines &amp; accompagnement</v>
          </cell>
          <cell r="L498">
            <v>0</v>
          </cell>
          <cell r="P498">
            <v>0</v>
          </cell>
          <cell r="AC498">
            <v>0</v>
          </cell>
        </row>
        <row r="499">
          <cell r="B499">
            <v>1</v>
          </cell>
          <cell r="C499">
            <v>372</v>
          </cell>
          <cell r="D499" t="str">
            <v>2372</v>
          </cell>
          <cell r="E499" t="str">
            <v>Prestations autres divisions, Prélèvement par bulls</v>
          </cell>
          <cell r="L499">
            <v>0</v>
          </cell>
          <cell r="P499">
            <v>0</v>
          </cell>
          <cell r="AC499">
            <v>0</v>
          </cell>
        </row>
        <row r="500">
          <cell r="B500">
            <v>1</v>
          </cell>
          <cell r="C500">
            <v>373</v>
          </cell>
          <cell r="D500" t="str">
            <v>2373</v>
          </cell>
          <cell r="E500" t="str">
            <v>Prestations autres divisions, Gerbage</v>
          </cell>
          <cell r="L500">
            <v>0</v>
          </cell>
          <cell r="P500">
            <v>0</v>
          </cell>
          <cell r="AC500">
            <v>0</v>
          </cell>
        </row>
        <row r="501">
          <cell r="B501">
            <v>1</v>
          </cell>
          <cell r="C501">
            <v>374</v>
          </cell>
          <cell r="D501" t="str">
            <v>2374</v>
          </cell>
          <cell r="E501" t="str">
            <v>Prestations autres divisions, Aménagement décharge</v>
          </cell>
          <cell r="L501">
            <v>0</v>
          </cell>
          <cell r="P501">
            <v>0</v>
          </cell>
          <cell r="AC501">
            <v>0</v>
          </cell>
        </row>
        <row r="502">
          <cell r="B502">
            <v>1</v>
          </cell>
          <cell r="C502">
            <v>375</v>
          </cell>
          <cell r="D502" t="str">
            <v>2375</v>
          </cell>
          <cell r="E502" t="str">
            <v>Prestations autres divisions, Aménagement stocks</v>
          </cell>
          <cell r="L502">
            <v>0</v>
          </cell>
          <cell r="P502">
            <v>0</v>
          </cell>
          <cell r="AC502">
            <v>0</v>
          </cell>
        </row>
        <row r="503">
          <cell r="B503">
            <v>1</v>
          </cell>
          <cell r="C503">
            <v>376</v>
          </cell>
          <cell r="D503" t="str">
            <v>2376</v>
          </cell>
          <cell r="E503" t="str">
            <v>Prestations autres divisions, Travaux de piste</v>
          </cell>
          <cell r="L503">
            <v>0</v>
          </cell>
          <cell r="P503">
            <v>0</v>
          </cell>
          <cell r="AC503">
            <v>0</v>
          </cell>
        </row>
        <row r="504">
          <cell r="B504">
            <v>1</v>
          </cell>
          <cell r="C504">
            <v>380</v>
          </cell>
          <cell r="D504" t="str">
            <v>2380</v>
          </cell>
          <cell r="E504" t="str">
            <v>Prestations autres divisions, Prélèvement</v>
          </cell>
          <cell r="L504">
            <v>0</v>
          </cell>
          <cell r="P504">
            <v>0</v>
          </cell>
          <cell r="AC504">
            <v>0</v>
          </cell>
        </row>
        <row r="505">
          <cell r="B505">
            <v>1</v>
          </cell>
          <cell r="C505">
            <v>390</v>
          </cell>
          <cell r="D505" t="str">
            <v>2390</v>
          </cell>
          <cell r="E505" t="str">
            <v>Prestations autres divisions, Restaurant</v>
          </cell>
          <cell r="L505">
            <v>0</v>
          </cell>
          <cell r="P505">
            <v>0</v>
          </cell>
          <cell r="AC505">
            <v>0</v>
          </cell>
        </row>
        <row r="506">
          <cell r="D506" t="str">
            <v>2600</v>
          </cell>
          <cell r="E506" t="str">
            <v>Solde des SA d'exécution</v>
          </cell>
          <cell r="F506">
            <v>0</v>
          </cell>
          <cell r="L506">
            <v>0</v>
          </cell>
          <cell r="P506">
            <v>0</v>
          </cell>
          <cell r="AC506">
            <v>0</v>
          </cell>
        </row>
        <row r="507">
          <cell r="D507" t="str">
            <v>3170</v>
          </cell>
          <cell r="E507" t="str">
            <v>Cessions hors prix de revient, Soufre solide</v>
          </cell>
          <cell r="F507">
            <v>0</v>
          </cell>
          <cell r="L507">
            <v>0</v>
          </cell>
          <cell r="P507">
            <v>0</v>
          </cell>
          <cell r="AC507">
            <v>0</v>
          </cell>
        </row>
        <row r="508">
          <cell r="D508" t="str">
            <v>3171</v>
          </cell>
          <cell r="E508" t="str">
            <v>Cessions hors prix de revient, Soufre liquide</v>
          </cell>
          <cell r="F508">
            <v>0</v>
          </cell>
          <cell r="L508">
            <v>0</v>
          </cell>
          <cell r="P508">
            <v>0</v>
          </cell>
          <cell r="AC508">
            <v>0</v>
          </cell>
        </row>
        <row r="509">
          <cell r="D509" t="str">
            <v>3174</v>
          </cell>
          <cell r="E509" t="str">
            <v>Cessions hors prix de revient, Acide sulfurique</v>
          </cell>
          <cell r="F509">
            <v>0</v>
          </cell>
          <cell r="L509">
            <v>0</v>
          </cell>
          <cell r="P509">
            <v>0</v>
          </cell>
          <cell r="AC509">
            <v>0</v>
          </cell>
        </row>
        <row r="510">
          <cell r="D510" t="str">
            <v>3220</v>
          </cell>
          <cell r="E510" t="str">
            <v>Cessions hors prix de revient, Matières auxiliaires</v>
          </cell>
          <cell r="F510">
            <v>0</v>
          </cell>
          <cell r="L510">
            <v>0</v>
          </cell>
          <cell r="P510">
            <v>0</v>
          </cell>
          <cell r="AC510">
            <v>0</v>
          </cell>
        </row>
        <row r="511">
          <cell r="D511" t="str">
            <v>3231</v>
          </cell>
          <cell r="E511" t="str">
            <v>Cessions hors prix de revient, Mazout de chauffe</v>
          </cell>
          <cell r="F511">
            <v>0</v>
          </cell>
          <cell r="L511">
            <v>0</v>
          </cell>
          <cell r="P511">
            <v>0</v>
          </cell>
          <cell r="AC511">
            <v>0</v>
          </cell>
        </row>
        <row r="512">
          <cell r="D512" t="str">
            <v>3232</v>
          </cell>
          <cell r="E512" t="str">
            <v>Cessions hors prix de revient, Essence légère</v>
          </cell>
          <cell r="F512">
            <v>0</v>
          </cell>
          <cell r="L512">
            <v>0</v>
          </cell>
          <cell r="P512">
            <v>0</v>
          </cell>
          <cell r="AC512">
            <v>0</v>
          </cell>
        </row>
        <row r="513">
          <cell r="D513" t="str">
            <v>3233</v>
          </cell>
          <cell r="E513" t="str">
            <v>Cessions hors prix de revient, Gasoil</v>
          </cell>
          <cell r="F513">
            <v>0</v>
          </cell>
          <cell r="L513">
            <v>0</v>
          </cell>
          <cell r="P513">
            <v>0</v>
          </cell>
          <cell r="AC513">
            <v>0</v>
          </cell>
        </row>
        <row r="514">
          <cell r="D514" t="str">
            <v>3234</v>
          </cell>
          <cell r="E514" t="str">
            <v>Cessions hors prix de revient, Lubrifiants</v>
          </cell>
          <cell r="F514">
            <v>0</v>
          </cell>
          <cell r="L514">
            <v>0</v>
          </cell>
          <cell r="P514">
            <v>0</v>
          </cell>
          <cell r="AC514">
            <v>0</v>
          </cell>
        </row>
        <row r="515">
          <cell r="D515" t="str">
            <v>3236</v>
          </cell>
          <cell r="E515" t="str">
            <v>Cessions hors prix de revient, Coke de pétrole</v>
          </cell>
          <cell r="F515">
            <v>0</v>
          </cell>
          <cell r="L515">
            <v>0</v>
          </cell>
          <cell r="P515">
            <v>0</v>
          </cell>
          <cell r="AC515">
            <v>0</v>
          </cell>
        </row>
        <row r="516">
          <cell r="D516" t="str">
            <v>3241</v>
          </cell>
          <cell r="E516" t="str">
            <v>Cessions hors prix de revient, Produits d'entretien</v>
          </cell>
          <cell r="F516">
            <v>0</v>
          </cell>
          <cell r="L516">
            <v>0</v>
          </cell>
          <cell r="P516">
            <v>0</v>
          </cell>
          <cell r="AC516">
            <v>0</v>
          </cell>
        </row>
        <row r="517">
          <cell r="D517" t="str">
            <v>3242</v>
          </cell>
          <cell r="E517" t="str">
            <v>Cessions hors prix de revient, Produits de laboratoire</v>
          </cell>
          <cell r="F517">
            <v>0</v>
          </cell>
          <cell r="L517">
            <v>0</v>
          </cell>
          <cell r="P517">
            <v>0</v>
          </cell>
          <cell r="AC517">
            <v>0</v>
          </cell>
        </row>
        <row r="518">
          <cell r="D518" t="str">
            <v>3243</v>
          </cell>
          <cell r="E518" t="str">
            <v>Cessions hors prix de revient, Aciers et gaz industriels</v>
          </cell>
          <cell r="F518">
            <v>0</v>
          </cell>
          <cell r="L518">
            <v>0</v>
          </cell>
          <cell r="P518">
            <v>0</v>
          </cell>
          <cell r="AC518">
            <v>0</v>
          </cell>
        </row>
        <row r="519">
          <cell r="D519" t="str">
            <v>3244</v>
          </cell>
          <cell r="E519" t="str">
            <v>Cessions hors prix de revient, Habillement et produits de sécurité</v>
          </cell>
          <cell r="F519">
            <v>0</v>
          </cell>
          <cell r="L519">
            <v>0</v>
          </cell>
          <cell r="P519">
            <v>0</v>
          </cell>
          <cell r="AC519">
            <v>0</v>
          </cell>
        </row>
        <row r="520">
          <cell r="D520" t="str">
            <v>3245</v>
          </cell>
          <cell r="E520" t="str">
            <v>Cessions hors prix de revient, Matériaux et produits de construction</v>
          </cell>
          <cell r="F520">
            <v>0</v>
          </cell>
          <cell r="L520">
            <v>0</v>
          </cell>
          <cell r="P520">
            <v>0</v>
          </cell>
          <cell r="AC520">
            <v>0</v>
          </cell>
        </row>
        <row r="521">
          <cell r="D521" t="str">
            <v>3248</v>
          </cell>
          <cell r="E521" t="str">
            <v>Cessions hors prix de revient, Matières et fournitures consommables diverses</v>
          </cell>
          <cell r="F521">
            <v>0</v>
          </cell>
          <cell r="L521">
            <v>0</v>
          </cell>
          <cell r="P521">
            <v>0</v>
          </cell>
          <cell r="AC521">
            <v>0</v>
          </cell>
        </row>
        <row r="522">
          <cell r="D522" t="str">
            <v>3251</v>
          </cell>
          <cell r="E522" t="str">
            <v>Cessions hors prix de revient, Courroies transporteuses</v>
          </cell>
          <cell r="F522">
            <v>0</v>
          </cell>
          <cell r="L522">
            <v>0</v>
          </cell>
          <cell r="P522">
            <v>0</v>
          </cell>
          <cell r="AC522">
            <v>0</v>
          </cell>
        </row>
        <row r="523">
          <cell r="D523" t="str">
            <v>3253</v>
          </cell>
          <cell r="E523" t="str">
            <v>Cessions hors prix de revient, Rouleaux de convoyeurs</v>
          </cell>
          <cell r="F523">
            <v>0</v>
          </cell>
          <cell r="L523">
            <v>0</v>
          </cell>
          <cell r="P523">
            <v>0</v>
          </cell>
          <cell r="AC523">
            <v>0</v>
          </cell>
        </row>
        <row r="524">
          <cell r="D524" t="str">
            <v>3254</v>
          </cell>
          <cell r="E524" t="str">
            <v>Cessions hors prix de revient, Lames d'usure de bulls et niveleuses</v>
          </cell>
          <cell r="F524">
            <v>0</v>
          </cell>
          <cell r="L524">
            <v>0</v>
          </cell>
          <cell r="P524">
            <v>0</v>
          </cell>
          <cell r="AC524">
            <v>0</v>
          </cell>
        </row>
        <row r="525">
          <cell r="D525" t="str">
            <v>3255</v>
          </cell>
          <cell r="E525" t="str">
            <v>Cessions hors prix de revient, Tiges, drill - collar</v>
          </cell>
          <cell r="F525">
            <v>0</v>
          </cell>
          <cell r="L525">
            <v>0</v>
          </cell>
          <cell r="P525">
            <v>0</v>
          </cell>
          <cell r="AC525">
            <v>0</v>
          </cell>
        </row>
        <row r="526">
          <cell r="D526" t="str">
            <v>3256</v>
          </cell>
          <cell r="E526" t="str">
            <v>Cessions hors prix de revient, Tricones de sondeuses</v>
          </cell>
          <cell r="F526">
            <v>0</v>
          </cell>
          <cell r="L526">
            <v>0</v>
          </cell>
          <cell r="P526">
            <v>0</v>
          </cell>
          <cell r="AC526">
            <v>0</v>
          </cell>
        </row>
        <row r="527">
          <cell r="D527" t="str">
            <v>3259</v>
          </cell>
          <cell r="E527" t="str">
            <v>Cessions hors prix de revient, Câbles électriques</v>
          </cell>
          <cell r="F527">
            <v>0</v>
          </cell>
          <cell r="L527">
            <v>0</v>
          </cell>
          <cell r="P527">
            <v>0</v>
          </cell>
          <cell r="AC527">
            <v>0</v>
          </cell>
        </row>
        <row r="528">
          <cell r="D528" t="str">
            <v>3261</v>
          </cell>
          <cell r="E528" t="str">
            <v>Cessions hors prix de revient, Pneumatiques pour engins lourds</v>
          </cell>
          <cell r="F528">
            <v>0</v>
          </cell>
          <cell r="L528">
            <v>0</v>
          </cell>
          <cell r="P528">
            <v>0</v>
          </cell>
          <cell r="AC528">
            <v>0</v>
          </cell>
        </row>
        <row r="529">
          <cell r="D529" t="str">
            <v>3262</v>
          </cell>
          <cell r="E529" t="str">
            <v>Cessions hors prix de revient, Pneumatiques pour voitures légères</v>
          </cell>
          <cell r="F529">
            <v>0</v>
          </cell>
          <cell r="L529">
            <v>0</v>
          </cell>
          <cell r="P529">
            <v>0</v>
          </cell>
          <cell r="AC529">
            <v>0</v>
          </cell>
        </row>
        <row r="530">
          <cell r="D530" t="str">
            <v>3263</v>
          </cell>
          <cell r="E530" t="str">
            <v>Cessions hors prix de revient, Pièces de rechange du matériel</v>
          </cell>
          <cell r="F530">
            <v>0</v>
          </cell>
          <cell r="L530">
            <v>0</v>
          </cell>
          <cell r="P530">
            <v>0</v>
          </cell>
          <cell r="AC530">
            <v>0</v>
          </cell>
        </row>
        <row r="531">
          <cell r="D531" t="str">
            <v>3264</v>
          </cell>
          <cell r="E531" t="str">
            <v>Cessions hors prix de revient, Pièces détachés automobiles</v>
          </cell>
          <cell r="F531">
            <v>0</v>
          </cell>
          <cell r="L531">
            <v>0</v>
          </cell>
          <cell r="P531">
            <v>0</v>
          </cell>
          <cell r="AC531">
            <v>0</v>
          </cell>
        </row>
        <row r="532">
          <cell r="D532" t="str">
            <v>3265</v>
          </cell>
          <cell r="E532" t="str">
            <v>Cessions hors prix de revient, Petit outillage</v>
          </cell>
          <cell r="F532">
            <v>0</v>
          </cell>
          <cell r="L532">
            <v>0</v>
          </cell>
          <cell r="P532">
            <v>0</v>
          </cell>
          <cell r="AC532">
            <v>0</v>
          </cell>
        </row>
        <row r="533">
          <cell r="D533" t="str">
            <v>3270</v>
          </cell>
          <cell r="E533" t="str">
            <v>Cessions hors prix de revient, Fournitures de bureau</v>
          </cell>
          <cell r="F533">
            <v>0</v>
          </cell>
          <cell r="L533">
            <v>0</v>
          </cell>
          <cell r="P533">
            <v>0</v>
          </cell>
          <cell r="AC533">
            <v>0</v>
          </cell>
        </row>
        <row r="534">
          <cell r="D534" t="str">
            <v>3330</v>
          </cell>
          <cell r="E534" t="str">
            <v>Cessions hors prix de revient, Emballages à usage mixte</v>
          </cell>
          <cell r="F534">
            <v>0</v>
          </cell>
          <cell r="L534">
            <v>0</v>
          </cell>
          <cell r="P534">
            <v>0</v>
          </cell>
          <cell r="AC534">
            <v>0</v>
          </cell>
        </row>
        <row r="535">
          <cell r="D535" t="str">
            <v>4011</v>
          </cell>
          <cell r="E535" t="str">
            <v>Achats produits TAF</v>
          </cell>
          <cell r="F535">
            <v>0</v>
          </cell>
          <cell r="L535">
            <v>0</v>
          </cell>
          <cell r="P535">
            <v>0</v>
          </cell>
          <cell r="AC535">
            <v>0</v>
          </cell>
        </row>
        <row r="536">
          <cell r="D536" t="str">
            <v>4012</v>
          </cell>
          <cell r="E536" t="str">
            <v>Rabais remises et ristournes obtenus sur achats produits TAF</v>
          </cell>
          <cell r="F536">
            <v>0</v>
          </cell>
          <cell r="L536">
            <v>0</v>
          </cell>
          <cell r="P536">
            <v>0</v>
          </cell>
          <cell r="AC536">
            <v>0</v>
          </cell>
        </row>
        <row r="537">
          <cell r="D537" t="str">
            <v>4100</v>
          </cell>
          <cell r="E537" t="str">
            <v>Consommation, Phosphate Y1</v>
          </cell>
          <cell r="F537">
            <v>0</v>
          </cell>
          <cell r="L537">
            <v>0</v>
          </cell>
          <cell r="P537">
            <v>0</v>
          </cell>
          <cell r="AC537">
            <v>0</v>
          </cell>
        </row>
        <row r="538">
          <cell r="D538" t="str">
            <v>4101</v>
          </cell>
          <cell r="E538" t="str">
            <v>Consommation, Phosphate Y12</v>
          </cell>
          <cell r="F538">
            <v>0</v>
          </cell>
          <cell r="L538">
            <v>0</v>
          </cell>
          <cell r="P538">
            <v>0</v>
          </cell>
          <cell r="AC538">
            <v>0</v>
          </cell>
        </row>
        <row r="539">
          <cell r="D539" t="str">
            <v>4102</v>
          </cell>
          <cell r="E539" t="str">
            <v>Consommation, Phosphate Y2</v>
          </cell>
          <cell r="F539">
            <v>0</v>
          </cell>
          <cell r="L539">
            <v>0</v>
          </cell>
          <cell r="P539">
            <v>0</v>
          </cell>
          <cell r="AC539">
            <v>0</v>
          </cell>
        </row>
        <row r="540">
          <cell r="D540" t="str">
            <v>4103</v>
          </cell>
          <cell r="E540" t="str">
            <v>Consommation, Phosphate Y21</v>
          </cell>
          <cell r="F540">
            <v>0</v>
          </cell>
          <cell r="L540">
            <v>0</v>
          </cell>
          <cell r="P540">
            <v>0</v>
          </cell>
          <cell r="AC540">
            <v>0</v>
          </cell>
        </row>
        <row r="541">
          <cell r="D541" t="str">
            <v>4104</v>
          </cell>
          <cell r="E541" t="str">
            <v>Consommation, Phosphate Y23</v>
          </cell>
          <cell r="F541">
            <v>0</v>
          </cell>
          <cell r="L541">
            <v>0</v>
          </cell>
          <cell r="P541">
            <v>0</v>
          </cell>
          <cell r="AC541">
            <v>0</v>
          </cell>
        </row>
        <row r="542">
          <cell r="D542" t="str">
            <v>4105</v>
          </cell>
          <cell r="E542" t="str">
            <v>Consommation, Phosphate noir séché YNS</v>
          </cell>
          <cell r="F542">
            <v>0</v>
          </cell>
          <cell r="L542">
            <v>0</v>
          </cell>
          <cell r="P542">
            <v>0</v>
          </cell>
          <cell r="AC542">
            <v>0</v>
          </cell>
        </row>
        <row r="543">
          <cell r="D543" t="str">
            <v>4120</v>
          </cell>
          <cell r="E543" t="str">
            <v>Consommation, Phosphate BG humide standard</v>
          </cell>
          <cell r="F543">
            <v>0</v>
          </cell>
          <cell r="L543">
            <v>0</v>
          </cell>
          <cell r="P543">
            <v>0</v>
          </cell>
          <cell r="AC543">
            <v>0</v>
          </cell>
        </row>
        <row r="544">
          <cell r="D544" t="str">
            <v>4121</v>
          </cell>
          <cell r="E544" t="str">
            <v>Consommation, Phosphate humide BG spécial</v>
          </cell>
          <cell r="F544">
            <v>0</v>
          </cell>
          <cell r="L544">
            <v>0</v>
          </cell>
          <cell r="P544">
            <v>0</v>
          </cell>
          <cell r="AC544">
            <v>0</v>
          </cell>
        </row>
        <row r="545">
          <cell r="D545" t="str">
            <v>4122</v>
          </cell>
          <cell r="E545" t="str">
            <v>Consommation, Phosphate C4 BG sec</v>
          </cell>
          <cell r="F545">
            <v>0</v>
          </cell>
          <cell r="L545">
            <v>0</v>
          </cell>
          <cell r="P545">
            <v>0</v>
          </cell>
          <cell r="AC545">
            <v>0</v>
          </cell>
        </row>
        <row r="546">
          <cell r="D546" t="str">
            <v>4123</v>
          </cell>
          <cell r="E546" t="str">
            <v>Consommation, Phosphate C4 BG humide criblé</v>
          </cell>
          <cell r="F546">
            <v>0</v>
          </cell>
          <cell r="L546">
            <v>0</v>
          </cell>
          <cell r="P546">
            <v>0</v>
          </cell>
          <cell r="AC546">
            <v>0</v>
          </cell>
        </row>
        <row r="547">
          <cell r="D547" t="str">
            <v>4134</v>
          </cell>
          <cell r="E547" t="str">
            <v>Consommation, Phosphate Khouribga K02</v>
          </cell>
          <cell r="F547">
            <v>0</v>
          </cell>
          <cell r="L547">
            <v>0</v>
          </cell>
          <cell r="P547">
            <v>0</v>
          </cell>
          <cell r="AC547">
            <v>0</v>
          </cell>
        </row>
        <row r="548">
          <cell r="D548" t="str">
            <v>4135</v>
          </cell>
          <cell r="E548" t="str">
            <v>Consommation, Phosphate Khouribga K09</v>
          </cell>
          <cell r="F548">
            <v>0</v>
          </cell>
          <cell r="L548">
            <v>0</v>
          </cell>
          <cell r="P548">
            <v>0</v>
          </cell>
          <cell r="AC548">
            <v>0</v>
          </cell>
        </row>
        <row r="549">
          <cell r="D549" t="str">
            <v>4136</v>
          </cell>
          <cell r="E549" t="str">
            <v>Consommation, Phosphate Khouribga K09 semi-séché</v>
          </cell>
          <cell r="F549">
            <v>0</v>
          </cell>
          <cell r="L549">
            <v>0</v>
          </cell>
          <cell r="P549">
            <v>0</v>
          </cell>
          <cell r="AC549">
            <v>0</v>
          </cell>
        </row>
        <row r="550">
          <cell r="D550" t="str">
            <v>4137</v>
          </cell>
          <cell r="E550" t="str">
            <v>Consommation, Phosphate Khouribga K10</v>
          </cell>
          <cell r="F550">
            <v>0</v>
          </cell>
          <cell r="L550">
            <v>0</v>
          </cell>
          <cell r="P550">
            <v>0</v>
          </cell>
          <cell r="AC550">
            <v>0</v>
          </cell>
        </row>
        <row r="551">
          <cell r="D551" t="str">
            <v>4138</v>
          </cell>
          <cell r="E551" t="str">
            <v>Consommation, Phosphate Khouribga K12 GP</v>
          </cell>
          <cell r="F551">
            <v>0</v>
          </cell>
          <cell r="L551">
            <v>0</v>
          </cell>
          <cell r="P551">
            <v>0</v>
          </cell>
          <cell r="AC551">
            <v>0</v>
          </cell>
        </row>
        <row r="552">
          <cell r="D552" t="str">
            <v>4139</v>
          </cell>
          <cell r="E552" t="str">
            <v>Consommation, Phosphate Khouribga K20 GP</v>
          </cell>
          <cell r="F552">
            <v>0</v>
          </cell>
          <cell r="L552">
            <v>0</v>
          </cell>
          <cell r="P552">
            <v>0</v>
          </cell>
          <cell r="AC552">
            <v>0</v>
          </cell>
        </row>
        <row r="553">
          <cell r="D553" t="str">
            <v>4160</v>
          </cell>
          <cell r="E553" t="str">
            <v>Consommation, Phosphate Boucraa 80% BPL</v>
          </cell>
          <cell r="F553">
            <v>0</v>
          </cell>
          <cell r="L553">
            <v>0</v>
          </cell>
          <cell r="P553">
            <v>0</v>
          </cell>
          <cell r="AC553">
            <v>0</v>
          </cell>
        </row>
        <row r="554">
          <cell r="D554" t="str">
            <v>4170</v>
          </cell>
          <cell r="E554" t="str">
            <v>Consommation, Soufre solide</v>
          </cell>
          <cell r="F554">
            <v>0</v>
          </cell>
          <cell r="L554">
            <v>0</v>
          </cell>
          <cell r="P554">
            <v>0</v>
          </cell>
          <cell r="AC554">
            <v>0</v>
          </cell>
        </row>
        <row r="555">
          <cell r="D555" t="str">
            <v>4171</v>
          </cell>
          <cell r="E555" t="str">
            <v>Consommation, Soufre liquide</v>
          </cell>
          <cell r="F555">
            <v>0</v>
          </cell>
          <cell r="L555">
            <v>0</v>
          </cell>
          <cell r="P555">
            <v>0</v>
          </cell>
          <cell r="AC555">
            <v>0</v>
          </cell>
        </row>
        <row r="556">
          <cell r="D556" t="str">
            <v>4172</v>
          </cell>
          <cell r="E556" t="str">
            <v>Consommation, KCl</v>
          </cell>
          <cell r="F556">
            <v>0</v>
          </cell>
          <cell r="L556">
            <v>0</v>
          </cell>
          <cell r="P556">
            <v>0</v>
          </cell>
          <cell r="AC556">
            <v>0</v>
          </cell>
        </row>
        <row r="557">
          <cell r="D557" t="str">
            <v>4173</v>
          </cell>
          <cell r="E557" t="str">
            <v>Consommation, Ammoniac import</v>
          </cell>
          <cell r="F557">
            <v>0</v>
          </cell>
          <cell r="L557">
            <v>0</v>
          </cell>
          <cell r="P557">
            <v>0</v>
          </cell>
          <cell r="AC557">
            <v>0</v>
          </cell>
        </row>
        <row r="558">
          <cell r="D558" t="str">
            <v>4174</v>
          </cell>
          <cell r="E558" t="str">
            <v>Consommation, Acide sulfurique import</v>
          </cell>
          <cell r="F558">
            <v>0</v>
          </cell>
          <cell r="L558">
            <v>0</v>
          </cell>
          <cell r="P558">
            <v>0</v>
          </cell>
          <cell r="AC558">
            <v>0</v>
          </cell>
        </row>
        <row r="559">
          <cell r="D559" t="str">
            <v>4220</v>
          </cell>
          <cell r="E559" t="str">
            <v>Consommation, Matières auxiliaires</v>
          </cell>
          <cell r="F559">
            <v>0</v>
          </cell>
          <cell r="L559">
            <v>0</v>
          </cell>
          <cell r="P559">
            <v>0</v>
          </cell>
          <cell r="AC559">
            <v>0</v>
          </cell>
        </row>
        <row r="560">
          <cell r="D560" t="str">
            <v>4231</v>
          </cell>
          <cell r="E560" t="str">
            <v>Consommation, Mazout de chauffe</v>
          </cell>
          <cell r="F560">
            <v>0</v>
          </cell>
          <cell r="L560">
            <v>0</v>
          </cell>
          <cell r="P560">
            <v>0</v>
          </cell>
          <cell r="AC560">
            <v>0</v>
          </cell>
        </row>
        <row r="561">
          <cell r="B561">
            <v>1</v>
          </cell>
          <cell r="C561">
            <v>404</v>
          </cell>
          <cell r="D561" t="str">
            <v>4232</v>
          </cell>
          <cell r="E561" t="str">
            <v>Consommation, Essence légère</v>
          </cell>
          <cell r="L561">
            <v>0</v>
          </cell>
          <cell r="P561">
            <v>0</v>
          </cell>
          <cell r="AC561">
            <v>0</v>
          </cell>
        </row>
        <row r="562">
          <cell r="B562">
            <v>1</v>
          </cell>
          <cell r="C562">
            <v>405</v>
          </cell>
          <cell r="D562" t="str">
            <v>4233</v>
          </cell>
          <cell r="E562" t="str">
            <v>Consommation, Gasoil</v>
          </cell>
          <cell r="L562">
            <v>0</v>
          </cell>
          <cell r="P562">
            <v>0</v>
          </cell>
          <cell r="AC562">
            <v>0</v>
          </cell>
        </row>
        <row r="563">
          <cell r="B563">
            <v>1</v>
          </cell>
          <cell r="C563">
            <v>406</v>
          </cell>
          <cell r="D563" t="str">
            <v>4234</v>
          </cell>
          <cell r="E563" t="str">
            <v>Consommation, Lubrifiants</v>
          </cell>
          <cell r="L563">
            <v>0</v>
          </cell>
          <cell r="P563">
            <v>0</v>
          </cell>
          <cell r="AC563">
            <v>0</v>
          </cell>
        </row>
        <row r="564">
          <cell r="D564" t="str">
            <v>4236</v>
          </cell>
          <cell r="E564" t="str">
            <v>Consommation, Coke de pétrole</v>
          </cell>
          <cell r="F564">
            <v>0</v>
          </cell>
          <cell r="L564">
            <v>0</v>
          </cell>
          <cell r="P564">
            <v>0</v>
          </cell>
          <cell r="AC564">
            <v>0</v>
          </cell>
        </row>
        <row r="565">
          <cell r="B565">
            <v>1</v>
          </cell>
          <cell r="C565" t="str">
            <v>485</v>
          </cell>
          <cell r="D565" t="str">
            <v>4241</v>
          </cell>
          <cell r="E565" t="str">
            <v>Consommation, Produits d'entretien</v>
          </cell>
          <cell r="L565">
            <v>0</v>
          </cell>
          <cell r="P565">
            <v>0</v>
          </cell>
          <cell r="AC565">
            <v>0</v>
          </cell>
        </row>
        <row r="566">
          <cell r="D566" t="str">
            <v>4242</v>
          </cell>
          <cell r="E566" t="str">
            <v>Consommation, Produits de laboratoires</v>
          </cell>
          <cell r="F566">
            <v>0</v>
          </cell>
          <cell r="L566">
            <v>0</v>
          </cell>
          <cell r="P566">
            <v>0</v>
          </cell>
          <cell r="AC566">
            <v>0</v>
          </cell>
        </row>
        <row r="567">
          <cell r="B567">
            <v>1</v>
          </cell>
          <cell r="C567">
            <v>424</v>
          </cell>
          <cell r="D567" t="str">
            <v>4243</v>
          </cell>
          <cell r="E567" t="str">
            <v>Consommation, Aciers et gaz industriels</v>
          </cell>
          <cell r="L567">
            <v>0</v>
          </cell>
          <cell r="P567">
            <v>0</v>
          </cell>
          <cell r="AC567">
            <v>0</v>
          </cell>
        </row>
        <row r="568">
          <cell r="B568">
            <v>1</v>
          </cell>
          <cell r="C568">
            <v>425</v>
          </cell>
          <cell r="D568" t="str">
            <v>4244</v>
          </cell>
          <cell r="E568" t="str">
            <v>Consommation, Habillement et produits de sécurité</v>
          </cell>
          <cell r="L568">
            <v>0</v>
          </cell>
          <cell r="P568">
            <v>0</v>
          </cell>
          <cell r="AC568">
            <v>0</v>
          </cell>
        </row>
        <row r="569">
          <cell r="B569">
            <v>1</v>
          </cell>
          <cell r="C569">
            <v>426</v>
          </cell>
          <cell r="D569" t="str">
            <v>4245</v>
          </cell>
          <cell r="E569" t="str">
            <v>Consommation, Matériaux et produits de construction</v>
          </cell>
          <cell r="L569">
            <v>0</v>
          </cell>
          <cell r="P569">
            <v>0</v>
          </cell>
          <cell r="AC569">
            <v>0</v>
          </cell>
        </row>
        <row r="570">
          <cell r="B570">
            <v>1</v>
          </cell>
          <cell r="C570">
            <v>409</v>
          </cell>
          <cell r="D570" t="str">
            <v>4248</v>
          </cell>
          <cell r="E570" t="str">
            <v>Consommation, Matières et fournitures consommables diverses</v>
          </cell>
          <cell r="L570">
            <v>0</v>
          </cell>
          <cell r="P570">
            <v>0</v>
          </cell>
          <cell r="AC570">
            <v>0</v>
          </cell>
        </row>
        <row r="571">
          <cell r="B571">
            <v>1</v>
          </cell>
          <cell r="C571">
            <v>400</v>
          </cell>
          <cell r="D571" t="str">
            <v>4250</v>
          </cell>
          <cell r="E571" t="str">
            <v>Consommation, Bois de mine</v>
          </cell>
          <cell r="L571">
            <v>0</v>
          </cell>
          <cell r="P571">
            <v>0</v>
          </cell>
          <cell r="AC571">
            <v>0</v>
          </cell>
        </row>
        <row r="572">
          <cell r="B572">
            <v>1</v>
          </cell>
          <cell r="C572">
            <v>402</v>
          </cell>
          <cell r="D572" t="str">
            <v>4251</v>
          </cell>
          <cell r="E572" t="str">
            <v>Consommation, Courroies transporteuses</v>
          </cell>
          <cell r="L572">
            <v>0</v>
          </cell>
          <cell r="P572">
            <v>0</v>
          </cell>
          <cell r="AC572">
            <v>0</v>
          </cell>
        </row>
        <row r="573">
          <cell r="B573">
            <v>1</v>
          </cell>
          <cell r="C573">
            <v>403</v>
          </cell>
          <cell r="D573" t="str">
            <v>4252</v>
          </cell>
          <cell r="E573" t="str">
            <v>Consommation, Explosifs</v>
          </cell>
          <cell r="L573">
            <v>0</v>
          </cell>
          <cell r="P573">
            <v>0</v>
          </cell>
          <cell r="AC573">
            <v>0</v>
          </cell>
        </row>
        <row r="574">
          <cell r="B574">
            <v>1</v>
          </cell>
          <cell r="C574">
            <v>408</v>
          </cell>
          <cell r="D574" t="str">
            <v>4253</v>
          </cell>
          <cell r="E574" t="str">
            <v>Consommation, Rouleaux de convoyeurs</v>
          </cell>
          <cell r="L574">
            <v>0</v>
          </cell>
          <cell r="P574">
            <v>0</v>
          </cell>
          <cell r="AC574">
            <v>0</v>
          </cell>
        </row>
        <row r="575">
          <cell r="B575">
            <v>1</v>
          </cell>
          <cell r="C575">
            <v>410</v>
          </cell>
          <cell r="D575" t="str">
            <v>4254</v>
          </cell>
          <cell r="E575" t="str">
            <v>Consommation, Lames d'usure de bulles et niveleuses</v>
          </cell>
          <cell r="L575">
            <v>0</v>
          </cell>
          <cell r="P575">
            <v>0</v>
          </cell>
          <cell r="AC575">
            <v>0</v>
          </cell>
        </row>
        <row r="576">
          <cell r="B576">
            <v>1</v>
          </cell>
          <cell r="C576">
            <v>411</v>
          </cell>
          <cell r="D576" t="str">
            <v>4255</v>
          </cell>
          <cell r="E576" t="str">
            <v>Consommation, Tiges, drill - collar</v>
          </cell>
          <cell r="L576">
            <v>0</v>
          </cell>
          <cell r="P576">
            <v>0</v>
          </cell>
          <cell r="AC576">
            <v>0</v>
          </cell>
        </row>
        <row r="577">
          <cell r="B577">
            <v>1</v>
          </cell>
          <cell r="C577">
            <v>412</v>
          </cell>
          <cell r="D577" t="str">
            <v>4256</v>
          </cell>
          <cell r="E577" t="str">
            <v>Consommation, Tricones de sondeuses</v>
          </cell>
          <cell r="L577">
            <v>0</v>
          </cell>
          <cell r="P577">
            <v>0</v>
          </cell>
          <cell r="AC577">
            <v>0</v>
          </cell>
        </row>
        <row r="578">
          <cell r="B578">
            <v>1</v>
          </cell>
          <cell r="C578">
            <v>413</v>
          </cell>
          <cell r="D578" t="str">
            <v>4257</v>
          </cell>
          <cell r="E578" t="str">
            <v>Consommation, Cables de draglines</v>
          </cell>
          <cell r="L578">
            <v>0</v>
          </cell>
          <cell r="P578">
            <v>0</v>
          </cell>
          <cell r="AC578">
            <v>0</v>
          </cell>
        </row>
        <row r="579">
          <cell r="B579">
            <v>1</v>
          </cell>
          <cell r="C579">
            <v>414</v>
          </cell>
          <cell r="D579" t="str">
            <v>4258</v>
          </cell>
          <cell r="E579" t="str">
            <v>Consommation, Godets et dents de draglines</v>
          </cell>
          <cell r="L579">
            <v>0</v>
          </cell>
          <cell r="P579">
            <v>0</v>
          </cell>
          <cell r="AC579">
            <v>0</v>
          </cell>
        </row>
        <row r="580">
          <cell r="B580">
            <v>1</v>
          </cell>
          <cell r="C580">
            <v>416</v>
          </cell>
          <cell r="D580" t="str">
            <v>4259</v>
          </cell>
          <cell r="E580" t="str">
            <v>Consommation, Cables électriques</v>
          </cell>
          <cell r="L580">
            <v>0</v>
          </cell>
          <cell r="P580">
            <v>0</v>
          </cell>
          <cell r="AC580">
            <v>0</v>
          </cell>
        </row>
        <row r="581">
          <cell r="B581">
            <v>1</v>
          </cell>
          <cell r="C581">
            <v>415</v>
          </cell>
          <cell r="D581" t="str">
            <v>4261</v>
          </cell>
          <cell r="E581" t="str">
            <v>Consommation, Pneumatiques pour engins lourds</v>
          </cell>
          <cell r="L581">
            <v>0</v>
          </cell>
          <cell r="P581">
            <v>0</v>
          </cell>
          <cell r="AC581">
            <v>0</v>
          </cell>
        </row>
        <row r="582">
          <cell r="B582">
            <v>1</v>
          </cell>
          <cell r="C582">
            <v>420</v>
          </cell>
          <cell r="D582" t="str">
            <v>4262</v>
          </cell>
          <cell r="E582" t="str">
            <v>Consommation, Pneumatiques voitures légères</v>
          </cell>
          <cell r="L582">
            <v>0</v>
          </cell>
          <cell r="P582">
            <v>0</v>
          </cell>
          <cell r="AC582">
            <v>0</v>
          </cell>
        </row>
        <row r="583">
          <cell r="B583">
            <v>1</v>
          </cell>
          <cell r="C583">
            <v>417</v>
          </cell>
          <cell r="D583" t="str">
            <v>4263</v>
          </cell>
          <cell r="E583" t="str">
            <v>Consommation, Pièces de rechange du matériel</v>
          </cell>
          <cell r="L583">
            <v>0</v>
          </cell>
          <cell r="P583">
            <v>0</v>
          </cell>
          <cell r="AC583">
            <v>0</v>
          </cell>
        </row>
        <row r="584">
          <cell r="B584">
            <v>1</v>
          </cell>
          <cell r="C584" t="str">
            <v>418</v>
          </cell>
          <cell r="D584" t="str">
            <v>4264</v>
          </cell>
          <cell r="E584" t="str">
            <v>Consommation, Pièces détachées automobiles</v>
          </cell>
          <cell r="L584">
            <v>0</v>
          </cell>
          <cell r="P584">
            <v>0</v>
          </cell>
          <cell r="AC584">
            <v>0</v>
          </cell>
        </row>
        <row r="585">
          <cell r="B585">
            <v>1</v>
          </cell>
          <cell r="C585">
            <v>419</v>
          </cell>
          <cell r="D585" t="str">
            <v>4265</v>
          </cell>
          <cell r="E585" t="str">
            <v>Consommation, Petit outillage</v>
          </cell>
          <cell r="L585">
            <v>0</v>
          </cell>
          <cell r="P585">
            <v>0</v>
          </cell>
          <cell r="AC585">
            <v>0</v>
          </cell>
        </row>
        <row r="586">
          <cell r="B586">
            <v>1</v>
          </cell>
          <cell r="C586">
            <v>421</v>
          </cell>
          <cell r="D586" t="str">
            <v>4266</v>
          </cell>
          <cell r="E586" t="str">
            <v>Consommation, Produits pharmaceutiques</v>
          </cell>
          <cell r="L586">
            <v>0</v>
          </cell>
          <cell r="P586">
            <v>0</v>
          </cell>
          <cell r="AC586">
            <v>0</v>
          </cell>
        </row>
        <row r="587">
          <cell r="B587">
            <v>1</v>
          </cell>
          <cell r="C587">
            <v>423</v>
          </cell>
          <cell r="D587" t="str">
            <v>4267</v>
          </cell>
          <cell r="E587" t="str">
            <v>Consommation, Petit matériel à usage médicale</v>
          </cell>
          <cell r="L587">
            <v>0</v>
          </cell>
          <cell r="P587">
            <v>0</v>
          </cell>
          <cell r="AC587">
            <v>0</v>
          </cell>
        </row>
        <row r="588">
          <cell r="B588">
            <v>1</v>
          </cell>
          <cell r="C588">
            <v>407</v>
          </cell>
          <cell r="D588" t="str">
            <v>4270</v>
          </cell>
          <cell r="E588" t="str">
            <v>Consommation, Fournitures de bureau</v>
          </cell>
          <cell r="L588">
            <v>0</v>
          </cell>
          <cell r="P588">
            <v>0</v>
          </cell>
          <cell r="AC588">
            <v>0</v>
          </cell>
        </row>
        <row r="589">
          <cell r="D589" t="str">
            <v>4330</v>
          </cell>
          <cell r="E589" t="str">
            <v>Consommation, Emballages à usage mixte</v>
          </cell>
          <cell r="F589">
            <v>0</v>
          </cell>
          <cell r="L589">
            <v>0</v>
          </cell>
          <cell r="P589">
            <v>0</v>
          </cell>
          <cell r="AC589">
            <v>0</v>
          </cell>
        </row>
        <row r="590">
          <cell r="B590">
            <v>1</v>
          </cell>
          <cell r="C590">
            <v>491</v>
          </cell>
          <cell r="D590" t="str">
            <v>4511</v>
          </cell>
          <cell r="E590" t="str">
            <v>Fourniture d'énérgie électrique</v>
          </cell>
          <cell r="L590">
            <v>0</v>
          </cell>
          <cell r="P590">
            <v>0</v>
          </cell>
          <cell r="AC590">
            <v>0</v>
          </cell>
        </row>
        <row r="591">
          <cell r="D591" t="str">
            <v>4512</v>
          </cell>
          <cell r="E591" t="str">
            <v>Fournitures non stockables - eau -</v>
          </cell>
          <cell r="F591">
            <v>0</v>
          </cell>
          <cell r="L591">
            <v>0</v>
          </cell>
          <cell r="P591">
            <v>0</v>
          </cell>
          <cell r="AC591">
            <v>0</v>
          </cell>
        </row>
        <row r="592">
          <cell r="D592" t="str">
            <v>4515</v>
          </cell>
          <cell r="E592" t="str">
            <v>Fournitures non stockables - gaz de chauffe-</v>
          </cell>
          <cell r="F592">
            <v>0</v>
          </cell>
          <cell r="L592">
            <v>0</v>
          </cell>
          <cell r="P592">
            <v>0</v>
          </cell>
          <cell r="AC592">
            <v>0</v>
          </cell>
        </row>
        <row r="593">
          <cell r="D593" t="str">
            <v>4610</v>
          </cell>
          <cell r="E593" t="str">
            <v>Travaux topographiques</v>
          </cell>
          <cell r="F593">
            <v>0</v>
          </cell>
          <cell r="L593">
            <v>0</v>
          </cell>
          <cell r="P593">
            <v>0</v>
          </cell>
          <cell r="AC593">
            <v>0</v>
          </cell>
        </row>
        <row r="594">
          <cell r="B594">
            <v>1</v>
          </cell>
          <cell r="C594">
            <v>487</v>
          </cell>
          <cell r="D594" t="str">
            <v>4612</v>
          </cell>
          <cell r="E594" t="str">
            <v>Travaux de fonçage de puits</v>
          </cell>
          <cell r="L594">
            <v>0</v>
          </cell>
          <cell r="P594">
            <v>0</v>
          </cell>
          <cell r="AC594">
            <v>0</v>
          </cell>
        </row>
        <row r="595">
          <cell r="B595">
            <v>1</v>
          </cell>
          <cell r="C595" t="str">
            <v>486</v>
          </cell>
          <cell r="D595" t="str">
            <v>4614</v>
          </cell>
          <cell r="E595" t="str">
            <v>Autres travaux à façon éxécutés à l'extérieur</v>
          </cell>
          <cell r="L595">
            <v>0</v>
          </cell>
          <cell r="P595">
            <v>0</v>
          </cell>
          <cell r="AC595">
            <v>0</v>
          </cell>
        </row>
        <row r="596">
          <cell r="D596" t="str">
            <v>4620</v>
          </cell>
          <cell r="E596" t="str">
            <v>Etudes</v>
          </cell>
          <cell r="F596">
            <v>0</v>
          </cell>
          <cell r="L596">
            <v>0</v>
          </cell>
          <cell r="P596">
            <v>0</v>
          </cell>
          <cell r="AC596">
            <v>0</v>
          </cell>
        </row>
        <row r="597">
          <cell r="D597" t="str">
            <v>4630</v>
          </cell>
          <cell r="E597" t="str">
            <v>Prestations de service</v>
          </cell>
          <cell r="F597">
            <v>0</v>
          </cell>
          <cell r="L597">
            <v>0</v>
          </cell>
          <cell r="P597">
            <v>0</v>
          </cell>
          <cell r="AC597">
            <v>0</v>
          </cell>
        </row>
        <row r="598">
          <cell r="D598" t="str">
            <v>4750</v>
          </cell>
          <cell r="E598" t="str">
            <v>Acide prétraité</v>
          </cell>
          <cell r="F598">
            <v>0</v>
          </cell>
          <cell r="L598">
            <v>0</v>
          </cell>
          <cell r="P598">
            <v>0</v>
          </cell>
          <cell r="AC598">
            <v>0</v>
          </cell>
        </row>
        <row r="599">
          <cell r="D599" t="str">
            <v>4760</v>
          </cell>
          <cell r="E599" t="str">
            <v>Acide de retour</v>
          </cell>
          <cell r="F599">
            <v>0</v>
          </cell>
          <cell r="L599">
            <v>0</v>
          </cell>
          <cell r="P599">
            <v>0</v>
          </cell>
          <cell r="AC599">
            <v>0</v>
          </cell>
        </row>
        <row r="600">
          <cell r="D600" t="str">
            <v>4920</v>
          </cell>
          <cell r="E600" t="str">
            <v>R.R.R.O sur achats de soufre</v>
          </cell>
          <cell r="F600">
            <v>0</v>
          </cell>
          <cell r="L600">
            <v>0</v>
          </cell>
          <cell r="P600">
            <v>0</v>
          </cell>
          <cell r="AC600">
            <v>0</v>
          </cell>
        </row>
        <row r="601">
          <cell r="D601" t="str">
            <v>4922</v>
          </cell>
          <cell r="E601" t="str">
            <v>R.R.R.O sur achats de KCL</v>
          </cell>
          <cell r="F601">
            <v>0</v>
          </cell>
          <cell r="L601">
            <v>0</v>
          </cell>
          <cell r="P601">
            <v>0</v>
          </cell>
          <cell r="AC601">
            <v>0</v>
          </cell>
        </row>
        <row r="602">
          <cell r="D602" t="str">
            <v>4923</v>
          </cell>
          <cell r="E602" t="str">
            <v>R.R.R.O sur achats d'ammoniac</v>
          </cell>
          <cell r="F602">
            <v>0</v>
          </cell>
          <cell r="L602">
            <v>0</v>
          </cell>
          <cell r="P602">
            <v>0</v>
          </cell>
          <cell r="AC602">
            <v>0</v>
          </cell>
        </row>
        <row r="603">
          <cell r="D603" t="str">
            <v>4948</v>
          </cell>
          <cell r="E603" t="str">
            <v>R.R.R.O sur achats de matières et fournitures consonsommables</v>
          </cell>
          <cell r="F603">
            <v>0</v>
          </cell>
          <cell r="L603">
            <v>0</v>
          </cell>
          <cell r="P603">
            <v>0</v>
          </cell>
          <cell r="AC603">
            <v>0</v>
          </cell>
        </row>
        <row r="604">
          <cell r="D604" t="str">
            <v>4970</v>
          </cell>
          <cell r="E604" t="str">
            <v>R.R.R.O sur achats d'emballages</v>
          </cell>
          <cell r="F604">
            <v>0</v>
          </cell>
          <cell r="L604">
            <v>0</v>
          </cell>
          <cell r="P604">
            <v>0</v>
          </cell>
          <cell r="AC604">
            <v>0</v>
          </cell>
        </row>
        <row r="605">
          <cell r="D605" t="str">
            <v>4996</v>
          </cell>
          <cell r="E605" t="str">
            <v>R.R.R.O sur achats de travaux, études et prestations de service</v>
          </cell>
          <cell r="F605">
            <v>0</v>
          </cell>
          <cell r="L605">
            <v>0</v>
          </cell>
          <cell r="P605">
            <v>0</v>
          </cell>
          <cell r="AC605">
            <v>0</v>
          </cell>
        </row>
        <row r="606">
          <cell r="B606">
            <v>1</v>
          </cell>
          <cell r="C606">
            <v>522</v>
          </cell>
          <cell r="D606" t="str">
            <v>5301</v>
          </cell>
          <cell r="E606" t="str">
            <v>Indemnisations de dégats de surface et de récolte</v>
          </cell>
          <cell r="L606">
            <v>0</v>
          </cell>
          <cell r="P606">
            <v>0</v>
          </cell>
          <cell r="AC606">
            <v>0</v>
          </cell>
        </row>
        <row r="607">
          <cell r="B607">
            <v>1</v>
          </cell>
          <cell r="C607">
            <v>530</v>
          </cell>
          <cell r="D607" t="str">
            <v>5306</v>
          </cell>
          <cell r="E607" t="str">
            <v>Indemnisations pour préjudices causés aux tiers</v>
          </cell>
          <cell r="L607">
            <v>0</v>
          </cell>
          <cell r="P607">
            <v>0</v>
          </cell>
          <cell r="AC607">
            <v>0</v>
          </cell>
        </row>
        <row r="608">
          <cell r="B608">
            <v>1</v>
          </cell>
          <cell r="C608">
            <v>501</v>
          </cell>
          <cell r="D608" t="str">
            <v>5311</v>
          </cell>
          <cell r="E608" t="str">
            <v>Location de terrains</v>
          </cell>
          <cell r="L608">
            <v>0</v>
          </cell>
          <cell r="P608">
            <v>0</v>
          </cell>
          <cell r="AC608">
            <v>0</v>
          </cell>
        </row>
        <row r="609">
          <cell r="B609">
            <v>1</v>
          </cell>
          <cell r="C609">
            <v>501</v>
          </cell>
          <cell r="D609" t="str">
            <v>5312</v>
          </cell>
          <cell r="E609" t="str">
            <v>Location de constructions</v>
          </cell>
          <cell r="L609">
            <v>0</v>
          </cell>
          <cell r="P609">
            <v>0</v>
          </cell>
          <cell r="AC609">
            <v>0</v>
          </cell>
        </row>
        <row r="610">
          <cell r="B610">
            <v>1</v>
          </cell>
          <cell r="C610">
            <v>501</v>
          </cell>
          <cell r="D610" t="str">
            <v>5313</v>
          </cell>
          <cell r="E610" t="str">
            <v>Location de matériel et outillage</v>
          </cell>
          <cell r="L610">
            <v>0</v>
          </cell>
          <cell r="P610">
            <v>0</v>
          </cell>
          <cell r="AC610">
            <v>0</v>
          </cell>
        </row>
        <row r="611">
          <cell r="B611">
            <v>1</v>
          </cell>
          <cell r="C611">
            <v>501</v>
          </cell>
          <cell r="D611" t="str">
            <v>5314</v>
          </cell>
          <cell r="E611" t="str">
            <v>Location du mobilier et du matériel de bureau</v>
          </cell>
          <cell r="L611">
            <v>0</v>
          </cell>
          <cell r="P611">
            <v>0</v>
          </cell>
          <cell r="AC611">
            <v>0</v>
          </cell>
        </row>
        <row r="612">
          <cell r="B612">
            <v>1</v>
          </cell>
          <cell r="C612">
            <v>501</v>
          </cell>
          <cell r="D612" t="str">
            <v>5315</v>
          </cell>
          <cell r="E612" t="str">
            <v>Location de materiel informatique</v>
          </cell>
          <cell r="L612">
            <v>0</v>
          </cell>
          <cell r="P612">
            <v>0</v>
          </cell>
          <cell r="AC612">
            <v>0</v>
          </cell>
        </row>
        <row r="613">
          <cell r="B613">
            <v>1</v>
          </cell>
          <cell r="C613">
            <v>501</v>
          </cell>
          <cell r="D613" t="str">
            <v>5318</v>
          </cell>
          <cell r="E613" t="str">
            <v>Locations et charges locatives diverses</v>
          </cell>
          <cell r="L613">
            <v>0</v>
          </cell>
          <cell r="P613">
            <v>0</v>
          </cell>
          <cell r="AC613">
            <v>0</v>
          </cell>
        </row>
        <row r="614">
          <cell r="B614">
            <v>1</v>
          </cell>
          <cell r="C614" t="str">
            <v>510</v>
          </cell>
          <cell r="D614" t="str">
            <v>5332</v>
          </cell>
          <cell r="E614" t="str">
            <v>Entretiens &amp; réparations autres immobilisations</v>
          </cell>
          <cell r="L614">
            <v>0</v>
          </cell>
          <cell r="P614">
            <v>0</v>
          </cell>
          <cell r="AC614">
            <v>0</v>
          </cell>
        </row>
        <row r="615">
          <cell r="D615" t="str">
            <v>5335</v>
          </cell>
          <cell r="E615" t="str">
            <v>Maintenance contrat annuel</v>
          </cell>
          <cell r="F615">
            <v>0</v>
          </cell>
          <cell r="L615">
            <v>0</v>
          </cell>
          <cell r="P615">
            <v>0</v>
          </cell>
          <cell r="AC615">
            <v>0</v>
          </cell>
        </row>
        <row r="616">
          <cell r="D616" t="str">
            <v>5341</v>
          </cell>
          <cell r="E616" t="str">
            <v>Assurances multirisques</v>
          </cell>
          <cell r="F616">
            <v>0</v>
          </cell>
          <cell r="L616">
            <v>0</v>
          </cell>
          <cell r="P616">
            <v>0</v>
          </cell>
          <cell r="AC616">
            <v>0</v>
          </cell>
        </row>
        <row r="617">
          <cell r="B617">
            <v>1</v>
          </cell>
          <cell r="C617">
            <v>540</v>
          </cell>
          <cell r="D617" t="str">
            <v>5342</v>
          </cell>
          <cell r="E617" t="str">
            <v>Assurances automobiles</v>
          </cell>
          <cell r="L617">
            <v>0</v>
          </cell>
          <cell r="P617">
            <v>0</v>
          </cell>
          <cell r="AC617">
            <v>0</v>
          </cell>
        </row>
        <row r="618">
          <cell r="B618">
            <v>2</v>
          </cell>
          <cell r="C618">
            <v>540</v>
          </cell>
          <cell r="D618" t="str">
            <v>5345</v>
          </cell>
          <cell r="E618" t="str">
            <v>Assurances transports maritimes et terrestres</v>
          </cell>
          <cell r="F618">
            <v>0</v>
          </cell>
          <cell r="L618">
            <v>0</v>
          </cell>
          <cell r="P618">
            <v>0</v>
          </cell>
          <cell r="AC618">
            <v>0</v>
          </cell>
        </row>
        <row r="619">
          <cell r="B619">
            <v>3</v>
          </cell>
          <cell r="C619">
            <v>540</v>
          </cell>
          <cell r="D619" t="str">
            <v>5348</v>
          </cell>
          <cell r="E619" t="str">
            <v>Autres assurances</v>
          </cell>
          <cell r="F619">
            <v>0</v>
          </cell>
          <cell r="L619">
            <v>0</v>
          </cell>
          <cell r="P619">
            <v>0</v>
          </cell>
          <cell r="AC619">
            <v>0</v>
          </cell>
        </row>
        <row r="620">
          <cell r="D620" t="str">
            <v>5350</v>
          </cell>
          <cell r="E620" t="str">
            <v>Rémunérations des agents makhzen mobile</v>
          </cell>
          <cell r="F620">
            <v>0</v>
          </cell>
          <cell r="L620">
            <v>0</v>
          </cell>
          <cell r="P620">
            <v>0</v>
          </cell>
          <cell r="AC620">
            <v>0</v>
          </cell>
        </row>
        <row r="621">
          <cell r="D621" t="str">
            <v>5351</v>
          </cell>
          <cell r="E621" t="str">
            <v>Rémunérations du personnel occasionnel</v>
          </cell>
          <cell r="F621">
            <v>0</v>
          </cell>
          <cell r="L621">
            <v>0</v>
          </cell>
          <cell r="P621">
            <v>0</v>
          </cell>
          <cell r="AC621">
            <v>0</v>
          </cell>
        </row>
        <row r="622">
          <cell r="D622" t="str">
            <v>5352</v>
          </cell>
          <cell r="E622" t="str">
            <v>Rémunérations du personnel intérimaire</v>
          </cell>
          <cell r="F622">
            <v>0</v>
          </cell>
          <cell r="L622">
            <v>0</v>
          </cell>
          <cell r="P622">
            <v>0</v>
          </cell>
          <cell r="AC622">
            <v>0</v>
          </cell>
        </row>
        <row r="623">
          <cell r="D623" t="str">
            <v>5353</v>
          </cell>
          <cell r="E623" t="str">
            <v>Rémunerations du personnel dettaché</v>
          </cell>
          <cell r="F623">
            <v>0</v>
          </cell>
          <cell r="L623">
            <v>0</v>
          </cell>
          <cell r="P623">
            <v>0</v>
          </cell>
          <cell r="AC623">
            <v>0</v>
          </cell>
        </row>
        <row r="624">
          <cell r="D624" t="str">
            <v>5361</v>
          </cell>
          <cell r="E624" t="str">
            <v>Commissions et courtages sur achats</v>
          </cell>
          <cell r="F624">
            <v>0</v>
          </cell>
          <cell r="L624">
            <v>0</v>
          </cell>
          <cell r="P624">
            <v>0</v>
          </cell>
          <cell r="AC624">
            <v>0</v>
          </cell>
        </row>
        <row r="625">
          <cell r="D625" t="str">
            <v>5362</v>
          </cell>
          <cell r="E625" t="str">
            <v>Commissions et courtages sur ventes</v>
          </cell>
          <cell r="F625">
            <v>0</v>
          </cell>
          <cell r="L625">
            <v>0</v>
          </cell>
          <cell r="P625">
            <v>0</v>
          </cell>
          <cell r="AC625">
            <v>0</v>
          </cell>
        </row>
        <row r="626">
          <cell r="B626">
            <v>1</v>
          </cell>
          <cell r="C626">
            <v>532</v>
          </cell>
          <cell r="D626" t="str">
            <v>5365</v>
          </cell>
          <cell r="E626" t="str">
            <v>Honoraires</v>
          </cell>
          <cell r="L626">
            <v>0</v>
          </cell>
          <cell r="P626">
            <v>0</v>
          </cell>
          <cell r="AC626">
            <v>0</v>
          </cell>
        </row>
        <row r="627">
          <cell r="D627" t="str">
            <v>5366</v>
          </cell>
          <cell r="E627" t="str">
            <v>Débours et intermédiaires</v>
          </cell>
          <cell r="F627">
            <v>0</v>
          </cell>
          <cell r="L627">
            <v>0</v>
          </cell>
          <cell r="P627">
            <v>0</v>
          </cell>
          <cell r="AC627">
            <v>0</v>
          </cell>
        </row>
        <row r="628">
          <cell r="D628" t="str">
            <v>5367</v>
          </cell>
          <cell r="E628" t="str">
            <v>Frais d'actes et de contentieux</v>
          </cell>
          <cell r="F628">
            <v>0</v>
          </cell>
          <cell r="L628">
            <v>0</v>
          </cell>
          <cell r="P628">
            <v>0</v>
          </cell>
          <cell r="AC628">
            <v>0</v>
          </cell>
        </row>
        <row r="629">
          <cell r="B629">
            <v>1</v>
          </cell>
          <cell r="C629">
            <v>531</v>
          </cell>
          <cell r="D629" t="str">
            <v>5368</v>
          </cell>
          <cell r="E629" t="str">
            <v>Autres rémunérations d'intermédiaires</v>
          </cell>
          <cell r="L629">
            <v>0</v>
          </cell>
          <cell r="P629">
            <v>0</v>
          </cell>
          <cell r="AC629">
            <v>0</v>
          </cell>
        </row>
        <row r="630">
          <cell r="B630">
            <v>1</v>
          </cell>
          <cell r="C630">
            <v>521</v>
          </cell>
          <cell r="D630" t="str">
            <v>5371</v>
          </cell>
          <cell r="E630" t="str">
            <v>Redevances pour brevets</v>
          </cell>
          <cell r="L630">
            <v>0</v>
          </cell>
          <cell r="P630">
            <v>0</v>
          </cell>
          <cell r="AC630">
            <v>0</v>
          </cell>
        </row>
        <row r="631">
          <cell r="D631" t="str">
            <v>5378</v>
          </cell>
          <cell r="E631" t="str">
            <v>Autres redevances</v>
          </cell>
          <cell r="F631">
            <v>0</v>
          </cell>
          <cell r="L631">
            <v>0</v>
          </cell>
          <cell r="P631">
            <v>0</v>
          </cell>
          <cell r="AC631">
            <v>0</v>
          </cell>
        </row>
        <row r="632">
          <cell r="D632" t="str">
            <v>5393</v>
          </cell>
          <cell r="E632" t="str">
            <v>Charges externes de façonnage GP</v>
          </cell>
          <cell r="F632">
            <v>0</v>
          </cell>
          <cell r="L632">
            <v>0</v>
          </cell>
          <cell r="P632">
            <v>0</v>
          </cell>
          <cell r="AC632">
            <v>0</v>
          </cell>
        </row>
        <row r="633">
          <cell r="B633">
            <v>1</v>
          </cell>
          <cell r="C633">
            <v>550</v>
          </cell>
          <cell r="D633" t="str">
            <v>5411</v>
          </cell>
          <cell r="E633" t="str">
            <v>Etudes</v>
          </cell>
          <cell r="L633">
            <v>0</v>
          </cell>
          <cell r="P633">
            <v>0</v>
          </cell>
          <cell r="AC633">
            <v>0</v>
          </cell>
        </row>
        <row r="634">
          <cell r="B634">
            <v>1</v>
          </cell>
          <cell r="C634">
            <v>550</v>
          </cell>
          <cell r="D634" t="str">
            <v>5412</v>
          </cell>
          <cell r="E634" t="str">
            <v>Analyses</v>
          </cell>
          <cell r="L634">
            <v>0</v>
          </cell>
          <cell r="P634">
            <v>0</v>
          </cell>
          <cell r="AC634">
            <v>0</v>
          </cell>
        </row>
        <row r="635">
          <cell r="D635" t="str">
            <v>5413</v>
          </cell>
          <cell r="E635" t="str">
            <v>Recherches</v>
          </cell>
          <cell r="F635">
            <v>0</v>
          </cell>
          <cell r="L635">
            <v>0</v>
          </cell>
          <cell r="P635">
            <v>0</v>
          </cell>
          <cell r="AC635">
            <v>0</v>
          </cell>
        </row>
        <row r="636">
          <cell r="B636">
            <v>2</v>
          </cell>
          <cell r="C636">
            <v>551</v>
          </cell>
          <cell r="D636" t="str">
            <v>5415</v>
          </cell>
          <cell r="E636" t="str">
            <v>Documentation générale</v>
          </cell>
          <cell r="F636">
            <v>0</v>
          </cell>
          <cell r="L636">
            <v>0</v>
          </cell>
          <cell r="P636">
            <v>0</v>
          </cell>
          <cell r="AC636">
            <v>0</v>
          </cell>
        </row>
        <row r="637">
          <cell r="B637">
            <v>3</v>
          </cell>
          <cell r="C637">
            <v>551</v>
          </cell>
          <cell r="D637" t="str">
            <v>5416</v>
          </cell>
          <cell r="E637" t="str">
            <v>Documentation technique</v>
          </cell>
          <cell r="F637">
            <v>0</v>
          </cell>
          <cell r="L637">
            <v>0</v>
          </cell>
          <cell r="P637">
            <v>0</v>
          </cell>
          <cell r="AC637">
            <v>0</v>
          </cell>
        </row>
        <row r="638">
          <cell r="B638">
            <v>1</v>
          </cell>
          <cell r="C638">
            <v>560</v>
          </cell>
          <cell r="D638" t="str">
            <v>5601</v>
          </cell>
          <cell r="E638" t="str">
            <v>Frais de transport du personnel</v>
          </cell>
          <cell r="L638">
            <v>0</v>
          </cell>
          <cell r="P638">
            <v>0</v>
          </cell>
          <cell r="AC638">
            <v>0</v>
          </cell>
        </row>
        <row r="639">
          <cell r="D639" t="str">
            <v>5610</v>
          </cell>
          <cell r="E639" t="str">
            <v>Transports phosphates ONCF, Axe Khouribga-Jorf Lasfar</v>
          </cell>
          <cell r="F639">
            <v>0</v>
          </cell>
          <cell r="L639">
            <v>0</v>
          </cell>
          <cell r="P639">
            <v>0</v>
          </cell>
          <cell r="AC639">
            <v>0</v>
          </cell>
        </row>
        <row r="640">
          <cell r="D640" t="str">
            <v>5611</v>
          </cell>
          <cell r="E640" t="str">
            <v>Transports phosphates ONCF, Axe Bni idir-Jorf Lasfar</v>
          </cell>
          <cell r="F640">
            <v>0</v>
          </cell>
          <cell r="L640">
            <v>0</v>
          </cell>
          <cell r="P640">
            <v>0</v>
          </cell>
          <cell r="AC640">
            <v>0</v>
          </cell>
        </row>
        <row r="641">
          <cell r="D641" t="str">
            <v>5612</v>
          </cell>
          <cell r="E641" t="str">
            <v>Transports phosphates ONCF, Axe Daoui-Jorf lasfar</v>
          </cell>
          <cell r="F641">
            <v>0</v>
          </cell>
          <cell r="L641">
            <v>0</v>
          </cell>
          <cell r="P641">
            <v>0</v>
          </cell>
          <cell r="AC641">
            <v>0</v>
          </cell>
        </row>
        <row r="642">
          <cell r="D642" t="str">
            <v>5613</v>
          </cell>
          <cell r="E642" t="str">
            <v>Transports phosphates ONCF, Axe Benguerir-Safi</v>
          </cell>
          <cell r="F642">
            <v>0</v>
          </cell>
          <cell r="L642">
            <v>0</v>
          </cell>
          <cell r="P642">
            <v>0</v>
          </cell>
          <cell r="AC642">
            <v>0</v>
          </cell>
        </row>
        <row r="643">
          <cell r="D643" t="str">
            <v>5614</v>
          </cell>
          <cell r="E643" t="str">
            <v>Transports phosphates ONCF, Axe Benguerir-Jorf Lasfar</v>
          </cell>
          <cell r="F643">
            <v>0</v>
          </cell>
          <cell r="L643">
            <v>0</v>
          </cell>
          <cell r="P643">
            <v>0</v>
          </cell>
          <cell r="AC643">
            <v>0</v>
          </cell>
        </row>
        <row r="644">
          <cell r="D644" t="str">
            <v>5615</v>
          </cell>
          <cell r="E644" t="str">
            <v>Transports phosphates ONCF, Axe Benguerir-Casa</v>
          </cell>
          <cell r="F644">
            <v>0</v>
          </cell>
          <cell r="L644">
            <v>0</v>
          </cell>
          <cell r="P644">
            <v>0</v>
          </cell>
          <cell r="AC644">
            <v>0</v>
          </cell>
        </row>
        <row r="645">
          <cell r="D645" t="str">
            <v>5616</v>
          </cell>
          <cell r="E645" t="str">
            <v>Transports phosphates ONCF, Axe Youssoufia-Safi</v>
          </cell>
          <cell r="F645">
            <v>0</v>
          </cell>
          <cell r="L645">
            <v>0</v>
          </cell>
          <cell r="P645">
            <v>0</v>
          </cell>
          <cell r="AC645">
            <v>0</v>
          </cell>
        </row>
        <row r="646">
          <cell r="D646" t="str">
            <v>5617</v>
          </cell>
          <cell r="E646" t="str">
            <v>Transports phosphates ONCF, Axe Youssoufia-Casa</v>
          </cell>
          <cell r="F646">
            <v>0</v>
          </cell>
          <cell r="L646">
            <v>0</v>
          </cell>
          <cell r="P646">
            <v>0</v>
          </cell>
          <cell r="AC646">
            <v>0</v>
          </cell>
        </row>
        <row r="647">
          <cell r="D647" t="str">
            <v>5618</v>
          </cell>
          <cell r="E647" t="str">
            <v>Transports phosphates ONCF, Axe Youssoufia-Jorf lasfar</v>
          </cell>
          <cell r="F647">
            <v>0</v>
          </cell>
          <cell r="L647">
            <v>0</v>
          </cell>
          <cell r="P647">
            <v>0</v>
          </cell>
          <cell r="AC647">
            <v>0</v>
          </cell>
        </row>
        <row r="648">
          <cell r="D648" t="str">
            <v>5619</v>
          </cell>
          <cell r="E648" t="str">
            <v>Transports phosphates ONCF, Axe Khouribga-Casa</v>
          </cell>
          <cell r="F648">
            <v>0</v>
          </cell>
          <cell r="L648">
            <v>0</v>
          </cell>
          <cell r="P648">
            <v>0</v>
          </cell>
          <cell r="AC648">
            <v>0</v>
          </cell>
        </row>
        <row r="649">
          <cell r="D649" t="str">
            <v>5620</v>
          </cell>
          <cell r="E649" t="str">
            <v>Transports phosphates ONCF, Axe Daoui-Casa</v>
          </cell>
          <cell r="F649">
            <v>0</v>
          </cell>
          <cell r="L649">
            <v>0</v>
          </cell>
          <cell r="P649">
            <v>0</v>
          </cell>
          <cell r="AC649">
            <v>0</v>
          </cell>
        </row>
        <row r="650">
          <cell r="D650" t="str">
            <v>5621</v>
          </cell>
          <cell r="E650" t="str">
            <v>Transports phosphates ONCF, Axe Bni idir-Casa</v>
          </cell>
          <cell r="F650">
            <v>0</v>
          </cell>
          <cell r="L650">
            <v>0</v>
          </cell>
          <cell r="P650">
            <v>0</v>
          </cell>
          <cell r="AC650">
            <v>0</v>
          </cell>
        </row>
        <row r="651">
          <cell r="D651" t="str">
            <v>5622</v>
          </cell>
          <cell r="E651" t="str">
            <v>Transports phosphates ONCF, Axe Benguérir-Youssoufia</v>
          </cell>
          <cell r="F651">
            <v>0</v>
          </cell>
          <cell r="L651">
            <v>0</v>
          </cell>
          <cell r="P651">
            <v>0</v>
          </cell>
          <cell r="AC651">
            <v>0</v>
          </cell>
        </row>
        <row r="652">
          <cell r="D652" t="str">
            <v>5623</v>
          </cell>
          <cell r="E652" t="str">
            <v>Brouettage ONCF, TSP-Export</v>
          </cell>
          <cell r="F652">
            <v>0</v>
          </cell>
          <cell r="L652">
            <v>0</v>
          </cell>
          <cell r="P652">
            <v>0</v>
          </cell>
          <cell r="AC652">
            <v>0</v>
          </cell>
        </row>
        <row r="653">
          <cell r="D653" t="str">
            <v>5630</v>
          </cell>
          <cell r="E653" t="str">
            <v>Brouettage ONCF, P205-Export</v>
          </cell>
          <cell r="F653">
            <v>0</v>
          </cell>
          <cell r="L653">
            <v>0</v>
          </cell>
          <cell r="P653">
            <v>0</v>
          </cell>
          <cell r="AC653">
            <v>0</v>
          </cell>
        </row>
        <row r="654">
          <cell r="D654" t="str">
            <v>5640</v>
          </cell>
          <cell r="E654" t="str">
            <v>Brouettage ONCF, MAP-Export</v>
          </cell>
          <cell r="F654">
            <v>0</v>
          </cell>
          <cell r="L654">
            <v>0</v>
          </cell>
          <cell r="P654">
            <v>0</v>
          </cell>
          <cell r="AC654">
            <v>0</v>
          </cell>
        </row>
        <row r="655">
          <cell r="D655" t="str">
            <v>5641</v>
          </cell>
          <cell r="E655" t="str">
            <v>Brouittage ONCF-DAP-Export</v>
          </cell>
          <cell r="F655">
            <v>0</v>
          </cell>
          <cell r="L655">
            <v>0</v>
          </cell>
          <cell r="P655">
            <v>0</v>
          </cell>
          <cell r="AC655">
            <v>0</v>
          </cell>
        </row>
        <row r="656">
          <cell r="D656" t="str">
            <v>5650</v>
          </cell>
          <cell r="E656" t="str">
            <v>Transport terrestre sur ventes</v>
          </cell>
          <cell r="F656">
            <v>0</v>
          </cell>
          <cell r="L656">
            <v>0</v>
          </cell>
          <cell r="P656">
            <v>0</v>
          </cell>
          <cell r="AC656">
            <v>0</v>
          </cell>
        </row>
        <row r="657">
          <cell r="D657" t="str">
            <v>5651</v>
          </cell>
          <cell r="E657" t="str">
            <v>Transports maritimes sur ventes</v>
          </cell>
          <cell r="F657">
            <v>0</v>
          </cell>
          <cell r="L657">
            <v>0</v>
          </cell>
          <cell r="P657">
            <v>0</v>
          </cell>
          <cell r="AC657">
            <v>0</v>
          </cell>
        </row>
        <row r="658">
          <cell r="D658" t="str">
            <v>5658</v>
          </cell>
          <cell r="E658" t="str">
            <v>Transport phosphates par cammion</v>
          </cell>
          <cell r="F658">
            <v>0</v>
          </cell>
          <cell r="L658">
            <v>0</v>
          </cell>
          <cell r="P658">
            <v>0</v>
          </cell>
          <cell r="AC658">
            <v>0</v>
          </cell>
        </row>
        <row r="659">
          <cell r="D659" t="str">
            <v>5659</v>
          </cell>
          <cell r="E659" t="str">
            <v>Transport colonnie de vacances</v>
          </cell>
          <cell r="F659">
            <v>0</v>
          </cell>
          <cell r="L659">
            <v>0</v>
          </cell>
          <cell r="P659">
            <v>0</v>
          </cell>
          <cell r="AC659">
            <v>0</v>
          </cell>
        </row>
        <row r="660">
          <cell r="D660" t="str">
            <v>5673</v>
          </cell>
          <cell r="E660" t="str">
            <v>Transport excursion et déplacemt activités sociales et sportives</v>
          </cell>
          <cell r="F660">
            <v>0</v>
          </cell>
          <cell r="L660">
            <v>0</v>
          </cell>
          <cell r="P660">
            <v>0</v>
          </cell>
          <cell r="AC660">
            <v>0</v>
          </cell>
        </row>
        <row r="661">
          <cell r="B661">
            <v>1</v>
          </cell>
          <cell r="C661">
            <v>561</v>
          </cell>
          <cell r="D661" t="str">
            <v>5731</v>
          </cell>
          <cell r="E661" t="str">
            <v>Voyages et deplacements</v>
          </cell>
          <cell r="L661">
            <v>0</v>
          </cell>
          <cell r="P661">
            <v>0</v>
          </cell>
          <cell r="AC661">
            <v>0</v>
          </cell>
        </row>
        <row r="662">
          <cell r="D662" t="str">
            <v>5733</v>
          </cell>
          <cell r="E662" t="str">
            <v>Frais de demenagement du personnel</v>
          </cell>
          <cell r="F662">
            <v>0</v>
          </cell>
          <cell r="L662">
            <v>0</v>
          </cell>
          <cell r="P662">
            <v>0</v>
          </cell>
          <cell r="AC662">
            <v>0</v>
          </cell>
        </row>
        <row r="663">
          <cell r="B663">
            <v>1</v>
          </cell>
          <cell r="C663">
            <v>571</v>
          </cell>
          <cell r="D663" t="str">
            <v>5735</v>
          </cell>
          <cell r="E663" t="str">
            <v>Frais de missions</v>
          </cell>
          <cell r="L663">
            <v>0</v>
          </cell>
          <cell r="P663">
            <v>0</v>
          </cell>
          <cell r="AC663">
            <v>0</v>
          </cell>
        </row>
        <row r="664">
          <cell r="B664">
            <v>2</v>
          </cell>
          <cell r="C664">
            <v>571</v>
          </cell>
          <cell r="D664" t="str">
            <v>5736</v>
          </cell>
          <cell r="E664" t="str">
            <v>Frais de reception</v>
          </cell>
          <cell r="F664">
            <v>0</v>
          </cell>
          <cell r="L664">
            <v>0</v>
          </cell>
          <cell r="P664">
            <v>0</v>
          </cell>
          <cell r="AC664">
            <v>0</v>
          </cell>
        </row>
        <row r="665">
          <cell r="B665">
            <v>1</v>
          </cell>
          <cell r="C665">
            <v>579</v>
          </cell>
          <cell r="D665" t="str">
            <v>5737</v>
          </cell>
          <cell r="E665" t="str">
            <v>Frais des conseils et assemblees</v>
          </cell>
          <cell r="L665">
            <v>0</v>
          </cell>
          <cell r="P665">
            <v>0</v>
          </cell>
          <cell r="AC665">
            <v>0</v>
          </cell>
        </row>
        <row r="666">
          <cell r="D666" t="str">
            <v>5741</v>
          </cell>
          <cell r="E666" t="str">
            <v>Annonces et insertions</v>
          </cell>
          <cell r="F666">
            <v>0</v>
          </cell>
          <cell r="L666">
            <v>0</v>
          </cell>
          <cell r="P666">
            <v>0</v>
          </cell>
          <cell r="AC666">
            <v>0</v>
          </cell>
        </row>
        <row r="667">
          <cell r="D667" t="str">
            <v>5742</v>
          </cell>
          <cell r="E667" t="str">
            <v>Echantillons,catalogues et imprimes publicitaires</v>
          </cell>
          <cell r="F667">
            <v>0</v>
          </cell>
          <cell r="L667">
            <v>0</v>
          </cell>
          <cell r="P667">
            <v>0</v>
          </cell>
          <cell r="AC667">
            <v>0</v>
          </cell>
        </row>
        <row r="668">
          <cell r="D668" t="str">
            <v>5743</v>
          </cell>
          <cell r="E668" t="str">
            <v>Foires et expositions</v>
          </cell>
          <cell r="F668">
            <v>0</v>
          </cell>
          <cell r="L668">
            <v>0</v>
          </cell>
          <cell r="P668">
            <v>0</v>
          </cell>
          <cell r="AC668">
            <v>0</v>
          </cell>
        </row>
        <row r="669">
          <cell r="D669" t="str">
            <v>5744</v>
          </cell>
          <cell r="E669" t="str">
            <v>Primes de publicite</v>
          </cell>
          <cell r="F669">
            <v>0</v>
          </cell>
          <cell r="L669">
            <v>0</v>
          </cell>
          <cell r="P669">
            <v>0</v>
          </cell>
          <cell r="AC669">
            <v>0</v>
          </cell>
        </row>
        <row r="670">
          <cell r="D670" t="str">
            <v>5746</v>
          </cell>
          <cell r="E670" t="str">
            <v>Publications</v>
          </cell>
          <cell r="F670">
            <v>0</v>
          </cell>
          <cell r="L670">
            <v>0</v>
          </cell>
          <cell r="P670">
            <v>0</v>
          </cell>
          <cell r="AC670">
            <v>0</v>
          </cell>
        </row>
        <row r="671">
          <cell r="D671" t="str">
            <v>5748</v>
          </cell>
          <cell r="E671" t="str">
            <v>Autres charges de publicite et relations publiques</v>
          </cell>
          <cell r="F671">
            <v>0</v>
          </cell>
          <cell r="L671">
            <v>0</v>
          </cell>
          <cell r="P671">
            <v>0</v>
          </cell>
          <cell r="AC671">
            <v>0</v>
          </cell>
        </row>
        <row r="672">
          <cell r="D672" t="str">
            <v>5751</v>
          </cell>
          <cell r="E672" t="str">
            <v>Affranchissements</v>
          </cell>
          <cell r="F672">
            <v>0</v>
          </cell>
          <cell r="L672">
            <v>0</v>
          </cell>
          <cell r="P672">
            <v>0</v>
          </cell>
          <cell r="AC672">
            <v>0</v>
          </cell>
        </row>
        <row r="673">
          <cell r="B673">
            <v>1</v>
          </cell>
          <cell r="C673">
            <v>581</v>
          </cell>
          <cell r="D673" t="str">
            <v>5755</v>
          </cell>
          <cell r="E673" t="str">
            <v>Téléphone</v>
          </cell>
          <cell r="L673">
            <v>0</v>
          </cell>
          <cell r="P673">
            <v>0</v>
          </cell>
          <cell r="AC673">
            <v>0</v>
          </cell>
        </row>
        <row r="674">
          <cell r="D674" t="str">
            <v>5756</v>
          </cell>
          <cell r="E674" t="str">
            <v>Telex et telegrammes</v>
          </cell>
          <cell r="F674">
            <v>0</v>
          </cell>
          <cell r="L674">
            <v>0</v>
          </cell>
          <cell r="P674">
            <v>0</v>
          </cell>
          <cell r="AC674">
            <v>0</v>
          </cell>
        </row>
        <row r="675">
          <cell r="D675" t="str">
            <v>5757</v>
          </cell>
          <cell r="E675" t="str">
            <v>Abonnement internet</v>
          </cell>
          <cell r="F675">
            <v>0</v>
          </cell>
          <cell r="L675">
            <v>0</v>
          </cell>
          <cell r="P675">
            <v>0</v>
          </cell>
          <cell r="AC675">
            <v>0</v>
          </cell>
        </row>
        <row r="676">
          <cell r="D676" t="str">
            <v>5761</v>
          </cell>
          <cell r="E676" t="str">
            <v>Cotisations</v>
          </cell>
          <cell r="F676">
            <v>0</v>
          </cell>
          <cell r="L676">
            <v>0</v>
          </cell>
          <cell r="P676">
            <v>0</v>
          </cell>
          <cell r="AC676">
            <v>0</v>
          </cell>
        </row>
        <row r="677">
          <cell r="D677" t="str">
            <v>5762</v>
          </cell>
          <cell r="E677" t="str">
            <v>Dons</v>
          </cell>
          <cell r="F677">
            <v>0</v>
          </cell>
          <cell r="L677">
            <v>0</v>
          </cell>
          <cell r="P677">
            <v>0</v>
          </cell>
          <cell r="AC677">
            <v>0</v>
          </cell>
        </row>
        <row r="678">
          <cell r="D678" t="str">
            <v>5771</v>
          </cell>
          <cell r="E678" t="str">
            <v>Frais d'achat et de vente de titres</v>
          </cell>
          <cell r="F678">
            <v>0</v>
          </cell>
          <cell r="L678">
            <v>0</v>
          </cell>
          <cell r="P678">
            <v>0</v>
          </cell>
          <cell r="AC678">
            <v>0</v>
          </cell>
        </row>
        <row r="679">
          <cell r="D679" t="str">
            <v>5772</v>
          </cell>
          <cell r="E679" t="str">
            <v>Frais sur effets de commerce</v>
          </cell>
          <cell r="F679">
            <v>0</v>
          </cell>
          <cell r="L679">
            <v>0</v>
          </cell>
          <cell r="P679">
            <v>0</v>
          </cell>
          <cell r="AC679">
            <v>0</v>
          </cell>
        </row>
        <row r="680">
          <cell r="D680" t="str">
            <v>5773</v>
          </cell>
          <cell r="E680" t="str">
            <v>Frais et commissions sur CREDOC</v>
          </cell>
          <cell r="F680">
            <v>0</v>
          </cell>
          <cell r="L680">
            <v>0</v>
          </cell>
          <cell r="P680">
            <v>0</v>
          </cell>
          <cell r="AC680">
            <v>0</v>
          </cell>
        </row>
        <row r="681">
          <cell r="D681" t="str">
            <v>5774</v>
          </cell>
          <cell r="E681" t="str">
            <v>Frais et commissions sur REMDOC</v>
          </cell>
          <cell r="F681">
            <v>0</v>
          </cell>
          <cell r="L681">
            <v>0</v>
          </cell>
          <cell r="P681">
            <v>0</v>
          </cell>
          <cell r="AC681">
            <v>0</v>
          </cell>
        </row>
        <row r="682">
          <cell r="D682" t="str">
            <v>5775</v>
          </cell>
          <cell r="E682" t="str">
            <v>Frais et commissions sur opérations effectuées selon les conditions générales d'achat</v>
          </cell>
          <cell r="F682">
            <v>0</v>
          </cell>
          <cell r="L682">
            <v>0</v>
          </cell>
          <cell r="P682">
            <v>0</v>
          </cell>
          <cell r="AC682">
            <v>0</v>
          </cell>
        </row>
        <row r="683">
          <cell r="D683" t="str">
            <v>5776</v>
          </cell>
          <cell r="E683" t="str">
            <v>Frais sur cautions bancaires</v>
          </cell>
          <cell r="F683">
            <v>0</v>
          </cell>
          <cell r="L683">
            <v>0</v>
          </cell>
          <cell r="P683">
            <v>0</v>
          </cell>
          <cell r="AC683">
            <v>0</v>
          </cell>
        </row>
        <row r="684">
          <cell r="D684" t="str">
            <v>5778</v>
          </cell>
          <cell r="E684" t="str">
            <v>Autres services bancaires</v>
          </cell>
          <cell r="F684">
            <v>0</v>
          </cell>
          <cell r="L684">
            <v>0</v>
          </cell>
          <cell r="P684">
            <v>0</v>
          </cell>
          <cell r="AC684">
            <v>0</v>
          </cell>
        </row>
        <row r="685">
          <cell r="D685" t="str">
            <v>6111</v>
          </cell>
          <cell r="E685" t="str">
            <v>Taxe urbaine</v>
          </cell>
          <cell r="F685">
            <v>0</v>
          </cell>
          <cell r="L685">
            <v>0</v>
          </cell>
          <cell r="P685">
            <v>0</v>
          </cell>
          <cell r="AC685">
            <v>0</v>
          </cell>
        </row>
        <row r="686">
          <cell r="D686" t="str">
            <v>6112</v>
          </cell>
          <cell r="E686" t="str">
            <v>Patente</v>
          </cell>
          <cell r="F686">
            <v>0</v>
          </cell>
          <cell r="L686">
            <v>0</v>
          </cell>
          <cell r="P686">
            <v>0</v>
          </cell>
          <cell r="AC686">
            <v>0</v>
          </cell>
        </row>
        <row r="687">
          <cell r="D687" t="str">
            <v>6115</v>
          </cell>
          <cell r="E687" t="str">
            <v>Taxes locales</v>
          </cell>
          <cell r="F687">
            <v>0</v>
          </cell>
          <cell r="L687">
            <v>0</v>
          </cell>
          <cell r="P687">
            <v>0</v>
          </cell>
          <cell r="AC687">
            <v>0</v>
          </cell>
        </row>
        <row r="688">
          <cell r="D688" t="str">
            <v>6116</v>
          </cell>
          <cell r="E688" t="str">
            <v>Redevance sur l'exploitation des phosphates</v>
          </cell>
          <cell r="F688">
            <v>0</v>
          </cell>
          <cell r="L688">
            <v>0</v>
          </cell>
          <cell r="P688">
            <v>0</v>
          </cell>
          <cell r="AC688">
            <v>0</v>
          </cell>
        </row>
        <row r="689">
          <cell r="D689" t="str">
            <v>6171</v>
          </cell>
          <cell r="E689" t="str">
            <v>Droits d'enregistrement et timbres</v>
          </cell>
          <cell r="F689">
            <v>0</v>
          </cell>
          <cell r="L689">
            <v>0</v>
          </cell>
          <cell r="P689">
            <v>0</v>
          </cell>
          <cell r="AC689">
            <v>0</v>
          </cell>
        </row>
        <row r="690">
          <cell r="D690" t="str">
            <v>6172</v>
          </cell>
          <cell r="E690" t="str">
            <v>Droits d'enregistrement des actes et marchés</v>
          </cell>
          <cell r="F690">
            <v>0</v>
          </cell>
          <cell r="L690">
            <v>0</v>
          </cell>
          <cell r="P690">
            <v>0</v>
          </cell>
          <cell r="AC690">
            <v>0</v>
          </cell>
        </row>
        <row r="691">
          <cell r="D691" t="str">
            <v>6173</v>
          </cell>
          <cell r="E691" t="str">
            <v>Taxes sur les véhicules</v>
          </cell>
          <cell r="F691">
            <v>0</v>
          </cell>
          <cell r="L691">
            <v>0</v>
          </cell>
          <cell r="P691">
            <v>0</v>
          </cell>
          <cell r="AC691">
            <v>0</v>
          </cell>
        </row>
        <row r="692">
          <cell r="D692" t="str">
            <v>6174</v>
          </cell>
          <cell r="E692" t="str">
            <v>Taxes sur les services</v>
          </cell>
          <cell r="F692">
            <v>0</v>
          </cell>
          <cell r="L692">
            <v>0</v>
          </cell>
          <cell r="P692">
            <v>0</v>
          </cell>
          <cell r="AC692">
            <v>0</v>
          </cell>
        </row>
        <row r="693">
          <cell r="D693" t="str">
            <v>6175</v>
          </cell>
          <cell r="E693" t="str">
            <v>Taxes à l'exportation</v>
          </cell>
          <cell r="F693">
            <v>0</v>
          </cell>
          <cell r="L693">
            <v>0</v>
          </cell>
          <cell r="P693">
            <v>0</v>
          </cell>
          <cell r="AC693">
            <v>0</v>
          </cell>
        </row>
        <row r="694">
          <cell r="D694" t="str">
            <v>6176</v>
          </cell>
          <cell r="E694" t="str">
            <v>Impôts et taxes exigibles à l'étranger</v>
          </cell>
          <cell r="F694">
            <v>0</v>
          </cell>
          <cell r="L694">
            <v>0</v>
          </cell>
          <cell r="P694">
            <v>0</v>
          </cell>
          <cell r="AC694">
            <v>0</v>
          </cell>
        </row>
        <row r="695">
          <cell r="D695" t="str">
            <v>6177</v>
          </cell>
          <cell r="E695" t="str">
            <v>Impôts et taxes directs</v>
          </cell>
          <cell r="F695">
            <v>0</v>
          </cell>
          <cell r="L695">
            <v>0</v>
          </cell>
          <cell r="P695">
            <v>0</v>
          </cell>
          <cell r="AC695">
            <v>0</v>
          </cell>
        </row>
        <row r="696">
          <cell r="D696" t="str">
            <v>6178</v>
          </cell>
          <cell r="E696" t="str">
            <v>Autres impôts, taxes et droits assimilés</v>
          </cell>
          <cell r="F696">
            <v>0</v>
          </cell>
          <cell r="L696">
            <v>0</v>
          </cell>
          <cell r="P696">
            <v>0</v>
          </cell>
          <cell r="AC696">
            <v>0</v>
          </cell>
        </row>
        <row r="697">
          <cell r="D697" t="str">
            <v>6282</v>
          </cell>
          <cell r="E697" t="str">
            <v>Pertes sur créances irrécouvrables</v>
          </cell>
          <cell r="F697">
            <v>0</v>
          </cell>
          <cell r="L697">
            <v>0</v>
          </cell>
          <cell r="P697">
            <v>0</v>
          </cell>
          <cell r="AC697">
            <v>0</v>
          </cell>
        </row>
        <row r="698">
          <cell r="D698" t="str">
            <v>6283</v>
          </cell>
          <cell r="E698" t="str">
            <v>Rejets de TVA liquidées</v>
          </cell>
          <cell r="F698">
            <v>0</v>
          </cell>
          <cell r="L698">
            <v>0</v>
          </cell>
          <cell r="P698">
            <v>0</v>
          </cell>
          <cell r="AC698">
            <v>0</v>
          </cell>
        </row>
        <row r="699">
          <cell r="D699" t="str">
            <v>6284</v>
          </cell>
          <cell r="E699" t="str">
            <v>Prorata de déductions sur TVA à récupérer</v>
          </cell>
          <cell r="F699">
            <v>0</v>
          </cell>
          <cell r="L699">
            <v>0</v>
          </cell>
          <cell r="P699">
            <v>0</v>
          </cell>
          <cell r="AC699">
            <v>0</v>
          </cell>
        </row>
        <row r="700">
          <cell r="D700" t="str">
            <v>6286</v>
          </cell>
          <cell r="E700" t="str">
            <v>Transferts de profits sur opérations faites en commun</v>
          </cell>
          <cell r="F700">
            <v>0</v>
          </cell>
          <cell r="L700">
            <v>0</v>
          </cell>
          <cell r="P700">
            <v>0</v>
          </cell>
          <cell r="AC700">
            <v>0</v>
          </cell>
        </row>
        <row r="701">
          <cell r="D701" t="str">
            <v>6288</v>
          </cell>
          <cell r="E701" t="str">
            <v>Autres charges d'exploitation</v>
          </cell>
          <cell r="F701">
            <v>0</v>
          </cell>
          <cell r="L701">
            <v>0</v>
          </cell>
          <cell r="P701">
            <v>0</v>
          </cell>
          <cell r="AC701">
            <v>0</v>
          </cell>
        </row>
        <row r="702">
          <cell r="B702">
            <v>1</v>
          </cell>
          <cell r="C702">
            <v>680</v>
          </cell>
          <cell r="D702" t="str">
            <v>6380</v>
          </cell>
          <cell r="E702" t="str">
            <v>Dotations d'exploitation aux amortissements et aux provisions des immobilisations</v>
          </cell>
          <cell r="L702">
            <v>0</v>
          </cell>
          <cell r="P702">
            <v>0</v>
          </cell>
          <cell r="AC702">
            <v>0</v>
          </cell>
        </row>
        <row r="703">
          <cell r="D703" t="str">
            <v>6385</v>
          </cell>
          <cell r="E703" t="str">
            <v>D.E.P. pour risques et charges durables</v>
          </cell>
          <cell r="F703">
            <v>0</v>
          </cell>
          <cell r="L703">
            <v>0</v>
          </cell>
          <cell r="P703">
            <v>0</v>
          </cell>
          <cell r="AC703">
            <v>0</v>
          </cell>
        </row>
        <row r="704">
          <cell r="D704" t="str">
            <v>6386</v>
          </cell>
          <cell r="E704" t="str">
            <v>D.E.P. pour risques et charges momentanes</v>
          </cell>
          <cell r="F704">
            <v>0</v>
          </cell>
          <cell r="L704">
            <v>0</v>
          </cell>
          <cell r="P704">
            <v>0</v>
          </cell>
          <cell r="AC704">
            <v>0</v>
          </cell>
        </row>
        <row r="705">
          <cell r="D705" t="str">
            <v>6387</v>
          </cell>
          <cell r="E705" t="str">
            <v>D.E.P. pour dépréciation des stocks</v>
          </cell>
          <cell r="F705">
            <v>0</v>
          </cell>
          <cell r="L705">
            <v>0</v>
          </cell>
          <cell r="P705">
            <v>0</v>
          </cell>
          <cell r="AC705">
            <v>0</v>
          </cell>
        </row>
        <row r="706">
          <cell r="D706" t="str">
            <v>6388</v>
          </cell>
          <cell r="E706" t="str">
            <v>D.E.P. des créances de l'actif circulant</v>
          </cell>
          <cell r="F706">
            <v>0</v>
          </cell>
          <cell r="L706">
            <v>0</v>
          </cell>
          <cell r="P706">
            <v>0</v>
          </cell>
          <cell r="AC706">
            <v>0</v>
          </cell>
        </row>
        <row r="707">
          <cell r="D707" t="str">
            <v>6391</v>
          </cell>
          <cell r="E707" t="str">
            <v>D.E.A. des exer. antérieurs</v>
          </cell>
          <cell r="F707">
            <v>0</v>
          </cell>
          <cell r="L707">
            <v>0</v>
          </cell>
          <cell r="P707">
            <v>0</v>
          </cell>
          <cell r="AC707">
            <v>0</v>
          </cell>
        </row>
        <row r="708">
          <cell r="D708" t="str">
            <v>6411</v>
          </cell>
          <cell r="E708" t="str">
            <v>Intérêts des emprunts des crédit financiers</v>
          </cell>
          <cell r="F708">
            <v>0</v>
          </cell>
          <cell r="L708">
            <v>0</v>
          </cell>
          <cell r="P708">
            <v>0</v>
          </cell>
          <cell r="AC708">
            <v>0</v>
          </cell>
        </row>
        <row r="709">
          <cell r="D709" t="str">
            <v>6413</v>
          </cell>
          <cell r="E709" t="str">
            <v>Intérêts des emprunts des crédits acheteurs</v>
          </cell>
          <cell r="F709">
            <v>0</v>
          </cell>
          <cell r="L709">
            <v>0</v>
          </cell>
          <cell r="P709">
            <v>0</v>
          </cell>
          <cell r="AC709">
            <v>0</v>
          </cell>
        </row>
        <row r="710">
          <cell r="D710" t="str">
            <v>6414</v>
          </cell>
          <cell r="E710" t="str">
            <v>Intérêts des emprunts des crédits gouvernementaux</v>
          </cell>
          <cell r="F710">
            <v>0</v>
          </cell>
          <cell r="L710">
            <v>0</v>
          </cell>
          <cell r="P710">
            <v>0</v>
          </cell>
          <cell r="AC710">
            <v>0</v>
          </cell>
        </row>
        <row r="711">
          <cell r="D711" t="str">
            <v>6421</v>
          </cell>
          <cell r="E711" t="str">
            <v>Intérêts des crédits financiers rééchelonnés</v>
          </cell>
          <cell r="F711">
            <v>0</v>
          </cell>
          <cell r="L711">
            <v>0</v>
          </cell>
          <cell r="P711">
            <v>0</v>
          </cell>
          <cell r="AC711">
            <v>0</v>
          </cell>
        </row>
        <row r="712">
          <cell r="D712" t="str">
            <v>6422</v>
          </cell>
          <cell r="E712" t="str">
            <v>Intérêts des crédits acheteurs rééchelonnés</v>
          </cell>
          <cell r="F712">
            <v>0</v>
          </cell>
          <cell r="L712">
            <v>0</v>
          </cell>
          <cell r="P712">
            <v>0</v>
          </cell>
          <cell r="AC712">
            <v>0</v>
          </cell>
        </row>
        <row r="713">
          <cell r="D713" t="str">
            <v>6423</v>
          </cell>
          <cell r="E713" t="str">
            <v>Intérêts des emprunts des charges rééchelonnées à compenser en MAD</v>
          </cell>
          <cell r="F713">
            <v>0</v>
          </cell>
          <cell r="L713">
            <v>0</v>
          </cell>
          <cell r="P713">
            <v>0</v>
          </cell>
          <cell r="AC713">
            <v>0</v>
          </cell>
        </row>
        <row r="714">
          <cell r="D714" t="str">
            <v>6424</v>
          </cell>
          <cell r="E714" t="str">
            <v>Intérêts des dettes rattachées à des participations</v>
          </cell>
          <cell r="F714">
            <v>0</v>
          </cell>
          <cell r="L714">
            <v>0</v>
          </cell>
          <cell r="P714">
            <v>0</v>
          </cell>
          <cell r="AC714">
            <v>0</v>
          </cell>
        </row>
        <row r="715">
          <cell r="D715" t="str">
            <v>6425</v>
          </cell>
          <cell r="E715" t="str">
            <v>Intérêts des comptes ordinaires</v>
          </cell>
          <cell r="F715">
            <v>0</v>
          </cell>
          <cell r="L715">
            <v>0</v>
          </cell>
          <cell r="P715">
            <v>0</v>
          </cell>
          <cell r="AC715">
            <v>0</v>
          </cell>
        </row>
        <row r="716">
          <cell r="D716" t="str">
            <v>6426</v>
          </cell>
          <cell r="E716" t="str">
            <v>Intérêts bancaires sur opérations de financements comptes ordinaires</v>
          </cell>
          <cell r="F716">
            <v>0</v>
          </cell>
          <cell r="L716">
            <v>0</v>
          </cell>
          <cell r="P716">
            <v>0</v>
          </cell>
          <cell r="AC716">
            <v>0</v>
          </cell>
        </row>
        <row r="717">
          <cell r="D717" t="str">
            <v>6427</v>
          </cell>
          <cell r="E717" t="str">
            <v>Intérêts de capitalisation caisse de retraite</v>
          </cell>
          <cell r="F717">
            <v>0</v>
          </cell>
          <cell r="L717">
            <v>0</v>
          </cell>
          <cell r="P717">
            <v>0</v>
          </cell>
          <cell r="AC717">
            <v>0</v>
          </cell>
        </row>
        <row r="718">
          <cell r="D718" t="str">
            <v>6428</v>
          </cell>
          <cell r="E718" t="str">
            <v>Remises sur crédits des quittances douanières</v>
          </cell>
          <cell r="F718">
            <v>0</v>
          </cell>
          <cell r="L718">
            <v>0</v>
          </cell>
          <cell r="P718">
            <v>0</v>
          </cell>
          <cell r="AC718">
            <v>0</v>
          </cell>
        </row>
        <row r="719">
          <cell r="D719" t="str">
            <v>6456</v>
          </cell>
          <cell r="E719" t="str">
            <v>Pertes de change sur remboursement des emprunts</v>
          </cell>
          <cell r="F719">
            <v>0</v>
          </cell>
          <cell r="L719">
            <v>0</v>
          </cell>
          <cell r="P719">
            <v>0</v>
          </cell>
          <cell r="AC719">
            <v>0</v>
          </cell>
        </row>
        <row r="720">
          <cell r="D720" t="str">
            <v>6457</v>
          </cell>
          <cell r="E720" t="str">
            <v>Pertes de change sur opérations de trésorerie</v>
          </cell>
          <cell r="F720">
            <v>0</v>
          </cell>
          <cell r="L720">
            <v>0</v>
          </cell>
          <cell r="P720">
            <v>0</v>
          </cell>
          <cell r="AC720">
            <v>0</v>
          </cell>
        </row>
        <row r="721">
          <cell r="D721" t="str">
            <v>6458</v>
          </cell>
          <cell r="E721" t="str">
            <v>Pertes de change sur opérations commerciales</v>
          </cell>
          <cell r="F721">
            <v>0</v>
          </cell>
          <cell r="L721">
            <v>0</v>
          </cell>
          <cell r="P721">
            <v>0</v>
          </cell>
          <cell r="AC721">
            <v>0</v>
          </cell>
        </row>
        <row r="722">
          <cell r="D722" t="str">
            <v>6482</v>
          </cell>
          <cell r="E722" t="str">
            <v>Pertes sur créances liées à des participations</v>
          </cell>
          <cell r="F722">
            <v>0</v>
          </cell>
          <cell r="L722">
            <v>0</v>
          </cell>
          <cell r="P722">
            <v>0</v>
          </cell>
          <cell r="AC722">
            <v>0</v>
          </cell>
        </row>
        <row r="723">
          <cell r="D723" t="str">
            <v>6485</v>
          </cell>
          <cell r="E723" t="str">
            <v>Charges nettes sur cessions de titres &amp; valeur de placement</v>
          </cell>
          <cell r="F723">
            <v>0</v>
          </cell>
          <cell r="L723">
            <v>0</v>
          </cell>
          <cell r="P723">
            <v>0</v>
          </cell>
          <cell r="AC723">
            <v>0</v>
          </cell>
        </row>
        <row r="724">
          <cell r="D724" t="str">
            <v>6486</v>
          </cell>
          <cell r="E724" t="str">
            <v>Escomptes accordés</v>
          </cell>
          <cell r="F724">
            <v>0</v>
          </cell>
          <cell r="L724">
            <v>0</v>
          </cell>
          <cell r="P724">
            <v>0</v>
          </cell>
          <cell r="AC724">
            <v>0</v>
          </cell>
        </row>
        <row r="725">
          <cell r="D725" t="str">
            <v>6491</v>
          </cell>
          <cell r="E725" t="str">
            <v>Dotations aux amortissements des primes de remboursements</v>
          </cell>
          <cell r="F725">
            <v>0</v>
          </cell>
          <cell r="L725">
            <v>0</v>
          </cell>
          <cell r="P725">
            <v>0</v>
          </cell>
          <cell r="AC725">
            <v>0</v>
          </cell>
        </row>
        <row r="726">
          <cell r="D726" t="str">
            <v>6492</v>
          </cell>
          <cell r="E726" t="str">
            <v>Dotations aux provisions pour dépréciation des immobilisations financières</v>
          </cell>
          <cell r="F726">
            <v>0</v>
          </cell>
          <cell r="L726">
            <v>0</v>
          </cell>
          <cell r="P726">
            <v>0</v>
          </cell>
          <cell r="AC726">
            <v>0</v>
          </cell>
        </row>
        <row r="727">
          <cell r="D727" t="str">
            <v>6493</v>
          </cell>
          <cell r="E727" t="str">
            <v>Dotations financières aux provisions pour risques de change des crédits financiers</v>
          </cell>
          <cell r="F727">
            <v>0</v>
          </cell>
          <cell r="L727">
            <v>0</v>
          </cell>
          <cell r="P727">
            <v>0</v>
          </cell>
          <cell r="AC727">
            <v>0</v>
          </cell>
        </row>
        <row r="728">
          <cell r="D728" t="str">
            <v>6494</v>
          </cell>
          <cell r="E728" t="str">
            <v>Dotations financières aux provisions pour risques de change des crédits acheteurs</v>
          </cell>
          <cell r="F728">
            <v>0</v>
          </cell>
          <cell r="L728">
            <v>0</v>
          </cell>
          <cell r="P728">
            <v>0</v>
          </cell>
          <cell r="AC728">
            <v>0</v>
          </cell>
        </row>
        <row r="729">
          <cell r="D729" t="str">
            <v>6495</v>
          </cell>
          <cell r="E729" t="str">
            <v>Dotations financières aux provisions pour risques de change des emprunts des crédits gouvernementaux</v>
          </cell>
          <cell r="F729">
            <v>0</v>
          </cell>
          <cell r="L729">
            <v>0</v>
          </cell>
          <cell r="P729">
            <v>0</v>
          </cell>
          <cell r="AC729">
            <v>0</v>
          </cell>
        </row>
        <row r="730">
          <cell r="D730" t="str">
            <v>6496</v>
          </cell>
          <cell r="E730" t="str">
            <v>Dotations financières aux provisions pour risques de change des crédits financiers rééchelonés</v>
          </cell>
          <cell r="F730">
            <v>0</v>
          </cell>
          <cell r="L730">
            <v>0</v>
          </cell>
          <cell r="P730">
            <v>0</v>
          </cell>
          <cell r="AC730">
            <v>0</v>
          </cell>
        </row>
        <row r="731">
          <cell r="D731" t="str">
            <v>6497</v>
          </cell>
          <cell r="E731" t="str">
            <v>Dotations financières aux provisions pour risques de change des crédits acheteurs rééchelonnés</v>
          </cell>
          <cell r="F731">
            <v>0</v>
          </cell>
          <cell r="L731">
            <v>0</v>
          </cell>
          <cell r="P731">
            <v>0</v>
          </cell>
          <cell r="AC731">
            <v>0</v>
          </cell>
        </row>
        <row r="732">
          <cell r="D732" t="str">
            <v>6501</v>
          </cell>
          <cell r="E732" t="str">
            <v>Dotations aux provisions pour dépréciation des titres &amp; valeurs de placement</v>
          </cell>
          <cell r="F732">
            <v>0</v>
          </cell>
          <cell r="L732">
            <v>0</v>
          </cell>
          <cell r="P732">
            <v>0</v>
          </cell>
          <cell r="AC732">
            <v>0</v>
          </cell>
        </row>
        <row r="733">
          <cell r="D733" t="str">
            <v>6502</v>
          </cell>
          <cell r="E733" t="str">
            <v>Dotations aux provisions pour dépréciation des comptes de trésorerie</v>
          </cell>
          <cell r="F733">
            <v>0</v>
          </cell>
          <cell r="L733">
            <v>0</v>
          </cell>
          <cell r="P733">
            <v>0</v>
          </cell>
          <cell r="AC733">
            <v>0</v>
          </cell>
        </row>
        <row r="734">
          <cell r="D734" t="str">
            <v>6512</v>
          </cell>
          <cell r="E734" t="str">
            <v>V.N.A des immobilisations incorporelles cedées</v>
          </cell>
          <cell r="F734">
            <v>0</v>
          </cell>
          <cell r="L734">
            <v>0</v>
          </cell>
          <cell r="P734">
            <v>0</v>
          </cell>
          <cell r="AC734">
            <v>0</v>
          </cell>
        </row>
        <row r="735">
          <cell r="D735" t="str">
            <v>6513</v>
          </cell>
          <cell r="E735" t="str">
            <v>V.N.A des immobilisations corporelles</v>
          </cell>
          <cell r="F735">
            <v>0</v>
          </cell>
          <cell r="L735">
            <v>0</v>
          </cell>
          <cell r="P735">
            <v>0</v>
          </cell>
          <cell r="AC735">
            <v>0</v>
          </cell>
        </row>
        <row r="736">
          <cell r="D736" t="str">
            <v>6514</v>
          </cell>
          <cell r="E736" t="str">
            <v>V.N.A des immobilisations financières cedées</v>
          </cell>
          <cell r="F736">
            <v>0</v>
          </cell>
          <cell r="L736">
            <v>0</v>
          </cell>
          <cell r="P736">
            <v>0</v>
          </cell>
          <cell r="AC736">
            <v>0</v>
          </cell>
        </row>
        <row r="737">
          <cell r="D737" t="str">
            <v>6523</v>
          </cell>
          <cell r="E737" t="str">
            <v>Charges sur cessions d'immobilisations</v>
          </cell>
          <cell r="F737">
            <v>0</v>
          </cell>
          <cell r="L737">
            <v>0</v>
          </cell>
          <cell r="P737">
            <v>0</v>
          </cell>
          <cell r="AC737">
            <v>0</v>
          </cell>
        </row>
        <row r="738">
          <cell r="D738" t="str">
            <v>6561</v>
          </cell>
          <cell r="E738" t="str">
            <v>Subventions accordées de l'exercice</v>
          </cell>
          <cell r="F738">
            <v>0</v>
          </cell>
          <cell r="L738">
            <v>0</v>
          </cell>
          <cell r="P738">
            <v>0</v>
          </cell>
          <cell r="AC738">
            <v>0</v>
          </cell>
        </row>
        <row r="739">
          <cell r="D739" t="str">
            <v>6581</v>
          </cell>
          <cell r="E739" t="str">
            <v>Autres charges non courantes -pénalités sur marchés et dédits -</v>
          </cell>
          <cell r="F739">
            <v>0</v>
          </cell>
          <cell r="L739">
            <v>0</v>
          </cell>
          <cell r="P739">
            <v>0</v>
          </cell>
          <cell r="AC739">
            <v>0</v>
          </cell>
        </row>
        <row r="740">
          <cell r="D740" t="str">
            <v>6582</v>
          </cell>
          <cell r="E740" t="str">
            <v>Autres charges non courantes -rappels d'impôts -</v>
          </cell>
          <cell r="F740">
            <v>0</v>
          </cell>
          <cell r="L740">
            <v>0</v>
          </cell>
          <cell r="P740">
            <v>0</v>
          </cell>
          <cell r="AC740">
            <v>0</v>
          </cell>
        </row>
        <row r="741">
          <cell r="D741" t="str">
            <v>6583</v>
          </cell>
          <cell r="E741" t="str">
            <v>Pénalités et amendes fiscales ou pénales</v>
          </cell>
          <cell r="F741">
            <v>0</v>
          </cell>
          <cell r="L741">
            <v>0</v>
          </cell>
          <cell r="P741">
            <v>0</v>
          </cell>
          <cell r="AC741">
            <v>0</v>
          </cell>
        </row>
        <row r="742">
          <cell r="D742" t="str">
            <v>6585</v>
          </cell>
          <cell r="E742" t="str">
            <v>Créances devenues irrécouvrables</v>
          </cell>
          <cell r="F742">
            <v>0</v>
          </cell>
          <cell r="L742">
            <v>0</v>
          </cell>
          <cell r="P742">
            <v>0</v>
          </cell>
          <cell r="AC742">
            <v>0</v>
          </cell>
        </row>
        <row r="743">
          <cell r="D743" t="str">
            <v>6586</v>
          </cell>
          <cell r="E743" t="str">
            <v>Dons, libéralités et lots</v>
          </cell>
          <cell r="F743">
            <v>0</v>
          </cell>
          <cell r="L743">
            <v>0</v>
          </cell>
          <cell r="P743">
            <v>0</v>
          </cell>
          <cell r="AC743">
            <v>0</v>
          </cell>
        </row>
        <row r="744">
          <cell r="D744" t="str">
            <v>6587</v>
          </cell>
          <cell r="E744" t="str">
            <v>Charges diverses non courantes</v>
          </cell>
          <cell r="F744">
            <v>0</v>
          </cell>
          <cell r="L744">
            <v>0</v>
          </cell>
          <cell r="P744">
            <v>0</v>
          </cell>
          <cell r="AC744">
            <v>0</v>
          </cell>
        </row>
        <row r="745">
          <cell r="D745" t="str">
            <v>6942</v>
          </cell>
          <cell r="E745" t="str">
            <v>Dotations non courantes pour value en instance d'imposition</v>
          </cell>
          <cell r="F745">
            <v>0</v>
          </cell>
          <cell r="L745">
            <v>0</v>
          </cell>
          <cell r="P745">
            <v>0</v>
          </cell>
          <cell r="AC745">
            <v>0</v>
          </cell>
        </row>
        <row r="746">
          <cell r="D746" t="str">
            <v>6944</v>
          </cell>
          <cell r="E746" t="str">
            <v>Dotations non courantes pour investissements</v>
          </cell>
          <cell r="F746">
            <v>0</v>
          </cell>
          <cell r="L746">
            <v>0</v>
          </cell>
          <cell r="P746">
            <v>0</v>
          </cell>
          <cell r="AC746">
            <v>0</v>
          </cell>
        </row>
        <row r="747">
          <cell r="D747" t="str">
            <v>6945</v>
          </cell>
          <cell r="E747" t="str">
            <v>Dotations non courantes pour reconstitution de gisements</v>
          </cell>
          <cell r="F747">
            <v>0</v>
          </cell>
          <cell r="L747">
            <v>0</v>
          </cell>
          <cell r="P747">
            <v>0</v>
          </cell>
          <cell r="AC747">
            <v>0</v>
          </cell>
        </row>
        <row r="748">
          <cell r="D748" t="str">
            <v>6946</v>
          </cell>
          <cell r="E748" t="str">
            <v>Dotations non courantes pour acquisition et construction de gis.</v>
          </cell>
          <cell r="F748">
            <v>0</v>
          </cell>
          <cell r="L748">
            <v>0</v>
          </cell>
          <cell r="P748">
            <v>0</v>
          </cell>
          <cell r="AC748">
            <v>0</v>
          </cell>
        </row>
        <row r="749">
          <cell r="D749" t="str">
            <v>6955</v>
          </cell>
          <cell r="E749" t="str">
            <v>Dotations non courantes aux provi.pour ris. et charges durables</v>
          </cell>
          <cell r="F749">
            <v>0</v>
          </cell>
          <cell r="L749">
            <v>0</v>
          </cell>
          <cell r="P749">
            <v>0</v>
          </cell>
          <cell r="AC749">
            <v>0</v>
          </cell>
        </row>
        <row r="750">
          <cell r="D750" t="str">
            <v>6957</v>
          </cell>
          <cell r="E750" t="str">
            <v>Dotations non courantes aux provi. pour ris. et char.momentanes</v>
          </cell>
          <cell r="F750">
            <v>0</v>
          </cell>
          <cell r="L750">
            <v>0</v>
          </cell>
          <cell r="P750">
            <v>0</v>
          </cell>
          <cell r="AC750">
            <v>0</v>
          </cell>
        </row>
        <row r="751">
          <cell r="D751" t="str">
            <v>6962</v>
          </cell>
          <cell r="E751" t="str">
            <v>Dotations non courantes aux provisions pour depre. de l'actif immo.</v>
          </cell>
          <cell r="F751">
            <v>0</v>
          </cell>
          <cell r="L751">
            <v>0</v>
          </cell>
          <cell r="P751">
            <v>0</v>
          </cell>
          <cell r="AC751">
            <v>0</v>
          </cell>
        </row>
        <row r="752">
          <cell r="D752" t="str">
            <v>6991</v>
          </cell>
          <cell r="E752" t="str">
            <v>Impôts sur les bénéfices</v>
          </cell>
          <cell r="F752">
            <v>0</v>
          </cell>
          <cell r="L752">
            <v>0</v>
          </cell>
          <cell r="P752">
            <v>0</v>
          </cell>
          <cell r="AC752">
            <v>0</v>
          </cell>
        </row>
        <row r="753">
          <cell r="D753" t="str">
            <v>6995</v>
          </cell>
          <cell r="E753" t="str">
            <v>Imposition minimale annuelle des sociétés</v>
          </cell>
          <cell r="F753">
            <v>0</v>
          </cell>
          <cell r="L753">
            <v>0</v>
          </cell>
          <cell r="P753">
            <v>0</v>
          </cell>
          <cell r="AC753">
            <v>0</v>
          </cell>
        </row>
        <row r="754">
          <cell r="D754" t="str">
            <v>6998</v>
          </cell>
          <cell r="E754" t="str">
            <v>Rappels et dégrèvements des impôts sur les résultats</v>
          </cell>
          <cell r="F754">
            <v>0</v>
          </cell>
          <cell r="L754">
            <v>0</v>
          </cell>
          <cell r="P754">
            <v>0</v>
          </cell>
          <cell r="AC754">
            <v>0</v>
          </cell>
        </row>
        <row r="755">
          <cell r="D755" t="str">
            <v>7001</v>
          </cell>
          <cell r="E755" t="str">
            <v>Ventes de marchandises au Maroc</v>
          </cell>
          <cell r="F755">
            <v>0</v>
          </cell>
          <cell r="L755">
            <v>0</v>
          </cell>
          <cell r="P755">
            <v>0</v>
          </cell>
          <cell r="AC755">
            <v>0</v>
          </cell>
        </row>
        <row r="756">
          <cell r="D756" t="str">
            <v>7003</v>
          </cell>
          <cell r="E756" t="str">
            <v>Ventes de marchandises à l'étranger</v>
          </cell>
          <cell r="F756">
            <v>0</v>
          </cell>
          <cell r="L756">
            <v>0</v>
          </cell>
          <cell r="P756">
            <v>0</v>
          </cell>
          <cell r="AC756">
            <v>0</v>
          </cell>
        </row>
        <row r="757">
          <cell r="D757" t="str">
            <v>7009</v>
          </cell>
          <cell r="E757" t="str">
            <v>R.R.R. Accordées</v>
          </cell>
          <cell r="F757">
            <v>0</v>
          </cell>
          <cell r="L757">
            <v>0</v>
          </cell>
          <cell r="P757">
            <v>0</v>
          </cell>
          <cell r="AC757">
            <v>0</v>
          </cell>
        </row>
        <row r="758">
          <cell r="D758" t="str">
            <v>7011</v>
          </cell>
          <cell r="E758" t="str">
            <v>Ventes de produits finis Maroc</v>
          </cell>
          <cell r="F758">
            <v>0</v>
          </cell>
          <cell r="L758">
            <v>0</v>
          </cell>
          <cell r="P758">
            <v>0</v>
          </cell>
          <cell r="AC758">
            <v>0</v>
          </cell>
        </row>
        <row r="759">
          <cell r="D759" t="str">
            <v>7012</v>
          </cell>
          <cell r="E759" t="str">
            <v>Ventes de produits intermédiaires Maroc</v>
          </cell>
          <cell r="F759">
            <v>0</v>
          </cell>
          <cell r="L759">
            <v>0</v>
          </cell>
          <cell r="P759">
            <v>0</v>
          </cell>
          <cell r="AC759">
            <v>0</v>
          </cell>
        </row>
        <row r="760">
          <cell r="D760" t="str">
            <v>7017</v>
          </cell>
          <cell r="E760" t="str">
            <v>Ventes de produits résiduels Maroc</v>
          </cell>
          <cell r="F760">
            <v>0</v>
          </cell>
          <cell r="L760">
            <v>0</v>
          </cell>
          <cell r="P760">
            <v>0</v>
          </cell>
          <cell r="AC760">
            <v>0</v>
          </cell>
        </row>
        <row r="761">
          <cell r="D761" t="str">
            <v>7024</v>
          </cell>
          <cell r="E761" t="str">
            <v>Ventes de produits finis étranger</v>
          </cell>
          <cell r="F761">
            <v>0</v>
          </cell>
          <cell r="L761">
            <v>0</v>
          </cell>
          <cell r="P761">
            <v>0</v>
          </cell>
          <cell r="AC761">
            <v>0</v>
          </cell>
        </row>
        <row r="762">
          <cell r="D762" t="str">
            <v>7025</v>
          </cell>
          <cell r="E762" t="str">
            <v>Ventes de produits intermédiaires étranger</v>
          </cell>
          <cell r="F762">
            <v>0</v>
          </cell>
          <cell r="L762">
            <v>0</v>
          </cell>
          <cell r="P762">
            <v>0</v>
          </cell>
          <cell r="AC762">
            <v>0</v>
          </cell>
        </row>
        <row r="763">
          <cell r="D763" t="str">
            <v>7031</v>
          </cell>
          <cell r="E763" t="str">
            <v>Travaux au Maroc</v>
          </cell>
          <cell r="F763">
            <v>0</v>
          </cell>
          <cell r="L763">
            <v>0</v>
          </cell>
          <cell r="P763">
            <v>0</v>
          </cell>
          <cell r="AC763">
            <v>0</v>
          </cell>
        </row>
        <row r="764">
          <cell r="D764" t="str">
            <v>7032</v>
          </cell>
          <cell r="E764" t="str">
            <v>Etudes au Maroc</v>
          </cell>
          <cell r="F764">
            <v>0</v>
          </cell>
          <cell r="L764">
            <v>0</v>
          </cell>
          <cell r="P764">
            <v>0</v>
          </cell>
          <cell r="AC764">
            <v>0</v>
          </cell>
        </row>
        <row r="765">
          <cell r="D765" t="str">
            <v>7033</v>
          </cell>
          <cell r="E765" t="str">
            <v>Prestations de services au Maroc</v>
          </cell>
          <cell r="F765">
            <v>0</v>
          </cell>
          <cell r="L765">
            <v>0</v>
          </cell>
          <cell r="P765">
            <v>0</v>
          </cell>
          <cell r="AC765">
            <v>0</v>
          </cell>
        </row>
        <row r="766">
          <cell r="D766" t="str">
            <v>7034</v>
          </cell>
          <cell r="E766" t="str">
            <v>Travaux à l'étranger</v>
          </cell>
          <cell r="F766">
            <v>0</v>
          </cell>
          <cell r="L766">
            <v>0</v>
          </cell>
          <cell r="P766">
            <v>0</v>
          </cell>
          <cell r="AC766">
            <v>0</v>
          </cell>
        </row>
        <row r="767">
          <cell r="D767" t="str">
            <v>7035</v>
          </cell>
          <cell r="E767" t="str">
            <v>Etudes à l'étranger</v>
          </cell>
          <cell r="F767">
            <v>0</v>
          </cell>
          <cell r="L767">
            <v>0</v>
          </cell>
          <cell r="P767">
            <v>0</v>
          </cell>
          <cell r="AC767">
            <v>0</v>
          </cell>
        </row>
        <row r="768">
          <cell r="D768" t="str">
            <v>7036</v>
          </cell>
          <cell r="E768" t="str">
            <v>Prestations de services à l'étranger</v>
          </cell>
          <cell r="F768">
            <v>0</v>
          </cell>
          <cell r="L768">
            <v>0</v>
          </cell>
          <cell r="P768">
            <v>0</v>
          </cell>
          <cell r="AC768">
            <v>0</v>
          </cell>
        </row>
        <row r="769">
          <cell r="D769" t="str">
            <v>7046</v>
          </cell>
          <cell r="E769" t="str">
            <v>Redevances pour brevets, marques, droits et valeurs similaires</v>
          </cell>
          <cell r="F769">
            <v>0</v>
          </cell>
          <cell r="L769">
            <v>0</v>
          </cell>
          <cell r="P769">
            <v>0</v>
          </cell>
          <cell r="AC769">
            <v>0</v>
          </cell>
        </row>
        <row r="770">
          <cell r="B770">
            <v>1</v>
          </cell>
          <cell r="C770">
            <v>720</v>
          </cell>
          <cell r="D770" t="str">
            <v>7050</v>
          </cell>
          <cell r="E770" t="str">
            <v>Locations diverses reçues</v>
          </cell>
          <cell r="L770">
            <v>0</v>
          </cell>
          <cell r="P770">
            <v>0</v>
          </cell>
          <cell r="AC770">
            <v>0</v>
          </cell>
        </row>
        <row r="771">
          <cell r="D771" t="str">
            <v>7051</v>
          </cell>
          <cell r="E771" t="str">
            <v>Commissions et courtages reçus</v>
          </cell>
          <cell r="F771">
            <v>0</v>
          </cell>
          <cell r="L771">
            <v>0</v>
          </cell>
          <cell r="P771">
            <v>0</v>
          </cell>
          <cell r="AC771">
            <v>0</v>
          </cell>
        </row>
        <row r="772">
          <cell r="D772" t="str">
            <v>7052</v>
          </cell>
          <cell r="E772" t="str">
            <v>Loyer du personnel logé</v>
          </cell>
          <cell r="F772">
            <v>0</v>
          </cell>
          <cell r="L772">
            <v>0</v>
          </cell>
          <cell r="P772">
            <v>0</v>
          </cell>
          <cell r="AC772">
            <v>0</v>
          </cell>
        </row>
        <row r="773">
          <cell r="B773">
            <v>1</v>
          </cell>
          <cell r="C773" t="str">
            <v>721-722</v>
          </cell>
          <cell r="D773" t="str">
            <v>7053</v>
          </cell>
          <cell r="E773" t="str">
            <v>Cessions eau, électricité au personnel</v>
          </cell>
          <cell r="F773">
            <v>0</v>
          </cell>
          <cell r="L773">
            <v>0</v>
          </cell>
          <cell r="P773">
            <v>0</v>
          </cell>
          <cell r="AC773">
            <v>0</v>
          </cell>
        </row>
        <row r="774">
          <cell r="D774" t="str">
            <v>7054</v>
          </cell>
          <cell r="E774" t="str">
            <v>Formation et perfectionnement du personnel</v>
          </cell>
          <cell r="F774">
            <v>0</v>
          </cell>
          <cell r="L774">
            <v>0</v>
          </cell>
          <cell r="P774">
            <v>0</v>
          </cell>
          <cell r="AC774">
            <v>0</v>
          </cell>
        </row>
        <row r="775">
          <cell r="D775" t="str">
            <v>7056</v>
          </cell>
          <cell r="E775" t="str">
            <v>Centres d'estivage et colonies de vacances</v>
          </cell>
          <cell r="F775">
            <v>0</v>
          </cell>
          <cell r="L775">
            <v>0</v>
          </cell>
          <cell r="P775">
            <v>0</v>
          </cell>
          <cell r="AC775">
            <v>0</v>
          </cell>
        </row>
        <row r="776">
          <cell r="D776" t="str">
            <v>7057</v>
          </cell>
          <cell r="E776" t="str">
            <v>Prestations médicales</v>
          </cell>
          <cell r="F776">
            <v>0</v>
          </cell>
          <cell r="L776">
            <v>0</v>
          </cell>
          <cell r="P776">
            <v>0</v>
          </cell>
          <cell r="AC776">
            <v>0</v>
          </cell>
        </row>
        <row r="777">
          <cell r="D777" t="str">
            <v>7058</v>
          </cell>
          <cell r="E777" t="str">
            <v>Prestations club et économat</v>
          </cell>
          <cell r="F777">
            <v>0</v>
          </cell>
          <cell r="L777">
            <v>0</v>
          </cell>
          <cell r="P777">
            <v>0</v>
          </cell>
          <cell r="AC777">
            <v>0</v>
          </cell>
        </row>
        <row r="778">
          <cell r="D778" t="str">
            <v>7059</v>
          </cell>
          <cell r="E778" t="str">
            <v>Restauration</v>
          </cell>
          <cell r="F778">
            <v>0</v>
          </cell>
          <cell r="L778">
            <v>0</v>
          </cell>
          <cell r="P778">
            <v>0</v>
          </cell>
          <cell r="AC778">
            <v>0</v>
          </cell>
        </row>
        <row r="779">
          <cell r="D779" t="str">
            <v>7060</v>
          </cell>
          <cell r="E779" t="str">
            <v>Frais du personnel</v>
          </cell>
          <cell r="F779">
            <v>0</v>
          </cell>
          <cell r="L779">
            <v>0</v>
          </cell>
          <cell r="P779">
            <v>0</v>
          </cell>
          <cell r="AC779">
            <v>0</v>
          </cell>
        </row>
        <row r="780">
          <cell r="D780" t="str">
            <v>7065</v>
          </cell>
          <cell r="E780" t="str">
            <v>Bonis sur reprises d'emballages consignés</v>
          </cell>
          <cell r="F780">
            <v>0</v>
          </cell>
          <cell r="L780">
            <v>0</v>
          </cell>
          <cell r="P780">
            <v>0</v>
          </cell>
          <cell r="AC780">
            <v>0</v>
          </cell>
        </row>
        <row r="781">
          <cell r="D781" t="str">
            <v>7066</v>
          </cell>
          <cell r="E781" t="str">
            <v>Ports et frais accessoires facturés</v>
          </cell>
          <cell r="F781">
            <v>0</v>
          </cell>
          <cell r="L781">
            <v>0</v>
          </cell>
          <cell r="P781">
            <v>0</v>
          </cell>
          <cell r="AC781">
            <v>0</v>
          </cell>
        </row>
        <row r="782">
          <cell r="D782" t="str">
            <v>7071</v>
          </cell>
          <cell r="E782" t="str">
            <v>Dédouanement</v>
          </cell>
          <cell r="F782">
            <v>0</v>
          </cell>
          <cell r="L782">
            <v>0</v>
          </cell>
          <cell r="P782">
            <v>0</v>
          </cell>
          <cell r="AC782">
            <v>0</v>
          </cell>
        </row>
        <row r="783">
          <cell r="D783" t="str">
            <v>7072</v>
          </cell>
          <cell r="E783" t="str">
            <v>Prestations garage et station de service</v>
          </cell>
          <cell r="F783">
            <v>0</v>
          </cell>
          <cell r="L783">
            <v>0</v>
          </cell>
          <cell r="P783">
            <v>0</v>
          </cell>
          <cell r="AC783">
            <v>0</v>
          </cell>
        </row>
        <row r="784">
          <cell r="D784" t="str">
            <v>7073</v>
          </cell>
          <cell r="E784" t="str">
            <v>Imprimerie</v>
          </cell>
          <cell r="F784">
            <v>0</v>
          </cell>
          <cell r="L784">
            <v>0</v>
          </cell>
          <cell r="P784">
            <v>0</v>
          </cell>
          <cell r="AC784">
            <v>0</v>
          </cell>
        </row>
        <row r="785">
          <cell r="D785" t="str">
            <v>7074</v>
          </cell>
          <cell r="E785" t="str">
            <v>Prestations maritimes</v>
          </cell>
          <cell r="F785">
            <v>0</v>
          </cell>
          <cell r="L785">
            <v>0</v>
          </cell>
          <cell r="P785">
            <v>0</v>
          </cell>
          <cell r="AC785">
            <v>0</v>
          </cell>
        </row>
        <row r="786">
          <cell r="D786" t="str">
            <v>7075</v>
          </cell>
          <cell r="E786" t="str">
            <v>Prestations ateliers</v>
          </cell>
          <cell r="F786">
            <v>0</v>
          </cell>
          <cell r="L786">
            <v>0</v>
          </cell>
          <cell r="P786">
            <v>0</v>
          </cell>
          <cell r="AC786">
            <v>0</v>
          </cell>
        </row>
        <row r="787">
          <cell r="D787" t="str">
            <v>7076</v>
          </cell>
          <cell r="E787" t="str">
            <v>Prestations siège</v>
          </cell>
          <cell r="F787">
            <v>0</v>
          </cell>
          <cell r="L787">
            <v>0</v>
          </cell>
          <cell r="P787">
            <v>0</v>
          </cell>
          <cell r="AC787">
            <v>0</v>
          </cell>
        </row>
        <row r="788">
          <cell r="D788" t="str">
            <v>7077</v>
          </cell>
          <cell r="E788" t="str">
            <v>Retraite</v>
          </cell>
          <cell r="F788">
            <v>0</v>
          </cell>
          <cell r="L788">
            <v>0</v>
          </cell>
          <cell r="P788">
            <v>0</v>
          </cell>
          <cell r="AC788">
            <v>0</v>
          </cell>
        </row>
        <row r="789">
          <cell r="D789" t="str">
            <v>7078</v>
          </cell>
          <cell r="E789" t="str">
            <v>Téléphone</v>
          </cell>
          <cell r="F789">
            <v>0</v>
          </cell>
          <cell r="L789">
            <v>0</v>
          </cell>
          <cell r="P789">
            <v>0</v>
          </cell>
          <cell r="AC789">
            <v>0</v>
          </cell>
        </row>
        <row r="790">
          <cell r="D790" t="str">
            <v>7079</v>
          </cell>
          <cell r="E790" t="str">
            <v>Transport</v>
          </cell>
          <cell r="F790">
            <v>0</v>
          </cell>
          <cell r="L790">
            <v>0</v>
          </cell>
          <cell r="P790">
            <v>0</v>
          </cell>
          <cell r="AC790">
            <v>0</v>
          </cell>
        </row>
        <row r="791">
          <cell r="D791" t="str">
            <v>7080</v>
          </cell>
          <cell r="E791" t="str">
            <v>Vapeur</v>
          </cell>
          <cell r="F791">
            <v>0</v>
          </cell>
          <cell r="L791">
            <v>0</v>
          </cell>
          <cell r="P791">
            <v>0</v>
          </cell>
          <cell r="AC791">
            <v>0</v>
          </cell>
        </row>
        <row r="792">
          <cell r="D792" t="str">
            <v>7089</v>
          </cell>
          <cell r="E792" t="str">
            <v>Autres ventes et produits accessoires</v>
          </cell>
          <cell r="F792">
            <v>0</v>
          </cell>
          <cell r="L792">
            <v>0</v>
          </cell>
          <cell r="P792">
            <v>0</v>
          </cell>
          <cell r="AC792">
            <v>0</v>
          </cell>
        </row>
        <row r="793">
          <cell r="D793" t="str">
            <v>7091</v>
          </cell>
          <cell r="E793" t="str">
            <v>R.R.R accordés sur ventes au Maroc des biens produits</v>
          </cell>
          <cell r="F793">
            <v>0</v>
          </cell>
          <cell r="L793">
            <v>0</v>
          </cell>
          <cell r="P793">
            <v>0</v>
          </cell>
          <cell r="AC793">
            <v>0</v>
          </cell>
        </row>
        <row r="794">
          <cell r="D794" t="str">
            <v>7092</v>
          </cell>
          <cell r="E794" t="str">
            <v>R.R.R accordés sur ventes à l'étranger des biens produits</v>
          </cell>
          <cell r="F794">
            <v>0</v>
          </cell>
          <cell r="L794">
            <v>0</v>
          </cell>
          <cell r="P794">
            <v>0</v>
          </cell>
          <cell r="AC794">
            <v>0</v>
          </cell>
        </row>
        <row r="795">
          <cell r="D795" t="str">
            <v>7094</v>
          </cell>
          <cell r="E795" t="str">
            <v>R.R.R accordés sur ventes au Maroc des services produits</v>
          </cell>
          <cell r="F795">
            <v>0</v>
          </cell>
          <cell r="L795">
            <v>0</v>
          </cell>
          <cell r="P795">
            <v>0</v>
          </cell>
          <cell r="AC795">
            <v>0</v>
          </cell>
        </row>
        <row r="796">
          <cell r="D796" t="str">
            <v>7095</v>
          </cell>
          <cell r="E796" t="str">
            <v>R.R.R accordés sur ventes à l'étranger des services produits</v>
          </cell>
          <cell r="F796">
            <v>0</v>
          </cell>
          <cell r="L796">
            <v>0</v>
          </cell>
          <cell r="P796">
            <v>0</v>
          </cell>
          <cell r="AC796">
            <v>0</v>
          </cell>
        </row>
        <row r="797">
          <cell r="D797" t="str">
            <v>7110</v>
          </cell>
          <cell r="E797" t="str">
            <v>Variation des stocks de produits en cours</v>
          </cell>
          <cell r="F797">
            <v>0</v>
          </cell>
          <cell r="L797">
            <v>0</v>
          </cell>
          <cell r="P797">
            <v>0</v>
          </cell>
          <cell r="AC797">
            <v>0</v>
          </cell>
        </row>
        <row r="798">
          <cell r="D798" t="str">
            <v>7112</v>
          </cell>
          <cell r="E798" t="str">
            <v>Variation des stocks de produits intermédiaires en cours</v>
          </cell>
          <cell r="F798">
            <v>0</v>
          </cell>
          <cell r="L798">
            <v>0</v>
          </cell>
          <cell r="P798">
            <v>0</v>
          </cell>
          <cell r="AC798">
            <v>0</v>
          </cell>
        </row>
        <row r="799">
          <cell r="D799" t="str">
            <v>7117</v>
          </cell>
          <cell r="E799" t="str">
            <v>Variation des stocks de produits résiduels en cours</v>
          </cell>
          <cell r="F799">
            <v>0</v>
          </cell>
          <cell r="L799">
            <v>0</v>
          </cell>
          <cell r="P799">
            <v>0</v>
          </cell>
          <cell r="AC799">
            <v>0</v>
          </cell>
        </row>
        <row r="800">
          <cell r="D800" t="str">
            <v>7121</v>
          </cell>
          <cell r="E800" t="str">
            <v>Variation des stocks de produits finis</v>
          </cell>
          <cell r="F800">
            <v>0</v>
          </cell>
          <cell r="L800">
            <v>0</v>
          </cell>
          <cell r="P800">
            <v>0</v>
          </cell>
          <cell r="AC800">
            <v>0</v>
          </cell>
        </row>
        <row r="801">
          <cell r="D801" t="str">
            <v>7122</v>
          </cell>
          <cell r="E801" t="str">
            <v>Variation des stocks de produits intermédiaires</v>
          </cell>
          <cell r="F801">
            <v>0</v>
          </cell>
          <cell r="L801">
            <v>0</v>
          </cell>
          <cell r="P801">
            <v>0</v>
          </cell>
          <cell r="AC801">
            <v>0</v>
          </cell>
        </row>
        <row r="802">
          <cell r="D802" t="str">
            <v>7127</v>
          </cell>
          <cell r="E802" t="str">
            <v>Variation des stocks de produits résiduels</v>
          </cell>
          <cell r="F802">
            <v>0</v>
          </cell>
          <cell r="L802">
            <v>0</v>
          </cell>
          <cell r="P802">
            <v>0</v>
          </cell>
          <cell r="AC802">
            <v>0</v>
          </cell>
        </row>
        <row r="803">
          <cell r="D803" t="str">
            <v>7131</v>
          </cell>
          <cell r="E803" t="str">
            <v>Variation des stocks de travaux en cours</v>
          </cell>
          <cell r="F803">
            <v>0</v>
          </cell>
          <cell r="L803">
            <v>0</v>
          </cell>
          <cell r="P803">
            <v>0</v>
          </cell>
          <cell r="AC803">
            <v>0</v>
          </cell>
        </row>
        <row r="804">
          <cell r="D804" t="str">
            <v>7132</v>
          </cell>
          <cell r="E804" t="str">
            <v>Variation des stocks d'études en cours</v>
          </cell>
          <cell r="F804">
            <v>0</v>
          </cell>
          <cell r="L804">
            <v>0</v>
          </cell>
          <cell r="P804">
            <v>0</v>
          </cell>
          <cell r="AC804">
            <v>0</v>
          </cell>
        </row>
        <row r="805">
          <cell r="D805" t="str">
            <v>7133</v>
          </cell>
          <cell r="E805" t="str">
            <v>Variation des stocks de prestations en cours</v>
          </cell>
          <cell r="F805">
            <v>0</v>
          </cell>
          <cell r="L805">
            <v>0</v>
          </cell>
          <cell r="P805">
            <v>0</v>
          </cell>
          <cell r="AC805">
            <v>0</v>
          </cell>
        </row>
        <row r="806">
          <cell r="D806" t="str">
            <v>7141</v>
          </cell>
          <cell r="E806" t="str">
            <v>Immobilisations en non-valeur produites</v>
          </cell>
          <cell r="F806">
            <v>0</v>
          </cell>
          <cell r="L806">
            <v>0</v>
          </cell>
          <cell r="P806">
            <v>0</v>
          </cell>
          <cell r="AC806">
            <v>0</v>
          </cell>
        </row>
        <row r="807">
          <cell r="D807" t="str">
            <v>7142</v>
          </cell>
          <cell r="E807" t="str">
            <v>Immobilisations incorporelles produites</v>
          </cell>
          <cell r="F807">
            <v>0</v>
          </cell>
          <cell r="L807">
            <v>0</v>
          </cell>
          <cell r="P807">
            <v>0</v>
          </cell>
          <cell r="AC807">
            <v>0</v>
          </cell>
        </row>
        <row r="808">
          <cell r="D808" t="str">
            <v>7143</v>
          </cell>
          <cell r="E808" t="str">
            <v>Immobilisations corporelles produites</v>
          </cell>
          <cell r="F808">
            <v>0</v>
          </cell>
          <cell r="L808">
            <v>0</v>
          </cell>
          <cell r="P808">
            <v>0</v>
          </cell>
          <cell r="AC808">
            <v>0</v>
          </cell>
        </row>
        <row r="809">
          <cell r="D809" t="str">
            <v>7152</v>
          </cell>
          <cell r="E809" t="str">
            <v>Production d'articles codifiés mis en stocks</v>
          </cell>
          <cell r="F809">
            <v>0</v>
          </cell>
          <cell r="L809">
            <v>0</v>
          </cell>
          <cell r="P809">
            <v>0</v>
          </cell>
          <cell r="AC809">
            <v>0</v>
          </cell>
        </row>
        <row r="810">
          <cell r="D810" t="str">
            <v>7161</v>
          </cell>
          <cell r="E810" t="str">
            <v>Subventions d'exploitation reçues de l'exercice</v>
          </cell>
          <cell r="F810">
            <v>0</v>
          </cell>
          <cell r="L810">
            <v>0</v>
          </cell>
          <cell r="P810">
            <v>0</v>
          </cell>
          <cell r="AC810">
            <v>0</v>
          </cell>
        </row>
        <row r="811">
          <cell r="D811" t="str">
            <v>7181</v>
          </cell>
          <cell r="E811" t="str">
            <v>Jetons de présence reçus</v>
          </cell>
          <cell r="F811">
            <v>0</v>
          </cell>
          <cell r="L811">
            <v>0</v>
          </cell>
          <cell r="P811">
            <v>0</v>
          </cell>
          <cell r="AC811">
            <v>0</v>
          </cell>
        </row>
        <row r="812">
          <cell r="D812" t="str">
            <v>7182</v>
          </cell>
          <cell r="E812" t="str">
            <v>Revenus des immeubles non affectés à l'exploitation</v>
          </cell>
          <cell r="F812">
            <v>0</v>
          </cell>
          <cell r="L812">
            <v>0</v>
          </cell>
          <cell r="P812">
            <v>0</v>
          </cell>
          <cell r="AC812">
            <v>0</v>
          </cell>
        </row>
        <row r="813">
          <cell r="D813" t="str">
            <v>7185</v>
          </cell>
          <cell r="E813" t="str">
            <v>Profits sur opérations faites en commun</v>
          </cell>
          <cell r="F813">
            <v>0</v>
          </cell>
          <cell r="L813">
            <v>0</v>
          </cell>
          <cell r="P813">
            <v>0</v>
          </cell>
          <cell r="AC813">
            <v>0</v>
          </cell>
        </row>
        <row r="814">
          <cell r="D814" t="str">
            <v>7186</v>
          </cell>
          <cell r="E814" t="str">
            <v>Transfert de pertes sur opérations faites en commun</v>
          </cell>
          <cell r="F814">
            <v>0</v>
          </cell>
          <cell r="L814">
            <v>0</v>
          </cell>
          <cell r="P814">
            <v>0</v>
          </cell>
          <cell r="AC814">
            <v>0</v>
          </cell>
        </row>
        <row r="815">
          <cell r="D815" t="str">
            <v>7195</v>
          </cell>
          <cell r="E815" t="str">
            <v>Reprises sur provisions pour risques et charges</v>
          </cell>
          <cell r="F815">
            <v>0</v>
          </cell>
          <cell r="L815">
            <v>0</v>
          </cell>
          <cell r="P815">
            <v>0</v>
          </cell>
          <cell r="AC815">
            <v>0</v>
          </cell>
        </row>
        <row r="816">
          <cell r="D816" t="str">
            <v>7196</v>
          </cell>
          <cell r="E816" t="str">
            <v>Reprises sur provisions pour dépréciation de l'actif circulant</v>
          </cell>
          <cell r="F816">
            <v>0</v>
          </cell>
          <cell r="L816">
            <v>0</v>
          </cell>
          <cell r="P816">
            <v>0</v>
          </cell>
          <cell r="AC816">
            <v>0</v>
          </cell>
        </row>
        <row r="817">
          <cell r="D817" t="str">
            <v>7271</v>
          </cell>
          <cell r="E817" t="str">
            <v>T.C.E. achats de marchandises</v>
          </cell>
          <cell r="F817">
            <v>0</v>
          </cell>
          <cell r="L817">
            <v>0</v>
          </cell>
          <cell r="P817">
            <v>0</v>
          </cell>
          <cell r="AC817">
            <v>0</v>
          </cell>
        </row>
        <row r="818">
          <cell r="D818" t="str">
            <v>7272</v>
          </cell>
          <cell r="E818" t="str">
            <v>T.C.E. achats consommés de matières premières et fournitures</v>
          </cell>
          <cell r="F818">
            <v>0</v>
          </cell>
          <cell r="L818">
            <v>0</v>
          </cell>
          <cell r="P818">
            <v>0</v>
          </cell>
          <cell r="AC818">
            <v>0</v>
          </cell>
        </row>
        <row r="819">
          <cell r="D819" t="str">
            <v>7273</v>
          </cell>
          <cell r="E819" t="str">
            <v>T.C.E. autres charges externes</v>
          </cell>
          <cell r="F819">
            <v>0</v>
          </cell>
          <cell r="L819">
            <v>0</v>
          </cell>
          <cell r="P819">
            <v>0</v>
          </cell>
          <cell r="AC819">
            <v>0</v>
          </cell>
        </row>
        <row r="820">
          <cell r="D820" t="str">
            <v>7275</v>
          </cell>
          <cell r="E820" t="str">
            <v>T.C.E. impôts et taxes</v>
          </cell>
          <cell r="F820">
            <v>0</v>
          </cell>
          <cell r="L820">
            <v>0</v>
          </cell>
          <cell r="P820">
            <v>0</v>
          </cell>
          <cell r="AC820">
            <v>0</v>
          </cell>
        </row>
        <row r="821">
          <cell r="D821" t="str">
            <v>7276</v>
          </cell>
          <cell r="E821" t="str">
            <v>T.C.E. charges du personnel</v>
          </cell>
          <cell r="F821">
            <v>0</v>
          </cell>
          <cell r="L821">
            <v>0</v>
          </cell>
          <cell r="P821">
            <v>0</v>
          </cell>
          <cell r="AC821">
            <v>0</v>
          </cell>
        </row>
        <row r="822">
          <cell r="D822" t="str">
            <v>7278</v>
          </cell>
          <cell r="E822" t="str">
            <v>T.C.E. autres charges d'exploitation</v>
          </cell>
          <cell r="F822">
            <v>0</v>
          </cell>
          <cell r="L822">
            <v>0</v>
          </cell>
          <cell r="P822">
            <v>0</v>
          </cell>
          <cell r="AC822">
            <v>0</v>
          </cell>
        </row>
        <row r="823">
          <cell r="D823" t="str">
            <v>7321</v>
          </cell>
          <cell r="E823" t="str">
            <v>Revenus des titres de participation</v>
          </cell>
          <cell r="F823">
            <v>0</v>
          </cell>
          <cell r="L823">
            <v>0</v>
          </cell>
          <cell r="P823">
            <v>0</v>
          </cell>
          <cell r="AC823">
            <v>0</v>
          </cell>
        </row>
        <row r="824">
          <cell r="D824" t="str">
            <v>7325</v>
          </cell>
          <cell r="E824" t="str">
            <v>Revenus des titres immobilisés</v>
          </cell>
          <cell r="F824">
            <v>0</v>
          </cell>
          <cell r="L824">
            <v>0</v>
          </cell>
          <cell r="P824">
            <v>0</v>
          </cell>
          <cell r="AC824">
            <v>0</v>
          </cell>
        </row>
        <row r="825">
          <cell r="D825" t="str">
            <v>7329</v>
          </cell>
          <cell r="E825" t="str">
            <v>Gains de change sur remboursement des dettes de financement</v>
          </cell>
          <cell r="F825">
            <v>0</v>
          </cell>
          <cell r="L825">
            <v>0</v>
          </cell>
          <cell r="P825">
            <v>0</v>
          </cell>
          <cell r="AC825">
            <v>0</v>
          </cell>
        </row>
        <row r="826">
          <cell r="D826" t="str">
            <v>7331</v>
          </cell>
          <cell r="E826" t="str">
            <v>Gains de change sur opérations de trésorerie</v>
          </cell>
          <cell r="F826">
            <v>0</v>
          </cell>
          <cell r="L826">
            <v>0</v>
          </cell>
          <cell r="P826">
            <v>0</v>
          </cell>
          <cell r="AC826">
            <v>0</v>
          </cell>
        </row>
        <row r="827">
          <cell r="D827" t="str">
            <v>7332</v>
          </cell>
          <cell r="E827" t="str">
            <v>Gains de change sur opérations commerciales</v>
          </cell>
          <cell r="F827">
            <v>0</v>
          </cell>
          <cell r="L827">
            <v>0</v>
          </cell>
          <cell r="P827">
            <v>0</v>
          </cell>
          <cell r="AC827">
            <v>0</v>
          </cell>
        </row>
        <row r="828">
          <cell r="D828" t="str">
            <v>7342</v>
          </cell>
          <cell r="E828" t="str">
            <v>Intérêts des prêts hypothécaires accordés au personnel OE</v>
          </cell>
          <cell r="F828">
            <v>0</v>
          </cell>
          <cell r="L828">
            <v>0</v>
          </cell>
          <cell r="P828">
            <v>0</v>
          </cell>
          <cell r="AC828">
            <v>0</v>
          </cell>
        </row>
        <row r="829">
          <cell r="D829" t="str">
            <v>7346</v>
          </cell>
          <cell r="E829" t="str">
            <v>Intérêts des prêts hypothécaires accordés au personnel TAMCA</v>
          </cell>
          <cell r="F829">
            <v>0</v>
          </cell>
          <cell r="L829">
            <v>0</v>
          </cell>
          <cell r="P829">
            <v>0</v>
          </cell>
          <cell r="AC829">
            <v>0</v>
          </cell>
        </row>
        <row r="830">
          <cell r="D830" t="str">
            <v>7349</v>
          </cell>
          <cell r="E830" t="str">
            <v>Intérêts des prêts hypothécaires accordés au personnel hors cadres</v>
          </cell>
          <cell r="F830">
            <v>0</v>
          </cell>
          <cell r="L830">
            <v>0</v>
          </cell>
          <cell r="P830">
            <v>0</v>
          </cell>
          <cell r="AC830">
            <v>0</v>
          </cell>
        </row>
        <row r="831">
          <cell r="D831" t="str">
            <v>7352</v>
          </cell>
          <cell r="E831" t="str">
            <v>Intérêts des prêts achats de véhicules accordés au personnel OE</v>
          </cell>
          <cell r="F831">
            <v>0</v>
          </cell>
          <cell r="L831">
            <v>0</v>
          </cell>
          <cell r="P831">
            <v>0</v>
          </cell>
          <cell r="AC831">
            <v>0</v>
          </cell>
        </row>
        <row r="832">
          <cell r="D832" t="str">
            <v>7356</v>
          </cell>
          <cell r="E832" t="str">
            <v>Intérêts des prêts achats de véhicules accordés au personnel tamca</v>
          </cell>
          <cell r="F832">
            <v>0</v>
          </cell>
          <cell r="L832">
            <v>0</v>
          </cell>
          <cell r="P832">
            <v>0</v>
          </cell>
          <cell r="AC832">
            <v>0</v>
          </cell>
        </row>
        <row r="833">
          <cell r="D833" t="str">
            <v>7359</v>
          </cell>
          <cell r="E833" t="str">
            <v>Intérêts des prêts achats de véhicules accordés au personnel hors cadres</v>
          </cell>
          <cell r="F833">
            <v>0</v>
          </cell>
          <cell r="L833">
            <v>0</v>
          </cell>
          <cell r="P833">
            <v>0</v>
          </cell>
          <cell r="AC833">
            <v>0</v>
          </cell>
        </row>
        <row r="834">
          <cell r="D834" t="str">
            <v>7362</v>
          </cell>
          <cell r="E834" t="str">
            <v>Intérêts des prêts ménagers rémunérés pl OE</v>
          </cell>
          <cell r="F834">
            <v>0</v>
          </cell>
          <cell r="L834">
            <v>0</v>
          </cell>
          <cell r="P834">
            <v>0</v>
          </cell>
          <cell r="AC834">
            <v>0</v>
          </cell>
        </row>
        <row r="835">
          <cell r="D835" t="str">
            <v>7366</v>
          </cell>
          <cell r="E835" t="str">
            <v>Intérêts des prêts ménagers rémunérés pl TAMCA</v>
          </cell>
          <cell r="F835">
            <v>0</v>
          </cell>
          <cell r="L835">
            <v>0</v>
          </cell>
          <cell r="P835">
            <v>0</v>
          </cell>
          <cell r="AC835">
            <v>0</v>
          </cell>
        </row>
        <row r="836">
          <cell r="D836" t="str">
            <v>7369</v>
          </cell>
          <cell r="E836" t="str">
            <v>Intérêts des prêts ménagers rémunérés pl hors cadres</v>
          </cell>
          <cell r="F836">
            <v>0</v>
          </cell>
          <cell r="L836">
            <v>0</v>
          </cell>
          <cell r="P836">
            <v>0</v>
          </cell>
          <cell r="AC836">
            <v>0</v>
          </cell>
        </row>
        <row r="837">
          <cell r="D837" t="str">
            <v>7372</v>
          </cell>
          <cell r="E837" t="str">
            <v>Intérêts des prêts de cessions logements pl OE</v>
          </cell>
          <cell r="F837">
            <v>0</v>
          </cell>
          <cell r="L837">
            <v>0</v>
          </cell>
          <cell r="P837">
            <v>0</v>
          </cell>
          <cell r="AC837">
            <v>0</v>
          </cell>
        </row>
        <row r="838">
          <cell r="D838" t="str">
            <v>7376</v>
          </cell>
          <cell r="E838" t="str">
            <v>Intérêts des prêts de cessions logements personnel TAMCA</v>
          </cell>
          <cell r="F838">
            <v>0</v>
          </cell>
          <cell r="L838">
            <v>0</v>
          </cell>
          <cell r="P838">
            <v>0</v>
          </cell>
          <cell r="AC838">
            <v>0</v>
          </cell>
        </row>
        <row r="839">
          <cell r="D839" t="str">
            <v>7379</v>
          </cell>
          <cell r="E839" t="str">
            <v>Intérêts des prêts de cessions logements personnel hors cadres</v>
          </cell>
          <cell r="F839">
            <v>0</v>
          </cell>
          <cell r="L839">
            <v>0</v>
          </cell>
          <cell r="P839">
            <v>0</v>
          </cell>
          <cell r="AC839">
            <v>0</v>
          </cell>
        </row>
        <row r="840">
          <cell r="D840" t="str">
            <v>7382</v>
          </cell>
          <cell r="E840" t="str">
            <v>Intérêts des autres prêts au personnel OE</v>
          </cell>
          <cell r="F840">
            <v>0</v>
          </cell>
          <cell r="L840">
            <v>0</v>
          </cell>
          <cell r="P840">
            <v>0</v>
          </cell>
          <cell r="AC840">
            <v>0</v>
          </cell>
        </row>
        <row r="841">
          <cell r="D841" t="str">
            <v>7386</v>
          </cell>
          <cell r="E841" t="str">
            <v>Intérêts des autres prêts au personnel TAMCA</v>
          </cell>
          <cell r="F841">
            <v>0</v>
          </cell>
          <cell r="L841">
            <v>0</v>
          </cell>
          <cell r="P841">
            <v>0</v>
          </cell>
          <cell r="AC841">
            <v>0</v>
          </cell>
        </row>
        <row r="842">
          <cell r="D842" t="str">
            <v>7389</v>
          </cell>
          <cell r="E842" t="str">
            <v>Intérêts des autres prêts au personnel hors cadres</v>
          </cell>
          <cell r="F842">
            <v>0</v>
          </cell>
          <cell r="L842">
            <v>0</v>
          </cell>
          <cell r="P842">
            <v>0</v>
          </cell>
          <cell r="AC842">
            <v>0</v>
          </cell>
        </row>
        <row r="843">
          <cell r="D843" t="str">
            <v>7391</v>
          </cell>
          <cell r="E843" t="str">
            <v>Intérêts bancaires Maroc</v>
          </cell>
          <cell r="F843">
            <v>0</v>
          </cell>
          <cell r="L843">
            <v>0</v>
          </cell>
          <cell r="P843">
            <v>0</v>
          </cell>
          <cell r="AC843">
            <v>0</v>
          </cell>
        </row>
        <row r="844">
          <cell r="D844" t="str">
            <v>7392</v>
          </cell>
          <cell r="E844" t="str">
            <v>Intérêts bancaires bureau de Paris</v>
          </cell>
          <cell r="F844">
            <v>0</v>
          </cell>
          <cell r="L844">
            <v>0</v>
          </cell>
          <cell r="P844">
            <v>0</v>
          </cell>
          <cell r="AC844">
            <v>0</v>
          </cell>
        </row>
        <row r="845">
          <cell r="D845" t="str">
            <v>7393</v>
          </cell>
          <cell r="E845" t="str">
            <v>Intérêts des placements en devises</v>
          </cell>
          <cell r="F845">
            <v>0</v>
          </cell>
          <cell r="L845">
            <v>0</v>
          </cell>
          <cell r="P845">
            <v>0</v>
          </cell>
          <cell r="AC845">
            <v>0</v>
          </cell>
        </row>
        <row r="846">
          <cell r="D846" t="str">
            <v>7394</v>
          </cell>
          <cell r="E846" t="str">
            <v>Intérêts bancaires créditeurs</v>
          </cell>
          <cell r="F846">
            <v>0</v>
          </cell>
          <cell r="L846">
            <v>0</v>
          </cell>
          <cell r="P846">
            <v>0</v>
          </cell>
          <cell r="AC846">
            <v>0</v>
          </cell>
        </row>
        <row r="847">
          <cell r="D847" t="str">
            <v>7403</v>
          </cell>
          <cell r="E847" t="str">
            <v>Revenus des créances rattachées a des participations</v>
          </cell>
          <cell r="F847">
            <v>0</v>
          </cell>
          <cell r="L847">
            <v>0</v>
          </cell>
          <cell r="P847">
            <v>0</v>
          </cell>
          <cell r="AC847">
            <v>0</v>
          </cell>
        </row>
        <row r="848">
          <cell r="D848" t="str">
            <v>7404</v>
          </cell>
          <cell r="E848" t="str">
            <v>Revenus des titres et valeurs de placement</v>
          </cell>
          <cell r="F848">
            <v>0</v>
          </cell>
          <cell r="L848">
            <v>0</v>
          </cell>
          <cell r="P848">
            <v>0</v>
          </cell>
          <cell r="AC848">
            <v>0</v>
          </cell>
        </row>
        <row r="849">
          <cell r="D849" t="str">
            <v>7405</v>
          </cell>
          <cell r="E849" t="str">
            <v>Produits nets sur cessions de titres et valeurs de placement</v>
          </cell>
          <cell r="F849">
            <v>0</v>
          </cell>
          <cell r="L849">
            <v>0</v>
          </cell>
          <cell r="P849">
            <v>0</v>
          </cell>
          <cell r="AC849">
            <v>0</v>
          </cell>
        </row>
        <row r="850">
          <cell r="D850" t="str">
            <v>7406</v>
          </cell>
          <cell r="E850" t="str">
            <v>Escomptes obtenus</v>
          </cell>
          <cell r="F850">
            <v>0</v>
          </cell>
          <cell r="L850">
            <v>0</v>
          </cell>
          <cell r="P850">
            <v>0</v>
          </cell>
          <cell r="AC850">
            <v>0</v>
          </cell>
        </row>
        <row r="851">
          <cell r="D851" t="str">
            <v>7410</v>
          </cell>
          <cell r="E851" t="str">
            <v>Reprises sur amortissements des primes</v>
          </cell>
          <cell r="F851">
            <v>0</v>
          </cell>
          <cell r="L851">
            <v>0</v>
          </cell>
          <cell r="P851">
            <v>0</v>
          </cell>
          <cell r="AC851">
            <v>0</v>
          </cell>
        </row>
        <row r="852">
          <cell r="D852" t="str">
            <v>7420</v>
          </cell>
          <cell r="E852" t="str">
            <v>Reprises sur provisions pour dépréciation des immo.financières</v>
          </cell>
          <cell r="F852">
            <v>0</v>
          </cell>
          <cell r="L852">
            <v>0</v>
          </cell>
          <cell r="P852">
            <v>0</v>
          </cell>
          <cell r="AC852">
            <v>0</v>
          </cell>
        </row>
        <row r="853">
          <cell r="D853" t="str">
            <v>7430</v>
          </cell>
          <cell r="E853" t="str">
            <v>Reprises sur provisions pour risques et charges financiers</v>
          </cell>
          <cell r="F853">
            <v>0</v>
          </cell>
          <cell r="L853">
            <v>0</v>
          </cell>
          <cell r="P853">
            <v>0</v>
          </cell>
          <cell r="AC853">
            <v>0</v>
          </cell>
        </row>
        <row r="854">
          <cell r="D854" t="str">
            <v>7431</v>
          </cell>
          <cell r="E854" t="str">
            <v>Reprises sur provisions pour risques et charges financieres sur dettes financières</v>
          </cell>
          <cell r="F854">
            <v>0</v>
          </cell>
          <cell r="L854">
            <v>0</v>
          </cell>
          <cell r="P854">
            <v>0</v>
          </cell>
          <cell r="AC854">
            <v>0</v>
          </cell>
        </row>
        <row r="855">
          <cell r="D855" t="str">
            <v>7432</v>
          </cell>
          <cell r="E855" t="str">
            <v>Reprises sur provisions pour risques et charges financières</v>
          </cell>
          <cell r="F855">
            <v>0</v>
          </cell>
          <cell r="L855">
            <v>0</v>
          </cell>
          <cell r="P855">
            <v>0</v>
          </cell>
          <cell r="AC855">
            <v>0</v>
          </cell>
        </row>
        <row r="856">
          <cell r="D856" t="str">
            <v>7440</v>
          </cell>
          <cell r="E856" t="str">
            <v>Reprises sur provisions pour dépréciation des titres et valeurs de placement</v>
          </cell>
          <cell r="F856">
            <v>0</v>
          </cell>
          <cell r="L856">
            <v>0</v>
          </cell>
          <cell r="P856">
            <v>0</v>
          </cell>
          <cell r="AC856">
            <v>0</v>
          </cell>
        </row>
        <row r="857">
          <cell r="D857" t="str">
            <v>7441</v>
          </cell>
          <cell r="E857" t="str">
            <v>Reprises sur provisions pour dépréciation des VPM SICAV</v>
          </cell>
          <cell r="F857">
            <v>0</v>
          </cell>
          <cell r="L857">
            <v>0</v>
          </cell>
          <cell r="P857">
            <v>0</v>
          </cell>
          <cell r="AC857">
            <v>0</v>
          </cell>
        </row>
        <row r="858">
          <cell r="D858" t="str">
            <v>7460</v>
          </cell>
          <cell r="E858" t="str">
            <v>Reprises sur provisions pour dépréciation des comptes de trésorerie</v>
          </cell>
          <cell r="F858">
            <v>0</v>
          </cell>
          <cell r="L858">
            <v>0</v>
          </cell>
          <cell r="P858">
            <v>0</v>
          </cell>
          <cell r="AC858">
            <v>0</v>
          </cell>
        </row>
        <row r="859">
          <cell r="D859" t="str">
            <v>7471</v>
          </cell>
          <cell r="E859" t="str">
            <v>Transferts - charges d'intérêts</v>
          </cell>
          <cell r="F859">
            <v>0</v>
          </cell>
          <cell r="L859">
            <v>0</v>
          </cell>
          <cell r="P859">
            <v>0</v>
          </cell>
          <cell r="AC859">
            <v>0</v>
          </cell>
        </row>
        <row r="860">
          <cell r="D860" t="str">
            <v>7473</v>
          </cell>
          <cell r="E860" t="str">
            <v>Transferts - pertes de change</v>
          </cell>
          <cell r="F860">
            <v>0</v>
          </cell>
          <cell r="L860">
            <v>0</v>
          </cell>
          <cell r="P860">
            <v>0</v>
          </cell>
          <cell r="AC860">
            <v>0</v>
          </cell>
        </row>
        <row r="861">
          <cell r="D861" t="str">
            <v>7478</v>
          </cell>
          <cell r="E861" t="str">
            <v>Transferts - autres charges financières</v>
          </cell>
          <cell r="F861">
            <v>0</v>
          </cell>
          <cell r="L861">
            <v>0</v>
          </cell>
          <cell r="P861">
            <v>0</v>
          </cell>
          <cell r="AC861">
            <v>0</v>
          </cell>
        </row>
        <row r="862">
          <cell r="D862" t="str">
            <v>7514</v>
          </cell>
          <cell r="E862" t="str">
            <v>Produits de cession des immobilisations financières droits de propriété</v>
          </cell>
          <cell r="F862">
            <v>0</v>
          </cell>
          <cell r="L862">
            <v>0</v>
          </cell>
          <cell r="P862">
            <v>0</v>
          </cell>
          <cell r="AC862">
            <v>0</v>
          </cell>
        </row>
        <row r="863">
          <cell r="D863" t="str">
            <v>7561</v>
          </cell>
          <cell r="E863" t="str">
            <v>Subventions d'équilibre reçues de l'exercice</v>
          </cell>
          <cell r="F863">
            <v>0</v>
          </cell>
          <cell r="L863">
            <v>0</v>
          </cell>
          <cell r="P863">
            <v>0</v>
          </cell>
          <cell r="AC863">
            <v>0</v>
          </cell>
        </row>
        <row r="864">
          <cell r="D864" t="str">
            <v>7580</v>
          </cell>
          <cell r="E864" t="str">
            <v>Valeur net des amortissements des immobilisations</v>
          </cell>
          <cell r="F864">
            <v>0</v>
          </cell>
          <cell r="L864">
            <v>0</v>
          </cell>
          <cell r="P864">
            <v>0</v>
          </cell>
          <cell r="AC864">
            <v>0</v>
          </cell>
        </row>
        <row r="865">
          <cell r="D865" t="str">
            <v>7581</v>
          </cell>
          <cell r="E865" t="str">
            <v>Pénalités et dédits reçus</v>
          </cell>
          <cell r="F865">
            <v>0</v>
          </cell>
          <cell r="L865">
            <v>0</v>
          </cell>
          <cell r="P865">
            <v>0</v>
          </cell>
          <cell r="AC865">
            <v>0</v>
          </cell>
        </row>
        <row r="866">
          <cell r="D866" t="str">
            <v>7584</v>
          </cell>
          <cell r="E866" t="str">
            <v>Dégrèvements d'impôts autres qu'impôts sur les résultats</v>
          </cell>
          <cell r="F866">
            <v>0</v>
          </cell>
          <cell r="L866">
            <v>0</v>
          </cell>
          <cell r="P866">
            <v>0</v>
          </cell>
          <cell r="AC866">
            <v>0</v>
          </cell>
        </row>
        <row r="867">
          <cell r="D867" t="str">
            <v>7585</v>
          </cell>
          <cell r="E867" t="str">
            <v>Rentrées sur créances soldées</v>
          </cell>
          <cell r="F867">
            <v>0</v>
          </cell>
          <cell r="L867">
            <v>0</v>
          </cell>
          <cell r="P867">
            <v>0</v>
          </cell>
          <cell r="AC867">
            <v>0</v>
          </cell>
        </row>
        <row r="868">
          <cell r="D868" t="str">
            <v>7586</v>
          </cell>
          <cell r="E868" t="str">
            <v>Dons, libéralités et lots reçus</v>
          </cell>
          <cell r="F868">
            <v>0</v>
          </cell>
          <cell r="L868">
            <v>0</v>
          </cell>
          <cell r="P868">
            <v>0</v>
          </cell>
          <cell r="AC868">
            <v>0</v>
          </cell>
        </row>
        <row r="869">
          <cell r="D869" t="str">
            <v>7641</v>
          </cell>
          <cell r="E869" t="str">
            <v>Reprises sur amortissements dérogatoires</v>
          </cell>
          <cell r="F869">
            <v>0</v>
          </cell>
          <cell r="L869">
            <v>0</v>
          </cell>
          <cell r="P869">
            <v>0</v>
          </cell>
          <cell r="AC869">
            <v>0</v>
          </cell>
        </row>
        <row r="870">
          <cell r="D870" t="str">
            <v>7642</v>
          </cell>
          <cell r="E870" t="str">
            <v>Reprises sur plus values en instance d'imposition</v>
          </cell>
          <cell r="F870">
            <v>0</v>
          </cell>
          <cell r="L870">
            <v>0</v>
          </cell>
          <cell r="P870">
            <v>0</v>
          </cell>
          <cell r="AC870">
            <v>0</v>
          </cell>
        </row>
        <row r="871">
          <cell r="D871" t="str">
            <v>7644</v>
          </cell>
          <cell r="E871" t="str">
            <v>Reprises sur provisions pour investissements</v>
          </cell>
          <cell r="F871">
            <v>0</v>
          </cell>
          <cell r="L871">
            <v>0</v>
          </cell>
          <cell r="P871">
            <v>0</v>
          </cell>
          <cell r="AC871">
            <v>0</v>
          </cell>
        </row>
        <row r="872">
          <cell r="D872" t="str">
            <v>7645</v>
          </cell>
          <cell r="E872" t="str">
            <v>Reprises sur provisions pour reconstitution de gisements</v>
          </cell>
          <cell r="F872">
            <v>0</v>
          </cell>
          <cell r="L872">
            <v>0</v>
          </cell>
          <cell r="P872">
            <v>0</v>
          </cell>
          <cell r="AC872">
            <v>0</v>
          </cell>
        </row>
        <row r="873">
          <cell r="D873" t="str">
            <v>7646</v>
          </cell>
          <cell r="E873" t="str">
            <v>Reprises sur provisions pour acquisition et construction de logements</v>
          </cell>
          <cell r="F873">
            <v>0</v>
          </cell>
          <cell r="L873">
            <v>0</v>
          </cell>
          <cell r="P873">
            <v>0</v>
          </cell>
          <cell r="AC873">
            <v>0</v>
          </cell>
        </row>
        <row r="874">
          <cell r="D874" t="str">
            <v>7655</v>
          </cell>
          <cell r="E874" t="str">
            <v>Reprises sur provisions pour risques et charges durables</v>
          </cell>
          <cell r="F874">
            <v>0</v>
          </cell>
          <cell r="L874">
            <v>0</v>
          </cell>
          <cell r="P874">
            <v>0</v>
          </cell>
          <cell r="AC874">
            <v>0</v>
          </cell>
        </row>
        <row r="875">
          <cell r="D875" t="str">
            <v>7657</v>
          </cell>
          <cell r="E875" t="str">
            <v>Reprises sur provisions pour risques et charges momentanés</v>
          </cell>
          <cell r="F875">
            <v>0</v>
          </cell>
          <cell r="L875">
            <v>0</v>
          </cell>
          <cell r="P875">
            <v>0</v>
          </cell>
          <cell r="AC875">
            <v>0</v>
          </cell>
        </row>
        <row r="876">
          <cell r="D876" t="str">
            <v>7662</v>
          </cell>
          <cell r="E876" t="str">
            <v>R.N.C sur provisions pour dépréciation de l'actif immobilisé</v>
          </cell>
          <cell r="F876">
            <v>0</v>
          </cell>
          <cell r="L876">
            <v>0</v>
          </cell>
          <cell r="P876">
            <v>0</v>
          </cell>
          <cell r="AC876">
            <v>0</v>
          </cell>
        </row>
        <row r="877">
          <cell r="D877" t="str">
            <v>7663</v>
          </cell>
          <cell r="E877" t="str">
            <v>R.N.C sur provisions pour dépréciation de l'actif circulant</v>
          </cell>
          <cell r="F877">
            <v>0</v>
          </cell>
          <cell r="L877">
            <v>0</v>
          </cell>
          <cell r="P877">
            <v>0</v>
          </cell>
          <cell r="AC877">
            <v>0</v>
          </cell>
        </row>
        <row r="878">
          <cell r="D878" t="str">
            <v>7670</v>
          </cell>
          <cell r="E878" t="str">
            <v>Transferts de charges non courantes</v>
          </cell>
          <cell r="F878">
            <v>0</v>
          </cell>
          <cell r="L878">
            <v>0</v>
          </cell>
          <cell r="P878">
            <v>0</v>
          </cell>
          <cell r="AC878">
            <v>0</v>
          </cell>
        </row>
        <row r="879">
          <cell r="B879">
            <v>1</v>
          </cell>
          <cell r="C879">
            <v>800</v>
          </cell>
          <cell r="D879" t="str">
            <v>8100</v>
          </cell>
          <cell r="E879" t="str">
            <v>Recettes ligne 2100</v>
          </cell>
          <cell r="L879">
            <v>0</v>
          </cell>
          <cell r="P879">
            <v>0</v>
          </cell>
          <cell r="AC879">
            <v>0</v>
          </cell>
        </row>
        <row r="880">
          <cell r="D880" t="str">
            <v>8101</v>
          </cell>
          <cell r="E880" t="str">
            <v>Recettes ligne 2101</v>
          </cell>
          <cell r="F880">
            <v>0</v>
          </cell>
          <cell r="L880">
            <v>0</v>
          </cell>
          <cell r="P880">
            <v>0</v>
          </cell>
          <cell r="AC880">
            <v>0</v>
          </cell>
        </row>
        <row r="881">
          <cell r="B881">
            <v>1</v>
          </cell>
          <cell r="C881">
            <v>802</v>
          </cell>
          <cell r="D881" t="str">
            <v>8102</v>
          </cell>
          <cell r="E881" t="str">
            <v>Recettes ligne 2102</v>
          </cell>
          <cell r="L881">
            <v>0</v>
          </cell>
          <cell r="P881">
            <v>0</v>
          </cell>
          <cell r="AC881">
            <v>0</v>
          </cell>
        </row>
        <row r="882">
          <cell r="B882">
            <v>1</v>
          </cell>
          <cell r="C882">
            <v>803</v>
          </cell>
          <cell r="D882" t="str">
            <v>8103</v>
          </cell>
          <cell r="E882" t="str">
            <v>Recettes ligne 2103</v>
          </cell>
          <cell r="L882">
            <v>0</v>
          </cell>
          <cell r="P882">
            <v>0</v>
          </cell>
          <cell r="AC882">
            <v>0</v>
          </cell>
        </row>
        <row r="883">
          <cell r="D883" t="str">
            <v>8104</v>
          </cell>
          <cell r="E883" t="str">
            <v>Recettes ligne 2104</v>
          </cell>
          <cell r="F883">
            <v>0</v>
          </cell>
          <cell r="L883">
            <v>0</v>
          </cell>
          <cell r="P883">
            <v>0</v>
          </cell>
          <cell r="AC883">
            <v>0</v>
          </cell>
        </row>
        <row r="884">
          <cell r="D884" t="str">
            <v>8105</v>
          </cell>
          <cell r="E884" t="str">
            <v>Recettes ligne 2105</v>
          </cell>
          <cell r="F884">
            <v>0</v>
          </cell>
          <cell r="L884">
            <v>0</v>
          </cell>
          <cell r="P884">
            <v>0</v>
          </cell>
          <cell r="AC884">
            <v>0</v>
          </cell>
        </row>
        <row r="885">
          <cell r="B885">
            <v>1</v>
          </cell>
          <cell r="C885">
            <v>806</v>
          </cell>
          <cell r="D885" t="str">
            <v>8106</v>
          </cell>
          <cell r="E885" t="str">
            <v>Recettes ligne 2106</v>
          </cell>
          <cell r="F885">
            <v>0</v>
          </cell>
          <cell r="L885">
            <v>0</v>
          </cell>
          <cell r="P885">
            <v>0</v>
          </cell>
          <cell r="AC885">
            <v>0</v>
          </cell>
        </row>
        <row r="886">
          <cell r="B886">
            <v>1</v>
          </cell>
          <cell r="C886">
            <v>807</v>
          </cell>
          <cell r="D886" t="str">
            <v>8107</v>
          </cell>
          <cell r="E886" t="str">
            <v>Recettes ligne 2107</v>
          </cell>
          <cell r="F886">
            <v>0</v>
          </cell>
          <cell r="L886">
            <v>0</v>
          </cell>
          <cell r="P886">
            <v>0</v>
          </cell>
          <cell r="AC886">
            <v>0</v>
          </cell>
        </row>
        <row r="887">
          <cell r="D887" t="str">
            <v>8110</v>
          </cell>
          <cell r="E887" t="str">
            <v>Recettes ligne 2110</v>
          </cell>
          <cell r="F887">
            <v>0</v>
          </cell>
          <cell r="L887">
            <v>0</v>
          </cell>
          <cell r="P887">
            <v>0</v>
          </cell>
          <cell r="AC887">
            <v>0</v>
          </cell>
        </row>
        <row r="888">
          <cell r="D888" t="str">
            <v>8121</v>
          </cell>
          <cell r="E888" t="str">
            <v>Recette ligne 2121</v>
          </cell>
          <cell r="F888">
            <v>0</v>
          </cell>
          <cell r="L888">
            <v>0</v>
          </cell>
          <cell r="P888">
            <v>0</v>
          </cell>
          <cell r="AC888">
            <v>0</v>
          </cell>
        </row>
        <row r="889">
          <cell r="D889" t="str">
            <v>8122</v>
          </cell>
          <cell r="E889" t="str">
            <v>Recette ligne 2122</v>
          </cell>
          <cell r="F889">
            <v>0</v>
          </cell>
          <cell r="L889">
            <v>0</v>
          </cell>
          <cell r="P889">
            <v>0</v>
          </cell>
          <cell r="AC889">
            <v>0</v>
          </cell>
        </row>
        <row r="890">
          <cell r="D890" t="str">
            <v>8123</v>
          </cell>
          <cell r="E890" t="str">
            <v>Recette ligne 2123</v>
          </cell>
          <cell r="F890">
            <v>0</v>
          </cell>
          <cell r="L890">
            <v>0</v>
          </cell>
          <cell r="P890">
            <v>0</v>
          </cell>
          <cell r="AC890">
            <v>0</v>
          </cell>
        </row>
        <row r="891">
          <cell r="D891" t="str">
            <v>8124</v>
          </cell>
          <cell r="E891" t="str">
            <v>Recette ligne 2124</v>
          </cell>
          <cell r="F891">
            <v>0</v>
          </cell>
          <cell r="L891">
            <v>0</v>
          </cell>
          <cell r="P891">
            <v>0</v>
          </cell>
          <cell r="AC891">
            <v>0</v>
          </cell>
        </row>
        <row r="892">
          <cell r="D892" t="str">
            <v>8125</v>
          </cell>
          <cell r="E892" t="str">
            <v>Recette ligne 2125</v>
          </cell>
          <cell r="F892">
            <v>0</v>
          </cell>
          <cell r="L892">
            <v>0</v>
          </cell>
          <cell r="P892">
            <v>0</v>
          </cell>
          <cell r="AC892">
            <v>0</v>
          </cell>
        </row>
        <row r="893">
          <cell r="D893" t="str">
            <v>8126</v>
          </cell>
          <cell r="E893" t="str">
            <v>Recette ligne 2126</v>
          </cell>
          <cell r="F893">
            <v>0</v>
          </cell>
          <cell r="L893">
            <v>0</v>
          </cell>
          <cell r="P893">
            <v>0</v>
          </cell>
          <cell r="AC893">
            <v>0</v>
          </cell>
        </row>
        <row r="894">
          <cell r="D894" t="str">
            <v>8130</v>
          </cell>
          <cell r="E894" t="str">
            <v>Recette ligne 2130</v>
          </cell>
          <cell r="F894">
            <v>0</v>
          </cell>
          <cell r="L894">
            <v>0</v>
          </cell>
          <cell r="P894">
            <v>0</v>
          </cell>
          <cell r="AC894">
            <v>0</v>
          </cell>
        </row>
        <row r="895">
          <cell r="D895" t="str">
            <v>8140</v>
          </cell>
          <cell r="E895" t="str">
            <v>Recette ligne 2140</v>
          </cell>
          <cell r="F895">
            <v>0</v>
          </cell>
          <cell r="L895">
            <v>0</v>
          </cell>
          <cell r="P895">
            <v>0</v>
          </cell>
          <cell r="AC895">
            <v>0</v>
          </cell>
        </row>
        <row r="896">
          <cell r="D896" t="str">
            <v>8141</v>
          </cell>
          <cell r="E896" t="str">
            <v>Recette ligne 2141</v>
          </cell>
          <cell r="F896">
            <v>0</v>
          </cell>
          <cell r="L896">
            <v>0</v>
          </cell>
          <cell r="P896">
            <v>0</v>
          </cell>
          <cell r="AC896">
            <v>0</v>
          </cell>
        </row>
        <row r="897">
          <cell r="D897" t="str">
            <v>8142</v>
          </cell>
          <cell r="E897" t="str">
            <v>Recette ligne 2142</v>
          </cell>
          <cell r="F897">
            <v>0</v>
          </cell>
          <cell r="L897">
            <v>0</v>
          </cell>
          <cell r="P897">
            <v>0</v>
          </cell>
          <cell r="AC897">
            <v>0</v>
          </cell>
        </row>
        <row r="898">
          <cell r="D898" t="str">
            <v>8149</v>
          </cell>
          <cell r="E898" t="str">
            <v>Recette ligne 2142 à 2149</v>
          </cell>
          <cell r="F898">
            <v>0</v>
          </cell>
          <cell r="L898">
            <v>0</v>
          </cell>
          <cell r="P898">
            <v>0</v>
          </cell>
          <cell r="AC898">
            <v>0</v>
          </cell>
        </row>
        <row r="899">
          <cell r="D899" t="str">
            <v>8150</v>
          </cell>
          <cell r="E899" t="str">
            <v>Recettes ligne 2150</v>
          </cell>
          <cell r="F899">
            <v>0</v>
          </cell>
          <cell r="L899">
            <v>0</v>
          </cell>
          <cell r="P899">
            <v>0</v>
          </cell>
          <cell r="AC899">
            <v>0</v>
          </cell>
        </row>
        <row r="900">
          <cell r="D900" t="str">
            <v>8151</v>
          </cell>
          <cell r="E900" t="str">
            <v>Recettes ligne 2151</v>
          </cell>
          <cell r="F900">
            <v>0</v>
          </cell>
          <cell r="L900">
            <v>0</v>
          </cell>
          <cell r="P900">
            <v>0</v>
          </cell>
          <cell r="AC900">
            <v>0</v>
          </cell>
        </row>
        <row r="901">
          <cell r="D901" t="str">
            <v>8152</v>
          </cell>
          <cell r="E901" t="str">
            <v>Recettes ligne 2152</v>
          </cell>
          <cell r="F901">
            <v>0</v>
          </cell>
          <cell r="L901">
            <v>0</v>
          </cell>
          <cell r="P901">
            <v>0</v>
          </cell>
          <cell r="AC901">
            <v>0</v>
          </cell>
        </row>
        <row r="902">
          <cell r="D902" t="str">
            <v>8153</v>
          </cell>
          <cell r="E902" t="str">
            <v>Recettes ligne 2153</v>
          </cell>
          <cell r="F902">
            <v>0</v>
          </cell>
          <cell r="L902">
            <v>0</v>
          </cell>
          <cell r="P902">
            <v>0</v>
          </cell>
          <cell r="AC902">
            <v>0</v>
          </cell>
        </row>
        <row r="903">
          <cell r="D903" t="str">
            <v>8154</v>
          </cell>
          <cell r="E903" t="str">
            <v>Recettes ligne 2154</v>
          </cell>
          <cell r="F903">
            <v>0</v>
          </cell>
          <cell r="L903">
            <v>0</v>
          </cell>
          <cell r="P903">
            <v>0</v>
          </cell>
          <cell r="AC903">
            <v>0</v>
          </cell>
        </row>
        <row r="904">
          <cell r="D904" t="str">
            <v>8155</v>
          </cell>
          <cell r="E904" t="str">
            <v>Recettes ligne 2155</v>
          </cell>
          <cell r="F904">
            <v>0</v>
          </cell>
          <cell r="L904">
            <v>0</v>
          </cell>
          <cell r="P904">
            <v>0</v>
          </cell>
          <cell r="AC904">
            <v>0</v>
          </cell>
        </row>
        <row r="905">
          <cell r="D905" t="str">
            <v>8156</v>
          </cell>
          <cell r="E905" t="str">
            <v>Recettes ligne 2156</v>
          </cell>
          <cell r="F905">
            <v>0</v>
          </cell>
          <cell r="L905">
            <v>0</v>
          </cell>
          <cell r="P905">
            <v>0</v>
          </cell>
          <cell r="AC905">
            <v>0</v>
          </cell>
        </row>
        <row r="906">
          <cell r="D906" t="str">
            <v>8157</v>
          </cell>
          <cell r="E906" t="str">
            <v>Recettes ligne 2157</v>
          </cell>
          <cell r="F906">
            <v>0</v>
          </cell>
          <cell r="L906">
            <v>0</v>
          </cell>
          <cell r="P906">
            <v>0</v>
          </cell>
          <cell r="AC906">
            <v>0</v>
          </cell>
        </row>
        <row r="907">
          <cell r="D907" t="str">
            <v>8158</v>
          </cell>
          <cell r="E907" t="str">
            <v>Recettes ligne 2158</v>
          </cell>
          <cell r="F907">
            <v>0</v>
          </cell>
          <cell r="L907">
            <v>0</v>
          </cell>
          <cell r="P907">
            <v>0</v>
          </cell>
          <cell r="AC907">
            <v>0</v>
          </cell>
        </row>
        <row r="908">
          <cell r="D908" t="str">
            <v>8159</v>
          </cell>
          <cell r="E908" t="str">
            <v>Recettes ligne 2159</v>
          </cell>
          <cell r="F908">
            <v>0</v>
          </cell>
          <cell r="L908">
            <v>0</v>
          </cell>
          <cell r="P908">
            <v>0</v>
          </cell>
          <cell r="AC908">
            <v>0</v>
          </cell>
        </row>
        <row r="909">
          <cell r="D909" t="str">
            <v>8160</v>
          </cell>
          <cell r="E909" t="str">
            <v>Recettes ligne 2160</v>
          </cell>
          <cell r="F909">
            <v>0</v>
          </cell>
          <cell r="L909">
            <v>0</v>
          </cell>
          <cell r="P909">
            <v>0</v>
          </cell>
          <cell r="AC909">
            <v>0</v>
          </cell>
        </row>
        <row r="910">
          <cell r="D910" t="str">
            <v>8161</v>
          </cell>
          <cell r="E910" t="str">
            <v>Recettes ligne 2161</v>
          </cell>
          <cell r="F910">
            <v>0</v>
          </cell>
          <cell r="L910">
            <v>0</v>
          </cell>
          <cell r="P910">
            <v>0</v>
          </cell>
          <cell r="AC910">
            <v>0</v>
          </cell>
        </row>
        <row r="911">
          <cell r="D911" t="str">
            <v>8162</v>
          </cell>
          <cell r="E911" t="str">
            <v>Recettes ligne 2162</v>
          </cell>
          <cell r="F911">
            <v>0</v>
          </cell>
          <cell r="L911">
            <v>0</v>
          </cell>
          <cell r="P911">
            <v>0</v>
          </cell>
          <cell r="AC911">
            <v>0</v>
          </cell>
        </row>
        <row r="912">
          <cell r="D912" t="str">
            <v>8163</v>
          </cell>
          <cell r="E912" t="str">
            <v>Recettes ligne 2163</v>
          </cell>
          <cell r="F912">
            <v>0</v>
          </cell>
          <cell r="L912">
            <v>0</v>
          </cell>
          <cell r="P912">
            <v>0</v>
          </cell>
          <cell r="AC912">
            <v>0</v>
          </cell>
        </row>
        <row r="913">
          <cell r="D913" t="str">
            <v>8164</v>
          </cell>
          <cell r="E913" t="str">
            <v>Recettes ligne 2164</v>
          </cell>
          <cell r="F913">
            <v>0</v>
          </cell>
          <cell r="L913">
            <v>0</v>
          </cell>
          <cell r="P913">
            <v>0</v>
          </cell>
          <cell r="AC913">
            <v>0</v>
          </cell>
        </row>
        <row r="914">
          <cell r="D914" t="str">
            <v>8169</v>
          </cell>
          <cell r="E914" t="str">
            <v>Recettes ligne 2169</v>
          </cell>
          <cell r="F914">
            <v>0</v>
          </cell>
          <cell r="L914">
            <v>0</v>
          </cell>
          <cell r="P914">
            <v>0</v>
          </cell>
          <cell r="AC914">
            <v>0</v>
          </cell>
        </row>
        <row r="915">
          <cell r="B915">
            <v>1</v>
          </cell>
          <cell r="C915">
            <v>820</v>
          </cell>
          <cell r="D915" t="str">
            <v>8200</v>
          </cell>
          <cell r="E915" t="str">
            <v>Recettes lignes 2200 à 2290</v>
          </cell>
          <cell r="F915">
            <v>0</v>
          </cell>
          <cell r="L915">
            <v>0</v>
          </cell>
          <cell r="P915">
            <v>0</v>
          </cell>
          <cell r="AC915">
            <v>0</v>
          </cell>
        </row>
        <row r="916">
          <cell r="B916">
            <v>1</v>
          </cell>
          <cell r="C916">
            <v>830</v>
          </cell>
          <cell r="D916" t="str">
            <v>8300</v>
          </cell>
          <cell r="E916" t="str">
            <v>Recettes lignes 2300à 2390</v>
          </cell>
          <cell r="F916">
            <v>0</v>
          </cell>
          <cell r="L916">
            <v>0</v>
          </cell>
          <cell r="P916">
            <v>0</v>
          </cell>
          <cell r="AC916">
            <v>0</v>
          </cell>
        </row>
        <row r="917">
          <cell r="D917" t="str">
            <v>8600</v>
          </cell>
          <cell r="E917" t="str">
            <v>Recette d'équilibrage des SA d'exécution, contrepartie LPR 2600</v>
          </cell>
          <cell r="F917">
            <v>0</v>
          </cell>
          <cell r="L917">
            <v>0</v>
          </cell>
          <cell r="P917">
            <v>0</v>
          </cell>
          <cell r="AC917">
            <v>0</v>
          </cell>
        </row>
        <row r="918">
          <cell r="D918" t="str">
            <v>9099</v>
          </cell>
          <cell r="E918" t="str">
            <v>Achats de matières premières</v>
          </cell>
          <cell r="F918">
            <v>0</v>
          </cell>
          <cell r="L918">
            <v>0</v>
          </cell>
          <cell r="P918">
            <v>0</v>
          </cell>
          <cell r="AC918">
            <v>0</v>
          </cell>
        </row>
        <row r="919">
          <cell r="D919" t="str">
            <v>9100</v>
          </cell>
          <cell r="E919" t="str">
            <v>Phosphate y1</v>
          </cell>
          <cell r="F919">
            <v>0</v>
          </cell>
          <cell r="L919">
            <v>0</v>
          </cell>
          <cell r="P919">
            <v>0</v>
          </cell>
          <cell r="AC919">
            <v>0</v>
          </cell>
        </row>
        <row r="920">
          <cell r="D920" t="str">
            <v>9101</v>
          </cell>
          <cell r="E920" t="str">
            <v>Phosphate y12</v>
          </cell>
          <cell r="F920">
            <v>0</v>
          </cell>
          <cell r="L920">
            <v>0</v>
          </cell>
          <cell r="P920">
            <v>0</v>
          </cell>
          <cell r="AC920">
            <v>0</v>
          </cell>
        </row>
        <row r="921">
          <cell r="D921" t="str">
            <v>9102</v>
          </cell>
          <cell r="E921" t="str">
            <v>Phosphate y2</v>
          </cell>
          <cell r="F921">
            <v>0</v>
          </cell>
          <cell r="L921">
            <v>0</v>
          </cell>
          <cell r="P921">
            <v>0</v>
          </cell>
          <cell r="AC921">
            <v>0</v>
          </cell>
        </row>
        <row r="922">
          <cell r="D922" t="str">
            <v>9103</v>
          </cell>
          <cell r="E922" t="str">
            <v>Phosphate y21</v>
          </cell>
          <cell r="F922">
            <v>0</v>
          </cell>
          <cell r="L922">
            <v>0</v>
          </cell>
          <cell r="P922">
            <v>0</v>
          </cell>
          <cell r="AC922">
            <v>0</v>
          </cell>
        </row>
        <row r="923">
          <cell r="D923" t="str">
            <v>9104</v>
          </cell>
          <cell r="E923" t="str">
            <v>Phosphate y23</v>
          </cell>
          <cell r="F923">
            <v>0</v>
          </cell>
          <cell r="L923">
            <v>0</v>
          </cell>
          <cell r="P923">
            <v>0</v>
          </cell>
          <cell r="AC923">
            <v>0</v>
          </cell>
        </row>
        <row r="924">
          <cell r="D924" t="str">
            <v>9105</v>
          </cell>
          <cell r="E924" t="str">
            <v>Phosphate noir seché yns</v>
          </cell>
          <cell r="F924">
            <v>0</v>
          </cell>
          <cell r="L924">
            <v>0</v>
          </cell>
          <cell r="P924">
            <v>0</v>
          </cell>
          <cell r="AC924">
            <v>0</v>
          </cell>
        </row>
        <row r="925">
          <cell r="D925" t="str">
            <v>9106</v>
          </cell>
          <cell r="E925" t="str">
            <v>Phosphate humide BG standard BG st</v>
          </cell>
          <cell r="F925">
            <v>0</v>
          </cell>
          <cell r="L925">
            <v>0</v>
          </cell>
          <cell r="P925">
            <v>0</v>
          </cell>
          <cell r="AC925">
            <v>0</v>
          </cell>
        </row>
        <row r="926">
          <cell r="D926" t="str">
            <v>9107</v>
          </cell>
          <cell r="E926" t="str">
            <v>Phosphate humide BG spécial BG sp</v>
          </cell>
          <cell r="F926">
            <v>0</v>
          </cell>
          <cell r="L926">
            <v>0</v>
          </cell>
          <cell r="P926">
            <v>0</v>
          </cell>
          <cell r="AC926">
            <v>0</v>
          </cell>
        </row>
        <row r="927">
          <cell r="D927" t="str">
            <v>9108</v>
          </cell>
          <cell r="E927" t="str">
            <v>Phosphate C4 BG sec</v>
          </cell>
          <cell r="F927">
            <v>0</v>
          </cell>
          <cell r="L927">
            <v>0</v>
          </cell>
          <cell r="P927">
            <v>0</v>
          </cell>
          <cell r="AC927">
            <v>0</v>
          </cell>
        </row>
        <row r="928">
          <cell r="D928" t="str">
            <v>9109</v>
          </cell>
          <cell r="E928" t="str">
            <v>Phosphate C4 BG Humide Criblé</v>
          </cell>
          <cell r="F928">
            <v>0</v>
          </cell>
          <cell r="L928">
            <v>0</v>
          </cell>
          <cell r="P928">
            <v>0</v>
          </cell>
          <cell r="AC928">
            <v>0</v>
          </cell>
        </row>
        <row r="929">
          <cell r="D929" t="str">
            <v>9110</v>
          </cell>
          <cell r="E929" t="str">
            <v>Phosphate K02</v>
          </cell>
          <cell r="F929">
            <v>0</v>
          </cell>
          <cell r="L929">
            <v>0</v>
          </cell>
          <cell r="P929">
            <v>0</v>
          </cell>
          <cell r="AC929">
            <v>0</v>
          </cell>
        </row>
        <row r="930">
          <cell r="D930" t="str">
            <v>9111</v>
          </cell>
          <cell r="E930" t="str">
            <v>Phosphate K09</v>
          </cell>
          <cell r="F930">
            <v>0</v>
          </cell>
          <cell r="L930">
            <v>0</v>
          </cell>
          <cell r="P930">
            <v>0</v>
          </cell>
          <cell r="AC930">
            <v>0</v>
          </cell>
        </row>
        <row r="931">
          <cell r="D931" t="str">
            <v>9112</v>
          </cell>
          <cell r="E931" t="str">
            <v>Phosphate K10</v>
          </cell>
          <cell r="F931">
            <v>0</v>
          </cell>
          <cell r="L931">
            <v>0</v>
          </cell>
          <cell r="P931">
            <v>0</v>
          </cell>
          <cell r="AC931">
            <v>0</v>
          </cell>
        </row>
        <row r="932">
          <cell r="D932" t="str">
            <v>9113</v>
          </cell>
          <cell r="E932" t="str">
            <v>Phosphate K12 Grande Paroisse</v>
          </cell>
          <cell r="F932">
            <v>0</v>
          </cell>
          <cell r="L932">
            <v>0</v>
          </cell>
          <cell r="P932">
            <v>0</v>
          </cell>
          <cell r="AC932">
            <v>0</v>
          </cell>
        </row>
        <row r="933">
          <cell r="D933" t="str">
            <v>9114</v>
          </cell>
          <cell r="E933" t="str">
            <v>Phosphate K20 Grande Paroisse</v>
          </cell>
          <cell r="F933">
            <v>0</v>
          </cell>
          <cell r="L933">
            <v>0</v>
          </cell>
          <cell r="P933">
            <v>0</v>
          </cell>
          <cell r="AC933">
            <v>0</v>
          </cell>
        </row>
        <row r="934">
          <cell r="D934" t="str">
            <v>9115</v>
          </cell>
          <cell r="E934" t="str">
            <v>Phosphates boucraa 80°/° bpl</v>
          </cell>
          <cell r="F934">
            <v>0</v>
          </cell>
          <cell r="L934">
            <v>0</v>
          </cell>
          <cell r="P934">
            <v>0</v>
          </cell>
          <cell r="AC934">
            <v>0</v>
          </cell>
        </row>
        <row r="935">
          <cell r="D935" t="str">
            <v>9120</v>
          </cell>
          <cell r="E935" t="str">
            <v>Soufre solide</v>
          </cell>
          <cell r="F935">
            <v>0</v>
          </cell>
          <cell r="L935">
            <v>0</v>
          </cell>
          <cell r="P935">
            <v>0</v>
          </cell>
          <cell r="AC935">
            <v>0</v>
          </cell>
        </row>
        <row r="936">
          <cell r="D936" t="str">
            <v>9121</v>
          </cell>
          <cell r="E936" t="str">
            <v>Soufre liquide</v>
          </cell>
          <cell r="F936">
            <v>0</v>
          </cell>
          <cell r="L936">
            <v>0</v>
          </cell>
          <cell r="P936">
            <v>0</v>
          </cell>
          <cell r="AC936">
            <v>0</v>
          </cell>
        </row>
        <row r="937">
          <cell r="D937" t="str">
            <v>9122</v>
          </cell>
          <cell r="E937" t="str">
            <v>KCL chlorure de potasse</v>
          </cell>
          <cell r="F937">
            <v>0</v>
          </cell>
          <cell r="L937">
            <v>0</v>
          </cell>
          <cell r="P937">
            <v>0</v>
          </cell>
          <cell r="AC937">
            <v>0</v>
          </cell>
        </row>
        <row r="938">
          <cell r="D938" t="str">
            <v>9123</v>
          </cell>
          <cell r="E938" t="str">
            <v>Ammoniac import</v>
          </cell>
          <cell r="F938">
            <v>0</v>
          </cell>
          <cell r="L938">
            <v>0</v>
          </cell>
          <cell r="P938">
            <v>0</v>
          </cell>
          <cell r="AC938">
            <v>0</v>
          </cell>
        </row>
        <row r="939">
          <cell r="D939" t="str">
            <v>9140</v>
          </cell>
          <cell r="E939" t="str">
            <v>Acide sulfurique import</v>
          </cell>
          <cell r="F939">
            <v>0</v>
          </cell>
          <cell r="L939">
            <v>0</v>
          </cell>
          <cell r="P939">
            <v>0</v>
          </cell>
          <cell r="AC939">
            <v>0</v>
          </cell>
        </row>
        <row r="940">
          <cell r="D940" t="str">
            <v>9151</v>
          </cell>
          <cell r="E940" t="str">
            <v>Transport de phosphates</v>
          </cell>
          <cell r="F940">
            <v>0</v>
          </cell>
          <cell r="L940">
            <v>0</v>
          </cell>
          <cell r="P940">
            <v>0</v>
          </cell>
          <cell r="AC940">
            <v>0</v>
          </cell>
        </row>
        <row r="941">
          <cell r="D941" t="str">
            <v>9161</v>
          </cell>
          <cell r="E941" t="str">
            <v>Frêt et frais sur importations soufre</v>
          </cell>
          <cell r="F941">
            <v>0</v>
          </cell>
          <cell r="L941">
            <v>0</v>
          </cell>
          <cell r="P941">
            <v>0</v>
          </cell>
          <cell r="AC941">
            <v>0</v>
          </cell>
        </row>
        <row r="942">
          <cell r="D942" t="str">
            <v>9164</v>
          </cell>
          <cell r="E942" t="str">
            <v>Frêt et frais sur importation KCL</v>
          </cell>
          <cell r="F942">
            <v>0</v>
          </cell>
          <cell r="L942">
            <v>0</v>
          </cell>
          <cell r="P942">
            <v>0</v>
          </cell>
          <cell r="AC942">
            <v>0</v>
          </cell>
        </row>
        <row r="943">
          <cell r="D943" t="str">
            <v>9166</v>
          </cell>
          <cell r="E943" t="str">
            <v>Frêt et frais sur importations ammoniac</v>
          </cell>
          <cell r="F943">
            <v>0</v>
          </cell>
          <cell r="L943">
            <v>0</v>
          </cell>
          <cell r="P943">
            <v>0</v>
          </cell>
          <cell r="AC943">
            <v>0</v>
          </cell>
        </row>
        <row r="944">
          <cell r="D944" t="str">
            <v>9168</v>
          </cell>
          <cell r="E944" t="str">
            <v>Frêt et frais sur importations acide sulfurique</v>
          </cell>
          <cell r="F944">
            <v>0</v>
          </cell>
          <cell r="L944">
            <v>0</v>
          </cell>
          <cell r="P944">
            <v>0</v>
          </cell>
          <cell r="AC944">
            <v>0</v>
          </cell>
        </row>
        <row r="945">
          <cell r="D945" t="str">
            <v>9199</v>
          </cell>
          <cell r="E945" t="str">
            <v>Achats de matières et fournitures consommables</v>
          </cell>
          <cell r="F945">
            <v>0</v>
          </cell>
          <cell r="L945">
            <v>0</v>
          </cell>
          <cell r="P945">
            <v>0</v>
          </cell>
          <cell r="AC945">
            <v>0</v>
          </cell>
        </row>
        <row r="946">
          <cell r="D946" t="str">
            <v>9220</v>
          </cell>
          <cell r="E946" t="str">
            <v>Matières auxiliaires</v>
          </cell>
          <cell r="F946">
            <v>0</v>
          </cell>
          <cell r="L946">
            <v>0</v>
          </cell>
          <cell r="P946">
            <v>0</v>
          </cell>
          <cell r="AC946">
            <v>0</v>
          </cell>
        </row>
        <row r="947">
          <cell r="D947" t="str">
            <v>9232</v>
          </cell>
          <cell r="E947" t="str">
            <v>Essence légère</v>
          </cell>
          <cell r="F947">
            <v>0</v>
          </cell>
          <cell r="L947">
            <v>0</v>
          </cell>
          <cell r="P947">
            <v>0</v>
          </cell>
          <cell r="AC947">
            <v>0</v>
          </cell>
        </row>
        <row r="948">
          <cell r="D948" t="str">
            <v>9233</v>
          </cell>
          <cell r="E948" t="str">
            <v>Gasoil</v>
          </cell>
          <cell r="F948">
            <v>0</v>
          </cell>
          <cell r="L948">
            <v>0</v>
          </cell>
          <cell r="P948">
            <v>0</v>
          </cell>
          <cell r="AC948">
            <v>0</v>
          </cell>
        </row>
        <row r="949">
          <cell r="D949" t="str">
            <v>9234</v>
          </cell>
          <cell r="E949" t="str">
            <v>Lubrifiants</v>
          </cell>
          <cell r="F949">
            <v>0</v>
          </cell>
          <cell r="L949">
            <v>0</v>
          </cell>
          <cell r="P949">
            <v>0</v>
          </cell>
          <cell r="AC949">
            <v>0</v>
          </cell>
        </row>
        <row r="950">
          <cell r="D950" t="str">
            <v>9241</v>
          </cell>
          <cell r="E950" t="str">
            <v>Produits d'entretien</v>
          </cell>
          <cell r="F950">
            <v>0</v>
          </cell>
          <cell r="L950">
            <v>0</v>
          </cell>
          <cell r="P950">
            <v>0</v>
          </cell>
          <cell r="AC950">
            <v>0</v>
          </cell>
        </row>
        <row r="951">
          <cell r="D951" t="str">
            <v>9242</v>
          </cell>
          <cell r="E951" t="str">
            <v>Produits de laboratoires</v>
          </cell>
          <cell r="F951">
            <v>0</v>
          </cell>
          <cell r="L951">
            <v>0</v>
          </cell>
          <cell r="P951">
            <v>0</v>
          </cell>
          <cell r="AC951">
            <v>0</v>
          </cell>
        </row>
        <row r="952">
          <cell r="D952" t="str">
            <v>9243</v>
          </cell>
          <cell r="E952" t="str">
            <v>Aciers et gaz industriels</v>
          </cell>
          <cell r="F952">
            <v>0</v>
          </cell>
          <cell r="L952">
            <v>0</v>
          </cell>
          <cell r="P952">
            <v>0</v>
          </cell>
          <cell r="AC952">
            <v>0</v>
          </cell>
        </row>
        <row r="953">
          <cell r="D953" t="str">
            <v>9244</v>
          </cell>
          <cell r="E953" t="str">
            <v>Habillement et produits de sécurité</v>
          </cell>
          <cell r="F953">
            <v>0</v>
          </cell>
          <cell r="L953">
            <v>0</v>
          </cell>
          <cell r="P953">
            <v>0</v>
          </cell>
          <cell r="AC953">
            <v>0</v>
          </cell>
        </row>
        <row r="954">
          <cell r="D954" t="str">
            <v>9245</v>
          </cell>
          <cell r="E954" t="str">
            <v>Matériaux et produits de construction</v>
          </cell>
          <cell r="F954">
            <v>0</v>
          </cell>
          <cell r="L954">
            <v>0</v>
          </cell>
          <cell r="P954">
            <v>0</v>
          </cell>
          <cell r="AC954">
            <v>0</v>
          </cell>
        </row>
        <row r="955">
          <cell r="D955" t="str">
            <v>9248</v>
          </cell>
          <cell r="E955" t="str">
            <v>Matières et fournitures consommables diverses</v>
          </cell>
          <cell r="F955">
            <v>0</v>
          </cell>
          <cell r="L955">
            <v>0</v>
          </cell>
          <cell r="P955">
            <v>0</v>
          </cell>
          <cell r="AC955">
            <v>0</v>
          </cell>
        </row>
        <row r="956">
          <cell r="D956" t="str">
            <v>9250</v>
          </cell>
          <cell r="E956" t="str">
            <v>Bois de mine</v>
          </cell>
          <cell r="F956">
            <v>0</v>
          </cell>
          <cell r="L956">
            <v>0</v>
          </cell>
          <cell r="P956">
            <v>0</v>
          </cell>
          <cell r="AC956">
            <v>0</v>
          </cell>
        </row>
        <row r="957">
          <cell r="D957" t="str">
            <v>9251</v>
          </cell>
          <cell r="E957" t="str">
            <v>Courroies transporteuses</v>
          </cell>
          <cell r="F957">
            <v>0</v>
          </cell>
          <cell r="L957">
            <v>0</v>
          </cell>
          <cell r="P957">
            <v>0</v>
          </cell>
          <cell r="AC957">
            <v>0</v>
          </cell>
        </row>
        <row r="958">
          <cell r="D958" t="str">
            <v>9252</v>
          </cell>
          <cell r="E958" t="str">
            <v>Explosifs</v>
          </cell>
          <cell r="F958">
            <v>0</v>
          </cell>
          <cell r="L958">
            <v>0</v>
          </cell>
          <cell r="P958">
            <v>0</v>
          </cell>
          <cell r="AC958">
            <v>0</v>
          </cell>
        </row>
        <row r="959">
          <cell r="D959" t="str">
            <v>9253</v>
          </cell>
          <cell r="E959" t="str">
            <v>Rouleaux de convoyeurs</v>
          </cell>
          <cell r="F959">
            <v>0</v>
          </cell>
          <cell r="L959">
            <v>0</v>
          </cell>
          <cell r="P959">
            <v>0</v>
          </cell>
          <cell r="AC959">
            <v>0</v>
          </cell>
        </row>
        <row r="960">
          <cell r="D960" t="str">
            <v>9254</v>
          </cell>
          <cell r="E960" t="str">
            <v>Lames d'usure de bulls et niveleuses</v>
          </cell>
          <cell r="F960">
            <v>0</v>
          </cell>
          <cell r="L960">
            <v>0</v>
          </cell>
          <cell r="P960">
            <v>0</v>
          </cell>
          <cell r="AC960">
            <v>0</v>
          </cell>
        </row>
        <row r="961">
          <cell r="D961" t="str">
            <v>9255</v>
          </cell>
          <cell r="E961" t="str">
            <v>Tiges, drill - collar</v>
          </cell>
          <cell r="F961">
            <v>0</v>
          </cell>
          <cell r="L961">
            <v>0</v>
          </cell>
          <cell r="P961">
            <v>0</v>
          </cell>
          <cell r="AC961">
            <v>0</v>
          </cell>
        </row>
        <row r="962">
          <cell r="D962" t="str">
            <v>9256</v>
          </cell>
          <cell r="E962" t="str">
            <v>Tricones de sondeuses</v>
          </cell>
          <cell r="F962">
            <v>0</v>
          </cell>
          <cell r="L962">
            <v>0</v>
          </cell>
          <cell r="P962">
            <v>0</v>
          </cell>
          <cell r="AC962">
            <v>0</v>
          </cell>
        </row>
        <row r="963">
          <cell r="D963" t="str">
            <v>9257</v>
          </cell>
          <cell r="E963" t="str">
            <v>Cables de draglines</v>
          </cell>
          <cell r="F963">
            <v>0</v>
          </cell>
          <cell r="L963">
            <v>0</v>
          </cell>
          <cell r="P963">
            <v>0</v>
          </cell>
          <cell r="AC963">
            <v>0</v>
          </cell>
        </row>
        <row r="964">
          <cell r="D964" t="str">
            <v>9258</v>
          </cell>
          <cell r="E964" t="str">
            <v>Godets et dents de draglines</v>
          </cell>
          <cell r="F964">
            <v>0</v>
          </cell>
          <cell r="L964">
            <v>0</v>
          </cell>
          <cell r="P964">
            <v>0</v>
          </cell>
          <cell r="AC964">
            <v>0</v>
          </cell>
        </row>
        <row r="965">
          <cell r="D965" t="str">
            <v>9259</v>
          </cell>
          <cell r="E965" t="str">
            <v>Cables éléctriques</v>
          </cell>
          <cell r="F965">
            <v>0</v>
          </cell>
          <cell r="L965">
            <v>0</v>
          </cell>
          <cell r="P965">
            <v>0</v>
          </cell>
          <cell r="AC965">
            <v>0</v>
          </cell>
        </row>
        <row r="966">
          <cell r="D966" t="str">
            <v>9261</v>
          </cell>
          <cell r="E966" t="str">
            <v>Pneumatiques pour engins lourds</v>
          </cell>
          <cell r="F966">
            <v>0</v>
          </cell>
          <cell r="L966">
            <v>0</v>
          </cell>
          <cell r="P966">
            <v>0</v>
          </cell>
          <cell r="AC966">
            <v>0</v>
          </cell>
        </row>
        <row r="967">
          <cell r="D967" t="str">
            <v>9262</v>
          </cell>
          <cell r="E967" t="str">
            <v>Pneumatiques pour voitures légères</v>
          </cell>
          <cell r="F967">
            <v>0</v>
          </cell>
          <cell r="L967">
            <v>0</v>
          </cell>
          <cell r="P967">
            <v>0</v>
          </cell>
          <cell r="AC967">
            <v>0</v>
          </cell>
        </row>
        <row r="968">
          <cell r="D968" t="str">
            <v>9263</v>
          </cell>
          <cell r="E968" t="str">
            <v>Pièces de rechange du matériel</v>
          </cell>
          <cell r="F968">
            <v>0</v>
          </cell>
          <cell r="L968">
            <v>0</v>
          </cell>
          <cell r="P968">
            <v>0</v>
          </cell>
          <cell r="AC968">
            <v>0</v>
          </cell>
        </row>
        <row r="969">
          <cell r="D969" t="str">
            <v>9264</v>
          </cell>
          <cell r="E969" t="str">
            <v>Pièces détachées automobiles</v>
          </cell>
          <cell r="F969">
            <v>0</v>
          </cell>
          <cell r="L969">
            <v>0</v>
          </cell>
          <cell r="P969">
            <v>0</v>
          </cell>
          <cell r="AC969">
            <v>0</v>
          </cell>
        </row>
        <row r="970">
          <cell r="D970" t="str">
            <v>9265</v>
          </cell>
          <cell r="E970" t="str">
            <v>Petit outillage</v>
          </cell>
          <cell r="F970">
            <v>0</v>
          </cell>
          <cell r="L970">
            <v>0</v>
          </cell>
          <cell r="P970">
            <v>0</v>
          </cell>
          <cell r="AC970">
            <v>0</v>
          </cell>
        </row>
        <row r="971">
          <cell r="D971" t="str">
            <v>9266</v>
          </cell>
          <cell r="E971" t="str">
            <v>Produits pharmaceutiques</v>
          </cell>
          <cell r="F971">
            <v>0</v>
          </cell>
          <cell r="L971">
            <v>0</v>
          </cell>
          <cell r="P971">
            <v>0</v>
          </cell>
          <cell r="AC971">
            <v>0</v>
          </cell>
        </row>
        <row r="972">
          <cell r="D972" t="str">
            <v>9267</v>
          </cell>
          <cell r="E972" t="str">
            <v>Petit matériel à usage médical</v>
          </cell>
          <cell r="F972">
            <v>0</v>
          </cell>
          <cell r="L972">
            <v>0</v>
          </cell>
          <cell r="P972">
            <v>0</v>
          </cell>
          <cell r="AC972">
            <v>0</v>
          </cell>
        </row>
        <row r="973">
          <cell r="D973" t="str">
            <v>9270</v>
          </cell>
          <cell r="E973" t="str">
            <v>Fournitures de bureau</v>
          </cell>
          <cell r="F973">
            <v>0</v>
          </cell>
          <cell r="L973">
            <v>0</v>
          </cell>
          <cell r="P973">
            <v>0</v>
          </cell>
          <cell r="AC973">
            <v>0</v>
          </cell>
        </row>
        <row r="974">
          <cell r="D974" t="str">
            <v>9284</v>
          </cell>
          <cell r="E974" t="str">
            <v>Frêt et frais sur importations de matières et fournitures consommables</v>
          </cell>
          <cell r="F974">
            <v>0</v>
          </cell>
          <cell r="L974">
            <v>0</v>
          </cell>
          <cell r="P974">
            <v>0</v>
          </cell>
          <cell r="AC974">
            <v>0</v>
          </cell>
        </row>
        <row r="975">
          <cell r="D975" t="str">
            <v>9286</v>
          </cell>
          <cell r="E975" t="str">
            <v>Droits de douane sur importations de matières et fournitures consom.</v>
          </cell>
          <cell r="F975">
            <v>0</v>
          </cell>
          <cell r="L975">
            <v>0</v>
          </cell>
          <cell r="P975">
            <v>0</v>
          </cell>
          <cell r="AC975">
            <v>0</v>
          </cell>
        </row>
        <row r="976">
          <cell r="D976" t="str">
            <v>9330</v>
          </cell>
          <cell r="E976" t="str">
            <v>Emballages à usage mixte</v>
          </cell>
          <cell r="F976">
            <v>0</v>
          </cell>
          <cell r="L976">
            <v>0</v>
          </cell>
          <cell r="P976">
            <v>0</v>
          </cell>
          <cell r="AC976">
            <v>0</v>
          </cell>
        </row>
        <row r="977">
          <cell r="D977" t="str">
            <v>9541</v>
          </cell>
          <cell r="E977" t="str">
            <v>Tonnage initial</v>
          </cell>
          <cell r="F977">
            <v>0</v>
          </cell>
          <cell r="L977">
            <v>0</v>
          </cell>
          <cell r="P977">
            <v>0</v>
          </cell>
          <cell r="AC977">
            <v>0</v>
          </cell>
        </row>
        <row r="978">
          <cell r="D978" t="str">
            <v>9542</v>
          </cell>
          <cell r="E978" t="str">
            <v>Tonnage final</v>
          </cell>
          <cell r="F978">
            <v>0</v>
          </cell>
          <cell r="L978">
            <v>0</v>
          </cell>
          <cell r="P978">
            <v>0</v>
          </cell>
          <cell r="AC978">
            <v>0</v>
          </cell>
        </row>
        <row r="979">
          <cell r="D979" t="str">
            <v>9543</v>
          </cell>
          <cell r="E979" t="str">
            <v>Tonnage déclassé</v>
          </cell>
          <cell r="F979">
            <v>0</v>
          </cell>
          <cell r="L979">
            <v>0</v>
          </cell>
          <cell r="P979">
            <v>0</v>
          </cell>
          <cell r="AC979">
            <v>0</v>
          </cell>
        </row>
        <row r="980">
          <cell r="D980" t="str">
            <v>9544</v>
          </cell>
          <cell r="E980" t="str">
            <v>Tonnage surclassé</v>
          </cell>
          <cell r="F980">
            <v>0</v>
          </cell>
          <cell r="L980">
            <v>0</v>
          </cell>
          <cell r="P980">
            <v>0</v>
          </cell>
          <cell r="AC980">
            <v>0</v>
          </cell>
        </row>
        <row r="981">
          <cell r="D981" t="str">
            <v>9545</v>
          </cell>
          <cell r="E981" t="str">
            <v>Tonnage sortant</v>
          </cell>
          <cell r="F981">
            <v>0</v>
          </cell>
          <cell r="L981">
            <v>0</v>
          </cell>
          <cell r="P981">
            <v>0</v>
          </cell>
          <cell r="AC981">
            <v>0</v>
          </cell>
        </row>
        <row r="982">
          <cell r="D982" t="str">
            <v>9546</v>
          </cell>
          <cell r="E982" t="str">
            <v>Tonnage entrant</v>
          </cell>
          <cell r="F982">
            <v>0</v>
          </cell>
          <cell r="L982">
            <v>0</v>
          </cell>
          <cell r="P982">
            <v>0</v>
          </cell>
          <cell r="AC982">
            <v>0</v>
          </cell>
        </row>
        <row r="983">
          <cell r="L983">
            <v>0</v>
          </cell>
          <cell r="P983">
            <v>0</v>
          </cell>
          <cell r="AC983">
            <v>0</v>
          </cell>
        </row>
        <row r="984">
          <cell r="L984">
            <v>0</v>
          </cell>
          <cell r="P984">
            <v>0</v>
          </cell>
          <cell r="AC984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VERTURE"/>
      <sheetName val="SOMMAIRE"/>
      <sheetName val="PR1-2"/>
      <sheetName val="PR3-4"/>
      <sheetName val="PR-5-6 "/>
      <sheetName val="PR7-8"/>
      <sheetName val="PR9-10"/>
      <sheetName val="PR11-12"/>
      <sheetName val="DIFFUSION"/>
      <sheetName val="Tableau de bord"/>
      <sheetName val="STRUCT CHARGES-COUTS"/>
      <sheetName val="DEG-EA"/>
    </sheetNames>
    <sheetDataSet>
      <sheetData sheetId="0" refreshError="1"/>
      <sheetData sheetId="1" refreshError="1"/>
      <sheetData sheetId="2" refreshError="1">
        <row r="1">
          <cell r="A1" t="str">
            <v>DEG/TG/C</v>
          </cell>
          <cell r="M1" t="str">
            <v>- 1 -</v>
          </cell>
          <cell r="N1">
            <v>30</v>
          </cell>
          <cell r="O1">
            <v>6</v>
          </cell>
          <cell r="P1">
            <v>181</v>
          </cell>
          <cell r="U1" t="str">
            <v>DEG/TG/C</v>
          </cell>
          <cell r="AQ1" t="str">
            <v>- 2 -</v>
          </cell>
        </row>
        <row r="2">
          <cell r="N2" t="str">
            <v>N. jours mois</v>
          </cell>
          <cell r="O2" t="str">
            <v>Mois</v>
          </cell>
          <cell r="P2" t="str">
            <v>Cumul jours année en cours</v>
          </cell>
        </row>
        <row r="3">
          <cell r="L3" t="str">
            <v xml:space="preserve">     MOIS : Juin  2002</v>
          </cell>
          <cell r="O3" t="str">
            <v>DEPENSES MOIS</v>
          </cell>
          <cell r="P3" t="str">
            <v xml:space="preserve">TONNAGE TRAITE </v>
          </cell>
          <cell r="Q3" t="str">
            <v>DEPENSES CUMUL</v>
          </cell>
          <cell r="R3" t="str">
            <v xml:space="preserve">TONNAGE TRAITE </v>
          </cell>
          <cell r="AK3" t="str">
            <v xml:space="preserve">     MOIS : Juin  2002</v>
          </cell>
        </row>
        <row r="4">
          <cell r="D4" t="str">
            <v xml:space="preserve">       M  O  I  S</v>
          </cell>
          <cell r="H4" t="str">
            <v xml:space="preserve">       CUMUL</v>
          </cell>
          <cell r="O4" t="str">
            <v xml:space="preserve">  (M-1) Y1+Y2</v>
          </cell>
          <cell r="P4" t="str">
            <v xml:space="preserve">  (M-1) Y1+Y2</v>
          </cell>
          <cell r="Q4" t="str">
            <v>MEME PERIODE</v>
          </cell>
          <cell r="R4" t="str">
            <v>CUMULE Y1+Y2</v>
          </cell>
          <cell r="W4" t="str">
            <v xml:space="preserve">  M O I S</v>
          </cell>
          <cell r="AA4" t="str">
            <v>C U M U L</v>
          </cell>
        </row>
        <row r="5">
          <cell r="A5" t="str">
            <v xml:space="preserve">   NATURE DES DEPENSES</v>
          </cell>
          <cell r="B5" t="str">
            <v xml:space="preserve">  LPR</v>
          </cell>
          <cell r="C5" t="str">
            <v>REALISE</v>
          </cell>
          <cell r="D5" t="str">
            <v>PREVU</v>
          </cell>
          <cell r="E5" t="str">
            <v>R/P</v>
          </cell>
          <cell r="F5" t="str">
            <v xml:space="preserve"> M/M-1</v>
          </cell>
          <cell r="G5" t="str">
            <v>REALISE</v>
          </cell>
          <cell r="H5" t="str">
            <v>PREVU</v>
          </cell>
          <cell r="I5" t="str">
            <v>R/P</v>
          </cell>
          <cell r="J5" t="str">
            <v>R02/R01</v>
          </cell>
          <cell r="O5" t="str">
            <v>Mai</v>
          </cell>
          <cell r="P5">
            <v>2002</v>
          </cell>
          <cell r="Q5" t="str">
            <v>Juin</v>
          </cell>
          <cell r="R5">
            <v>2001</v>
          </cell>
          <cell r="U5" t="str">
            <v>NATURE DES DEPENSES</v>
          </cell>
          <cell r="V5" t="str">
            <v xml:space="preserve"> LPR</v>
          </cell>
          <cell r="W5" t="str">
            <v>REALISE</v>
          </cell>
          <cell r="X5" t="str">
            <v>PREVU</v>
          </cell>
          <cell r="Y5" t="str">
            <v>R/P</v>
          </cell>
          <cell r="Z5" t="str">
            <v xml:space="preserve"> M/M-1</v>
          </cell>
          <cell r="AA5" t="str">
            <v>REALISE</v>
          </cell>
          <cell r="AB5" t="str">
            <v>PREVU</v>
          </cell>
          <cell r="AC5" t="str">
            <v>R/P</v>
          </cell>
          <cell r="AD5" t="str">
            <v>R02/R01</v>
          </cell>
        </row>
        <row r="6">
          <cell r="C6" t="str">
            <v>(DH)</v>
          </cell>
          <cell r="D6" t="str">
            <v>(DH)</v>
          </cell>
          <cell r="E6" t="str">
            <v>(%)</v>
          </cell>
          <cell r="F6" t="str">
            <v>(%)</v>
          </cell>
          <cell r="G6" t="str">
            <v>(DH)</v>
          </cell>
          <cell r="H6" t="str">
            <v>(DH)</v>
          </cell>
          <cell r="I6" t="str">
            <v>(%)</v>
          </cell>
          <cell r="J6" t="str">
            <v>(%)</v>
          </cell>
          <cell r="O6" t="str">
            <v>DEPENSES</v>
          </cell>
          <cell r="P6">
            <v>269951</v>
          </cell>
          <cell r="Q6" t="str">
            <v>DEPENSES</v>
          </cell>
          <cell r="R6">
            <v>1314316</v>
          </cell>
          <cell r="W6" t="str">
            <v>(DH/t)</v>
          </cell>
          <cell r="X6" t="str">
            <v>(DH/t)</v>
          </cell>
          <cell r="Y6" t="str">
            <v>(%)</v>
          </cell>
          <cell r="Z6" t="str">
            <v>(%)</v>
          </cell>
          <cell r="AA6" t="str">
            <v>(DH/t)</v>
          </cell>
          <cell r="AB6" t="str">
            <v>(DH/t)</v>
          </cell>
          <cell r="AC6" t="str">
            <v>(%)</v>
          </cell>
          <cell r="AD6" t="str">
            <v>(%)</v>
          </cell>
        </row>
        <row r="7">
          <cell r="A7" t="str">
            <v xml:space="preserve"> TOTAL FRAIS PERSONNEL</v>
          </cell>
          <cell r="B7" t="str">
            <v>0**</v>
          </cell>
          <cell r="C7">
            <v>3651339.53</v>
          </cell>
          <cell r="D7">
            <v>3495564.9</v>
          </cell>
          <cell r="E7">
            <v>104.45635067453618</v>
          </cell>
          <cell r="F7">
            <v>97.949463474095438</v>
          </cell>
          <cell r="G7">
            <v>21645545.009999998</v>
          </cell>
          <cell r="H7">
            <v>20973389.399999999</v>
          </cell>
          <cell r="I7">
            <v>103.20480203357117</v>
          </cell>
          <cell r="J7">
            <v>101.3148411997135</v>
          </cell>
          <cell r="N7" t="str">
            <v>0**</v>
          </cell>
          <cell r="O7">
            <v>3727779</v>
          </cell>
          <cell r="P7">
            <v>13.809094983904487</v>
          </cell>
          <cell r="Q7">
            <v>21364634</v>
          </cell>
          <cell r="R7">
            <v>16.255325203375747</v>
          </cell>
          <cell r="U7" t="str">
            <v xml:space="preserve"> TOTAL FRAIS PERSONNEL</v>
          </cell>
          <cell r="V7" t="str">
            <v>0**</v>
          </cell>
          <cell r="W7">
            <v>13.142398849652123</v>
          </cell>
          <cell r="X7">
            <v>15.611008113137329</v>
          </cell>
          <cell r="Y7">
            <v>84.186740243842635</v>
          </cell>
          <cell r="Z7">
            <v>95.172050485354418</v>
          </cell>
          <cell r="AA7">
            <v>15.259277830297414</v>
          </cell>
          <cell r="AB7">
            <v>15.611008113137327</v>
          </cell>
          <cell r="AC7">
            <v>97.746908589817991</v>
          </cell>
          <cell r="AD7">
            <v>93.8724857201166</v>
          </cell>
        </row>
        <row r="8">
          <cell r="A8" t="str">
            <v xml:space="preserve">   dont H.S</v>
          </cell>
          <cell r="B8" t="str">
            <v>05*</v>
          </cell>
          <cell r="C8">
            <v>325908.05</v>
          </cell>
          <cell r="D8">
            <v>236802.47</v>
          </cell>
          <cell r="E8">
            <v>137.62865311328889</v>
          </cell>
          <cell r="F8">
            <v>113.50500294290759</v>
          </cell>
          <cell r="G8">
            <v>1730934.1500000001</v>
          </cell>
          <cell r="H8">
            <v>1420814.82</v>
          </cell>
          <cell r="I8">
            <v>121.82686481268546</v>
          </cell>
          <cell r="J8">
            <v>121.69263601479771</v>
          </cell>
          <cell r="N8" t="str">
            <v>05</v>
          </cell>
          <cell r="O8">
            <v>287131</v>
          </cell>
          <cell r="P8">
            <v>1.0636411793251368</v>
          </cell>
          <cell r="Q8">
            <v>1422382</v>
          </cell>
          <cell r="R8">
            <v>1.0822222357484805</v>
          </cell>
          <cell r="U8" t="str">
            <v xml:space="preserve">   dont H.S</v>
          </cell>
          <cell r="V8" t="str">
            <v>05</v>
          </cell>
          <cell r="W8">
            <v>1.1730526690878202</v>
          </cell>
          <cell r="X8">
            <v>1.0575473167100857</v>
          </cell>
          <cell r="Y8">
            <v>110.92200325722155</v>
          </cell>
          <cell r="Z8">
            <v>110.28650374669616</v>
          </cell>
          <cell r="AA8">
            <v>1.2202420908596796</v>
          </cell>
          <cell r="AB8">
            <v>1.0575473167100857</v>
          </cell>
          <cell r="AC8">
            <v>115.38416027149685</v>
          </cell>
          <cell r="AD8">
            <v>112.75337454286758</v>
          </cell>
        </row>
        <row r="9">
          <cell r="A9" t="str">
            <v xml:space="preserve"> Electricité</v>
          </cell>
          <cell r="B9" t="str">
            <v>103</v>
          </cell>
          <cell r="C9">
            <v>3183513.26</v>
          </cell>
          <cell r="D9">
            <v>3152710.49</v>
          </cell>
          <cell r="E9">
            <v>100.97702501062822</v>
          </cell>
          <cell r="F9">
            <v>104.15432049690254</v>
          </cell>
          <cell r="G9">
            <v>17530083.390000001</v>
          </cell>
          <cell r="H9">
            <v>18916262.940000001</v>
          </cell>
          <cell r="I9">
            <v>92.67202219382979</v>
          </cell>
          <cell r="J9">
            <v>84.054256452775732</v>
          </cell>
          <cell r="N9" t="str">
            <v>103</v>
          </cell>
          <cell r="O9">
            <v>3056535</v>
          </cell>
          <cell r="P9">
            <v>11.322554834025434</v>
          </cell>
          <cell r="Q9">
            <v>20855676</v>
          </cell>
          <cell r="R9">
            <v>15.868083474598194</v>
          </cell>
          <cell r="U9" t="str">
            <v xml:space="preserve"> Electricité</v>
          </cell>
          <cell r="V9" t="str">
            <v>103</v>
          </cell>
          <cell r="W9">
            <v>11.458534782186165</v>
          </cell>
          <cell r="X9">
            <v>14.079838436918498</v>
          </cell>
          <cell r="Y9">
            <v>81.38257291462196</v>
          </cell>
          <cell r="Z9">
            <v>101.20096524286284</v>
          </cell>
          <cell r="AA9">
            <v>12.358035462387832</v>
          </cell>
          <cell r="AB9">
            <v>14.079838436918498</v>
          </cell>
          <cell r="AC9">
            <v>87.771145370418765</v>
          </cell>
          <cell r="AD9">
            <v>77.879823875206569</v>
          </cell>
        </row>
        <row r="10">
          <cell r="A10" t="str">
            <v xml:space="preserve"> Fuel</v>
          </cell>
          <cell r="B10" t="str">
            <v>490</v>
          </cell>
          <cell r="C10">
            <v>19987.27</v>
          </cell>
          <cell r="D10">
            <v>106275</v>
          </cell>
          <cell r="E10">
            <v>18.807123029875324</v>
          </cell>
          <cell r="F10">
            <v>71.429025802301481</v>
          </cell>
          <cell r="G10">
            <v>379685.19</v>
          </cell>
          <cell r="H10">
            <v>637650</v>
          </cell>
          <cell r="I10">
            <v>59.544450717478234</v>
          </cell>
          <cell r="J10">
            <v>618.00737340690466</v>
          </cell>
          <cell r="N10" t="str">
            <v>490</v>
          </cell>
          <cell r="O10">
            <v>27982</v>
          </cell>
          <cell r="P10">
            <v>0.10365584865401499</v>
          </cell>
          <cell r="Q10">
            <v>61437</v>
          </cell>
          <cell r="R10">
            <v>4.6744466323167339E-2</v>
          </cell>
          <cell r="U10" t="str">
            <v xml:space="preserve"> Fuel</v>
          </cell>
          <cell r="V10" t="str">
            <v>490</v>
          </cell>
          <cell r="W10">
            <v>7.1940906096915724E-2</v>
          </cell>
          <cell r="X10">
            <v>0.4746185336806848</v>
          </cell>
          <cell r="Y10">
            <v>15.157626807999103</v>
          </cell>
          <cell r="Z10">
            <v>69.403614973084473</v>
          </cell>
          <cell r="AA10">
            <v>0.26766347530554796</v>
          </cell>
          <cell r="AB10">
            <v>0.4746185336806848</v>
          </cell>
          <cell r="AC10">
            <v>56.39549581635751</v>
          </cell>
          <cell r="AD10">
            <v>572.6099715313029</v>
          </cell>
        </row>
        <row r="11">
          <cell r="A11" t="str">
            <v xml:space="preserve"> Gaz de chauffe</v>
          </cell>
          <cell r="B11" t="str">
            <v>492</v>
          </cell>
          <cell r="C11">
            <v>2653988.3199999998</v>
          </cell>
          <cell r="D11">
            <v>2273231.25</v>
          </cell>
          <cell r="E11">
            <v>116.74959685689699</v>
          </cell>
          <cell r="F11">
            <v>82.158376290734196</v>
          </cell>
          <cell r="G11">
            <v>16354956.720000001</v>
          </cell>
          <cell r="H11">
            <v>13639387.5</v>
          </cell>
          <cell r="I11">
            <v>119.90975929087726</v>
          </cell>
          <cell r="J11">
            <v>108.48658341446355</v>
          </cell>
          <cell r="N11" t="str">
            <v>492</v>
          </cell>
          <cell r="O11">
            <v>3230332</v>
          </cell>
          <cell r="P11">
            <v>11.966364266107552</v>
          </cell>
          <cell r="Q11">
            <v>15075557</v>
          </cell>
          <cell r="R11">
            <v>11.47026818512443</v>
          </cell>
          <cell r="U11" t="str">
            <v xml:space="preserve"> Gaz de chauffe</v>
          </cell>
          <cell r="V11" t="str">
            <v>492</v>
          </cell>
          <cell r="W11">
            <v>9.5525964532140275</v>
          </cell>
          <cell r="X11">
            <v>10.152130628954225</v>
          </cell>
          <cell r="Y11">
            <v>94.094499000728916</v>
          </cell>
          <cell r="Z11">
            <v>79.828728599462224</v>
          </cell>
          <cell r="AA11">
            <v>11.529616296456089</v>
          </cell>
          <cell r="AB11">
            <v>10.152130628954223</v>
          </cell>
          <cell r="AC11">
            <v>113.56843915673454</v>
          </cell>
          <cell r="AD11">
            <v>100.5174082277224</v>
          </cell>
        </row>
        <row r="12">
          <cell r="A12" t="str">
            <v xml:space="preserve"> TOTAL ENERGIE</v>
          </cell>
          <cell r="B12" t="str">
            <v>_</v>
          </cell>
          <cell r="C12">
            <v>5857488.8499999996</v>
          </cell>
          <cell r="D12">
            <v>5532216.7400000002</v>
          </cell>
          <cell r="E12">
            <v>105.87959809398211</v>
          </cell>
          <cell r="F12">
            <v>92.757385806058068</v>
          </cell>
          <cell r="G12">
            <v>34264725.300000004</v>
          </cell>
          <cell r="H12">
            <v>33193300.440000001</v>
          </cell>
          <cell r="I12">
            <v>103.22783467084481</v>
          </cell>
          <cell r="J12">
            <v>95.199176110024638</v>
          </cell>
          <cell r="N12" t="str">
            <v>TOTAL ENERGIE</v>
          </cell>
          <cell r="O12">
            <v>6314849</v>
          </cell>
          <cell r="P12">
            <v>23.392574948787001</v>
          </cell>
          <cell r="Q12">
            <v>35992670</v>
          </cell>
          <cell r="R12">
            <v>27.385096126045791</v>
          </cell>
          <cell r="U12" t="str">
            <v xml:space="preserve"> TOTAL ENERGIE</v>
          </cell>
          <cell r="V12" t="str">
            <v>_</v>
          </cell>
          <cell r="W12">
            <v>21.083072141497105</v>
          </cell>
          <cell r="X12">
            <v>24.706587599553409</v>
          </cell>
          <cell r="Y12">
            <v>85.33380846927723</v>
          </cell>
          <cell r="Z12">
            <v>90.127197145478618</v>
          </cell>
          <cell r="AA12">
            <v>24.155315234149469</v>
          </cell>
          <cell r="AB12">
            <v>24.706587599553405</v>
          </cell>
          <cell r="AC12">
            <v>97.76872316671566</v>
          </cell>
          <cell r="AD12">
            <v>88.206063338136332</v>
          </cell>
        </row>
        <row r="13">
          <cell r="A13" t="str">
            <v xml:space="preserve"> Eau</v>
          </cell>
          <cell r="B13">
            <v>107</v>
          </cell>
          <cell r="C13">
            <v>31679.200000000001</v>
          </cell>
          <cell r="D13">
            <v>35839.08</v>
          </cell>
          <cell r="E13">
            <v>88.392894014020456</v>
          </cell>
          <cell r="F13">
            <v>119.98333522705752</v>
          </cell>
          <cell r="G13">
            <v>206739.4</v>
          </cell>
          <cell r="H13">
            <v>215034.48</v>
          </cell>
          <cell r="I13">
            <v>96.142441900480321</v>
          </cell>
          <cell r="J13">
            <v>91.088670059260238</v>
          </cell>
          <cell r="N13">
            <v>107</v>
          </cell>
          <cell r="O13">
            <v>26403</v>
          </cell>
          <cell r="P13">
            <v>9.7806638982630187E-2</v>
          </cell>
          <cell r="Q13">
            <v>226965</v>
          </cell>
          <cell r="R13">
            <v>0.17268678156546827</v>
          </cell>
          <cell r="U13" t="str">
            <v xml:space="preserve"> Eau</v>
          </cell>
          <cell r="V13">
            <v>107</v>
          </cell>
          <cell r="W13">
            <v>0.11402409395707432</v>
          </cell>
          <cell r="X13">
            <v>0.16005543729065874</v>
          </cell>
          <cell r="Y13">
            <v>71.240375139526151</v>
          </cell>
          <cell r="Z13">
            <v>116.581139218294</v>
          </cell>
          <cell r="AA13">
            <v>0.14574333617432852</v>
          </cell>
          <cell r="AB13">
            <v>0.16005543729065874</v>
          </cell>
          <cell r="AC13">
            <v>91.058035041733945</v>
          </cell>
          <cell r="AD13">
            <v>84.397505618619078</v>
          </cell>
        </row>
        <row r="14">
          <cell r="A14" t="str">
            <v>Prestations mécaniques TG</v>
          </cell>
          <cell r="B14">
            <v>211</v>
          </cell>
          <cell r="C14">
            <v>485312.45</v>
          </cell>
          <cell r="D14">
            <v>488794.99</v>
          </cell>
          <cell r="E14">
            <v>99.287525430651414</v>
          </cell>
          <cell r="F14">
            <v>89.147117442298324</v>
          </cell>
          <cell r="G14">
            <v>2998659.89</v>
          </cell>
          <cell r="H14">
            <v>2932769.94</v>
          </cell>
          <cell r="I14">
            <v>102.24667980605393</v>
          </cell>
          <cell r="J14">
            <v>112.58944122419894</v>
          </cell>
          <cell r="N14">
            <v>211</v>
          </cell>
          <cell r="O14">
            <v>544395</v>
          </cell>
          <cell r="P14">
            <v>2.0166437612751942</v>
          </cell>
          <cell r="Q14">
            <v>2663358</v>
          </cell>
          <cell r="R14">
            <v>2.0264213476819881</v>
          </cell>
          <cell r="U14" t="str">
            <v>Prestations mécaniques TG</v>
          </cell>
          <cell r="V14">
            <v>211</v>
          </cell>
          <cell r="W14">
            <v>1.7468027095803533</v>
          </cell>
          <cell r="X14">
            <v>2.1829325939709716</v>
          </cell>
          <cell r="Y14">
            <v>80.020918392296551</v>
          </cell>
          <cell r="Z14">
            <v>86.619300003476525</v>
          </cell>
          <cell r="AA14">
            <v>2.1139400444266796</v>
          </cell>
          <cell r="AB14">
            <v>2.1829325939709712</v>
          </cell>
          <cell r="AC14">
            <v>96.839455797451478</v>
          </cell>
          <cell r="AD14">
            <v>104.318879528426</v>
          </cell>
        </row>
        <row r="15">
          <cell r="A15" t="str">
            <v>Prestations électriques TG</v>
          </cell>
          <cell r="B15">
            <v>212</v>
          </cell>
          <cell r="C15">
            <v>556781.17000000004</v>
          </cell>
          <cell r="D15">
            <v>530543.31999999995</v>
          </cell>
          <cell r="E15">
            <v>104.94546797799661</v>
          </cell>
          <cell r="F15">
            <v>102.5795294594495</v>
          </cell>
          <cell r="G15">
            <v>3161847.89</v>
          </cell>
          <cell r="H15">
            <v>3183259.92</v>
          </cell>
          <cell r="I15">
            <v>99.327355272955543</v>
          </cell>
          <cell r="J15">
            <v>101.88676458836025</v>
          </cell>
          <cell r="N15">
            <v>212</v>
          </cell>
          <cell r="O15">
            <v>542780</v>
          </cell>
          <cell r="P15">
            <v>2.010661194068553</v>
          </cell>
          <cell r="Q15">
            <v>3103296</v>
          </cell>
          <cell r="R15">
            <v>2.3611490691736234</v>
          </cell>
          <cell r="U15" t="str">
            <v>Prestations électriques TG</v>
          </cell>
          <cell r="V15">
            <v>212</v>
          </cell>
          <cell r="W15">
            <v>2.0040426665322917</v>
          </cell>
          <cell r="X15">
            <v>2.3693784294752511</v>
          </cell>
          <cell r="Y15">
            <v>84.580945010803077</v>
          </cell>
          <cell r="Z15">
            <v>99.670828304848868</v>
          </cell>
          <cell r="AA15">
            <v>2.2289813164029759</v>
          </cell>
          <cell r="AB15">
            <v>2.3693784294752511</v>
          </cell>
          <cell r="AC15">
            <v>94.074517125431527</v>
          </cell>
          <cell r="AD15">
            <v>94.40239693053752</v>
          </cell>
          <cell r="AF15" t="str">
            <v>R</v>
          </cell>
          <cell r="AG15">
            <v>69.7</v>
          </cell>
          <cell r="AH15">
            <v>68.19</v>
          </cell>
          <cell r="AI15">
            <v>61.97</v>
          </cell>
          <cell r="AJ15">
            <v>71.05</v>
          </cell>
          <cell r="AK15">
            <v>63.5</v>
          </cell>
          <cell r="AL15">
            <v>61.07</v>
          </cell>
        </row>
        <row r="16">
          <cell r="A16" t="str">
            <v>Prestations labo TG</v>
          </cell>
          <cell r="B16">
            <v>242</v>
          </cell>
          <cell r="C16">
            <v>347113.61</v>
          </cell>
          <cell r="D16">
            <v>201495.58</v>
          </cell>
          <cell r="E16">
            <v>172.26859765360609</v>
          </cell>
          <cell r="F16">
            <v>122.52942567686821</v>
          </cell>
          <cell r="G16">
            <v>1222410.55</v>
          </cell>
          <cell r="H16">
            <v>1208973.48</v>
          </cell>
          <cell r="I16">
            <v>101.11144456204283</v>
          </cell>
          <cell r="J16">
            <v>91.960419896801199</v>
          </cell>
          <cell r="N16">
            <v>242</v>
          </cell>
          <cell r="O16">
            <v>283290</v>
          </cell>
          <cell r="P16">
            <v>1.049412671188475</v>
          </cell>
          <cell r="Q16">
            <v>1329279</v>
          </cell>
          <cell r="R16">
            <v>1.0113846289628978</v>
          </cell>
          <cell r="U16" t="str">
            <v>Prestations labo TG</v>
          </cell>
          <cell r="V16">
            <v>242</v>
          </cell>
          <cell r="W16">
            <v>1.2493786105842082</v>
          </cell>
          <cell r="X16">
            <v>0.89986861183475997</v>
          </cell>
          <cell r="Y16">
            <v>138.84011445146703</v>
          </cell>
          <cell r="Z16">
            <v>119.05503381899027</v>
          </cell>
          <cell r="AA16">
            <v>0.86175248516584579</v>
          </cell>
          <cell r="AB16">
            <v>0.89986861183475997</v>
          </cell>
          <cell r="AC16">
            <v>95.764256451705947</v>
          </cell>
          <cell r="AD16">
            <v>85.205218715802616</v>
          </cell>
          <cell r="AF16" t="str">
            <v>R/P</v>
          </cell>
          <cell r="AG16">
            <v>104</v>
          </cell>
          <cell r="AH16">
            <v>101</v>
          </cell>
          <cell r="AI16">
            <v>92</v>
          </cell>
          <cell r="AJ16">
            <v>106</v>
          </cell>
          <cell r="AK16">
            <v>94</v>
          </cell>
          <cell r="AL16">
            <v>91</v>
          </cell>
        </row>
        <row r="17">
          <cell r="A17" t="str">
            <v>PRESTATIONS INTERNES</v>
          </cell>
          <cell r="B17" t="str">
            <v>2**</v>
          </cell>
          <cell r="C17">
            <v>1389207.23</v>
          </cell>
          <cell r="D17">
            <v>1220833.8899999999</v>
          </cell>
          <cell r="E17">
            <v>113.79166661240048</v>
          </cell>
          <cell r="F17">
            <v>101.3675078403988</v>
          </cell>
          <cell r="G17">
            <v>7382918.3300000001</v>
          </cell>
          <cell r="H17">
            <v>7325003.3399999999</v>
          </cell>
          <cell r="I17">
            <v>100.79064796713118</v>
          </cell>
          <cell r="J17">
            <v>104.04436358122322</v>
          </cell>
          <cell r="N17" t="str">
            <v>2**</v>
          </cell>
          <cell r="O17">
            <v>1370466</v>
          </cell>
          <cell r="P17">
            <v>5.0767213309082022</v>
          </cell>
          <cell r="Q17">
            <v>7095933</v>
          </cell>
          <cell r="R17">
            <v>5.3989550458185098</v>
          </cell>
          <cell r="U17" t="str">
            <v>PRESTATIONS INTERNES</v>
          </cell>
          <cell r="V17" t="str">
            <v>2**</v>
          </cell>
          <cell r="W17">
            <v>5.0002239866968532</v>
          </cell>
          <cell r="X17">
            <v>5.4521796352809826</v>
          </cell>
          <cell r="Y17">
            <v>91.710551030645988</v>
          </cell>
          <cell r="Z17">
            <v>98.493174251152681</v>
          </cell>
          <cell r="AA17">
            <v>5.2046738459955009</v>
          </cell>
          <cell r="AB17">
            <v>5.4521796352809826</v>
          </cell>
          <cell r="AC17">
            <v>95.460424897157182</v>
          </cell>
          <cell r="AD17">
            <v>96.401503658129556</v>
          </cell>
        </row>
        <row r="18">
          <cell r="A18" t="str">
            <v>PRESTATIONS AUTRES DIV.</v>
          </cell>
          <cell r="B18" t="str">
            <v>3**</v>
          </cell>
          <cell r="C18">
            <v>760804.21</v>
          </cell>
          <cell r="D18">
            <v>477097.45</v>
          </cell>
          <cell r="E18">
            <v>159.4651595811296</v>
          </cell>
          <cell r="F18">
            <v>90.956328531292968</v>
          </cell>
          <cell r="G18">
            <v>5301777.88</v>
          </cell>
          <cell r="H18">
            <v>2862584.7</v>
          </cell>
          <cell r="I18">
            <v>185.20946751374728</v>
          </cell>
          <cell r="J18">
            <v>175.80273059407367</v>
          </cell>
          <cell r="N18" t="str">
            <v>3**</v>
          </cell>
          <cell r="O18">
            <v>836450</v>
          </cell>
          <cell r="P18">
            <v>3.0985252879226231</v>
          </cell>
          <cell r="Q18">
            <v>3015754</v>
          </cell>
          <cell r="R18">
            <v>2.2945425605409961</v>
          </cell>
          <cell r="U18" t="str">
            <v>PRESTATIONS AUTRES DIV.</v>
          </cell>
          <cell r="V18" t="str">
            <v>3**</v>
          </cell>
          <cell r="W18">
            <v>2.7383901968477011</v>
          </cell>
          <cell r="X18">
            <v>2.130691998511351</v>
          </cell>
          <cell r="Y18">
            <v>128.52116583536852</v>
          </cell>
          <cell r="Z18">
            <v>88.377209878562226</v>
          </cell>
          <cell r="AA18">
            <v>3.7375497650010536</v>
          </cell>
          <cell r="AB18">
            <v>2.130691998511351</v>
          </cell>
          <cell r="AC18">
            <v>175.41483084426866</v>
          </cell>
          <cell r="AD18">
            <v>162.88866588379307</v>
          </cell>
        </row>
        <row r="19">
          <cell r="A19" t="str">
            <v xml:space="preserve"> Bande</v>
          </cell>
          <cell r="B19" t="str">
            <v>402</v>
          </cell>
          <cell r="C19">
            <v>213939.85</v>
          </cell>
          <cell r="D19">
            <v>301016.55</v>
          </cell>
          <cell r="E19">
            <v>71.072454321863702</v>
          </cell>
          <cell r="F19">
            <v>38.945242884578626</v>
          </cell>
          <cell r="G19">
            <v>1003882.69</v>
          </cell>
          <cell r="H19">
            <v>1806099.2999999998</v>
          </cell>
          <cell r="I19">
            <v>55.582917838459935</v>
          </cell>
          <cell r="J19">
            <v>239.63303455272421</v>
          </cell>
          <cell r="N19" t="str">
            <v>402</v>
          </cell>
          <cell r="O19">
            <v>549335</v>
          </cell>
          <cell r="P19">
            <v>2.0349433786131557</v>
          </cell>
          <cell r="Q19">
            <v>418925</v>
          </cell>
          <cell r="R19">
            <v>0.31873993773186965</v>
          </cell>
          <cell r="U19" t="str">
            <v xml:space="preserve"> Bande</v>
          </cell>
          <cell r="V19" t="str">
            <v>402</v>
          </cell>
          <cell r="W19">
            <v>0.77004146435397314</v>
          </cell>
          <cell r="X19">
            <v>1.3443240044659472</v>
          </cell>
          <cell r="Y19">
            <v>57.280942822997758</v>
          </cell>
          <cell r="Z19">
            <v>37.840928275791526</v>
          </cell>
          <cell r="AA19">
            <v>0.70769873748428813</v>
          </cell>
          <cell r="AB19">
            <v>1.344324004465947</v>
          </cell>
          <cell r="AC19">
            <v>52.643465052566121</v>
          </cell>
          <cell r="AD19">
            <v>222.03014235373865</v>
          </cell>
        </row>
        <row r="20">
          <cell r="A20" t="str">
            <v xml:space="preserve"> Rouleaux de convoyeur</v>
          </cell>
          <cell r="B20" t="str">
            <v>408</v>
          </cell>
          <cell r="C20">
            <v>22018.3</v>
          </cell>
          <cell r="D20">
            <v>46666.63</v>
          </cell>
          <cell r="E20">
            <v>47.182108500228111</v>
          </cell>
          <cell r="F20">
            <v>67.582259054634747</v>
          </cell>
          <cell r="G20">
            <v>154531.81</v>
          </cell>
          <cell r="H20">
            <v>279999.77999999997</v>
          </cell>
          <cell r="I20">
            <v>55.189975506409326</v>
          </cell>
          <cell r="J20">
            <v>85.411138193857198</v>
          </cell>
          <cell r="N20" t="str">
            <v>408</v>
          </cell>
          <cell r="O20">
            <v>32580</v>
          </cell>
          <cell r="P20">
            <v>0.12068856940704054</v>
          </cell>
          <cell r="Q20">
            <v>180927</v>
          </cell>
          <cell r="R20">
            <v>0.13765867569138623</v>
          </cell>
          <cell r="U20" t="str">
            <v xml:space="preserve"> Rouleaux de convoyeur</v>
          </cell>
          <cell r="V20" t="str">
            <v>408</v>
          </cell>
          <cell r="W20">
            <v>7.9251266066537332E-2</v>
          </cell>
          <cell r="X20">
            <v>0.20841070338667658</v>
          </cell>
          <cell r="Y20">
            <v>38.026485578093279</v>
          </cell>
          <cell r="Z20">
            <v>65.665925493946659</v>
          </cell>
          <cell r="AA20">
            <v>0.10893899050910211</v>
          </cell>
          <cell r="AB20">
            <v>0.20841070338667655</v>
          </cell>
          <cell r="AC20">
            <v>52.271303123516276</v>
          </cell>
          <cell r="AD20">
            <v>79.13703220081085</v>
          </cell>
        </row>
        <row r="21">
          <cell r="A21" t="str">
            <v xml:space="preserve"> Autres Marchandises</v>
          </cell>
          <cell r="B21" t="str">
            <v>409</v>
          </cell>
          <cell r="C21">
            <v>97899.6</v>
          </cell>
          <cell r="D21">
            <v>192629.05</v>
          </cell>
          <cell r="E21">
            <v>50.822863944976113</v>
          </cell>
          <cell r="F21">
            <v>25.997440078178524</v>
          </cell>
          <cell r="G21">
            <v>1114170.99</v>
          </cell>
          <cell r="H21">
            <v>1155774.2999999998</v>
          </cell>
          <cell r="I21">
            <v>96.400394956004831</v>
          </cell>
          <cell r="J21">
            <v>117.87587163446737</v>
          </cell>
          <cell r="N21" t="str">
            <v>409</v>
          </cell>
          <cell r="O21">
            <v>376574</v>
          </cell>
          <cell r="P21">
            <v>1.394971680045638</v>
          </cell>
          <cell r="Q21">
            <v>945207</v>
          </cell>
          <cell r="R21">
            <v>0.71916266712114896</v>
          </cell>
          <cell r="U21" t="str">
            <v xml:space="preserve"> Autres Marchandises</v>
          </cell>
          <cell r="V21" t="str">
            <v>409</v>
          </cell>
          <cell r="W21">
            <v>0.3523735823114218</v>
          </cell>
          <cell r="X21">
            <v>0.86027115742463711</v>
          </cell>
          <cell r="Y21">
            <v>40.960757462369187</v>
          </cell>
          <cell r="Z21">
            <v>25.260267814174803</v>
          </cell>
          <cell r="AA21">
            <v>0.78544775282918711</v>
          </cell>
          <cell r="AB21">
            <v>0.860271157424637</v>
          </cell>
          <cell r="AC21">
            <v>91.302346481143687</v>
          </cell>
          <cell r="AD21">
            <v>109.21698090549963</v>
          </cell>
        </row>
        <row r="22">
          <cell r="A22" t="str">
            <v xml:space="preserve"> Pièces de rechange</v>
          </cell>
          <cell r="B22" t="str">
            <v>417</v>
          </cell>
          <cell r="C22">
            <v>126646.45</v>
          </cell>
          <cell r="D22">
            <v>240005.84</v>
          </cell>
          <cell r="E22">
            <v>52.768070143626502</v>
          </cell>
          <cell r="F22">
            <v>39.675087481869241</v>
          </cell>
          <cell r="G22">
            <v>1548197.73</v>
          </cell>
          <cell r="H22">
            <v>1440035.04</v>
          </cell>
          <cell r="I22">
            <v>107.51111514619811</v>
          </cell>
          <cell r="J22">
            <v>98.998106615272661</v>
          </cell>
          <cell r="N22" t="str">
            <v>417</v>
          </cell>
          <cell r="O22">
            <v>319209</v>
          </cell>
          <cell r="P22">
            <v>1.1824701519905465</v>
          </cell>
          <cell r="Q22">
            <v>1563866</v>
          </cell>
          <cell r="R22">
            <v>1.189870624720387</v>
          </cell>
          <cell r="U22" t="str">
            <v xml:space="preserve"> Pièces de rechange</v>
          </cell>
          <cell r="V22" t="str">
            <v>417</v>
          </cell>
          <cell r="W22">
            <v>0.45584316252083112</v>
          </cell>
          <cell r="X22">
            <v>1.0718533978414588</v>
          </cell>
          <cell r="Y22">
            <v>42.528499087545576</v>
          </cell>
          <cell r="Z22">
            <v>38.550077712614893</v>
          </cell>
          <cell r="AA22">
            <v>1.091419933634916</v>
          </cell>
          <cell r="AB22">
            <v>1.0718533978414588</v>
          </cell>
          <cell r="AC22">
            <v>101.82548619362134</v>
          </cell>
          <cell r="AD22">
            <v>91.725933135914971</v>
          </cell>
        </row>
        <row r="23">
          <cell r="A23" t="str">
            <v xml:space="preserve"> Autres consommations</v>
          </cell>
          <cell r="B23" t="str">
            <v>-</v>
          </cell>
          <cell r="C23">
            <v>369983.98000000016</v>
          </cell>
          <cell r="D23">
            <v>133527.47000000009</v>
          </cell>
          <cell r="E23">
            <v>277.08454297830991</v>
          </cell>
          <cell r="F23">
            <v>341.06507250251218</v>
          </cell>
          <cell r="G23">
            <v>893679.74999999674</v>
          </cell>
          <cell r="H23">
            <v>801164.82000000053</v>
          </cell>
          <cell r="I23">
            <v>111.54755272454378</v>
          </cell>
          <cell r="J23">
            <v>144.718669082747</v>
          </cell>
          <cell r="N23" t="str">
            <v>AUTRES CONSOM.</v>
          </cell>
          <cell r="O23">
            <v>108479</v>
          </cell>
          <cell r="P23">
            <v>0.40184700186330113</v>
          </cell>
          <cell r="Q23">
            <v>617529</v>
          </cell>
          <cell r="R23">
            <v>0.46984819480246759</v>
          </cell>
          <cell r="U23" t="str">
            <v xml:space="preserve"> Autres consommations</v>
          </cell>
          <cell r="V23" t="str">
            <v>-</v>
          </cell>
          <cell r="W23">
            <v>1.3316967631168819</v>
          </cell>
          <cell r="X23">
            <v>0.59632662448827733</v>
          </cell>
          <cell r="Y23">
            <v>223.31667050077527</v>
          </cell>
          <cell r="Z23">
            <v>331.39397754419326</v>
          </cell>
          <cell r="AA23">
            <v>0.63000989766072368</v>
          </cell>
          <cell r="AB23">
            <v>0.59632662448827733</v>
          </cell>
          <cell r="AC23">
            <v>105.64846038886002</v>
          </cell>
          <cell r="AD23">
            <v>134.08796812033955</v>
          </cell>
        </row>
        <row r="24">
          <cell r="A24" t="str">
            <v xml:space="preserve"> TOTAL MARCHANDISE</v>
          </cell>
          <cell r="B24" t="str">
            <v>4**</v>
          </cell>
          <cell r="C24">
            <v>830488.18000000017</v>
          </cell>
          <cell r="D24">
            <v>913845.54</v>
          </cell>
          <cell r="E24">
            <v>90.878397239866175</v>
          </cell>
          <cell r="F24">
            <v>59.912087769391817</v>
          </cell>
          <cell r="G24">
            <v>4714462.9699999969</v>
          </cell>
          <cell r="H24">
            <v>5483073.2400000002</v>
          </cell>
          <cell r="I24">
            <v>85.982126512685369</v>
          </cell>
          <cell r="J24">
            <v>126.51338162231431</v>
          </cell>
          <cell r="N24" t="str">
            <v>4**</v>
          </cell>
          <cell r="O24">
            <v>1386178</v>
          </cell>
          <cell r="P24">
            <v>5.1349244862956613</v>
          </cell>
          <cell r="Q24">
            <v>3726454</v>
          </cell>
          <cell r="R24">
            <v>2.8352801000672594</v>
          </cell>
          <cell r="U24" t="str">
            <v xml:space="preserve"> TOTAL MARCHANDISE</v>
          </cell>
          <cell r="V24" t="str">
            <v>4**</v>
          </cell>
          <cell r="W24">
            <v>2.9892062383696452</v>
          </cell>
          <cell r="X24">
            <v>4.0811858876069973</v>
          </cell>
          <cell r="Y24">
            <v>73.243569900766417</v>
          </cell>
          <cell r="Z24">
            <v>58.213246296949173</v>
          </cell>
          <cell r="AA24">
            <v>3.323515312118217</v>
          </cell>
          <cell r="AB24">
            <v>4.0811858876069964</v>
          </cell>
          <cell r="AC24">
            <v>81.435038825613518</v>
          </cell>
          <cell r="AD24">
            <v>117.21999925296183</v>
          </cell>
        </row>
        <row r="25">
          <cell r="A25" t="str">
            <v>Entretien + réparation</v>
          </cell>
          <cell r="B25" t="str">
            <v>51*</v>
          </cell>
          <cell r="C25">
            <v>111466.83</v>
          </cell>
          <cell r="D25">
            <v>139912.23000000001</v>
          </cell>
          <cell r="E25">
            <v>79.669111127740578</v>
          </cell>
          <cell r="F25">
            <v>172.47985330981339</v>
          </cell>
          <cell r="G25">
            <v>236005.67</v>
          </cell>
          <cell r="H25">
            <v>839473.38000000012</v>
          </cell>
          <cell r="I25">
            <v>28.113538275627032</v>
          </cell>
          <cell r="J25">
            <v>93.489066795541149</v>
          </cell>
          <cell r="N25" t="str">
            <v>51*</v>
          </cell>
          <cell r="O25">
            <v>64626</v>
          </cell>
          <cell r="P25">
            <v>0.23939900204111117</v>
          </cell>
          <cell r="Q25">
            <v>252442</v>
          </cell>
          <cell r="R25">
            <v>0.1920710087984929</v>
          </cell>
          <cell r="U25" t="str">
            <v>Entretien + réparation</v>
          </cell>
          <cell r="V25" t="str">
            <v>51*</v>
          </cell>
          <cell r="W25">
            <v>0.40120660550194542</v>
          </cell>
          <cell r="X25">
            <v>0.62484062523260153</v>
          </cell>
          <cell r="Y25">
            <v>64.209430261131516</v>
          </cell>
          <cell r="Z25">
            <v>167.5890885430874</v>
          </cell>
          <cell r="AA25">
            <v>0.16637493241180756</v>
          </cell>
          <cell r="AB25">
            <v>0.62484062523260153</v>
          </cell>
          <cell r="AC25">
            <v>26.626779004625899</v>
          </cell>
          <cell r="AD25">
            <v>86.621574725187273</v>
          </cell>
        </row>
        <row r="26">
          <cell r="A26" t="str">
            <v>Cerphos</v>
          </cell>
          <cell r="B26">
            <v>550</v>
          </cell>
          <cell r="C26">
            <v>84460</v>
          </cell>
          <cell r="D26">
            <v>83333.33</v>
          </cell>
          <cell r="E26">
            <v>101.35200405408015</v>
          </cell>
          <cell r="F26">
            <v>760.28445404626882</v>
          </cell>
          <cell r="G26">
            <v>346846</v>
          </cell>
          <cell r="H26">
            <v>499999.98</v>
          </cell>
          <cell r="I26">
            <v>69.369202774768112</v>
          </cell>
          <cell r="J26">
            <v>109.98728401051527</v>
          </cell>
          <cell r="N26">
            <v>550</v>
          </cell>
          <cell r="O26">
            <v>11109</v>
          </cell>
          <cell r="P26">
            <v>4.1151912754536932E-2</v>
          </cell>
          <cell r="Q26">
            <v>315351</v>
          </cell>
          <cell r="R26">
            <v>0.23993544931355928</v>
          </cell>
          <cell r="U26" t="str">
            <v>Cerphos</v>
          </cell>
          <cell r="V26">
            <v>550</v>
          </cell>
          <cell r="W26">
            <v>0.30399994241061951</v>
          </cell>
          <cell r="X26">
            <v>0.37216224786006702</v>
          </cell>
          <cell r="Y26">
            <v>81.684787793124968</v>
          </cell>
          <cell r="Z26">
            <v>738.72615405247234</v>
          </cell>
          <cell r="AA26">
            <v>0.24451310770332679</v>
          </cell>
          <cell r="AB26">
            <v>0.37216224786006696</v>
          </cell>
          <cell r="AC26">
            <v>65.700674667910903</v>
          </cell>
          <cell r="AD26">
            <v>101.90787080561205</v>
          </cell>
        </row>
        <row r="27">
          <cell r="A27" t="str">
            <v>Transport du personnel</v>
          </cell>
          <cell r="B27">
            <v>560</v>
          </cell>
          <cell r="C27">
            <v>46128.999999999985</v>
          </cell>
          <cell r="D27">
            <v>40532</v>
          </cell>
          <cell r="E27">
            <v>113.80884239613142</v>
          </cell>
          <cell r="F27">
            <v>94.204260011844681</v>
          </cell>
          <cell r="G27">
            <v>276774</v>
          </cell>
          <cell r="H27">
            <v>243192</v>
          </cell>
          <cell r="I27">
            <v>113.80884239613145</v>
          </cell>
          <cell r="J27">
            <v>109.62996411341112</v>
          </cell>
          <cell r="N27">
            <v>560</v>
          </cell>
          <cell r="O27">
            <v>48967</v>
          </cell>
          <cell r="P27">
            <v>0.1813921785805572</v>
          </cell>
          <cell r="Q27">
            <v>252462</v>
          </cell>
          <cell r="R27">
            <v>0.1920862258391437</v>
          </cell>
          <cell r="U27" t="str">
            <v xml:space="preserve"> Transport du personnel</v>
          </cell>
          <cell r="V27">
            <v>560</v>
          </cell>
          <cell r="W27">
            <v>0.16603378337034647</v>
          </cell>
          <cell r="X27">
            <v>0.18101377000372162</v>
          </cell>
          <cell r="Y27">
            <v>91.724393877290566</v>
          </cell>
          <cell r="Z27">
            <v>91.533044406658377</v>
          </cell>
          <cell r="AA27">
            <v>0.19511503915709152</v>
          </cell>
          <cell r="AB27">
            <v>0.18101377000372162</v>
          </cell>
          <cell r="AC27">
            <v>107.7901637831641</v>
          </cell>
          <cell r="AD27">
            <v>101.57679880726285</v>
          </cell>
        </row>
        <row r="28">
          <cell r="A28" t="str">
            <v>Transport du produit</v>
          </cell>
          <cell r="B28">
            <v>569</v>
          </cell>
          <cell r="C28">
            <v>2958858.96</v>
          </cell>
          <cell r="D28">
            <v>1669781.25</v>
          </cell>
          <cell r="E28">
            <v>177.20039436303406</v>
          </cell>
          <cell r="F28">
            <v>139.9346291106279</v>
          </cell>
          <cell r="G28">
            <v>10750162.41</v>
          </cell>
          <cell r="H28">
            <v>10018687.5</v>
          </cell>
          <cell r="I28">
            <v>107.30110515973274</v>
          </cell>
          <cell r="J28">
            <v>130.20217864316845</v>
          </cell>
          <cell r="N28">
            <v>569</v>
          </cell>
          <cell r="O28">
            <v>2114458</v>
          </cell>
          <cell r="P28">
            <v>7.8327474245326005</v>
          </cell>
          <cell r="Q28">
            <v>8256515</v>
          </cell>
          <cell r="R28">
            <v>6.2819862194479867</v>
          </cell>
          <cell r="U28" t="str">
            <v>Transport du produit</v>
          </cell>
          <cell r="V28">
            <v>569</v>
          </cell>
          <cell r="W28">
            <v>10.649928409201344</v>
          </cell>
          <cell r="X28">
            <v>7.4571548195013033</v>
          </cell>
          <cell r="Y28">
            <v>142.81490282796031</v>
          </cell>
          <cell r="Z28">
            <v>135.96670276696497</v>
          </cell>
          <cell r="AA28">
            <v>7.5784515871152758</v>
          </cell>
          <cell r="AB28">
            <v>7.4571548195013024</v>
          </cell>
          <cell r="AC28">
            <v>101.62658239703926</v>
          </cell>
          <cell r="AD28">
            <v>120.63782571909579</v>
          </cell>
        </row>
        <row r="29">
          <cell r="A29" t="str">
            <v>Autres T.F.S. Ext.</v>
          </cell>
          <cell r="B29" t="str">
            <v>-</v>
          </cell>
          <cell r="C29">
            <v>131235.2200000002</v>
          </cell>
          <cell r="D29">
            <v>73621.079999999842</v>
          </cell>
          <cell r="E29">
            <v>178.25766750501418</v>
          </cell>
          <cell r="F29">
            <v>173.83760083716396</v>
          </cell>
          <cell r="G29">
            <v>886937.49000000022</v>
          </cell>
          <cell r="H29">
            <v>441726.47999999905</v>
          </cell>
          <cell r="I29">
            <v>200.78884335845163</v>
          </cell>
          <cell r="J29">
            <v>199.248662783253</v>
          </cell>
          <cell r="N29" t="str">
            <v>-</v>
          </cell>
          <cell r="O29">
            <v>75493</v>
          </cell>
          <cell r="P29">
            <v>0.27965445580864673</v>
          </cell>
          <cell r="Q29">
            <v>445141</v>
          </cell>
          <cell r="R29">
            <v>0.33868643461694142</v>
          </cell>
          <cell r="U29" t="str">
            <v>Autres T.F.S. Ext.</v>
          </cell>
          <cell r="V29" t="str">
            <v>-</v>
          </cell>
          <cell r="W29">
            <v>0.47235968887337249</v>
          </cell>
          <cell r="X29">
            <v>0.32878785262374327</v>
          </cell>
          <cell r="Y29">
            <v>143.66701357848802</v>
          </cell>
          <cell r="Z29">
            <v>168.90833636371025</v>
          </cell>
          <cell r="AA29">
            <v>0.62525686332980168</v>
          </cell>
          <cell r="AB29">
            <v>0.32878785262374327</v>
          </cell>
          <cell r="AC29">
            <v>190.17030536262854</v>
          </cell>
          <cell r="AD29">
            <v>184.61231375770186</v>
          </cell>
        </row>
        <row r="30">
          <cell r="A30" t="str">
            <v>Total T.F.S. Ext.</v>
          </cell>
          <cell r="B30" t="str">
            <v>5**</v>
          </cell>
          <cell r="C30">
            <v>3332150.0100000002</v>
          </cell>
          <cell r="D30">
            <v>2007179.89</v>
          </cell>
          <cell r="E30">
            <v>166.01152824423727</v>
          </cell>
          <cell r="F30">
            <v>143.95900593264128</v>
          </cell>
          <cell r="G30">
            <v>12496725.57</v>
          </cell>
          <cell r="H30">
            <v>12043079.34</v>
          </cell>
          <cell r="I30">
            <v>103.76686242108575</v>
          </cell>
          <cell r="J30">
            <v>131.24178087780908</v>
          </cell>
          <cell r="N30" t="str">
            <v>5**</v>
          </cell>
          <cell r="O30">
            <v>2314652</v>
          </cell>
          <cell r="P30">
            <v>8.5743412693414722</v>
          </cell>
          <cell r="Q30">
            <v>9521911</v>
          </cell>
          <cell r="R30">
            <v>7.2447653380161237</v>
          </cell>
          <cell r="U30" t="str">
            <v>Total T.F.S. Ext.</v>
          </cell>
          <cell r="V30" t="str">
            <v>5**</v>
          </cell>
          <cell r="W30">
            <v>11.993528429357628</v>
          </cell>
          <cell r="X30">
            <v>8.9639593152214356</v>
          </cell>
          <cell r="Y30">
            <v>133.79722071018071</v>
          </cell>
          <cell r="Z30">
            <v>139.87696608533471</v>
          </cell>
          <cell r="AA30">
            <v>8.809711529717303</v>
          </cell>
          <cell r="AB30">
            <v>8.9639593152214356</v>
          </cell>
          <cell r="AC30">
            <v>98.279244917564398</v>
          </cell>
          <cell r="AD30">
            <v>121.60106116190255</v>
          </cell>
        </row>
        <row r="31">
          <cell r="A31" t="str">
            <v xml:space="preserve"> Location</v>
          </cell>
          <cell r="B31">
            <v>680</v>
          </cell>
          <cell r="C31">
            <v>2663290.7599999998</v>
          </cell>
          <cell r="D31">
            <v>2705687.2</v>
          </cell>
          <cell r="E31">
            <v>98.433062033186971</v>
          </cell>
          <cell r="F31">
            <v>100.04893936411432</v>
          </cell>
          <cell r="G31">
            <v>15942500.85</v>
          </cell>
          <cell r="H31">
            <v>16234123.200000001</v>
          </cell>
          <cell r="I31">
            <v>98.203645824247516</v>
          </cell>
          <cell r="J31">
            <v>97.908891275291111</v>
          </cell>
          <cell r="N31">
            <v>680</v>
          </cell>
          <cell r="O31">
            <v>2661988</v>
          </cell>
          <cell r="P31">
            <v>9.8610044045030403</v>
          </cell>
          <cell r="Q31">
            <v>16282996</v>
          </cell>
          <cell r="R31">
            <v>12.388950602442639</v>
          </cell>
          <cell r="U31" t="str">
            <v xml:space="preserve"> Location</v>
          </cell>
          <cell r="V31">
            <v>680</v>
          </cell>
          <cell r="W31">
            <v>9.5860790630207777</v>
          </cell>
          <cell r="X31">
            <v>12.083456047636771</v>
          </cell>
          <cell r="Y31">
            <v>79.332262435758864</v>
          </cell>
          <cell r="Z31">
            <v>97.211994537222623</v>
          </cell>
          <cell r="AA31">
            <v>11.238850750466861</v>
          </cell>
          <cell r="AB31">
            <v>12.083456047636771</v>
          </cell>
          <cell r="AC31">
            <v>93.010234043636103</v>
          </cell>
          <cell r="AD31">
            <v>90.716729052507318</v>
          </cell>
        </row>
        <row r="32">
          <cell r="A32" t="str">
            <v>Recettes internes</v>
          </cell>
          <cell r="B32">
            <v>820</v>
          </cell>
          <cell r="C32">
            <v>1389207.23</v>
          </cell>
          <cell r="D32">
            <v>1220834.06</v>
          </cell>
          <cell r="E32">
            <v>113.79165076701743</v>
          </cell>
          <cell r="F32">
            <v>101.3675078403988</v>
          </cell>
          <cell r="G32">
            <v>7381579.5499999998</v>
          </cell>
          <cell r="H32">
            <v>7325004.3600000003</v>
          </cell>
          <cell r="I32">
            <v>100.7723570829383</v>
          </cell>
          <cell r="J32">
            <v>104.02551137750473</v>
          </cell>
          <cell r="N32">
            <v>820</v>
          </cell>
          <cell r="O32">
            <v>1370466</v>
          </cell>
          <cell r="P32">
            <v>5.0767213309082022</v>
          </cell>
          <cell r="Q32">
            <v>7095932</v>
          </cell>
          <cell r="R32">
            <v>5.3989542849664769</v>
          </cell>
          <cell r="U32" t="str">
            <v>Recettes internes</v>
          </cell>
          <cell r="V32">
            <v>820</v>
          </cell>
          <cell r="W32">
            <v>5.0002239866968532</v>
          </cell>
          <cell r="X32">
            <v>5.4521803944919993</v>
          </cell>
          <cell r="Y32">
            <v>91.710538260037595</v>
          </cell>
          <cell r="Z32">
            <v>98.493174251152681</v>
          </cell>
          <cell r="AA32">
            <v>5.2037300575178156</v>
          </cell>
          <cell r="AB32">
            <v>5.4521803944919984</v>
          </cell>
          <cell r="AC32">
            <v>95.443101309979085</v>
          </cell>
          <cell r="AD32">
            <v>96.38403629398627</v>
          </cell>
          <cell r="AJ32">
            <v>85.71</v>
          </cell>
        </row>
        <row r="33">
          <cell r="A33" t="str">
            <v xml:space="preserve"> Produits  </v>
          </cell>
          <cell r="B33" t="str">
            <v>7** + 830</v>
          </cell>
          <cell r="C33">
            <v>158982.28000000003</v>
          </cell>
          <cell r="D33">
            <v>108333.32999999984</v>
          </cell>
          <cell r="E33">
            <v>146.75287836162727</v>
          </cell>
          <cell r="F33">
            <v>126.27663224781575</v>
          </cell>
          <cell r="G33">
            <v>525703.25999999978</v>
          </cell>
          <cell r="H33">
            <v>649999.97999999905</v>
          </cell>
          <cell r="I33">
            <v>80.877427103920922</v>
          </cell>
          <cell r="J33">
            <v>97.044250205366239</v>
          </cell>
          <cell r="N33" t="str">
            <v>7** + 830</v>
          </cell>
          <cell r="O33">
            <v>125900</v>
          </cell>
          <cell r="P33">
            <v>0.46638093579945988</v>
          </cell>
          <cell r="Q33">
            <v>541715</v>
          </cell>
          <cell r="R33">
            <v>0.41216495880747095</v>
          </cell>
          <cell r="U33" t="str">
            <v xml:space="preserve"> Produits  </v>
          </cell>
          <cell r="V33" t="str">
            <v>7** + 830</v>
          </cell>
          <cell r="W33">
            <v>0.57223068866101101</v>
          </cell>
          <cell r="X33">
            <v>0.48381092668403353</v>
          </cell>
          <cell r="Y33">
            <v>118.27568521095483</v>
          </cell>
          <cell r="Z33">
            <v>122.69598620709181</v>
          </cell>
          <cell r="AA33">
            <v>0.37060060612597506</v>
          </cell>
          <cell r="AB33">
            <v>0.48381092668403353</v>
          </cell>
          <cell r="AC33">
            <v>76.600296869278097</v>
          </cell>
          <cell r="AD33">
            <v>89.915602529202076</v>
          </cell>
          <cell r="AF33" t="str">
            <v>R</v>
          </cell>
          <cell r="AG33">
            <v>69.66</v>
          </cell>
          <cell r="AH33">
            <v>69.180000000000007</v>
          </cell>
          <cell r="AI33">
            <v>66.510000000000005</v>
          </cell>
          <cell r="AJ33">
            <v>67.709999999999994</v>
          </cell>
          <cell r="AK33">
            <v>66.599999999999994</v>
          </cell>
          <cell r="AL33">
            <v>66.3</v>
          </cell>
        </row>
        <row r="34">
          <cell r="A34" t="str">
            <v>TOTAL DEPENSES DEG/TG</v>
          </cell>
          <cell r="C34">
            <v>16968258.459999997</v>
          </cell>
          <cell r="D34">
            <v>15059097.300000001</v>
          </cell>
          <cell r="E34">
            <v>112.67779284486062</v>
          </cell>
          <cell r="F34">
            <v>98.98415303482318</v>
          </cell>
          <cell r="G34">
            <v>94048112.5</v>
          </cell>
          <cell r="H34">
            <v>90354583.799999997</v>
          </cell>
          <cell r="I34">
            <v>104.08781552043406</v>
          </cell>
          <cell r="J34">
            <v>104.97651403337014</v>
          </cell>
          <cell r="N34" t="str">
            <v xml:space="preserve">    TOTAL</v>
          </cell>
          <cell r="O34">
            <v>17142399</v>
          </cell>
          <cell r="P34">
            <v>63.501891083937458</v>
          </cell>
          <cell r="Q34">
            <v>89589670</v>
          </cell>
          <cell r="R34">
            <v>68.164482514098594</v>
          </cell>
          <cell r="U34" t="str">
            <v>TOTAL COUTS DEG/TG</v>
          </cell>
          <cell r="W34">
            <v>61.074468324041035</v>
          </cell>
          <cell r="X34">
            <v>67.243132713062892</v>
          </cell>
          <cell r="Y34">
            <v>90.826328072273895</v>
          </cell>
          <cell r="Z34">
            <v>96.177400832539249</v>
          </cell>
          <cell r="AA34">
            <v>66.300306940276357</v>
          </cell>
          <cell r="AB34">
            <v>67.243132713062892</v>
          </cell>
          <cell r="AC34">
            <v>98.597885412611987</v>
          </cell>
          <cell r="AD34">
            <v>97.265180479531011</v>
          </cell>
          <cell r="AF34" t="str">
            <v>R/P</v>
          </cell>
          <cell r="AG34">
            <v>104</v>
          </cell>
          <cell r="AH34">
            <v>103</v>
          </cell>
          <cell r="AI34">
            <v>99</v>
          </cell>
          <cell r="AJ34">
            <v>101</v>
          </cell>
          <cell r="AK34">
            <v>99</v>
          </cell>
          <cell r="AL34">
            <v>99</v>
          </cell>
        </row>
      </sheetData>
      <sheetData sheetId="3" refreshError="1"/>
      <sheetData sheetId="4" refreshError="1"/>
      <sheetData sheetId="5" refreshError="1">
        <row r="1">
          <cell r="A1" t="str">
            <v>DEG/TG/C</v>
          </cell>
          <cell r="P1" t="str">
            <v>- 7 -</v>
          </cell>
        </row>
        <row r="3">
          <cell r="O3" t="str">
            <v xml:space="preserve">     MOIS : Juin  2002</v>
          </cell>
        </row>
        <row r="4">
          <cell r="A4" t="str">
            <v xml:space="preserve">       S E C T E U R S</v>
          </cell>
          <cell r="C4" t="str">
            <v xml:space="preserve"> MANUT.+ G.FLUX  (GS.70)       </v>
          </cell>
          <cell r="F4" t="str">
            <v xml:space="preserve">SECH.+FR.COM.(SA.900+909)      </v>
          </cell>
          <cell r="I4" t="str">
            <v xml:space="preserve">C.SEC + M.A TERRIL(SA.901)     </v>
          </cell>
          <cell r="L4" t="str">
            <v>STOCK. + CHARG. (SA.902)</v>
          </cell>
          <cell r="O4" t="str">
            <v>T  O  T  A  L</v>
          </cell>
        </row>
        <row r="5">
          <cell r="A5" t="str">
            <v>T O N N A G E (t)</v>
          </cell>
          <cell r="C5">
            <v>207506</v>
          </cell>
          <cell r="D5" t="str">
            <v>R/P</v>
          </cell>
          <cell r="E5">
            <v>1.8202280701754385</v>
          </cell>
          <cell r="F5">
            <v>183279</v>
          </cell>
          <cell r="G5" t="str">
            <v>R/P</v>
          </cell>
          <cell r="H5">
            <v>1.6077105263157894</v>
          </cell>
          <cell r="I5">
            <v>183279</v>
          </cell>
          <cell r="J5" t="str">
            <v>R/P</v>
          </cell>
          <cell r="K5">
            <v>1.6077105263157894</v>
          </cell>
          <cell r="L5">
            <v>183279</v>
          </cell>
          <cell r="M5" t="str">
            <v>R/P</v>
          </cell>
          <cell r="N5">
            <v>1.6077105263157894</v>
          </cell>
          <cell r="O5">
            <v>183279</v>
          </cell>
          <cell r="P5" t="str">
            <v>R/P</v>
          </cell>
          <cell r="Q5">
            <v>1.6077105263157894</v>
          </cell>
        </row>
        <row r="6">
          <cell r="A6" t="str">
            <v xml:space="preserve">NATURE </v>
          </cell>
          <cell r="D6" t="str">
            <v xml:space="preserve">       COUT</v>
          </cell>
          <cell r="G6" t="str">
            <v xml:space="preserve">   COUT</v>
          </cell>
          <cell r="J6" t="str">
            <v>COUT</v>
          </cell>
          <cell r="M6" t="str">
            <v>COUT</v>
          </cell>
          <cell r="P6" t="str">
            <v>C O U T</v>
          </cell>
        </row>
        <row r="7">
          <cell r="A7" t="str">
            <v xml:space="preserve"> DES </v>
          </cell>
          <cell r="B7" t="str">
            <v>L.PR</v>
          </cell>
          <cell r="C7" t="str">
            <v>DEPENSES</v>
          </cell>
          <cell r="D7" t="str">
            <v>REALISE</v>
          </cell>
          <cell r="E7" t="str">
            <v>R/P</v>
          </cell>
          <cell r="F7" t="str">
            <v>DEPENSES</v>
          </cell>
          <cell r="G7" t="str">
            <v>REALISE</v>
          </cell>
          <cell r="H7" t="str">
            <v>R/P</v>
          </cell>
          <cell r="I7" t="str">
            <v>DEPENSES</v>
          </cell>
          <cell r="J7" t="str">
            <v>REALISE</v>
          </cell>
          <cell r="K7" t="str">
            <v>R/P</v>
          </cell>
          <cell r="L7" t="str">
            <v>DEPENSES</v>
          </cell>
          <cell r="M7" t="str">
            <v>REALISE</v>
          </cell>
          <cell r="N7" t="str">
            <v>R/P</v>
          </cell>
          <cell r="O7" t="str">
            <v>DEPENSES</v>
          </cell>
          <cell r="P7" t="str">
            <v>REALISE</v>
          </cell>
          <cell r="Q7" t="str">
            <v>R/P</v>
          </cell>
        </row>
        <row r="8">
          <cell r="A8" t="str">
            <v xml:space="preserve"> DEPENSES</v>
          </cell>
          <cell r="C8" t="str">
            <v>(DH)</v>
          </cell>
          <cell r="D8" t="str">
            <v>(DH/t)</v>
          </cell>
          <cell r="E8" t="str">
            <v>(%)</v>
          </cell>
          <cell r="F8" t="str">
            <v>(DH)</v>
          </cell>
          <cell r="G8" t="str">
            <v>(DH/t)</v>
          </cell>
          <cell r="H8" t="str">
            <v>(%)</v>
          </cell>
          <cell r="I8" t="str">
            <v>(DH)</v>
          </cell>
          <cell r="J8" t="str">
            <v>(DH/t)</v>
          </cell>
          <cell r="K8" t="str">
            <v>(%)</v>
          </cell>
          <cell r="L8" t="str">
            <v>(DH)</v>
          </cell>
          <cell r="M8" t="str">
            <v>(DH/t)</v>
          </cell>
          <cell r="N8" t="str">
            <v>(%)</v>
          </cell>
          <cell r="O8" t="str">
            <v>(DH)</v>
          </cell>
          <cell r="P8" t="str">
            <v>(DH/t)</v>
          </cell>
          <cell r="Q8" t="str">
            <v>(%)</v>
          </cell>
        </row>
        <row r="9">
          <cell r="A9" t="str">
            <v xml:space="preserve"> - Frais du personnel</v>
          </cell>
          <cell r="B9" t="str">
            <v>0**</v>
          </cell>
          <cell r="C9">
            <v>348673.81</v>
          </cell>
          <cell r="D9">
            <v>1.6803071236494367</v>
          </cell>
          <cell r="E9">
            <v>92.931758398981231</v>
          </cell>
          <cell r="F9">
            <v>212236.59</v>
          </cell>
          <cell r="G9">
            <v>1.1579973155680683</v>
          </cell>
          <cell r="H9">
            <v>62.771546984472295</v>
          </cell>
          <cell r="I9">
            <v>51907.17</v>
          </cell>
          <cell r="J9">
            <v>0.28321395249864961</v>
          </cell>
          <cell r="K9">
            <v>55.331079301633181</v>
          </cell>
          <cell r="L9">
            <v>128177.92</v>
          </cell>
          <cell r="M9">
            <v>0.69935955565012908</v>
          </cell>
          <cell r="N9">
            <v>50.318163808335271</v>
          </cell>
          <cell r="O9">
            <v>740995.49000000011</v>
          </cell>
          <cell r="P9">
            <v>4.0429917775631692</v>
          </cell>
          <cell r="Q9">
            <v>72.786142621148599</v>
          </cell>
        </row>
        <row r="10">
          <cell r="A10" t="str">
            <v xml:space="preserve">   dont H.S</v>
          </cell>
          <cell r="B10" t="str">
            <v>05*</v>
          </cell>
          <cell r="C10">
            <v>42543.81</v>
          </cell>
          <cell r="D10">
            <v>0.20502448121982014</v>
          </cell>
          <cell r="E10">
            <v>116.11028719278474</v>
          </cell>
          <cell r="F10">
            <v>16198.01</v>
          </cell>
          <cell r="G10">
            <v>8.8378974132333768E-2</v>
          </cell>
          <cell r="H10">
            <v>69.81958850254928</v>
          </cell>
          <cell r="I10">
            <v>5834.71</v>
          </cell>
          <cell r="J10">
            <v>3.1835125682702331E-2</v>
          </cell>
          <cell r="K10">
            <v>58.915424083789567</v>
          </cell>
          <cell r="L10">
            <v>18061.59</v>
          </cell>
          <cell r="M10">
            <v>9.8546969374560103E-2</v>
          </cell>
          <cell r="N10">
            <v>90.884398896415036</v>
          </cell>
          <cell r="O10">
            <v>82638.12000000001</v>
          </cell>
          <cell r="P10">
            <v>0.45088700833156015</v>
          </cell>
          <cell r="Q10">
            <v>96.834649043362077</v>
          </cell>
        </row>
        <row r="11">
          <cell r="A11" t="str">
            <v xml:space="preserve"> - Electricité</v>
          </cell>
          <cell r="B11">
            <v>103</v>
          </cell>
          <cell r="C11">
            <v>206534.74</v>
          </cell>
          <cell r="D11">
            <v>0.99531936425934664</v>
          </cell>
          <cell r="E11">
            <v>29.358699916807506</v>
          </cell>
          <cell r="F11">
            <v>226105.52</v>
          </cell>
          <cell r="G11">
            <v>1.2336684508317919</v>
          </cell>
          <cell r="H11">
            <v>80.986618734789857</v>
          </cell>
          <cell r="I11">
            <v>38604.32</v>
          </cell>
          <cell r="J11">
            <v>0.21063144168180753</v>
          </cell>
          <cell r="K11">
            <v>63.748321902039592</v>
          </cell>
          <cell r="L11">
            <v>806.6</v>
          </cell>
          <cell r="M11">
            <v>4.4009406424085681E-3</v>
          </cell>
          <cell r="N11">
            <v>33.299427149591097</v>
          </cell>
          <cell r="O11">
            <v>472051.18</v>
          </cell>
          <cell r="P11">
            <v>2.5755879287861676</v>
          </cell>
          <cell r="Q11">
            <v>48.992292727624005</v>
          </cell>
        </row>
        <row r="12">
          <cell r="A12" t="str">
            <v xml:space="preserve"> - Fuel</v>
          </cell>
          <cell r="B12">
            <v>490</v>
          </cell>
          <cell r="C12">
            <v>0</v>
          </cell>
          <cell r="D12">
            <v>0</v>
          </cell>
          <cell r="E12" t="e">
            <v>#DIV/0!</v>
          </cell>
          <cell r="F12">
            <v>0</v>
          </cell>
          <cell r="G12">
            <v>0</v>
          </cell>
          <cell r="H12" t="e">
            <v>#DIV/0!</v>
          </cell>
          <cell r="I12">
            <v>0</v>
          </cell>
          <cell r="J12">
            <v>0</v>
          </cell>
          <cell r="K12" t="e">
            <v>#DIV/0!</v>
          </cell>
          <cell r="L12">
            <v>0</v>
          </cell>
          <cell r="M12">
            <v>0</v>
          </cell>
          <cell r="N12" t="e">
            <v>#DIV/0!</v>
          </cell>
          <cell r="O12">
            <v>0</v>
          </cell>
          <cell r="P12">
            <v>0</v>
          </cell>
          <cell r="Q12" t="e">
            <v>#DIV/0!</v>
          </cell>
        </row>
        <row r="13">
          <cell r="A13" t="str">
            <v xml:space="preserve"> - Gaz de chauffe</v>
          </cell>
          <cell r="B13">
            <v>492</v>
          </cell>
          <cell r="C13">
            <v>0</v>
          </cell>
          <cell r="D13">
            <v>0</v>
          </cell>
          <cell r="E13" t="e">
            <v>#DIV/0!</v>
          </cell>
          <cell r="F13">
            <v>1432402.32</v>
          </cell>
          <cell r="G13">
            <v>7.8154197698590675</v>
          </cell>
          <cell r="H13">
            <v>82.702854707503349</v>
          </cell>
          <cell r="I13">
            <v>0</v>
          </cell>
          <cell r="J13">
            <v>0</v>
          </cell>
          <cell r="K13" t="e">
            <v>#DIV/0!</v>
          </cell>
          <cell r="L13">
            <v>0</v>
          </cell>
          <cell r="M13">
            <v>0</v>
          </cell>
          <cell r="N13" t="e">
            <v>#DIV/0!</v>
          </cell>
          <cell r="O13">
            <v>1432402.32</v>
          </cell>
          <cell r="P13">
            <v>7.8154197698590675</v>
          </cell>
          <cell r="Q13">
            <v>82.702854707503349</v>
          </cell>
        </row>
        <row r="14">
          <cell r="A14" t="str">
            <v xml:space="preserve">   TOTAL ENERGIE</v>
          </cell>
          <cell r="B14" t="str">
            <v>-</v>
          </cell>
          <cell r="C14">
            <v>206534.74</v>
          </cell>
          <cell r="D14">
            <v>0.99531936425934664</v>
          </cell>
          <cell r="E14">
            <v>29.358699916807506</v>
          </cell>
          <cell r="F14">
            <v>1658507.84</v>
          </cell>
          <cell r="G14">
            <v>9.0490882206908605</v>
          </cell>
          <cell r="H14">
            <v>82.4646090605968</v>
          </cell>
          <cell r="I14">
            <v>38604.32</v>
          </cell>
          <cell r="J14">
            <v>0.21063144168180753</v>
          </cell>
          <cell r="K14">
            <v>63.748321902039592</v>
          </cell>
          <cell r="L14">
            <v>806.6</v>
          </cell>
          <cell r="M14">
            <v>4.4009406424085681E-3</v>
          </cell>
          <cell r="N14">
            <v>33.299427149591097</v>
          </cell>
          <cell r="O14">
            <v>1904453.5000000002</v>
          </cell>
          <cell r="P14">
            <v>10.391007698645236</v>
          </cell>
          <cell r="Q14">
            <v>70.652863946481787</v>
          </cell>
        </row>
        <row r="15">
          <cell r="A15" t="str">
            <v xml:space="preserve"> - Eau</v>
          </cell>
          <cell r="B15">
            <v>107</v>
          </cell>
          <cell r="C15">
            <v>0</v>
          </cell>
          <cell r="D15">
            <v>0</v>
          </cell>
          <cell r="E15" t="e">
            <v>#DIV/0!</v>
          </cell>
          <cell r="F15">
            <v>9158.7999999999993</v>
          </cell>
          <cell r="G15">
            <v>4.9971900763317124E-2</v>
          </cell>
          <cell r="H15">
            <v>71.388459073132637</v>
          </cell>
          <cell r="I15">
            <v>0</v>
          </cell>
          <cell r="J15">
            <v>0</v>
          </cell>
          <cell r="K15" t="e">
            <v>#DIV/0!</v>
          </cell>
          <cell r="L15">
            <v>0</v>
          </cell>
          <cell r="M15">
            <v>0</v>
          </cell>
          <cell r="N15" t="e">
            <v>#DIV/0!</v>
          </cell>
          <cell r="O15">
            <v>9158.7999999999993</v>
          </cell>
          <cell r="P15">
            <v>4.9971900763317124E-2</v>
          </cell>
          <cell r="Q15">
            <v>71.388459073132637</v>
          </cell>
        </row>
        <row r="16">
          <cell r="A16" t="str">
            <v>- Prest. mécan TG</v>
          </cell>
          <cell r="B16">
            <v>211</v>
          </cell>
          <cell r="C16">
            <v>102354.1</v>
          </cell>
          <cell r="D16">
            <v>0.49325850818771511</v>
          </cell>
          <cell r="E16">
            <v>60.797307770664467</v>
          </cell>
          <cell r="F16">
            <v>101468.45</v>
          </cell>
          <cell r="G16">
            <v>0.55362834803769112</v>
          </cell>
          <cell r="H16">
            <v>101.77775668503529</v>
          </cell>
          <cell r="I16">
            <v>45759.3</v>
          </cell>
          <cell r="J16">
            <v>0.24967017497913019</v>
          </cell>
          <cell r="K16">
            <v>79.244245022002488</v>
          </cell>
          <cell r="L16">
            <v>6050.1</v>
          </cell>
          <cell r="M16">
            <v>3.3010328515541879E-2</v>
          </cell>
          <cell r="N16">
            <v>50.187821421257894</v>
          </cell>
          <cell r="O16">
            <v>255631.95</v>
          </cell>
          <cell r="P16">
            <v>1.3947694498551388</v>
          </cell>
          <cell r="Q16">
            <v>80.338671971755431</v>
          </cell>
        </row>
        <row r="17">
          <cell r="A17" t="str">
            <v xml:space="preserve"> - Prest. élect. TG</v>
          </cell>
          <cell r="B17">
            <v>212</v>
          </cell>
          <cell r="C17">
            <v>78605.02</v>
          </cell>
          <cell r="D17">
            <v>0.37880841999749409</v>
          </cell>
          <cell r="E17">
            <v>110.95783595948019</v>
          </cell>
          <cell r="F17">
            <v>117586.28</v>
          </cell>
          <cell r="G17">
            <v>0.64156984706376619</v>
          </cell>
          <cell r="H17">
            <v>80.570558677918541</v>
          </cell>
          <cell r="I17">
            <v>26114.6</v>
          </cell>
          <cell r="J17">
            <v>0.14248550024825538</v>
          </cell>
          <cell r="K17">
            <v>140.64712970474901</v>
          </cell>
          <cell r="L17">
            <v>0</v>
          </cell>
          <cell r="M17">
            <v>0</v>
          </cell>
          <cell r="N17" t="e">
            <v>#DIV/0!</v>
          </cell>
          <cell r="O17">
            <v>222305.9</v>
          </cell>
          <cell r="P17">
            <v>1.2129371068152925</v>
          </cell>
          <cell r="Q17">
            <v>97.897339218776068</v>
          </cell>
        </row>
        <row r="18">
          <cell r="A18" t="str">
            <v xml:space="preserve"> - Prest. laboratoire</v>
          </cell>
          <cell r="B18">
            <v>242</v>
          </cell>
          <cell r="C18">
            <v>0</v>
          </cell>
          <cell r="D18">
            <v>0</v>
          </cell>
          <cell r="E18" t="e">
            <v>#DIV/0!</v>
          </cell>
          <cell r="F18">
            <v>168964.21</v>
          </cell>
          <cell r="G18">
            <v>0.92189618014065977</v>
          </cell>
          <cell r="H18">
            <v>120.99233661157636</v>
          </cell>
          <cell r="I18">
            <v>0</v>
          </cell>
          <cell r="J18">
            <v>0</v>
          </cell>
          <cell r="K18" t="e">
            <v>#DIV/0!</v>
          </cell>
          <cell r="L18">
            <v>0</v>
          </cell>
          <cell r="M18">
            <v>0</v>
          </cell>
          <cell r="N18" t="e">
            <v>#DIV/0!</v>
          </cell>
          <cell r="O18">
            <v>168964.21</v>
          </cell>
          <cell r="P18">
            <v>0.92189618014065977</v>
          </cell>
          <cell r="Q18">
            <v>120.99233661157636</v>
          </cell>
        </row>
        <row r="19">
          <cell r="A19" t="str">
            <v xml:space="preserve">   PRESTATIONS. INT.</v>
          </cell>
          <cell r="B19" t="str">
            <v>2**</v>
          </cell>
          <cell r="C19">
            <v>180959.12</v>
          </cell>
          <cell r="D19">
            <v>0.87206692818520903</v>
          </cell>
          <cell r="E19">
            <v>75.65330608821975</v>
          </cell>
          <cell r="F19">
            <v>388018.94</v>
          </cell>
          <cell r="G19">
            <v>2.1170943752421172</v>
          </cell>
          <cell r="H19">
            <v>100.70912437301773</v>
          </cell>
          <cell r="I19">
            <v>71873.899999999994</v>
          </cell>
          <cell r="J19">
            <v>0.39215567522738554</v>
          </cell>
          <cell r="K19">
            <v>94.184152267423144</v>
          </cell>
          <cell r="L19">
            <v>6050.1</v>
          </cell>
          <cell r="M19">
            <v>3.3010328515541879E-2</v>
          </cell>
          <cell r="N19">
            <v>50.187821421257894</v>
          </cell>
          <cell r="O19">
            <v>646902.06000000006</v>
          </cell>
          <cell r="P19">
            <v>3.5296027368110914</v>
          </cell>
          <cell r="Q19">
            <v>94.448981001191484</v>
          </cell>
        </row>
        <row r="20">
          <cell r="A20" t="str">
            <v xml:space="preserve"> - PREST. A. DIV.</v>
          </cell>
          <cell r="B20" t="str">
            <v>3**</v>
          </cell>
          <cell r="C20">
            <v>15562.12</v>
          </cell>
          <cell r="D20">
            <v>7.4996000115659309E-2</v>
          </cell>
          <cell r="E20">
            <v>34.006647631873207</v>
          </cell>
          <cell r="F20">
            <v>40082.160000000003</v>
          </cell>
          <cell r="G20">
            <v>0.21869477681567448</v>
          </cell>
          <cell r="H20">
            <v>60.266891943730272</v>
          </cell>
          <cell r="I20">
            <v>0</v>
          </cell>
          <cell r="J20">
            <v>0</v>
          </cell>
          <cell r="K20" t="e">
            <v>#DIV/0!</v>
          </cell>
          <cell r="L20">
            <v>0</v>
          </cell>
          <cell r="M20">
            <v>0</v>
          </cell>
          <cell r="N20" t="e">
            <v>#DIV/0!</v>
          </cell>
          <cell r="O20">
            <v>55644.280000000006</v>
          </cell>
          <cell r="P20">
            <v>0.30360423179960611</v>
          </cell>
          <cell r="Q20">
            <v>52.039555872372681</v>
          </cell>
        </row>
        <row r="21">
          <cell r="A21" t="str">
            <v xml:space="preserve"> - Bande</v>
          </cell>
          <cell r="B21">
            <v>402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</row>
        <row r="22">
          <cell r="A22" t="str">
            <v xml:space="preserve"> - Rouleaux</v>
          </cell>
          <cell r="B22">
            <v>408</v>
          </cell>
          <cell r="C22">
            <v>7293.7</v>
          </cell>
          <cell r="D22">
            <v>3.5149345079178433E-2</v>
          </cell>
          <cell r="E22">
            <v>21.196601746966945</v>
          </cell>
          <cell r="F22">
            <v>0</v>
          </cell>
          <cell r="G22">
            <v>0</v>
          </cell>
          <cell r="H22" t="e">
            <v>#DIV/0!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7293.7</v>
          </cell>
          <cell r="P22">
            <v>3.9795612154147501E-2</v>
          </cell>
          <cell r="Q22">
            <v>20.828895237248769</v>
          </cell>
        </row>
        <row r="23">
          <cell r="A23" t="str">
            <v xml:space="preserve"> - A. marchandises</v>
          </cell>
          <cell r="B23">
            <v>409</v>
          </cell>
          <cell r="C23">
            <v>16684.05</v>
          </cell>
          <cell r="D23">
            <v>8.0402735342592499E-2</v>
          </cell>
          <cell r="E23">
            <v>73.863665453898875</v>
          </cell>
          <cell r="F23">
            <v>9669.23</v>
          </cell>
          <cell r="G23">
            <v>5.2756889769149766E-2</v>
          </cell>
          <cell r="H23">
            <v>49.178602197195822</v>
          </cell>
          <cell r="I23">
            <v>459.22</v>
          </cell>
          <cell r="J23">
            <v>2.5055789261181041E-3</v>
          </cell>
          <cell r="K23">
            <v>36.604879444168589</v>
          </cell>
          <cell r="L23">
            <v>430.75</v>
          </cell>
          <cell r="M23">
            <v>2.3502419808052203E-3</v>
          </cell>
          <cell r="N23">
            <v>295.01390343332253</v>
          </cell>
          <cell r="O23">
            <v>27243.25</v>
          </cell>
          <cell r="P23">
            <v>0.1486435980117744</v>
          </cell>
          <cell r="Q23">
            <v>66.426782000803925</v>
          </cell>
        </row>
        <row r="24">
          <cell r="A24" t="str">
            <v xml:space="preserve"> - P. de rechange</v>
          </cell>
          <cell r="B24">
            <v>417</v>
          </cell>
          <cell r="C24">
            <v>10701.8</v>
          </cell>
          <cell r="D24">
            <v>5.1573448478598204E-2</v>
          </cell>
          <cell r="E24">
            <v>9.7990523960560516</v>
          </cell>
          <cell r="F24">
            <v>12296.81</v>
          </cell>
          <cell r="G24">
            <v>6.7093393132873921E-2</v>
          </cell>
          <cell r="H24">
            <v>21.455755138094631</v>
          </cell>
          <cell r="I24">
            <v>6461.43</v>
          </cell>
          <cell r="J24">
            <v>3.5254611821321592E-2</v>
          </cell>
          <cell r="K24">
            <v>136.81645585549913</v>
          </cell>
          <cell r="L24">
            <v>391.69</v>
          </cell>
          <cell r="M24">
            <v>2.1371242750124128E-3</v>
          </cell>
          <cell r="N24">
            <v>58.638800582437526</v>
          </cell>
          <cell r="O24">
            <v>29851.73</v>
          </cell>
          <cell r="P24">
            <v>0.16287588867246111</v>
          </cell>
          <cell r="Q24">
            <v>18.755239064273265</v>
          </cell>
        </row>
        <row r="25">
          <cell r="A25" t="str">
            <v xml:space="preserve"> - A. consommations</v>
          </cell>
          <cell r="B25" t="str">
            <v>-</v>
          </cell>
          <cell r="C25">
            <v>18134.729999999996</v>
          </cell>
          <cell r="D25">
            <v>8.7393762108083597E-2</v>
          </cell>
          <cell r="E25">
            <v>55.01015838218818</v>
          </cell>
          <cell r="F25">
            <v>6796.5199999998222</v>
          </cell>
          <cell r="G25">
            <v>3.7082917300944582E-2</v>
          </cell>
          <cell r="H25">
            <v>48.398673789938734</v>
          </cell>
          <cell r="I25">
            <v>0</v>
          </cell>
          <cell r="J25">
            <v>0</v>
          </cell>
          <cell r="K25">
            <v>0</v>
          </cell>
          <cell r="L25">
            <v>882.84999999999991</v>
          </cell>
          <cell r="M25">
            <v>4.8169730301889464E-3</v>
          </cell>
          <cell r="N25">
            <v>63.61828687394371</v>
          </cell>
          <cell r="O25">
            <v>25814.099999999817</v>
          </cell>
          <cell r="P25">
            <v>0.140845923428215</v>
          </cell>
          <cell r="Q25">
            <v>52.620161247685125</v>
          </cell>
        </row>
        <row r="26">
          <cell r="A26" t="str">
            <v xml:space="preserve">  TOT. MARCHANDISE</v>
          </cell>
          <cell r="B26" t="str">
            <v>4**</v>
          </cell>
          <cell r="C26">
            <v>52814.28</v>
          </cell>
          <cell r="D26">
            <v>0.25451929100845277</v>
          </cell>
          <cell r="E26">
            <v>15.068561337761741</v>
          </cell>
          <cell r="F26">
            <v>28762.559999999823</v>
          </cell>
          <cell r="G26">
            <v>0.15693320020296828</v>
          </cell>
          <cell r="H26">
            <v>27.47568558350396</v>
          </cell>
          <cell r="I26">
            <v>6920.65</v>
          </cell>
          <cell r="J26">
            <v>3.7760190747439693E-2</v>
          </cell>
          <cell r="K26">
            <v>23.295111966188042</v>
          </cell>
          <cell r="L26">
            <v>1705.29</v>
          </cell>
          <cell r="M26">
            <v>9.3043392860065795E-3</v>
          </cell>
          <cell r="N26">
            <v>8.8957995321501286</v>
          </cell>
          <cell r="O26">
            <v>90202.77999999981</v>
          </cell>
          <cell r="P26">
            <v>0.49216102226659797</v>
          </cell>
          <cell r="Q26">
            <v>19.476611366369404</v>
          </cell>
        </row>
        <row r="27">
          <cell r="A27" t="str">
            <v xml:space="preserve"> - Transport produit</v>
          </cell>
          <cell r="B27">
            <v>569</v>
          </cell>
          <cell r="C27">
            <v>2958858.96</v>
          </cell>
          <cell r="D27">
            <v>14.259148940271606</v>
          </cell>
          <cell r="E27">
            <v>98.702747142061853</v>
          </cell>
          <cell r="F27">
            <v>0</v>
          </cell>
          <cell r="G27">
            <v>0</v>
          </cell>
          <cell r="H27" t="e">
            <v>#DIV/0!</v>
          </cell>
          <cell r="I27">
            <v>0</v>
          </cell>
          <cell r="J27">
            <v>0</v>
          </cell>
          <cell r="K27" t="e">
            <v>#DIV/0!</v>
          </cell>
          <cell r="L27">
            <v>0</v>
          </cell>
          <cell r="M27">
            <v>0</v>
          </cell>
          <cell r="N27" t="e">
            <v>#DIV/0!</v>
          </cell>
          <cell r="O27">
            <v>2958858.96</v>
          </cell>
          <cell r="P27">
            <v>16.144015189956296</v>
          </cell>
          <cell r="Q27">
            <v>111.74991269300185</v>
          </cell>
        </row>
        <row r="28">
          <cell r="A28" t="str">
            <v xml:space="preserve"> - Total ( T.F.EXT )</v>
          </cell>
          <cell r="B28" t="str">
            <v>5**</v>
          </cell>
          <cell r="C28">
            <v>2963275.52</v>
          </cell>
          <cell r="D28">
            <v>14.280432951336348</v>
          </cell>
          <cell r="E28">
            <v>98.468946384485477</v>
          </cell>
          <cell r="F28">
            <v>2872.87</v>
          </cell>
          <cell r="G28">
            <v>1.5674845454198245E-2</v>
          </cell>
          <cell r="H28">
            <v>41.47002822457965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2966148.39</v>
          </cell>
          <cell r="P28">
            <v>16.183787504296728</v>
          </cell>
          <cell r="Q28">
            <v>109.6501311718005</v>
          </cell>
        </row>
        <row r="29">
          <cell r="A29" t="str">
            <v xml:space="preserve"> - Location</v>
          </cell>
          <cell r="B29">
            <v>680</v>
          </cell>
          <cell r="C29">
            <v>267117.5</v>
          </cell>
          <cell r="D29">
            <v>1.2872760305726099</v>
          </cell>
          <cell r="E29">
            <v>56.055384049738578</v>
          </cell>
          <cell r="F29">
            <v>2034.27</v>
          </cell>
          <cell r="G29">
            <v>1.1099307612983484E-2</v>
          </cell>
          <cell r="H29">
            <v>16.532684321024185</v>
          </cell>
          <cell r="I29">
            <v>4401.6499999999996</v>
          </cell>
          <cell r="J29">
            <v>2.4016117503914795E-2</v>
          </cell>
          <cell r="K29">
            <v>63.064001191084394</v>
          </cell>
          <cell r="L29">
            <v>0</v>
          </cell>
          <cell r="M29">
            <v>0</v>
          </cell>
          <cell r="N29" t="e">
            <v>#DIV/0!</v>
          </cell>
          <cell r="O29">
            <v>273553.42000000004</v>
          </cell>
          <cell r="P29">
            <v>1.4925519017454265</v>
          </cell>
          <cell r="Q29">
            <v>62.146840845403858</v>
          </cell>
        </row>
        <row r="30">
          <cell r="A30" t="str">
            <v xml:space="preserve"> - FG + SP </v>
          </cell>
          <cell r="O30">
            <v>180995.78931894896</v>
          </cell>
          <cell r="P30">
            <v>0.98754243158762844</v>
          </cell>
          <cell r="Q30">
            <v>60.819343784455192</v>
          </cell>
        </row>
        <row r="31">
          <cell r="A31" t="str">
            <v xml:space="preserve"> TOTAL  CLAIR</v>
          </cell>
          <cell r="C31">
            <v>4034937.09</v>
          </cell>
          <cell r="D31">
            <v>19.44491768912706</v>
          </cell>
          <cell r="E31">
            <v>77.594858890853629</v>
          </cell>
          <cell r="F31">
            <v>2341674.0300000007</v>
          </cell>
          <cell r="G31">
            <v>12.776553942350191</v>
          </cell>
          <cell r="H31">
            <v>79.70775225961485</v>
          </cell>
          <cell r="I31">
            <v>173707.68999999997</v>
          </cell>
          <cell r="J31">
            <v>0.94777737765919701</v>
          </cell>
          <cell r="K31">
            <v>64.331942406104886</v>
          </cell>
          <cell r="L31">
            <v>136739.91</v>
          </cell>
          <cell r="M31">
            <v>0.74607516409408603</v>
          </cell>
          <cell r="N31">
            <v>41.956392399633977</v>
          </cell>
          <cell r="O31">
            <v>6868054.5093189506</v>
          </cell>
          <cell r="P31">
            <v>37.473221205478808</v>
          </cell>
          <cell r="Q31">
            <v>81.52732808474822</v>
          </cell>
        </row>
      </sheetData>
      <sheetData sheetId="6" refreshError="1"/>
      <sheetData sheetId="7" refreshError="1"/>
      <sheetData sheetId="8" refreshError="1"/>
      <sheetData sheetId="9" refreshError="1">
        <row r="3">
          <cell r="B3" t="str">
            <v>TABLEAU DE BORD 76</v>
          </cell>
        </row>
        <row r="4">
          <cell r="B4" t="str">
            <v>DEPENSES DEG/TG</v>
          </cell>
        </row>
        <row r="7">
          <cell r="B7" t="str">
            <v>Ligne prix de revient</v>
          </cell>
          <cell r="C7" t="str">
            <v>Sections analytiques</v>
          </cell>
          <cell r="D7" t="str">
            <v>Surcodes</v>
          </cell>
          <cell r="E7" t="str">
            <v>Réalisé</v>
          </cell>
          <cell r="F7" t="str">
            <v>Prévu</v>
          </cell>
          <cell r="G7" t="str">
            <v>Cumul</v>
          </cell>
        </row>
        <row r="8">
          <cell r="B8" t="str">
            <v>0**</v>
          </cell>
          <cell r="C8" t="str">
            <v>Toutes sections</v>
          </cell>
          <cell r="D8" t="str">
            <v>Tous surcodes</v>
          </cell>
          <cell r="E8">
            <v>3651339.53</v>
          </cell>
          <cell r="F8">
            <v>3495564.9</v>
          </cell>
          <cell r="G8">
            <v>21717007.109999999</v>
          </cell>
        </row>
        <row r="9">
          <cell r="B9" t="str">
            <v>05*</v>
          </cell>
          <cell r="C9" t="str">
            <v>"</v>
          </cell>
          <cell r="D9" t="str">
            <v>"</v>
          </cell>
          <cell r="E9">
            <v>325908.05</v>
          </cell>
          <cell r="F9">
            <v>236802.47</v>
          </cell>
          <cell r="G9">
            <v>1734969.87</v>
          </cell>
        </row>
        <row r="10">
          <cell r="B10">
            <v>103</v>
          </cell>
          <cell r="C10" t="str">
            <v>"</v>
          </cell>
          <cell r="D10" t="str">
            <v>"</v>
          </cell>
          <cell r="E10">
            <v>3183513.26</v>
          </cell>
          <cell r="F10">
            <v>3152710.49</v>
          </cell>
          <cell r="G10">
            <v>17530083.390000001</v>
          </cell>
        </row>
        <row r="11">
          <cell r="B11">
            <v>490</v>
          </cell>
          <cell r="C11" t="str">
            <v>"</v>
          </cell>
          <cell r="D11" t="str">
            <v>"</v>
          </cell>
          <cell r="E11">
            <v>19987.27</v>
          </cell>
          <cell r="F11">
            <v>106275</v>
          </cell>
          <cell r="G11">
            <v>379685.19</v>
          </cell>
        </row>
        <row r="12">
          <cell r="B12">
            <v>492</v>
          </cell>
          <cell r="C12" t="str">
            <v>"</v>
          </cell>
          <cell r="D12" t="str">
            <v>"</v>
          </cell>
          <cell r="E12">
            <v>2653988.3199999998</v>
          </cell>
          <cell r="F12">
            <v>2273231.25</v>
          </cell>
          <cell r="G12">
            <v>16354956.720000001</v>
          </cell>
        </row>
        <row r="13">
          <cell r="B13">
            <v>107</v>
          </cell>
          <cell r="C13" t="str">
            <v>"</v>
          </cell>
          <cell r="D13" t="str">
            <v>"</v>
          </cell>
          <cell r="E13">
            <v>31679.200000000001</v>
          </cell>
          <cell r="F13">
            <v>35839.08</v>
          </cell>
          <cell r="G13">
            <v>206739.4</v>
          </cell>
        </row>
        <row r="14">
          <cell r="B14">
            <v>211</v>
          </cell>
          <cell r="C14" t="str">
            <v>"</v>
          </cell>
          <cell r="D14" t="str">
            <v>"</v>
          </cell>
          <cell r="E14">
            <v>485312.45</v>
          </cell>
          <cell r="F14">
            <v>488794.99</v>
          </cell>
          <cell r="G14">
            <v>2998659.89</v>
          </cell>
        </row>
        <row r="15">
          <cell r="B15">
            <v>212</v>
          </cell>
          <cell r="C15" t="str">
            <v>"</v>
          </cell>
          <cell r="D15" t="str">
            <v>"</v>
          </cell>
          <cell r="E15">
            <v>556781.17000000004</v>
          </cell>
          <cell r="F15">
            <v>530543.31999999995</v>
          </cell>
          <cell r="G15">
            <v>3161847.89</v>
          </cell>
        </row>
        <row r="16">
          <cell r="B16">
            <v>242</v>
          </cell>
          <cell r="C16" t="str">
            <v>"</v>
          </cell>
          <cell r="D16" t="str">
            <v>"</v>
          </cell>
          <cell r="E16">
            <v>347113.61</v>
          </cell>
          <cell r="F16">
            <v>201495.58</v>
          </cell>
          <cell r="G16">
            <v>1222410.55</v>
          </cell>
        </row>
        <row r="17">
          <cell r="B17" t="str">
            <v>2**</v>
          </cell>
          <cell r="C17" t="str">
            <v>"</v>
          </cell>
          <cell r="D17" t="str">
            <v>"</v>
          </cell>
          <cell r="E17">
            <v>1389207.23</v>
          </cell>
          <cell r="F17">
            <v>1220833.8899999999</v>
          </cell>
          <cell r="G17">
            <v>7382918.3300000001</v>
          </cell>
        </row>
        <row r="18">
          <cell r="B18" t="str">
            <v>3**</v>
          </cell>
          <cell r="C18" t="str">
            <v>"</v>
          </cell>
          <cell r="D18" t="str">
            <v>"</v>
          </cell>
          <cell r="E18">
            <v>760804.21</v>
          </cell>
          <cell r="F18">
            <v>477097.45</v>
          </cell>
          <cell r="G18">
            <v>5301777.88</v>
          </cell>
        </row>
        <row r="19">
          <cell r="B19">
            <v>402</v>
          </cell>
          <cell r="C19" t="str">
            <v>"</v>
          </cell>
          <cell r="D19" t="str">
            <v>"</v>
          </cell>
          <cell r="E19">
            <v>213939.85</v>
          </cell>
          <cell r="F19">
            <v>301016.55</v>
          </cell>
          <cell r="G19">
            <v>1003882.69</v>
          </cell>
        </row>
        <row r="20">
          <cell r="B20">
            <v>408</v>
          </cell>
          <cell r="C20" t="str">
            <v>"</v>
          </cell>
          <cell r="D20" t="str">
            <v>"</v>
          </cell>
          <cell r="E20">
            <v>22018.3</v>
          </cell>
          <cell r="F20">
            <v>46666.63</v>
          </cell>
          <cell r="G20">
            <v>154531.81</v>
          </cell>
        </row>
        <row r="21">
          <cell r="B21">
            <v>409</v>
          </cell>
          <cell r="C21" t="str">
            <v>"</v>
          </cell>
          <cell r="D21" t="str">
            <v>"</v>
          </cell>
          <cell r="E21">
            <v>97899.6</v>
          </cell>
          <cell r="F21">
            <v>192629.05</v>
          </cell>
          <cell r="G21">
            <v>1114170.99</v>
          </cell>
        </row>
        <row r="22">
          <cell r="B22">
            <v>417</v>
          </cell>
          <cell r="C22" t="str">
            <v>"</v>
          </cell>
          <cell r="D22" t="str">
            <v>"</v>
          </cell>
          <cell r="E22">
            <v>126646.45</v>
          </cell>
          <cell r="F22">
            <v>240005.84</v>
          </cell>
          <cell r="G22">
            <v>1548197.73</v>
          </cell>
        </row>
        <row r="23">
          <cell r="B23" t="str">
            <v>4**</v>
          </cell>
          <cell r="C23" t="str">
            <v>"</v>
          </cell>
          <cell r="D23" t="str">
            <v>"</v>
          </cell>
          <cell r="E23">
            <v>3504463.77</v>
          </cell>
          <cell r="F23">
            <v>3293351.79</v>
          </cell>
          <cell r="G23">
            <v>21449104.879999999</v>
          </cell>
        </row>
        <row r="24">
          <cell r="B24" t="str">
            <v>51*</v>
          </cell>
          <cell r="C24" t="str">
            <v>"</v>
          </cell>
          <cell r="D24" t="str">
            <v>"</v>
          </cell>
          <cell r="E24">
            <v>111466.83</v>
          </cell>
          <cell r="F24">
            <v>139912.23000000001</v>
          </cell>
          <cell r="G24">
            <v>236005.67</v>
          </cell>
        </row>
        <row r="25">
          <cell r="B25">
            <v>550</v>
          </cell>
          <cell r="C25" t="str">
            <v>"</v>
          </cell>
          <cell r="D25" t="str">
            <v>"</v>
          </cell>
          <cell r="E25">
            <v>84460</v>
          </cell>
          <cell r="F25">
            <v>83333.33</v>
          </cell>
          <cell r="G25">
            <v>346846</v>
          </cell>
        </row>
        <row r="26">
          <cell r="B26">
            <v>560</v>
          </cell>
          <cell r="C26" t="str">
            <v>"</v>
          </cell>
          <cell r="D26" t="str">
            <v>"</v>
          </cell>
          <cell r="E26">
            <v>160112.35999999999</v>
          </cell>
          <cell r="F26">
            <v>40532</v>
          </cell>
          <cell r="G26">
            <v>390757.36</v>
          </cell>
        </row>
        <row r="27">
          <cell r="B27">
            <v>569</v>
          </cell>
          <cell r="C27" t="str">
            <v>"</v>
          </cell>
          <cell r="D27" t="str">
            <v>"</v>
          </cell>
          <cell r="E27">
            <v>3526836.53</v>
          </cell>
          <cell r="F27">
            <v>1669781.25</v>
          </cell>
          <cell r="G27">
            <v>11318139.98</v>
          </cell>
        </row>
        <row r="28">
          <cell r="B28" t="str">
            <v>5**</v>
          </cell>
          <cell r="C28" t="str">
            <v>"</v>
          </cell>
          <cell r="D28" t="str">
            <v>"</v>
          </cell>
          <cell r="E28">
            <v>4014110.94</v>
          </cell>
          <cell r="F28">
            <v>2007179.89</v>
          </cell>
          <cell r="G28">
            <v>13178902.5</v>
          </cell>
        </row>
        <row r="29">
          <cell r="B29">
            <v>680</v>
          </cell>
          <cell r="C29" t="str">
            <v>"</v>
          </cell>
          <cell r="D29" t="str">
            <v>"</v>
          </cell>
          <cell r="E29">
            <v>2663290.7599999998</v>
          </cell>
          <cell r="F29">
            <v>2705687.2</v>
          </cell>
          <cell r="G29">
            <v>15942500.85</v>
          </cell>
        </row>
        <row r="30">
          <cell r="B30">
            <v>820</v>
          </cell>
          <cell r="C30" t="str">
            <v>"</v>
          </cell>
          <cell r="D30" t="str">
            <v>"</v>
          </cell>
          <cell r="E30">
            <v>1389207.23</v>
          </cell>
          <cell r="F30">
            <v>1220834.06</v>
          </cell>
          <cell r="G30">
            <v>7381579.5499999998</v>
          </cell>
        </row>
        <row r="31">
          <cell r="B31" t="str">
            <v>710 à 830</v>
          </cell>
          <cell r="C31" t="str">
            <v>"</v>
          </cell>
          <cell r="D31" t="str">
            <v>"</v>
          </cell>
          <cell r="E31">
            <v>1548189.51</v>
          </cell>
          <cell r="F31">
            <v>1329167.3899999999</v>
          </cell>
          <cell r="G31">
            <v>7907282.8099999996</v>
          </cell>
        </row>
        <row r="32">
          <cell r="B32" t="str">
            <v>010 à 699</v>
          </cell>
          <cell r="C32" t="str">
            <v>"</v>
          </cell>
          <cell r="D32" t="str">
            <v>"</v>
          </cell>
          <cell r="E32">
            <v>19198408.899999999</v>
          </cell>
          <cell r="F32">
            <v>16388264.689999999</v>
          </cell>
          <cell r="G32">
            <v>102709034.34</v>
          </cell>
        </row>
        <row r="36">
          <cell r="B36" t="str">
            <v>TABLEAU DE BORD 77</v>
          </cell>
        </row>
        <row r="37">
          <cell r="B37" t="str">
            <v>DEPENSES PAR STADE OPERATOIRE</v>
          </cell>
        </row>
        <row r="40">
          <cell r="B40" t="str">
            <v xml:space="preserve">Ligne prix de revient </v>
          </cell>
          <cell r="C40" t="str">
            <v>Sections analytiques</v>
          </cell>
          <cell r="D40" t="str">
            <v>Surcodes</v>
          </cell>
          <cell r="E40" t="str">
            <v>Réalisé</v>
          </cell>
          <cell r="F40" t="str">
            <v>Prévu</v>
          </cell>
          <cell r="G40" t="str">
            <v>Cumul</v>
          </cell>
        </row>
        <row r="41">
          <cell r="B41" t="str">
            <v>Toutes LPR</v>
          </cell>
          <cell r="C41" t="str">
            <v>701 à 707</v>
          </cell>
          <cell r="D41" t="str">
            <v>0381  2481  2981</v>
          </cell>
          <cell r="E41">
            <v>4600699.9800000004</v>
          </cell>
          <cell r="F41">
            <v>2871675.83</v>
          </cell>
          <cell r="G41">
            <v>18343832.68</v>
          </cell>
        </row>
        <row r="42">
          <cell r="B42" t="str">
            <v>"</v>
          </cell>
          <cell r="C42">
            <v>709</v>
          </cell>
          <cell r="D42" t="str">
            <v>2981</v>
          </cell>
          <cell r="E42">
            <v>2214.6799999999998</v>
          </cell>
          <cell r="F42">
            <v>24789.78</v>
          </cell>
          <cell r="G42">
            <v>59790.15</v>
          </cell>
        </row>
        <row r="43">
          <cell r="B43" t="str">
            <v>"</v>
          </cell>
          <cell r="C43">
            <v>900</v>
          </cell>
          <cell r="D43" t="str">
            <v>2481</v>
          </cell>
          <cell r="E43">
            <v>2061640.54</v>
          </cell>
          <cell r="F43">
            <v>1644819.21</v>
          </cell>
          <cell r="G43">
            <v>13548538.52</v>
          </cell>
        </row>
        <row r="44">
          <cell r="B44" t="str">
            <v>"</v>
          </cell>
          <cell r="C44">
            <v>909</v>
          </cell>
          <cell r="D44" t="str">
            <v>2481</v>
          </cell>
          <cell r="E44">
            <v>280033.49</v>
          </cell>
          <cell r="F44">
            <v>207894.8</v>
          </cell>
          <cell r="G44">
            <v>1394908.22</v>
          </cell>
        </row>
        <row r="45">
          <cell r="B45" t="str">
            <v>"</v>
          </cell>
          <cell r="C45">
            <v>901</v>
          </cell>
          <cell r="D45" t="str">
            <v>2481</v>
          </cell>
          <cell r="E45">
            <v>173707.69</v>
          </cell>
          <cell r="F45">
            <v>170284.41</v>
          </cell>
          <cell r="G45">
            <v>1012255.53</v>
          </cell>
        </row>
        <row r="46">
          <cell r="B46" t="str">
            <v>"</v>
          </cell>
          <cell r="C46">
            <v>902</v>
          </cell>
          <cell r="D46" t="str">
            <v>2481</v>
          </cell>
          <cell r="E46">
            <v>136739.91</v>
          </cell>
          <cell r="F46">
            <v>205532.1</v>
          </cell>
          <cell r="G46">
            <v>1550618.26</v>
          </cell>
        </row>
        <row r="47">
          <cell r="B47" t="str">
            <v>"</v>
          </cell>
          <cell r="C47" t="str">
            <v>710 à 718</v>
          </cell>
          <cell r="D47" t="str">
            <v>7082  7982  2981</v>
          </cell>
          <cell r="E47">
            <v>1183939.8400000001</v>
          </cell>
          <cell r="F47">
            <v>1100761.6100000001</v>
          </cell>
          <cell r="G47">
            <v>6774678.54</v>
          </cell>
        </row>
        <row r="48">
          <cell r="B48" t="str">
            <v>"</v>
          </cell>
          <cell r="C48">
            <v>719</v>
          </cell>
          <cell r="D48" t="str">
            <v>7982</v>
          </cell>
          <cell r="E48">
            <v>87508.81</v>
          </cell>
          <cell r="F48">
            <v>78079.539999999994</v>
          </cell>
          <cell r="G48">
            <v>595542.05000000005</v>
          </cell>
        </row>
        <row r="49">
          <cell r="B49" t="str">
            <v>"</v>
          </cell>
          <cell r="C49" t="str">
            <v>911 à 914</v>
          </cell>
          <cell r="D49" t="str">
            <v>0382  7682</v>
          </cell>
          <cell r="E49">
            <v>6582505.7400000002</v>
          </cell>
          <cell r="F49">
            <v>6591872.3700000001</v>
          </cell>
          <cell r="G49">
            <v>37783362.68</v>
          </cell>
        </row>
        <row r="50">
          <cell r="B50" t="str">
            <v>"</v>
          </cell>
          <cell r="C50">
            <v>919</v>
          </cell>
          <cell r="D50" t="str">
            <v>7682</v>
          </cell>
          <cell r="E50">
            <v>787171.54</v>
          </cell>
          <cell r="F50">
            <v>578851.15</v>
          </cell>
          <cell r="G50">
            <v>3012219.94</v>
          </cell>
        </row>
        <row r="51">
          <cell r="B51" t="str">
            <v>"</v>
          </cell>
          <cell r="C51" t="str">
            <v>915 &amp; 916</v>
          </cell>
          <cell r="D51" t="str">
            <v>7682</v>
          </cell>
          <cell r="E51">
            <v>701462.84</v>
          </cell>
          <cell r="F51">
            <v>782897.88</v>
          </cell>
          <cell r="G51">
            <v>5016702.8499999996</v>
          </cell>
        </row>
        <row r="52">
          <cell r="B52" t="str">
            <v>"</v>
          </cell>
          <cell r="C52">
            <v>918</v>
          </cell>
          <cell r="D52" t="str">
            <v>7682</v>
          </cell>
          <cell r="E52">
            <v>605425</v>
          </cell>
          <cell r="F52">
            <v>269658.57</v>
          </cell>
          <cell r="G52">
            <v>1732557.35</v>
          </cell>
        </row>
        <row r="53">
          <cell r="B53" t="str">
            <v>"</v>
          </cell>
          <cell r="C53" t="str">
            <v>Toutes sections</v>
          </cell>
          <cell r="D53" t="str">
            <v>0388</v>
          </cell>
          <cell r="E53">
            <v>568459.07999999996</v>
          </cell>
          <cell r="F53">
            <v>531979.81000000006</v>
          </cell>
          <cell r="G53">
            <v>3312754.87</v>
          </cell>
        </row>
        <row r="54">
          <cell r="B54" t="str">
            <v xml:space="preserve"> 010 à 699</v>
          </cell>
          <cell r="C54" t="str">
            <v>"</v>
          </cell>
          <cell r="D54" t="str">
            <v>0000  0002  0009</v>
          </cell>
          <cell r="E54">
            <v>1426899.76</v>
          </cell>
          <cell r="F54">
            <v>1329167.6299999999</v>
          </cell>
          <cell r="G54">
            <v>8499594.5999999996</v>
          </cell>
        </row>
        <row r="55">
          <cell r="B55" t="str">
            <v xml:space="preserve"> 710 à 830</v>
          </cell>
          <cell r="C55" t="str">
            <v>"</v>
          </cell>
          <cell r="D55" t="str">
            <v>0000  0002  0009</v>
          </cell>
          <cell r="E55">
            <v>1548189.51</v>
          </cell>
          <cell r="F55">
            <v>1329167.3899999999</v>
          </cell>
          <cell r="G55">
            <v>7907282.8099999996</v>
          </cell>
        </row>
        <row r="90">
          <cell r="B90" t="str">
            <v>TABLEAU DE BORD 79</v>
          </cell>
        </row>
        <row r="91">
          <cell r="B91" t="str">
            <v>SECHAGE</v>
          </cell>
        </row>
        <row r="94">
          <cell r="B94" t="str">
            <v>Ligne prix de revient</v>
          </cell>
          <cell r="C94" t="str">
            <v>Sections analytiques</v>
          </cell>
          <cell r="D94" t="str">
            <v>Surcodes</v>
          </cell>
          <cell r="E94" t="str">
            <v>Réalisé</v>
          </cell>
          <cell r="F94" t="str">
            <v>Prévu</v>
          </cell>
          <cell r="G94" t="str">
            <v>Cumul</v>
          </cell>
        </row>
        <row r="95">
          <cell r="B95" t="str">
            <v>0**</v>
          </cell>
          <cell r="C95" t="str">
            <v>900 à 909</v>
          </cell>
          <cell r="D95" t="str">
            <v>2481</v>
          </cell>
          <cell r="E95">
            <v>212236.59</v>
          </cell>
          <cell r="F95">
            <v>213225.89</v>
          </cell>
          <cell r="G95">
            <v>1309427.5900000001</v>
          </cell>
        </row>
        <row r="96">
          <cell r="B96" t="str">
            <v>05*</v>
          </cell>
          <cell r="C96" t="str">
            <v>"</v>
          </cell>
          <cell r="D96" t="str">
            <v>"</v>
          </cell>
          <cell r="E96">
            <v>16198.01</v>
          </cell>
          <cell r="F96">
            <v>14630.76</v>
          </cell>
          <cell r="G96">
            <v>121031.41</v>
          </cell>
        </row>
        <row r="97">
          <cell r="B97">
            <v>103</v>
          </cell>
          <cell r="C97" t="str">
            <v>"</v>
          </cell>
          <cell r="D97" t="str">
            <v>"</v>
          </cell>
          <cell r="E97">
            <v>226105.52</v>
          </cell>
          <cell r="F97">
            <v>176067.99</v>
          </cell>
          <cell r="G97">
            <v>1488211.04</v>
          </cell>
        </row>
        <row r="98">
          <cell r="B98">
            <v>490</v>
          </cell>
          <cell r="C98" t="str">
            <v>"</v>
          </cell>
          <cell r="D98" t="str">
            <v>"</v>
          </cell>
          <cell r="E98">
            <v>0</v>
          </cell>
          <cell r="F98">
            <v>0</v>
          </cell>
          <cell r="G98">
            <v>0</v>
          </cell>
        </row>
        <row r="99">
          <cell r="B99">
            <v>492</v>
          </cell>
          <cell r="C99" t="str">
            <v>"</v>
          </cell>
          <cell r="D99" t="str">
            <v>"</v>
          </cell>
          <cell r="E99">
            <v>1432402.32</v>
          </cell>
          <cell r="F99">
            <v>1092262.5</v>
          </cell>
          <cell r="G99">
            <v>9295763.0399999991</v>
          </cell>
        </row>
        <row r="100">
          <cell r="B100">
            <v>107</v>
          </cell>
          <cell r="C100" t="str">
            <v>"</v>
          </cell>
          <cell r="D100" t="str">
            <v>"</v>
          </cell>
          <cell r="E100">
            <v>9158.7999999999993</v>
          </cell>
          <cell r="F100">
            <v>8090.83</v>
          </cell>
          <cell r="G100">
            <v>45047.8</v>
          </cell>
        </row>
        <row r="101">
          <cell r="B101">
            <v>211</v>
          </cell>
          <cell r="C101" t="str">
            <v>"</v>
          </cell>
          <cell r="D101" t="str">
            <v>"</v>
          </cell>
          <cell r="E101">
            <v>101468.45</v>
          </cell>
          <cell r="F101">
            <v>62872.49</v>
          </cell>
          <cell r="G101">
            <v>505274.65</v>
          </cell>
        </row>
        <row r="102">
          <cell r="B102">
            <v>212</v>
          </cell>
          <cell r="C102" t="str">
            <v>"</v>
          </cell>
          <cell r="D102" t="str">
            <v>"</v>
          </cell>
          <cell r="E102">
            <v>117586.28</v>
          </cell>
          <cell r="F102">
            <v>92037.07</v>
          </cell>
          <cell r="G102">
            <v>701368.37</v>
          </cell>
        </row>
        <row r="103">
          <cell r="B103">
            <v>242</v>
          </cell>
          <cell r="C103" t="str">
            <v>"</v>
          </cell>
          <cell r="D103" t="str">
            <v>"</v>
          </cell>
          <cell r="E103">
            <v>168964.21</v>
          </cell>
          <cell r="F103">
            <v>88068.25</v>
          </cell>
          <cell r="G103">
            <v>693437.62</v>
          </cell>
        </row>
        <row r="104">
          <cell r="B104" t="str">
            <v>2**</v>
          </cell>
          <cell r="C104" t="str">
            <v>"</v>
          </cell>
          <cell r="D104" t="str">
            <v>"</v>
          </cell>
          <cell r="E104">
            <v>388018.94</v>
          </cell>
          <cell r="F104">
            <v>242977.81</v>
          </cell>
          <cell r="G104">
            <v>1900080.68</v>
          </cell>
        </row>
        <row r="105">
          <cell r="B105" t="str">
            <v>3**</v>
          </cell>
          <cell r="C105" t="str">
            <v>"</v>
          </cell>
          <cell r="D105" t="str">
            <v>"</v>
          </cell>
          <cell r="E105">
            <v>40082.160000000003</v>
          </cell>
          <cell r="F105">
            <v>41942.550000000003</v>
          </cell>
          <cell r="G105">
            <v>220240.89</v>
          </cell>
        </row>
        <row r="106">
          <cell r="B106">
            <v>402</v>
          </cell>
          <cell r="C106" t="str">
            <v>"</v>
          </cell>
          <cell r="D106" t="str">
            <v>"</v>
          </cell>
          <cell r="E106">
            <v>0</v>
          </cell>
          <cell r="F106">
            <v>8619</v>
          </cell>
          <cell r="G106">
            <v>53922</v>
          </cell>
        </row>
        <row r="107">
          <cell r="B107">
            <v>408</v>
          </cell>
          <cell r="C107" t="str">
            <v>"</v>
          </cell>
          <cell r="D107" t="str">
            <v>"</v>
          </cell>
          <cell r="E107">
            <v>0</v>
          </cell>
          <cell r="F107">
            <v>0</v>
          </cell>
          <cell r="G107">
            <v>44826.51</v>
          </cell>
        </row>
        <row r="108">
          <cell r="B108">
            <v>409</v>
          </cell>
          <cell r="C108" t="str">
            <v>"</v>
          </cell>
          <cell r="D108" t="str">
            <v>"</v>
          </cell>
          <cell r="E108">
            <v>9669.23</v>
          </cell>
          <cell r="F108">
            <v>12399.33</v>
          </cell>
          <cell r="G108">
            <v>192960.74</v>
          </cell>
        </row>
        <row r="109">
          <cell r="B109">
            <v>417</v>
          </cell>
          <cell r="C109" t="str">
            <v>"</v>
          </cell>
          <cell r="D109" t="str">
            <v>"</v>
          </cell>
          <cell r="E109">
            <v>12296.81</v>
          </cell>
          <cell r="F109">
            <v>36143.58</v>
          </cell>
          <cell r="G109">
            <v>273500.39</v>
          </cell>
        </row>
        <row r="110">
          <cell r="B110" t="str">
            <v>4**</v>
          </cell>
          <cell r="C110" t="str">
            <v>"</v>
          </cell>
          <cell r="D110" t="str">
            <v>"</v>
          </cell>
          <cell r="E110">
            <v>1461164.88</v>
          </cell>
          <cell r="F110">
            <v>1158280.3700000001</v>
          </cell>
          <cell r="G110">
            <v>9938011.6899999995</v>
          </cell>
        </row>
        <row r="111">
          <cell r="B111" t="str">
            <v>5**</v>
          </cell>
          <cell r="C111" t="str">
            <v>"</v>
          </cell>
          <cell r="D111" t="str">
            <v>"</v>
          </cell>
          <cell r="E111">
            <v>2872.87</v>
          </cell>
          <cell r="F111">
            <v>4368.82</v>
          </cell>
          <cell r="G111">
            <v>30234.13</v>
          </cell>
        </row>
        <row r="112">
          <cell r="B112">
            <v>680</v>
          </cell>
          <cell r="C112" t="str">
            <v>"</v>
          </cell>
          <cell r="D112" t="str">
            <v>"</v>
          </cell>
          <cell r="E112">
            <v>2034.27</v>
          </cell>
          <cell r="F112">
            <v>7759.75</v>
          </cell>
          <cell r="G112">
            <v>12192.91</v>
          </cell>
        </row>
        <row r="113">
          <cell r="B113" t="str">
            <v>Toutes LPR</v>
          </cell>
          <cell r="C113" t="str">
            <v>"</v>
          </cell>
          <cell r="D113" t="str">
            <v>"</v>
          </cell>
          <cell r="E113">
            <v>2341674.0299999998</v>
          </cell>
          <cell r="F113">
            <v>1852714.01</v>
          </cell>
          <cell r="G113">
            <v>14943446.74</v>
          </cell>
        </row>
        <row r="116">
          <cell r="B116" t="str">
            <v>TABLEAU DE BORD 80</v>
          </cell>
        </row>
        <row r="117">
          <cell r="B117" t="str">
            <v>VOIE DU SEC ET MISE A TERRIL CLAIR</v>
          </cell>
        </row>
        <row r="120">
          <cell r="B120" t="str">
            <v>Ligne prix de revient</v>
          </cell>
          <cell r="C120" t="str">
            <v>Sections analytiques</v>
          </cell>
          <cell r="D120" t="str">
            <v>Surcodes</v>
          </cell>
          <cell r="E120" t="str">
            <v>Réalisé</v>
          </cell>
          <cell r="F120" t="str">
            <v>Prévu</v>
          </cell>
          <cell r="G120" t="str">
            <v>Cumul</v>
          </cell>
        </row>
        <row r="121">
          <cell r="B121" t="str">
            <v>0**</v>
          </cell>
          <cell r="C121" t="str">
            <v>901</v>
          </cell>
          <cell r="D121" t="str">
            <v>2481</v>
          </cell>
          <cell r="E121">
            <v>51907.17</v>
          </cell>
          <cell r="F121">
            <v>59161.71</v>
          </cell>
          <cell r="G121">
            <v>308346.3</v>
          </cell>
        </row>
        <row r="122">
          <cell r="B122" t="str">
            <v>05*</v>
          </cell>
          <cell r="C122" t="str">
            <v>"</v>
          </cell>
          <cell r="D122" t="str">
            <v>"</v>
          </cell>
          <cell r="E122">
            <v>5834.71</v>
          </cell>
          <cell r="F122">
            <v>6245.58</v>
          </cell>
          <cell r="G122">
            <v>33850.5</v>
          </cell>
        </row>
        <row r="123">
          <cell r="B123">
            <v>103</v>
          </cell>
          <cell r="C123" t="str">
            <v>"</v>
          </cell>
          <cell r="D123" t="str">
            <v>"</v>
          </cell>
          <cell r="E123">
            <v>38604.32</v>
          </cell>
          <cell r="F123">
            <v>38190</v>
          </cell>
          <cell r="G123">
            <v>233301.28</v>
          </cell>
        </row>
        <row r="124">
          <cell r="B124">
            <v>211</v>
          </cell>
          <cell r="C124" t="str">
            <v>"</v>
          </cell>
          <cell r="D124" t="str">
            <v>"</v>
          </cell>
          <cell r="E124">
            <v>45759.3</v>
          </cell>
          <cell r="F124">
            <v>36416.160000000003</v>
          </cell>
          <cell r="G124">
            <v>250363.4</v>
          </cell>
        </row>
        <row r="125">
          <cell r="B125">
            <v>212</v>
          </cell>
          <cell r="C125" t="str">
            <v>"</v>
          </cell>
          <cell r="D125" t="str">
            <v>"</v>
          </cell>
          <cell r="E125">
            <v>26114.6</v>
          </cell>
          <cell r="F125">
            <v>11709.41</v>
          </cell>
          <cell r="G125">
            <v>114587.02</v>
          </cell>
        </row>
        <row r="126">
          <cell r="B126" t="str">
            <v>2**</v>
          </cell>
          <cell r="C126" t="str">
            <v>"</v>
          </cell>
          <cell r="D126" t="str">
            <v>"</v>
          </cell>
          <cell r="E126">
            <v>71873.899999999994</v>
          </cell>
          <cell r="F126">
            <v>48125.57</v>
          </cell>
          <cell r="G126">
            <v>364950.42</v>
          </cell>
        </row>
        <row r="127">
          <cell r="B127" t="str">
            <v>3**</v>
          </cell>
          <cell r="C127" t="str">
            <v>"</v>
          </cell>
          <cell r="D127" t="str">
            <v>"</v>
          </cell>
          <cell r="E127">
            <v>0</v>
          </cell>
          <cell r="F127">
            <v>0</v>
          </cell>
          <cell r="G127">
            <v>0</v>
          </cell>
        </row>
        <row r="128">
          <cell r="B128">
            <v>402</v>
          </cell>
          <cell r="C128" t="str">
            <v>"</v>
          </cell>
          <cell r="D128" t="str">
            <v>"</v>
          </cell>
          <cell r="E128">
            <v>0</v>
          </cell>
          <cell r="F128">
            <v>11288.66</v>
          </cell>
          <cell r="G128">
            <v>0</v>
          </cell>
        </row>
        <row r="129">
          <cell r="B129">
            <v>408</v>
          </cell>
          <cell r="C129" t="str">
            <v>"</v>
          </cell>
          <cell r="D129" t="str">
            <v>"</v>
          </cell>
          <cell r="E129">
            <v>0</v>
          </cell>
          <cell r="F129">
            <v>833.33</v>
          </cell>
          <cell r="G129">
            <v>0</v>
          </cell>
        </row>
        <row r="130">
          <cell r="B130">
            <v>409</v>
          </cell>
          <cell r="C130" t="str">
            <v>"</v>
          </cell>
          <cell r="D130" t="str">
            <v>"</v>
          </cell>
          <cell r="E130">
            <v>459.22</v>
          </cell>
          <cell r="F130">
            <v>791.16</v>
          </cell>
          <cell r="G130">
            <v>10115.870000000001</v>
          </cell>
        </row>
        <row r="131">
          <cell r="B131">
            <v>417</v>
          </cell>
          <cell r="C131" t="str">
            <v>"</v>
          </cell>
          <cell r="D131" t="str">
            <v>"</v>
          </cell>
          <cell r="E131">
            <v>6461.43</v>
          </cell>
          <cell r="F131">
            <v>2978.33</v>
          </cell>
          <cell r="G131">
            <v>57252.83</v>
          </cell>
        </row>
        <row r="132">
          <cell r="B132" t="str">
            <v>4**</v>
          </cell>
          <cell r="C132" t="str">
            <v>"</v>
          </cell>
          <cell r="D132" t="str">
            <v>"</v>
          </cell>
          <cell r="E132">
            <v>6920.65</v>
          </cell>
          <cell r="F132">
            <v>18735.47</v>
          </cell>
          <cell r="G132">
            <v>71244.63</v>
          </cell>
        </row>
        <row r="133">
          <cell r="B133" t="str">
            <v>5**</v>
          </cell>
          <cell r="C133" t="str">
            <v>"</v>
          </cell>
          <cell r="D133" t="str">
            <v>"</v>
          </cell>
          <cell r="E133">
            <v>0</v>
          </cell>
          <cell r="F133">
            <v>1670</v>
          </cell>
          <cell r="G133">
            <v>8003</v>
          </cell>
        </row>
        <row r="134">
          <cell r="B134">
            <v>680</v>
          </cell>
          <cell r="C134" t="str">
            <v>"</v>
          </cell>
          <cell r="D134" t="str">
            <v>"</v>
          </cell>
          <cell r="E134">
            <v>4401.6499999999996</v>
          </cell>
          <cell r="F134">
            <v>4401.66</v>
          </cell>
          <cell r="G134">
            <v>26409.9</v>
          </cell>
        </row>
        <row r="135">
          <cell r="B135" t="str">
            <v>Toutes LPR</v>
          </cell>
          <cell r="C135" t="str">
            <v>"</v>
          </cell>
          <cell r="D135" t="str">
            <v>"</v>
          </cell>
          <cell r="E135">
            <v>173707.69</v>
          </cell>
          <cell r="F135">
            <v>170284.41</v>
          </cell>
          <cell r="G135">
            <v>1012255.53</v>
          </cell>
        </row>
        <row r="138">
          <cell r="B138" t="str">
            <v>TABLEAU DE BORD 81</v>
          </cell>
        </row>
        <row r="139">
          <cell r="B139" t="str">
            <v>STOCKAGE ET CHARGEMENT DU CLAIR</v>
          </cell>
        </row>
        <row r="142">
          <cell r="B142" t="str">
            <v>Ligne prix de revient</v>
          </cell>
          <cell r="C142" t="str">
            <v>Sections analytiques</v>
          </cell>
          <cell r="D142" t="str">
            <v>Surcodes</v>
          </cell>
          <cell r="E142" t="str">
            <v>Réalisé</v>
          </cell>
          <cell r="F142" t="str">
            <v>Prévu</v>
          </cell>
          <cell r="G142" t="str">
            <v>Cumul</v>
          </cell>
        </row>
        <row r="143">
          <cell r="B143" t="str">
            <v>0**</v>
          </cell>
          <cell r="C143" t="str">
            <v>902</v>
          </cell>
          <cell r="D143" t="str">
            <v>2481</v>
          </cell>
          <cell r="E143">
            <v>128177.92</v>
          </cell>
          <cell r="F143">
            <v>160646.38</v>
          </cell>
          <cell r="G143">
            <v>1454459.56</v>
          </cell>
        </row>
        <row r="144">
          <cell r="B144" t="str">
            <v>05*</v>
          </cell>
          <cell r="C144" t="str">
            <v>"</v>
          </cell>
          <cell r="D144" t="str">
            <v>"</v>
          </cell>
          <cell r="E144">
            <v>18061.59</v>
          </cell>
          <cell r="F144">
            <v>12532.83</v>
          </cell>
          <cell r="G144">
            <v>179112.67</v>
          </cell>
        </row>
        <row r="145">
          <cell r="B145">
            <v>103</v>
          </cell>
          <cell r="C145" t="str">
            <v>"</v>
          </cell>
          <cell r="D145" t="str">
            <v>"</v>
          </cell>
          <cell r="E145">
            <v>806.6</v>
          </cell>
          <cell r="F145">
            <v>1527.58</v>
          </cell>
          <cell r="G145">
            <v>4864.0200000000004</v>
          </cell>
        </row>
        <row r="146">
          <cell r="B146">
            <v>211</v>
          </cell>
          <cell r="C146" t="str">
            <v>"</v>
          </cell>
          <cell r="D146" t="str">
            <v>"</v>
          </cell>
          <cell r="E146">
            <v>6050.1</v>
          </cell>
          <cell r="F146">
            <v>7602.33</v>
          </cell>
          <cell r="G146">
            <v>31613</v>
          </cell>
        </row>
        <row r="147">
          <cell r="B147">
            <v>212</v>
          </cell>
          <cell r="C147" t="str">
            <v>"</v>
          </cell>
          <cell r="D147" t="str">
            <v>"</v>
          </cell>
          <cell r="E147">
            <v>0</v>
          </cell>
          <cell r="F147">
            <v>0</v>
          </cell>
          <cell r="G147">
            <v>0</v>
          </cell>
        </row>
        <row r="148">
          <cell r="B148" t="str">
            <v>2**</v>
          </cell>
          <cell r="C148" t="str">
            <v>"</v>
          </cell>
          <cell r="D148" t="str">
            <v>"</v>
          </cell>
          <cell r="E148">
            <v>6050.1</v>
          </cell>
          <cell r="F148">
            <v>7602.33</v>
          </cell>
          <cell r="G148">
            <v>31613</v>
          </cell>
        </row>
        <row r="149">
          <cell r="B149" t="str">
            <v>3**</v>
          </cell>
          <cell r="C149" t="str">
            <v>"</v>
          </cell>
          <cell r="D149" t="str">
            <v>"</v>
          </cell>
          <cell r="E149">
            <v>0</v>
          </cell>
          <cell r="F149">
            <v>0</v>
          </cell>
          <cell r="G149">
            <v>23908</v>
          </cell>
        </row>
        <row r="150">
          <cell r="B150">
            <v>402</v>
          </cell>
          <cell r="C150" t="str">
            <v>"</v>
          </cell>
          <cell r="D150" t="str">
            <v>"</v>
          </cell>
          <cell r="E150">
            <v>0</v>
          </cell>
          <cell r="F150">
            <v>8617.33</v>
          </cell>
          <cell r="G150">
            <v>0</v>
          </cell>
        </row>
        <row r="151">
          <cell r="B151">
            <v>408</v>
          </cell>
          <cell r="C151" t="str">
            <v>"</v>
          </cell>
          <cell r="D151" t="str">
            <v>"</v>
          </cell>
          <cell r="E151">
            <v>0</v>
          </cell>
          <cell r="F151">
            <v>2083.33</v>
          </cell>
          <cell r="G151">
            <v>0</v>
          </cell>
        </row>
        <row r="152">
          <cell r="B152">
            <v>409</v>
          </cell>
          <cell r="C152" t="str">
            <v>"</v>
          </cell>
          <cell r="D152" t="str">
            <v>"</v>
          </cell>
          <cell r="E152">
            <v>430.75</v>
          </cell>
          <cell r="F152">
            <v>92.08</v>
          </cell>
          <cell r="G152">
            <v>30264.720000000001</v>
          </cell>
        </row>
        <row r="153">
          <cell r="B153">
            <v>417</v>
          </cell>
          <cell r="C153" t="str">
            <v>"</v>
          </cell>
          <cell r="D153" t="str">
            <v>"</v>
          </cell>
          <cell r="E153">
            <v>391.69</v>
          </cell>
          <cell r="F153">
            <v>421.25</v>
          </cell>
          <cell r="G153">
            <v>2639.96</v>
          </cell>
        </row>
        <row r="154">
          <cell r="B154" t="str">
            <v>4**</v>
          </cell>
          <cell r="C154" t="str">
            <v>"</v>
          </cell>
          <cell r="D154" t="str">
            <v>"</v>
          </cell>
          <cell r="E154">
            <v>1705.29</v>
          </cell>
          <cell r="F154">
            <v>12089.15</v>
          </cell>
          <cell r="G154">
            <v>35654.519999999997</v>
          </cell>
        </row>
        <row r="155">
          <cell r="B155" t="str">
            <v>5**</v>
          </cell>
          <cell r="C155" t="str">
            <v>"</v>
          </cell>
          <cell r="D155" t="str">
            <v>"</v>
          </cell>
          <cell r="E155">
            <v>0</v>
          </cell>
          <cell r="F155">
            <v>23666.66</v>
          </cell>
          <cell r="G155">
            <v>119.16</v>
          </cell>
        </row>
        <row r="156">
          <cell r="B156">
            <v>680</v>
          </cell>
          <cell r="C156" t="str">
            <v>"</v>
          </cell>
          <cell r="D156" t="str">
            <v>"</v>
          </cell>
          <cell r="E156">
            <v>0</v>
          </cell>
          <cell r="F156">
            <v>0</v>
          </cell>
          <cell r="G156">
            <v>0</v>
          </cell>
        </row>
        <row r="157">
          <cell r="B157" t="str">
            <v>Toutes LPR</v>
          </cell>
          <cell r="C157" t="str">
            <v>"</v>
          </cell>
          <cell r="D157" t="str">
            <v>"</v>
          </cell>
          <cell r="E157">
            <v>136739.91</v>
          </cell>
          <cell r="F157">
            <v>205532.1</v>
          </cell>
          <cell r="G157">
            <v>1550618.26</v>
          </cell>
        </row>
        <row r="161">
          <cell r="B161" t="str">
            <v>TABLEAU DE BORD 82</v>
          </cell>
        </row>
        <row r="162">
          <cell r="B162" t="str">
            <v>MANUTENTION &amp; GESTION FLUX NOIR</v>
          </cell>
        </row>
        <row r="165">
          <cell r="B165" t="str">
            <v>Ligne prix de revient</v>
          </cell>
          <cell r="C165" t="str">
            <v>Sections analytiques</v>
          </cell>
          <cell r="D165" t="str">
            <v>Surcodes</v>
          </cell>
          <cell r="E165" t="str">
            <v>Réalisé</v>
          </cell>
          <cell r="F165" t="str">
            <v>Prévu</v>
          </cell>
          <cell r="G165" t="str">
            <v>Cumul</v>
          </cell>
        </row>
        <row r="166">
          <cell r="B166" t="str">
            <v>0**</v>
          </cell>
          <cell r="C166" t="str">
            <v>710 à 719</v>
          </cell>
          <cell r="D166" t="str">
            <v>7082   7982</v>
          </cell>
          <cell r="E166">
            <v>354175.74</v>
          </cell>
          <cell r="F166">
            <v>320601.23</v>
          </cell>
          <cell r="G166">
            <v>2052853.24</v>
          </cell>
        </row>
        <row r="167">
          <cell r="B167" t="str">
            <v>05*</v>
          </cell>
          <cell r="C167" t="str">
            <v>"</v>
          </cell>
          <cell r="D167" t="str">
            <v>"</v>
          </cell>
          <cell r="E167">
            <v>46246.61</v>
          </cell>
          <cell r="F167">
            <v>29616.99</v>
          </cell>
          <cell r="G167">
            <v>212621.59</v>
          </cell>
        </row>
        <row r="168">
          <cell r="B168">
            <v>103</v>
          </cell>
          <cell r="C168" t="str">
            <v>"</v>
          </cell>
          <cell r="D168" t="str">
            <v>"</v>
          </cell>
          <cell r="E168">
            <v>234309.16</v>
          </cell>
          <cell r="F168">
            <v>156749.98000000001</v>
          </cell>
          <cell r="G168">
            <v>1200205.26</v>
          </cell>
        </row>
        <row r="169">
          <cell r="B169">
            <v>211</v>
          </cell>
          <cell r="C169" t="str">
            <v>"</v>
          </cell>
          <cell r="D169" t="str">
            <v>"</v>
          </cell>
          <cell r="E169">
            <v>54802.2</v>
          </cell>
          <cell r="F169">
            <v>42515.98</v>
          </cell>
          <cell r="G169">
            <v>349544.23</v>
          </cell>
        </row>
        <row r="170">
          <cell r="B170">
            <v>212</v>
          </cell>
          <cell r="C170" t="str">
            <v>"</v>
          </cell>
          <cell r="D170" t="str">
            <v>"</v>
          </cell>
          <cell r="E170">
            <v>90451.520000000004</v>
          </cell>
          <cell r="F170">
            <v>105901.89</v>
          </cell>
          <cell r="G170">
            <v>469950.02</v>
          </cell>
        </row>
        <row r="171">
          <cell r="B171" t="str">
            <v>2**</v>
          </cell>
          <cell r="C171" t="str">
            <v>"</v>
          </cell>
          <cell r="D171" t="str">
            <v>"</v>
          </cell>
          <cell r="E171">
            <v>145253.72</v>
          </cell>
          <cell r="F171">
            <v>148417.87</v>
          </cell>
          <cell r="G171">
            <v>819494.25</v>
          </cell>
        </row>
        <row r="172">
          <cell r="B172" t="str">
            <v>3**</v>
          </cell>
          <cell r="C172" t="str">
            <v>"</v>
          </cell>
          <cell r="D172" t="str">
            <v>"</v>
          </cell>
          <cell r="E172">
            <v>86052.61</v>
          </cell>
          <cell r="F172">
            <v>56671.64</v>
          </cell>
          <cell r="G172">
            <v>487952.71</v>
          </cell>
        </row>
        <row r="173">
          <cell r="B173">
            <v>402</v>
          </cell>
          <cell r="C173" t="str">
            <v>"</v>
          </cell>
          <cell r="D173" t="str">
            <v>"</v>
          </cell>
          <cell r="E173">
            <v>0</v>
          </cell>
          <cell r="F173">
            <v>50099.25</v>
          </cell>
          <cell r="G173">
            <v>0</v>
          </cell>
        </row>
        <row r="174">
          <cell r="B174">
            <v>408</v>
          </cell>
          <cell r="C174" t="str">
            <v>"</v>
          </cell>
          <cell r="D174" t="str">
            <v>"</v>
          </cell>
          <cell r="E174">
            <v>14724.6</v>
          </cell>
          <cell r="F174">
            <v>11666.66</v>
          </cell>
          <cell r="G174">
            <v>42104.800000000003</v>
          </cell>
        </row>
        <row r="175">
          <cell r="B175">
            <v>409</v>
          </cell>
          <cell r="C175" t="str">
            <v>"</v>
          </cell>
          <cell r="D175" t="str">
            <v>"</v>
          </cell>
          <cell r="E175">
            <v>8302.64</v>
          </cell>
          <cell r="F175">
            <v>16970.47</v>
          </cell>
          <cell r="G175">
            <v>145684.46</v>
          </cell>
        </row>
        <row r="176">
          <cell r="B176">
            <v>417</v>
          </cell>
          <cell r="C176" t="str">
            <v>"</v>
          </cell>
          <cell r="D176" t="str">
            <v>"</v>
          </cell>
          <cell r="E176">
            <v>59159</v>
          </cell>
          <cell r="F176">
            <v>14110.81</v>
          </cell>
          <cell r="G176">
            <v>333075.49</v>
          </cell>
        </row>
        <row r="177">
          <cell r="B177" t="str">
            <v>4**</v>
          </cell>
          <cell r="C177" t="str">
            <v>"</v>
          </cell>
          <cell r="D177" t="str">
            <v>"</v>
          </cell>
          <cell r="E177">
            <v>93675.73</v>
          </cell>
          <cell r="F177">
            <v>110656.13</v>
          </cell>
          <cell r="G177">
            <v>581753.1</v>
          </cell>
        </row>
        <row r="178">
          <cell r="B178">
            <v>569</v>
          </cell>
          <cell r="C178" t="str">
            <v>"</v>
          </cell>
          <cell r="D178" t="str">
            <v>"</v>
          </cell>
          <cell r="E178">
            <v>0</v>
          </cell>
          <cell r="F178">
            <v>0</v>
          </cell>
          <cell r="G178">
            <v>0</v>
          </cell>
        </row>
        <row r="179">
          <cell r="B179" t="str">
            <v>5**</v>
          </cell>
          <cell r="C179" t="str">
            <v>"</v>
          </cell>
          <cell r="D179" t="str">
            <v>"</v>
          </cell>
          <cell r="E179">
            <v>12027.37</v>
          </cell>
          <cell r="F179">
            <v>5014.49</v>
          </cell>
          <cell r="G179">
            <v>152326.03</v>
          </cell>
        </row>
        <row r="180">
          <cell r="B180">
            <v>680</v>
          </cell>
          <cell r="C180" t="str">
            <v>"</v>
          </cell>
          <cell r="D180" t="str">
            <v>"</v>
          </cell>
          <cell r="E180">
            <v>345954.32</v>
          </cell>
          <cell r="F180">
            <v>380729.81</v>
          </cell>
          <cell r="G180">
            <v>2075636</v>
          </cell>
        </row>
        <row r="181">
          <cell r="B181" t="str">
            <v>Toutes LPR</v>
          </cell>
          <cell r="C181" t="str">
            <v>"</v>
          </cell>
          <cell r="D181" t="str">
            <v>"</v>
          </cell>
          <cell r="E181">
            <v>1271448.6499999999</v>
          </cell>
          <cell r="F181">
            <v>1178841.1499999999</v>
          </cell>
          <cell r="G181">
            <v>7370220.5899999999</v>
          </cell>
        </row>
        <row r="211">
          <cell r="B211" t="str">
            <v>TABLEAU DE BORD 84</v>
          </cell>
        </row>
        <row r="212">
          <cell r="B212" t="str">
            <v>VOIE DU CALCINE &amp; MISE A TERRIL</v>
          </cell>
        </row>
        <row r="215">
          <cell r="B215" t="str">
            <v>Ligne prix de revient</v>
          </cell>
          <cell r="C215" t="str">
            <v>Sections analytiques</v>
          </cell>
          <cell r="D215" t="str">
            <v>Surcodes</v>
          </cell>
          <cell r="E215" t="str">
            <v>Réalisé</v>
          </cell>
          <cell r="F215" t="str">
            <v>Prévu</v>
          </cell>
          <cell r="G215" t="str">
            <v>Cumul</v>
          </cell>
        </row>
        <row r="216">
          <cell r="B216" t="str">
            <v>0**</v>
          </cell>
          <cell r="C216" t="str">
            <v>915 &amp; 916</v>
          </cell>
          <cell r="D216" t="str">
            <v>7682</v>
          </cell>
          <cell r="E216">
            <v>314961.15999999997</v>
          </cell>
          <cell r="F216">
            <v>341576</v>
          </cell>
          <cell r="G216">
            <v>2047875.32</v>
          </cell>
        </row>
        <row r="217">
          <cell r="B217" t="str">
            <v>05*</v>
          </cell>
          <cell r="C217" t="str">
            <v>"</v>
          </cell>
          <cell r="D217" t="str">
            <v>"</v>
          </cell>
          <cell r="E217">
            <v>35717.839999999997</v>
          </cell>
          <cell r="F217">
            <v>30847</v>
          </cell>
          <cell r="G217">
            <v>202711.87</v>
          </cell>
        </row>
        <row r="218">
          <cell r="B218">
            <v>103</v>
          </cell>
          <cell r="C218" t="str">
            <v>"</v>
          </cell>
          <cell r="D218" t="str">
            <v>"</v>
          </cell>
          <cell r="E218">
            <v>152209.12</v>
          </cell>
          <cell r="F218">
            <v>139966.66</v>
          </cell>
          <cell r="G218">
            <v>891126.5</v>
          </cell>
        </row>
        <row r="219">
          <cell r="B219">
            <v>211</v>
          </cell>
          <cell r="C219" t="str">
            <v>"</v>
          </cell>
          <cell r="D219" t="str">
            <v>"</v>
          </cell>
          <cell r="E219">
            <v>24229.8</v>
          </cell>
          <cell r="F219">
            <v>28776.25</v>
          </cell>
          <cell r="G219">
            <v>170071.19</v>
          </cell>
        </row>
        <row r="220">
          <cell r="B220">
            <v>212</v>
          </cell>
          <cell r="C220" t="str">
            <v>"</v>
          </cell>
          <cell r="D220" t="str">
            <v>"</v>
          </cell>
          <cell r="E220">
            <v>4100.49</v>
          </cell>
          <cell r="F220">
            <v>18106.66</v>
          </cell>
          <cell r="G220">
            <v>46187.49</v>
          </cell>
        </row>
        <row r="221">
          <cell r="B221" t="str">
            <v>2**</v>
          </cell>
          <cell r="C221" t="str">
            <v>"</v>
          </cell>
          <cell r="D221" t="str">
            <v>"</v>
          </cell>
          <cell r="E221">
            <v>28330.29</v>
          </cell>
          <cell r="F221">
            <v>46882.91</v>
          </cell>
          <cell r="G221">
            <v>216258.68</v>
          </cell>
        </row>
        <row r="222">
          <cell r="B222" t="str">
            <v>3**</v>
          </cell>
          <cell r="C222" t="str">
            <v>"</v>
          </cell>
          <cell r="D222" t="str">
            <v>"</v>
          </cell>
          <cell r="E222">
            <v>68992</v>
          </cell>
          <cell r="F222">
            <v>1292.4000000000001</v>
          </cell>
          <cell r="G222">
            <v>749305.09</v>
          </cell>
        </row>
        <row r="223">
          <cell r="B223">
            <v>402</v>
          </cell>
          <cell r="C223" t="str">
            <v>"</v>
          </cell>
          <cell r="D223" t="str">
            <v>"</v>
          </cell>
          <cell r="E223">
            <v>0</v>
          </cell>
          <cell r="F223">
            <v>107564.24</v>
          </cell>
          <cell r="G223">
            <v>305916</v>
          </cell>
        </row>
        <row r="224">
          <cell r="B224">
            <v>408</v>
          </cell>
          <cell r="C224" t="str">
            <v>"</v>
          </cell>
          <cell r="D224" t="str">
            <v>"</v>
          </cell>
          <cell r="E224">
            <v>0</v>
          </cell>
          <cell r="F224">
            <v>12916.66</v>
          </cell>
          <cell r="G224">
            <v>25569</v>
          </cell>
        </row>
        <row r="225">
          <cell r="B225">
            <v>409</v>
          </cell>
          <cell r="C225" t="str">
            <v>"</v>
          </cell>
          <cell r="D225" t="str">
            <v>"</v>
          </cell>
          <cell r="E225">
            <v>26824.38</v>
          </cell>
          <cell r="F225">
            <v>16389.990000000002</v>
          </cell>
          <cell r="G225">
            <v>105392.53</v>
          </cell>
        </row>
        <row r="226">
          <cell r="B226">
            <v>417</v>
          </cell>
          <cell r="C226" t="str">
            <v>"</v>
          </cell>
          <cell r="D226" t="str">
            <v>"</v>
          </cell>
          <cell r="E226">
            <v>11177.26</v>
          </cell>
          <cell r="F226">
            <v>13442.24</v>
          </cell>
          <cell r="G226">
            <v>39620.03</v>
          </cell>
        </row>
        <row r="227">
          <cell r="B227" t="str">
            <v>4**</v>
          </cell>
          <cell r="C227" t="str">
            <v>"</v>
          </cell>
          <cell r="D227" t="str">
            <v>"</v>
          </cell>
          <cell r="E227">
            <v>42347.32</v>
          </cell>
          <cell r="F227">
            <v>157716</v>
          </cell>
          <cell r="G227">
            <v>545984.39</v>
          </cell>
        </row>
        <row r="228">
          <cell r="B228" t="str">
            <v>5**</v>
          </cell>
          <cell r="C228" t="str">
            <v>"</v>
          </cell>
          <cell r="D228" t="str">
            <v>"</v>
          </cell>
          <cell r="E228">
            <v>467.08</v>
          </cell>
          <cell r="F228">
            <v>1744</v>
          </cell>
          <cell r="G228">
            <v>3397.2</v>
          </cell>
        </row>
        <row r="229">
          <cell r="B229">
            <v>680</v>
          </cell>
          <cell r="C229" t="str">
            <v>"</v>
          </cell>
          <cell r="D229" t="str">
            <v>"</v>
          </cell>
          <cell r="E229">
            <v>94155.87</v>
          </cell>
          <cell r="F229">
            <v>93719.91</v>
          </cell>
          <cell r="G229">
            <v>562755.67000000004</v>
          </cell>
        </row>
        <row r="230">
          <cell r="B230" t="str">
            <v>Toutes LPR</v>
          </cell>
          <cell r="C230" t="str">
            <v>"</v>
          </cell>
          <cell r="D230" t="str">
            <v>"</v>
          </cell>
          <cell r="E230">
            <v>701462.84</v>
          </cell>
          <cell r="F230">
            <v>782897.88</v>
          </cell>
          <cell r="G230">
            <v>5016702.8499999996</v>
          </cell>
        </row>
        <row r="233">
          <cell r="B233" t="str">
            <v>TABLEAU DE BORD 85</v>
          </cell>
        </row>
        <row r="234">
          <cell r="B234" t="str">
            <v>STOCKAGE ET CHARGEMENT DU NOIR</v>
          </cell>
        </row>
        <row r="237">
          <cell r="B237" t="str">
            <v>Ligne prix de revient</v>
          </cell>
          <cell r="C237" t="str">
            <v>Sections analytiques</v>
          </cell>
          <cell r="D237" t="str">
            <v>Surcodes</v>
          </cell>
          <cell r="E237" t="str">
            <v>Réalisé</v>
          </cell>
          <cell r="F237" t="str">
            <v>Prévu</v>
          </cell>
          <cell r="G237" t="str">
            <v>Cumul</v>
          </cell>
        </row>
        <row r="238">
          <cell r="B238" t="str">
            <v>0**</v>
          </cell>
          <cell r="C238" t="str">
            <v>918</v>
          </cell>
          <cell r="D238" t="str">
            <v>7682</v>
          </cell>
          <cell r="E238">
            <v>137675.01999999999</v>
          </cell>
          <cell r="F238">
            <v>109891.62</v>
          </cell>
          <cell r="G238">
            <v>538316.19999999995</v>
          </cell>
        </row>
        <row r="239">
          <cell r="B239" t="str">
            <v>05*</v>
          </cell>
          <cell r="C239" t="str">
            <v>"</v>
          </cell>
          <cell r="D239" t="str">
            <v>"</v>
          </cell>
          <cell r="E239">
            <v>21947.37</v>
          </cell>
          <cell r="F239">
            <v>12969.99</v>
          </cell>
          <cell r="G239">
            <v>75262.210000000006</v>
          </cell>
        </row>
        <row r="240">
          <cell r="B240">
            <v>103</v>
          </cell>
          <cell r="C240" t="str">
            <v>"</v>
          </cell>
          <cell r="D240" t="str">
            <v>"</v>
          </cell>
          <cell r="E240">
            <v>35804.160000000003</v>
          </cell>
          <cell r="F240">
            <v>16466.66</v>
          </cell>
          <cell r="G240">
            <v>188744.4</v>
          </cell>
        </row>
        <row r="241">
          <cell r="B241">
            <v>211</v>
          </cell>
          <cell r="C241" t="str">
            <v>"</v>
          </cell>
          <cell r="D241" t="str">
            <v>"</v>
          </cell>
          <cell r="E241">
            <v>19206.849999999999</v>
          </cell>
          <cell r="F241">
            <v>12280.41</v>
          </cell>
          <cell r="G241">
            <v>82301.84</v>
          </cell>
        </row>
        <row r="242">
          <cell r="B242">
            <v>212</v>
          </cell>
          <cell r="C242" t="str">
            <v>"</v>
          </cell>
          <cell r="D242" t="str">
            <v>"</v>
          </cell>
          <cell r="E242">
            <v>2444.04</v>
          </cell>
          <cell r="F242">
            <v>4116.16</v>
          </cell>
          <cell r="G242">
            <v>10829.48</v>
          </cell>
        </row>
        <row r="243">
          <cell r="B243" t="str">
            <v>2**</v>
          </cell>
          <cell r="C243" t="str">
            <v>"</v>
          </cell>
          <cell r="D243" t="str">
            <v>"</v>
          </cell>
          <cell r="E243">
            <v>21650.89</v>
          </cell>
          <cell r="F243">
            <v>16396.57</v>
          </cell>
          <cell r="G243">
            <v>93131.32</v>
          </cell>
        </row>
        <row r="244">
          <cell r="B244" t="str">
            <v>3**</v>
          </cell>
          <cell r="C244" t="str">
            <v>"</v>
          </cell>
          <cell r="D244" t="str">
            <v>"</v>
          </cell>
          <cell r="E244">
            <v>141338</v>
          </cell>
          <cell r="F244">
            <v>1666.66</v>
          </cell>
          <cell r="G244">
            <v>343489.47</v>
          </cell>
        </row>
        <row r="245">
          <cell r="B245">
            <v>402</v>
          </cell>
          <cell r="C245" t="str">
            <v>"</v>
          </cell>
          <cell r="D245" t="str">
            <v>"</v>
          </cell>
          <cell r="E245">
            <v>213939.85</v>
          </cell>
          <cell r="F245">
            <v>30542.66</v>
          </cell>
          <cell r="G245">
            <v>213939.85</v>
          </cell>
        </row>
        <row r="246">
          <cell r="B246">
            <v>408</v>
          </cell>
          <cell r="C246" t="str">
            <v>"</v>
          </cell>
          <cell r="D246" t="str">
            <v>"</v>
          </cell>
          <cell r="E246">
            <v>0</v>
          </cell>
          <cell r="F246">
            <v>0</v>
          </cell>
          <cell r="G246">
            <v>0</v>
          </cell>
        </row>
        <row r="247">
          <cell r="B247">
            <v>409</v>
          </cell>
          <cell r="C247" t="str">
            <v>"</v>
          </cell>
          <cell r="D247" t="str">
            <v>"</v>
          </cell>
          <cell r="E247">
            <v>3166.74</v>
          </cell>
          <cell r="F247">
            <v>2282.33</v>
          </cell>
          <cell r="G247">
            <v>72588.92</v>
          </cell>
        </row>
        <row r="248">
          <cell r="B248">
            <v>417</v>
          </cell>
          <cell r="C248" t="str">
            <v>"</v>
          </cell>
          <cell r="D248" t="str">
            <v>"</v>
          </cell>
          <cell r="E248">
            <v>15465.02</v>
          </cell>
          <cell r="F248">
            <v>9839.25</v>
          </cell>
          <cell r="G248">
            <v>67211.360000000001</v>
          </cell>
        </row>
        <row r="249">
          <cell r="B249" t="str">
            <v>4**</v>
          </cell>
          <cell r="C249" t="str">
            <v>"</v>
          </cell>
          <cell r="D249" t="str">
            <v>"</v>
          </cell>
          <cell r="E249">
            <v>236629.96</v>
          </cell>
          <cell r="F249">
            <v>44910.06</v>
          </cell>
          <cell r="G249">
            <v>374914.14</v>
          </cell>
        </row>
        <row r="250">
          <cell r="B250" t="str">
            <v>5**</v>
          </cell>
          <cell r="C250" t="str">
            <v>"</v>
          </cell>
          <cell r="D250" t="str">
            <v>"</v>
          </cell>
          <cell r="E250">
            <v>0</v>
          </cell>
          <cell r="F250">
            <v>48000</v>
          </cell>
          <cell r="G250">
            <v>0</v>
          </cell>
        </row>
        <row r="251">
          <cell r="B251">
            <v>680</v>
          </cell>
          <cell r="C251" t="str">
            <v>"</v>
          </cell>
          <cell r="D251" t="str">
            <v>"</v>
          </cell>
          <cell r="E251">
            <v>32326.97</v>
          </cell>
          <cell r="F251">
            <v>32327</v>
          </cell>
          <cell r="G251">
            <v>193961.82</v>
          </cell>
        </row>
        <row r="252">
          <cell r="B252" t="str">
            <v>Toutes LPR</v>
          </cell>
          <cell r="C252" t="str">
            <v>"</v>
          </cell>
          <cell r="D252" t="str">
            <v>"</v>
          </cell>
          <cell r="E252">
            <v>605425</v>
          </cell>
          <cell r="F252">
            <v>269658.57</v>
          </cell>
          <cell r="G252">
            <v>1732557.35</v>
          </cell>
        </row>
        <row r="255">
          <cell r="B255" t="str">
            <v>TABLEAU DE BORD 86</v>
          </cell>
        </row>
        <row r="256">
          <cell r="B256" t="str">
            <v>UNITE N°1</v>
          </cell>
        </row>
        <row r="259">
          <cell r="B259" t="str">
            <v>Ligne prix de revient</v>
          </cell>
          <cell r="C259" t="str">
            <v>Sections analytiques</v>
          </cell>
          <cell r="D259" t="str">
            <v>Surcodes</v>
          </cell>
          <cell r="E259" t="str">
            <v>Réalisé</v>
          </cell>
          <cell r="F259" t="str">
            <v>Prévu</v>
          </cell>
          <cell r="G259" t="str">
            <v>Cumul</v>
          </cell>
        </row>
        <row r="260">
          <cell r="B260" t="str">
            <v>0**</v>
          </cell>
          <cell r="C260" t="str">
            <v>911</v>
          </cell>
          <cell r="D260" t="str">
            <v>0382</v>
          </cell>
          <cell r="E260">
            <v>0</v>
          </cell>
          <cell r="F260">
            <v>0</v>
          </cell>
          <cell r="G260">
            <v>1362.37</v>
          </cell>
        </row>
        <row r="261">
          <cell r="B261" t="str">
            <v>05*</v>
          </cell>
          <cell r="C261" t="str">
            <v>"</v>
          </cell>
          <cell r="D261" t="str">
            <v>"</v>
          </cell>
          <cell r="E261">
            <v>0</v>
          </cell>
          <cell r="F261">
            <v>0</v>
          </cell>
          <cell r="G261">
            <v>0</v>
          </cell>
        </row>
        <row r="262">
          <cell r="B262">
            <v>103</v>
          </cell>
          <cell r="C262" t="str">
            <v>"</v>
          </cell>
          <cell r="D262" t="str">
            <v>"</v>
          </cell>
          <cell r="E262">
            <v>0</v>
          </cell>
          <cell r="F262">
            <v>0</v>
          </cell>
          <cell r="G262">
            <v>0</v>
          </cell>
        </row>
        <row r="263">
          <cell r="B263">
            <v>490</v>
          </cell>
          <cell r="C263" t="str">
            <v>"</v>
          </cell>
          <cell r="D263" t="str">
            <v>"</v>
          </cell>
          <cell r="E263">
            <v>0</v>
          </cell>
          <cell r="F263">
            <v>0</v>
          </cell>
          <cell r="G263">
            <v>0</v>
          </cell>
        </row>
        <row r="264">
          <cell r="B264">
            <v>492</v>
          </cell>
          <cell r="C264" t="str">
            <v>"</v>
          </cell>
          <cell r="D264" t="str">
            <v>"</v>
          </cell>
          <cell r="E264">
            <v>0</v>
          </cell>
          <cell r="F264">
            <v>0</v>
          </cell>
          <cell r="G264">
            <v>0</v>
          </cell>
        </row>
        <row r="265">
          <cell r="B265">
            <v>107</v>
          </cell>
          <cell r="C265" t="str">
            <v>"</v>
          </cell>
          <cell r="D265" t="str">
            <v>"</v>
          </cell>
          <cell r="E265">
            <v>0</v>
          </cell>
          <cell r="F265">
            <v>0</v>
          </cell>
          <cell r="G265">
            <v>0</v>
          </cell>
        </row>
        <row r="266">
          <cell r="B266">
            <v>211</v>
          </cell>
          <cell r="C266" t="str">
            <v>"</v>
          </cell>
          <cell r="D266" t="str">
            <v>"</v>
          </cell>
          <cell r="E266">
            <v>0</v>
          </cell>
          <cell r="F266">
            <v>0</v>
          </cell>
          <cell r="G266">
            <v>28485.38</v>
          </cell>
        </row>
        <row r="267">
          <cell r="B267">
            <v>212</v>
          </cell>
          <cell r="C267" t="str">
            <v>"</v>
          </cell>
          <cell r="D267" t="str">
            <v>"</v>
          </cell>
          <cell r="E267">
            <v>0</v>
          </cell>
          <cell r="F267">
            <v>0</v>
          </cell>
          <cell r="G267">
            <v>0</v>
          </cell>
        </row>
        <row r="268">
          <cell r="B268" t="str">
            <v>2**</v>
          </cell>
          <cell r="C268" t="str">
            <v>"</v>
          </cell>
          <cell r="D268" t="str">
            <v>"</v>
          </cell>
          <cell r="E268">
            <v>0</v>
          </cell>
          <cell r="F268">
            <v>0</v>
          </cell>
          <cell r="G268">
            <v>28485.38</v>
          </cell>
        </row>
        <row r="269">
          <cell r="B269" t="str">
            <v>3**</v>
          </cell>
          <cell r="C269" t="str">
            <v>"</v>
          </cell>
          <cell r="D269" t="str">
            <v>"</v>
          </cell>
          <cell r="E269">
            <v>0</v>
          </cell>
          <cell r="F269">
            <v>0</v>
          </cell>
          <cell r="G269">
            <v>0</v>
          </cell>
        </row>
        <row r="270">
          <cell r="B270">
            <v>402</v>
          </cell>
          <cell r="C270" t="str">
            <v>"</v>
          </cell>
          <cell r="D270" t="str">
            <v>"</v>
          </cell>
          <cell r="E270">
            <v>0</v>
          </cell>
          <cell r="F270">
            <v>0</v>
          </cell>
          <cell r="G270">
            <v>0</v>
          </cell>
        </row>
        <row r="271">
          <cell r="B271">
            <v>409</v>
          </cell>
          <cell r="C271" t="str">
            <v>"</v>
          </cell>
          <cell r="D271" t="str">
            <v>"</v>
          </cell>
          <cell r="E271">
            <v>0</v>
          </cell>
          <cell r="F271">
            <v>0</v>
          </cell>
          <cell r="G271">
            <v>0</v>
          </cell>
        </row>
        <row r="272">
          <cell r="B272">
            <v>417</v>
          </cell>
          <cell r="C272" t="str">
            <v>"</v>
          </cell>
          <cell r="D272" t="str">
            <v>"</v>
          </cell>
          <cell r="E272">
            <v>0</v>
          </cell>
          <cell r="F272">
            <v>0</v>
          </cell>
          <cell r="G272">
            <v>6671.04</v>
          </cell>
        </row>
        <row r="273">
          <cell r="B273" t="str">
            <v>4**</v>
          </cell>
          <cell r="C273" t="str">
            <v>"</v>
          </cell>
          <cell r="D273" t="str">
            <v>"</v>
          </cell>
          <cell r="E273">
            <v>0</v>
          </cell>
          <cell r="F273">
            <v>0</v>
          </cell>
          <cell r="G273">
            <v>6671.04</v>
          </cell>
        </row>
        <row r="274">
          <cell r="B274" t="str">
            <v>5**</v>
          </cell>
          <cell r="C274" t="str">
            <v>"</v>
          </cell>
          <cell r="D274" t="str">
            <v>"</v>
          </cell>
          <cell r="E274">
            <v>2894.41</v>
          </cell>
          <cell r="F274">
            <v>1297.5</v>
          </cell>
          <cell r="G274">
            <v>17367.45</v>
          </cell>
        </row>
        <row r="275">
          <cell r="B275">
            <v>680</v>
          </cell>
          <cell r="C275" t="str">
            <v>"</v>
          </cell>
          <cell r="D275" t="str">
            <v>"</v>
          </cell>
          <cell r="E275">
            <v>1250</v>
          </cell>
          <cell r="F275">
            <v>1250</v>
          </cell>
          <cell r="G275">
            <v>7500</v>
          </cell>
        </row>
        <row r="276">
          <cell r="B276" t="str">
            <v>Toutes LPR</v>
          </cell>
          <cell r="C276" t="str">
            <v>"</v>
          </cell>
          <cell r="D276" t="str">
            <v>"</v>
          </cell>
          <cell r="E276">
            <v>4144.41</v>
          </cell>
          <cell r="F276">
            <v>2547.5</v>
          </cell>
          <cell r="G276">
            <v>61386.239999999998</v>
          </cell>
        </row>
        <row r="279">
          <cell r="B279" t="str">
            <v>TABLEAU DE BORD 87</v>
          </cell>
        </row>
        <row r="280">
          <cell r="B280" t="str">
            <v>UNITE N°2</v>
          </cell>
        </row>
        <row r="283">
          <cell r="B283" t="str">
            <v>Ligne prix de revient</v>
          </cell>
          <cell r="C283" t="str">
            <v>Sections analytiques</v>
          </cell>
          <cell r="D283" t="str">
            <v>Surcodes</v>
          </cell>
          <cell r="E283" t="str">
            <v>Réalisé</v>
          </cell>
          <cell r="F283" t="str">
            <v>Prévu</v>
          </cell>
          <cell r="G283" t="str">
            <v>Cumul</v>
          </cell>
        </row>
        <row r="284">
          <cell r="B284" t="str">
            <v>0**</v>
          </cell>
          <cell r="C284" t="str">
            <v>912</v>
          </cell>
          <cell r="D284" t="str">
            <v>7682</v>
          </cell>
          <cell r="E284">
            <v>83942.16</v>
          </cell>
          <cell r="F284">
            <v>133406.03</v>
          </cell>
          <cell r="G284">
            <v>666837.93999999994</v>
          </cell>
        </row>
        <row r="285">
          <cell r="B285" t="str">
            <v>05*</v>
          </cell>
          <cell r="C285" t="str">
            <v>"</v>
          </cell>
          <cell r="D285" t="str">
            <v>"</v>
          </cell>
          <cell r="E285">
            <v>5279.96</v>
          </cell>
          <cell r="F285">
            <v>10445.16</v>
          </cell>
          <cell r="G285">
            <v>42863.87</v>
          </cell>
        </row>
        <row r="286">
          <cell r="B286">
            <v>103</v>
          </cell>
          <cell r="C286" t="str">
            <v>"</v>
          </cell>
          <cell r="D286" t="str">
            <v>"</v>
          </cell>
          <cell r="E286">
            <v>6278.9</v>
          </cell>
          <cell r="F286">
            <v>741000</v>
          </cell>
          <cell r="G286">
            <v>438352.32</v>
          </cell>
        </row>
        <row r="287">
          <cell r="B287">
            <v>490</v>
          </cell>
          <cell r="C287" t="str">
            <v>"</v>
          </cell>
          <cell r="D287" t="str">
            <v>"</v>
          </cell>
          <cell r="E287">
            <v>0</v>
          </cell>
          <cell r="F287">
            <v>35425</v>
          </cell>
          <cell r="G287">
            <v>318666.34000000003</v>
          </cell>
        </row>
        <row r="288">
          <cell r="B288">
            <v>492</v>
          </cell>
          <cell r="C288" t="str">
            <v>"</v>
          </cell>
          <cell r="D288" t="str">
            <v>"</v>
          </cell>
          <cell r="E288">
            <v>0</v>
          </cell>
          <cell r="F288">
            <v>393656.25</v>
          </cell>
          <cell r="G288">
            <v>38012.800000000003</v>
          </cell>
        </row>
        <row r="289">
          <cell r="B289">
            <v>107</v>
          </cell>
          <cell r="C289" t="str">
            <v>"</v>
          </cell>
          <cell r="D289" t="str">
            <v>"</v>
          </cell>
          <cell r="E289">
            <v>0</v>
          </cell>
          <cell r="F289">
            <v>9100</v>
          </cell>
          <cell r="G289">
            <v>2622.2</v>
          </cell>
        </row>
        <row r="290">
          <cell r="B290">
            <v>211</v>
          </cell>
          <cell r="C290" t="str">
            <v>"</v>
          </cell>
          <cell r="D290" t="str">
            <v>"</v>
          </cell>
          <cell r="E290">
            <v>16255.55</v>
          </cell>
          <cell r="F290">
            <v>67267.91</v>
          </cell>
          <cell r="G290">
            <v>141106.13</v>
          </cell>
        </row>
        <row r="291">
          <cell r="B291">
            <v>212</v>
          </cell>
          <cell r="C291" t="str">
            <v>"</v>
          </cell>
          <cell r="D291" t="str">
            <v>"</v>
          </cell>
          <cell r="E291">
            <v>38697.300000000003</v>
          </cell>
          <cell r="F291">
            <v>86376.08</v>
          </cell>
          <cell r="G291">
            <v>256561.46</v>
          </cell>
        </row>
        <row r="292">
          <cell r="B292" t="str">
            <v>2**</v>
          </cell>
          <cell r="C292" t="str">
            <v>"</v>
          </cell>
          <cell r="D292" t="str">
            <v>"</v>
          </cell>
          <cell r="E292">
            <v>54952.85</v>
          </cell>
          <cell r="F292">
            <v>153643.99</v>
          </cell>
          <cell r="G292">
            <v>397667.59</v>
          </cell>
        </row>
        <row r="293">
          <cell r="B293" t="str">
            <v>3**</v>
          </cell>
          <cell r="C293" t="str">
            <v>"</v>
          </cell>
          <cell r="D293" t="str">
            <v>"</v>
          </cell>
          <cell r="E293">
            <v>0</v>
          </cell>
          <cell r="F293">
            <v>2916.66</v>
          </cell>
          <cell r="G293">
            <v>68768.820000000007</v>
          </cell>
        </row>
        <row r="294">
          <cell r="B294">
            <v>402</v>
          </cell>
          <cell r="C294" t="str">
            <v>"</v>
          </cell>
          <cell r="D294" t="str">
            <v>"</v>
          </cell>
          <cell r="E294">
            <v>0</v>
          </cell>
          <cell r="F294">
            <v>0</v>
          </cell>
          <cell r="G294">
            <v>0</v>
          </cell>
        </row>
        <row r="295">
          <cell r="B295">
            <v>409</v>
          </cell>
          <cell r="C295" t="str">
            <v>"</v>
          </cell>
          <cell r="D295" t="str">
            <v>"</v>
          </cell>
          <cell r="E295">
            <v>2333.81</v>
          </cell>
          <cell r="F295">
            <v>34842.75</v>
          </cell>
          <cell r="G295">
            <v>121413.52</v>
          </cell>
        </row>
        <row r="296">
          <cell r="B296">
            <v>417</v>
          </cell>
          <cell r="C296" t="str">
            <v>"</v>
          </cell>
          <cell r="D296" t="str">
            <v>"</v>
          </cell>
          <cell r="E296">
            <v>313.51</v>
          </cell>
          <cell r="F296">
            <v>32223.58</v>
          </cell>
          <cell r="G296">
            <v>207098.03</v>
          </cell>
        </row>
        <row r="297">
          <cell r="B297" t="str">
            <v>4**</v>
          </cell>
          <cell r="C297" t="str">
            <v>"</v>
          </cell>
          <cell r="D297" t="str">
            <v>"</v>
          </cell>
          <cell r="E297">
            <v>54727.32</v>
          </cell>
          <cell r="F297">
            <v>505897.87</v>
          </cell>
          <cell r="G297">
            <v>761463.83</v>
          </cell>
        </row>
        <row r="298">
          <cell r="B298" t="str">
            <v>5**</v>
          </cell>
          <cell r="C298" t="str">
            <v>"</v>
          </cell>
          <cell r="D298" t="str">
            <v>"</v>
          </cell>
          <cell r="E298">
            <v>28463.78</v>
          </cell>
          <cell r="F298">
            <v>12924.33</v>
          </cell>
          <cell r="G298">
            <v>171806.85</v>
          </cell>
        </row>
        <row r="299">
          <cell r="B299">
            <v>680</v>
          </cell>
          <cell r="C299" t="str">
            <v>"</v>
          </cell>
          <cell r="D299" t="str">
            <v>"</v>
          </cell>
          <cell r="E299">
            <v>619657.18999999994</v>
          </cell>
          <cell r="F299">
            <v>626877.07999999996</v>
          </cell>
          <cell r="G299">
            <v>3718196.54</v>
          </cell>
        </row>
        <row r="300">
          <cell r="B300" t="str">
            <v>Toutes LPR</v>
          </cell>
          <cell r="C300" t="str">
            <v>"</v>
          </cell>
          <cell r="D300" t="str">
            <v>"</v>
          </cell>
          <cell r="E300">
            <v>848022.2</v>
          </cell>
          <cell r="F300">
            <v>2185765.96</v>
          </cell>
          <cell r="G300">
            <v>6225716.0899999999</v>
          </cell>
        </row>
        <row r="303">
          <cell r="B303" t="str">
            <v>TABLEAU DE BORD 88</v>
          </cell>
        </row>
        <row r="304">
          <cell r="B304" t="str">
            <v>UNITE N°3</v>
          </cell>
        </row>
        <row r="307">
          <cell r="B307" t="str">
            <v>Ligne prix de revient</v>
          </cell>
          <cell r="C307" t="str">
            <v>Sections analytiques</v>
          </cell>
          <cell r="D307" t="str">
            <v>Surcodes</v>
          </cell>
          <cell r="E307" t="str">
            <v>Réalisé</v>
          </cell>
          <cell r="F307" t="str">
            <v>Prévu</v>
          </cell>
          <cell r="G307" t="str">
            <v>Cumul</v>
          </cell>
        </row>
        <row r="308">
          <cell r="B308" t="str">
            <v>0**</v>
          </cell>
          <cell r="C308" t="str">
            <v>913</v>
          </cell>
          <cell r="D308" t="str">
            <v>7682</v>
          </cell>
          <cell r="E308">
            <v>164368.20000000001</v>
          </cell>
          <cell r="F308">
            <v>133406.03</v>
          </cell>
          <cell r="G308">
            <v>802265.52</v>
          </cell>
        </row>
        <row r="309">
          <cell r="B309" t="str">
            <v>05*</v>
          </cell>
          <cell r="C309" t="str">
            <v>"</v>
          </cell>
          <cell r="D309" t="str">
            <v>"</v>
          </cell>
          <cell r="E309">
            <v>10418.280000000001</v>
          </cell>
          <cell r="F309">
            <v>10445.16</v>
          </cell>
          <cell r="G309">
            <v>58423.14</v>
          </cell>
        </row>
        <row r="310">
          <cell r="B310">
            <v>103</v>
          </cell>
          <cell r="C310" t="str">
            <v>"</v>
          </cell>
          <cell r="D310" t="str">
            <v>"</v>
          </cell>
          <cell r="E310">
            <v>507387.66</v>
          </cell>
          <cell r="F310">
            <v>741000</v>
          </cell>
          <cell r="G310">
            <v>4077682.68</v>
          </cell>
        </row>
        <row r="311">
          <cell r="B311">
            <v>490</v>
          </cell>
          <cell r="C311" t="str">
            <v>"</v>
          </cell>
          <cell r="D311" t="str">
            <v>"</v>
          </cell>
          <cell r="E311">
            <v>12383.42</v>
          </cell>
          <cell r="F311">
            <v>35425</v>
          </cell>
          <cell r="G311">
            <v>25432.82</v>
          </cell>
        </row>
        <row r="312">
          <cell r="B312">
            <v>492</v>
          </cell>
          <cell r="C312" t="str">
            <v>"</v>
          </cell>
          <cell r="D312" t="str">
            <v>"</v>
          </cell>
          <cell r="E312">
            <v>178160</v>
          </cell>
          <cell r="F312">
            <v>393656.25</v>
          </cell>
          <cell r="G312">
            <v>2228333.6</v>
          </cell>
        </row>
        <row r="313">
          <cell r="B313">
            <v>107</v>
          </cell>
          <cell r="C313" t="str">
            <v>"</v>
          </cell>
          <cell r="D313" t="str">
            <v>"</v>
          </cell>
          <cell r="E313">
            <v>3242.4</v>
          </cell>
          <cell r="F313">
            <v>9100</v>
          </cell>
          <cell r="G313">
            <v>52456.6</v>
          </cell>
        </row>
        <row r="314">
          <cell r="B314">
            <v>211</v>
          </cell>
          <cell r="C314" t="str">
            <v>"</v>
          </cell>
          <cell r="D314" t="str">
            <v>"</v>
          </cell>
          <cell r="E314">
            <v>56819.199999999997</v>
          </cell>
          <cell r="F314">
            <v>67267.91</v>
          </cell>
          <cell r="G314">
            <v>405473.1</v>
          </cell>
        </row>
        <row r="315">
          <cell r="B315">
            <v>212</v>
          </cell>
          <cell r="C315" t="str">
            <v>"</v>
          </cell>
          <cell r="D315" t="str">
            <v>"</v>
          </cell>
          <cell r="E315">
            <v>84455.16</v>
          </cell>
          <cell r="F315">
            <v>86376.08</v>
          </cell>
          <cell r="G315">
            <v>472229.6</v>
          </cell>
        </row>
        <row r="316">
          <cell r="B316" t="str">
            <v>2**</v>
          </cell>
          <cell r="C316" t="str">
            <v>"</v>
          </cell>
          <cell r="D316" t="str">
            <v>"</v>
          </cell>
          <cell r="E316">
            <v>141274.35999999999</v>
          </cell>
          <cell r="F316">
            <v>153643.99</v>
          </cell>
          <cell r="G316">
            <v>877702.7</v>
          </cell>
        </row>
        <row r="317">
          <cell r="B317" t="str">
            <v>3**</v>
          </cell>
          <cell r="C317" t="str">
            <v>"</v>
          </cell>
          <cell r="D317" t="str">
            <v>"</v>
          </cell>
          <cell r="E317">
            <v>0</v>
          </cell>
          <cell r="F317">
            <v>2916.66</v>
          </cell>
          <cell r="G317">
            <v>13776.42</v>
          </cell>
        </row>
        <row r="318">
          <cell r="B318">
            <v>402</v>
          </cell>
          <cell r="C318" t="str">
            <v>"</v>
          </cell>
          <cell r="D318" t="str">
            <v>"</v>
          </cell>
          <cell r="E318">
            <v>0</v>
          </cell>
          <cell r="F318">
            <v>0</v>
          </cell>
          <cell r="G318">
            <v>0</v>
          </cell>
        </row>
        <row r="319">
          <cell r="B319">
            <v>409</v>
          </cell>
          <cell r="C319" t="str">
            <v>"</v>
          </cell>
          <cell r="D319" t="str">
            <v>"</v>
          </cell>
          <cell r="E319">
            <v>11014.88</v>
          </cell>
          <cell r="F319">
            <v>34842.75</v>
          </cell>
          <cell r="G319">
            <v>59774.93</v>
          </cell>
        </row>
        <row r="320">
          <cell r="B320">
            <v>417</v>
          </cell>
          <cell r="C320" t="str">
            <v>"</v>
          </cell>
          <cell r="D320" t="str">
            <v>"</v>
          </cell>
          <cell r="E320">
            <v>4276.68</v>
          </cell>
          <cell r="F320">
            <v>32223.58</v>
          </cell>
          <cell r="G320">
            <v>276457.8</v>
          </cell>
        </row>
        <row r="321">
          <cell r="B321" t="str">
            <v>4**</v>
          </cell>
          <cell r="C321" t="str">
            <v>"</v>
          </cell>
          <cell r="D321" t="str">
            <v>"</v>
          </cell>
          <cell r="E321">
            <v>252135.49</v>
          </cell>
          <cell r="F321">
            <v>505897.87</v>
          </cell>
          <cell r="G321">
            <v>2664644</v>
          </cell>
        </row>
        <row r="322">
          <cell r="B322" t="str">
            <v>5**</v>
          </cell>
          <cell r="C322" t="str">
            <v>"</v>
          </cell>
          <cell r="D322" t="str">
            <v>"</v>
          </cell>
          <cell r="E322">
            <v>28631.82</v>
          </cell>
          <cell r="F322">
            <v>71257.66</v>
          </cell>
          <cell r="G322">
            <v>186588.27</v>
          </cell>
        </row>
        <row r="323">
          <cell r="B323">
            <v>680</v>
          </cell>
          <cell r="C323" t="str">
            <v>"</v>
          </cell>
          <cell r="D323" t="str">
            <v>"</v>
          </cell>
          <cell r="E323">
            <v>613280.41</v>
          </cell>
          <cell r="F323">
            <v>613280.41</v>
          </cell>
          <cell r="G323">
            <v>3679682.46</v>
          </cell>
        </row>
        <row r="324">
          <cell r="B324" t="str">
            <v>Toutes LPR</v>
          </cell>
          <cell r="C324" t="str">
            <v>"</v>
          </cell>
          <cell r="D324" t="str">
            <v>"</v>
          </cell>
          <cell r="E324">
            <v>1710320.34</v>
          </cell>
          <cell r="F324">
            <v>2230502.62</v>
          </cell>
          <cell r="G324">
            <v>12354798.65</v>
          </cell>
        </row>
        <row r="327">
          <cell r="B327" t="str">
            <v>TABLEAU DE BORD 89</v>
          </cell>
        </row>
        <row r="328">
          <cell r="B328" t="str">
            <v>UNITE N°4</v>
          </cell>
        </row>
        <row r="331">
          <cell r="B331" t="str">
            <v>Ligne prix de revient</v>
          </cell>
          <cell r="C331" t="str">
            <v>Sections analytiques</v>
          </cell>
          <cell r="D331" t="str">
            <v>Surcodes</v>
          </cell>
          <cell r="E331" t="str">
            <v>Réalisé</v>
          </cell>
          <cell r="F331" t="str">
            <v>Prévu</v>
          </cell>
          <cell r="G331" t="str">
            <v>Cumul</v>
          </cell>
        </row>
        <row r="332">
          <cell r="B332" t="str">
            <v>0**</v>
          </cell>
          <cell r="C332" t="str">
            <v>914</v>
          </cell>
          <cell r="D332" t="str">
            <v>7682</v>
          </cell>
          <cell r="E332">
            <v>188866.8</v>
          </cell>
          <cell r="F332">
            <v>133406.03</v>
          </cell>
          <cell r="G332">
            <v>1173376.01</v>
          </cell>
        </row>
        <row r="333">
          <cell r="B333" t="str">
            <v>05*</v>
          </cell>
          <cell r="C333" t="str">
            <v>"</v>
          </cell>
          <cell r="D333" t="str">
            <v>"</v>
          </cell>
          <cell r="E333">
            <v>14055.13</v>
          </cell>
          <cell r="F333">
            <v>10445.16</v>
          </cell>
          <cell r="G333">
            <v>96172.15</v>
          </cell>
        </row>
        <row r="334">
          <cell r="B334">
            <v>103</v>
          </cell>
          <cell r="C334" t="str">
            <v>"</v>
          </cell>
          <cell r="D334" t="str">
            <v>"</v>
          </cell>
          <cell r="E334">
            <v>1763823.3</v>
          </cell>
          <cell r="F334">
            <v>741000</v>
          </cell>
          <cell r="G334">
            <v>7685890.8600000003</v>
          </cell>
        </row>
        <row r="335">
          <cell r="B335">
            <v>490</v>
          </cell>
          <cell r="C335" t="str">
            <v>"</v>
          </cell>
          <cell r="D335" t="str">
            <v>"</v>
          </cell>
          <cell r="E335">
            <v>7603.85</v>
          </cell>
          <cell r="F335">
            <v>35425</v>
          </cell>
          <cell r="G335">
            <v>35586.03</v>
          </cell>
        </row>
        <row r="336">
          <cell r="B336">
            <v>492</v>
          </cell>
          <cell r="C336" t="str">
            <v>"</v>
          </cell>
          <cell r="D336" t="str">
            <v>"</v>
          </cell>
          <cell r="E336">
            <v>1043426</v>
          </cell>
          <cell r="F336">
            <v>393656.25</v>
          </cell>
          <cell r="G336">
            <v>4792847.28</v>
          </cell>
        </row>
        <row r="337">
          <cell r="B337">
            <v>107</v>
          </cell>
          <cell r="C337" t="str">
            <v>"</v>
          </cell>
          <cell r="D337" t="str">
            <v>"</v>
          </cell>
          <cell r="E337">
            <v>18830</v>
          </cell>
          <cell r="F337">
            <v>9100</v>
          </cell>
          <cell r="G337">
            <v>103924.8</v>
          </cell>
        </row>
        <row r="338">
          <cell r="B338">
            <v>211</v>
          </cell>
          <cell r="C338" t="str">
            <v>"</v>
          </cell>
          <cell r="D338" t="str">
            <v>"</v>
          </cell>
          <cell r="E338">
            <v>55428.3</v>
          </cell>
          <cell r="F338">
            <v>67267.91</v>
          </cell>
          <cell r="G338">
            <v>427333.59</v>
          </cell>
        </row>
        <row r="339">
          <cell r="B339">
            <v>212</v>
          </cell>
          <cell r="C339" t="str">
            <v>"</v>
          </cell>
          <cell r="D339" t="str">
            <v>"</v>
          </cell>
          <cell r="E339">
            <v>114326.76</v>
          </cell>
          <cell r="F339">
            <v>86376.08</v>
          </cell>
          <cell r="G339">
            <v>587653.56999999995</v>
          </cell>
        </row>
        <row r="340">
          <cell r="B340" t="str">
            <v>2**</v>
          </cell>
          <cell r="C340" t="str">
            <v>"</v>
          </cell>
          <cell r="D340" t="str">
            <v>"</v>
          </cell>
          <cell r="E340">
            <v>169755.06</v>
          </cell>
          <cell r="F340">
            <v>153643.99</v>
          </cell>
          <cell r="G340">
            <v>1014987.16</v>
          </cell>
        </row>
        <row r="341">
          <cell r="B341" t="str">
            <v>3**</v>
          </cell>
          <cell r="C341" t="str">
            <v>"</v>
          </cell>
          <cell r="D341" t="str">
            <v>"</v>
          </cell>
          <cell r="E341">
            <v>2020.86</v>
          </cell>
          <cell r="F341">
            <v>2916.66</v>
          </cell>
          <cell r="G341">
            <v>35038.480000000003</v>
          </cell>
        </row>
        <row r="342">
          <cell r="B342">
            <v>402</v>
          </cell>
          <cell r="C342" t="str">
            <v>"</v>
          </cell>
          <cell r="D342" t="str">
            <v>"</v>
          </cell>
          <cell r="E342">
            <v>0</v>
          </cell>
          <cell r="F342">
            <v>0</v>
          </cell>
          <cell r="G342">
            <v>0</v>
          </cell>
        </row>
        <row r="343">
          <cell r="B343">
            <v>409</v>
          </cell>
          <cell r="C343" t="str">
            <v>"</v>
          </cell>
          <cell r="D343" t="str">
            <v>"</v>
          </cell>
          <cell r="E343">
            <v>6935.09</v>
          </cell>
          <cell r="F343">
            <v>34842.75</v>
          </cell>
          <cell r="G343">
            <v>99548.06</v>
          </cell>
        </row>
        <row r="344">
          <cell r="B344">
            <v>417</v>
          </cell>
          <cell r="C344" t="str">
            <v>"</v>
          </cell>
          <cell r="D344" t="str">
            <v>"</v>
          </cell>
          <cell r="E344">
            <v>6403.25</v>
          </cell>
          <cell r="F344">
            <v>32223.58</v>
          </cell>
          <cell r="G344">
            <v>117105.31</v>
          </cell>
        </row>
        <row r="345">
          <cell r="B345" t="str">
            <v>4**</v>
          </cell>
          <cell r="C345" t="str">
            <v>"</v>
          </cell>
          <cell r="D345" t="str">
            <v>"</v>
          </cell>
          <cell r="E345">
            <v>1233065.17</v>
          </cell>
          <cell r="F345">
            <v>505897.87</v>
          </cell>
          <cell r="G345">
            <v>5265234.1100000003</v>
          </cell>
        </row>
        <row r="346">
          <cell r="B346" t="str">
            <v>5**</v>
          </cell>
          <cell r="C346" t="str">
            <v>"</v>
          </cell>
          <cell r="D346" t="str">
            <v>"</v>
          </cell>
          <cell r="E346">
            <v>29490.19</v>
          </cell>
          <cell r="F346">
            <v>12924.33</v>
          </cell>
          <cell r="G346">
            <v>178005.82</v>
          </cell>
        </row>
        <row r="347">
          <cell r="B347">
            <v>680</v>
          </cell>
          <cell r="C347" t="str">
            <v>"</v>
          </cell>
          <cell r="D347" t="str">
            <v>"</v>
          </cell>
          <cell r="E347">
            <v>614167.41</v>
          </cell>
          <cell r="F347">
            <v>614167.41</v>
          </cell>
          <cell r="G347">
            <v>3685004.46</v>
          </cell>
        </row>
        <row r="348">
          <cell r="B348" t="str">
            <v>Toutes LPR</v>
          </cell>
          <cell r="C348" t="str">
            <v>"</v>
          </cell>
          <cell r="D348" t="str">
            <v>"</v>
          </cell>
          <cell r="E348">
            <v>4020018.79</v>
          </cell>
          <cell r="F348">
            <v>2173056.29</v>
          </cell>
          <cell r="G348">
            <v>19141461.699999999</v>
          </cell>
        </row>
        <row r="351">
          <cell r="B351" t="str">
            <v>TABLEAU DE BORD 90</v>
          </cell>
        </row>
        <row r="352">
          <cell r="B352" t="str">
            <v>USINE DE SECHAGE</v>
          </cell>
        </row>
        <row r="355">
          <cell r="B355" t="str">
            <v>Ligne prix de revient</v>
          </cell>
          <cell r="C355" t="str">
            <v>Sections analytiques</v>
          </cell>
          <cell r="D355" t="str">
            <v>Surcodes</v>
          </cell>
          <cell r="E355" t="str">
            <v>Réalisé</v>
          </cell>
          <cell r="F355" t="str">
            <v>Prévu</v>
          </cell>
          <cell r="G355" t="str">
            <v>Cumul</v>
          </cell>
        </row>
        <row r="356">
          <cell r="B356" t="str">
            <v>0**</v>
          </cell>
          <cell r="C356" t="str">
            <v>900</v>
          </cell>
          <cell r="D356" t="str">
            <v>2481</v>
          </cell>
          <cell r="E356">
            <v>168905.82</v>
          </cell>
          <cell r="F356">
            <v>156699.53</v>
          </cell>
          <cell r="G356">
            <v>976614.99</v>
          </cell>
        </row>
        <row r="357">
          <cell r="B357" t="str">
            <v>05*</v>
          </cell>
          <cell r="C357" t="str">
            <v>"</v>
          </cell>
          <cell r="D357" t="str">
            <v>"</v>
          </cell>
          <cell r="E357">
            <v>14649.02</v>
          </cell>
          <cell r="F357">
            <v>13474.34</v>
          </cell>
          <cell r="G357">
            <v>112193.62</v>
          </cell>
        </row>
        <row r="358">
          <cell r="B358">
            <v>103</v>
          </cell>
          <cell r="C358" t="str">
            <v>"</v>
          </cell>
          <cell r="D358" t="str">
            <v>"</v>
          </cell>
          <cell r="E358">
            <v>215337.78</v>
          </cell>
          <cell r="F358">
            <v>166902.32999999999</v>
          </cell>
          <cell r="G358">
            <v>1422037.28</v>
          </cell>
        </row>
        <row r="359">
          <cell r="B359">
            <v>490</v>
          </cell>
          <cell r="C359" t="str">
            <v>"</v>
          </cell>
          <cell r="D359" t="str">
            <v>"</v>
          </cell>
          <cell r="E359">
            <v>0</v>
          </cell>
          <cell r="F359">
            <v>0</v>
          </cell>
          <cell r="G359">
            <v>0</v>
          </cell>
        </row>
        <row r="360">
          <cell r="B360">
            <v>492</v>
          </cell>
          <cell r="C360" t="str">
            <v>"</v>
          </cell>
          <cell r="D360" t="str">
            <v>"</v>
          </cell>
          <cell r="E360">
            <v>1432402.32</v>
          </cell>
          <cell r="F360">
            <v>1092262.5</v>
          </cell>
          <cell r="G360">
            <v>9295763.0399999991</v>
          </cell>
        </row>
        <row r="361">
          <cell r="B361">
            <v>211</v>
          </cell>
          <cell r="C361" t="str">
            <v>"</v>
          </cell>
          <cell r="D361" t="str">
            <v>"</v>
          </cell>
          <cell r="E361">
            <v>97140.95</v>
          </cell>
          <cell r="F361">
            <v>62281.33</v>
          </cell>
          <cell r="G361">
            <v>486653.15</v>
          </cell>
        </row>
        <row r="362">
          <cell r="B362">
            <v>212</v>
          </cell>
          <cell r="C362" t="str">
            <v>"</v>
          </cell>
          <cell r="D362" t="str">
            <v>"</v>
          </cell>
          <cell r="E362">
            <v>117303.96</v>
          </cell>
          <cell r="F362">
            <v>91749.41</v>
          </cell>
          <cell r="G362">
            <v>699392.13</v>
          </cell>
        </row>
        <row r="363">
          <cell r="B363" t="str">
            <v>2**</v>
          </cell>
          <cell r="C363" t="str">
            <v>"</v>
          </cell>
          <cell r="D363" t="str">
            <v>"</v>
          </cell>
          <cell r="E363">
            <v>214444.91</v>
          </cell>
          <cell r="F363">
            <v>154030.74</v>
          </cell>
          <cell r="G363">
            <v>1186045.28</v>
          </cell>
        </row>
        <row r="364">
          <cell r="B364" t="str">
            <v>3**</v>
          </cell>
          <cell r="C364" t="str">
            <v>"</v>
          </cell>
          <cell r="D364" t="str">
            <v>"</v>
          </cell>
          <cell r="E364">
            <v>2204.58</v>
          </cell>
          <cell r="F364">
            <v>833.32</v>
          </cell>
          <cell r="G364">
            <v>8663.6200000000008</v>
          </cell>
        </row>
        <row r="365">
          <cell r="B365">
            <v>402</v>
          </cell>
          <cell r="C365" t="str">
            <v>"</v>
          </cell>
          <cell r="D365" t="str">
            <v>"</v>
          </cell>
          <cell r="E365">
            <v>0</v>
          </cell>
          <cell r="F365">
            <v>8619</v>
          </cell>
          <cell r="G365">
            <v>53922</v>
          </cell>
        </row>
        <row r="366">
          <cell r="B366">
            <v>408</v>
          </cell>
          <cell r="C366" t="str">
            <v>"</v>
          </cell>
          <cell r="D366" t="str">
            <v>"</v>
          </cell>
          <cell r="E366">
            <v>0</v>
          </cell>
          <cell r="F366">
            <v>0</v>
          </cell>
          <cell r="G366">
            <v>44826.51</v>
          </cell>
        </row>
        <row r="367">
          <cell r="B367">
            <v>409</v>
          </cell>
          <cell r="C367" t="str">
            <v>"</v>
          </cell>
          <cell r="D367" t="str">
            <v>"</v>
          </cell>
          <cell r="E367">
            <v>8993.2900000000009</v>
          </cell>
          <cell r="F367">
            <v>12016.33</v>
          </cell>
          <cell r="G367">
            <v>190341.39</v>
          </cell>
        </row>
        <row r="368">
          <cell r="B368">
            <v>417</v>
          </cell>
          <cell r="C368" t="str">
            <v>"</v>
          </cell>
          <cell r="D368" t="str">
            <v>"</v>
          </cell>
          <cell r="E368">
            <v>12296.81</v>
          </cell>
          <cell r="F368">
            <v>36143.58</v>
          </cell>
          <cell r="G368">
            <v>272762.67</v>
          </cell>
        </row>
        <row r="369">
          <cell r="B369" t="str">
            <v>4**</v>
          </cell>
          <cell r="C369" t="str">
            <v>"</v>
          </cell>
          <cell r="D369" t="str">
            <v>"</v>
          </cell>
          <cell r="E369">
            <v>1457495.51</v>
          </cell>
          <cell r="F369">
            <v>1156181.3799999999</v>
          </cell>
          <cell r="G369">
            <v>9927772.8900000006</v>
          </cell>
        </row>
        <row r="370">
          <cell r="B370" t="str">
            <v>5**</v>
          </cell>
          <cell r="C370" t="str">
            <v>"</v>
          </cell>
          <cell r="D370" t="str">
            <v>"</v>
          </cell>
          <cell r="E370">
            <v>1378.68</v>
          </cell>
          <cell r="F370">
            <v>3509.66</v>
          </cell>
          <cell r="G370">
            <v>16164.9</v>
          </cell>
        </row>
        <row r="371">
          <cell r="B371">
            <v>680</v>
          </cell>
          <cell r="C371" t="str">
            <v>"</v>
          </cell>
          <cell r="D371" t="str">
            <v>"</v>
          </cell>
          <cell r="E371">
            <v>1873.26</v>
          </cell>
          <cell r="F371">
            <v>6662.25</v>
          </cell>
          <cell r="G371">
            <v>11239.56</v>
          </cell>
        </row>
        <row r="372">
          <cell r="B372" t="str">
            <v>Toutes LPR</v>
          </cell>
          <cell r="C372" t="str">
            <v>"</v>
          </cell>
          <cell r="D372" t="str">
            <v>"</v>
          </cell>
          <cell r="E372">
            <v>2061640.54</v>
          </cell>
          <cell r="F372">
            <v>1644819.21</v>
          </cell>
          <cell r="G372">
            <v>13548538.52</v>
          </cell>
        </row>
      </sheetData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"/>
      <sheetName val="Consomations specifiques"/>
      <sheetName val="Principales consommations"/>
    </sheetNames>
    <sheetDataSet>
      <sheetData sheetId="0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VERTURE"/>
      <sheetName val="SOMMAIRE"/>
      <sheetName val="PR1-2"/>
      <sheetName val="PR3-4"/>
      <sheetName val="PR-5-6 "/>
      <sheetName val="PR7-8"/>
      <sheetName val="PR9-10"/>
      <sheetName val="PR11-12"/>
      <sheetName val="DIFFUSION"/>
      <sheetName val="Tableau de bord"/>
      <sheetName val="STRUCT CHARGES-COUTS"/>
      <sheetName val="DEG-EA"/>
    </sheetNames>
    <sheetDataSet>
      <sheetData sheetId="0"/>
      <sheetData sheetId="1" refreshError="1"/>
      <sheetData sheetId="2" refreshError="1">
        <row r="1">
          <cell r="A1" t="str">
            <v>DEG/TG/C</v>
          </cell>
          <cell r="M1" t="str">
            <v>- 1 -</v>
          </cell>
          <cell r="N1">
            <v>30</v>
          </cell>
          <cell r="O1">
            <v>6</v>
          </cell>
          <cell r="P1">
            <v>181</v>
          </cell>
          <cell r="U1" t="str">
            <v>DEG/TG/C</v>
          </cell>
          <cell r="AQ1" t="str">
            <v>- 2 -</v>
          </cell>
        </row>
        <row r="2">
          <cell r="N2" t="str">
            <v>N. jours mois</v>
          </cell>
          <cell r="O2" t="str">
            <v>Mois</v>
          </cell>
          <cell r="P2" t="str">
            <v>Cumul jours année en cours</v>
          </cell>
        </row>
        <row r="3">
          <cell r="L3" t="str">
            <v xml:space="preserve">     MOIS : Juin  2002</v>
          </cell>
          <cell r="O3" t="str">
            <v>DEPENSES MOIS</v>
          </cell>
          <cell r="P3" t="str">
            <v xml:space="preserve">TONNAGE TRAITE </v>
          </cell>
          <cell r="Q3" t="str">
            <v>DEPENSES CUMUL</v>
          </cell>
          <cell r="R3" t="str">
            <v xml:space="preserve">TONNAGE TRAITE </v>
          </cell>
          <cell r="AK3" t="str">
            <v xml:space="preserve">     MOIS : Juin  2002</v>
          </cell>
        </row>
        <row r="4">
          <cell r="D4" t="str">
            <v xml:space="preserve">       M  O  I  S</v>
          </cell>
          <cell r="H4" t="str">
            <v xml:space="preserve">       CUMUL</v>
          </cell>
          <cell r="O4" t="str">
            <v xml:space="preserve">  (M-1) Y1+Y2</v>
          </cell>
          <cell r="P4" t="str">
            <v xml:space="preserve">  (M-1) Y1+Y2</v>
          </cell>
          <cell r="Q4" t="str">
            <v>MEME PERIODE</v>
          </cell>
          <cell r="R4" t="str">
            <v>CUMULE Y1+Y2</v>
          </cell>
          <cell r="W4" t="str">
            <v xml:space="preserve">  M O I S</v>
          </cell>
          <cell r="AA4" t="str">
            <v>C U M U L</v>
          </cell>
        </row>
        <row r="5">
          <cell r="A5" t="str">
            <v xml:space="preserve">   NATURE DES DEPENSES</v>
          </cell>
          <cell r="B5" t="str">
            <v xml:space="preserve">  LPR</v>
          </cell>
          <cell r="C5" t="str">
            <v>REALISE</v>
          </cell>
          <cell r="D5" t="str">
            <v>PREVU</v>
          </cell>
          <cell r="E5" t="str">
            <v>R/P</v>
          </cell>
          <cell r="F5" t="str">
            <v xml:space="preserve"> M/M-1</v>
          </cell>
          <cell r="G5" t="str">
            <v>REALISE</v>
          </cell>
          <cell r="H5" t="str">
            <v>PREVU</v>
          </cell>
          <cell r="I5" t="str">
            <v>R/P</v>
          </cell>
          <cell r="J5" t="str">
            <v>R02/R01</v>
          </cell>
          <cell r="O5" t="str">
            <v>Mai</v>
          </cell>
          <cell r="P5">
            <v>2002</v>
          </cell>
          <cell r="Q5" t="str">
            <v>Juin</v>
          </cell>
          <cell r="R5">
            <v>2001</v>
          </cell>
          <cell r="U5" t="str">
            <v>NATURE DES DEPENSES</v>
          </cell>
          <cell r="V5" t="str">
            <v xml:space="preserve"> LPR</v>
          </cell>
          <cell r="W5" t="str">
            <v>REALISE</v>
          </cell>
          <cell r="X5" t="str">
            <v>PREVU</v>
          </cell>
          <cell r="Y5" t="str">
            <v>R/P</v>
          </cell>
          <cell r="Z5" t="str">
            <v xml:space="preserve"> M/M-1</v>
          </cell>
          <cell r="AA5" t="str">
            <v>REALISE</v>
          </cell>
          <cell r="AB5" t="str">
            <v>PREVU</v>
          </cell>
          <cell r="AC5" t="str">
            <v>R/P</v>
          </cell>
          <cell r="AD5" t="str">
            <v>R02/R01</v>
          </cell>
        </row>
        <row r="6">
          <cell r="C6" t="str">
            <v>(DH)</v>
          </cell>
          <cell r="D6" t="str">
            <v>(DH)</v>
          </cell>
          <cell r="E6" t="str">
            <v>(%)</v>
          </cell>
          <cell r="F6" t="str">
            <v>(%)</v>
          </cell>
          <cell r="G6" t="str">
            <v>(DH)</v>
          </cell>
          <cell r="H6" t="str">
            <v>(DH)</v>
          </cell>
          <cell r="I6" t="str">
            <v>(%)</v>
          </cell>
          <cell r="J6" t="str">
            <v>(%)</v>
          </cell>
          <cell r="O6" t="str">
            <v>DEPENSES</v>
          </cell>
          <cell r="P6">
            <v>269951</v>
          </cell>
          <cell r="Q6" t="str">
            <v>DEPENSES</v>
          </cell>
          <cell r="R6">
            <v>1314316</v>
          </cell>
          <cell r="W6" t="str">
            <v>(DH/t)</v>
          </cell>
          <cell r="X6" t="str">
            <v>(DH/t)</v>
          </cell>
          <cell r="Y6" t="str">
            <v>(%)</v>
          </cell>
          <cell r="Z6" t="str">
            <v>(%)</v>
          </cell>
          <cell r="AA6" t="str">
            <v>(DH/t)</v>
          </cell>
          <cell r="AB6" t="str">
            <v>(DH/t)</v>
          </cell>
          <cell r="AC6" t="str">
            <v>(%)</v>
          </cell>
          <cell r="AD6" t="str">
            <v>(%)</v>
          </cell>
        </row>
        <row r="7">
          <cell r="A7" t="str">
            <v xml:space="preserve"> TOTAL FRAIS PERSONNEL</v>
          </cell>
          <cell r="B7" t="str">
            <v>0**</v>
          </cell>
          <cell r="C7">
            <v>3651339.53</v>
          </cell>
          <cell r="D7">
            <v>3495564.9</v>
          </cell>
          <cell r="E7">
            <v>104.45635067453618</v>
          </cell>
          <cell r="F7">
            <v>97.949463474095438</v>
          </cell>
          <cell r="G7">
            <v>21645545.009999998</v>
          </cell>
          <cell r="H7">
            <v>20973389.399999999</v>
          </cell>
          <cell r="I7">
            <v>103.20480203357117</v>
          </cell>
          <cell r="J7">
            <v>101.3148411997135</v>
          </cell>
          <cell r="N7" t="str">
            <v>0**</v>
          </cell>
          <cell r="O7">
            <v>3727779</v>
          </cell>
          <cell r="P7">
            <v>13.809094983904487</v>
          </cell>
          <cell r="Q7">
            <v>21364634</v>
          </cell>
          <cell r="R7">
            <v>16.255325203375747</v>
          </cell>
          <cell r="U7" t="str">
            <v xml:space="preserve"> TOTAL FRAIS PERSONNEL</v>
          </cell>
          <cell r="V7" t="str">
            <v>0**</v>
          </cell>
          <cell r="W7">
            <v>13.142398849652123</v>
          </cell>
          <cell r="X7">
            <v>15.611008113137329</v>
          </cell>
          <cell r="Y7">
            <v>84.186740243842635</v>
          </cell>
          <cell r="Z7">
            <v>95.172050485354418</v>
          </cell>
          <cell r="AA7">
            <v>15.259277830297414</v>
          </cell>
          <cell r="AB7">
            <v>15.611008113137327</v>
          </cell>
          <cell r="AC7">
            <v>97.746908589817991</v>
          </cell>
          <cell r="AD7">
            <v>93.8724857201166</v>
          </cell>
        </row>
        <row r="8">
          <cell r="A8" t="str">
            <v xml:space="preserve">   dont H.S</v>
          </cell>
          <cell r="B8" t="str">
            <v>05*</v>
          </cell>
          <cell r="C8">
            <v>325908.05</v>
          </cell>
          <cell r="D8">
            <v>236802.47</v>
          </cell>
          <cell r="E8">
            <v>137.62865311328889</v>
          </cell>
          <cell r="F8">
            <v>113.50500294290759</v>
          </cell>
          <cell r="G8">
            <v>1730934.1500000001</v>
          </cell>
          <cell r="H8">
            <v>1420814.82</v>
          </cell>
          <cell r="I8">
            <v>121.82686481268546</v>
          </cell>
          <cell r="J8">
            <v>121.69263601479771</v>
          </cell>
          <cell r="N8" t="str">
            <v>05</v>
          </cell>
          <cell r="O8">
            <v>287131</v>
          </cell>
          <cell r="P8">
            <v>1.0636411793251368</v>
          </cell>
          <cell r="Q8">
            <v>1422382</v>
          </cell>
          <cell r="R8">
            <v>1.0822222357484805</v>
          </cell>
          <cell r="U8" t="str">
            <v xml:space="preserve">   dont H.S</v>
          </cell>
          <cell r="V8" t="str">
            <v>05</v>
          </cell>
          <cell r="W8">
            <v>1.1730526690878202</v>
          </cell>
          <cell r="X8">
            <v>1.0575473167100857</v>
          </cell>
          <cell r="Y8">
            <v>110.92200325722155</v>
          </cell>
          <cell r="Z8">
            <v>110.28650374669616</v>
          </cell>
          <cell r="AA8">
            <v>1.2202420908596796</v>
          </cell>
          <cell r="AB8">
            <v>1.0575473167100857</v>
          </cell>
          <cell r="AC8">
            <v>115.38416027149685</v>
          </cell>
          <cell r="AD8">
            <v>112.75337454286758</v>
          </cell>
        </row>
        <row r="9">
          <cell r="A9" t="str">
            <v xml:space="preserve"> Electricité</v>
          </cell>
          <cell r="B9" t="str">
            <v>103</v>
          </cell>
          <cell r="C9">
            <v>3183513.26</v>
          </cell>
          <cell r="D9">
            <v>3152710.49</v>
          </cell>
          <cell r="E9">
            <v>100.97702501062822</v>
          </cell>
          <cell r="F9">
            <v>104.15432049690254</v>
          </cell>
          <cell r="G9">
            <v>17530083.390000001</v>
          </cell>
          <cell r="H9">
            <v>18916262.940000001</v>
          </cell>
          <cell r="I9">
            <v>92.67202219382979</v>
          </cell>
          <cell r="J9">
            <v>84.054256452775732</v>
          </cell>
          <cell r="N9" t="str">
            <v>103</v>
          </cell>
          <cell r="O9">
            <v>3056535</v>
          </cell>
          <cell r="P9">
            <v>11.322554834025434</v>
          </cell>
          <cell r="Q9">
            <v>20855676</v>
          </cell>
          <cell r="R9">
            <v>15.868083474598194</v>
          </cell>
          <cell r="U9" t="str">
            <v xml:space="preserve"> Electricité</v>
          </cell>
          <cell r="V9" t="str">
            <v>103</v>
          </cell>
          <cell r="W9">
            <v>11.458534782186165</v>
          </cell>
          <cell r="X9">
            <v>14.079838436918498</v>
          </cell>
          <cell r="Y9">
            <v>81.38257291462196</v>
          </cell>
          <cell r="Z9">
            <v>101.20096524286284</v>
          </cell>
          <cell r="AA9">
            <v>12.358035462387832</v>
          </cell>
          <cell r="AB9">
            <v>14.079838436918498</v>
          </cell>
          <cell r="AC9">
            <v>87.771145370418765</v>
          </cell>
          <cell r="AD9">
            <v>77.879823875206569</v>
          </cell>
        </row>
        <row r="10">
          <cell r="A10" t="str">
            <v xml:space="preserve"> Fuel</v>
          </cell>
          <cell r="B10" t="str">
            <v>490</v>
          </cell>
          <cell r="C10">
            <v>19987.27</v>
          </cell>
          <cell r="D10">
            <v>106275</v>
          </cell>
          <cell r="E10">
            <v>18.807123029875324</v>
          </cell>
          <cell r="F10">
            <v>71.429025802301481</v>
          </cell>
          <cell r="G10">
            <v>379685.19</v>
          </cell>
          <cell r="H10">
            <v>637650</v>
          </cell>
          <cell r="I10">
            <v>59.544450717478234</v>
          </cell>
          <cell r="J10">
            <v>618.00737340690466</v>
          </cell>
          <cell r="N10" t="str">
            <v>490</v>
          </cell>
          <cell r="O10">
            <v>27982</v>
          </cell>
          <cell r="P10">
            <v>0.10365584865401499</v>
          </cell>
          <cell r="Q10">
            <v>61437</v>
          </cell>
          <cell r="R10">
            <v>4.6744466323167339E-2</v>
          </cell>
          <cell r="U10" t="str">
            <v xml:space="preserve"> Fuel</v>
          </cell>
          <cell r="V10" t="str">
            <v>490</v>
          </cell>
          <cell r="W10">
            <v>7.1940906096915724E-2</v>
          </cell>
          <cell r="X10">
            <v>0.4746185336806848</v>
          </cell>
          <cell r="Y10">
            <v>15.157626807999103</v>
          </cell>
          <cell r="Z10">
            <v>69.403614973084473</v>
          </cell>
          <cell r="AA10">
            <v>0.26766347530554796</v>
          </cell>
          <cell r="AB10">
            <v>0.4746185336806848</v>
          </cell>
          <cell r="AC10">
            <v>56.39549581635751</v>
          </cell>
          <cell r="AD10">
            <v>572.6099715313029</v>
          </cell>
        </row>
        <row r="11">
          <cell r="A11" t="str">
            <v xml:space="preserve"> Gaz de chauffe</v>
          </cell>
          <cell r="B11" t="str">
            <v>492</v>
          </cell>
          <cell r="C11">
            <v>2653988.3199999998</v>
          </cell>
          <cell r="D11">
            <v>2273231.25</v>
          </cell>
          <cell r="E11">
            <v>116.74959685689699</v>
          </cell>
          <cell r="F11">
            <v>82.158376290734196</v>
          </cell>
          <cell r="G11">
            <v>16354956.720000001</v>
          </cell>
          <cell r="H11">
            <v>13639387.5</v>
          </cell>
          <cell r="I11">
            <v>119.90975929087726</v>
          </cell>
          <cell r="J11">
            <v>108.48658341446355</v>
          </cell>
          <cell r="N11" t="str">
            <v>492</v>
          </cell>
          <cell r="O11">
            <v>3230332</v>
          </cell>
          <cell r="P11">
            <v>11.966364266107552</v>
          </cell>
          <cell r="Q11">
            <v>15075557</v>
          </cell>
          <cell r="R11">
            <v>11.47026818512443</v>
          </cell>
          <cell r="U11" t="str">
            <v xml:space="preserve"> Gaz de chauffe</v>
          </cell>
          <cell r="V11" t="str">
            <v>492</v>
          </cell>
          <cell r="W11">
            <v>9.5525964532140275</v>
          </cell>
          <cell r="X11">
            <v>10.152130628954225</v>
          </cell>
          <cell r="Y11">
            <v>94.094499000728916</v>
          </cell>
          <cell r="Z11">
            <v>79.828728599462224</v>
          </cell>
          <cell r="AA11">
            <v>11.529616296456089</v>
          </cell>
          <cell r="AB11">
            <v>10.152130628954223</v>
          </cell>
          <cell r="AC11">
            <v>113.56843915673454</v>
          </cell>
          <cell r="AD11">
            <v>100.5174082277224</v>
          </cell>
        </row>
        <row r="12">
          <cell r="A12" t="str">
            <v xml:space="preserve"> TOTAL ENERGIE</v>
          </cell>
          <cell r="B12" t="str">
            <v>_</v>
          </cell>
          <cell r="C12">
            <v>5857488.8499999996</v>
          </cell>
          <cell r="D12">
            <v>5532216.7400000002</v>
          </cell>
          <cell r="E12">
            <v>105.87959809398211</v>
          </cell>
          <cell r="F12">
            <v>92.757385806058068</v>
          </cell>
          <cell r="G12">
            <v>34264725.300000004</v>
          </cell>
          <cell r="H12">
            <v>33193300.440000001</v>
          </cell>
          <cell r="I12">
            <v>103.22783467084481</v>
          </cell>
          <cell r="J12">
            <v>95.199176110024638</v>
          </cell>
          <cell r="N12" t="str">
            <v>TOTAL ENERGIE</v>
          </cell>
          <cell r="O12">
            <v>6314849</v>
          </cell>
          <cell r="P12">
            <v>23.392574948787001</v>
          </cell>
          <cell r="Q12">
            <v>35992670</v>
          </cell>
          <cell r="R12">
            <v>27.385096126045791</v>
          </cell>
          <cell r="U12" t="str">
            <v xml:space="preserve"> TOTAL ENERGIE</v>
          </cell>
          <cell r="V12" t="str">
            <v>_</v>
          </cell>
          <cell r="W12">
            <v>21.083072141497105</v>
          </cell>
          <cell r="X12">
            <v>24.706587599553409</v>
          </cell>
          <cell r="Y12">
            <v>85.33380846927723</v>
          </cell>
          <cell r="Z12">
            <v>90.127197145478618</v>
          </cell>
          <cell r="AA12">
            <v>24.155315234149469</v>
          </cell>
          <cell r="AB12">
            <v>24.706587599553405</v>
          </cell>
          <cell r="AC12">
            <v>97.76872316671566</v>
          </cell>
          <cell r="AD12">
            <v>88.206063338136332</v>
          </cell>
        </row>
        <row r="13">
          <cell r="A13" t="str">
            <v xml:space="preserve"> Eau</v>
          </cell>
          <cell r="B13">
            <v>107</v>
          </cell>
          <cell r="C13">
            <v>31679.200000000001</v>
          </cell>
          <cell r="D13">
            <v>35839.08</v>
          </cell>
          <cell r="E13">
            <v>88.392894014020456</v>
          </cell>
          <cell r="F13">
            <v>119.98333522705752</v>
          </cell>
          <cell r="G13">
            <v>206739.4</v>
          </cell>
          <cell r="H13">
            <v>215034.48</v>
          </cell>
          <cell r="I13">
            <v>96.142441900480321</v>
          </cell>
          <cell r="J13">
            <v>91.088670059260238</v>
          </cell>
          <cell r="N13">
            <v>107</v>
          </cell>
          <cell r="O13">
            <v>26403</v>
          </cell>
          <cell r="P13">
            <v>9.7806638982630187E-2</v>
          </cell>
          <cell r="Q13">
            <v>226965</v>
          </cell>
          <cell r="R13">
            <v>0.17268678156546827</v>
          </cell>
          <cell r="U13" t="str">
            <v xml:space="preserve"> Eau</v>
          </cell>
          <cell r="V13">
            <v>107</v>
          </cell>
          <cell r="W13">
            <v>0.11402409395707432</v>
          </cell>
          <cell r="X13">
            <v>0.16005543729065874</v>
          </cell>
          <cell r="Y13">
            <v>71.240375139526151</v>
          </cell>
          <cell r="Z13">
            <v>116.581139218294</v>
          </cell>
          <cell r="AA13">
            <v>0.14574333617432852</v>
          </cell>
          <cell r="AB13">
            <v>0.16005543729065874</v>
          </cell>
          <cell r="AC13">
            <v>91.058035041733945</v>
          </cell>
          <cell r="AD13">
            <v>84.397505618619078</v>
          </cell>
        </row>
        <row r="14">
          <cell r="A14" t="str">
            <v>Prestations mécaniques TG</v>
          </cell>
          <cell r="B14">
            <v>211</v>
          </cell>
          <cell r="C14">
            <v>485312.45</v>
          </cell>
          <cell r="D14">
            <v>488794.99</v>
          </cell>
          <cell r="E14">
            <v>99.287525430651414</v>
          </cell>
          <cell r="F14">
            <v>89.147117442298324</v>
          </cell>
          <cell r="G14">
            <v>2998659.89</v>
          </cell>
          <cell r="H14">
            <v>2932769.94</v>
          </cell>
          <cell r="I14">
            <v>102.24667980605393</v>
          </cell>
          <cell r="J14">
            <v>112.58944122419894</v>
          </cell>
          <cell r="N14">
            <v>211</v>
          </cell>
          <cell r="O14">
            <v>544395</v>
          </cell>
          <cell r="P14">
            <v>2.0166437612751942</v>
          </cell>
          <cell r="Q14">
            <v>2663358</v>
          </cell>
          <cell r="R14">
            <v>2.0264213476819881</v>
          </cell>
          <cell r="U14" t="str">
            <v>Prestations mécaniques TG</v>
          </cell>
          <cell r="V14">
            <v>211</v>
          </cell>
          <cell r="W14">
            <v>1.7468027095803533</v>
          </cell>
          <cell r="X14">
            <v>2.1829325939709716</v>
          </cell>
          <cell r="Y14">
            <v>80.020918392296551</v>
          </cell>
          <cell r="Z14">
            <v>86.619300003476525</v>
          </cell>
          <cell r="AA14">
            <v>2.1139400444266796</v>
          </cell>
          <cell r="AB14">
            <v>2.1829325939709712</v>
          </cell>
          <cell r="AC14">
            <v>96.839455797451478</v>
          </cell>
          <cell r="AD14">
            <v>104.318879528426</v>
          </cell>
        </row>
        <row r="15">
          <cell r="A15" t="str">
            <v>Prestations électriques TG</v>
          </cell>
          <cell r="B15">
            <v>212</v>
          </cell>
          <cell r="C15">
            <v>556781.17000000004</v>
          </cell>
          <cell r="D15">
            <v>530543.31999999995</v>
          </cell>
          <cell r="E15">
            <v>104.94546797799661</v>
          </cell>
          <cell r="F15">
            <v>102.5795294594495</v>
          </cell>
          <cell r="G15">
            <v>3161847.89</v>
          </cell>
          <cell r="H15">
            <v>3183259.92</v>
          </cell>
          <cell r="I15">
            <v>99.327355272955543</v>
          </cell>
          <cell r="J15">
            <v>101.88676458836025</v>
          </cell>
          <cell r="N15">
            <v>212</v>
          </cell>
          <cell r="O15">
            <v>542780</v>
          </cell>
          <cell r="P15">
            <v>2.010661194068553</v>
          </cell>
          <cell r="Q15">
            <v>3103296</v>
          </cell>
          <cell r="R15">
            <v>2.3611490691736234</v>
          </cell>
          <cell r="U15" t="str">
            <v>Prestations électriques TG</v>
          </cell>
          <cell r="V15">
            <v>212</v>
          </cell>
          <cell r="W15">
            <v>2.0040426665322917</v>
          </cell>
          <cell r="X15">
            <v>2.3693784294752511</v>
          </cell>
          <cell r="Y15">
            <v>84.580945010803077</v>
          </cell>
          <cell r="Z15">
            <v>99.670828304848868</v>
          </cell>
          <cell r="AA15">
            <v>2.2289813164029759</v>
          </cell>
          <cell r="AB15">
            <v>2.3693784294752511</v>
          </cell>
          <cell r="AC15">
            <v>94.074517125431527</v>
          </cell>
          <cell r="AD15">
            <v>94.40239693053752</v>
          </cell>
          <cell r="AF15" t="str">
            <v>R</v>
          </cell>
          <cell r="AG15">
            <v>69.7</v>
          </cell>
          <cell r="AH15">
            <v>68.19</v>
          </cell>
          <cell r="AI15">
            <v>61.97</v>
          </cell>
          <cell r="AJ15">
            <v>71.05</v>
          </cell>
          <cell r="AK15">
            <v>63.5</v>
          </cell>
          <cell r="AL15">
            <v>61.07</v>
          </cell>
        </row>
        <row r="16">
          <cell r="A16" t="str">
            <v>Prestations labo TG</v>
          </cell>
          <cell r="B16">
            <v>242</v>
          </cell>
          <cell r="C16">
            <v>347113.61</v>
          </cell>
          <cell r="D16">
            <v>201495.58</v>
          </cell>
          <cell r="E16">
            <v>172.26859765360609</v>
          </cell>
          <cell r="F16">
            <v>122.52942567686821</v>
          </cell>
          <cell r="G16">
            <v>1222410.55</v>
          </cell>
          <cell r="H16">
            <v>1208973.48</v>
          </cell>
          <cell r="I16">
            <v>101.11144456204283</v>
          </cell>
          <cell r="J16">
            <v>91.960419896801199</v>
          </cell>
          <cell r="N16">
            <v>242</v>
          </cell>
          <cell r="O16">
            <v>283290</v>
          </cell>
          <cell r="P16">
            <v>1.049412671188475</v>
          </cell>
          <cell r="Q16">
            <v>1329279</v>
          </cell>
          <cell r="R16">
            <v>1.0113846289628978</v>
          </cell>
          <cell r="U16" t="str">
            <v>Prestations labo TG</v>
          </cell>
          <cell r="V16">
            <v>242</v>
          </cell>
          <cell r="W16">
            <v>1.2493786105842082</v>
          </cell>
          <cell r="X16">
            <v>0.89986861183475997</v>
          </cell>
          <cell r="Y16">
            <v>138.84011445146703</v>
          </cell>
          <cell r="Z16">
            <v>119.05503381899027</v>
          </cell>
          <cell r="AA16">
            <v>0.86175248516584579</v>
          </cell>
          <cell r="AB16">
            <v>0.89986861183475997</v>
          </cell>
          <cell r="AC16">
            <v>95.764256451705947</v>
          </cell>
          <cell r="AD16">
            <v>85.205218715802616</v>
          </cell>
          <cell r="AF16" t="str">
            <v>R/P</v>
          </cell>
          <cell r="AG16">
            <v>104</v>
          </cell>
          <cell r="AH16">
            <v>101</v>
          </cell>
          <cell r="AI16">
            <v>92</v>
          </cell>
          <cell r="AJ16">
            <v>106</v>
          </cell>
          <cell r="AK16">
            <v>94</v>
          </cell>
          <cell r="AL16">
            <v>91</v>
          </cell>
        </row>
        <row r="17">
          <cell r="A17" t="str">
            <v>PRESTATIONS INTERNES</v>
          </cell>
          <cell r="B17" t="str">
            <v>2**</v>
          </cell>
          <cell r="C17">
            <v>1389207.23</v>
          </cell>
          <cell r="D17">
            <v>1220833.8899999999</v>
          </cell>
          <cell r="E17">
            <v>113.79166661240048</v>
          </cell>
          <cell r="F17">
            <v>101.3675078403988</v>
          </cell>
          <cell r="G17">
            <v>7382918.3300000001</v>
          </cell>
          <cell r="H17">
            <v>7325003.3399999999</v>
          </cell>
          <cell r="I17">
            <v>100.79064796713118</v>
          </cell>
          <cell r="J17">
            <v>104.04436358122322</v>
          </cell>
          <cell r="N17" t="str">
            <v>2**</v>
          </cell>
          <cell r="O17">
            <v>1370466</v>
          </cell>
          <cell r="P17">
            <v>5.0767213309082022</v>
          </cell>
          <cell r="Q17">
            <v>7095933</v>
          </cell>
          <cell r="R17">
            <v>5.3989550458185098</v>
          </cell>
          <cell r="U17" t="str">
            <v>PRESTATIONS INTERNES</v>
          </cell>
          <cell r="V17" t="str">
            <v>2**</v>
          </cell>
          <cell r="W17">
            <v>5.0002239866968532</v>
          </cell>
          <cell r="X17">
            <v>5.4521796352809826</v>
          </cell>
          <cell r="Y17">
            <v>91.710551030645988</v>
          </cell>
          <cell r="Z17">
            <v>98.493174251152681</v>
          </cell>
          <cell r="AA17">
            <v>5.2046738459955009</v>
          </cell>
          <cell r="AB17">
            <v>5.4521796352809826</v>
          </cell>
          <cell r="AC17">
            <v>95.460424897157182</v>
          </cell>
          <cell r="AD17">
            <v>96.401503658129556</v>
          </cell>
        </row>
        <row r="18">
          <cell r="A18" t="str">
            <v>PRESTATIONS AUTRES DIV.</v>
          </cell>
          <cell r="B18" t="str">
            <v>3**</v>
          </cell>
          <cell r="C18">
            <v>760804.21</v>
          </cell>
          <cell r="D18">
            <v>477097.45</v>
          </cell>
          <cell r="E18">
            <v>159.4651595811296</v>
          </cell>
          <cell r="F18">
            <v>90.956328531292968</v>
          </cell>
          <cell r="G18">
            <v>5301777.88</v>
          </cell>
          <cell r="H18">
            <v>2862584.7</v>
          </cell>
          <cell r="I18">
            <v>185.20946751374728</v>
          </cell>
          <cell r="J18">
            <v>175.80273059407367</v>
          </cell>
          <cell r="N18" t="str">
            <v>3**</v>
          </cell>
          <cell r="O18">
            <v>836450</v>
          </cell>
          <cell r="P18">
            <v>3.0985252879226231</v>
          </cell>
          <cell r="Q18">
            <v>3015754</v>
          </cell>
          <cell r="R18">
            <v>2.2945425605409961</v>
          </cell>
          <cell r="U18" t="str">
            <v>PRESTATIONS AUTRES DIV.</v>
          </cell>
          <cell r="V18" t="str">
            <v>3**</v>
          </cell>
          <cell r="W18">
            <v>2.7383901968477011</v>
          </cell>
          <cell r="X18">
            <v>2.130691998511351</v>
          </cell>
          <cell r="Y18">
            <v>128.52116583536852</v>
          </cell>
          <cell r="Z18">
            <v>88.377209878562226</v>
          </cell>
          <cell r="AA18">
            <v>3.7375497650010536</v>
          </cell>
          <cell r="AB18">
            <v>2.130691998511351</v>
          </cell>
          <cell r="AC18">
            <v>175.41483084426866</v>
          </cell>
          <cell r="AD18">
            <v>162.88866588379307</v>
          </cell>
        </row>
        <row r="19">
          <cell r="A19" t="str">
            <v xml:space="preserve"> Bande</v>
          </cell>
          <cell r="B19" t="str">
            <v>402</v>
          </cell>
          <cell r="C19">
            <v>213939.85</v>
          </cell>
          <cell r="D19">
            <v>301016.55</v>
          </cell>
          <cell r="E19">
            <v>71.072454321863702</v>
          </cell>
          <cell r="F19">
            <v>38.945242884578626</v>
          </cell>
          <cell r="G19">
            <v>1003882.69</v>
          </cell>
          <cell r="H19">
            <v>1806099.2999999998</v>
          </cell>
          <cell r="I19">
            <v>55.582917838459935</v>
          </cell>
          <cell r="J19">
            <v>239.63303455272421</v>
          </cell>
          <cell r="N19" t="str">
            <v>402</v>
          </cell>
          <cell r="O19">
            <v>549335</v>
          </cell>
          <cell r="P19">
            <v>2.0349433786131557</v>
          </cell>
          <cell r="Q19">
            <v>418925</v>
          </cell>
          <cell r="R19">
            <v>0.31873993773186965</v>
          </cell>
          <cell r="U19" t="str">
            <v xml:space="preserve"> Bande</v>
          </cell>
          <cell r="V19" t="str">
            <v>402</v>
          </cell>
          <cell r="W19">
            <v>0.77004146435397314</v>
          </cell>
          <cell r="X19">
            <v>1.3443240044659472</v>
          </cell>
          <cell r="Y19">
            <v>57.280942822997758</v>
          </cell>
          <cell r="Z19">
            <v>37.840928275791526</v>
          </cell>
          <cell r="AA19">
            <v>0.70769873748428813</v>
          </cell>
          <cell r="AB19">
            <v>1.344324004465947</v>
          </cell>
          <cell r="AC19">
            <v>52.643465052566121</v>
          </cell>
          <cell r="AD19">
            <v>222.03014235373865</v>
          </cell>
        </row>
        <row r="20">
          <cell r="A20" t="str">
            <v xml:space="preserve"> Rouleaux de convoyeur</v>
          </cell>
          <cell r="B20" t="str">
            <v>408</v>
          </cell>
          <cell r="C20">
            <v>22018.3</v>
          </cell>
          <cell r="D20">
            <v>46666.63</v>
          </cell>
          <cell r="E20">
            <v>47.182108500228111</v>
          </cell>
          <cell r="F20">
            <v>67.582259054634747</v>
          </cell>
          <cell r="G20">
            <v>154531.81</v>
          </cell>
          <cell r="H20">
            <v>279999.77999999997</v>
          </cell>
          <cell r="I20">
            <v>55.189975506409326</v>
          </cell>
          <cell r="J20">
            <v>85.411138193857198</v>
          </cell>
          <cell r="N20" t="str">
            <v>408</v>
          </cell>
          <cell r="O20">
            <v>32580</v>
          </cell>
          <cell r="P20">
            <v>0.12068856940704054</v>
          </cell>
          <cell r="Q20">
            <v>180927</v>
          </cell>
          <cell r="R20">
            <v>0.13765867569138623</v>
          </cell>
          <cell r="U20" t="str">
            <v xml:space="preserve"> Rouleaux de convoyeur</v>
          </cell>
          <cell r="V20" t="str">
            <v>408</v>
          </cell>
          <cell r="W20">
            <v>7.9251266066537332E-2</v>
          </cell>
          <cell r="X20">
            <v>0.20841070338667658</v>
          </cell>
          <cell r="Y20">
            <v>38.026485578093279</v>
          </cell>
          <cell r="Z20">
            <v>65.665925493946659</v>
          </cell>
          <cell r="AA20">
            <v>0.10893899050910211</v>
          </cell>
          <cell r="AB20">
            <v>0.20841070338667655</v>
          </cell>
          <cell r="AC20">
            <v>52.271303123516276</v>
          </cell>
          <cell r="AD20">
            <v>79.13703220081085</v>
          </cell>
        </row>
        <row r="21">
          <cell r="A21" t="str">
            <v xml:space="preserve"> Autres Marchandises</v>
          </cell>
          <cell r="B21" t="str">
            <v>409</v>
          </cell>
          <cell r="C21">
            <v>97899.6</v>
          </cell>
          <cell r="D21">
            <v>192629.05</v>
          </cell>
          <cell r="E21">
            <v>50.822863944976113</v>
          </cell>
          <cell r="F21">
            <v>25.997440078178524</v>
          </cell>
          <cell r="G21">
            <v>1114170.99</v>
          </cell>
          <cell r="H21">
            <v>1155774.2999999998</v>
          </cell>
          <cell r="I21">
            <v>96.400394956004831</v>
          </cell>
          <cell r="J21">
            <v>117.87587163446737</v>
          </cell>
          <cell r="N21" t="str">
            <v>409</v>
          </cell>
          <cell r="O21">
            <v>376574</v>
          </cell>
          <cell r="P21">
            <v>1.394971680045638</v>
          </cell>
          <cell r="Q21">
            <v>945207</v>
          </cell>
          <cell r="R21">
            <v>0.71916266712114896</v>
          </cell>
          <cell r="U21" t="str">
            <v xml:space="preserve"> Autres Marchandises</v>
          </cell>
          <cell r="V21" t="str">
            <v>409</v>
          </cell>
          <cell r="W21">
            <v>0.3523735823114218</v>
          </cell>
          <cell r="X21">
            <v>0.86027115742463711</v>
          </cell>
          <cell r="Y21">
            <v>40.960757462369187</v>
          </cell>
          <cell r="Z21">
            <v>25.260267814174803</v>
          </cell>
          <cell r="AA21">
            <v>0.78544775282918711</v>
          </cell>
          <cell r="AB21">
            <v>0.860271157424637</v>
          </cell>
          <cell r="AC21">
            <v>91.302346481143687</v>
          </cell>
          <cell r="AD21">
            <v>109.21698090549963</v>
          </cell>
        </row>
        <row r="22">
          <cell r="A22" t="str">
            <v xml:space="preserve"> Pièces de rechange</v>
          </cell>
          <cell r="B22" t="str">
            <v>417</v>
          </cell>
          <cell r="C22">
            <v>126646.45</v>
          </cell>
          <cell r="D22">
            <v>240005.84</v>
          </cell>
          <cell r="E22">
            <v>52.768070143626502</v>
          </cell>
          <cell r="F22">
            <v>39.675087481869241</v>
          </cell>
          <cell r="G22">
            <v>1548197.73</v>
          </cell>
          <cell r="H22">
            <v>1440035.04</v>
          </cell>
          <cell r="I22">
            <v>107.51111514619811</v>
          </cell>
          <cell r="J22">
            <v>98.998106615272661</v>
          </cell>
          <cell r="N22" t="str">
            <v>417</v>
          </cell>
          <cell r="O22">
            <v>319209</v>
          </cell>
          <cell r="P22">
            <v>1.1824701519905465</v>
          </cell>
          <cell r="Q22">
            <v>1563866</v>
          </cell>
          <cell r="R22">
            <v>1.189870624720387</v>
          </cell>
          <cell r="U22" t="str">
            <v xml:space="preserve"> Pièces de rechange</v>
          </cell>
          <cell r="V22" t="str">
            <v>417</v>
          </cell>
          <cell r="W22">
            <v>0.45584316252083112</v>
          </cell>
          <cell r="X22">
            <v>1.0718533978414588</v>
          </cell>
          <cell r="Y22">
            <v>42.528499087545576</v>
          </cell>
          <cell r="Z22">
            <v>38.550077712614893</v>
          </cell>
          <cell r="AA22">
            <v>1.091419933634916</v>
          </cell>
          <cell r="AB22">
            <v>1.0718533978414588</v>
          </cell>
          <cell r="AC22">
            <v>101.82548619362134</v>
          </cell>
          <cell r="AD22">
            <v>91.725933135914971</v>
          </cell>
        </row>
        <row r="23">
          <cell r="A23" t="str">
            <v xml:space="preserve"> Autres consommations</v>
          </cell>
          <cell r="B23" t="str">
            <v>-</v>
          </cell>
          <cell r="C23">
            <v>369983.98000000016</v>
          </cell>
          <cell r="D23">
            <v>133527.47000000009</v>
          </cell>
          <cell r="E23">
            <v>277.08454297830991</v>
          </cell>
          <cell r="F23">
            <v>341.06507250251218</v>
          </cell>
          <cell r="G23">
            <v>893679.74999999674</v>
          </cell>
          <cell r="H23">
            <v>801164.82000000053</v>
          </cell>
          <cell r="I23">
            <v>111.54755272454378</v>
          </cell>
          <cell r="J23">
            <v>144.718669082747</v>
          </cell>
          <cell r="N23" t="str">
            <v>AUTRES CONSOM.</v>
          </cell>
          <cell r="O23">
            <v>108479</v>
          </cell>
          <cell r="P23">
            <v>0.40184700186330113</v>
          </cell>
          <cell r="Q23">
            <v>617529</v>
          </cell>
          <cell r="R23">
            <v>0.46984819480246759</v>
          </cell>
          <cell r="U23" t="str">
            <v xml:space="preserve"> Autres consommations</v>
          </cell>
          <cell r="V23" t="str">
            <v>-</v>
          </cell>
          <cell r="W23">
            <v>1.3316967631168819</v>
          </cell>
          <cell r="X23">
            <v>0.59632662448827733</v>
          </cell>
          <cell r="Y23">
            <v>223.31667050077527</v>
          </cell>
          <cell r="Z23">
            <v>331.39397754419326</v>
          </cell>
          <cell r="AA23">
            <v>0.63000989766072368</v>
          </cell>
          <cell r="AB23">
            <v>0.59632662448827733</v>
          </cell>
          <cell r="AC23">
            <v>105.64846038886002</v>
          </cell>
          <cell r="AD23">
            <v>134.08796812033955</v>
          </cell>
        </row>
        <row r="24">
          <cell r="A24" t="str">
            <v xml:space="preserve"> TOTAL MARCHANDISE</v>
          </cell>
          <cell r="B24" t="str">
            <v>4**</v>
          </cell>
          <cell r="C24">
            <v>830488.18000000017</v>
          </cell>
          <cell r="D24">
            <v>913845.54</v>
          </cell>
          <cell r="E24">
            <v>90.878397239866175</v>
          </cell>
          <cell r="F24">
            <v>59.912087769391817</v>
          </cell>
          <cell r="G24">
            <v>4714462.9699999969</v>
          </cell>
          <cell r="H24">
            <v>5483073.2400000002</v>
          </cell>
          <cell r="I24">
            <v>85.982126512685369</v>
          </cell>
          <cell r="J24">
            <v>126.51338162231431</v>
          </cell>
          <cell r="N24" t="str">
            <v>4**</v>
          </cell>
          <cell r="O24">
            <v>1386178</v>
          </cell>
          <cell r="P24">
            <v>5.1349244862956613</v>
          </cell>
          <cell r="Q24">
            <v>3726454</v>
          </cell>
          <cell r="R24">
            <v>2.8352801000672594</v>
          </cell>
          <cell r="U24" t="str">
            <v xml:space="preserve"> TOTAL MARCHANDISE</v>
          </cell>
          <cell r="V24" t="str">
            <v>4**</v>
          </cell>
          <cell r="W24">
            <v>2.9892062383696452</v>
          </cell>
          <cell r="X24">
            <v>4.0811858876069973</v>
          </cell>
          <cell r="Y24">
            <v>73.243569900766417</v>
          </cell>
          <cell r="Z24">
            <v>58.213246296949173</v>
          </cell>
          <cell r="AA24">
            <v>3.323515312118217</v>
          </cell>
          <cell r="AB24">
            <v>4.0811858876069964</v>
          </cell>
          <cell r="AC24">
            <v>81.435038825613518</v>
          </cell>
          <cell r="AD24">
            <v>117.21999925296183</v>
          </cell>
        </row>
        <row r="25">
          <cell r="A25" t="str">
            <v>Entretien + réparation</v>
          </cell>
          <cell r="B25" t="str">
            <v>51*</v>
          </cell>
          <cell r="C25">
            <v>111466.83</v>
          </cell>
          <cell r="D25">
            <v>139912.23000000001</v>
          </cell>
          <cell r="E25">
            <v>79.669111127740578</v>
          </cell>
          <cell r="F25">
            <v>172.47985330981339</v>
          </cell>
          <cell r="G25">
            <v>236005.67</v>
          </cell>
          <cell r="H25">
            <v>839473.38000000012</v>
          </cell>
          <cell r="I25">
            <v>28.113538275627032</v>
          </cell>
          <cell r="J25">
            <v>93.489066795541149</v>
          </cell>
          <cell r="N25" t="str">
            <v>51*</v>
          </cell>
          <cell r="O25">
            <v>64626</v>
          </cell>
          <cell r="P25">
            <v>0.23939900204111117</v>
          </cell>
          <cell r="Q25">
            <v>252442</v>
          </cell>
          <cell r="R25">
            <v>0.1920710087984929</v>
          </cell>
          <cell r="U25" t="str">
            <v>Entretien + réparation</v>
          </cell>
          <cell r="V25" t="str">
            <v>51*</v>
          </cell>
          <cell r="W25">
            <v>0.40120660550194542</v>
          </cell>
          <cell r="X25">
            <v>0.62484062523260153</v>
          </cell>
          <cell r="Y25">
            <v>64.209430261131516</v>
          </cell>
          <cell r="Z25">
            <v>167.5890885430874</v>
          </cell>
          <cell r="AA25">
            <v>0.16637493241180756</v>
          </cell>
          <cell r="AB25">
            <v>0.62484062523260153</v>
          </cell>
          <cell r="AC25">
            <v>26.626779004625899</v>
          </cell>
          <cell r="AD25">
            <v>86.621574725187273</v>
          </cell>
        </row>
        <row r="26">
          <cell r="A26" t="str">
            <v>Cerphos</v>
          </cell>
          <cell r="B26">
            <v>550</v>
          </cell>
          <cell r="C26">
            <v>84460</v>
          </cell>
          <cell r="D26">
            <v>83333.33</v>
          </cell>
          <cell r="E26">
            <v>101.35200405408015</v>
          </cell>
          <cell r="F26">
            <v>760.28445404626882</v>
          </cell>
          <cell r="G26">
            <v>346846</v>
          </cell>
          <cell r="H26">
            <v>499999.98</v>
          </cell>
          <cell r="I26">
            <v>69.369202774768112</v>
          </cell>
          <cell r="J26">
            <v>109.98728401051527</v>
          </cell>
          <cell r="N26">
            <v>550</v>
          </cell>
          <cell r="O26">
            <v>11109</v>
          </cell>
          <cell r="P26">
            <v>4.1151912754536932E-2</v>
          </cell>
          <cell r="Q26">
            <v>315351</v>
          </cell>
          <cell r="R26">
            <v>0.23993544931355928</v>
          </cell>
          <cell r="U26" t="str">
            <v>Cerphos</v>
          </cell>
          <cell r="V26">
            <v>550</v>
          </cell>
          <cell r="W26">
            <v>0.30399994241061951</v>
          </cell>
          <cell r="X26">
            <v>0.37216224786006702</v>
          </cell>
          <cell r="Y26">
            <v>81.684787793124968</v>
          </cell>
          <cell r="Z26">
            <v>738.72615405247234</v>
          </cell>
          <cell r="AA26">
            <v>0.24451310770332679</v>
          </cell>
          <cell r="AB26">
            <v>0.37216224786006696</v>
          </cell>
          <cell r="AC26">
            <v>65.700674667910903</v>
          </cell>
          <cell r="AD26">
            <v>101.90787080561205</v>
          </cell>
        </row>
        <row r="27">
          <cell r="A27" t="str">
            <v>Transport du personnel</v>
          </cell>
          <cell r="B27">
            <v>560</v>
          </cell>
          <cell r="C27">
            <v>46128.999999999985</v>
          </cell>
          <cell r="D27">
            <v>40532</v>
          </cell>
          <cell r="E27">
            <v>113.80884239613142</v>
          </cell>
          <cell r="F27">
            <v>94.204260011844681</v>
          </cell>
          <cell r="G27">
            <v>276774</v>
          </cell>
          <cell r="H27">
            <v>243192</v>
          </cell>
          <cell r="I27">
            <v>113.80884239613145</v>
          </cell>
          <cell r="J27">
            <v>109.62996411341112</v>
          </cell>
          <cell r="N27">
            <v>560</v>
          </cell>
          <cell r="O27">
            <v>48967</v>
          </cell>
          <cell r="P27">
            <v>0.1813921785805572</v>
          </cell>
          <cell r="Q27">
            <v>252462</v>
          </cell>
          <cell r="R27">
            <v>0.1920862258391437</v>
          </cell>
          <cell r="U27" t="str">
            <v xml:space="preserve"> Transport du personnel</v>
          </cell>
          <cell r="V27">
            <v>560</v>
          </cell>
          <cell r="W27">
            <v>0.16603378337034647</v>
          </cell>
          <cell r="X27">
            <v>0.18101377000372162</v>
          </cell>
          <cell r="Y27">
            <v>91.724393877290566</v>
          </cell>
          <cell r="Z27">
            <v>91.533044406658377</v>
          </cell>
          <cell r="AA27">
            <v>0.19511503915709152</v>
          </cell>
          <cell r="AB27">
            <v>0.18101377000372162</v>
          </cell>
          <cell r="AC27">
            <v>107.7901637831641</v>
          </cell>
          <cell r="AD27">
            <v>101.57679880726285</v>
          </cell>
        </row>
        <row r="28">
          <cell r="A28" t="str">
            <v>Transport du produit</v>
          </cell>
          <cell r="B28">
            <v>569</v>
          </cell>
          <cell r="C28">
            <v>2958858.96</v>
          </cell>
          <cell r="D28">
            <v>1669781.25</v>
          </cell>
          <cell r="E28">
            <v>177.20039436303406</v>
          </cell>
          <cell r="F28">
            <v>139.9346291106279</v>
          </cell>
          <cell r="G28">
            <v>10750162.41</v>
          </cell>
          <cell r="H28">
            <v>10018687.5</v>
          </cell>
          <cell r="I28">
            <v>107.30110515973274</v>
          </cell>
          <cell r="J28">
            <v>130.20217864316845</v>
          </cell>
          <cell r="N28">
            <v>569</v>
          </cell>
          <cell r="O28">
            <v>2114458</v>
          </cell>
          <cell r="P28">
            <v>7.8327474245326005</v>
          </cell>
          <cell r="Q28">
            <v>8256515</v>
          </cell>
          <cell r="R28">
            <v>6.2819862194479867</v>
          </cell>
          <cell r="U28" t="str">
            <v>Transport du produit</v>
          </cell>
          <cell r="V28">
            <v>569</v>
          </cell>
          <cell r="W28">
            <v>10.649928409201344</v>
          </cell>
          <cell r="X28">
            <v>7.4571548195013033</v>
          </cell>
          <cell r="Y28">
            <v>142.81490282796031</v>
          </cell>
          <cell r="Z28">
            <v>135.96670276696497</v>
          </cell>
          <cell r="AA28">
            <v>7.5784515871152758</v>
          </cell>
          <cell r="AB28">
            <v>7.4571548195013024</v>
          </cell>
          <cell r="AC28">
            <v>101.62658239703926</v>
          </cell>
          <cell r="AD28">
            <v>120.63782571909579</v>
          </cell>
        </row>
        <row r="29">
          <cell r="A29" t="str">
            <v>Autres T.F.S. Ext.</v>
          </cell>
          <cell r="B29" t="str">
            <v>-</v>
          </cell>
          <cell r="C29">
            <v>131235.2200000002</v>
          </cell>
          <cell r="D29">
            <v>73621.079999999842</v>
          </cell>
          <cell r="E29">
            <v>178.25766750501418</v>
          </cell>
          <cell r="F29">
            <v>173.83760083716396</v>
          </cell>
          <cell r="G29">
            <v>886937.49000000022</v>
          </cell>
          <cell r="H29">
            <v>441726.47999999905</v>
          </cell>
          <cell r="I29">
            <v>200.78884335845163</v>
          </cell>
          <cell r="J29">
            <v>199.248662783253</v>
          </cell>
          <cell r="N29" t="str">
            <v>-</v>
          </cell>
          <cell r="O29">
            <v>75493</v>
          </cell>
          <cell r="P29">
            <v>0.27965445580864673</v>
          </cell>
          <cell r="Q29">
            <v>445141</v>
          </cell>
          <cell r="R29">
            <v>0.33868643461694142</v>
          </cell>
          <cell r="U29" t="str">
            <v>Autres T.F.S. Ext.</v>
          </cell>
          <cell r="V29" t="str">
            <v>-</v>
          </cell>
          <cell r="W29">
            <v>0.47235968887337249</v>
          </cell>
          <cell r="X29">
            <v>0.32878785262374327</v>
          </cell>
          <cell r="Y29">
            <v>143.66701357848802</v>
          </cell>
          <cell r="Z29">
            <v>168.90833636371025</v>
          </cell>
          <cell r="AA29">
            <v>0.62525686332980168</v>
          </cell>
          <cell r="AB29">
            <v>0.32878785262374327</v>
          </cell>
          <cell r="AC29">
            <v>190.17030536262854</v>
          </cell>
          <cell r="AD29">
            <v>184.61231375770186</v>
          </cell>
        </row>
        <row r="30">
          <cell r="A30" t="str">
            <v>Total T.F.S. Ext.</v>
          </cell>
          <cell r="B30" t="str">
            <v>5**</v>
          </cell>
          <cell r="C30">
            <v>3332150.0100000002</v>
          </cell>
          <cell r="D30">
            <v>2007179.89</v>
          </cell>
          <cell r="E30">
            <v>166.01152824423727</v>
          </cell>
          <cell r="F30">
            <v>143.95900593264128</v>
          </cell>
          <cell r="G30">
            <v>12496725.57</v>
          </cell>
          <cell r="H30">
            <v>12043079.34</v>
          </cell>
          <cell r="I30">
            <v>103.76686242108575</v>
          </cell>
          <cell r="J30">
            <v>131.24178087780908</v>
          </cell>
          <cell r="N30" t="str">
            <v>5**</v>
          </cell>
          <cell r="O30">
            <v>2314652</v>
          </cell>
          <cell r="P30">
            <v>8.5743412693414722</v>
          </cell>
          <cell r="Q30">
            <v>9521911</v>
          </cell>
          <cell r="R30">
            <v>7.2447653380161237</v>
          </cell>
          <cell r="U30" t="str">
            <v>Total T.F.S. Ext.</v>
          </cell>
          <cell r="V30" t="str">
            <v>5**</v>
          </cell>
          <cell r="W30">
            <v>11.993528429357628</v>
          </cell>
          <cell r="X30">
            <v>8.9639593152214356</v>
          </cell>
          <cell r="Y30">
            <v>133.79722071018071</v>
          </cell>
          <cell r="Z30">
            <v>139.87696608533471</v>
          </cell>
          <cell r="AA30">
            <v>8.809711529717303</v>
          </cell>
          <cell r="AB30">
            <v>8.9639593152214356</v>
          </cell>
          <cell r="AC30">
            <v>98.279244917564398</v>
          </cell>
          <cell r="AD30">
            <v>121.60106116190255</v>
          </cell>
        </row>
        <row r="31">
          <cell r="A31" t="str">
            <v xml:space="preserve"> Location</v>
          </cell>
          <cell r="B31">
            <v>680</v>
          </cell>
          <cell r="C31">
            <v>2663290.7599999998</v>
          </cell>
          <cell r="D31">
            <v>2705687.2</v>
          </cell>
          <cell r="E31">
            <v>98.433062033186971</v>
          </cell>
          <cell r="F31">
            <v>100.04893936411432</v>
          </cell>
          <cell r="G31">
            <v>15942500.85</v>
          </cell>
          <cell r="H31">
            <v>16234123.200000001</v>
          </cell>
          <cell r="I31">
            <v>98.203645824247516</v>
          </cell>
          <cell r="J31">
            <v>97.908891275291111</v>
          </cell>
          <cell r="N31">
            <v>680</v>
          </cell>
          <cell r="O31">
            <v>2661988</v>
          </cell>
          <cell r="P31">
            <v>9.8610044045030403</v>
          </cell>
          <cell r="Q31">
            <v>16282996</v>
          </cell>
          <cell r="R31">
            <v>12.388950602442639</v>
          </cell>
          <cell r="U31" t="str">
            <v xml:space="preserve"> Location</v>
          </cell>
          <cell r="V31">
            <v>680</v>
          </cell>
          <cell r="W31">
            <v>9.5860790630207777</v>
          </cell>
          <cell r="X31">
            <v>12.083456047636771</v>
          </cell>
          <cell r="Y31">
            <v>79.332262435758864</v>
          </cell>
          <cell r="Z31">
            <v>97.211994537222623</v>
          </cell>
          <cell r="AA31">
            <v>11.238850750466861</v>
          </cell>
          <cell r="AB31">
            <v>12.083456047636771</v>
          </cell>
          <cell r="AC31">
            <v>93.010234043636103</v>
          </cell>
          <cell r="AD31">
            <v>90.716729052507318</v>
          </cell>
        </row>
        <row r="32">
          <cell r="A32" t="str">
            <v>Recettes internes</v>
          </cell>
          <cell r="B32">
            <v>820</v>
          </cell>
          <cell r="C32">
            <v>1389207.23</v>
          </cell>
          <cell r="D32">
            <v>1220834.06</v>
          </cell>
          <cell r="E32">
            <v>113.79165076701743</v>
          </cell>
          <cell r="F32">
            <v>101.3675078403988</v>
          </cell>
          <cell r="G32">
            <v>7381579.5499999998</v>
          </cell>
          <cell r="H32">
            <v>7325004.3600000003</v>
          </cell>
          <cell r="I32">
            <v>100.7723570829383</v>
          </cell>
          <cell r="J32">
            <v>104.02551137750473</v>
          </cell>
          <cell r="N32">
            <v>820</v>
          </cell>
          <cell r="O32">
            <v>1370466</v>
          </cell>
          <cell r="P32">
            <v>5.0767213309082022</v>
          </cell>
          <cell r="Q32">
            <v>7095932</v>
          </cell>
          <cell r="R32">
            <v>5.3989542849664769</v>
          </cell>
          <cell r="U32" t="str">
            <v>Recettes internes</v>
          </cell>
          <cell r="V32">
            <v>820</v>
          </cell>
          <cell r="W32">
            <v>5.0002239866968532</v>
          </cell>
          <cell r="X32">
            <v>5.4521803944919993</v>
          </cell>
          <cell r="Y32">
            <v>91.710538260037595</v>
          </cell>
          <cell r="Z32">
            <v>98.493174251152681</v>
          </cell>
          <cell r="AA32">
            <v>5.2037300575178156</v>
          </cell>
          <cell r="AB32">
            <v>5.4521803944919984</v>
          </cell>
          <cell r="AC32">
            <v>95.443101309979085</v>
          </cell>
          <cell r="AD32">
            <v>96.38403629398627</v>
          </cell>
          <cell r="AJ32">
            <v>85.71</v>
          </cell>
        </row>
        <row r="33">
          <cell r="A33" t="str">
            <v xml:space="preserve"> Produits  </v>
          </cell>
          <cell r="B33" t="str">
            <v>7** + 830</v>
          </cell>
          <cell r="C33">
            <v>158982.28000000003</v>
          </cell>
          <cell r="D33">
            <v>108333.32999999984</v>
          </cell>
          <cell r="E33">
            <v>146.75287836162727</v>
          </cell>
          <cell r="F33">
            <v>126.27663224781575</v>
          </cell>
          <cell r="G33">
            <v>525703.25999999978</v>
          </cell>
          <cell r="H33">
            <v>649999.97999999905</v>
          </cell>
          <cell r="I33">
            <v>80.877427103920922</v>
          </cell>
          <cell r="J33">
            <v>97.044250205366239</v>
          </cell>
          <cell r="N33" t="str">
            <v>7** + 830</v>
          </cell>
          <cell r="O33">
            <v>125900</v>
          </cell>
          <cell r="P33">
            <v>0.46638093579945988</v>
          </cell>
          <cell r="Q33">
            <v>541715</v>
          </cell>
          <cell r="R33">
            <v>0.41216495880747095</v>
          </cell>
          <cell r="U33" t="str">
            <v xml:space="preserve"> Produits  </v>
          </cell>
          <cell r="V33" t="str">
            <v>7** + 830</v>
          </cell>
          <cell r="W33">
            <v>0.57223068866101101</v>
          </cell>
          <cell r="X33">
            <v>0.48381092668403353</v>
          </cell>
          <cell r="Y33">
            <v>118.27568521095483</v>
          </cell>
          <cell r="Z33">
            <v>122.69598620709181</v>
          </cell>
          <cell r="AA33">
            <v>0.37060060612597506</v>
          </cell>
          <cell r="AB33">
            <v>0.48381092668403353</v>
          </cell>
          <cell r="AC33">
            <v>76.600296869278097</v>
          </cell>
          <cell r="AD33">
            <v>89.915602529202076</v>
          </cell>
          <cell r="AF33" t="str">
            <v>R</v>
          </cell>
          <cell r="AG33">
            <v>69.66</v>
          </cell>
          <cell r="AH33">
            <v>69.180000000000007</v>
          </cell>
          <cell r="AI33">
            <v>66.510000000000005</v>
          </cell>
          <cell r="AJ33">
            <v>67.709999999999994</v>
          </cell>
          <cell r="AK33">
            <v>66.599999999999994</v>
          </cell>
          <cell r="AL33">
            <v>66.3</v>
          </cell>
        </row>
        <row r="34">
          <cell r="A34" t="str">
            <v>TOTAL DEPENSES DEG/TG</v>
          </cell>
          <cell r="C34">
            <v>16968258.459999997</v>
          </cell>
          <cell r="D34">
            <v>15059097.300000001</v>
          </cell>
          <cell r="E34">
            <v>112.67779284486062</v>
          </cell>
          <cell r="F34">
            <v>98.98415303482318</v>
          </cell>
          <cell r="G34">
            <v>94048112.5</v>
          </cell>
          <cell r="H34">
            <v>90354583.799999997</v>
          </cell>
          <cell r="I34">
            <v>104.08781552043406</v>
          </cell>
          <cell r="J34">
            <v>104.97651403337014</v>
          </cell>
          <cell r="N34" t="str">
            <v xml:space="preserve">    TOTAL</v>
          </cell>
          <cell r="O34">
            <v>17142399</v>
          </cell>
          <cell r="P34">
            <v>63.501891083937458</v>
          </cell>
          <cell r="Q34">
            <v>89589670</v>
          </cell>
          <cell r="R34">
            <v>68.164482514098594</v>
          </cell>
          <cell r="U34" t="str">
            <v>TOTAL COUTS DEG/TG</v>
          </cell>
          <cell r="W34">
            <v>61.074468324041035</v>
          </cell>
          <cell r="X34">
            <v>67.243132713062892</v>
          </cell>
          <cell r="Y34">
            <v>90.826328072273895</v>
          </cell>
          <cell r="Z34">
            <v>96.177400832539249</v>
          </cell>
          <cell r="AA34">
            <v>66.300306940276357</v>
          </cell>
          <cell r="AB34">
            <v>67.243132713062892</v>
          </cell>
          <cell r="AC34">
            <v>98.597885412611987</v>
          </cell>
          <cell r="AD34">
            <v>97.265180479531011</v>
          </cell>
          <cell r="AF34" t="str">
            <v>R/P</v>
          </cell>
          <cell r="AG34">
            <v>104</v>
          </cell>
          <cell r="AH34">
            <v>103</v>
          </cell>
          <cell r="AI34">
            <v>99</v>
          </cell>
          <cell r="AJ34">
            <v>101</v>
          </cell>
          <cell r="AK34">
            <v>99</v>
          </cell>
          <cell r="AL34">
            <v>99</v>
          </cell>
        </row>
      </sheetData>
      <sheetData sheetId="3"/>
      <sheetData sheetId="4"/>
      <sheetData sheetId="5" refreshError="1">
        <row r="1">
          <cell r="A1" t="str">
            <v>DEG/TG/C</v>
          </cell>
          <cell r="P1" t="str">
            <v>- 7 -</v>
          </cell>
        </row>
        <row r="3">
          <cell r="O3" t="str">
            <v xml:space="preserve">     MOIS : Juin  2002</v>
          </cell>
        </row>
        <row r="4">
          <cell r="A4" t="str">
            <v xml:space="preserve">       S E C T E U R S</v>
          </cell>
          <cell r="C4" t="str">
            <v xml:space="preserve"> MANUT.+ G.FLUX  (GS.70)       </v>
          </cell>
          <cell r="F4" t="str">
            <v xml:space="preserve">SECH.+FR.COM.(SA.900+909)      </v>
          </cell>
          <cell r="I4" t="str">
            <v xml:space="preserve">C.SEC + M.A TERRIL(SA.901)     </v>
          </cell>
          <cell r="L4" t="str">
            <v>STOCK. + CHARG. (SA.902)</v>
          </cell>
          <cell r="O4" t="str">
            <v>T  O  T  A  L</v>
          </cell>
        </row>
        <row r="5">
          <cell r="A5" t="str">
            <v>T O N N A G E (t)</v>
          </cell>
          <cell r="C5">
            <v>207506</v>
          </cell>
          <cell r="D5" t="str">
            <v>R/P</v>
          </cell>
          <cell r="E5">
            <v>1.8202280701754385</v>
          </cell>
          <cell r="F5">
            <v>183279</v>
          </cell>
          <cell r="G5" t="str">
            <v>R/P</v>
          </cell>
          <cell r="H5">
            <v>1.6077105263157894</v>
          </cell>
          <cell r="I5">
            <v>183279</v>
          </cell>
          <cell r="J5" t="str">
            <v>R/P</v>
          </cell>
          <cell r="K5">
            <v>1.6077105263157894</v>
          </cell>
          <cell r="L5">
            <v>183279</v>
          </cell>
          <cell r="M5" t="str">
            <v>R/P</v>
          </cell>
          <cell r="N5">
            <v>1.6077105263157894</v>
          </cell>
          <cell r="O5">
            <v>183279</v>
          </cell>
          <cell r="P5" t="str">
            <v>R/P</v>
          </cell>
          <cell r="Q5">
            <v>1.6077105263157894</v>
          </cell>
        </row>
        <row r="6">
          <cell r="A6" t="str">
            <v xml:space="preserve">NATURE </v>
          </cell>
          <cell r="D6" t="str">
            <v xml:space="preserve">       COUT</v>
          </cell>
          <cell r="G6" t="str">
            <v xml:space="preserve">   COUT</v>
          </cell>
          <cell r="J6" t="str">
            <v>COUT</v>
          </cell>
          <cell r="M6" t="str">
            <v>COUT</v>
          </cell>
          <cell r="P6" t="str">
            <v>C O U T</v>
          </cell>
        </row>
        <row r="7">
          <cell r="A7" t="str">
            <v xml:space="preserve"> DES </v>
          </cell>
          <cell r="B7" t="str">
            <v>L.PR</v>
          </cell>
          <cell r="C7" t="str">
            <v>DEPENSES</v>
          </cell>
          <cell r="D7" t="str">
            <v>REALISE</v>
          </cell>
          <cell r="E7" t="str">
            <v>R/P</v>
          </cell>
          <cell r="F7" t="str">
            <v>DEPENSES</v>
          </cell>
          <cell r="G7" t="str">
            <v>REALISE</v>
          </cell>
          <cell r="H7" t="str">
            <v>R/P</v>
          </cell>
          <cell r="I7" t="str">
            <v>DEPENSES</v>
          </cell>
          <cell r="J7" t="str">
            <v>REALISE</v>
          </cell>
          <cell r="K7" t="str">
            <v>R/P</v>
          </cell>
          <cell r="L7" t="str">
            <v>DEPENSES</v>
          </cell>
          <cell r="M7" t="str">
            <v>REALISE</v>
          </cell>
          <cell r="N7" t="str">
            <v>R/P</v>
          </cell>
          <cell r="O7" t="str">
            <v>DEPENSES</v>
          </cell>
          <cell r="P7" t="str">
            <v>REALISE</v>
          </cell>
          <cell r="Q7" t="str">
            <v>R/P</v>
          </cell>
        </row>
        <row r="8">
          <cell r="A8" t="str">
            <v xml:space="preserve"> DEPENSES</v>
          </cell>
          <cell r="C8" t="str">
            <v>(DH)</v>
          </cell>
          <cell r="D8" t="str">
            <v>(DH/t)</v>
          </cell>
          <cell r="E8" t="str">
            <v>(%)</v>
          </cell>
          <cell r="F8" t="str">
            <v>(DH)</v>
          </cell>
          <cell r="G8" t="str">
            <v>(DH/t)</v>
          </cell>
          <cell r="H8" t="str">
            <v>(%)</v>
          </cell>
          <cell r="I8" t="str">
            <v>(DH)</v>
          </cell>
          <cell r="J8" t="str">
            <v>(DH/t)</v>
          </cell>
          <cell r="K8" t="str">
            <v>(%)</v>
          </cell>
          <cell r="L8" t="str">
            <v>(DH)</v>
          </cell>
          <cell r="M8" t="str">
            <v>(DH/t)</v>
          </cell>
          <cell r="N8" t="str">
            <v>(%)</v>
          </cell>
          <cell r="O8" t="str">
            <v>(DH)</v>
          </cell>
          <cell r="P8" t="str">
            <v>(DH/t)</v>
          </cell>
          <cell r="Q8" t="str">
            <v>(%)</v>
          </cell>
        </row>
        <row r="9">
          <cell r="A9" t="str">
            <v xml:space="preserve"> - Frais du personnel</v>
          </cell>
          <cell r="B9" t="str">
            <v>0**</v>
          </cell>
          <cell r="C9">
            <v>348673.81</v>
          </cell>
          <cell r="D9">
            <v>1.6803071236494367</v>
          </cell>
          <cell r="E9">
            <v>92.931758398981231</v>
          </cell>
          <cell r="F9">
            <v>212236.59</v>
          </cell>
          <cell r="G9">
            <v>1.1579973155680683</v>
          </cell>
          <cell r="H9">
            <v>62.771546984472295</v>
          </cell>
          <cell r="I9">
            <v>51907.17</v>
          </cell>
          <cell r="J9">
            <v>0.28321395249864961</v>
          </cell>
          <cell r="K9">
            <v>55.331079301633181</v>
          </cell>
          <cell r="L9">
            <v>128177.92</v>
          </cell>
          <cell r="M9">
            <v>0.69935955565012908</v>
          </cell>
          <cell r="N9">
            <v>50.318163808335271</v>
          </cell>
          <cell r="O9">
            <v>740995.49000000011</v>
          </cell>
          <cell r="P9">
            <v>4.0429917775631692</v>
          </cell>
          <cell r="Q9">
            <v>72.786142621148599</v>
          </cell>
        </row>
        <row r="10">
          <cell r="A10" t="str">
            <v xml:space="preserve">   dont H.S</v>
          </cell>
          <cell r="B10" t="str">
            <v>05*</v>
          </cell>
          <cell r="C10">
            <v>42543.81</v>
          </cell>
          <cell r="D10">
            <v>0.20502448121982014</v>
          </cell>
          <cell r="E10">
            <v>116.11028719278474</v>
          </cell>
          <cell r="F10">
            <v>16198.01</v>
          </cell>
          <cell r="G10">
            <v>8.8378974132333768E-2</v>
          </cell>
          <cell r="H10">
            <v>69.81958850254928</v>
          </cell>
          <cell r="I10">
            <v>5834.71</v>
          </cell>
          <cell r="J10">
            <v>3.1835125682702331E-2</v>
          </cell>
          <cell r="K10">
            <v>58.915424083789567</v>
          </cell>
          <cell r="L10">
            <v>18061.59</v>
          </cell>
          <cell r="M10">
            <v>9.8546969374560103E-2</v>
          </cell>
          <cell r="N10">
            <v>90.884398896415036</v>
          </cell>
          <cell r="O10">
            <v>82638.12000000001</v>
          </cell>
          <cell r="P10">
            <v>0.45088700833156015</v>
          </cell>
          <cell r="Q10">
            <v>96.834649043362077</v>
          </cell>
        </row>
        <row r="11">
          <cell r="A11" t="str">
            <v xml:space="preserve"> - Electricité</v>
          </cell>
          <cell r="B11">
            <v>103</v>
          </cell>
          <cell r="C11">
            <v>206534.74</v>
          </cell>
          <cell r="D11">
            <v>0.99531936425934664</v>
          </cell>
          <cell r="E11">
            <v>29.358699916807506</v>
          </cell>
          <cell r="F11">
            <v>226105.52</v>
          </cell>
          <cell r="G11">
            <v>1.2336684508317919</v>
          </cell>
          <cell r="H11">
            <v>80.986618734789857</v>
          </cell>
          <cell r="I11">
            <v>38604.32</v>
          </cell>
          <cell r="J11">
            <v>0.21063144168180753</v>
          </cell>
          <cell r="K11">
            <v>63.748321902039592</v>
          </cell>
          <cell r="L11">
            <v>806.6</v>
          </cell>
          <cell r="M11">
            <v>4.4009406424085681E-3</v>
          </cell>
          <cell r="N11">
            <v>33.299427149591097</v>
          </cell>
          <cell r="O11">
            <v>472051.18</v>
          </cell>
          <cell r="P11">
            <v>2.5755879287861676</v>
          </cell>
          <cell r="Q11">
            <v>48.992292727624005</v>
          </cell>
        </row>
        <row r="12">
          <cell r="A12" t="str">
            <v xml:space="preserve"> - Fuel</v>
          </cell>
          <cell r="B12">
            <v>490</v>
          </cell>
          <cell r="C12">
            <v>0</v>
          </cell>
          <cell r="D12">
            <v>0</v>
          </cell>
          <cell r="E12" t="e">
            <v>#DIV/0!</v>
          </cell>
          <cell r="F12">
            <v>0</v>
          </cell>
          <cell r="G12">
            <v>0</v>
          </cell>
          <cell r="H12" t="e">
            <v>#DIV/0!</v>
          </cell>
          <cell r="I12">
            <v>0</v>
          </cell>
          <cell r="J12">
            <v>0</v>
          </cell>
          <cell r="K12" t="e">
            <v>#DIV/0!</v>
          </cell>
          <cell r="L12">
            <v>0</v>
          </cell>
          <cell r="M12">
            <v>0</v>
          </cell>
          <cell r="N12" t="e">
            <v>#DIV/0!</v>
          </cell>
          <cell r="O12">
            <v>0</v>
          </cell>
          <cell r="P12">
            <v>0</v>
          </cell>
          <cell r="Q12" t="e">
            <v>#DIV/0!</v>
          </cell>
        </row>
        <row r="13">
          <cell r="A13" t="str">
            <v xml:space="preserve"> - Gaz de chauffe</v>
          </cell>
          <cell r="B13">
            <v>492</v>
          </cell>
          <cell r="C13">
            <v>0</v>
          </cell>
          <cell r="D13">
            <v>0</v>
          </cell>
          <cell r="E13" t="e">
            <v>#DIV/0!</v>
          </cell>
          <cell r="F13">
            <v>1432402.32</v>
          </cell>
          <cell r="G13">
            <v>7.8154197698590675</v>
          </cell>
          <cell r="H13">
            <v>82.702854707503349</v>
          </cell>
          <cell r="I13">
            <v>0</v>
          </cell>
          <cell r="J13">
            <v>0</v>
          </cell>
          <cell r="K13" t="e">
            <v>#DIV/0!</v>
          </cell>
          <cell r="L13">
            <v>0</v>
          </cell>
          <cell r="M13">
            <v>0</v>
          </cell>
          <cell r="N13" t="e">
            <v>#DIV/0!</v>
          </cell>
          <cell r="O13">
            <v>1432402.32</v>
          </cell>
          <cell r="P13">
            <v>7.8154197698590675</v>
          </cell>
          <cell r="Q13">
            <v>82.702854707503349</v>
          </cell>
        </row>
        <row r="14">
          <cell r="A14" t="str">
            <v xml:space="preserve">   TOTAL ENERGIE</v>
          </cell>
          <cell r="B14" t="str">
            <v>-</v>
          </cell>
          <cell r="C14">
            <v>206534.74</v>
          </cell>
          <cell r="D14">
            <v>0.99531936425934664</v>
          </cell>
          <cell r="E14">
            <v>29.358699916807506</v>
          </cell>
          <cell r="F14">
            <v>1658507.84</v>
          </cell>
          <cell r="G14">
            <v>9.0490882206908605</v>
          </cell>
          <cell r="H14">
            <v>82.4646090605968</v>
          </cell>
          <cell r="I14">
            <v>38604.32</v>
          </cell>
          <cell r="J14">
            <v>0.21063144168180753</v>
          </cell>
          <cell r="K14">
            <v>63.748321902039592</v>
          </cell>
          <cell r="L14">
            <v>806.6</v>
          </cell>
          <cell r="M14">
            <v>4.4009406424085681E-3</v>
          </cell>
          <cell r="N14">
            <v>33.299427149591097</v>
          </cell>
          <cell r="O14">
            <v>1904453.5000000002</v>
          </cell>
          <cell r="P14">
            <v>10.391007698645236</v>
          </cell>
          <cell r="Q14">
            <v>70.652863946481787</v>
          </cell>
        </row>
        <row r="15">
          <cell r="A15" t="str">
            <v xml:space="preserve"> - Eau</v>
          </cell>
          <cell r="B15">
            <v>107</v>
          </cell>
          <cell r="C15">
            <v>0</v>
          </cell>
          <cell r="D15">
            <v>0</v>
          </cell>
          <cell r="E15" t="e">
            <v>#DIV/0!</v>
          </cell>
          <cell r="F15">
            <v>9158.7999999999993</v>
          </cell>
          <cell r="G15">
            <v>4.9971900763317124E-2</v>
          </cell>
          <cell r="H15">
            <v>71.388459073132637</v>
          </cell>
          <cell r="I15">
            <v>0</v>
          </cell>
          <cell r="J15">
            <v>0</v>
          </cell>
          <cell r="K15" t="e">
            <v>#DIV/0!</v>
          </cell>
          <cell r="L15">
            <v>0</v>
          </cell>
          <cell r="M15">
            <v>0</v>
          </cell>
          <cell r="N15" t="e">
            <v>#DIV/0!</v>
          </cell>
          <cell r="O15">
            <v>9158.7999999999993</v>
          </cell>
          <cell r="P15">
            <v>4.9971900763317124E-2</v>
          </cell>
          <cell r="Q15">
            <v>71.388459073132637</v>
          </cell>
        </row>
        <row r="16">
          <cell r="A16" t="str">
            <v>- Prest. mécan TG</v>
          </cell>
          <cell r="B16">
            <v>211</v>
          </cell>
          <cell r="C16">
            <v>102354.1</v>
          </cell>
          <cell r="D16">
            <v>0.49325850818771511</v>
          </cell>
          <cell r="E16">
            <v>60.797307770664467</v>
          </cell>
          <cell r="F16">
            <v>101468.45</v>
          </cell>
          <cell r="G16">
            <v>0.55362834803769112</v>
          </cell>
          <cell r="H16">
            <v>101.77775668503529</v>
          </cell>
          <cell r="I16">
            <v>45759.3</v>
          </cell>
          <cell r="J16">
            <v>0.24967017497913019</v>
          </cell>
          <cell r="K16">
            <v>79.244245022002488</v>
          </cell>
          <cell r="L16">
            <v>6050.1</v>
          </cell>
          <cell r="M16">
            <v>3.3010328515541879E-2</v>
          </cell>
          <cell r="N16">
            <v>50.187821421257894</v>
          </cell>
          <cell r="O16">
            <v>255631.95</v>
          </cell>
          <cell r="P16">
            <v>1.3947694498551388</v>
          </cell>
          <cell r="Q16">
            <v>80.338671971755431</v>
          </cell>
        </row>
        <row r="17">
          <cell r="A17" t="str">
            <v xml:space="preserve"> - Prest. élect. TG</v>
          </cell>
          <cell r="B17">
            <v>212</v>
          </cell>
          <cell r="C17">
            <v>78605.02</v>
          </cell>
          <cell r="D17">
            <v>0.37880841999749409</v>
          </cell>
          <cell r="E17">
            <v>110.95783595948019</v>
          </cell>
          <cell r="F17">
            <v>117586.28</v>
          </cell>
          <cell r="G17">
            <v>0.64156984706376619</v>
          </cell>
          <cell r="H17">
            <v>80.570558677918541</v>
          </cell>
          <cell r="I17">
            <v>26114.6</v>
          </cell>
          <cell r="J17">
            <v>0.14248550024825538</v>
          </cell>
          <cell r="K17">
            <v>140.64712970474901</v>
          </cell>
          <cell r="L17">
            <v>0</v>
          </cell>
          <cell r="M17">
            <v>0</v>
          </cell>
          <cell r="N17" t="e">
            <v>#DIV/0!</v>
          </cell>
          <cell r="O17">
            <v>222305.9</v>
          </cell>
          <cell r="P17">
            <v>1.2129371068152925</v>
          </cell>
          <cell r="Q17">
            <v>97.897339218776068</v>
          </cell>
        </row>
        <row r="18">
          <cell r="A18" t="str">
            <v xml:space="preserve"> - Prest. laboratoire</v>
          </cell>
          <cell r="B18">
            <v>242</v>
          </cell>
          <cell r="C18">
            <v>0</v>
          </cell>
          <cell r="D18">
            <v>0</v>
          </cell>
          <cell r="E18" t="e">
            <v>#DIV/0!</v>
          </cell>
          <cell r="F18">
            <v>168964.21</v>
          </cell>
          <cell r="G18">
            <v>0.92189618014065977</v>
          </cell>
          <cell r="H18">
            <v>120.99233661157636</v>
          </cell>
          <cell r="I18">
            <v>0</v>
          </cell>
          <cell r="J18">
            <v>0</v>
          </cell>
          <cell r="K18" t="e">
            <v>#DIV/0!</v>
          </cell>
          <cell r="L18">
            <v>0</v>
          </cell>
          <cell r="M18">
            <v>0</v>
          </cell>
          <cell r="N18" t="e">
            <v>#DIV/0!</v>
          </cell>
          <cell r="O18">
            <v>168964.21</v>
          </cell>
          <cell r="P18">
            <v>0.92189618014065977</v>
          </cell>
          <cell r="Q18">
            <v>120.99233661157636</v>
          </cell>
        </row>
        <row r="19">
          <cell r="A19" t="str">
            <v xml:space="preserve">   PRESTATIONS. INT.</v>
          </cell>
          <cell r="B19" t="str">
            <v>2**</v>
          </cell>
          <cell r="C19">
            <v>180959.12</v>
          </cell>
          <cell r="D19">
            <v>0.87206692818520903</v>
          </cell>
          <cell r="E19">
            <v>75.65330608821975</v>
          </cell>
          <cell r="F19">
            <v>388018.94</v>
          </cell>
          <cell r="G19">
            <v>2.1170943752421172</v>
          </cell>
          <cell r="H19">
            <v>100.70912437301773</v>
          </cell>
          <cell r="I19">
            <v>71873.899999999994</v>
          </cell>
          <cell r="J19">
            <v>0.39215567522738554</v>
          </cell>
          <cell r="K19">
            <v>94.184152267423144</v>
          </cell>
          <cell r="L19">
            <v>6050.1</v>
          </cell>
          <cell r="M19">
            <v>3.3010328515541879E-2</v>
          </cell>
          <cell r="N19">
            <v>50.187821421257894</v>
          </cell>
          <cell r="O19">
            <v>646902.06000000006</v>
          </cell>
          <cell r="P19">
            <v>3.5296027368110914</v>
          </cell>
          <cell r="Q19">
            <v>94.448981001191484</v>
          </cell>
        </row>
        <row r="20">
          <cell r="A20" t="str">
            <v xml:space="preserve"> - PREST. A. DIV.</v>
          </cell>
          <cell r="B20" t="str">
            <v>3**</v>
          </cell>
          <cell r="C20">
            <v>15562.12</v>
          </cell>
          <cell r="D20">
            <v>7.4996000115659309E-2</v>
          </cell>
          <cell r="E20">
            <v>34.006647631873207</v>
          </cell>
          <cell r="F20">
            <v>40082.160000000003</v>
          </cell>
          <cell r="G20">
            <v>0.21869477681567448</v>
          </cell>
          <cell r="H20">
            <v>60.266891943730272</v>
          </cell>
          <cell r="I20">
            <v>0</v>
          </cell>
          <cell r="J20">
            <v>0</v>
          </cell>
          <cell r="K20" t="e">
            <v>#DIV/0!</v>
          </cell>
          <cell r="L20">
            <v>0</v>
          </cell>
          <cell r="M20">
            <v>0</v>
          </cell>
          <cell r="N20" t="e">
            <v>#DIV/0!</v>
          </cell>
          <cell r="O20">
            <v>55644.280000000006</v>
          </cell>
          <cell r="P20">
            <v>0.30360423179960611</v>
          </cell>
          <cell r="Q20">
            <v>52.039555872372681</v>
          </cell>
        </row>
        <row r="21">
          <cell r="A21" t="str">
            <v xml:space="preserve"> - Bande</v>
          </cell>
          <cell r="B21">
            <v>402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</row>
        <row r="22">
          <cell r="A22" t="str">
            <v xml:space="preserve"> - Rouleaux</v>
          </cell>
          <cell r="B22">
            <v>408</v>
          </cell>
          <cell r="C22">
            <v>7293.7</v>
          </cell>
          <cell r="D22">
            <v>3.5149345079178433E-2</v>
          </cell>
          <cell r="E22">
            <v>21.196601746966945</v>
          </cell>
          <cell r="F22">
            <v>0</v>
          </cell>
          <cell r="G22">
            <v>0</v>
          </cell>
          <cell r="H22" t="e">
            <v>#DIV/0!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7293.7</v>
          </cell>
          <cell r="P22">
            <v>3.9795612154147501E-2</v>
          </cell>
          <cell r="Q22">
            <v>20.828895237248769</v>
          </cell>
        </row>
        <row r="23">
          <cell r="A23" t="str">
            <v xml:space="preserve"> - A. marchandises</v>
          </cell>
          <cell r="B23">
            <v>409</v>
          </cell>
          <cell r="C23">
            <v>16684.05</v>
          </cell>
          <cell r="D23">
            <v>8.0402735342592499E-2</v>
          </cell>
          <cell r="E23">
            <v>73.863665453898875</v>
          </cell>
          <cell r="F23">
            <v>9669.23</v>
          </cell>
          <cell r="G23">
            <v>5.2756889769149766E-2</v>
          </cell>
          <cell r="H23">
            <v>49.178602197195822</v>
          </cell>
          <cell r="I23">
            <v>459.22</v>
          </cell>
          <cell r="J23">
            <v>2.5055789261181041E-3</v>
          </cell>
          <cell r="K23">
            <v>36.604879444168589</v>
          </cell>
          <cell r="L23">
            <v>430.75</v>
          </cell>
          <cell r="M23">
            <v>2.3502419808052203E-3</v>
          </cell>
          <cell r="N23">
            <v>295.01390343332253</v>
          </cell>
          <cell r="O23">
            <v>27243.25</v>
          </cell>
          <cell r="P23">
            <v>0.1486435980117744</v>
          </cell>
          <cell r="Q23">
            <v>66.426782000803925</v>
          </cell>
        </row>
        <row r="24">
          <cell r="A24" t="str">
            <v xml:space="preserve"> - P. de rechange</v>
          </cell>
          <cell r="B24">
            <v>417</v>
          </cell>
          <cell r="C24">
            <v>10701.8</v>
          </cell>
          <cell r="D24">
            <v>5.1573448478598204E-2</v>
          </cell>
          <cell r="E24">
            <v>9.7990523960560516</v>
          </cell>
          <cell r="F24">
            <v>12296.81</v>
          </cell>
          <cell r="G24">
            <v>6.7093393132873921E-2</v>
          </cell>
          <cell r="H24">
            <v>21.455755138094631</v>
          </cell>
          <cell r="I24">
            <v>6461.43</v>
          </cell>
          <cell r="J24">
            <v>3.5254611821321592E-2</v>
          </cell>
          <cell r="K24">
            <v>136.81645585549913</v>
          </cell>
          <cell r="L24">
            <v>391.69</v>
          </cell>
          <cell r="M24">
            <v>2.1371242750124128E-3</v>
          </cell>
          <cell r="N24">
            <v>58.638800582437526</v>
          </cell>
          <cell r="O24">
            <v>29851.73</v>
          </cell>
          <cell r="P24">
            <v>0.16287588867246111</v>
          </cell>
          <cell r="Q24">
            <v>18.755239064273265</v>
          </cell>
        </row>
        <row r="25">
          <cell r="A25" t="str">
            <v xml:space="preserve"> - A. consommations</v>
          </cell>
          <cell r="B25" t="str">
            <v>-</v>
          </cell>
          <cell r="C25">
            <v>18134.729999999996</v>
          </cell>
          <cell r="D25">
            <v>8.7393762108083597E-2</v>
          </cell>
          <cell r="E25">
            <v>55.01015838218818</v>
          </cell>
          <cell r="F25">
            <v>6796.5199999998222</v>
          </cell>
          <cell r="G25">
            <v>3.7082917300944582E-2</v>
          </cell>
          <cell r="H25">
            <v>48.398673789938734</v>
          </cell>
          <cell r="I25">
            <v>0</v>
          </cell>
          <cell r="J25">
            <v>0</v>
          </cell>
          <cell r="K25">
            <v>0</v>
          </cell>
          <cell r="L25">
            <v>882.84999999999991</v>
          </cell>
          <cell r="M25">
            <v>4.8169730301889464E-3</v>
          </cell>
          <cell r="N25">
            <v>63.61828687394371</v>
          </cell>
          <cell r="O25">
            <v>25814.099999999817</v>
          </cell>
          <cell r="P25">
            <v>0.140845923428215</v>
          </cell>
          <cell r="Q25">
            <v>52.620161247685125</v>
          </cell>
        </row>
        <row r="26">
          <cell r="A26" t="str">
            <v xml:space="preserve">  TOT. MARCHANDISE</v>
          </cell>
          <cell r="B26" t="str">
            <v>4**</v>
          </cell>
          <cell r="C26">
            <v>52814.28</v>
          </cell>
          <cell r="D26">
            <v>0.25451929100845277</v>
          </cell>
          <cell r="E26">
            <v>15.068561337761741</v>
          </cell>
          <cell r="F26">
            <v>28762.559999999823</v>
          </cell>
          <cell r="G26">
            <v>0.15693320020296828</v>
          </cell>
          <cell r="H26">
            <v>27.47568558350396</v>
          </cell>
          <cell r="I26">
            <v>6920.65</v>
          </cell>
          <cell r="J26">
            <v>3.7760190747439693E-2</v>
          </cell>
          <cell r="K26">
            <v>23.295111966188042</v>
          </cell>
          <cell r="L26">
            <v>1705.29</v>
          </cell>
          <cell r="M26">
            <v>9.3043392860065795E-3</v>
          </cell>
          <cell r="N26">
            <v>8.8957995321501286</v>
          </cell>
          <cell r="O26">
            <v>90202.77999999981</v>
          </cell>
          <cell r="P26">
            <v>0.49216102226659797</v>
          </cell>
          <cell r="Q26">
            <v>19.476611366369404</v>
          </cell>
        </row>
        <row r="27">
          <cell r="A27" t="str">
            <v xml:space="preserve"> - Transport produit</v>
          </cell>
          <cell r="B27">
            <v>569</v>
          </cell>
          <cell r="C27">
            <v>2958858.96</v>
          </cell>
          <cell r="D27">
            <v>14.259148940271606</v>
          </cell>
          <cell r="E27">
            <v>98.702747142061853</v>
          </cell>
          <cell r="F27">
            <v>0</v>
          </cell>
          <cell r="G27">
            <v>0</v>
          </cell>
          <cell r="H27" t="e">
            <v>#DIV/0!</v>
          </cell>
          <cell r="I27">
            <v>0</v>
          </cell>
          <cell r="J27">
            <v>0</v>
          </cell>
          <cell r="K27" t="e">
            <v>#DIV/0!</v>
          </cell>
          <cell r="L27">
            <v>0</v>
          </cell>
          <cell r="M27">
            <v>0</v>
          </cell>
          <cell r="N27" t="e">
            <v>#DIV/0!</v>
          </cell>
          <cell r="O27">
            <v>2958858.96</v>
          </cell>
          <cell r="P27">
            <v>16.144015189956296</v>
          </cell>
          <cell r="Q27">
            <v>111.74991269300185</v>
          </cell>
        </row>
        <row r="28">
          <cell r="A28" t="str">
            <v xml:space="preserve"> - Total ( T.F.EXT )</v>
          </cell>
          <cell r="B28" t="str">
            <v>5**</v>
          </cell>
          <cell r="C28">
            <v>2963275.52</v>
          </cell>
          <cell r="D28">
            <v>14.280432951336348</v>
          </cell>
          <cell r="E28">
            <v>98.468946384485477</v>
          </cell>
          <cell r="F28">
            <v>2872.87</v>
          </cell>
          <cell r="G28">
            <v>1.5674845454198245E-2</v>
          </cell>
          <cell r="H28">
            <v>41.47002822457965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2966148.39</v>
          </cell>
          <cell r="P28">
            <v>16.183787504296728</v>
          </cell>
          <cell r="Q28">
            <v>109.6501311718005</v>
          </cell>
        </row>
        <row r="29">
          <cell r="A29" t="str">
            <v xml:space="preserve"> - Location</v>
          </cell>
          <cell r="B29">
            <v>680</v>
          </cell>
          <cell r="C29">
            <v>267117.5</v>
          </cell>
          <cell r="D29">
            <v>1.2872760305726099</v>
          </cell>
          <cell r="E29">
            <v>56.055384049738578</v>
          </cell>
          <cell r="F29">
            <v>2034.27</v>
          </cell>
          <cell r="G29">
            <v>1.1099307612983484E-2</v>
          </cell>
          <cell r="H29">
            <v>16.532684321024185</v>
          </cell>
          <cell r="I29">
            <v>4401.6499999999996</v>
          </cell>
          <cell r="J29">
            <v>2.4016117503914795E-2</v>
          </cell>
          <cell r="K29">
            <v>63.064001191084394</v>
          </cell>
          <cell r="L29">
            <v>0</v>
          </cell>
          <cell r="M29">
            <v>0</v>
          </cell>
          <cell r="N29" t="e">
            <v>#DIV/0!</v>
          </cell>
          <cell r="O29">
            <v>273553.42000000004</v>
          </cell>
          <cell r="P29">
            <v>1.4925519017454265</v>
          </cell>
          <cell r="Q29">
            <v>62.146840845403858</v>
          </cell>
        </row>
        <row r="30">
          <cell r="A30" t="str">
            <v xml:space="preserve"> - FG + SP </v>
          </cell>
          <cell r="O30">
            <v>180995.78931894896</v>
          </cell>
          <cell r="P30">
            <v>0.98754243158762844</v>
          </cell>
          <cell r="Q30">
            <v>60.819343784455192</v>
          </cell>
        </row>
        <row r="31">
          <cell r="A31" t="str">
            <v xml:space="preserve"> TOTAL  CLAIR</v>
          </cell>
          <cell r="C31">
            <v>4034937.09</v>
          </cell>
          <cell r="D31">
            <v>19.44491768912706</v>
          </cell>
          <cell r="E31">
            <v>77.594858890853629</v>
          </cell>
          <cell r="F31">
            <v>2341674.0300000007</v>
          </cell>
          <cell r="G31">
            <v>12.776553942350191</v>
          </cell>
          <cell r="H31">
            <v>79.70775225961485</v>
          </cell>
          <cell r="I31">
            <v>173707.68999999997</v>
          </cell>
          <cell r="J31">
            <v>0.94777737765919701</v>
          </cell>
          <cell r="K31">
            <v>64.331942406104886</v>
          </cell>
          <cell r="L31">
            <v>136739.91</v>
          </cell>
          <cell r="M31">
            <v>0.74607516409408603</v>
          </cell>
          <cell r="N31">
            <v>41.956392399633977</v>
          </cell>
          <cell r="O31">
            <v>6868054.5093189506</v>
          </cell>
          <cell r="P31">
            <v>37.473221205478808</v>
          </cell>
          <cell r="Q31">
            <v>81.52732808474822</v>
          </cell>
        </row>
      </sheetData>
      <sheetData sheetId="6"/>
      <sheetData sheetId="7"/>
      <sheetData sheetId="8"/>
      <sheetData sheetId="9" refreshError="1">
        <row r="3">
          <cell r="B3" t="str">
            <v>TABLEAU DE BORD 76</v>
          </cell>
        </row>
        <row r="4">
          <cell r="B4" t="str">
            <v>DEPENSES DEG/TG</v>
          </cell>
        </row>
        <row r="7">
          <cell r="B7" t="str">
            <v>Ligne prix de revient</v>
          </cell>
          <cell r="C7" t="str">
            <v>Sections analytiques</v>
          </cell>
          <cell r="D7" t="str">
            <v>Surcodes</v>
          </cell>
          <cell r="E7" t="str">
            <v>Réalisé</v>
          </cell>
          <cell r="F7" t="str">
            <v>Prévu</v>
          </cell>
          <cell r="G7" t="str">
            <v>Cumul</v>
          </cell>
        </row>
        <row r="8">
          <cell r="B8" t="str">
            <v>0**</v>
          </cell>
          <cell r="C8" t="str">
            <v>Toutes sections</v>
          </cell>
          <cell r="D8" t="str">
            <v>Tous surcodes</v>
          </cell>
          <cell r="E8">
            <v>3651339.53</v>
          </cell>
          <cell r="F8">
            <v>3495564.9</v>
          </cell>
          <cell r="G8">
            <v>21717007.109999999</v>
          </cell>
        </row>
        <row r="9">
          <cell r="B9" t="str">
            <v>05*</v>
          </cell>
          <cell r="C9" t="str">
            <v>"</v>
          </cell>
          <cell r="D9" t="str">
            <v>"</v>
          </cell>
          <cell r="E9">
            <v>325908.05</v>
          </cell>
          <cell r="F9">
            <v>236802.47</v>
          </cell>
          <cell r="G9">
            <v>1734969.87</v>
          </cell>
        </row>
        <row r="10">
          <cell r="B10">
            <v>103</v>
          </cell>
          <cell r="C10" t="str">
            <v>"</v>
          </cell>
          <cell r="D10" t="str">
            <v>"</v>
          </cell>
          <cell r="E10">
            <v>3183513.26</v>
          </cell>
          <cell r="F10">
            <v>3152710.49</v>
          </cell>
          <cell r="G10">
            <v>17530083.390000001</v>
          </cell>
        </row>
        <row r="11">
          <cell r="B11">
            <v>490</v>
          </cell>
          <cell r="C11" t="str">
            <v>"</v>
          </cell>
          <cell r="D11" t="str">
            <v>"</v>
          </cell>
          <cell r="E11">
            <v>19987.27</v>
          </cell>
          <cell r="F11">
            <v>106275</v>
          </cell>
          <cell r="G11">
            <v>379685.19</v>
          </cell>
        </row>
        <row r="12">
          <cell r="B12">
            <v>492</v>
          </cell>
          <cell r="C12" t="str">
            <v>"</v>
          </cell>
          <cell r="D12" t="str">
            <v>"</v>
          </cell>
          <cell r="E12">
            <v>2653988.3199999998</v>
          </cell>
          <cell r="F12">
            <v>2273231.25</v>
          </cell>
          <cell r="G12">
            <v>16354956.720000001</v>
          </cell>
        </row>
        <row r="13">
          <cell r="B13">
            <v>107</v>
          </cell>
          <cell r="C13" t="str">
            <v>"</v>
          </cell>
          <cell r="D13" t="str">
            <v>"</v>
          </cell>
          <cell r="E13">
            <v>31679.200000000001</v>
          </cell>
          <cell r="F13">
            <v>35839.08</v>
          </cell>
          <cell r="G13">
            <v>206739.4</v>
          </cell>
        </row>
        <row r="14">
          <cell r="B14">
            <v>211</v>
          </cell>
          <cell r="C14" t="str">
            <v>"</v>
          </cell>
          <cell r="D14" t="str">
            <v>"</v>
          </cell>
          <cell r="E14">
            <v>485312.45</v>
          </cell>
          <cell r="F14">
            <v>488794.99</v>
          </cell>
          <cell r="G14">
            <v>2998659.89</v>
          </cell>
        </row>
        <row r="15">
          <cell r="B15">
            <v>212</v>
          </cell>
          <cell r="C15" t="str">
            <v>"</v>
          </cell>
          <cell r="D15" t="str">
            <v>"</v>
          </cell>
          <cell r="E15">
            <v>556781.17000000004</v>
          </cell>
          <cell r="F15">
            <v>530543.31999999995</v>
          </cell>
          <cell r="G15">
            <v>3161847.89</v>
          </cell>
        </row>
        <row r="16">
          <cell r="B16">
            <v>242</v>
          </cell>
          <cell r="C16" t="str">
            <v>"</v>
          </cell>
          <cell r="D16" t="str">
            <v>"</v>
          </cell>
          <cell r="E16">
            <v>347113.61</v>
          </cell>
          <cell r="F16">
            <v>201495.58</v>
          </cell>
          <cell r="G16">
            <v>1222410.55</v>
          </cell>
        </row>
        <row r="17">
          <cell r="B17" t="str">
            <v>2**</v>
          </cell>
          <cell r="C17" t="str">
            <v>"</v>
          </cell>
          <cell r="D17" t="str">
            <v>"</v>
          </cell>
          <cell r="E17">
            <v>1389207.23</v>
          </cell>
          <cell r="F17">
            <v>1220833.8899999999</v>
          </cell>
          <cell r="G17">
            <v>7382918.3300000001</v>
          </cell>
        </row>
        <row r="18">
          <cell r="B18" t="str">
            <v>3**</v>
          </cell>
          <cell r="C18" t="str">
            <v>"</v>
          </cell>
          <cell r="D18" t="str">
            <v>"</v>
          </cell>
          <cell r="E18">
            <v>760804.21</v>
          </cell>
          <cell r="F18">
            <v>477097.45</v>
          </cell>
          <cell r="G18">
            <v>5301777.88</v>
          </cell>
        </row>
        <row r="19">
          <cell r="B19">
            <v>402</v>
          </cell>
          <cell r="C19" t="str">
            <v>"</v>
          </cell>
          <cell r="D19" t="str">
            <v>"</v>
          </cell>
          <cell r="E19">
            <v>213939.85</v>
          </cell>
          <cell r="F19">
            <v>301016.55</v>
          </cell>
          <cell r="G19">
            <v>1003882.69</v>
          </cell>
        </row>
        <row r="20">
          <cell r="B20">
            <v>408</v>
          </cell>
          <cell r="C20" t="str">
            <v>"</v>
          </cell>
          <cell r="D20" t="str">
            <v>"</v>
          </cell>
          <cell r="E20">
            <v>22018.3</v>
          </cell>
          <cell r="F20">
            <v>46666.63</v>
          </cell>
          <cell r="G20">
            <v>154531.81</v>
          </cell>
        </row>
        <row r="21">
          <cell r="B21">
            <v>409</v>
          </cell>
          <cell r="C21" t="str">
            <v>"</v>
          </cell>
          <cell r="D21" t="str">
            <v>"</v>
          </cell>
          <cell r="E21">
            <v>97899.6</v>
          </cell>
          <cell r="F21">
            <v>192629.05</v>
          </cell>
          <cell r="G21">
            <v>1114170.99</v>
          </cell>
        </row>
        <row r="22">
          <cell r="B22">
            <v>417</v>
          </cell>
          <cell r="C22" t="str">
            <v>"</v>
          </cell>
          <cell r="D22" t="str">
            <v>"</v>
          </cell>
          <cell r="E22">
            <v>126646.45</v>
          </cell>
          <cell r="F22">
            <v>240005.84</v>
          </cell>
          <cell r="G22">
            <v>1548197.73</v>
          </cell>
        </row>
        <row r="23">
          <cell r="B23" t="str">
            <v>4**</v>
          </cell>
          <cell r="C23" t="str">
            <v>"</v>
          </cell>
          <cell r="D23" t="str">
            <v>"</v>
          </cell>
          <cell r="E23">
            <v>3504463.77</v>
          </cell>
          <cell r="F23">
            <v>3293351.79</v>
          </cell>
          <cell r="G23">
            <v>21449104.879999999</v>
          </cell>
        </row>
        <row r="24">
          <cell r="B24" t="str">
            <v>51*</v>
          </cell>
          <cell r="C24" t="str">
            <v>"</v>
          </cell>
          <cell r="D24" t="str">
            <v>"</v>
          </cell>
          <cell r="E24">
            <v>111466.83</v>
          </cell>
          <cell r="F24">
            <v>139912.23000000001</v>
          </cell>
          <cell r="G24">
            <v>236005.67</v>
          </cell>
        </row>
        <row r="25">
          <cell r="B25">
            <v>550</v>
          </cell>
          <cell r="C25" t="str">
            <v>"</v>
          </cell>
          <cell r="D25" t="str">
            <v>"</v>
          </cell>
          <cell r="E25">
            <v>84460</v>
          </cell>
          <cell r="F25">
            <v>83333.33</v>
          </cell>
          <cell r="G25">
            <v>346846</v>
          </cell>
        </row>
        <row r="26">
          <cell r="B26">
            <v>560</v>
          </cell>
          <cell r="C26" t="str">
            <v>"</v>
          </cell>
          <cell r="D26" t="str">
            <v>"</v>
          </cell>
          <cell r="E26">
            <v>160112.35999999999</v>
          </cell>
          <cell r="F26">
            <v>40532</v>
          </cell>
          <cell r="G26">
            <v>390757.36</v>
          </cell>
        </row>
        <row r="27">
          <cell r="B27">
            <v>569</v>
          </cell>
          <cell r="C27" t="str">
            <v>"</v>
          </cell>
          <cell r="D27" t="str">
            <v>"</v>
          </cell>
          <cell r="E27">
            <v>3526836.53</v>
          </cell>
          <cell r="F27">
            <v>1669781.25</v>
          </cell>
          <cell r="G27">
            <v>11318139.98</v>
          </cell>
        </row>
        <row r="28">
          <cell r="B28" t="str">
            <v>5**</v>
          </cell>
          <cell r="C28" t="str">
            <v>"</v>
          </cell>
          <cell r="D28" t="str">
            <v>"</v>
          </cell>
          <cell r="E28">
            <v>4014110.94</v>
          </cell>
          <cell r="F28">
            <v>2007179.89</v>
          </cell>
          <cell r="G28">
            <v>13178902.5</v>
          </cell>
        </row>
        <row r="29">
          <cell r="B29">
            <v>680</v>
          </cell>
          <cell r="C29" t="str">
            <v>"</v>
          </cell>
          <cell r="D29" t="str">
            <v>"</v>
          </cell>
          <cell r="E29">
            <v>2663290.7599999998</v>
          </cell>
          <cell r="F29">
            <v>2705687.2</v>
          </cell>
          <cell r="G29">
            <v>15942500.85</v>
          </cell>
        </row>
        <row r="30">
          <cell r="B30">
            <v>820</v>
          </cell>
          <cell r="C30" t="str">
            <v>"</v>
          </cell>
          <cell r="D30" t="str">
            <v>"</v>
          </cell>
          <cell r="E30">
            <v>1389207.23</v>
          </cell>
          <cell r="F30">
            <v>1220834.06</v>
          </cell>
          <cell r="G30">
            <v>7381579.5499999998</v>
          </cell>
        </row>
        <row r="31">
          <cell r="B31" t="str">
            <v>710 à 830</v>
          </cell>
          <cell r="C31" t="str">
            <v>"</v>
          </cell>
          <cell r="D31" t="str">
            <v>"</v>
          </cell>
          <cell r="E31">
            <v>1548189.51</v>
          </cell>
          <cell r="F31">
            <v>1329167.3899999999</v>
          </cell>
          <cell r="G31">
            <v>7907282.8099999996</v>
          </cell>
        </row>
        <row r="32">
          <cell r="B32" t="str">
            <v>010 à 699</v>
          </cell>
          <cell r="C32" t="str">
            <v>"</v>
          </cell>
          <cell r="D32" t="str">
            <v>"</v>
          </cell>
          <cell r="E32">
            <v>19198408.899999999</v>
          </cell>
          <cell r="F32">
            <v>16388264.689999999</v>
          </cell>
          <cell r="G32">
            <v>102709034.34</v>
          </cell>
        </row>
        <row r="36">
          <cell r="B36" t="str">
            <v>TABLEAU DE BORD 77</v>
          </cell>
        </row>
        <row r="37">
          <cell r="B37" t="str">
            <v>DEPENSES PAR STADE OPERATOIRE</v>
          </cell>
        </row>
        <row r="40">
          <cell r="B40" t="str">
            <v xml:space="preserve">Ligne prix de revient </v>
          </cell>
          <cell r="C40" t="str">
            <v>Sections analytiques</v>
          </cell>
          <cell r="D40" t="str">
            <v>Surcodes</v>
          </cell>
          <cell r="E40" t="str">
            <v>Réalisé</v>
          </cell>
          <cell r="F40" t="str">
            <v>Prévu</v>
          </cell>
          <cell r="G40" t="str">
            <v>Cumul</v>
          </cell>
        </row>
        <row r="41">
          <cell r="B41" t="str">
            <v>Toutes LPR</v>
          </cell>
          <cell r="C41" t="str">
            <v>701 à 707</v>
          </cell>
          <cell r="D41" t="str">
            <v>0381  2481  2981</v>
          </cell>
          <cell r="E41">
            <v>4600699.9800000004</v>
          </cell>
          <cell r="F41">
            <v>2871675.83</v>
          </cell>
          <cell r="G41">
            <v>18343832.68</v>
          </cell>
        </row>
        <row r="42">
          <cell r="B42" t="str">
            <v>"</v>
          </cell>
          <cell r="C42">
            <v>709</v>
          </cell>
          <cell r="D42" t="str">
            <v>2981</v>
          </cell>
          <cell r="E42">
            <v>2214.6799999999998</v>
          </cell>
          <cell r="F42">
            <v>24789.78</v>
          </cell>
          <cell r="G42">
            <v>59790.15</v>
          </cell>
        </row>
        <row r="43">
          <cell r="B43" t="str">
            <v>"</v>
          </cell>
          <cell r="C43">
            <v>900</v>
          </cell>
          <cell r="D43" t="str">
            <v>2481</v>
          </cell>
          <cell r="E43">
            <v>2061640.54</v>
          </cell>
          <cell r="F43">
            <v>1644819.21</v>
          </cell>
          <cell r="G43">
            <v>13548538.52</v>
          </cell>
        </row>
        <row r="44">
          <cell r="B44" t="str">
            <v>"</v>
          </cell>
          <cell r="C44">
            <v>909</v>
          </cell>
          <cell r="D44" t="str">
            <v>2481</v>
          </cell>
          <cell r="E44">
            <v>280033.49</v>
          </cell>
          <cell r="F44">
            <v>207894.8</v>
          </cell>
          <cell r="G44">
            <v>1394908.22</v>
          </cell>
        </row>
        <row r="45">
          <cell r="B45" t="str">
            <v>"</v>
          </cell>
          <cell r="C45">
            <v>901</v>
          </cell>
          <cell r="D45" t="str">
            <v>2481</v>
          </cell>
          <cell r="E45">
            <v>173707.69</v>
          </cell>
          <cell r="F45">
            <v>170284.41</v>
          </cell>
          <cell r="G45">
            <v>1012255.53</v>
          </cell>
        </row>
        <row r="46">
          <cell r="B46" t="str">
            <v>"</v>
          </cell>
          <cell r="C46">
            <v>902</v>
          </cell>
          <cell r="D46" t="str">
            <v>2481</v>
          </cell>
          <cell r="E46">
            <v>136739.91</v>
          </cell>
          <cell r="F46">
            <v>205532.1</v>
          </cell>
          <cell r="G46">
            <v>1550618.26</v>
          </cell>
        </row>
        <row r="47">
          <cell r="B47" t="str">
            <v>"</v>
          </cell>
          <cell r="C47" t="str">
            <v>710 à 718</v>
          </cell>
          <cell r="D47" t="str">
            <v>7082  7982  2981</v>
          </cell>
          <cell r="E47">
            <v>1183939.8400000001</v>
          </cell>
          <cell r="F47">
            <v>1100761.6100000001</v>
          </cell>
          <cell r="G47">
            <v>6774678.54</v>
          </cell>
        </row>
        <row r="48">
          <cell r="B48" t="str">
            <v>"</v>
          </cell>
          <cell r="C48">
            <v>719</v>
          </cell>
          <cell r="D48" t="str">
            <v>7982</v>
          </cell>
          <cell r="E48">
            <v>87508.81</v>
          </cell>
          <cell r="F48">
            <v>78079.539999999994</v>
          </cell>
          <cell r="G48">
            <v>595542.05000000005</v>
          </cell>
        </row>
        <row r="49">
          <cell r="B49" t="str">
            <v>"</v>
          </cell>
          <cell r="C49" t="str">
            <v>911 à 914</v>
          </cell>
          <cell r="D49" t="str">
            <v>0382  7682</v>
          </cell>
          <cell r="E49">
            <v>6582505.7400000002</v>
          </cell>
          <cell r="F49">
            <v>6591872.3700000001</v>
          </cell>
          <cell r="G49">
            <v>37783362.68</v>
          </cell>
        </row>
        <row r="50">
          <cell r="B50" t="str">
            <v>"</v>
          </cell>
          <cell r="C50">
            <v>919</v>
          </cell>
          <cell r="D50" t="str">
            <v>7682</v>
          </cell>
          <cell r="E50">
            <v>787171.54</v>
          </cell>
          <cell r="F50">
            <v>578851.15</v>
          </cell>
          <cell r="G50">
            <v>3012219.94</v>
          </cell>
        </row>
        <row r="51">
          <cell r="B51" t="str">
            <v>"</v>
          </cell>
          <cell r="C51" t="str">
            <v>915 &amp; 916</v>
          </cell>
          <cell r="D51" t="str">
            <v>7682</v>
          </cell>
          <cell r="E51">
            <v>701462.84</v>
          </cell>
          <cell r="F51">
            <v>782897.88</v>
          </cell>
          <cell r="G51">
            <v>5016702.8499999996</v>
          </cell>
        </row>
        <row r="52">
          <cell r="B52" t="str">
            <v>"</v>
          </cell>
          <cell r="C52">
            <v>918</v>
          </cell>
          <cell r="D52" t="str">
            <v>7682</v>
          </cell>
          <cell r="E52">
            <v>605425</v>
          </cell>
          <cell r="F52">
            <v>269658.57</v>
          </cell>
          <cell r="G52">
            <v>1732557.35</v>
          </cell>
        </row>
        <row r="53">
          <cell r="B53" t="str">
            <v>"</v>
          </cell>
          <cell r="C53" t="str">
            <v>Toutes sections</v>
          </cell>
          <cell r="D53" t="str">
            <v>0388</v>
          </cell>
          <cell r="E53">
            <v>568459.07999999996</v>
          </cell>
          <cell r="F53">
            <v>531979.81000000006</v>
          </cell>
          <cell r="G53">
            <v>3312754.87</v>
          </cell>
        </row>
        <row r="54">
          <cell r="B54" t="str">
            <v xml:space="preserve"> 010 à 699</v>
          </cell>
          <cell r="C54" t="str">
            <v>"</v>
          </cell>
          <cell r="D54" t="str">
            <v>0000  0002  0009</v>
          </cell>
          <cell r="E54">
            <v>1426899.76</v>
          </cell>
          <cell r="F54">
            <v>1329167.6299999999</v>
          </cell>
          <cell r="G54">
            <v>8499594.5999999996</v>
          </cell>
        </row>
        <row r="55">
          <cell r="B55" t="str">
            <v xml:space="preserve"> 710 à 830</v>
          </cell>
          <cell r="C55" t="str">
            <v>"</v>
          </cell>
          <cell r="D55" t="str">
            <v>0000  0002  0009</v>
          </cell>
          <cell r="E55">
            <v>1548189.51</v>
          </cell>
          <cell r="F55">
            <v>1329167.3899999999</v>
          </cell>
          <cell r="G55">
            <v>7907282.8099999996</v>
          </cell>
        </row>
        <row r="90">
          <cell r="B90" t="str">
            <v>TABLEAU DE BORD 79</v>
          </cell>
        </row>
        <row r="91">
          <cell r="B91" t="str">
            <v>SECHAGE</v>
          </cell>
        </row>
        <row r="94">
          <cell r="B94" t="str">
            <v>Ligne prix de revient</v>
          </cell>
          <cell r="C94" t="str">
            <v>Sections analytiques</v>
          </cell>
          <cell r="D94" t="str">
            <v>Surcodes</v>
          </cell>
          <cell r="E94" t="str">
            <v>Réalisé</v>
          </cell>
          <cell r="F94" t="str">
            <v>Prévu</v>
          </cell>
          <cell r="G94" t="str">
            <v>Cumul</v>
          </cell>
        </row>
        <row r="95">
          <cell r="B95" t="str">
            <v>0**</v>
          </cell>
          <cell r="C95" t="str">
            <v>900 à 909</v>
          </cell>
          <cell r="D95" t="str">
            <v>2481</v>
          </cell>
          <cell r="E95">
            <v>212236.59</v>
          </cell>
          <cell r="F95">
            <v>213225.89</v>
          </cell>
          <cell r="G95">
            <v>1309427.5900000001</v>
          </cell>
        </row>
        <row r="96">
          <cell r="B96" t="str">
            <v>05*</v>
          </cell>
          <cell r="C96" t="str">
            <v>"</v>
          </cell>
          <cell r="D96" t="str">
            <v>"</v>
          </cell>
          <cell r="E96">
            <v>16198.01</v>
          </cell>
          <cell r="F96">
            <v>14630.76</v>
          </cell>
          <cell r="G96">
            <v>121031.41</v>
          </cell>
        </row>
        <row r="97">
          <cell r="B97">
            <v>103</v>
          </cell>
          <cell r="C97" t="str">
            <v>"</v>
          </cell>
          <cell r="D97" t="str">
            <v>"</v>
          </cell>
          <cell r="E97">
            <v>226105.52</v>
          </cell>
          <cell r="F97">
            <v>176067.99</v>
          </cell>
          <cell r="G97">
            <v>1488211.04</v>
          </cell>
        </row>
        <row r="98">
          <cell r="B98">
            <v>490</v>
          </cell>
          <cell r="C98" t="str">
            <v>"</v>
          </cell>
          <cell r="D98" t="str">
            <v>"</v>
          </cell>
          <cell r="E98">
            <v>0</v>
          </cell>
          <cell r="F98">
            <v>0</v>
          </cell>
          <cell r="G98">
            <v>0</v>
          </cell>
        </row>
        <row r="99">
          <cell r="B99">
            <v>492</v>
          </cell>
          <cell r="C99" t="str">
            <v>"</v>
          </cell>
          <cell r="D99" t="str">
            <v>"</v>
          </cell>
          <cell r="E99">
            <v>1432402.32</v>
          </cell>
          <cell r="F99">
            <v>1092262.5</v>
          </cell>
          <cell r="G99">
            <v>9295763.0399999991</v>
          </cell>
        </row>
        <row r="100">
          <cell r="B100">
            <v>107</v>
          </cell>
          <cell r="C100" t="str">
            <v>"</v>
          </cell>
          <cell r="D100" t="str">
            <v>"</v>
          </cell>
          <cell r="E100">
            <v>9158.7999999999993</v>
          </cell>
          <cell r="F100">
            <v>8090.83</v>
          </cell>
          <cell r="G100">
            <v>45047.8</v>
          </cell>
        </row>
        <row r="101">
          <cell r="B101">
            <v>211</v>
          </cell>
          <cell r="C101" t="str">
            <v>"</v>
          </cell>
          <cell r="D101" t="str">
            <v>"</v>
          </cell>
          <cell r="E101">
            <v>101468.45</v>
          </cell>
          <cell r="F101">
            <v>62872.49</v>
          </cell>
          <cell r="G101">
            <v>505274.65</v>
          </cell>
        </row>
        <row r="102">
          <cell r="B102">
            <v>212</v>
          </cell>
          <cell r="C102" t="str">
            <v>"</v>
          </cell>
          <cell r="D102" t="str">
            <v>"</v>
          </cell>
          <cell r="E102">
            <v>117586.28</v>
          </cell>
          <cell r="F102">
            <v>92037.07</v>
          </cell>
          <cell r="G102">
            <v>701368.37</v>
          </cell>
        </row>
        <row r="103">
          <cell r="B103">
            <v>242</v>
          </cell>
          <cell r="C103" t="str">
            <v>"</v>
          </cell>
          <cell r="D103" t="str">
            <v>"</v>
          </cell>
          <cell r="E103">
            <v>168964.21</v>
          </cell>
          <cell r="F103">
            <v>88068.25</v>
          </cell>
          <cell r="G103">
            <v>693437.62</v>
          </cell>
        </row>
        <row r="104">
          <cell r="B104" t="str">
            <v>2**</v>
          </cell>
          <cell r="C104" t="str">
            <v>"</v>
          </cell>
          <cell r="D104" t="str">
            <v>"</v>
          </cell>
          <cell r="E104">
            <v>388018.94</v>
          </cell>
          <cell r="F104">
            <v>242977.81</v>
          </cell>
          <cell r="G104">
            <v>1900080.68</v>
          </cell>
        </row>
        <row r="105">
          <cell r="B105" t="str">
            <v>3**</v>
          </cell>
          <cell r="C105" t="str">
            <v>"</v>
          </cell>
          <cell r="D105" t="str">
            <v>"</v>
          </cell>
          <cell r="E105">
            <v>40082.160000000003</v>
          </cell>
          <cell r="F105">
            <v>41942.550000000003</v>
          </cell>
          <cell r="G105">
            <v>220240.89</v>
          </cell>
        </row>
        <row r="106">
          <cell r="B106">
            <v>402</v>
          </cell>
          <cell r="C106" t="str">
            <v>"</v>
          </cell>
          <cell r="D106" t="str">
            <v>"</v>
          </cell>
          <cell r="E106">
            <v>0</v>
          </cell>
          <cell r="F106">
            <v>8619</v>
          </cell>
          <cell r="G106">
            <v>53922</v>
          </cell>
        </row>
        <row r="107">
          <cell r="B107">
            <v>408</v>
          </cell>
          <cell r="C107" t="str">
            <v>"</v>
          </cell>
          <cell r="D107" t="str">
            <v>"</v>
          </cell>
          <cell r="E107">
            <v>0</v>
          </cell>
          <cell r="F107">
            <v>0</v>
          </cell>
          <cell r="G107">
            <v>44826.51</v>
          </cell>
        </row>
        <row r="108">
          <cell r="B108">
            <v>409</v>
          </cell>
          <cell r="C108" t="str">
            <v>"</v>
          </cell>
          <cell r="D108" t="str">
            <v>"</v>
          </cell>
          <cell r="E108">
            <v>9669.23</v>
          </cell>
          <cell r="F108">
            <v>12399.33</v>
          </cell>
          <cell r="G108">
            <v>192960.74</v>
          </cell>
        </row>
        <row r="109">
          <cell r="B109">
            <v>417</v>
          </cell>
          <cell r="C109" t="str">
            <v>"</v>
          </cell>
          <cell r="D109" t="str">
            <v>"</v>
          </cell>
          <cell r="E109">
            <v>12296.81</v>
          </cell>
          <cell r="F109">
            <v>36143.58</v>
          </cell>
          <cell r="G109">
            <v>273500.39</v>
          </cell>
        </row>
        <row r="110">
          <cell r="B110" t="str">
            <v>4**</v>
          </cell>
          <cell r="C110" t="str">
            <v>"</v>
          </cell>
          <cell r="D110" t="str">
            <v>"</v>
          </cell>
          <cell r="E110">
            <v>1461164.88</v>
          </cell>
          <cell r="F110">
            <v>1158280.3700000001</v>
          </cell>
          <cell r="G110">
            <v>9938011.6899999995</v>
          </cell>
        </row>
        <row r="111">
          <cell r="B111" t="str">
            <v>5**</v>
          </cell>
          <cell r="C111" t="str">
            <v>"</v>
          </cell>
          <cell r="D111" t="str">
            <v>"</v>
          </cell>
          <cell r="E111">
            <v>2872.87</v>
          </cell>
          <cell r="F111">
            <v>4368.82</v>
          </cell>
          <cell r="G111">
            <v>30234.13</v>
          </cell>
        </row>
        <row r="112">
          <cell r="B112">
            <v>680</v>
          </cell>
          <cell r="C112" t="str">
            <v>"</v>
          </cell>
          <cell r="D112" t="str">
            <v>"</v>
          </cell>
          <cell r="E112">
            <v>2034.27</v>
          </cell>
          <cell r="F112">
            <v>7759.75</v>
          </cell>
          <cell r="G112">
            <v>12192.91</v>
          </cell>
        </row>
        <row r="113">
          <cell r="B113" t="str">
            <v>Toutes LPR</v>
          </cell>
          <cell r="C113" t="str">
            <v>"</v>
          </cell>
          <cell r="D113" t="str">
            <v>"</v>
          </cell>
          <cell r="E113">
            <v>2341674.0299999998</v>
          </cell>
          <cell r="F113">
            <v>1852714.01</v>
          </cell>
          <cell r="G113">
            <v>14943446.74</v>
          </cell>
        </row>
        <row r="116">
          <cell r="B116" t="str">
            <v>TABLEAU DE BORD 80</v>
          </cell>
        </row>
        <row r="117">
          <cell r="B117" t="str">
            <v>VOIE DU SEC ET MISE A TERRIL CLAIR</v>
          </cell>
        </row>
        <row r="120">
          <cell r="B120" t="str">
            <v>Ligne prix de revient</v>
          </cell>
          <cell r="C120" t="str">
            <v>Sections analytiques</v>
          </cell>
          <cell r="D120" t="str">
            <v>Surcodes</v>
          </cell>
          <cell r="E120" t="str">
            <v>Réalisé</v>
          </cell>
          <cell r="F120" t="str">
            <v>Prévu</v>
          </cell>
          <cell r="G120" t="str">
            <v>Cumul</v>
          </cell>
        </row>
        <row r="121">
          <cell r="B121" t="str">
            <v>0**</v>
          </cell>
          <cell r="C121" t="str">
            <v>901</v>
          </cell>
          <cell r="D121" t="str">
            <v>2481</v>
          </cell>
          <cell r="E121">
            <v>51907.17</v>
          </cell>
          <cell r="F121">
            <v>59161.71</v>
          </cell>
          <cell r="G121">
            <v>308346.3</v>
          </cell>
        </row>
        <row r="122">
          <cell r="B122" t="str">
            <v>05*</v>
          </cell>
          <cell r="C122" t="str">
            <v>"</v>
          </cell>
          <cell r="D122" t="str">
            <v>"</v>
          </cell>
          <cell r="E122">
            <v>5834.71</v>
          </cell>
          <cell r="F122">
            <v>6245.58</v>
          </cell>
          <cell r="G122">
            <v>33850.5</v>
          </cell>
        </row>
        <row r="123">
          <cell r="B123">
            <v>103</v>
          </cell>
          <cell r="C123" t="str">
            <v>"</v>
          </cell>
          <cell r="D123" t="str">
            <v>"</v>
          </cell>
          <cell r="E123">
            <v>38604.32</v>
          </cell>
          <cell r="F123">
            <v>38190</v>
          </cell>
          <cell r="G123">
            <v>233301.28</v>
          </cell>
        </row>
        <row r="124">
          <cell r="B124">
            <v>211</v>
          </cell>
          <cell r="C124" t="str">
            <v>"</v>
          </cell>
          <cell r="D124" t="str">
            <v>"</v>
          </cell>
          <cell r="E124">
            <v>45759.3</v>
          </cell>
          <cell r="F124">
            <v>36416.160000000003</v>
          </cell>
          <cell r="G124">
            <v>250363.4</v>
          </cell>
        </row>
        <row r="125">
          <cell r="B125">
            <v>212</v>
          </cell>
          <cell r="C125" t="str">
            <v>"</v>
          </cell>
          <cell r="D125" t="str">
            <v>"</v>
          </cell>
          <cell r="E125">
            <v>26114.6</v>
          </cell>
          <cell r="F125">
            <v>11709.41</v>
          </cell>
          <cell r="G125">
            <v>114587.02</v>
          </cell>
        </row>
        <row r="126">
          <cell r="B126" t="str">
            <v>2**</v>
          </cell>
          <cell r="C126" t="str">
            <v>"</v>
          </cell>
          <cell r="D126" t="str">
            <v>"</v>
          </cell>
          <cell r="E126">
            <v>71873.899999999994</v>
          </cell>
          <cell r="F126">
            <v>48125.57</v>
          </cell>
          <cell r="G126">
            <v>364950.42</v>
          </cell>
        </row>
        <row r="127">
          <cell r="B127" t="str">
            <v>3**</v>
          </cell>
          <cell r="C127" t="str">
            <v>"</v>
          </cell>
          <cell r="D127" t="str">
            <v>"</v>
          </cell>
          <cell r="E127">
            <v>0</v>
          </cell>
          <cell r="F127">
            <v>0</v>
          </cell>
          <cell r="G127">
            <v>0</v>
          </cell>
        </row>
        <row r="128">
          <cell r="B128">
            <v>402</v>
          </cell>
          <cell r="C128" t="str">
            <v>"</v>
          </cell>
          <cell r="D128" t="str">
            <v>"</v>
          </cell>
          <cell r="E128">
            <v>0</v>
          </cell>
          <cell r="F128">
            <v>11288.66</v>
          </cell>
          <cell r="G128">
            <v>0</v>
          </cell>
        </row>
        <row r="129">
          <cell r="B129">
            <v>408</v>
          </cell>
          <cell r="C129" t="str">
            <v>"</v>
          </cell>
          <cell r="D129" t="str">
            <v>"</v>
          </cell>
          <cell r="E129">
            <v>0</v>
          </cell>
          <cell r="F129">
            <v>833.33</v>
          </cell>
          <cell r="G129">
            <v>0</v>
          </cell>
        </row>
        <row r="130">
          <cell r="B130">
            <v>409</v>
          </cell>
          <cell r="C130" t="str">
            <v>"</v>
          </cell>
          <cell r="D130" t="str">
            <v>"</v>
          </cell>
          <cell r="E130">
            <v>459.22</v>
          </cell>
          <cell r="F130">
            <v>791.16</v>
          </cell>
          <cell r="G130">
            <v>10115.870000000001</v>
          </cell>
        </row>
        <row r="131">
          <cell r="B131">
            <v>417</v>
          </cell>
          <cell r="C131" t="str">
            <v>"</v>
          </cell>
          <cell r="D131" t="str">
            <v>"</v>
          </cell>
          <cell r="E131">
            <v>6461.43</v>
          </cell>
          <cell r="F131">
            <v>2978.33</v>
          </cell>
          <cell r="G131">
            <v>57252.83</v>
          </cell>
        </row>
        <row r="132">
          <cell r="B132" t="str">
            <v>4**</v>
          </cell>
          <cell r="C132" t="str">
            <v>"</v>
          </cell>
          <cell r="D132" t="str">
            <v>"</v>
          </cell>
          <cell r="E132">
            <v>6920.65</v>
          </cell>
          <cell r="F132">
            <v>18735.47</v>
          </cell>
          <cell r="G132">
            <v>71244.63</v>
          </cell>
        </row>
        <row r="133">
          <cell r="B133" t="str">
            <v>5**</v>
          </cell>
          <cell r="C133" t="str">
            <v>"</v>
          </cell>
          <cell r="D133" t="str">
            <v>"</v>
          </cell>
          <cell r="E133">
            <v>0</v>
          </cell>
          <cell r="F133">
            <v>1670</v>
          </cell>
          <cell r="G133">
            <v>8003</v>
          </cell>
        </row>
        <row r="134">
          <cell r="B134">
            <v>680</v>
          </cell>
          <cell r="C134" t="str">
            <v>"</v>
          </cell>
          <cell r="D134" t="str">
            <v>"</v>
          </cell>
          <cell r="E134">
            <v>4401.6499999999996</v>
          </cell>
          <cell r="F134">
            <v>4401.66</v>
          </cell>
          <cell r="G134">
            <v>26409.9</v>
          </cell>
        </row>
        <row r="135">
          <cell r="B135" t="str">
            <v>Toutes LPR</v>
          </cell>
          <cell r="C135" t="str">
            <v>"</v>
          </cell>
          <cell r="D135" t="str">
            <v>"</v>
          </cell>
          <cell r="E135">
            <v>173707.69</v>
          </cell>
          <cell r="F135">
            <v>170284.41</v>
          </cell>
          <cell r="G135">
            <v>1012255.53</v>
          </cell>
        </row>
        <row r="138">
          <cell r="B138" t="str">
            <v>TABLEAU DE BORD 81</v>
          </cell>
        </row>
        <row r="139">
          <cell r="B139" t="str">
            <v>STOCKAGE ET CHARGEMENT DU CLAIR</v>
          </cell>
        </row>
        <row r="142">
          <cell r="B142" t="str">
            <v>Ligne prix de revient</v>
          </cell>
          <cell r="C142" t="str">
            <v>Sections analytiques</v>
          </cell>
          <cell r="D142" t="str">
            <v>Surcodes</v>
          </cell>
          <cell r="E142" t="str">
            <v>Réalisé</v>
          </cell>
          <cell r="F142" t="str">
            <v>Prévu</v>
          </cell>
          <cell r="G142" t="str">
            <v>Cumul</v>
          </cell>
        </row>
        <row r="143">
          <cell r="B143" t="str">
            <v>0**</v>
          </cell>
          <cell r="C143" t="str">
            <v>902</v>
          </cell>
          <cell r="D143" t="str">
            <v>2481</v>
          </cell>
          <cell r="E143">
            <v>128177.92</v>
          </cell>
          <cell r="F143">
            <v>160646.38</v>
          </cell>
          <cell r="G143">
            <v>1454459.56</v>
          </cell>
        </row>
        <row r="144">
          <cell r="B144" t="str">
            <v>05*</v>
          </cell>
          <cell r="C144" t="str">
            <v>"</v>
          </cell>
          <cell r="D144" t="str">
            <v>"</v>
          </cell>
          <cell r="E144">
            <v>18061.59</v>
          </cell>
          <cell r="F144">
            <v>12532.83</v>
          </cell>
          <cell r="G144">
            <v>179112.67</v>
          </cell>
        </row>
        <row r="145">
          <cell r="B145">
            <v>103</v>
          </cell>
          <cell r="C145" t="str">
            <v>"</v>
          </cell>
          <cell r="D145" t="str">
            <v>"</v>
          </cell>
          <cell r="E145">
            <v>806.6</v>
          </cell>
          <cell r="F145">
            <v>1527.58</v>
          </cell>
          <cell r="G145">
            <v>4864.0200000000004</v>
          </cell>
        </row>
        <row r="146">
          <cell r="B146">
            <v>211</v>
          </cell>
          <cell r="C146" t="str">
            <v>"</v>
          </cell>
          <cell r="D146" t="str">
            <v>"</v>
          </cell>
          <cell r="E146">
            <v>6050.1</v>
          </cell>
          <cell r="F146">
            <v>7602.33</v>
          </cell>
          <cell r="G146">
            <v>31613</v>
          </cell>
        </row>
        <row r="147">
          <cell r="B147">
            <v>212</v>
          </cell>
          <cell r="C147" t="str">
            <v>"</v>
          </cell>
          <cell r="D147" t="str">
            <v>"</v>
          </cell>
          <cell r="E147">
            <v>0</v>
          </cell>
          <cell r="F147">
            <v>0</v>
          </cell>
          <cell r="G147">
            <v>0</v>
          </cell>
        </row>
        <row r="148">
          <cell r="B148" t="str">
            <v>2**</v>
          </cell>
          <cell r="C148" t="str">
            <v>"</v>
          </cell>
          <cell r="D148" t="str">
            <v>"</v>
          </cell>
          <cell r="E148">
            <v>6050.1</v>
          </cell>
          <cell r="F148">
            <v>7602.33</v>
          </cell>
          <cell r="G148">
            <v>31613</v>
          </cell>
        </row>
        <row r="149">
          <cell r="B149" t="str">
            <v>3**</v>
          </cell>
          <cell r="C149" t="str">
            <v>"</v>
          </cell>
          <cell r="D149" t="str">
            <v>"</v>
          </cell>
          <cell r="E149">
            <v>0</v>
          </cell>
          <cell r="F149">
            <v>0</v>
          </cell>
          <cell r="G149">
            <v>23908</v>
          </cell>
        </row>
        <row r="150">
          <cell r="B150">
            <v>402</v>
          </cell>
          <cell r="C150" t="str">
            <v>"</v>
          </cell>
          <cell r="D150" t="str">
            <v>"</v>
          </cell>
          <cell r="E150">
            <v>0</v>
          </cell>
          <cell r="F150">
            <v>8617.33</v>
          </cell>
          <cell r="G150">
            <v>0</v>
          </cell>
        </row>
        <row r="151">
          <cell r="B151">
            <v>408</v>
          </cell>
          <cell r="C151" t="str">
            <v>"</v>
          </cell>
          <cell r="D151" t="str">
            <v>"</v>
          </cell>
          <cell r="E151">
            <v>0</v>
          </cell>
          <cell r="F151">
            <v>2083.33</v>
          </cell>
          <cell r="G151">
            <v>0</v>
          </cell>
        </row>
        <row r="152">
          <cell r="B152">
            <v>409</v>
          </cell>
          <cell r="C152" t="str">
            <v>"</v>
          </cell>
          <cell r="D152" t="str">
            <v>"</v>
          </cell>
          <cell r="E152">
            <v>430.75</v>
          </cell>
          <cell r="F152">
            <v>92.08</v>
          </cell>
          <cell r="G152">
            <v>30264.720000000001</v>
          </cell>
        </row>
        <row r="153">
          <cell r="B153">
            <v>417</v>
          </cell>
          <cell r="C153" t="str">
            <v>"</v>
          </cell>
          <cell r="D153" t="str">
            <v>"</v>
          </cell>
          <cell r="E153">
            <v>391.69</v>
          </cell>
          <cell r="F153">
            <v>421.25</v>
          </cell>
          <cell r="G153">
            <v>2639.96</v>
          </cell>
        </row>
        <row r="154">
          <cell r="B154" t="str">
            <v>4**</v>
          </cell>
          <cell r="C154" t="str">
            <v>"</v>
          </cell>
          <cell r="D154" t="str">
            <v>"</v>
          </cell>
          <cell r="E154">
            <v>1705.29</v>
          </cell>
          <cell r="F154">
            <v>12089.15</v>
          </cell>
          <cell r="G154">
            <v>35654.519999999997</v>
          </cell>
        </row>
        <row r="155">
          <cell r="B155" t="str">
            <v>5**</v>
          </cell>
          <cell r="C155" t="str">
            <v>"</v>
          </cell>
          <cell r="D155" t="str">
            <v>"</v>
          </cell>
          <cell r="E155">
            <v>0</v>
          </cell>
          <cell r="F155">
            <v>23666.66</v>
          </cell>
          <cell r="G155">
            <v>119.16</v>
          </cell>
        </row>
        <row r="156">
          <cell r="B156">
            <v>680</v>
          </cell>
          <cell r="C156" t="str">
            <v>"</v>
          </cell>
          <cell r="D156" t="str">
            <v>"</v>
          </cell>
          <cell r="E156">
            <v>0</v>
          </cell>
          <cell r="F156">
            <v>0</v>
          </cell>
          <cell r="G156">
            <v>0</v>
          </cell>
        </row>
        <row r="157">
          <cell r="B157" t="str">
            <v>Toutes LPR</v>
          </cell>
          <cell r="C157" t="str">
            <v>"</v>
          </cell>
          <cell r="D157" t="str">
            <v>"</v>
          </cell>
          <cell r="E157">
            <v>136739.91</v>
          </cell>
          <cell r="F157">
            <v>205532.1</v>
          </cell>
          <cell r="G157">
            <v>1550618.26</v>
          </cell>
        </row>
        <row r="161">
          <cell r="B161" t="str">
            <v>TABLEAU DE BORD 82</v>
          </cell>
        </row>
        <row r="162">
          <cell r="B162" t="str">
            <v>MANUTENTION &amp; GESTION FLUX NOIR</v>
          </cell>
        </row>
        <row r="165">
          <cell r="B165" t="str">
            <v>Ligne prix de revient</v>
          </cell>
          <cell r="C165" t="str">
            <v>Sections analytiques</v>
          </cell>
          <cell r="D165" t="str">
            <v>Surcodes</v>
          </cell>
          <cell r="E165" t="str">
            <v>Réalisé</v>
          </cell>
          <cell r="F165" t="str">
            <v>Prévu</v>
          </cell>
          <cell r="G165" t="str">
            <v>Cumul</v>
          </cell>
        </row>
        <row r="166">
          <cell r="B166" t="str">
            <v>0**</v>
          </cell>
          <cell r="C166" t="str">
            <v>710 à 719</v>
          </cell>
          <cell r="D166" t="str">
            <v>7082   7982</v>
          </cell>
          <cell r="E166">
            <v>354175.74</v>
          </cell>
          <cell r="F166">
            <v>320601.23</v>
          </cell>
          <cell r="G166">
            <v>2052853.24</v>
          </cell>
        </row>
        <row r="167">
          <cell r="B167" t="str">
            <v>05*</v>
          </cell>
          <cell r="C167" t="str">
            <v>"</v>
          </cell>
          <cell r="D167" t="str">
            <v>"</v>
          </cell>
          <cell r="E167">
            <v>46246.61</v>
          </cell>
          <cell r="F167">
            <v>29616.99</v>
          </cell>
          <cell r="G167">
            <v>212621.59</v>
          </cell>
        </row>
        <row r="168">
          <cell r="B168">
            <v>103</v>
          </cell>
          <cell r="C168" t="str">
            <v>"</v>
          </cell>
          <cell r="D168" t="str">
            <v>"</v>
          </cell>
          <cell r="E168">
            <v>234309.16</v>
          </cell>
          <cell r="F168">
            <v>156749.98000000001</v>
          </cell>
          <cell r="G168">
            <v>1200205.26</v>
          </cell>
        </row>
        <row r="169">
          <cell r="B169">
            <v>211</v>
          </cell>
          <cell r="C169" t="str">
            <v>"</v>
          </cell>
          <cell r="D169" t="str">
            <v>"</v>
          </cell>
          <cell r="E169">
            <v>54802.2</v>
          </cell>
          <cell r="F169">
            <v>42515.98</v>
          </cell>
          <cell r="G169">
            <v>349544.23</v>
          </cell>
        </row>
        <row r="170">
          <cell r="B170">
            <v>212</v>
          </cell>
          <cell r="C170" t="str">
            <v>"</v>
          </cell>
          <cell r="D170" t="str">
            <v>"</v>
          </cell>
          <cell r="E170">
            <v>90451.520000000004</v>
          </cell>
          <cell r="F170">
            <v>105901.89</v>
          </cell>
          <cell r="G170">
            <v>469950.02</v>
          </cell>
        </row>
        <row r="171">
          <cell r="B171" t="str">
            <v>2**</v>
          </cell>
          <cell r="C171" t="str">
            <v>"</v>
          </cell>
          <cell r="D171" t="str">
            <v>"</v>
          </cell>
          <cell r="E171">
            <v>145253.72</v>
          </cell>
          <cell r="F171">
            <v>148417.87</v>
          </cell>
          <cell r="G171">
            <v>819494.25</v>
          </cell>
        </row>
        <row r="172">
          <cell r="B172" t="str">
            <v>3**</v>
          </cell>
          <cell r="C172" t="str">
            <v>"</v>
          </cell>
          <cell r="D172" t="str">
            <v>"</v>
          </cell>
          <cell r="E172">
            <v>86052.61</v>
          </cell>
          <cell r="F172">
            <v>56671.64</v>
          </cell>
          <cell r="G172">
            <v>487952.71</v>
          </cell>
        </row>
        <row r="173">
          <cell r="B173">
            <v>402</v>
          </cell>
          <cell r="C173" t="str">
            <v>"</v>
          </cell>
          <cell r="D173" t="str">
            <v>"</v>
          </cell>
          <cell r="E173">
            <v>0</v>
          </cell>
          <cell r="F173">
            <v>50099.25</v>
          </cell>
          <cell r="G173">
            <v>0</v>
          </cell>
        </row>
        <row r="174">
          <cell r="B174">
            <v>408</v>
          </cell>
          <cell r="C174" t="str">
            <v>"</v>
          </cell>
          <cell r="D174" t="str">
            <v>"</v>
          </cell>
          <cell r="E174">
            <v>14724.6</v>
          </cell>
          <cell r="F174">
            <v>11666.66</v>
          </cell>
          <cell r="G174">
            <v>42104.800000000003</v>
          </cell>
        </row>
        <row r="175">
          <cell r="B175">
            <v>409</v>
          </cell>
          <cell r="C175" t="str">
            <v>"</v>
          </cell>
          <cell r="D175" t="str">
            <v>"</v>
          </cell>
          <cell r="E175">
            <v>8302.64</v>
          </cell>
          <cell r="F175">
            <v>16970.47</v>
          </cell>
          <cell r="G175">
            <v>145684.46</v>
          </cell>
        </row>
        <row r="176">
          <cell r="B176">
            <v>417</v>
          </cell>
          <cell r="C176" t="str">
            <v>"</v>
          </cell>
          <cell r="D176" t="str">
            <v>"</v>
          </cell>
          <cell r="E176">
            <v>59159</v>
          </cell>
          <cell r="F176">
            <v>14110.81</v>
          </cell>
          <cell r="G176">
            <v>333075.49</v>
          </cell>
        </row>
        <row r="177">
          <cell r="B177" t="str">
            <v>4**</v>
          </cell>
          <cell r="C177" t="str">
            <v>"</v>
          </cell>
          <cell r="D177" t="str">
            <v>"</v>
          </cell>
          <cell r="E177">
            <v>93675.73</v>
          </cell>
          <cell r="F177">
            <v>110656.13</v>
          </cell>
          <cell r="G177">
            <v>581753.1</v>
          </cell>
        </row>
        <row r="178">
          <cell r="B178">
            <v>569</v>
          </cell>
          <cell r="C178" t="str">
            <v>"</v>
          </cell>
          <cell r="D178" t="str">
            <v>"</v>
          </cell>
          <cell r="E178">
            <v>0</v>
          </cell>
          <cell r="F178">
            <v>0</v>
          </cell>
          <cell r="G178">
            <v>0</v>
          </cell>
        </row>
        <row r="179">
          <cell r="B179" t="str">
            <v>5**</v>
          </cell>
          <cell r="C179" t="str">
            <v>"</v>
          </cell>
          <cell r="D179" t="str">
            <v>"</v>
          </cell>
          <cell r="E179">
            <v>12027.37</v>
          </cell>
          <cell r="F179">
            <v>5014.49</v>
          </cell>
          <cell r="G179">
            <v>152326.03</v>
          </cell>
        </row>
        <row r="180">
          <cell r="B180">
            <v>680</v>
          </cell>
          <cell r="C180" t="str">
            <v>"</v>
          </cell>
          <cell r="D180" t="str">
            <v>"</v>
          </cell>
          <cell r="E180">
            <v>345954.32</v>
          </cell>
          <cell r="F180">
            <v>380729.81</v>
          </cell>
          <cell r="G180">
            <v>2075636</v>
          </cell>
        </row>
        <row r="181">
          <cell r="B181" t="str">
            <v>Toutes LPR</v>
          </cell>
          <cell r="C181" t="str">
            <v>"</v>
          </cell>
          <cell r="D181" t="str">
            <v>"</v>
          </cell>
          <cell r="E181">
            <v>1271448.6499999999</v>
          </cell>
          <cell r="F181">
            <v>1178841.1499999999</v>
          </cell>
          <cell r="G181">
            <v>7370220.5899999999</v>
          </cell>
        </row>
        <row r="211">
          <cell r="B211" t="str">
            <v>TABLEAU DE BORD 84</v>
          </cell>
        </row>
        <row r="212">
          <cell r="B212" t="str">
            <v>VOIE DU CALCINE &amp; MISE A TERRIL</v>
          </cell>
        </row>
        <row r="215">
          <cell r="B215" t="str">
            <v>Ligne prix de revient</v>
          </cell>
          <cell r="C215" t="str">
            <v>Sections analytiques</v>
          </cell>
          <cell r="D215" t="str">
            <v>Surcodes</v>
          </cell>
          <cell r="E215" t="str">
            <v>Réalisé</v>
          </cell>
          <cell r="F215" t="str">
            <v>Prévu</v>
          </cell>
          <cell r="G215" t="str">
            <v>Cumul</v>
          </cell>
        </row>
        <row r="216">
          <cell r="B216" t="str">
            <v>0**</v>
          </cell>
          <cell r="C216" t="str">
            <v>915 &amp; 916</v>
          </cell>
          <cell r="D216" t="str">
            <v>7682</v>
          </cell>
          <cell r="E216">
            <v>314961.15999999997</v>
          </cell>
          <cell r="F216">
            <v>341576</v>
          </cell>
          <cell r="G216">
            <v>2047875.32</v>
          </cell>
        </row>
        <row r="217">
          <cell r="B217" t="str">
            <v>05*</v>
          </cell>
          <cell r="C217" t="str">
            <v>"</v>
          </cell>
          <cell r="D217" t="str">
            <v>"</v>
          </cell>
          <cell r="E217">
            <v>35717.839999999997</v>
          </cell>
          <cell r="F217">
            <v>30847</v>
          </cell>
          <cell r="G217">
            <v>202711.87</v>
          </cell>
        </row>
        <row r="218">
          <cell r="B218">
            <v>103</v>
          </cell>
          <cell r="C218" t="str">
            <v>"</v>
          </cell>
          <cell r="D218" t="str">
            <v>"</v>
          </cell>
          <cell r="E218">
            <v>152209.12</v>
          </cell>
          <cell r="F218">
            <v>139966.66</v>
          </cell>
          <cell r="G218">
            <v>891126.5</v>
          </cell>
        </row>
        <row r="219">
          <cell r="B219">
            <v>211</v>
          </cell>
          <cell r="C219" t="str">
            <v>"</v>
          </cell>
          <cell r="D219" t="str">
            <v>"</v>
          </cell>
          <cell r="E219">
            <v>24229.8</v>
          </cell>
          <cell r="F219">
            <v>28776.25</v>
          </cell>
          <cell r="G219">
            <v>170071.19</v>
          </cell>
        </row>
        <row r="220">
          <cell r="B220">
            <v>212</v>
          </cell>
          <cell r="C220" t="str">
            <v>"</v>
          </cell>
          <cell r="D220" t="str">
            <v>"</v>
          </cell>
          <cell r="E220">
            <v>4100.49</v>
          </cell>
          <cell r="F220">
            <v>18106.66</v>
          </cell>
          <cell r="G220">
            <v>46187.49</v>
          </cell>
        </row>
        <row r="221">
          <cell r="B221" t="str">
            <v>2**</v>
          </cell>
          <cell r="C221" t="str">
            <v>"</v>
          </cell>
          <cell r="D221" t="str">
            <v>"</v>
          </cell>
          <cell r="E221">
            <v>28330.29</v>
          </cell>
          <cell r="F221">
            <v>46882.91</v>
          </cell>
          <cell r="G221">
            <v>216258.68</v>
          </cell>
        </row>
        <row r="222">
          <cell r="B222" t="str">
            <v>3**</v>
          </cell>
          <cell r="C222" t="str">
            <v>"</v>
          </cell>
          <cell r="D222" t="str">
            <v>"</v>
          </cell>
          <cell r="E222">
            <v>68992</v>
          </cell>
          <cell r="F222">
            <v>1292.4000000000001</v>
          </cell>
          <cell r="G222">
            <v>749305.09</v>
          </cell>
        </row>
        <row r="223">
          <cell r="B223">
            <v>402</v>
          </cell>
          <cell r="C223" t="str">
            <v>"</v>
          </cell>
          <cell r="D223" t="str">
            <v>"</v>
          </cell>
          <cell r="E223">
            <v>0</v>
          </cell>
          <cell r="F223">
            <v>107564.24</v>
          </cell>
          <cell r="G223">
            <v>305916</v>
          </cell>
        </row>
        <row r="224">
          <cell r="B224">
            <v>408</v>
          </cell>
          <cell r="C224" t="str">
            <v>"</v>
          </cell>
          <cell r="D224" t="str">
            <v>"</v>
          </cell>
          <cell r="E224">
            <v>0</v>
          </cell>
          <cell r="F224">
            <v>12916.66</v>
          </cell>
          <cell r="G224">
            <v>25569</v>
          </cell>
        </row>
        <row r="225">
          <cell r="B225">
            <v>409</v>
          </cell>
          <cell r="C225" t="str">
            <v>"</v>
          </cell>
          <cell r="D225" t="str">
            <v>"</v>
          </cell>
          <cell r="E225">
            <v>26824.38</v>
          </cell>
          <cell r="F225">
            <v>16389.990000000002</v>
          </cell>
          <cell r="G225">
            <v>105392.53</v>
          </cell>
        </row>
        <row r="226">
          <cell r="B226">
            <v>417</v>
          </cell>
          <cell r="C226" t="str">
            <v>"</v>
          </cell>
          <cell r="D226" t="str">
            <v>"</v>
          </cell>
          <cell r="E226">
            <v>11177.26</v>
          </cell>
          <cell r="F226">
            <v>13442.24</v>
          </cell>
          <cell r="G226">
            <v>39620.03</v>
          </cell>
        </row>
        <row r="227">
          <cell r="B227" t="str">
            <v>4**</v>
          </cell>
          <cell r="C227" t="str">
            <v>"</v>
          </cell>
          <cell r="D227" t="str">
            <v>"</v>
          </cell>
          <cell r="E227">
            <v>42347.32</v>
          </cell>
          <cell r="F227">
            <v>157716</v>
          </cell>
          <cell r="G227">
            <v>545984.39</v>
          </cell>
        </row>
        <row r="228">
          <cell r="B228" t="str">
            <v>5**</v>
          </cell>
          <cell r="C228" t="str">
            <v>"</v>
          </cell>
          <cell r="D228" t="str">
            <v>"</v>
          </cell>
          <cell r="E228">
            <v>467.08</v>
          </cell>
          <cell r="F228">
            <v>1744</v>
          </cell>
          <cell r="G228">
            <v>3397.2</v>
          </cell>
        </row>
        <row r="229">
          <cell r="B229">
            <v>680</v>
          </cell>
          <cell r="C229" t="str">
            <v>"</v>
          </cell>
          <cell r="D229" t="str">
            <v>"</v>
          </cell>
          <cell r="E229">
            <v>94155.87</v>
          </cell>
          <cell r="F229">
            <v>93719.91</v>
          </cell>
          <cell r="G229">
            <v>562755.67000000004</v>
          </cell>
        </row>
        <row r="230">
          <cell r="B230" t="str">
            <v>Toutes LPR</v>
          </cell>
          <cell r="C230" t="str">
            <v>"</v>
          </cell>
          <cell r="D230" t="str">
            <v>"</v>
          </cell>
          <cell r="E230">
            <v>701462.84</v>
          </cell>
          <cell r="F230">
            <v>782897.88</v>
          </cell>
          <cell r="G230">
            <v>5016702.8499999996</v>
          </cell>
        </row>
        <row r="233">
          <cell r="B233" t="str">
            <v>TABLEAU DE BORD 85</v>
          </cell>
        </row>
        <row r="234">
          <cell r="B234" t="str">
            <v>STOCKAGE ET CHARGEMENT DU NOIR</v>
          </cell>
        </row>
        <row r="237">
          <cell r="B237" t="str">
            <v>Ligne prix de revient</v>
          </cell>
          <cell r="C237" t="str">
            <v>Sections analytiques</v>
          </cell>
          <cell r="D237" t="str">
            <v>Surcodes</v>
          </cell>
          <cell r="E237" t="str">
            <v>Réalisé</v>
          </cell>
          <cell r="F237" t="str">
            <v>Prévu</v>
          </cell>
          <cell r="G237" t="str">
            <v>Cumul</v>
          </cell>
        </row>
        <row r="238">
          <cell r="B238" t="str">
            <v>0**</v>
          </cell>
          <cell r="C238" t="str">
            <v>918</v>
          </cell>
          <cell r="D238" t="str">
            <v>7682</v>
          </cell>
          <cell r="E238">
            <v>137675.01999999999</v>
          </cell>
          <cell r="F238">
            <v>109891.62</v>
          </cell>
          <cell r="G238">
            <v>538316.19999999995</v>
          </cell>
        </row>
        <row r="239">
          <cell r="B239" t="str">
            <v>05*</v>
          </cell>
          <cell r="C239" t="str">
            <v>"</v>
          </cell>
          <cell r="D239" t="str">
            <v>"</v>
          </cell>
          <cell r="E239">
            <v>21947.37</v>
          </cell>
          <cell r="F239">
            <v>12969.99</v>
          </cell>
          <cell r="G239">
            <v>75262.210000000006</v>
          </cell>
        </row>
        <row r="240">
          <cell r="B240">
            <v>103</v>
          </cell>
          <cell r="C240" t="str">
            <v>"</v>
          </cell>
          <cell r="D240" t="str">
            <v>"</v>
          </cell>
          <cell r="E240">
            <v>35804.160000000003</v>
          </cell>
          <cell r="F240">
            <v>16466.66</v>
          </cell>
          <cell r="G240">
            <v>188744.4</v>
          </cell>
        </row>
        <row r="241">
          <cell r="B241">
            <v>211</v>
          </cell>
          <cell r="C241" t="str">
            <v>"</v>
          </cell>
          <cell r="D241" t="str">
            <v>"</v>
          </cell>
          <cell r="E241">
            <v>19206.849999999999</v>
          </cell>
          <cell r="F241">
            <v>12280.41</v>
          </cell>
          <cell r="G241">
            <v>82301.84</v>
          </cell>
        </row>
        <row r="242">
          <cell r="B242">
            <v>212</v>
          </cell>
          <cell r="C242" t="str">
            <v>"</v>
          </cell>
          <cell r="D242" t="str">
            <v>"</v>
          </cell>
          <cell r="E242">
            <v>2444.04</v>
          </cell>
          <cell r="F242">
            <v>4116.16</v>
          </cell>
          <cell r="G242">
            <v>10829.48</v>
          </cell>
        </row>
        <row r="243">
          <cell r="B243" t="str">
            <v>2**</v>
          </cell>
          <cell r="C243" t="str">
            <v>"</v>
          </cell>
          <cell r="D243" t="str">
            <v>"</v>
          </cell>
          <cell r="E243">
            <v>21650.89</v>
          </cell>
          <cell r="F243">
            <v>16396.57</v>
          </cell>
          <cell r="G243">
            <v>93131.32</v>
          </cell>
        </row>
        <row r="244">
          <cell r="B244" t="str">
            <v>3**</v>
          </cell>
          <cell r="C244" t="str">
            <v>"</v>
          </cell>
          <cell r="D244" t="str">
            <v>"</v>
          </cell>
          <cell r="E244">
            <v>141338</v>
          </cell>
          <cell r="F244">
            <v>1666.66</v>
          </cell>
          <cell r="G244">
            <v>343489.47</v>
          </cell>
        </row>
        <row r="245">
          <cell r="B245">
            <v>402</v>
          </cell>
          <cell r="C245" t="str">
            <v>"</v>
          </cell>
          <cell r="D245" t="str">
            <v>"</v>
          </cell>
          <cell r="E245">
            <v>213939.85</v>
          </cell>
          <cell r="F245">
            <v>30542.66</v>
          </cell>
          <cell r="G245">
            <v>213939.85</v>
          </cell>
        </row>
        <row r="246">
          <cell r="B246">
            <v>408</v>
          </cell>
          <cell r="C246" t="str">
            <v>"</v>
          </cell>
          <cell r="D246" t="str">
            <v>"</v>
          </cell>
          <cell r="E246">
            <v>0</v>
          </cell>
          <cell r="F246">
            <v>0</v>
          </cell>
          <cell r="G246">
            <v>0</v>
          </cell>
        </row>
        <row r="247">
          <cell r="B247">
            <v>409</v>
          </cell>
          <cell r="C247" t="str">
            <v>"</v>
          </cell>
          <cell r="D247" t="str">
            <v>"</v>
          </cell>
          <cell r="E247">
            <v>3166.74</v>
          </cell>
          <cell r="F247">
            <v>2282.33</v>
          </cell>
          <cell r="G247">
            <v>72588.92</v>
          </cell>
        </row>
        <row r="248">
          <cell r="B248">
            <v>417</v>
          </cell>
          <cell r="C248" t="str">
            <v>"</v>
          </cell>
          <cell r="D248" t="str">
            <v>"</v>
          </cell>
          <cell r="E248">
            <v>15465.02</v>
          </cell>
          <cell r="F248">
            <v>9839.25</v>
          </cell>
          <cell r="G248">
            <v>67211.360000000001</v>
          </cell>
        </row>
        <row r="249">
          <cell r="B249" t="str">
            <v>4**</v>
          </cell>
          <cell r="C249" t="str">
            <v>"</v>
          </cell>
          <cell r="D249" t="str">
            <v>"</v>
          </cell>
          <cell r="E249">
            <v>236629.96</v>
          </cell>
          <cell r="F249">
            <v>44910.06</v>
          </cell>
          <cell r="G249">
            <v>374914.14</v>
          </cell>
        </row>
        <row r="250">
          <cell r="B250" t="str">
            <v>5**</v>
          </cell>
          <cell r="C250" t="str">
            <v>"</v>
          </cell>
          <cell r="D250" t="str">
            <v>"</v>
          </cell>
          <cell r="E250">
            <v>0</v>
          </cell>
          <cell r="F250">
            <v>48000</v>
          </cell>
          <cell r="G250">
            <v>0</v>
          </cell>
        </row>
        <row r="251">
          <cell r="B251">
            <v>680</v>
          </cell>
          <cell r="C251" t="str">
            <v>"</v>
          </cell>
          <cell r="D251" t="str">
            <v>"</v>
          </cell>
          <cell r="E251">
            <v>32326.97</v>
          </cell>
          <cell r="F251">
            <v>32327</v>
          </cell>
          <cell r="G251">
            <v>193961.82</v>
          </cell>
        </row>
        <row r="252">
          <cell r="B252" t="str">
            <v>Toutes LPR</v>
          </cell>
          <cell r="C252" t="str">
            <v>"</v>
          </cell>
          <cell r="D252" t="str">
            <v>"</v>
          </cell>
          <cell r="E252">
            <v>605425</v>
          </cell>
          <cell r="F252">
            <v>269658.57</v>
          </cell>
          <cell r="G252">
            <v>1732557.35</v>
          </cell>
        </row>
        <row r="255">
          <cell r="B255" t="str">
            <v>TABLEAU DE BORD 86</v>
          </cell>
        </row>
        <row r="256">
          <cell r="B256" t="str">
            <v>UNITE N°1</v>
          </cell>
        </row>
        <row r="259">
          <cell r="B259" t="str">
            <v>Ligne prix de revient</v>
          </cell>
          <cell r="C259" t="str">
            <v>Sections analytiques</v>
          </cell>
          <cell r="D259" t="str">
            <v>Surcodes</v>
          </cell>
          <cell r="E259" t="str">
            <v>Réalisé</v>
          </cell>
          <cell r="F259" t="str">
            <v>Prévu</v>
          </cell>
          <cell r="G259" t="str">
            <v>Cumul</v>
          </cell>
        </row>
        <row r="260">
          <cell r="B260" t="str">
            <v>0**</v>
          </cell>
          <cell r="C260" t="str">
            <v>911</v>
          </cell>
          <cell r="D260" t="str">
            <v>0382</v>
          </cell>
          <cell r="E260">
            <v>0</v>
          </cell>
          <cell r="F260">
            <v>0</v>
          </cell>
          <cell r="G260">
            <v>1362.37</v>
          </cell>
        </row>
        <row r="261">
          <cell r="B261" t="str">
            <v>05*</v>
          </cell>
          <cell r="C261" t="str">
            <v>"</v>
          </cell>
          <cell r="D261" t="str">
            <v>"</v>
          </cell>
          <cell r="E261">
            <v>0</v>
          </cell>
          <cell r="F261">
            <v>0</v>
          </cell>
          <cell r="G261">
            <v>0</v>
          </cell>
        </row>
        <row r="262">
          <cell r="B262">
            <v>103</v>
          </cell>
          <cell r="C262" t="str">
            <v>"</v>
          </cell>
          <cell r="D262" t="str">
            <v>"</v>
          </cell>
          <cell r="E262">
            <v>0</v>
          </cell>
          <cell r="F262">
            <v>0</v>
          </cell>
          <cell r="G262">
            <v>0</v>
          </cell>
        </row>
        <row r="263">
          <cell r="B263">
            <v>490</v>
          </cell>
          <cell r="C263" t="str">
            <v>"</v>
          </cell>
          <cell r="D263" t="str">
            <v>"</v>
          </cell>
          <cell r="E263">
            <v>0</v>
          </cell>
          <cell r="F263">
            <v>0</v>
          </cell>
          <cell r="G263">
            <v>0</v>
          </cell>
        </row>
        <row r="264">
          <cell r="B264">
            <v>492</v>
          </cell>
          <cell r="C264" t="str">
            <v>"</v>
          </cell>
          <cell r="D264" t="str">
            <v>"</v>
          </cell>
          <cell r="E264">
            <v>0</v>
          </cell>
          <cell r="F264">
            <v>0</v>
          </cell>
          <cell r="G264">
            <v>0</v>
          </cell>
        </row>
        <row r="265">
          <cell r="B265">
            <v>107</v>
          </cell>
          <cell r="C265" t="str">
            <v>"</v>
          </cell>
          <cell r="D265" t="str">
            <v>"</v>
          </cell>
          <cell r="E265">
            <v>0</v>
          </cell>
          <cell r="F265">
            <v>0</v>
          </cell>
          <cell r="G265">
            <v>0</v>
          </cell>
        </row>
        <row r="266">
          <cell r="B266">
            <v>211</v>
          </cell>
          <cell r="C266" t="str">
            <v>"</v>
          </cell>
          <cell r="D266" t="str">
            <v>"</v>
          </cell>
          <cell r="E266">
            <v>0</v>
          </cell>
          <cell r="F266">
            <v>0</v>
          </cell>
          <cell r="G266">
            <v>28485.38</v>
          </cell>
        </row>
        <row r="267">
          <cell r="B267">
            <v>212</v>
          </cell>
          <cell r="C267" t="str">
            <v>"</v>
          </cell>
          <cell r="D267" t="str">
            <v>"</v>
          </cell>
          <cell r="E267">
            <v>0</v>
          </cell>
          <cell r="F267">
            <v>0</v>
          </cell>
          <cell r="G267">
            <v>0</v>
          </cell>
        </row>
        <row r="268">
          <cell r="B268" t="str">
            <v>2**</v>
          </cell>
          <cell r="C268" t="str">
            <v>"</v>
          </cell>
          <cell r="D268" t="str">
            <v>"</v>
          </cell>
          <cell r="E268">
            <v>0</v>
          </cell>
          <cell r="F268">
            <v>0</v>
          </cell>
          <cell r="G268">
            <v>28485.38</v>
          </cell>
        </row>
        <row r="269">
          <cell r="B269" t="str">
            <v>3**</v>
          </cell>
          <cell r="C269" t="str">
            <v>"</v>
          </cell>
          <cell r="D269" t="str">
            <v>"</v>
          </cell>
          <cell r="E269">
            <v>0</v>
          </cell>
          <cell r="F269">
            <v>0</v>
          </cell>
          <cell r="G269">
            <v>0</v>
          </cell>
        </row>
        <row r="270">
          <cell r="B270">
            <v>402</v>
          </cell>
          <cell r="C270" t="str">
            <v>"</v>
          </cell>
          <cell r="D270" t="str">
            <v>"</v>
          </cell>
          <cell r="E270">
            <v>0</v>
          </cell>
          <cell r="F270">
            <v>0</v>
          </cell>
          <cell r="G270">
            <v>0</v>
          </cell>
        </row>
        <row r="271">
          <cell r="B271">
            <v>409</v>
          </cell>
          <cell r="C271" t="str">
            <v>"</v>
          </cell>
          <cell r="D271" t="str">
            <v>"</v>
          </cell>
          <cell r="E271">
            <v>0</v>
          </cell>
          <cell r="F271">
            <v>0</v>
          </cell>
          <cell r="G271">
            <v>0</v>
          </cell>
        </row>
        <row r="272">
          <cell r="B272">
            <v>417</v>
          </cell>
          <cell r="C272" t="str">
            <v>"</v>
          </cell>
          <cell r="D272" t="str">
            <v>"</v>
          </cell>
          <cell r="E272">
            <v>0</v>
          </cell>
          <cell r="F272">
            <v>0</v>
          </cell>
          <cell r="G272">
            <v>6671.04</v>
          </cell>
        </row>
        <row r="273">
          <cell r="B273" t="str">
            <v>4**</v>
          </cell>
          <cell r="C273" t="str">
            <v>"</v>
          </cell>
          <cell r="D273" t="str">
            <v>"</v>
          </cell>
          <cell r="E273">
            <v>0</v>
          </cell>
          <cell r="F273">
            <v>0</v>
          </cell>
          <cell r="G273">
            <v>6671.04</v>
          </cell>
        </row>
        <row r="274">
          <cell r="B274" t="str">
            <v>5**</v>
          </cell>
          <cell r="C274" t="str">
            <v>"</v>
          </cell>
          <cell r="D274" t="str">
            <v>"</v>
          </cell>
          <cell r="E274">
            <v>2894.41</v>
          </cell>
          <cell r="F274">
            <v>1297.5</v>
          </cell>
          <cell r="G274">
            <v>17367.45</v>
          </cell>
        </row>
        <row r="275">
          <cell r="B275">
            <v>680</v>
          </cell>
          <cell r="C275" t="str">
            <v>"</v>
          </cell>
          <cell r="D275" t="str">
            <v>"</v>
          </cell>
          <cell r="E275">
            <v>1250</v>
          </cell>
          <cell r="F275">
            <v>1250</v>
          </cell>
          <cell r="G275">
            <v>7500</v>
          </cell>
        </row>
        <row r="276">
          <cell r="B276" t="str">
            <v>Toutes LPR</v>
          </cell>
          <cell r="C276" t="str">
            <v>"</v>
          </cell>
          <cell r="D276" t="str">
            <v>"</v>
          </cell>
          <cell r="E276">
            <v>4144.41</v>
          </cell>
          <cell r="F276">
            <v>2547.5</v>
          </cell>
          <cell r="G276">
            <v>61386.239999999998</v>
          </cell>
        </row>
        <row r="279">
          <cell r="B279" t="str">
            <v>TABLEAU DE BORD 87</v>
          </cell>
        </row>
        <row r="280">
          <cell r="B280" t="str">
            <v>UNITE N°2</v>
          </cell>
        </row>
        <row r="283">
          <cell r="B283" t="str">
            <v>Ligne prix de revient</v>
          </cell>
          <cell r="C283" t="str">
            <v>Sections analytiques</v>
          </cell>
          <cell r="D283" t="str">
            <v>Surcodes</v>
          </cell>
          <cell r="E283" t="str">
            <v>Réalisé</v>
          </cell>
          <cell r="F283" t="str">
            <v>Prévu</v>
          </cell>
          <cell r="G283" t="str">
            <v>Cumul</v>
          </cell>
        </row>
        <row r="284">
          <cell r="B284" t="str">
            <v>0**</v>
          </cell>
          <cell r="C284" t="str">
            <v>912</v>
          </cell>
          <cell r="D284" t="str">
            <v>7682</v>
          </cell>
          <cell r="E284">
            <v>83942.16</v>
          </cell>
          <cell r="F284">
            <v>133406.03</v>
          </cell>
          <cell r="G284">
            <v>666837.93999999994</v>
          </cell>
        </row>
        <row r="285">
          <cell r="B285" t="str">
            <v>05*</v>
          </cell>
          <cell r="C285" t="str">
            <v>"</v>
          </cell>
          <cell r="D285" t="str">
            <v>"</v>
          </cell>
          <cell r="E285">
            <v>5279.96</v>
          </cell>
          <cell r="F285">
            <v>10445.16</v>
          </cell>
          <cell r="G285">
            <v>42863.87</v>
          </cell>
        </row>
        <row r="286">
          <cell r="B286">
            <v>103</v>
          </cell>
          <cell r="C286" t="str">
            <v>"</v>
          </cell>
          <cell r="D286" t="str">
            <v>"</v>
          </cell>
          <cell r="E286">
            <v>6278.9</v>
          </cell>
          <cell r="F286">
            <v>741000</v>
          </cell>
          <cell r="G286">
            <v>438352.32</v>
          </cell>
        </row>
        <row r="287">
          <cell r="B287">
            <v>490</v>
          </cell>
          <cell r="C287" t="str">
            <v>"</v>
          </cell>
          <cell r="D287" t="str">
            <v>"</v>
          </cell>
          <cell r="E287">
            <v>0</v>
          </cell>
          <cell r="F287">
            <v>35425</v>
          </cell>
          <cell r="G287">
            <v>318666.34000000003</v>
          </cell>
        </row>
        <row r="288">
          <cell r="B288">
            <v>492</v>
          </cell>
          <cell r="C288" t="str">
            <v>"</v>
          </cell>
          <cell r="D288" t="str">
            <v>"</v>
          </cell>
          <cell r="E288">
            <v>0</v>
          </cell>
          <cell r="F288">
            <v>393656.25</v>
          </cell>
          <cell r="G288">
            <v>38012.800000000003</v>
          </cell>
        </row>
        <row r="289">
          <cell r="B289">
            <v>107</v>
          </cell>
          <cell r="C289" t="str">
            <v>"</v>
          </cell>
          <cell r="D289" t="str">
            <v>"</v>
          </cell>
          <cell r="E289">
            <v>0</v>
          </cell>
          <cell r="F289">
            <v>9100</v>
          </cell>
          <cell r="G289">
            <v>2622.2</v>
          </cell>
        </row>
        <row r="290">
          <cell r="B290">
            <v>211</v>
          </cell>
          <cell r="C290" t="str">
            <v>"</v>
          </cell>
          <cell r="D290" t="str">
            <v>"</v>
          </cell>
          <cell r="E290">
            <v>16255.55</v>
          </cell>
          <cell r="F290">
            <v>67267.91</v>
          </cell>
          <cell r="G290">
            <v>141106.13</v>
          </cell>
        </row>
        <row r="291">
          <cell r="B291">
            <v>212</v>
          </cell>
          <cell r="C291" t="str">
            <v>"</v>
          </cell>
          <cell r="D291" t="str">
            <v>"</v>
          </cell>
          <cell r="E291">
            <v>38697.300000000003</v>
          </cell>
          <cell r="F291">
            <v>86376.08</v>
          </cell>
          <cell r="G291">
            <v>256561.46</v>
          </cell>
        </row>
        <row r="292">
          <cell r="B292" t="str">
            <v>2**</v>
          </cell>
          <cell r="C292" t="str">
            <v>"</v>
          </cell>
          <cell r="D292" t="str">
            <v>"</v>
          </cell>
          <cell r="E292">
            <v>54952.85</v>
          </cell>
          <cell r="F292">
            <v>153643.99</v>
          </cell>
          <cell r="G292">
            <v>397667.59</v>
          </cell>
        </row>
        <row r="293">
          <cell r="B293" t="str">
            <v>3**</v>
          </cell>
          <cell r="C293" t="str">
            <v>"</v>
          </cell>
          <cell r="D293" t="str">
            <v>"</v>
          </cell>
          <cell r="E293">
            <v>0</v>
          </cell>
          <cell r="F293">
            <v>2916.66</v>
          </cell>
          <cell r="G293">
            <v>68768.820000000007</v>
          </cell>
        </row>
        <row r="294">
          <cell r="B294">
            <v>402</v>
          </cell>
          <cell r="C294" t="str">
            <v>"</v>
          </cell>
          <cell r="D294" t="str">
            <v>"</v>
          </cell>
          <cell r="E294">
            <v>0</v>
          </cell>
          <cell r="F294">
            <v>0</v>
          </cell>
          <cell r="G294">
            <v>0</v>
          </cell>
        </row>
        <row r="295">
          <cell r="B295">
            <v>409</v>
          </cell>
          <cell r="C295" t="str">
            <v>"</v>
          </cell>
          <cell r="D295" t="str">
            <v>"</v>
          </cell>
          <cell r="E295">
            <v>2333.81</v>
          </cell>
          <cell r="F295">
            <v>34842.75</v>
          </cell>
          <cell r="G295">
            <v>121413.52</v>
          </cell>
        </row>
        <row r="296">
          <cell r="B296">
            <v>417</v>
          </cell>
          <cell r="C296" t="str">
            <v>"</v>
          </cell>
          <cell r="D296" t="str">
            <v>"</v>
          </cell>
          <cell r="E296">
            <v>313.51</v>
          </cell>
          <cell r="F296">
            <v>32223.58</v>
          </cell>
          <cell r="G296">
            <v>207098.03</v>
          </cell>
        </row>
        <row r="297">
          <cell r="B297" t="str">
            <v>4**</v>
          </cell>
          <cell r="C297" t="str">
            <v>"</v>
          </cell>
          <cell r="D297" t="str">
            <v>"</v>
          </cell>
          <cell r="E297">
            <v>54727.32</v>
          </cell>
          <cell r="F297">
            <v>505897.87</v>
          </cell>
          <cell r="G297">
            <v>761463.83</v>
          </cell>
        </row>
        <row r="298">
          <cell r="B298" t="str">
            <v>5**</v>
          </cell>
          <cell r="C298" t="str">
            <v>"</v>
          </cell>
          <cell r="D298" t="str">
            <v>"</v>
          </cell>
          <cell r="E298">
            <v>28463.78</v>
          </cell>
          <cell r="F298">
            <v>12924.33</v>
          </cell>
          <cell r="G298">
            <v>171806.85</v>
          </cell>
        </row>
        <row r="299">
          <cell r="B299">
            <v>680</v>
          </cell>
          <cell r="C299" t="str">
            <v>"</v>
          </cell>
          <cell r="D299" t="str">
            <v>"</v>
          </cell>
          <cell r="E299">
            <v>619657.18999999994</v>
          </cell>
          <cell r="F299">
            <v>626877.07999999996</v>
          </cell>
          <cell r="G299">
            <v>3718196.54</v>
          </cell>
        </row>
        <row r="300">
          <cell r="B300" t="str">
            <v>Toutes LPR</v>
          </cell>
          <cell r="C300" t="str">
            <v>"</v>
          </cell>
          <cell r="D300" t="str">
            <v>"</v>
          </cell>
          <cell r="E300">
            <v>848022.2</v>
          </cell>
          <cell r="F300">
            <v>2185765.96</v>
          </cell>
          <cell r="G300">
            <v>6225716.0899999999</v>
          </cell>
        </row>
        <row r="303">
          <cell r="B303" t="str">
            <v>TABLEAU DE BORD 88</v>
          </cell>
        </row>
        <row r="304">
          <cell r="B304" t="str">
            <v>UNITE N°3</v>
          </cell>
        </row>
        <row r="307">
          <cell r="B307" t="str">
            <v>Ligne prix de revient</v>
          </cell>
          <cell r="C307" t="str">
            <v>Sections analytiques</v>
          </cell>
          <cell r="D307" t="str">
            <v>Surcodes</v>
          </cell>
          <cell r="E307" t="str">
            <v>Réalisé</v>
          </cell>
          <cell r="F307" t="str">
            <v>Prévu</v>
          </cell>
          <cell r="G307" t="str">
            <v>Cumul</v>
          </cell>
        </row>
        <row r="308">
          <cell r="B308" t="str">
            <v>0**</v>
          </cell>
          <cell r="C308" t="str">
            <v>913</v>
          </cell>
          <cell r="D308" t="str">
            <v>7682</v>
          </cell>
          <cell r="E308">
            <v>164368.20000000001</v>
          </cell>
          <cell r="F308">
            <v>133406.03</v>
          </cell>
          <cell r="G308">
            <v>802265.52</v>
          </cell>
        </row>
        <row r="309">
          <cell r="B309" t="str">
            <v>05*</v>
          </cell>
          <cell r="C309" t="str">
            <v>"</v>
          </cell>
          <cell r="D309" t="str">
            <v>"</v>
          </cell>
          <cell r="E309">
            <v>10418.280000000001</v>
          </cell>
          <cell r="F309">
            <v>10445.16</v>
          </cell>
          <cell r="G309">
            <v>58423.14</v>
          </cell>
        </row>
        <row r="310">
          <cell r="B310">
            <v>103</v>
          </cell>
          <cell r="C310" t="str">
            <v>"</v>
          </cell>
          <cell r="D310" t="str">
            <v>"</v>
          </cell>
          <cell r="E310">
            <v>507387.66</v>
          </cell>
          <cell r="F310">
            <v>741000</v>
          </cell>
          <cell r="G310">
            <v>4077682.68</v>
          </cell>
        </row>
        <row r="311">
          <cell r="B311">
            <v>490</v>
          </cell>
          <cell r="C311" t="str">
            <v>"</v>
          </cell>
          <cell r="D311" t="str">
            <v>"</v>
          </cell>
          <cell r="E311">
            <v>12383.42</v>
          </cell>
          <cell r="F311">
            <v>35425</v>
          </cell>
          <cell r="G311">
            <v>25432.82</v>
          </cell>
        </row>
        <row r="312">
          <cell r="B312">
            <v>492</v>
          </cell>
          <cell r="C312" t="str">
            <v>"</v>
          </cell>
          <cell r="D312" t="str">
            <v>"</v>
          </cell>
          <cell r="E312">
            <v>178160</v>
          </cell>
          <cell r="F312">
            <v>393656.25</v>
          </cell>
          <cell r="G312">
            <v>2228333.6</v>
          </cell>
        </row>
        <row r="313">
          <cell r="B313">
            <v>107</v>
          </cell>
          <cell r="C313" t="str">
            <v>"</v>
          </cell>
          <cell r="D313" t="str">
            <v>"</v>
          </cell>
          <cell r="E313">
            <v>3242.4</v>
          </cell>
          <cell r="F313">
            <v>9100</v>
          </cell>
          <cell r="G313">
            <v>52456.6</v>
          </cell>
        </row>
        <row r="314">
          <cell r="B314">
            <v>211</v>
          </cell>
          <cell r="C314" t="str">
            <v>"</v>
          </cell>
          <cell r="D314" t="str">
            <v>"</v>
          </cell>
          <cell r="E314">
            <v>56819.199999999997</v>
          </cell>
          <cell r="F314">
            <v>67267.91</v>
          </cell>
          <cell r="G314">
            <v>405473.1</v>
          </cell>
        </row>
        <row r="315">
          <cell r="B315">
            <v>212</v>
          </cell>
          <cell r="C315" t="str">
            <v>"</v>
          </cell>
          <cell r="D315" t="str">
            <v>"</v>
          </cell>
          <cell r="E315">
            <v>84455.16</v>
          </cell>
          <cell r="F315">
            <v>86376.08</v>
          </cell>
          <cell r="G315">
            <v>472229.6</v>
          </cell>
        </row>
        <row r="316">
          <cell r="B316" t="str">
            <v>2**</v>
          </cell>
          <cell r="C316" t="str">
            <v>"</v>
          </cell>
          <cell r="D316" t="str">
            <v>"</v>
          </cell>
          <cell r="E316">
            <v>141274.35999999999</v>
          </cell>
          <cell r="F316">
            <v>153643.99</v>
          </cell>
          <cell r="G316">
            <v>877702.7</v>
          </cell>
        </row>
        <row r="317">
          <cell r="B317" t="str">
            <v>3**</v>
          </cell>
          <cell r="C317" t="str">
            <v>"</v>
          </cell>
          <cell r="D317" t="str">
            <v>"</v>
          </cell>
          <cell r="E317">
            <v>0</v>
          </cell>
          <cell r="F317">
            <v>2916.66</v>
          </cell>
          <cell r="G317">
            <v>13776.42</v>
          </cell>
        </row>
        <row r="318">
          <cell r="B318">
            <v>402</v>
          </cell>
          <cell r="C318" t="str">
            <v>"</v>
          </cell>
          <cell r="D318" t="str">
            <v>"</v>
          </cell>
          <cell r="E318">
            <v>0</v>
          </cell>
          <cell r="F318">
            <v>0</v>
          </cell>
          <cell r="G318">
            <v>0</v>
          </cell>
        </row>
        <row r="319">
          <cell r="B319">
            <v>409</v>
          </cell>
          <cell r="C319" t="str">
            <v>"</v>
          </cell>
          <cell r="D319" t="str">
            <v>"</v>
          </cell>
          <cell r="E319">
            <v>11014.88</v>
          </cell>
          <cell r="F319">
            <v>34842.75</v>
          </cell>
          <cell r="G319">
            <v>59774.93</v>
          </cell>
        </row>
        <row r="320">
          <cell r="B320">
            <v>417</v>
          </cell>
          <cell r="C320" t="str">
            <v>"</v>
          </cell>
          <cell r="D320" t="str">
            <v>"</v>
          </cell>
          <cell r="E320">
            <v>4276.68</v>
          </cell>
          <cell r="F320">
            <v>32223.58</v>
          </cell>
          <cell r="G320">
            <v>276457.8</v>
          </cell>
        </row>
        <row r="321">
          <cell r="B321" t="str">
            <v>4**</v>
          </cell>
          <cell r="C321" t="str">
            <v>"</v>
          </cell>
          <cell r="D321" t="str">
            <v>"</v>
          </cell>
          <cell r="E321">
            <v>252135.49</v>
          </cell>
          <cell r="F321">
            <v>505897.87</v>
          </cell>
          <cell r="G321">
            <v>2664644</v>
          </cell>
        </row>
        <row r="322">
          <cell r="B322" t="str">
            <v>5**</v>
          </cell>
          <cell r="C322" t="str">
            <v>"</v>
          </cell>
          <cell r="D322" t="str">
            <v>"</v>
          </cell>
          <cell r="E322">
            <v>28631.82</v>
          </cell>
          <cell r="F322">
            <v>71257.66</v>
          </cell>
          <cell r="G322">
            <v>186588.27</v>
          </cell>
        </row>
        <row r="323">
          <cell r="B323">
            <v>680</v>
          </cell>
          <cell r="C323" t="str">
            <v>"</v>
          </cell>
          <cell r="D323" t="str">
            <v>"</v>
          </cell>
          <cell r="E323">
            <v>613280.41</v>
          </cell>
          <cell r="F323">
            <v>613280.41</v>
          </cell>
          <cell r="G323">
            <v>3679682.46</v>
          </cell>
        </row>
        <row r="324">
          <cell r="B324" t="str">
            <v>Toutes LPR</v>
          </cell>
          <cell r="C324" t="str">
            <v>"</v>
          </cell>
          <cell r="D324" t="str">
            <v>"</v>
          </cell>
          <cell r="E324">
            <v>1710320.34</v>
          </cell>
          <cell r="F324">
            <v>2230502.62</v>
          </cell>
          <cell r="G324">
            <v>12354798.65</v>
          </cell>
        </row>
        <row r="327">
          <cell r="B327" t="str">
            <v>TABLEAU DE BORD 89</v>
          </cell>
        </row>
        <row r="328">
          <cell r="B328" t="str">
            <v>UNITE N°4</v>
          </cell>
        </row>
        <row r="331">
          <cell r="B331" t="str">
            <v>Ligne prix de revient</v>
          </cell>
          <cell r="C331" t="str">
            <v>Sections analytiques</v>
          </cell>
          <cell r="D331" t="str">
            <v>Surcodes</v>
          </cell>
          <cell r="E331" t="str">
            <v>Réalisé</v>
          </cell>
          <cell r="F331" t="str">
            <v>Prévu</v>
          </cell>
          <cell r="G331" t="str">
            <v>Cumul</v>
          </cell>
        </row>
        <row r="332">
          <cell r="B332" t="str">
            <v>0**</v>
          </cell>
          <cell r="C332" t="str">
            <v>914</v>
          </cell>
          <cell r="D332" t="str">
            <v>7682</v>
          </cell>
          <cell r="E332">
            <v>188866.8</v>
          </cell>
          <cell r="F332">
            <v>133406.03</v>
          </cell>
          <cell r="G332">
            <v>1173376.01</v>
          </cell>
        </row>
        <row r="333">
          <cell r="B333" t="str">
            <v>05*</v>
          </cell>
          <cell r="C333" t="str">
            <v>"</v>
          </cell>
          <cell r="D333" t="str">
            <v>"</v>
          </cell>
          <cell r="E333">
            <v>14055.13</v>
          </cell>
          <cell r="F333">
            <v>10445.16</v>
          </cell>
          <cell r="G333">
            <v>96172.15</v>
          </cell>
        </row>
        <row r="334">
          <cell r="B334">
            <v>103</v>
          </cell>
          <cell r="C334" t="str">
            <v>"</v>
          </cell>
          <cell r="D334" t="str">
            <v>"</v>
          </cell>
          <cell r="E334">
            <v>1763823.3</v>
          </cell>
          <cell r="F334">
            <v>741000</v>
          </cell>
          <cell r="G334">
            <v>7685890.8600000003</v>
          </cell>
        </row>
        <row r="335">
          <cell r="B335">
            <v>490</v>
          </cell>
          <cell r="C335" t="str">
            <v>"</v>
          </cell>
          <cell r="D335" t="str">
            <v>"</v>
          </cell>
          <cell r="E335">
            <v>7603.85</v>
          </cell>
          <cell r="F335">
            <v>35425</v>
          </cell>
          <cell r="G335">
            <v>35586.03</v>
          </cell>
        </row>
        <row r="336">
          <cell r="B336">
            <v>492</v>
          </cell>
          <cell r="C336" t="str">
            <v>"</v>
          </cell>
          <cell r="D336" t="str">
            <v>"</v>
          </cell>
          <cell r="E336">
            <v>1043426</v>
          </cell>
          <cell r="F336">
            <v>393656.25</v>
          </cell>
          <cell r="G336">
            <v>4792847.28</v>
          </cell>
        </row>
        <row r="337">
          <cell r="B337">
            <v>107</v>
          </cell>
          <cell r="C337" t="str">
            <v>"</v>
          </cell>
          <cell r="D337" t="str">
            <v>"</v>
          </cell>
          <cell r="E337">
            <v>18830</v>
          </cell>
          <cell r="F337">
            <v>9100</v>
          </cell>
          <cell r="G337">
            <v>103924.8</v>
          </cell>
        </row>
        <row r="338">
          <cell r="B338">
            <v>211</v>
          </cell>
          <cell r="C338" t="str">
            <v>"</v>
          </cell>
          <cell r="D338" t="str">
            <v>"</v>
          </cell>
          <cell r="E338">
            <v>55428.3</v>
          </cell>
          <cell r="F338">
            <v>67267.91</v>
          </cell>
          <cell r="G338">
            <v>427333.59</v>
          </cell>
        </row>
        <row r="339">
          <cell r="B339">
            <v>212</v>
          </cell>
          <cell r="C339" t="str">
            <v>"</v>
          </cell>
          <cell r="D339" t="str">
            <v>"</v>
          </cell>
          <cell r="E339">
            <v>114326.76</v>
          </cell>
          <cell r="F339">
            <v>86376.08</v>
          </cell>
          <cell r="G339">
            <v>587653.56999999995</v>
          </cell>
        </row>
        <row r="340">
          <cell r="B340" t="str">
            <v>2**</v>
          </cell>
          <cell r="C340" t="str">
            <v>"</v>
          </cell>
          <cell r="D340" t="str">
            <v>"</v>
          </cell>
          <cell r="E340">
            <v>169755.06</v>
          </cell>
          <cell r="F340">
            <v>153643.99</v>
          </cell>
          <cell r="G340">
            <v>1014987.16</v>
          </cell>
        </row>
        <row r="341">
          <cell r="B341" t="str">
            <v>3**</v>
          </cell>
          <cell r="C341" t="str">
            <v>"</v>
          </cell>
          <cell r="D341" t="str">
            <v>"</v>
          </cell>
          <cell r="E341">
            <v>2020.86</v>
          </cell>
          <cell r="F341">
            <v>2916.66</v>
          </cell>
          <cell r="G341">
            <v>35038.480000000003</v>
          </cell>
        </row>
        <row r="342">
          <cell r="B342">
            <v>402</v>
          </cell>
          <cell r="C342" t="str">
            <v>"</v>
          </cell>
          <cell r="D342" t="str">
            <v>"</v>
          </cell>
          <cell r="E342">
            <v>0</v>
          </cell>
          <cell r="F342">
            <v>0</v>
          </cell>
          <cell r="G342">
            <v>0</v>
          </cell>
        </row>
        <row r="343">
          <cell r="B343">
            <v>409</v>
          </cell>
          <cell r="C343" t="str">
            <v>"</v>
          </cell>
          <cell r="D343" t="str">
            <v>"</v>
          </cell>
          <cell r="E343">
            <v>6935.09</v>
          </cell>
          <cell r="F343">
            <v>34842.75</v>
          </cell>
          <cell r="G343">
            <v>99548.06</v>
          </cell>
        </row>
        <row r="344">
          <cell r="B344">
            <v>417</v>
          </cell>
          <cell r="C344" t="str">
            <v>"</v>
          </cell>
          <cell r="D344" t="str">
            <v>"</v>
          </cell>
          <cell r="E344">
            <v>6403.25</v>
          </cell>
          <cell r="F344">
            <v>32223.58</v>
          </cell>
          <cell r="G344">
            <v>117105.31</v>
          </cell>
        </row>
        <row r="345">
          <cell r="B345" t="str">
            <v>4**</v>
          </cell>
          <cell r="C345" t="str">
            <v>"</v>
          </cell>
          <cell r="D345" t="str">
            <v>"</v>
          </cell>
          <cell r="E345">
            <v>1233065.17</v>
          </cell>
          <cell r="F345">
            <v>505897.87</v>
          </cell>
          <cell r="G345">
            <v>5265234.1100000003</v>
          </cell>
        </row>
        <row r="346">
          <cell r="B346" t="str">
            <v>5**</v>
          </cell>
          <cell r="C346" t="str">
            <v>"</v>
          </cell>
          <cell r="D346" t="str">
            <v>"</v>
          </cell>
          <cell r="E346">
            <v>29490.19</v>
          </cell>
          <cell r="F346">
            <v>12924.33</v>
          </cell>
          <cell r="G346">
            <v>178005.82</v>
          </cell>
        </row>
        <row r="347">
          <cell r="B347">
            <v>680</v>
          </cell>
          <cell r="C347" t="str">
            <v>"</v>
          </cell>
          <cell r="D347" t="str">
            <v>"</v>
          </cell>
          <cell r="E347">
            <v>614167.41</v>
          </cell>
          <cell r="F347">
            <v>614167.41</v>
          </cell>
          <cell r="G347">
            <v>3685004.46</v>
          </cell>
        </row>
        <row r="348">
          <cell r="B348" t="str">
            <v>Toutes LPR</v>
          </cell>
          <cell r="C348" t="str">
            <v>"</v>
          </cell>
          <cell r="D348" t="str">
            <v>"</v>
          </cell>
          <cell r="E348">
            <v>4020018.79</v>
          </cell>
          <cell r="F348">
            <v>2173056.29</v>
          </cell>
          <cell r="G348">
            <v>19141461.699999999</v>
          </cell>
        </row>
        <row r="351">
          <cell r="B351" t="str">
            <v>TABLEAU DE BORD 90</v>
          </cell>
        </row>
        <row r="352">
          <cell r="B352" t="str">
            <v>USINE DE SECHAGE</v>
          </cell>
        </row>
        <row r="355">
          <cell r="B355" t="str">
            <v>Ligne prix de revient</v>
          </cell>
          <cell r="C355" t="str">
            <v>Sections analytiques</v>
          </cell>
          <cell r="D355" t="str">
            <v>Surcodes</v>
          </cell>
          <cell r="E355" t="str">
            <v>Réalisé</v>
          </cell>
          <cell r="F355" t="str">
            <v>Prévu</v>
          </cell>
          <cell r="G355" t="str">
            <v>Cumul</v>
          </cell>
        </row>
        <row r="356">
          <cell r="B356" t="str">
            <v>0**</v>
          </cell>
          <cell r="C356" t="str">
            <v>900</v>
          </cell>
          <cell r="D356" t="str">
            <v>2481</v>
          </cell>
          <cell r="E356">
            <v>168905.82</v>
          </cell>
          <cell r="F356">
            <v>156699.53</v>
          </cell>
          <cell r="G356">
            <v>976614.99</v>
          </cell>
        </row>
        <row r="357">
          <cell r="B357" t="str">
            <v>05*</v>
          </cell>
          <cell r="C357" t="str">
            <v>"</v>
          </cell>
          <cell r="D357" t="str">
            <v>"</v>
          </cell>
          <cell r="E357">
            <v>14649.02</v>
          </cell>
          <cell r="F357">
            <v>13474.34</v>
          </cell>
          <cell r="G357">
            <v>112193.62</v>
          </cell>
        </row>
        <row r="358">
          <cell r="B358">
            <v>103</v>
          </cell>
          <cell r="C358" t="str">
            <v>"</v>
          </cell>
          <cell r="D358" t="str">
            <v>"</v>
          </cell>
          <cell r="E358">
            <v>215337.78</v>
          </cell>
          <cell r="F358">
            <v>166902.32999999999</v>
          </cell>
          <cell r="G358">
            <v>1422037.28</v>
          </cell>
        </row>
        <row r="359">
          <cell r="B359">
            <v>490</v>
          </cell>
          <cell r="C359" t="str">
            <v>"</v>
          </cell>
          <cell r="D359" t="str">
            <v>"</v>
          </cell>
          <cell r="E359">
            <v>0</v>
          </cell>
          <cell r="F359">
            <v>0</v>
          </cell>
          <cell r="G359">
            <v>0</v>
          </cell>
        </row>
        <row r="360">
          <cell r="B360">
            <v>492</v>
          </cell>
          <cell r="C360" t="str">
            <v>"</v>
          </cell>
          <cell r="D360" t="str">
            <v>"</v>
          </cell>
          <cell r="E360">
            <v>1432402.32</v>
          </cell>
          <cell r="F360">
            <v>1092262.5</v>
          </cell>
          <cell r="G360">
            <v>9295763.0399999991</v>
          </cell>
        </row>
        <row r="361">
          <cell r="B361">
            <v>211</v>
          </cell>
          <cell r="C361" t="str">
            <v>"</v>
          </cell>
          <cell r="D361" t="str">
            <v>"</v>
          </cell>
          <cell r="E361">
            <v>97140.95</v>
          </cell>
          <cell r="F361">
            <v>62281.33</v>
          </cell>
          <cell r="G361">
            <v>486653.15</v>
          </cell>
        </row>
        <row r="362">
          <cell r="B362">
            <v>212</v>
          </cell>
          <cell r="C362" t="str">
            <v>"</v>
          </cell>
          <cell r="D362" t="str">
            <v>"</v>
          </cell>
          <cell r="E362">
            <v>117303.96</v>
          </cell>
          <cell r="F362">
            <v>91749.41</v>
          </cell>
          <cell r="G362">
            <v>699392.13</v>
          </cell>
        </row>
        <row r="363">
          <cell r="B363" t="str">
            <v>2**</v>
          </cell>
          <cell r="C363" t="str">
            <v>"</v>
          </cell>
          <cell r="D363" t="str">
            <v>"</v>
          </cell>
          <cell r="E363">
            <v>214444.91</v>
          </cell>
          <cell r="F363">
            <v>154030.74</v>
          </cell>
          <cell r="G363">
            <v>1186045.28</v>
          </cell>
        </row>
        <row r="364">
          <cell r="B364" t="str">
            <v>3**</v>
          </cell>
          <cell r="C364" t="str">
            <v>"</v>
          </cell>
          <cell r="D364" t="str">
            <v>"</v>
          </cell>
          <cell r="E364">
            <v>2204.58</v>
          </cell>
          <cell r="F364">
            <v>833.32</v>
          </cell>
          <cell r="G364">
            <v>8663.6200000000008</v>
          </cell>
        </row>
        <row r="365">
          <cell r="B365">
            <v>402</v>
          </cell>
          <cell r="C365" t="str">
            <v>"</v>
          </cell>
          <cell r="D365" t="str">
            <v>"</v>
          </cell>
          <cell r="E365">
            <v>0</v>
          </cell>
          <cell r="F365">
            <v>8619</v>
          </cell>
          <cell r="G365">
            <v>53922</v>
          </cell>
        </row>
        <row r="366">
          <cell r="B366">
            <v>408</v>
          </cell>
          <cell r="C366" t="str">
            <v>"</v>
          </cell>
          <cell r="D366" t="str">
            <v>"</v>
          </cell>
          <cell r="E366">
            <v>0</v>
          </cell>
          <cell r="F366">
            <v>0</v>
          </cell>
          <cell r="G366">
            <v>44826.51</v>
          </cell>
        </row>
        <row r="367">
          <cell r="B367">
            <v>409</v>
          </cell>
          <cell r="C367" t="str">
            <v>"</v>
          </cell>
          <cell r="D367" t="str">
            <v>"</v>
          </cell>
          <cell r="E367">
            <v>8993.2900000000009</v>
          </cell>
          <cell r="F367">
            <v>12016.33</v>
          </cell>
          <cell r="G367">
            <v>190341.39</v>
          </cell>
        </row>
        <row r="368">
          <cell r="B368">
            <v>417</v>
          </cell>
          <cell r="C368" t="str">
            <v>"</v>
          </cell>
          <cell r="D368" t="str">
            <v>"</v>
          </cell>
          <cell r="E368">
            <v>12296.81</v>
          </cell>
          <cell r="F368">
            <v>36143.58</v>
          </cell>
          <cell r="G368">
            <v>272762.67</v>
          </cell>
        </row>
        <row r="369">
          <cell r="B369" t="str">
            <v>4**</v>
          </cell>
          <cell r="C369" t="str">
            <v>"</v>
          </cell>
          <cell r="D369" t="str">
            <v>"</v>
          </cell>
          <cell r="E369">
            <v>1457495.51</v>
          </cell>
          <cell r="F369">
            <v>1156181.3799999999</v>
          </cell>
          <cell r="G369">
            <v>9927772.8900000006</v>
          </cell>
        </row>
        <row r="370">
          <cell r="B370" t="str">
            <v>5**</v>
          </cell>
          <cell r="C370" t="str">
            <v>"</v>
          </cell>
          <cell r="D370" t="str">
            <v>"</v>
          </cell>
          <cell r="E370">
            <v>1378.68</v>
          </cell>
          <cell r="F370">
            <v>3509.66</v>
          </cell>
          <cell r="G370">
            <v>16164.9</v>
          </cell>
        </row>
        <row r="371">
          <cell r="B371">
            <v>680</v>
          </cell>
          <cell r="C371" t="str">
            <v>"</v>
          </cell>
          <cell r="D371" t="str">
            <v>"</v>
          </cell>
          <cell r="E371">
            <v>1873.26</v>
          </cell>
          <cell r="F371">
            <v>6662.25</v>
          </cell>
          <cell r="G371">
            <v>11239.56</v>
          </cell>
        </row>
        <row r="372">
          <cell r="B372" t="str">
            <v>Toutes LPR</v>
          </cell>
          <cell r="C372" t="str">
            <v>"</v>
          </cell>
          <cell r="D372" t="str">
            <v>"</v>
          </cell>
          <cell r="E372">
            <v>2061640.54</v>
          </cell>
          <cell r="F372">
            <v>1644819.21</v>
          </cell>
          <cell r="G372">
            <v>13548538.52</v>
          </cell>
        </row>
      </sheetData>
      <sheetData sheetId="10"/>
      <sheetData sheetId="1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(2)"/>
      <sheetName val="VENTES EN KT"/>
      <sheetName val="groupe1999-2003"/>
      <sheetName val="CACONSOLIDE"/>
      <sheetName val="VENTES"/>
      <sheetName val="PRODUCTION"/>
      <sheetName val="EFFECTIFS"/>
      <sheetName val="INVS"/>
      <sheetName val="mesres"/>
      <sheetName val="RESULTA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 Archives"/>
      <sheetName val="#REF"/>
      <sheetName val="CSCCincSKR"/>
      <sheetName val="Proforma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DECIDE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Inputs"/>
      <sheetName val="Assum"/>
      <sheetName val="TOC1"/>
      <sheetName val="Val Results"/>
      <sheetName val="Summary_Sheet"/>
      <sheetName val="Summary Sheet 2"/>
      <sheetName val="Summary Sheet 3"/>
      <sheetName val="Ratios"/>
      <sheetName val="IS"/>
      <sheetName val="PF_DCF"/>
      <sheetName val="PF_Levered_DCF"/>
      <sheetName val="Acquiror"/>
      <sheetName val="Target Kc"/>
      <sheetName val="Debt"/>
      <sheetName val="Acq_DCF"/>
      <sheetName val="Acq_Levered_DCF"/>
      <sheetName val="target_old"/>
      <sheetName val="FQ_DCF"/>
      <sheetName val="FQ_Levered_DCF"/>
      <sheetName val="Op-BS"/>
      <sheetName val="BSCF"/>
      <sheetName val="Acquiror_US"/>
      <sheetName val="Target "/>
      <sheetName val="Summary Sheet"/>
      <sheetName val="Sheet2"/>
      <sheetName val="United Kingdom"/>
      <sheetName val="France"/>
      <sheetName val="Germany"/>
      <sheetName val="Spain"/>
      <sheetName val="Netherlands"/>
      <sheetName val="Belgium"/>
      <sheetName val="Italy"/>
      <sheetName val="Valuation Matrix"/>
      <sheetName val="Central Europe"/>
      <sheetName val="Eastern Europe"/>
      <sheetName val="Sens"/>
      <sheetName val="Acc_Dil"/>
      <sheetName val="Summary"/>
      <sheetName val="Matrix"/>
      <sheetName val="Contrib"/>
      <sheetName val="AcqRat"/>
      <sheetName val="AcqDCF2"/>
      <sheetName val="AcqDCF1"/>
      <sheetName val="TargRat"/>
      <sheetName val="TargDCF2"/>
      <sheetName val="NewDCF"/>
      <sheetName val="LBO"/>
      <sheetName val="NewMatrix"/>
      <sheetName val="Charts"/>
      <sheetName val="Module1"/>
      <sheetName val="Module2"/>
    </sheetNames>
    <sheetDataSet>
      <sheetData sheetId="0" refreshError="1"/>
      <sheetData sheetId="1" refreshError="1">
        <row r="17">
          <cell r="D17" t="str">
            <v>September 30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"/>
      <sheetName val="Consomations specifiques"/>
      <sheetName val="Principales consommations"/>
    </sheetNames>
    <sheetDataSet>
      <sheetData sheetId="0"/>
      <sheetData sheetId="1"/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Inputs"/>
      <sheetName val="Assum"/>
      <sheetName val="TOC1"/>
      <sheetName val="Val Results"/>
      <sheetName val="Summary_Sheet"/>
      <sheetName val="Summary Sheet 2"/>
      <sheetName val="Summary Sheet 3"/>
      <sheetName val="Ratios"/>
      <sheetName val="IS"/>
      <sheetName val="PF_DCF"/>
      <sheetName val="PF_Levered_DCF"/>
      <sheetName val="Acquiror"/>
      <sheetName val="Target Kc"/>
      <sheetName val="Debt"/>
      <sheetName val="Acq_DCF"/>
      <sheetName val="Acq_Levered_DCF"/>
      <sheetName val="target_old"/>
      <sheetName val="FQ_DCF"/>
      <sheetName val="FQ_Levered_DCF"/>
      <sheetName val="Op-BS"/>
      <sheetName val="BSCF"/>
      <sheetName val="Acquiror_US"/>
      <sheetName val="Target "/>
      <sheetName val="Summary Sheet"/>
      <sheetName val="Sheet2"/>
      <sheetName val="United Kingdom"/>
      <sheetName val="France"/>
      <sheetName val="Germany"/>
      <sheetName val="Spain"/>
      <sheetName val="Netherlands"/>
      <sheetName val="Belgium"/>
      <sheetName val="Italy"/>
      <sheetName val="Valuation Matrix"/>
      <sheetName val="Central Europe"/>
      <sheetName val="Eastern Europe"/>
      <sheetName val="Sens"/>
      <sheetName val="Acc_Dil"/>
      <sheetName val="Summary"/>
      <sheetName val="Matrix"/>
      <sheetName val="Contrib"/>
      <sheetName val="AcqRat"/>
      <sheetName val="AcqDCF2"/>
      <sheetName val="AcqDCF1"/>
      <sheetName val="TargRat"/>
      <sheetName val="TargDCF2"/>
      <sheetName val="NewDCF"/>
      <sheetName val="LBO"/>
      <sheetName val="NewMatrix"/>
      <sheetName val="Charts"/>
      <sheetName val="Module1"/>
      <sheetName val="Module2"/>
    </sheetNames>
    <sheetDataSet>
      <sheetData sheetId="0"/>
      <sheetData sheetId="1" refreshError="1">
        <row r="15">
          <cell r="D15" t="str">
            <v>December 31</v>
          </cell>
        </row>
        <row r="16">
          <cell r="D16">
            <v>1998</v>
          </cell>
        </row>
        <row r="17">
          <cell r="D17" t="str">
            <v>September 30</v>
          </cell>
        </row>
        <row r="18">
          <cell r="D18">
            <v>1998</v>
          </cell>
        </row>
      </sheetData>
      <sheetData sheetId="2"/>
      <sheetData sheetId="3" refreshError="1"/>
      <sheetData sheetId="4" refreshError="1"/>
      <sheetData sheetId="5" refreshError="1">
        <row r="50">
          <cell r="Z50">
            <v>2</v>
          </cell>
        </row>
      </sheetData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 refreshError="1"/>
      <sheetData sheetId="20" refreshError="1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"/>
      <sheetName val="Page Garde"/>
      <sheetName val="Sommaire"/>
      <sheetName val="EY-C-P2-P3"/>
      <sheetName val="EY-C-P4"/>
      <sheetName val="EY-C-P5"/>
      <sheetName val="EY-C-P6"/>
      <sheetName val="EY-C-P7"/>
      <sheetName val="EY-C-P8"/>
      <sheetName val="EY-C-P9"/>
      <sheetName val="EY-C-P10"/>
      <sheetName val="R6-P11"/>
      <sheetName val="R6-P12"/>
      <sheetName val="R6-P13"/>
      <sheetName val="R6-P14"/>
      <sheetName val="R6-P15"/>
      <sheetName val="R6-P16"/>
      <sheetName val="R8-P17"/>
      <sheetName val="R8-P18"/>
      <sheetName val="R8-P19"/>
      <sheetName val="R8-P20"/>
      <sheetName val="R8-P21"/>
      <sheetName val="R8-P22"/>
      <sheetName val="R9-P23"/>
      <sheetName val="R9-P24"/>
      <sheetName val="R9-P25"/>
      <sheetName val="R9-P26"/>
      <sheetName val="R9-P27"/>
      <sheetName val="R9-P28"/>
      <sheetName val="MR-P29"/>
      <sheetName val="MR-P30"/>
      <sheetName val="ME-P31"/>
      <sheetName val="ME-P32"/>
      <sheetName val="MM-P33"/>
      <sheetName val="MM-P34"/>
      <sheetName val="MS-P35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56">
          <cell r="AA56" t="str">
            <v>TOTAL</v>
          </cell>
          <cell r="AB56" t="e">
            <v>#REF!</v>
          </cell>
          <cell r="AD56" t="e">
            <v>#REF!</v>
          </cell>
          <cell r="AF56" t="e">
            <v>#REF!</v>
          </cell>
          <cell r="AH56" t="e">
            <v>#REF!</v>
          </cell>
          <cell r="AJ56" t="e">
            <v>#REF!</v>
          </cell>
        </row>
        <row r="57">
          <cell r="Z57" t="str">
            <v>ENERG</v>
          </cell>
          <cell r="AA57" t="str">
            <v>Y1</v>
          </cell>
          <cell r="AB57">
            <v>0</v>
          </cell>
          <cell r="AD57" t="e">
            <v>#REF!</v>
          </cell>
          <cell r="AF57" t="e">
            <v>#REF!</v>
          </cell>
          <cell r="AJ57" t="e">
            <v>#REF!</v>
          </cell>
        </row>
        <row r="58">
          <cell r="AA58" t="str">
            <v>Y2</v>
          </cell>
          <cell r="AB58" t="e">
            <v>#REF!</v>
          </cell>
          <cell r="AD58" t="e">
            <v>#REF!</v>
          </cell>
          <cell r="AF58" t="e">
            <v>#REF!</v>
          </cell>
          <cell r="AH58" t="e">
            <v>#REF!</v>
          </cell>
          <cell r="AJ58" t="e">
            <v>#REF!</v>
          </cell>
        </row>
        <row r="62">
          <cell r="AA62" t="str">
            <v>TOTAL</v>
          </cell>
          <cell r="AB62">
            <v>2.1375999999999999</v>
          </cell>
          <cell r="AD62" t="e">
            <v>#REF!</v>
          </cell>
          <cell r="AF62" t="e">
            <v>#REF!</v>
          </cell>
          <cell r="AH62" t="e">
            <v>#REF!</v>
          </cell>
          <cell r="AJ62" t="e">
            <v>#REF!</v>
          </cell>
        </row>
        <row r="63">
          <cell r="Z63" t="str">
            <v>BANDE</v>
          </cell>
          <cell r="AA63" t="str">
            <v>Y1</v>
          </cell>
          <cell r="AB63">
            <v>0</v>
          </cell>
          <cell r="AD63" t="e">
            <v>#REF!</v>
          </cell>
          <cell r="AF63" t="e">
            <v>#REF!</v>
          </cell>
          <cell r="AJ63" t="e">
            <v>#REF!</v>
          </cell>
        </row>
        <row r="64">
          <cell r="AA64" t="str">
            <v>Y2</v>
          </cell>
          <cell r="AB64">
            <v>2.1375999999999999</v>
          </cell>
          <cell r="AD64" t="e">
            <v>#REF!</v>
          </cell>
          <cell r="AF64" t="e">
            <v>#REF!</v>
          </cell>
          <cell r="AH64" t="e">
            <v>#REF!</v>
          </cell>
          <cell r="AJ64" t="e">
            <v>#REF!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VERTURE"/>
      <sheetName val="SOMMAIRE"/>
      <sheetName val="PR1-2"/>
      <sheetName val="PR3-4"/>
      <sheetName val="PR-5-6 "/>
      <sheetName val="PR7-8"/>
      <sheetName val="PR9-10"/>
      <sheetName val="PR11-12"/>
      <sheetName val="DIFFUSION"/>
      <sheetName val="Tableau de bord"/>
      <sheetName val="STRUCT CHARGES-COUTS"/>
      <sheetName val="DEG-EA"/>
    </sheetNames>
    <sheetDataSet>
      <sheetData sheetId="0" refreshError="1"/>
      <sheetData sheetId="1" refreshError="1">
        <row r="1">
          <cell r="A1" t="str">
            <v>DEG/TG/C</v>
          </cell>
        </row>
        <row r="5">
          <cell r="B5" t="str">
            <v xml:space="preserve">ETAT  DES DEPENSES DEG/TG </v>
          </cell>
        </row>
        <row r="6">
          <cell r="B6" t="str">
            <v>(Elaboré à partir du listing 103).................................................................................................................................    1</v>
          </cell>
        </row>
        <row r="8">
          <cell r="B8" t="str">
            <v xml:space="preserve">ETAT  DES COUTS  DEG/TG </v>
          </cell>
        </row>
        <row r="9">
          <cell r="B9" t="str">
            <v>(Elaboré à partir du listing 103)..................................................................................................................................    2</v>
          </cell>
        </row>
        <row r="11">
          <cell r="B11" t="str">
            <v xml:space="preserve">COUT PAR STADE OPERATOIRE MOIS/CUMUL </v>
          </cell>
        </row>
        <row r="12">
          <cell r="B12" t="str">
            <v>(Elaboré à partir des  listings 101 et 102)....................................................................................................................   3 et 4</v>
          </cell>
        </row>
        <row r="14">
          <cell r="B14" t="str">
            <v xml:space="preserve">COUT PAR QUALITE DE PHOSPHATE ET PAR STADE OPERATOIRE MOIS/CUMUL </v>
          </cell>
        </row>
        <row r="15">
          <cell r="B15" t="str">
            <v>(Elaboré à partir des  pages 3 et 4)..............................................................................................................................    5 et 6</v>
          </cell>
        </row>
        <row r="17">
          <cell r="B17" t="str">
            <v xml:space="preserve">COUT PHOSPHATE CLAIR PAR STADE OPERATOIRE MOIS/CUMUL </v>
          </cell>
        </row>
        <row r="18">
          <cell r="B18" t="str">
            <v>(Elaboré à partir des  listings 101 et 102)..................................................................................................................    7 et 8</v>
          </cell>
        </row>
        <row r="20">
          <cell r="B20" t="str">
            <v xml:space="preserve">COUT PHOSPHATE NOIR PAR STADE OPERATOIRE MOIS/CUMUL </v>
          </cell>
        </row>
        <row r="21">
          <cell r="B21" t="str">
            <v>(Elaboré à partir des  listings 101 et 102).................................................................................................................    9 et 10</v>
          </cell>
        </row>
        <row r="23">
          <cell r="B23" t="str">
            <v xml:space="preserve">COUT UNITES DE CALCINATION MOIS/CUMUL </v>
          </cell>
        </row>
        <row r="24">
          <cell r="B24" t="str">
            <v>(Elaboré à partir du  listing 101) ...............................................................................................................................   11 et 12</v>
          </cell>
        </row>
      </sheetData>
      <sheetData sheetId="2" refreshError="1">
        <row r="1">
          <cell r="A1" t="str">
            <v>DEG/TG/C</v>
          </cell>
          <cell r="M1" t="str">
            <v>- 1 -</v>
          </cell>
          <cell r="N1">
            <v>30</v>
          </cell>
          <cell r="O1">
            <v>6</v>
          </cell>
          <cell r="P1">
            <v>181</v>
          </cell>
          <cell r="U1" t="str">
            <v>DEG/TG/C</v>
          </cell>
          <cell r="AQ1" t="str">
            <v>- 2 -</v>
          </cell>
        </row>
        <row r="2">
          <cell r="N2" t="str">
            <v>N. jours mois</v>
          </cell>
          <cell r="O2" t="str">
            <v>Mois</v>
          </cell>
          <cell r="P2" t="str">
            <v>Cumul jours année en cours</v>
          </cell>
        </row>
        <row r="3">
          <cell r="L3" t="str">
            <v xml:space="preserve">     MOIS : Juin  2002</v>
          </cell>
          <cell r="O3" t="str">
            <v>DEPENSES MOIS</v>
          </cell>
          <cell r="P3" t="str">
            <v xml:space="preserve">TONNAGE TRAITE </v>
          </cell>
          <cell r="Q3" t="str">
            <v>DEPENSES CUMUL</v>
          </cell>
          <cell r="R3" t="str">
            <v xml:space="preserve">TONNAGE TRAITE </v>
          </cell>
          <cell r="AK3" t="str">
            <v xml:space="preserve">     MOIS : Juin  2002</v>
          </cell>
        </row>
        <row r="4">
          <cell r="D4" t="str">
            <v xml:space="preserve">       M  O  I  S</v>
          </cell>
          <cell r="H4" t="str">
            <v xml:space="preserve">       CUMUL</v>
          </cell>
          <cell r="O4" t="str">
            <v xml:space="preserve">  (M-1) Y1+Y2</v>
          </cell>
          <cell r="P4" t="str">
            <v xml:space="preserve">  (M-1) Y1+Y2</v>
          </cell>
          <cell r="Q4" t="str">
            <v>MEME PERIODE</v>
          </cell>
          <cell r="R4" t="str">
            <v>CUMULE Y1+Y2</v>
          </cell>
          <cell r="W4" t="str">
            <v xml:space="preserve">  M O I S</v>
          </cell>
          <cell r="AA4" t="str">
            <v>C U M U L</v>
          </cell>
        </row>
        <row r="5">
          <cell r="A5" t="str">
            <v xml:space="preserve">   NATURE DES DEPENSES</v>
          </cell>
          <cell r="B5" t="str">
            <v xml:space="preserve">  LPR</v>
          </cell>
          <cell r="C5" t="str">
            <v>REALISE</v>
          </cell>
          <cell r="D5" t="str">
            <v>PREVU</v>
          </cell>
          <cell r="E5" t="str">
            <v>R/P</v>
          </cell>
          <cell r="F5" t="str">
            <v xml:space="preserve"> M/M-1</v>
          </cell>
          <cell r="G5" t="str">
            <v>REALISE</v>
          </cell>
          <cell r="H5" t="str">
            <v>PREVU</v>
          </cell>
          <cell r="I5" t="str">
            <v>R/P</v>
          </cell>
          <cell r="J5" t="str">
            <v>R02/R01</v>
          </cell>
          <cell r="O5" t="str">
            <v>Mai</v>
          </cell>
          <cell r="P5">
            <v>2002</v>
          </cell>
          <cell r="Q5" t="str">
            <v>Juin</v>
          </cell>
          <cell r="R5">
            <v>2001</v>
          </cell>
          <cell r="U5" t="str">
            <v>NATURE DES DEPENSES</v>
          </cell>
          <cell r="V5" t="str">
            <v xml:space="preserve"> LPR</v>
          </cell>
          <cell r="W5" t="str">
            <v>REALISE</v>
          </cell>
          <cell r="X5" t="str">
            <v>PREVU</v>
          </cell>
          <cell r="Y5" t="str">
            <v>R/P</v>
          </cell>
          <cell r="Z5" t="str">
            <v xml:space="preserve"> M/M-1</v>
          </cell>
          <cell r="AA5" t="str">
            <v>REALISE</v>
          </cell>
          <cell r="AB5" t="str">
            <v>PREVU</v>
          </cell>
          <cell r="AC5" t="str">
            <v>R/P</v>
          </cell>
          <cell r="AD5" t="str">
            <v>R02/R01</v>
          </cell>
        </row>
        <row r="6">
          <cell r="C6" t="str">
            <v>(DH)</v>
          </cell>
          <cell r="D6" t="str">
            <v>(DH)</v>
          </cell>
          <cell r="E6" t="str">
            <v>(%)</v>
          </cell>
          <cell r="F6" t="str">
            <v>(%)</v>
          </cell>
          <cell r="G6" t="str">
            <v>(DH)</v>
          </cell>
          <cell r="H6" t="str">
            <v>(DH)</v>
          </cell>
          <cell r="I6" t="str">
            <v>(%)</v>
          </cell>
          <cell r="J6" t="str">
            <v>(%)</v>
          </cell>
          <cell r="O6" t="str">
            <v>DEPENSES</v>
          </cell>
          <cell r="P6">
            <v>269951</v>
          </cell>
          <cell r="Q6" t="str">
            <v>DEPENSES</v>
          </cell>
          <cell r="R6">
            <v>1314316</v>
          </cell>
          <cell r="W6" t="str">
            <v>(DH/t)</v>
          </cell>
          <cell r="X6" t="str">
            <v>(DH/t)</v>
          </cell>
          <cell r="Y6" t="str">
            <v>(%)</v>
          </cell>
          <cell r="Z6" t="str">
            <v>(%)</v>
          </cell>
          <cell r="AA6" t="str">
            <v>(DH/t)</v>
          </cell>
          <cell r="AB6" t="str">
            <v>(DH/t)</v>
          </cell>
          <cell r="AC6" t="str">
            <v>(%)</v>
          </cell>
          <cell r="AD6" t="str">
            <v>(%)</v>
          </cell>
        </row>
        <row r="7">
          <cell r="A7" t="str">
            <v xml:space="preserve"> TOTAL FRAIS PERSONNEL</v>
          </cell>
          <cell r="B7" t="str">
            <v>0**</v>
          </cell>
          <cell r="C7">
            <v>3651339.53</v>
          </cell>
          <cell r="D7">
            <v>3495564.9</v>
          </cell>
          <cell r="E7">
            <v>104.45635067453618</v>
          </cell>
          <cell r="F7">
            <v>97.949463474095438</v>
          </cell>
          <cell r="G7">
            <v>21645545.009999998</v>
          </cell>
          <cell r="H7">
            <v>20973389.399999999</v>
          </cell>
          <cell r="I7">
            <v>103.20480203357117</v>
          </cell>
          <cell r="J7">
            <v>101.3148411997135</v>
          </cell>
          <cell r="N7" t="str">
            <v>0**</v>
          </cell>
          <cell r="O7">
            <v>3727779</v>
          </cell>
          <cell r="P7">
            <v>13.809094983904487</v>
          </cell>
          <cell r="Q7">
            <v>21364634</v>
          </cell>
          <cell r="R7">
            <v>16.255325203375747</v>
          </cell>
          <cell r="U7" t="str">
            <v xml:space="preserve"> TOTAL FRAIS PERSONNEL</v>
          </cell>
          <cell r="V7" t="str">
            <v>0**</v>
          </cell>
          <cell r="W7">
            <v>13.142398849652123</v>
          </cell>
          <cell r="X7">
            <v>15.611008113137329</v>
          </cell>
          <cell r="Y7">
            <v>84.186740243842635</v>
          </cell>
          <cell r="Z7">
            <v>95.172050485354418</v>
          </cell>
          <cell r="AA7">
            <v>15.259277830297414</v>
          </cell>
          <cell r="AB7">
            <v>15.611008113137327</v>
          </cell>
          <cell r="AC7">
            <v>97.746908589817991</v>
          </cell>
          <cell r="AD7">
            <v>93.8724857201166</v>
          </cell>
        </row>
        <row r="8">
          <cell r="A8" t="str">
            <v xml:space="preserve">   dont H.S</v>
          </cell>
          <cell r="B8" t="str">
            <v>05*</v>
          </cell>
          <cell r="C8">
            <v>325908.05</v>
          </cell>
          <cell r="D8">
            <v>236802.47</v>
          </cell>
          <cell r="E8">
            <v>137.62865311328889</v>
          </cell>
          <cell r="F8">
            <v>113.50500294290759</v>
          </cell>
          <cell r="G8">
            <v>1730934.1500000001</v>
          </cell>
          <cell r="H8">
            <v>1420814.82</v>
          </cell>
          <cell r="I8">
            <v>121.82686481268546</v>
          </cell>
          <cell r="J8">
            <v>121.69263601479771</v>
          </cell>
          <cell r="N8" t="str">
            <v>05</v>
          </cell>
          <cell r="O8">
            <v>287131</v>
          </cell>
          <cell r="P8">
            <v>1.0636411793251368</v>
          </cell>
          <cell r="Q8">
            <v>1422382</v>
          </cell>
          <cell r="R8">
            <v>1.0822222357484805</v>
          </cell>
          <cell r="U8" t="str">
            <v xml:space="preserve">   dont H.S</v>
          </cell>
          <cell r="V8" t="str">
            <v>05</v>
          </cell>
          <cell r="W8">
            <v>1.1730526690878202</v>
          </cell>
          <cell r="X8">
            <v>1.0575473167100857</v>
          </cell>
          <cell r="Y8">
            <v>110.92200325722155</v>
          </cell>
          <cell r="Z8">
            <v>110.28650374669616</v>
          </cell>
          <cell r="AA8">
            <v>1.2202420908596796</v>
          </cell>
          <cell r="AB8">
            <v>1.0575473167100857</v>
          </cell>
          <cell r="AC8">
            <v>115.38416027149685</v>
          </cell>
          <cell r="AD8">
            <v>112.75337454286758</v>
          </cell>
        </row>
        <row r="9">
          <cell r="A9" t="str">
            <v xml:space="preserve"> Electricité</v>
          </cell>
          <cell r="B9" t="str">
            <v>103</v>
          </cell>
          <cell r="C9">
            <v>3183513.26</v>
          </cell>
          <cell r="D9">
            <v>3152710.49</v>
          </cell>
          <cell r="E9">
            <v>100.97702501062822</v>
          </cell>
          <cell r="F9">
            <v>104.15432049690254</v>
          </cell>
          <cell r="G9">
            <v>17530083.390000001</v>
          </cell>
          <cell r="H9">
            <v>18916262.940000001</v>
          </cell>
          <cell r="I9">
            <v>92.67202219382979</v>
          </cell>
          <cell r="J9">
            <v>84.054256452775732</v>
          </cell>
          <cell r="N9" t="str">
            <v>103</v>
          </cell>
          <cell r="O9">
            <v>3056535</v>
          </cell>
          <cell r="P9">
            <v>11.322554834025434</v>
          </cell>
          <cell r="Q9">
            <v>20855676</v>
          </cell>
          <cell r="R9">
            <v>15.868083474598194</v>
          </cell>
          <cell r="U9" t="str">
            <v xml:space="preserve"> Electricité</v>
          </cell>
          <cell r="V9" t="str">
            <v>103</v>
          </cell>
          <cell r="W9">
            <v>11.458534782186165</v>
          </cell>
          <cell r="X9">
            <v>14.079838436918498</v>
          </cell>
          <cell r="Y9">
            <v>81.38257291462196</v>
          </cell>
          <cell r="Z9">
            <v>101.20096524286284</v>
          </cell>
          <cell r="AA9">
            <v>12.358035462387832</v>
          </cell>
          <cell r="AB9">
            <v>14.079838436918498</v>
          </cell>
          <cell r="AC9">
            <v>87.771145370418765</v>
          </cell>
          <cell r="AD9">
            <v>77.879823875206569</v>
          </cell>
        </row>
        <row r="10">
          <cell r="A10" t="str">
            <v xml:space="preserve"> Fuel</v>
          </cell>
          <cell r="B10" t="str">
            <v>490</v>
          </cell>
          <cell r="C10">
            <v>19987.27</v>
          </cell>
          <cell r="D10">
            <v>106275</v>
          </cell>
          <cell r="E10">
            <v>18.807123029875324</v>
          </cell>
          <cell r="F10">
            <v>71.429025802301481</v>
          </cell>
          <cell r="G10">
            <v>379685.19</v>
          </cell>
          <cell r="H10">
            <v>637650</v>
          </cell>
          <cell r="I10">
            <v>59.544450717478234</v>
          </cell>
          <cell r="J10">
            <v>618.00737340690466</v>
          </cell>
          <cell r="N10" t="str">
            <v>490</v>
          </cell>
          <cell r="O10">
            <v>27982</v>
          </cell>
          <cell r="P10">
            <v>0.10365584865401499</v>
          </cell>
          <cell r="Q10">
            <v>61437</v>
          </cell>
          <cell r="R10">
            <v>4.6744466323167339E-2</v>
          </cell>
          <cell r="U10" t="str">
            <v xml:space="preserve"> Fuel</v>
          </cell>
          <cell r="V10" t="str">
            <v>490</v>
          </cell>
          <cell r="W10">
            <v>7.1940906096915724E-2</v>
          </cell>
          <cell r="X10">
            <v>0.4746185336806848</v>
          </cell>
          <cell r="Y10">
            <v>15.157626807999103</v>
          </cell>
          <cell r="Z10">
            <v>69.403614973084473</v>
          </cell>
          <cell r="AA10">
            <v>0.26766347530554796</v>
          </cell>
          <cell r="AB10">
            <v>0.4746185336806848</v>
          </cell>
          <cell r="AC10">
            <v>56.39549581635751</v>
          </cell>
          <cell r="AD10">
            <v>572.6099715313029</v>
          </cell>
        </row>
        <row r="11">
          <cell r="A11" t="str">
            <v xml:space="preserve"> Gaz de chauffe</v>
          </cell>
          <cell r="B11" t="str">
            <v>492</v>
          </cell>
          <cell r="C11">
            <v>2653988.3199999998</v>
          </cell>
          <cell r="D11">
            <v>2273231.25</v>
          </cell>
          <cell r="E11">
            <v>116.74959685689699</v>
          </cell>
          <cell r="F11">
            <v>82.158376290734196</v>
          </cell>
          <cell r="G11">
            <v>16354956.720000001</v>
          </cell>
          <cell r="H11">
            <v>13639387.5</v>
          </cell>
          <cell r="I11">
            <v>119.90975929087726</v>
          </cell>
          <cell r="J11">
            <v>108.48658341446355</v>
          </cell>
          <cell r="N11" t="str">
            <v>492</v>
          </cell>
          <cell r="O11">
            <v>3230332</v>
          </cell>
          <cell r="P11">
            <v>11.966364266107552</v>
          </cell>
          <cell r="Q11">
            <v>15075557</v>
          </cell>
          <cell r="R11">
            <v>11.47026818512443</v>
          </cell>
          <cell r="U11" t="str">
            <v xml:space="preserve"> Gaz de chauffe</v>
          </cell>
          <cell r="V11" t="str">
            <v>492</v>
          </cell>
          <cell r="W11">
            <v>9.5525964532140275</v>
          </cell>
          <cell r="X11">
            <v>10.152130628954225</v>
          </cell>
          <cell r="Y11">
            <v>94.094499000728916</v>
          </cell>
          <cell r="Z11">
            <v>79.828728599462224</v>
          </cell>
          <cell r="AA11">
            <v>11.529616296456089</v>
          </cell>
          <cell r="AB11">
            <v>10.152130628954223</v>
          </cell>
          <cell r="AC11">
            <v>113.56843915673454</v>
          </cell>
          <cell r="AD11">
            <v>100.5174082277224</v>
          </cell>
        </row>
        <row r="12">
          <cell r="A12" t="str">
            <v xml:space="preserve"> TOTAL ENERGIE</v>
          </cell>
          <cell r="B12" t="str">
            <v>_</v>
          </cell>
          <cell r="C12">
            <v>5857488.8499999996</v>
          </cell>
          <cell r="D12">
            <v>5532216.7400000002</v>
          </cell>
          <cell r="E12">
            <v>105.87959809398211</v>
          </cell>
          <cell r="F12">
            <v>92.757385806058068</v>
          </cell>
          <cell r="G12">
            <v>34264725.300000004</v>
          </cell>
          <cell r="H12">
            <v>33193300.440000001</v>
          </cell>
          <cell r="I12">
            <v>103.22783467084481</v>
          </cell>
          <cell r="J12">
            <v>95.199176110024638</v>
          </cell>
          <cell r="N12" t="str">
            <v>TOTAL ENERGIE</v>
          </cell>
          <cell r="O12">
            <v>6314849</v>
          </cell>
          <cell r="P12">
            <v>23.392574948787001</v>
          </cell>
          <cell r="Q12">
            <v>35992670</v>
          </cell>
          <cell r="R12">
            <v>27.385096126045791</v>
          </cell>
          <cell r="U12" t="str">
            <v xml:space="preserve"> TOTAL ENERGIE</v>
          </cell>
          <cell r="V12" t="str">
            <v>_</v>
          </cell>
          <cell r="W12">
            <v>21.083072141497105</v>
          </cell>
          <cell r="X12">
            <v>24.706587599553409</v>
          </cell>
          <cell r="Y12">
            <v>85.33380846927723</v>
          </cell>
          <cell r="Z12">
            <v>90.127197145478618</v>
          </cell>
          <cell r="AA12">
            <v>24.155315234149469</v>
          </cell>
          <cell r="AB12">
            <v>24.706587599553405</v>
          </cell>
          <cell r="AC12">
            <v>97.76872316671566</v>
          </cell>
          <cell r="AD12">
            <v>88.206063338136332</v>
          </cell>
        </row>
        <row r="13">
          <cell r="A13" t="str">
            <v xml:space="preserve"> Eau</v>
          </cell>
          <cell r="B13">
            <v>107</v>
          </cell>
          <cell r="C13">
            <v>31679.200000000001</v>
          </cell>
          <cell r="D13">
            <v>35839.08</v>
          </cell>
          <cell r="E13">
            <v>88.392894014020456</v>
          </cell>
          <cell r="F13">
            <v>119.98333522705752</v>
          </cell>
          <cell r="G13">
            <v>206739.4</v>
          </cell>
          <cell r="H13">
            <v>215034.48</v>
          </cell>
          <cell r="I13">
            <v>96.142441900480321</v>
          </cell>
          <cell r="J13">
            <v>91.088670059260238</v>
          </cell>
          <cell r="N13">
            <v>107</v>
          </cell>
          <cell r="O13">
            <v>26403</v>
          </cell>
          <cell r="P13">
            <v>9.7806638982630187E-2</v>
          </cell>
          <cell r="Q13">
            <v>226965</v>
          </cell>
          <cell r="R13">
            <v>0.17268678156546827</v>
          </cell>
          <cell r="U13" t="str">
            <v xml:space="preserve"> Eau</v>
          </cell>
          <cell r="V13">
            <v>107</v>
          </cell>
          <cell r="W13">
            <v>0.11402409395707432</v>
          </cell>
          <cell r="X13">
            <v>0.16005543729065874</v>
          </cell>
          <cell r="Y13">
            <v>71.240375139526151</v>
          </cell>
          <cell r="Z13">
            <v>116.581139218294</v>
          </cell>
          <cell r="AA13">
            <v>0.14574333617432852</v>
          </cell>
          <cell r="AB13">
            <v>0.16005543729065874</v>
          </cell>
          <cell r="AC13">
            <v>91.058035041733945</v>
          </cell>
          <cell r="AD13">
            <v>84.397505618619078</v>
          </cell>
        </row>
        <row r="14">
          <cell r="A14" t="str">
            <v>Prestations mécaniques TG</v>
          </cell>
          <cell r="B14">
            <v>211</v>
          </cell>
          <cell r="C14">
            <v>485312.45</v>
          </cell>
          <cell r="D14">
            <v>488794.99</v>
          </cell>
          <cell r="E14">
            <v>99.287525430651414</v>
          </cell>
          <cell r="F14">
            <v>89.147117442298324</v>
          </cell>
          <cell r="G14">
            <v>2998659.89</v>
          </cell>
          <cell r="H14">
            <v>2932769.94</v>
          </cell>
          <cell r="I14">
            <v>102.24667980605393</v>
          </cell>
          <cell r="J14">
            <v>112.58944122419894</v>
          </cell>
          <cell r="N14">
            <v>211</v>
          </cell>
          <cell r="O14">
            <v>544395</v>
          </cell>
          <cell r="P14">
            <v>2.0166437612751942</v>
          </cell>
          <cell r="Q14">
            <v>2663358</v>
          </cell>
          <cell r="R14">
            <v>2.0264213476819881</v>
          </cell>
          <cell r="U14" t="str">
            <v>Prestations mécaniques TG</v>
          </cell>
          <cell r="V14">
            <v>211</v>
          </cell>
          <cell r="W14">
            <v>1.7468027095803533</v>
          </cell>
          <cell r="X14">
            <v>2.1829325939709716</v>
          </cell>
          <cell r="Y14">
            <v>80.020918392296551</v>
          </cell>
          <cell r="Z14">
            <v>86.619300003476525</v>
          </cell>
          <cell r="AA14">
            <v>2.1139400444266796</v>
          </cell>
          <cell r="AB14">
            <v>2.1829325939709712</v>
          </cell>
          <cell r="AC14">
            <v>96.839455797451478</v>
          </cell>
          <cell r="AD14">
            <v>104.318879528426</v>
          </cell>
        </row>
        <row r="15">
          <cell r="A15" t="str">
            <v>Prestations électriques TG</v>
          </cell>
          <cell r="B15">
            <v>212</v>
          </cell>
          <cell r="C15">
            <v>556781.17000000004</v>
          </cell>
          <cell r="D15">
            <v>530543.31999999995</v>
          </cell>
          <cell r="E15">
            <v>104.94546797799661</v>
          </cell>
          <cell r="F15">
            <v>102.5795294594495</v>
          </cell>
          <cell r="G15">
            <v>3161847.89</v>
          </cell>
          <cell r="H15">
            <v>3183259.92</v>
          </cell>
          <cell r="I15">
            <v>99.327355272955543</v>
          </cell>
          <cell r="J15">
            <v>101.88676458836025</v>
          </cell>
          <cell r="N15">
            <v>212</v>
          </cell>
          <cell r="O15">
            <v>542780</v>
          </cell>
          <cell r="P15">
            <v>2.010661194068553</v>
          </cell>
          <cell r="Q15">
            <v>3103296</v>
          </cell>
          <cell r="R15">
            <v>2.3611490691736234</v>
          </cell>
          <cell r="U15" t="str">
            <v>Prestations électriques TG</v>
          </cell>
          <cell r="V15">
            <v>212</v>
          </cell>
          <cell r="W15">
            <v>2.0040426665322917</v>
          </cell>
          <cell r="X15">
            <v>2.3693784294752511</v>
          </cell>
          <cell r="Y15">
            <v>84.580945010803077</v>
          </cell>
          <cell r="Z15">
            <v>99.670828304848868</v>
          </cell>
          <cell r="AA15">
            <v>2.2289813164029759</v>
          </cell>
          <cell r="AB15">
            <v>2.3693784294752511</v>
          </cell>
          <cell r="AC15">
            <v>94.074517125431527</v>
          </cell>
          <cell r="AD15">
            <v>94.40239693053752</v>
          </cell>
          <cell r="AF15" t="str">
            <v>R</v>
          </cell>
          <cell r="AG15">
            <v>69.7</v>
          </cell>
          <cell r="AH15">
            <v>68.19</v>
          </cell>
          <cell r="AI15">
            <v>61.97</v>
          </cell>
          <cell r="AJ15">
            <v>71.05</v>
          </cell>
          <cell r="AK15">
            <v>63.5</v>
          </cell>
          <cell r="AL15">
            <v>61.07</v>
          </cell>
        </row>
        <row r="16">
          <cell r="A16" t="str">
            <v>Prestations labo TG</v>
          </cell>
          <cell r="B16">
            <v>242</v>
          </cell>
          <cell r="C16">
            <v>347113.61</v>
          </cell>
          <cell r="D16">
            <v>201495.58</v>
          </cell>
          <cell r="E16">
            <v>172.26859765360609</v>
          </cell>
          <cell r="F16">
            <v>122.52942567686821</v>
          </cell>
          <cell r="G16">
            <v>1222410.55</v>
          </cell>
          <cell r="H16">
            <v>1208973.48</v>
          </cell>
          <cell r="I16">
            <v>101.11144456204283</v>
          </cell>
          <cell r="J16">
            <v>91.960419896801199</v>
          </cell>
          <cell r="N16">
            <v>242</v>
          </cell>
          <cell r="O16">
            <v>283290</v>
          </cell>
          <cell r="P16">
            <v>1.049412671188475</v>
          </cell>
          <cell r="Q16">
            <v>1329279</v>
          </cell>
          <cell r="R16">
            <v>1.0113846289628978</v>
          </cell>
          <cell r="U16" t="str">
            <v>Prestations labo TG</v>
          </cell>
          <cell r="V16">
            <v>242</v>
          </cell>
          <cell r="W16">
            <v>1.2493786105842082</v>
          </cell>
          <cell r="X16">
            <v>0.89986861183475997</v>
          </cell>
          <cell r="Y16">
            <v>138.84011445146703</v>
          </cell>
          <cell r="Z16">
            <v>119.05503381899027</v>
          </cell>
          <cell r="AA16">
            <v>0.86175248516584579</v>
          </cell>
          <cell r="AB16">
            <v>0.89986861183475997</v>
          </cell>
          <cell r="AC16">
            <v>95.764256451705947</v>
          </cell>
          <cell r="AD16">
            <v>85.205218715802616</v>
          </cell>
          <cell r="AF16" t="str">
            <v>R/P</v>
          </cell>
          <cell r="AG16">
            <v>104</v>
          </cell>
          <cell r="AH16">
            <v>101</v>
          </cell>
          <cell r="AI16">
            <v>92</v>
          </cell>
          <cell r="AJ16">
            <v>106</v>
          </cell>
          <cell r="AK16">
            <v>94</v>
          </cell>
          <cell r="AL16">
            <v>91</v>
          </cell>
        </row>
        <row r="17">
          <cell r="A17" t="str">
            <v>PRESTATIONS INTERNES</v>
          </cell>
          <cell r="B17" t="str">
            <v>2**</v>
          </cell>
          <cell r="C17">
            <v>1389207.23</v>
          </cell>
          <cell r="D17">
            <v>1220833.8899999999</v>
          </cell>
          <cell r="E17">
            <v>113.79166661240048</v>
          </cell>
          <cell r="F17">
            <v>101.3675078403988</v>
          </cell>
          <cell r="G17">
            <v>7382918.3300000001</v>
          </cell>
          <cell r="H17">
            <v>7325003.3399999999</v>
          </cell>
          <cell r="I17">
            <v>100.79064796713118</v>
          </cell>
          <cell r="J17">
            <v>104.04436358122322</v>
          </cell>
          <cell r="N17" t="str">
            <v>2**</v>
          </cell>
          <cell r="O17">
            <v>1370466</v>
          </cell>
          <cell r="P17">
            <v>5.0767213309082022</v>
          </cell>
          <cell r="Q17">
            <v>7095933</v>
          </cell>
          <cell r="R17">
            <v>5.3989550458185098</v>
          </cell>
          <cell r="U17" t="str">
            <v>PRESTATIONS INTERNES</v>
          </cell>
          <cell r="V17" t="str">
            <v>2**</v>
          </cell>
          <cell r="W17">
            <v>5.0002239866968532</v>
          </cell>
          <cell r="X17">
            <v>5.4521796352809826</v>
          </cell>
          <cell r="Y17">
            <v>91.710551030645988</v>
          </cell>
          <cell r="Z17">
            <v>98.493174251152681</v>
          </cell>
          <cell r="AA17">
            <v>5.2046738459955009</v>
          </cell>
          <cell r="AB17">
            <v>5.4521796352809826</v>
          </cell>
          <cell r="AC17">
            <v>95.460424897157182</v>
          </cell>
          <cell r="AD17">
            <v>96.401503658129556</v>
          </cell>
        </row>
        <row r="18">
          <cell r="A18" t="str">
            <v>PRESTATIONS AUTRES DIV.</v>
          </cell>
          <cell r="B18" t="str">
            <v>3**</v>
          </cell>
          <cell r="C18">
            <v>760804.21</v>
          </cell>
          <cell r="D18">
            <v>477097.45</v>
          </cell>
          <cell r="E18">
            <v>159.4651595811296</v>
          </cell>
          <cell r="F18">
            <v>90.956328531292968</v>
          </cell>
          <cell r="G18">
            <v>5301777.88</v>
          </cell>
          <cell r="H18">
            <v>2862584.7</v>
          </cell>
          <cell r="I18">
            <v>185.20946751374728</v>
          </cell>
          <cell r="J18">
            <v>175.80273059407367</v>
          </cell>
          <cell r="N18" t="str">
            <v>3**</v>
          </cell>
          <cell r="O18">
            <v>836450</v>
          </cell>
          <cell r="P18">
            <v>3.0985252879226231</v>
          </cell>
          <cell r="Q18">
            <v>3015754</v>
          </cell>
          <cell r="R18">
            <v>2.2945425605409961</v>
          </cell>
          <cell r="U18" t="str">
            <v>PRESTATIONS AUTRES DIV.</v>
          </cell>
          <cell r="V18" t="str">
            <v>3**</v>
          </cell>
          <cell r="W18">
            <v>2.7383901968477011</v>
          </cell>
          <cell r="X18">
            <v>2.130691998511351</v>
          </cell>
          <cell r="Y18">
            <v>128.52116583536852</v>
          </cell>
          <cell r="Z18">
            <v>88.377209878562226</v>
          </cell>
          <cell r="AA18">
            <v>3.7375497650010536</v>
          </cell>
          <cell r="AB18">
            <v>2.130691998511351</v>
          </cell>
          <cell r="AC18">
            <v>175.41483084426866</v>
          </cell>
          <cell r="AD18">
            <v>162.88866588379307</v>
          </cell>
        </row>
        <row r="19">
          <cell r="A19" t="str">
            <v xml:space="preserve"> Bande</v>
          </cell>
          <cell r="B19" t="str">
            <v>402</v>
          </cell>
          <cell r="C19">
            <v>213939.85</v>
          </cell>
          <cell r="D19">
            <v>301016.55</v>
          </cell>
          <cell r="E19">
            <v>71.072454321863702</v>
          </cell>
          <cell r="F19">
            <v>38.945242884578626</v>
          </cell>
          <cell r="G19">
            <v>1003882.69</v>
          </cell>
          <cell r="H19">
            <v>1806099.2999999998</v>
          </cell>
          <cell r="I19">
            <v>55.582917838459935</v>
          </cell>
          <cell r="J19">
            <v>239.63303455272421</v>
          </cell>
          <cell r="N19" t="str">
            <v>402</v>
          </cell>
          <cell r="O19">
            <v>549335</v>
          </cell>
          <cell r="P19">
            <v>2.0349433786131557</v>
          </cell>
          <cell r="Q19">
            <v>418925</v>
          </cell>
          <cell r="R19">
            <v>0.31873993773186965</v>
          </cell>
          <cell r="U19" t="str">
            <v xml:space="preserve"> Bande</v>
          </cell>
          <cell r="V19" t="str">
            <v>402</v>
          </cell>
          <cell r="W19">
            <v>0.77004146435397314</v>
          </cell>
          <cell r="X19">
            <v>1.3443240044659472</v>
          </cell>
          <cell r="Y19">
            <v>57.280942822997758</v>
          </cell>
          <cell r="Z19">
            <v>37.840928275791526</v>
          </cell>
          <cell r="AA19">
            <v>0.70769873748428813</v>
          </cell>
          <cell r="AB19">
            <v>1.344324004465947</v>
          </cell>
          <cell r="AC19">
            <v>52.643465052566121</v>
          </cell>
          <cell r="AD19">
            <v>222.03014235373865</v>
          </cell>
        </row>
        <row r="20">
          <cell r="A20" t="str">
            <v xml:space="preserve"> Rouleaux de convoyeur</v>
          </cell>
          <cell r="B20" t="str">
            <v>408</v>
          </cell>
          <cell r="C20">
            <v>22018.3</v>
          </cell>
          <cell r="D20">
            <v>46666.63</v>
          </cell>
          <cell r="E20">
            <v>47.182108500228111</v>
          </cell>
          <cell r="F20">
            <v>67.582259054634747</v>
          </cell>
          <cell r="G20">
            <v>154531.81</v>
          </cell>
          <cell r="H20">
            <v>279999.77999999997</v>
          </cell>
          <cell r="I20">
            <v>55.189975506409326</v>
          </cell>
          <cell r="J20">
            <v>85.411138193857198</v>
          </cell>
          <cell r="N20" t="str">
            <v>408</v>
          </cell>
          <cell r="O20">
            <v>32580</v>
          </cell>
          <cell r="P20">
            <v>0.12068856940704054</v>
          </cell>
          <cell r="Q20">
            <v>180927</v>
          </cell>
          <cell r="R20">
            <v>0.13765867569138623</v>
          </cell>
          <cell r="U20" t="str">
            <v xml:space="preserve"> Rouleaux de convoyeur</v>
          </cell>
          <cell r="V20" t="str">
            <v>408</v>
          </cell>
          <cell r="W20">
            <v>7.9251266066537332E-2</v>
          </cell>
          <cell r="X20">
            <v>0.20841070338667658</v>
          </cell>
          <cell r="Y20">
            <v>38.026485578093279</v>
          </cell>
          <cell r="Z20">
            <v>65.665925493946659</v>
          </cell>
          <cell r="AA20">
            <v>0.10893899050910211</v>
          </cell>
          <cell r="AB20">
            <v>0.20841070338667655</v>
          </cell>
          <cell r="AC20">
            <v>52.271303123516276</v>
          </cell>
          <cell r="AD20">
            <v>79.13703220081085</v>
          </cell>
        </row>
        <row r="21">
          <cell r="A21" t="str">
            <v xml:space="preserve"> Autres Marchandises</v>
          </cell>
          <cell r="B21" t="str">
            <v>409</v>
          </cell>
          <cell r="C21">
            <v>97899.6</v>
          </cell>
          <cell r="D21">
            <v>192629.05</v>
          </cell>
          <cell r="E21">
            <v>50.822863944976113</v>
          </cell>
          <cell r="F21">
            <v>25.997440078178524</v>
          </cell>
          <cell r="G21">
            <v>1114170.99</v>
          </cell>
          <cell r="H21">
            <v>1155774.2999999998</v>
          </cell>
          <cell r="I21">
            <v>96.400394956004831</v>
          </cell>
          <cell r="J21">
            <v>117.87587163446737</v>
          </cell>
          <cell r="N21" t="str">
            <v>409</v>
          </cell>
          <cell r="O21">
            <v>376574</v>
          </cell>
          <cell r="P21">
            <v>1.394971680045638</v>
          </cell>
          <cell r="Q21">
            <v>945207</v>
          </cell>
          <cell r="R21">
            <v>0.71916266712114896</v>
          </cell>
          <cell r="U21" t="str">
            <v xml:space="preserve"> Autres Marchandises</v>
          </cell>
          <cell r="V21" t="str">
            <v>409</v>
          </cell>
          <cell r="W21">
            <v>0.3523735823114218</v>
          </cell>
          <cell r="X21">
            <v>0.86027115742463711</v>
          </cell>
          <cell r="Y21">
            <v>40.960757462369187</v>
          </cell>
          <cell r="Z21">
            <v>25.260267814174803</v>
          </cell>
          <cell r="AA21">
            <v>0.78544775282918711</v>
          </cell>
          <cell r="AB21">
            <v>0.860271157424637</v>
          </cell>
          <cell r="AC21">
            <v>91.302346481143687</v>
          </cell>
          <cell r="AD21">
            <v>109.21698090549963</v>
          </cell>
        </row>
        <row r="22">
          <cell r="A22" t="str">
            <v xml:space="preserve"> Pièces de rechange</v>
          </cell>
          <cell r="B22" t="str">
            <v>417</v>
          </cell>
          <cell r="C22">
            <v>126646.45</v>
          </cell>
          <cell r="D22">
            <v>240005.84</v>
          </cell>
          <cell r="E22">
            <v>52.768070143626502</v>
          </cell>
          <cell r="F22">
            <v>39.675087481869241</v>
          </cell>
          <cell r="G22">
            <v>1548197.73</v>
          </cell>
          <cell r="H22">
            <v>1440035.04</v>
          </cell>
          <cell r="I22">
            <v>107.51111514619811</v>
          </cell>
          <cell r="J22">
            <v>98.998106615272661</v>
          </cell>
          <cell r="N22" t="str">
            <v>417</v>
          </cell>
          <cell r="O22">
            <v>319209</v>
          </cell>
          <cell r="P22">
            <v>1.1824701519905465</v>
          </cell>
          <cell r="Q22">
            <v>1563866</v>
          </cell>
          <cell r="R22">
            <v>1.189870624720387</v>
          </cell>
          <cell r="U22" t="str">
            <v xml:space="preserve"> Pièces de rechange</v>
          </cell>
          <cell r="V22" t="str">
            <v>417</v>
          </cell>
          <cell r="W22">
            <v>0.45584316252083112</v>
          </cell>
          <cell r="X22">
            <v>1.0718533978414588</v>
          </cell>
          <cell r="Y22">
            <v>42.528499087545576</v>
          </cell>
          <cell r="Z22">
            <v>38.550077712614893</v>
          </cell>
          <cell r="AA22">
            <v>1.091419933634916</v>
          </cell>
          <cell r="AB22">
            <v>1.0718533978414588</v>
          </cell>
          <cell r="AC22">
            <v>101.82548619362134</v>
          </cell>
          <cell r="AD22">
            <v>91.725933135914971</v>
          </cell>
        </row>
        <row r="23">
          <cell r="A23" t="str">
            <v xml:space="preserve"> Autres consommations</v>
          </cell>
          <cell r="B23" t="str">
            <v>-</v>
          </cell>
          <cell r="C23">
            <v>369983.98000000016</v>
          </cell>
          <cell r="D23">
            <v>133527.47000000009</v>
          </cell>
          <cell r="E23">
            <v>277.08454297830991</v>
          </cell>
          <cell r="F23">
            <v>341.06507250251218</v>
          </cell>
          <cell r="G23">
            <v>893679.74999999674</v>
          </cell>
          <cell r="H23">
            <v>801164.82000000053</v>
          </cell>
          <cell r="I23">
            <v>111.54755272454378</v>
          </cell>
          <cell r="J23">
            <v>144.718669082747</v>
          </cell>
          <cell r="N23" t="str">
            <v>AUTRES CONSOM.</v>
          </cell>
          <cell r="O23">
            <v>108479</v>
          </cell>
          <cell r="P23">
            <v>0.40184700186330113</v>
          </cell>
          <cell r="Q23">
            <v>617529</v>
          </cell>
          <cell r="R23">
            <v>0.46984819480246759</v>
          </cell>
          <cell r="U23" t="str">
            <v xml:space="preserve"> Autres consommations</v>
          </cell>
          <cell r="V23" t="str">
            <v>-</v>
          </cell>
          <cell r="W23">
            <v>1.3316967631168819</v>
          </cell>
          <cell r="X23">
            <v>0.59632662448827733</v>
          </cell>
          <cell r="Y23">
            <v>223.31667050077527</v>
          </cell>
          <cell r="Z23">
            <v>331.39397754419326</v>
          </cell>
          <cell r="AA23">
            <v>0.63000989766072368</v>
          </cell>
          <cell r="AB23">
            <v>0.59632662448827733</v>
          </cell>
          <cell r="AC23">
            <v>105.64846038886002</v>
          </cell>
          <cell r="AD23">
            <v>134.08796812033955</v>
          </cell>
        </row>
        <row r="24">
          <cell r="A24" t="str">
            <v xml:space="preserve"> TOTAL MARCHANDISE</v>
          </cell>
          <cell r="B24" t="str">
            <v>4**</v>
          </cell>
          <cell r="C24">
            <v>830488.18000000017</v>
          </cell>
          <cell r="D24">
            <v>913845.54</v>
          </cell>
          <cell r="E24">
            <v>90.878397239866175</v>
          </cell>
          <cell r="F24">
            <v>59.912087769391817</v>
          </cell>
          <cell r="G24">
            <v>4714462.9699999969</v>
          </cell>
          <cell r="H24">
            <v>5483073.2400000002</v>
          </cell>
          <cell r="I24">
            <v>85.982126512685369</v>
          </cell>
          <cell r="J24">
            <v>126.51338162231431</v>
          </cell>
          <cell r="N24" t="str">
            <v>4**</v>
          </cell>
          <cell r="O24">
            <v>1386178</v>
          </cell>
          <cell r="P24">
            <v>5.1349244862956613</v>
          </cell>
          <cell r="Q24">
            <v>3726454</v>
          </cell>
          <cell r="R24">
            <v>2.8352801000672594</v>
          </cell>
          <cell r="U24" t="str">
            <v xml:space="preserve"> TOTAL MARCHANDISE</v>
          </cell>
          <cell r="V24" t="str">
            <v>4**</v>
          </cell>
          <cell r="W24">
            <v>2.9892062383696452</v>
          </cell>
          <cell r="X24">
            <v>4.0811858876069973</v>
          </cell>
          <cell r="Y24">
            <v>73.243569900766417</v>
          </cell>
          <cell r="Z24">
            <v>58.213246296949173</v>
          </cell>
          <cell r="AA24">
            <v>3.323515312118217</v>
          </cell>
          <cell r="AB24">
            <v>4.0811858876069964</v>
          </cell>
          <cell r="AC24">
            <v>81.435038825613518</v>
          </cell>
          <cell r="AD24">
            <v>117.21999925296183</v>
          </cell>
        </row>
        <row r="25">
          <cell r="A25" t="str">
            <v>Entretien + réparation</v>
          </cell>
          <cell r="B25" t="str">
            <v>51*</v>
          </cell>
          <cell r="C25">
            <v>111466.83</v>
          </cell>
          <cell r="D25">
            <v>139912.23000000001</v>
          </cell>
          <cell r="E25">
            <v>79.669111127740578</v>
          </cell>
          <cell r="F25">
            <v>172.47985330981339</v>
          </cell>
          <cell r="G25">
            <v>236005.67</v>
          </cell>
          <cell r="H25">
            <v>839473.38000000012</v>
          </cell>
          <cell r="I25">
            <v>28.113538275627032</v>
          </cell>
          <cell r="J25">
            <v>93.489066795541149</v>
          </cell>
          <cell r="N25" t="str">
            <v>51*</v>
          </cell>
          <cell r="O25">
            <v>64626</v>
          </cell>
          <cell r="P25">
            <v>0.23939900204111117</v>
          </cell>
          <cell r="Q25">
            <v>252442</v>
          </cell>
          <cell r="R25">
            <v>0.1920710087984929</v>
          </cell>
          <cell r="U25" t="str">
            <v>Entretien + réparation</v>
          </cell>
          <cell r="V25" t="str">
            <v>51*</v>
          </cell>
          <cell r="W25">
            <v>0.40120660550194542</v>
          </cell>
          <cell r="X25">
            <v>0.62484062523260153</v>
          </cell>
          <cell r="Y25">
            <v>64.209430261131516</v>
          </cell>
          <cell r="Z25">
            <v>167.5890885430874</v>
          </cell>
          <cell r="AA25">
            <v>0.16637493241180756</v>
          </cell>
          <cell r="AB25">
            <v>0.62484062523260153</v>
          </cell>
          <cell r="AC25">
            <v>26.626779004625899</v>
          </cell>
          <cell r="AD25">
            <v>86.621574725187273</v>
          </cell>
        </row>
        <row r="26">
          <cell r="A26" t="str">
            <v>Cerphos</v>
          </cell>
          <cell r="B26">
            <v>550</v>
          </cell>
          <cell r="C26">
            <v>84460</v>
          </cell>
          <cell r="D26">
            <v>83333.33</v>
          </cell>
          <cell r="E26">
            <v>101.35200405408015</v>
          </cell>
          <cell r="F26">
            <v>760.28445404626882</v>
          </cell>
          <cell r="G26">
            <v>346846</v>
          </cell>
          <cell r="H26">
            <v>499999.98</v>
          </cell>
          <cell r="I26">
            <v>69.369202774768112</v>
          </cell>
          <cell r="J26">
            <v>109.98728401051527</v>
          </cell>
          <cell r="N26">
            <v>550</v>
          </cell>
          <cell r="O26">
            <v>11109</v>
          </cell>
          <cell r="P26">
            <v>4.1151912754536932E-2</v>
          </cell>
          <cell r="Q26">
            <v>315351</v>
          </cell>
          <cell r="R26">
            <v>0.23993544931355928</v>
          </cell>
          <cell r="U26" t="str">
            <v>Cerphos</v>
          </cell>
          <cell r="V26">
            <v>550</v>
          </cell>
          <cell r="W26">
            <v>0.30399994241061951</v>
          </cell>
          <cell r="X26">
            <v>0.37216224786006702</v>
          </cell>
          <cell r="Y26">
            <v>81.684787793124968</v>
          </cell>
          <cell r="Z26">
            <v>738.72615405247234</v>
          </cell>
          <cell r="AA26">
            <v>0.24451310770332679</v>
          </cell>
          <cell r="AB26">
            <v>0.37216224786006696</v>
          </cell>
          <cell r="AC26">
            <v>65.700674667910903</v>
          </cell>
          <cell r="AD26">
            <v>101.90787080561205</v>
          </cell>
        </row>
        <row r="27">
          <cell r="A27" t="str">
            <v>Transport du personnel</v>
          </cell>
          <cell r="B27">
            <v>560</v>
          </cell>
          <cell r="C27">
            <v>46128.999999999985</v>
          </cell>
          <cell r="D27">
            <v>40532</v>
          </cell>
          <cell r="E27">
            <v>113.80884239613142</v>
          </cell>
          <cell r="F27">
            <v>94.204260011844681</v>
          </cell>
          <cell r="G27">
            <v>276774</v>
          </cell>
          <cell r="H27">
            <v>243192</v>
          </cell>
          <cell r="I27">
            <v>113.80884239613145</v>
          </cell>
          <cell r="J27">
            <v>109.62996411341112</v>
          </cell>
          <cell r="N27">
            <v>560</v>
          </cell>
          <cell r="O27">
            <v>48967</v>
          </cell>
          <cell r="P27">
            <v>0.1813921785805572</v>
          </cell>
          <cell r="Q27">
            <v>252462</v>
          </cell>
          <cell r="R27">
            <v>0.1920862258391437</v>
          </cell>
          <cell r="U27" t="str">
            <v xml:space="preserve"> Transport du personnel</v>
          </cell>
          <cell r="V27">
            <v>560</v>
          </cell>
          <cell r="W27">
            <v>0.16603378337034647</v>
          </cell>
          <cell r="X27">
            <v>0.18101377000372162</v>
          </cell>
          <cell r="Y27">
            <v>91.724393877290566</v>
          </cell>
          <cell r="Z27">
            <v>91.533044406658377</v>
          </cell>
          <cell r="AA27">
            <v>0.19511503915709152</v>
          </cell>
          <cell r="AB27">
            <v>0.18101377000372162</v>
          </cell>
          <cell r="AC27">
            <v>107.7901637831641</v>
          </cell>
          <cell r="AD27">
            <v>101.57679880726285</v>
          </cell>
        </row>
        <row r="28">
          <cell r="A28" t="str">
            <v>Transport du produit</v>
          </cell>
          <cell r="B28">
            <v>569</v>
          </cell>
          <cell r="C28">
            <v>2958858.96</v>
          </cell>
          <cell r="D28">
            <v>1669781.25</v>
          </cell>
          <cell r="E28">
            <v>177.20039436303406</v>
          </cell>
          <cell r="F28">
            <v>139.9346291106279</v>
          </cell>
          <cell r="G28">
            <v>10750162.41</v>
          </cell>
          <cell r="H28">
            <v>10018687.5</v>
          </cell>
          <cell r="I28">
            <v>107.30110515973274</v>
          </cell>
          <cell r="J28">
            <v>130.20217864316845</v>
          </cell>
          <cell r="N28">
            <v>569</v>
          </cell>
          <cell r="O28">
            <v>2114458</v>
          </cell>
          <cell r="P28">
            <v>7.8327474245326005</v>
          </cell>
          <cell r="Q28">
            <v>8256515</v>
          </cell>
          <cell r="R28">
            <v>6.2819862194479867</v>
          </cell>
          <cell r="U28" t="str">
            <v>Transport du produit</v>
          </cell>
          <cell r="V28">
            <v>569</v>
          </cell>
          <cell r="W28">
            <v>10.649928409201344</v>
          </cell>
          <cell r="X28">
            <v>7.4571548195013033</v>
          </cell>
          <cell r="Y28">
            <v>142.81490282796031</v>
          </cell>
          <cell r="Z28">
            <v>135.96670276696497</v>
          </cell>
          <cell r="AA28">
            <v>7.5784515871152758</v>
          </cell>
          <cell r="AB28">
            <v>7.4571548195013024</v>
          </cell>
          <cell r="AC28">
            <v>101.62658239703926</v>
          </cell>
          <cell r="AD28">
            <v>120.63782571909579</v>
          </cell>
        </row>
        <row r="29">
          <cell r="A29" t="str">
            <v>Autres T.F.S. Ext.</v>
          </cell>
          <cell r="B29" t="str">
            <v>-</v>
          </cell>
          <cell r="C29">
            <v>131235.2200000002</v>
          </cell>
          <cell r="D29">
            <v>73621.079999999842</v>
          </cell>
          <cell r="E29">
            <v>178.25766750501418</v>
          </cell>
          <cell r="F29">
            <v>173.83760083716396</v>
          </cell>
          <cell r="G29">
            <v>886937.49000000022</v>
          </cell>
          <cell r="H29">
            <v>441726.47999999905</v>
          </cell>
          <cell r="I29">
            <v>200.78884335845163</v>
          </cell>
          <cell r="J29">
            <v>199.248662783253</v>
          </cell>
          <cell r="N29" t="str">
            <v>-</v>
          </cell>
          <cell r="O29">
            <v>75493</v>
          </cell>
          <cell r="P29">
            <v>0.27965445580864673</v>
          </cell>
          <cell r="Q29">
            <v>445141</v>
          </cell>
          <cell r="R29">
            <v>0.33868643461694142</v>
          </cell>
          <cell r="U29" t="str">
            <v>Autres T.F.S. Ext.</v>
          </cell>
          <cell r="V29" t="str">
            <v>-</v>
          </cell>
          <cell r="W29">
            <v>0.47235968887337249</v>
          </cell>
          <cell r="X29">
            <v>0.32878785262374327</v>
          </cell>
          <cell r="Y29">
            <v>143.66701357848802</v>
          </cell>
          <cell r="Z29">
            <v>168.90833636371025</v>
          </cell>
          <cell r="AA29">
            <v>0.62525686332980168</v>
          </cell>
          <cell r="AB29">
            <v>0.32878785262374327</v>
          </cell>
          <cell r="AC29">
            <v>190.17030536262854</v>
          </cell>
          <cell r="AD29">
            <v>184.61231375770186</v>
          </cell>
        </row>
        <row r="30">
          <cell r="A30" t="str">
            <v>Total T.F.S. Ext.</v>
          </cell>
          <cell r="B30" t="str">
            <v>5**</v>
          </cell>
          <cell r="C30">
            <v>3332150.0100000002</v>
          </cell>
          <cell r="D30">
            <v>2007179.89</v>
          </cell>
          <cell r="E30">
            <v>166.01152824423727</v>
          </cell>
          <cell r="F30">
            <v>143.95900593264128</v>
          </cell>
          <cell r="G30">
            <v>12496725.57</v>
          </cell>
          <cell r="H30">
            <v>12043079.34</v>
          </cell>
          <cell r="I30">
            <v>103.76686242108575</v>
          </cell>
          <cell r="J30">
            <v>131.24178087780908</v>
          </cell>
          <cell r="N30" t="str">
            <v>5**</v>
          </cell>
          <cell r="O30">
            <v>2314652</v>
          </cell>
          <cell r="P30">
            <v>8.5743412693414722</v>
          </cell>
          <cell r="Q30">
            <v>9521911</v>
          </cell>
          <cell r="R30">
            <v>7.2447653380161237</v>
          </cell>
          <cell r="U30" t="str">
            <v>Total T.F.S. Ext.</v>
          </cell>
          <cell r="V30" t="str">
            <v>5**</v>
          </cell>
          <cell r="W30">
            <v>11.993528429357628</v>
          </cell>
          <cell r="X30">
            <v>8.9639593152214356</v>
          </cell>
          <cell r="Y30">
            <v>133.79722071018071</v>
          </cell>
          <cell r="Z30">
            <v>139.87696608533471</v>
          </cell>
          <cell r="AA30">
            <v>8.809711529717303</v>
          </cell>
          <cell r="AB30">
            <v>8.9639593152214356</v>
          </cell>
          <cell r="AC30">
            <v>98.279244917564398</v>
          </cell>
          <cell r="AD30">
            <v>121.60106116190255</v>
          </cell>
        </row>
        <row r="31">
          <cell r="A31" t="str">
            <v xml:space="preserve"> Location</v>
          </cell>
          <cell r="B31">
            <v>680</v>
          </cell>
          <cell r="C31">
            <v>2663290.7599999998</v>
          </cell>
          <cell r="D31">
            <v>2705687.2</v>
          </cell>
          <cell r="E31">
            <v>98.433062033186971</v>
          </cell>
          <cell r="F31">
            <v>100.04893936411432</v>
          </cell>
          <cell r="G31">
            <v>15942500.85</v>
          </cell>
          <cell r="H31">
            <v>16234123.200000001</v>
          </cell>
          <cell r="I31">
            <v>98.203645824247516</v>
          </cell>
          <cell r="J31">
            <v>97.908891275291111</v>
          </cell>
          <cell r="N31">
            <v>680</v>
          </cell>
          <cell r="O31">
            <v>2661988</v>
          </cell>
          <cell r="P31">
            <v>9.8610044045030403</v>
          </cell>
          <cell r="Q31">
            <v>16282996</v>
          </cell>
          <cell r="R31">
            <v>12.388950602442639</v>
          </cell>
          <cell r="U31" t="str">
            <v xml:space="preserve"> Location</v>
          </cell>
          <cell r="V31">
            <v>680</v>
          </cell>
          <cell r="W31">
            <v>9.5860790630207777</v>
          </cell>
          <cell r="X31">
            <v>12.083456047636771</v>
          </cell>
          <cell r="Y31">
            <v>79.332262435758864</v>
          </cell>
          <cell r="Z31">
            <v>97.211994537222623</v>
          </cell>
          <cell r="AA31">
            <v>11.238850750466861</v>
          </cell>
          <cell r="AB31">
            <v>12.083456047636771</v>
          </cell>
          <cell r="AC31">
            <v>93.010234043636103</v>
          </cell>
          <cell r="AD31">
            <v>90.716729052507318</v>
          </cell>
        </row>
        <row r="32">
          <cell r="A32" t="str">
            <v>Recettes internes</v>
          </cell>
          <cell r="B32">
            <v>820</v>
          </cell>
          <cell r="C32">
            <v>1389207.23</v>
          </cell>
          <cell r="D32">
            <v>1220834.06</v>
          </cell>
          <cell r="E32">
            <v>113.79165076701743</v>
          </cell>
          <cell r="F32">
            <v>101.3675078403988</v>
          </cell>
          <cell r="G32">
            <v>7381579.5499999998</v>
          </cell>
          <cell r="H32">
            <v>7325004.3600000003</v>
          </cell>
          <cell r="I32">
            <v>100.7723570829383</v>
          </cell>
          <cell r="J32">
            <v>104.02551137750473</v>
          </cell>
          <cell r="N32">
            <v>820</v>
          </cell>
          <cell r="O32">
            <v>1370466</v>
          </cell>
          <cell r="P32">
            <v>5.0767213309082022</v>
          </cell>
          <cell r="Q32">
            <v>7095932</v>
          </cell>
          <cell r="R32">
            <v>5.3989542849664769</v>
          </cell>
          <cell r="U32" t="str">
            <v>Recettes internes</v>
          </cell>
          <cell r="V32">
            <v>820</v>
          </cell>
          <cell r="W32">
            <v>5.0002239866968532</v>
          </cell>
          <cell r="X32">
            <v>5.4521803944919993</v>
          </cell>
          <cell r="Y32">
            <v>91.710538260037595</v>
          </cell>
          <cell r="Z32">
            <v>98.493174251152681</v>
          </cell>
          <cell r="AA32">
            <v>5.2037300575178156</v>
          </cell>
          <cell r="AB32">
            <v>5.4521803944919984</v>
          </cell>
          <cell r="AC32">
            <v>95.443101309979085</v>
          </cell>
          <cell r="AD32">
            <v>96.38403629398627</v>
          </cell>
          <cell r="AJ32">
            <v>85.71</v>
          </cell>
        </row>
        <row r="33">
          <cell r="A33" t="str">
            <v xml:space="preserve"> Produits  </v>
          </cell>
          <cell r="B33" t="str">
            <v>7** + 830</v>
          </cell>
          <cell r="C33">
            <v>158982.28000000003</v>
          </cell>
          <cell r="D33">
            <v>108333.32999999984</v>
          </cell>
          <cell r="E33">
            <v>146.75287836162727</v>
          </cell>
          <cell r="F33">
            <v>126.27663224781575</v>
          </cell>
          <cell r="G33">
            <v>525703.25999999978</v>
          </cell>
          <cell r="H33">
            <v>649999.97999999905</v>
          </cell>
          <cell r="I33">
            <v>80.877427103920922</v>
          </cell>
          <cell r="J33">
            <v>97.044250205366239</v>
          </cell>
          <cell r="N33" t="str">
            <v>7** + 830</v>
          </cell>
          <cell r="O33">
            <v>125900</v>
          </cell>
          <cell r="P33">
            <v>0.46638093579945988</v>
          </cell>
          <cell r="Q33">
            <v>541715</v>
          </cell>
          <cell r="R33">
            <v>0.41216495880747095</v>
          </cell>
          <cell r="U33" t="str">
            <v xml:space="preserve"> Produits  </v>
          </cell>
          <cell r="V33" t="str">
            <v>7** + 830</v>
          </cell>
          <cell r="W33">
            <v>0.57223068866101101</v>
          </cell>
          <cell r="X33">
            <v>0.48381092668403353</v>
          </cell>
          <cell r="Y33">
            <v>118.27568521095483</v>
          </cell>
          <cell r="Z33">
            <v>122.69598620709181</v>
          </cell>
          <cell r="AA33">
            <v>0.37060060612597506</v>
          </cell>
          <cell r="AB33">
            <v>0.48381092668403353</v>
          </cell>
          <cell r="AC33">
            <v>76.600296869278097</v>
          </cell>
          <cell r="AD33">
            <v>89.915602529202076</v>
          </cell>
          <cell r="AF33" t="str">
            <v>R</v>
          </cell>
          <cell r="AG33">
            <v>69.66</v>
          </cell>
          <cell r="AH33">
            <v>69.180000000000007</v>
          </cell>
          <cell r="AI33">
            <v>66.510000000000005</v>
          </cell>
          <cell r="AJ33">
            <v>67.709999999999994</v>
          </cell>
          <cell r="AK33">
            <v>66.599999999999994</v>
          </cell>
          <cell r="AL33">
            <v>66.3</v>
          </cell>
        </row>
        <row r="34">
          <cell r="A34" t="str">
            <v>TOTAL DEPENSES DEG/TG</v>
          </cell>
          <cell r="C34">
            <v>16968258.459999997</v>
          </cell>
          <cell r="D34">
            <v>15059097.300000001</v>
          </cell>
          <cell r="E34">
            <v>112.67779284486062</v>
          </cell>
          <cell r="F34">
            <v>98.98415303482318</v>
          </cell>
          <cell r="G34">
            <v>94048112.5</v>
          </cell>
          <cell r="H34">
            <v>90354583.799999997</v>
          </cell>
          <cell r="I34">
            <v>104.08781552043406</v>
          </cell>
          <cell r="J34">
            <v>104.97651403337014</v>
          </cell>
          <cell r="N34" t="str">
            <v xml:space="preserve">    TOTAL</v>
          </cell>
          <cell r="O34">
            <v>17142399</v>
          </cell>
          <cell r="P34">
            <v>63.501891083937458</v>
          </cell>
          <cell r="Q34">
            <v>89589670</v>
          </cell>
          <cell r="R34">
            <v>68.164482514098594</v>
          </cell>
          <cell r="U34" t="str">
            <v>TOTAL COUTS DEG/TG</v>
          </cell>
          <cell r="W34">
            <v>61.074468324041035</v>
          </cell>
          <cell r="X34">
            <v>67.243132713062892</v>
          </cell>
          <cell r="Y34">
            <v>90.826328072273895</v>
          </cell>
          <cell r="Z34">
            <v>96.177400832539249</v>
          </cell>
          <cell r="AA34">
            <v>66.300306940276357</v>
          </cell>
          <cell r="AB34">
            <v>67.243132713062892</v>
          </cell>
          <cell r="AC34">
            <v>98.597885412611987</v>
          </cell>
          <cell r="AD34">
            <v>97.265180479531011</v>
          </cell>
          <cell r="AF34" t="str">
            <v>R/P</v>
          </cell>
          <cell r="AG34">
            <v>104</v>
          </cell>
          <cell r="AH34">
            <v>103</v>
          </cell>
          <cell r="AI34">
            <v>99</v>
          </cell>
          <cell r="AJ34">
            <v>101</v>
          </cell>
          <cell r="AK34">
            <v>99</v>
          </cell>
          <cell r="AL34">
            <v>99</v>
          </cell>
        </row>
      </sheetData>
      <sheetData sheetId="3" refreshError="1"/>
      <sheetData sheetId="4" refreshError="1"/>
      <sheetData sheetId="5" refreshError="1">
        <row r="1">
          <cell r="A1" t="str">
            <v>DEG/TG/C</v>
          </cell>
          <cell r="P1" t="str">
            <v>- 7 -</v>
          </cell>
        </row>
        <row r="3">
          <cell r="O3" t="str">
            <v xml:space="preserve">     MOIS : Juin  2002</v>
          </cell>
        </row>
        <row r="4">
          <cell r="A4" t="str">
            <v xml:space="preserve">       S E C T E U R S</v>
          </cell>
          <cell r="C4" t="str">
            <v xml:space="preserve"> MANUT.+ G.FLUX  (GS.70)       </v>
          </cell>
          <cell r="F4" t="str">
            <v xml:space="preserve">SECH.+FR.COM.(SA.900+909)      </v>
          </cell>
          <cell r="I4" t="str">
            <v xml:space="preserve">C.SEC + M.A TERRIL(SA.901)     </v>
          </cell>
          <cell r="L4" t="str">
            <v>STOCK. + CHARG. (SA.902)</v>
          </cell>
          <cell r="O4" t="str">
            <v>T  O  T  A  L</v>
          </cell>
        </row>
        <row r="5">
          <cell r="A5" t="str">
            <v>T O N N A G E (t)</v>
          </cell>
          <cell r="C5">
            <v>207506</v>
          </cell>
          <cell r="D5" t="str">
            <v>R/P</v>
          </cell>
          <cell r="E5">
            <v>1.8202280701754385</v>
          </cell>
          <cell r="F5">
            <v>183279</v>
          </cell>
          <cell r="G5" t="str">
            <v>R/P</v>
          </cell>
          <cell r="H5">
            <v>1.6077105263157894</v>
          </cell>
          <cell r="I5">
            <v>183279</v>
          </cell>
          <cell r="J5" t="str">
            <v>R/P</v>
          </cell>
          <cell r="K5">
            <v>1.6077105263157894</v>
          </cell>
          <cell r="L5">
            <v>183279</v>
          </cell>
          <cell r="M5" t="str">
            <v>R/P</v>
          </cell>
          <cell r="N5">
            <v>1.6077105263157894</v>
          </cell>
          <cell r="O5">
            <v>183279</v>
          </cell>
          <cell r="P5" t="str">
            <v>R/P</v>
          </cell>
          <cell r="Q5">
            <v>1.6077105263157894</v>
          </cell>
        </row>
        <row r="6">
          <cell r="A6" t="str">
            <v xml:space="preserve">NATURE </v>
          </cell>
          <cell r="D6" t="str">
            <v xml:space="preserve">       COUT</v>
          </cell>
          <cell r="G6" t="str">
            <v xml:space="preserve">   COUT</v>
          </cell>
          <cell r="J6" t="str">
            <v>COUT</v>
          </cell>
          <cell r="M6" t="str">
            <v>COUT</v>
          </cell>
          <cell r="P6" t="str">
            <v>C O U T</v>
          </cell>
        </row>
        <row r="7">
          <cell r="A7" t="str">
            <v xml:space="preserve"> DES </v>
          </cell>
          <cell r="B7" t="str">
            <v>L.PR</v>
          </cell>
          <cell r="C7" t="str">
            <v>DEPENSES</v>
          </cell>
          <cell r="D7" t="str">
            <v>REALISE</v>
          </cell>
          <cell r="E7" t="str">
            <v>R/P</v>
          </cell>
          <cell r="F7" t="str">
            <v>DEPENSES</v>
          </cell>
          <cell r="G7" t="str">
            <v>REALISE</v>
          </cell>
          <cell r="H7" t="str">
            <v>R/P</v>
          </cell>
          <cell r="I7" t="str">
            <v>DEPENSES</v>
          </cell>
          <cell r="J7" t="str">
            <v>REALISE</v>
          </cell>
          <cell r="K7" t="str">
            <v>R/P</v>
          </cell>
          <cell r="L7" t="str">
            <v>DEPENSES</v>
          </cell>
          <cell r="M7" t="str">
            <v>REALISE</v>
          </cell>
          <cell r="N7" t="str">
            <v>R/P</v>
          </cell>
          <cell r="O7" t="str">
            <v>DEPENSES</v>
          </cell>
          <cell r="P7" t="str">
            <v>REALISE</v>
          </cell>
          <cell r="Q7" t="str">
            <v>R/P</v>
          </cell>
        </row>
        <row r="8">
          <cell r="A8" t="str">
            <v xml:space="preserve"> DEPENSES</v>
          </cell>
          <cell r="C8" t="str">
            <v>(DH)</v>
          </cell>
          <cell r="D8" t="str">
            <v>(DH/t)</v>
          </cell>
          <cell r="E8" t="str">
            <v>(%)</v>
          </cell>
          <cell r="F8" t="str">
            <v>(DH)</v>
          </cell>
          <cell r="G8" t="str">
            <v>(DH/t)</v>
          </cell>
          <cell r="H8" t="str">
            <v>(%)</v>
          </cell>
          <cell r="I8" t="str">
            <v>(DH)</v>
          </cell>
          <cell r="J8" t="str">
            <v>(DH/t)</v>
          </cell>
          <cell r="K8" t="str">
            <v>(%)</v>
          </cell>
          <cell r="L8" t="str">
            <v>(DH)</v>
          </cell>
          <cell r="M8" t="str">
            <v>(DH/t)</v>
          </cell>
          <cell r="N8" t="str">
            <v>(%)</v>
          </cell>
          <cell r="O8" t="str">
            <v>(DH)</v>
          </cell>
          <cell r="P8" t="str">
            <v>(DH/t)</v>
          </cell>
          <cell r="Q8" t="str">
            <v>(%)</v>
          </cell>
        </row>
        <row r="9">
          <cell r="A9" t="str">
            <v xml:space="preserve"> - Frais du personnel</v>
          </cell>
          <cell r="B9" t="str">
            <v>0**</v>
          </cell>
          <cell r="C9">
            <v>348673.81</v>
          </cell>
          <cell r="D9">
            <v>1.6803071236494367</v>
          </cell>
          <cell r="E9">
            <v>92.931758398981231</v>
          </cell>
          <cell r="F9">
            <v>212236.59</v>
          </cell>
          <cell r="G9">
            <v>1.1579973155680683</v>
          </cell>
          <cell r="H9">
            <v>62.771546984472295</v>
          </cell>
          <cell r="I9">
            <v>51907.17</v>
          </cell>
          <cell r="J9">
            <v>0.28321395249864961</v>
          </cell>
          <cell r="K9">
            <v>55.331079301633181</v>
          </cell>
          <cell r="L9">
            <v>128177.92</v>
          </cell>
          <cell r="M9">
            <v>0.69935955565012908</v>
          </cell>
          <cell r="N9">
            <v>50.318163808335271</v>
          </cell>
          <cell r="O9">
            <v>740995.49000000011</v>
          </cell>
          <cell r="P9">
            <v>4.0429917775631692</v>
          </cell>
          <cell r="Q9">
            <v>72.786142621148599</v>
          </cell>
        </row>
        <row r="10">
          <cell r="A10" t="str">
            <v xml:space="preserve">   dont H.S</v>
          </cell>
          <cell r="B10" t="str">
            <v>05*</v>
          </cell>
          <cell r="C10">
            <v>42543.81</v>
          </cell>
          <cell r="D10">
            <v>0.20502448121982014</v>
          </cell>
          <cell r="E10">
            <v>116.11028719278474</v>
          </cell>
          <cell r="F10">
            <v>16198.01</v>
          </cell>
          <cell r="G10">
            <v>8.8378974132333768E-2</v>
          </cell>
          <cell r="H10">
            <v>69.81958850254928</v>
          </cell>
          <cell r="I10">
            <v>5834.71</v>
          </cell>
          <cell r="J10">
            <v>3.1835125682702331E-2</v>
          </cell>
          <cell r="K10">
            <v>58.915424083789567</v>
          </cell>
          <cell r="L10">
            <v>18061.59</v>
          </cell>
          <cell r="M10">
            <v>9.8546969374560103E-2</v>
          </cell>
          <cell r="N10">
            <v>90.884398896415036</v>
          </cell>
          <cell r="O10">
            <v>82638.12000000001</v>
          </cell>
          <cell r="P10">
            <v>0.45088700833156015</v>
          </cell>
          <cell r="Q10">
            <v>96.834649043362077</v>
          </cell>
        </row>
        <row r="11">
          <cell r="A11" t="str">
            <v xml:space="preserve"> - Electricité</v>
          </cell>
          <cell r="B11">
            <v>103</v>
          </cell>
          <cell r="C11">
            <v>206534.74</v>
          </cell>
          <cell r="D11">
            <v>0.99531936425934664</v>
          </cell>
          <cell r="E11">
            <v>29.358699916807506</v>
          </cell>
          <cell r="F11">
            <v>226105.52</v>
          </cell>
          <cell r="G11">
            <v>1.2336684508317919</v>
          </cell>
          <cell r="H11">
            <v>80.986618734789857</v>
          </cell>
          <cell r="I11">
            <v>38604.32</v>
          </cell>
          <cell r="J11">
            <v>0.21063144168180753</v>
          </cell>
          <cell r="K11">
            <v>63.748321902039592</v>
          </cell>
          <cell r="L11">
            <v>806.6</v>
          </cell>
          <cell r="M11">
            <v>4.4009406424085681E-3</v>
          </cell>
          <cell r="N11">
            <v>33.299427149591097</v>
          </cell>
          <cell r="O11">
            <v>472051.18</v>
          </cell>
          <cell r="P11">
            <v>2.5755879287861676</v>
          </cell>
          <cell r="Q11">
            <v>48.992292727624005</v>
          </cell>
        </row>
        <row r="12">
          <cell r="A12" t="str">
            <v xml:space="preserve"> - Fuel</v>
          </cell>
          <cell r="B12">
            <v>490</v>
          </cell>
          <cell r="C12">
            <v>0</v>
          </cell>
          <cell r="D12">
            <v>0</v>
          </cell>
          <cell r="E12" t="e">
            <v>#DIV/0!</v>
          </cell>
          <cell r="F12">
            <v>0</v>
          </cell>
          <cell r="G12">
            <v>0</v>
          </cell>
          <cell r="H12" t="e">
            <v>#DIV/0!</v>
          </cell>
          <cell r="I12">
            <v>0</v>
          </cell>
          <cell r="J12">
            <v>0</v>
          </cell>
          <cell r="K12" t="e">
            <v>#DIV/0!</v>
          </cell>
          <cell r="L12">
            <v>0</v>
          </cell>
          <cell r="M12">
            <v>0</v>
          </cell>
          <cell r="N12" t="e">
            <v>#DIV/0!</v>
          </cell>
          <cell r="O12">
            <v>0</v>
          </cell>
          <cell r="P12">
            <v>0</v>
          </cell>
          <cell r="Q12" t="e">
            <v>#DIV/0!</v>
          </cell>
        </row>
        <row r="13">
          <cell r="A13" t="str">
            <v xml:space="preserve"> - Gaz de chauffe</v>
          </cell>
          <cell r="B13">
            <v>492</v>
          </cell>
          <cell r="C13">
            <v>0</v>
          </cell>
          <cell r="D13">
            <v>0</v>
          </cell>
          <cell r="E13" t="e">
            <v>#DIV/0!</v>
          </cell>
          <cell r="F13">
            <v>1432402.32</v>
          </cell>
          <cell r="G13">
            <v>7.8154197698590675</v>
          </cell>
          <cell r="H13">
            <v>82.702854707503349</v>
          </cell>
          <cell r="I13">
            <v>0</v>
          </cell>
          <cell r="J13">
            <v>0</v>
          </cell>
          <cell r="K13" t="e">
            <v>#DIV/0!</v>
          </cell>
          <cell r="L13">
            <v>0</v>
          </cell>
          <cell r="M13">
            <v>0</v>
          </cell>
          <cell r="N13" t="e">
            <v>#DIV/0!</v>
          </cell>
          <cell r="O13">
            <v>1432402.32</v>
          </cell>
          <cell r="P13">
            <v>7.8154197698590675</v>
          </cell>
          <cell r="Q13">
            <v>82.702854707503349</v>
          </cell>
        </row>
        <row r="14">
          <cell r="A14" t="str">
            <v xml:space="preserve">   TOTAL ENERGIE</v>
          </cell>
          <cell r="B14" t="str">
            <v>-</v>
          </cell>
          <cell r="C14">
            <v>206534.74</v>
          </cell>
          <cell r="D14">
            <v>0.99531936425934664</v>
          </cell>
          <cell r="E14">
            <v>29.358699916807506</v>
          </cell>
          <cell r="F14">
            <v>1658507.84</v>
          </cell>
          <cell r="G14">
            <v>9.0490882206908605</v>
          </cell>
          <cell r="H14">
            <v>82.4646090605968</v>
          </cell>
          <cell r="I14">
            <v>38604.32</v>
          </cell>
          <cell r="J14">
            <v>0.21063144168180753</v>
          </cell>
          <cell r="K14">
            <v>63.748321902039592</v>
          </cell>
          <cell r="L14">
            <v>806.6</v>
          </cell>
          <cell r="M14">
            <v>4.4009406424085681E-3</v>
          </cell>
          <cell r="N14">
            <v>33.299427149591097</v>
          </cell>
          <cell r="O14">
            <v>1904453.5000000002</v>
          </cell>
          <cell r="P14">
            <v>10.391007698645236</v>
          </cell>
          <cell r="Q14">
            <v>70.652863946481787</v>
          </cell>
        </row>
        <row r="15">
          <cell r="A15" t="str">
            <v xml:space="preserve"> - Eau</v>
          </cell>
          <cell r="B15">
            <v>107</v>
          </cell>
          <cell r="C15">
            <v>0</v>
          </cell>
          <cell r="D15">
            <v>0</v>
          </cell>
          <cell r="E15" t="e">
            <v>#DIV/0!</v>
          </cell>
          <cell r="F15">
            <v>9158.7999999999993</v>
          </cell>
          <cell r="G15">
            <v>4.9971900763317124E-2</v>
          </cell>
          <cell r="H15">
            <v>71.388459073132637</v>
          </cell>
          <cell r="I15">
            <v>0</v>
          </cell>
          <cell r="J15">
            <v>0</v>
          </cell>
          <cell r="K15" t="e">
            <v>#DIV/0!</v>
          </cell>
          <cell r="L15">
            <v>0</v>
          </cell>
          <cell r="M15">
            <v>0</v>
          </cell>
          <cell r="N15" t="e">
            <v>#DIV/0!</v>
          </cell>
          <cell r="O15">
            <v>9158.7999999999993</v>
          </cell>
          <cell r="P15">
            <v>4.9971900763317124E-2</v>
          </cell>
          <cell r="Q15">
            <v>71.388459073132637</v>
          </cell>
        </row>
        <row r="16">
          <cell r="A16" t="str">
            <v>- Prest. mécan TG</v>
          </cell>
          <cell r="B16">
            <v>211</v>
          </cell>
          <cell r="C16">
            <v>102354.1</v>
          </cell>
          <cell r="D16">
            <v>0.49325850818771511</v>
          </cell>
          <cell r="E16">
            <v>60.797307770664467</v>
          </cell>
          <cell r="F16">
            <v>101468.45</v>
          </cell>
          <cell r="G16">
            <v>0.55362834803769112</v>
          </cell>
          <cell r="H16">
            <v>101.77775668503529</v>
          </cell>
          <cell r="I16">
            <v>45759.3</v>
          </cell>
          <cell r="J16">
            <v>0.24967017497913019</v>
          </cell>
          <cell r="K16">
            <v>79.244245022002488</v>
          </cell>
          <cell r="L16">
            <v>6050.1</v>
          </cell>
          <cell r="M16">
            <v>3.3010328515541879E-2</v>
          </cell>
          <cell r="N16">
            <v>50.187821421257894</v>
          </cell>
          <cell r="O16">
            <v>255631.95</v>
          </cell>
          <cell r="P16">
            <v>1.3947694498551388</v>
          </cell>
          <cell r="Q16">
            <v>80.338671971755431</v>
          </cell>
        </row>
        <row r="17">
          <cell r="A17" t="str">
            <v xml:space="preserve"> - Prest. élect. TG</v>
          </cell>
          <cell r="B17">
            <v>212</v>
          </cell>
          <cell r="C17">
            <v>78605.02</v>
          </cell>
          <cell r="D17">
            <v>0.37880841999749409</v>
          </cell>
          <cell r="E17">
            <v>110.95783595948019</v>
          </cell>
          <cell r="F17">
            <v>117586.28</v>
          </cell>
          <cell r="G17">
            <v>0.64156984706376619</v>
          </cell>
          <cell r="H17">
            <v>80.570558677918541</v>
          </cell>
          <cell r="I17">
            <v>26114.6</v>
          </cell>
          <cell r="J17">
            <v>0.14248550024825538</v>
          </cell>
          <cell r="K17">
            <v>140.64712970474901</v>
          </cell>
          <cell r="L17">
            <v>0</v>
          </cell>
          <cell r="M17">
            <v>0</v>
          </cell>
          <cell r="N17" t="e">
            <v>#DIV/0!</v>
          </cell>
          <cell r="O17">
            <v>222305.9</v>
          </cell>
          <cell r="P17">
            <v>1.2129371068152925</v>
          </cell>
          <cell r="Q17">
            <v>97.897339218776068</v>
          </cell>
        </row>
        <row r="18">
          <cell r="A18" t="str">
            <v xml:space="preserve"> - Prest. laboratoire</v>
          </cell>
          <cell r="B18">
            <v>242</v>
          </cell>
          <cell r="C18">
            <v>0</v>
          </cell>
          <cell r="D18">
            <v>0</v>
          </cell>
          <cell r="E18" t="e">
            <v>#DIV/0!</v>
          </cell>
          <cell r="F18">
            <v>168964.21</v>
          </cell>
          <cell r="G18">
            <v>0.92189618014065977</v>
          </cell>
          <cell r="H18">
            <v>120.99233661157636</v>
          </cell>
          <cell r="I18">
            <v>0</v>
          </cell>
          <cell r="J18">
            <v>0</v>
          </cell>
          <cell r="K18" t="e">
            <v>#DIV/0!</v>
          </cell>
          <cell r="L18">
            <v>0</v>
          </cell>
          <cell r="M18">
            <v>0</v>
          </cell>
          <cell r="N18" t="e">
            <v>#DIV/0!</v>
          </cell>
          <cell r="O18">
            <v>168964.21</v>
          </cell>
          <cell r="P18">
            <v>0.92189618014065977</v>
          </cell>
          <cell r="Q18">
            <v>120.99233661157636</v>
          </cell>
        </row>
        <row r="19">
          <cell r="A19" t="str">
            <v xml:space="preserve">   PRESTATIONS. INT.</v>
          </cell>
          <cell r="B19" t="str">
            <v>2**</v>
          </cell>
          <cell r="C19">
            <v>180959.12</v>
          </cell>
          <cell r="D19">
            <v>0.87206692818520903</v>
          </cell>
          <cell r="E19">
            <v>75.65330608821975</v>
          </cell>
          <cell r="F19">
            <v>388018.94</v>
          </cell>
          <cell r="G19">
            <v>2.1170943752421172</v>
          </cell>
          <cell r="H19">
            <v>100.70912437301773</v>
          </cell>
          <cell r="I19">
            <v>71873.899999999994</v>
          </cell>
          <cell r="J19">
            <v>0.39215567522738554</v>
          </cell>
          <cell r="K19">
            <v>94.184152267423144</v>
          </cell>
          <cell r="L19">
            <v>6050.1</v>
          </cell>
          <cell r="M19">
            <v>3.3010328515541879E-2</v>
          </cell>
          <cell r="N19">
            <v>50.187821421257894</v>
          </cell>
          <cell r="O19">
            <v>646902.06000000006</v>
          </cell>
          <cell r="P19">
            <v>3.5296027368110914</v>
          </cell>
          <cell r="Q19">
            <v>94.448981001191484</v>
          </cell>
        </row>
        <row r="20">
          <cell r="A20" t="str">
            <v xml:space="preserve"> - PREST. A. DIV.</v>
          </cell>
          <cell r="B20" t="str">
            <v>3**</v>
          </cell>
          <cell r="C20">
            <v>15562.12</v>
          </cell>
          <cell r="D20">
            <v>7.4996000115659309E-2</v>
          </cell>
          <cell r="E20">
            <v>34.006647631873207</v>
          </cell>
          <cell r="F20">
            <v>40082.160000000003</v>
          </cell>
          <cell r="G20">
            <v>0.21869477681567448</v>
          </cell>
          <cell r="H20">
            <v>60.266891943730272</v>
          </cell>
          <cell r="I20">
            <v>0</v>
          </cell>
          <cell r="J20">
            <v>0</v>
          </cell>
          <cell r="K20" t="e">
            <v>#DIV/0!</v>
          </cell>
          <cell r="L20">
            <v>0</v>
          </cell>
          <cell r="M20">
            <v>0</v>
          </cell>
          <cell r="N20" t="e">
            <v>#DIV/0!</v>
          </cell>
          <cell r="O20">
            <v>55644.280000000006</v>
          </cell>
          <cell r="P20">
            <v>0.30360423179960611</v>
          </cell>
          <cell r="Q20">
            <v>52.039555872372681</v>
          </cell>
        </row>
        <row r="21">
          <cell r="A21" t="str">
            <v xml:space="preserve"> - Bande</v>
          </cell>
          <cell r="B21">
            <v>402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</row>
        <row r="22">
          <cell r="A22" t="str">
            <v xml:space="preserve"> - Rouleaux</v>
          </cell>
          <cell r="B22">
            <v>408</v>
          </cell>
          <cell r="C22">
            <v>7293.7</v>
          </cell>
          <cell r="D22">
            <v>3.5149345079178433E-2</v>
          </cell>
          <cell r="E22">
            <v>21.196601746966945</v>
          </cell>
          <cell r="F22">
            <v>0</v>
          </cell>
          <cell r="G22">
            <v>0</v>
          </cell>
          <cell r="H22" t="e">
            <v>#DIV/0!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7293.7</v>
          </cell>
          <cell r="P22">
            <v>3.9795612154147501E-2</v>
          </cell>
          <cell r="Q22">
            <v>20.828895237248769</v>
          </cell>
        </row>
        <row r="23">
          <cell r="A23" t="str">
            <v xml:space="preserve"> - A. marchandises</v>
          </cell>
          <cell r="B23">
            <v>409</v>
          </cell>
          <cell r="C23">
            <v>16684.05</v>
          </cell>
          <cell r="D23">
            <v>8.0402735342592499E-2</v>
          </cell>
          <cell r="E23">
            <v>73.863665453898875</v>
          </cell>
          <cell r="F23">
            <v>9669.23</v>
          </cell>
          <cell r="G23">
            <v>5.2756889769149766E-2</v>
          </cell>
          <cell r="H23">
            <v>49.178602197195822</v>
          </cell>
          <cell r="I23">
            <v>459.22</v>
          </cell>
          <cell r="J23">
            <v>2.5055789261181041E-3</v>
          </cell>
          <cell r="K23">
            <v>36.604879444168589</v>
          </cell>
          <cell r="L23">
            <v>430.75</v>
          </cell>
          <cell r="M23">
            <v>2.3502419808052203E-3</v>
          </cell>
          <cell r="N23">
            <v>295.01390343332253</v>
          </cell>
          <cell r="O23">
            <v>27243.25</v>
          </cell>
          <cell r="P23">
            <v>0.1486435980117744</v>
          </cell>
          <cell r="Q23">
            <v>66.426782000803925</v>
          </cell>
        </row>
        <row r="24">
          <cell r="A24" t="str">
            <v xml:space="preserve"> - P. de rechange</v>
          </cell>
          <cell r="B24">
            <v>417</v>
          </cell>
          <cell r="C24">
            <v>10701.8</v>
          </cell>
          <cell r="D24">
            <v>5.1573448478598204E-2</v>
          </cell>
          <cell r="E24">
            <v>9.7990523960560516</v>
          </cell>
          <cell r="F24">
            <v>12296.81</v>
          </cell>
          <cell r="G24">
            <v>6.7093393132873921E-2</v>
          </cell>
          <cell r="H24">
            <v>21.455755138094631</v>
          </cell>
          <cell r="I24">
            <v>6461.43</v>
          </cell>
          <cell r="J24">
            <v>3.5254611821321592E-2</v>
          </cell>
          <cell r="K24">
            <v>136.81645585549913</v>
          </cell>
          <cell r="L24">
            <v>391.69</v>
          </cell>
          <cell r="M24">
            <v>2.1371242750124128E-3</v>
          </cell>
          <cell r="N24">
            <v>58.638800582437526</v>
          </cell>
          <cell r="O24">
            <v>29851.73</v>
          </cell>
          <cell r="P24">
            <v>0.16287588867246111</v>
          </cell>
          <cell r="Q24">
            <v>18.755239064273265</v>
          </cell>
        </row>
        <row r="25">
          <cell r="A25" t="str">
            <v xml:space="preserve"> - A. consommations</v>
          </cell>
          <cell r="B25" t="str">
            <v>-</v>
          </cell>
          <cell r="C25">
            <v>18134.729999999996</v>
          </cell>
          <cell r="D25">
            <v>8.7393762108083597E-2</v>
          </cell>
          <cell r="E25">
            <v>55.01015838218818</v>
          </cell>
          <cell r="F25">
            <v>6796.5199999998222</v>
          </cell>
          <cell r="G25">
            <v>3.7082917300944582E-2</v>
          </cell>
          <cell r="H25">
            <v>48.398673789938734</v>
          </cell>
          <cell r="I25">
            <v>0</v>
          </cell>
          <cell r="J25">
            <v>0</v>
          </cell>
          <cell r="K25">
            <v>0</v>
          </cell>
          <cell r="L25">
            <v>882.84999999999991</v>
          </cell>
          <cell r="M25">
            <v>4.8169730301889464E-3</v>
          </cell>
          <cell r="N25">
            <v>63.61828687394371</v>
          </cell>
          <cell r="O25">
            <v>25814.099999999817</v>
          </cell>
          <cell r="P25">
            <v>0.140845923428215</v>
          </cell>
          <cell r="Q25">
            <v>52.620161247685125</v>
          </cell>
        </row>
        <row r="26">
          <cell r="A26" t="str">
            <v xml:space="preserve">  TOT. MARCHANDISE</v>
          </cell>
          <cell r="B26" t="str">
            <v>4**</v>
          </cell>
          <cell r="C26">
            <v>52814.28</v>
          </cell>
          <cell r="D26">
            <v>0.25451929100845277</v>
          </cell>
          <cell r="E26">
            <v>15.068561337761741</v>
          </cell>
          <cell r="F26">
            <v>28762.559999999823</v>
          </cell>
          <cell r="G26">
            <v>0.15693320020296828</v>
          </cell>
          <cell r="H26">
            <v>27.47568558350396</v>
          </cell>
          <cell r="I26">
            <v>6920.65</v>
          </cell>
          <cell r="J26">
            <v>3.7760190747439693E-2</v>
          </cell>
          <cell r="K26">
            <v>23.295111966188042</v>
          </cell>
          <cell r="L26">
            <v>1705.29</v>
          </cell>
          <cell r="M26">
            <v>9.3043392860065795E-3</v>
          </cell>
          <cell r="N26">
            <v>8.8957995321501286</v>
          </cell>
          <cell r="O26">
            <v>90202.77999999981</v>
          </cell>
          <cell r="P26">
            <v>0.49216102226659797</v>
          </cell>
          <cell r="Q26">
            <v>19.476611366369404</v>
          </cell>
        </row>
        <row r="27">
          <cell r="A27" t="str">
            <v xml:space="preserve"> - Transport produit</v>
          </cell>
          <cell r="B27">
            <v>569</v>
          </cell>
          <cell r="C27">
            <v>2958858.96</v>
          </cell>
          <cell r="D27">
            <v>14.259148940271606</v>
          </cell>
          <cell r="E27">
            <v>98.702747142061853</v>
          </cell>
          <cell r="F27">
            <v>0</v>
          </cell>
          <cell r="G27">
            <v>0</v>
          </cell>
          <cell r="H27" t="e">
            <v>#DIV/0!</v>
          </cell>
          <cell r="I27">
            <v>0</v>
          </cell>
          <cell r="J27">
            <v>0</v>
          </cell>
          <cell r="K27" t="e">
            <v>#DIV/0!</v>
          </cell>
          <cell r="L27">
            <v>0</v>
          </cell>
          <cell r="M27">
            <v>0</v>
          </cell>
          <cell r="N27" t="e">
            <v>#DIV/0!</v>
          </cell>
          <cell r="O27">
            <v>2958858.96</v>
          </cell>
          <cell r="P27">
            <v>16.144015189956296</v>
          </cell>
          <cell r="Q27">
            <v>111.74991269300185</v>
          </cell>
        </row>
        <row r="28">
          <cell r="A28" t="str">
            <v xml:space="preserve"> - Total ( T.F.EXT )</v>
          </cell>
          <cell r="B28" t="str">
            <v>5**</v>
          </cell>
          <cell r="C28">
            <v>2963275.52</v>
          </cell>
          <cell r="D28">
            <v>14.280432951336348</v>
          </cell>
          <cell r="E28">
            <v>98.468946384485477</v>
          </cell>
          <cell r="F28">
            <v>2872.87</v>
          </cell>
          <cell r="G28">
            <v>1.5674845454198245E-2</v>
          </cell>
          <cell r="H28">
            <v>41.47002822457965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2966148.39</v>
          </cell>
          <cell r="P28">
            <v>16.183787504296728</v>
          </cell>
          <cell r="Q28">
            <v>109.6501311718005</v>
          </cell>
        </row>
        <row r="29">
          <cell r="A29" t="str">
            <v xml:space="preserve"> - Location</v>
          </cell>
          <cell r="B29">
            <v>680</v>
          </cell>
          <cell r="C29">
            <v>267117.5</v>
          </cell>
          <cell r="D29">
            <v>1.2872760305726099</v>
          </cell>
          <cell r="E29">
            <v>56.055384049738578</v>
          </cell>
          <cell r="F29">
            <v>2034.27</v>
          </cell>
          <cell r="G29">
            <v>1.1099307612983484E-2</v>
          </cell>
          <cell r="H29">
            <v>16.532684321024185</v>
          </cell>
          <cell r="I29">
            <v>4401.6499999999996</v>
          </cell>
          <cell r="J29">
            <v>2.4016117503914795E-2</v>
          </cell>
          <cell r="K29">
            <v>63.064001191084394</v>
          </cell>
          <cell r="L29">
            <v>0</v>
          </cell>
          <cell r="M29">
            <v>0</v>
          </cell>
          <cell r="N29" t="e">
            <v>#DIV/0!</v>
          </cell>
          <cell r="O29">
            <v>273553.42000000004</v>
          </cell>
          <cell r="P29">
            <v>1.4925519017454265</v>
          </cell>
          <cell r="Q29">
            <v>62.146840845403858</v>
          </cell>
        </row>
        <row r="30">
          <cell r="A30" t="str">
            <v xml:space="preserve"> - FG + SP </v>
          </cell>
          <cell r="O30">
            <v>180995.78931894896</v>
          </cell>
          <cell r="P30">
            <v>0.98754243158762844</v>
          </cell>
          <cell r="Q30">
            <v>60.819343784455192</v>
          </cell>
        </row>
        <row r="31">
          <cell r="A31" t="str">
            <v xml:space="preserve"> TOTAL  CLAIR</v>
          </cell>
          <cell r="C31">
            <v>4034937.09</v>
          </cell>
          <cell r="D31">
            <v>19.44491768912706</v>
          </cell>
          <cell r="E31">
            <v>77.594858890853629</v>
          </cell>
          <cell r="F31">
            <v>2341674.0300000007</v>
          </cell>
          <cell r="G31">
            <v>12.776553942350191</v>
          </cell>
          <cell r="H31">
            <v>79.70775225961485</v>
          </cell>
          <cell r="I31">
            <v>173707.68999999997</v>
          </cell>
          <cell r="J31">
            <v>0.94777737765919701</v>
          </cell>
          <cell r="K31">
            <v>64.331942406104886</v>
          </cell>
          <cell r="L31">
            <v>136739.91</v>
          </cell>
          <cell r="M31">
            <v>0.74607516409408603</v>
          </cell>
          <cell r="N31">
            <v>41.956392399633977</v>
          </cell>
          <cell r="O31">
            <v>6868054.5093189506</v>
          </cell>
          <cell r="P31">
            <v>37.473221205478808</v>
          </cell>
          <cell r="Q31">
            <v>81.52732808474822</v>
          </cell>
        </row>
      </sheetData>
      <sheetData sheetId="6" refreshError="1"/>
      <sheetData sheetId="7" refreshError="1"/>
      <sheetData sheetId="8" refreshError="1"/>
      <sheetData sheetId="9" refreshError="1">
        <row r="3">
          <cell r="B3" t="str">
            <v>TABLEAU DE BORD 76</v>
          </cell>
        </row>
        <row r="4">
          <cell r="B4" t="str">
            <v>DEPENSES DEG/TG</v>
          </cell>
        </row>
        <row r="7">
          <cell r="B7" t="str">
            <v>Ligne prix de revient</v>
          </cell>
          <cell r="C7" t="str">
            <v>Sections analytiques</v>
          </cell>
          <cell r="D7" t="str">
            <v>Surcodes</v>
          </cell>
          <cell r="E7" t="str">
            <v>Réalisé</v>
          </cell>
          <cell r="F7" t="str">
            <v>Prévu</v>
          </cell>
          <cell r="G7" t="str">
            <v>Cumul</v>
          </cell>
        </row>
        <row r="8">
          <cell r="B8" t="str">
            <v>0**</v>
          </cell>
          <cell r="C8" t="str">
            <v>Toutes sections</v>
          </cell>
          <cell r="D8" t="str">
            <v>Tous surcodes</v>
          </cell>
          <cell r="E8">
            <v>3651339.53</v>
          </cell>
          <cell r="F8">
            <v>3495564.9</v>
          </cell>
          <cell r="G8">
            <v>21717007.109999999</v>
          </cell>
        </row>
        <row r="9">
          <cell r="B9" t="str">
            <v>05*</v>
          </cell>
          <cell r="C9" t="str">
            <v>"</v>
          </cell>
          <cell r="D9" t="str">
            <v>"</v>
          </cell>
          <cell r="E9">
            <v>325908.05</v>
          </cell>
          <cell r="F9">
            <v>236802.47</v>
          </cell>
          <cell r="G9">
            <v>1734969.87</v>
          </cell>
        </row>
        <row r="10">
          <cell r="B10">
            <v>103</v>
          </cell>
          <cell r="C10" t="str">
            <v>"</v>
          </cell>
          <cell r="D10" t="str">
            <v>"</v>
          </cell>
          <cell r="E10">
            <v>3183513.26</v>
          </cell>
          <cell r="F10">
            <v>3152710.49</v>
          </cell>
          <cell r="G10">
            <v>17530083.390000001</v>
          </cell>
        </row>
        <row r="11">
          <cell r="B11">
            <v>490</v>
          </cell>
          <cell r="C11" t="str">
            <v>"</v>
          </cell>
          <cell r="D11" t="str">
            <v>"</v>
          </cell>
          <cell r="E11">
            <v>19987.27</v>
          </cell>
          <cell r="F11">
            <v>106275</v>
          </cell>
          <cell r="G11">
            <v>379685.19</v>
          </cell>
        </row>
        <row r="12">
          <cell r="B12">
            <v>492</v>
          </cell>
          <cell r="C12" t="str">
            <v>"</v>
          </cell>
          <cell r="D12" t="str">
            <v>"</v>
          </cell>
          <cell r="E12">
            <v>2653988.3199999998</v>
          </cell>
          <cell r="F12">
            <v>2273231.25</v>
          </cell>
          <cell r="G12">
            <v>16354956.720000001</v>
          </cell>
        </row>
        <row r="13">
          <cell r="B13">
            <v>107</v>
          </cell>
          <cell r="C13" t="str">
            <v>"</v>
          </cell>
          <cell r="D13" t="str">
            <v>"</v>
          </cell>
          <cell r="E13">
            <v>31679.200000000001</v>
          </cell>
          <cell r="F13">
            <v>35839.08</v>
          </cell>
          <cell r="G13">
            <v>206739.4</v>
          </cell>
        </row>
        <row r="14">
          <cell r="B14">
            <v>211</v>
          </cell>
          <cell r="C14" t="str">
            <v>"</v>
          </cell>
          <cell r="D14" t="str">
            <v>"</v>
          </cell>
          <cell r="E14">
            <v>485312.45</v>
          </cell>
          <cell r="F14">
            <v>488794.99</v>
          </cell>
          <cell r="G14">
            <v>2998659.89</v>
          </cell>
        </row>
        <row r="15">
          <cell r="B15">
            <v>212</v>
          </cell>
          <cell r="C15" t="str">
            <v>"</v>
          </cell>
          <cell r="D15" t="str">
            <v>"</v>
          </cell>
          <cell r="E15">
            <v>556781.17000000004</v>
          </cell>
          <cell r="F15">
            <v>530543.31999999995</v>
          </cell>
          <cell r="G15">
            <v>3161847.89</v>
          </cell>
        </row>
        <row r="16">
          <cell r="B16">
            <v>242</v>
          </cell>
          <cell r="C16" t="str">
            <v>"</v>
          </cell>
          <cell r="D16" t="str">
            <v>"</v>
          </cell>
          <cell r="E16">
            <v>347113.61</v>
          </cell>
          <cell r="F16">
            <v>201495.58</v>
          </cell>
          <cell r="G16">
            <v>1222410.55</v>
          </cell>
        </row>
        <row r="17">
          <cell r="B17" t="str">
            <v>2**</v>
          </cell>
          <cell r="C17" t="str">
            <v>"</v>
          </cell>
          <cell r="D17" t="str">
            <v>"</v>
          </cell>
          <cell r="E17">
            <v>1389207.23</v>
          </cell>
          <cell r="F17">
            <v>1220833.8899999999</v>
          </cell>
          <cell r="G17">
            <v>7382918.3300000001</v>
          </cell>
        </row>
        <row r="18">
          <cell r="B18" t="str">
            <v>3**</v>
          </cell>
          <cell r="C18" t="str">
            <v>"</v>
          </cell>
          <cell r="D18" t="str">
            <v>"</v>
          </cell>
          <cell r="E18">
            <v>760804.21</v>
          </cell>
          <cell r="F18">
            <v>477097.45</v>
          </cell>
          <cell r="G18">
            <v>5301777.88</v>
          </cell>
        </row>
        <row r="19">
          <cell r="B19">
            <v>402</v>
          </cell>
          <cell r="C19" t="str">
            <v>"</v>
          </cell>
          <cell r="D19" t="str">
            <v>"</v>
          </cell>
          <cell r="E19">
            <v>213939.85</v>
          </cell>
          <cell r="F19">
            <v>301016.55</v>
          </cell>
          <cell r="G19">
            <v>1003882.69</v>
          </cell>
        </row>
        <row r="20">
          <cell r="B20">
            <v>408</v>
          </cell>
          <cell r="C20" t="str">
            <v>"</v>
          </cell>
          <cell r="D20" t="str">
            <v>"</v>
          </cell>
          <cell r="E20">
            <v>22018.3</v>
          </cell>
          <cell r="F20">
            <v>46666.63</v>
          </cell>
          <cell r="G20">
            <v>154531.81</v>
          </cell>
        </row>
        <row r="21">
          <cell r="B21">
            <v>409</v>
          </cell>
          <cell r="C21" t="str">
            <v>"</v>
          </cell>
          <cell r="D21" t="str">
            <v>"</v>
          </cell>
          <cell r="E21">
            <v>97899.6</v>
          </cell>
          <cell r="F21">
            <v>192629.05</v>
          </cell>
          <cell r="G21">
            <v>1114170.99</v>
          </cell>
        </row>
        <row r="22">
          <cell r="B22">
            <v>417</v>
          </cell>
          <cell r="C22" t="str">
            <v>"</v>
          </cell>
          <cell r="D22" t="str">
            <v>"</v>
          </cell>
          <cell r="E22">
            <v>126646.45</v>
          </cell>
          <cell r="F22">
            <v>240005.84</v>
          </cell>
          <cell r="G22">
            <v>1548197.73</v>
          </cell>
        </row>
        <row r="23">
          <cell r="B23" t="str">
            <v>4**</v>
          </cell>
          <cell r="C23" t="str">
            <v>"</v>
          </cell>
          <cell r="D23" t="str">
            <v>"</v>
          </cell>
          <cell r="E23">
            <v>3504463.77</v>
          </cell>
          <cell r="F23">
            <v>3293351.79</v>
          </cell>
          <cell r="G23">
            <v>21449104.879999999</v>
          </cell>
        </row>
        <row r="24">
          <cell r="B24" t="str">
            <v>51*</v>
          </cell>
          <cell r="C24" t="str">
            <v>"</v>
          </cell>
          <cell r="D24" t="str">
            <v>"</v>
          </cell>
          <cell r="E24">
            <v>111466.83</v>
          </cell>
          <cell r="F24">
            <v>139912.23000000001</v>
          </cell>
          <cell r="G24">
            <v>236005.67</v>
          </cell>
        </row>
        <row r="25">
          <cell r="B25">
            <v>550</v>
          </cell>
          <cell r="C25" t="str">
            <v>"</v>
          </cell>
          <cell r="D25" t="str">
            <v>"</v>
          </cell>
          <cell r="E25">
            <v>84460</v>
          </cell>
          <cell r="F25">
            <v>83333.33</v>
          </cell>
          <cell r="G25">
            <v>346846</v>
          </cell>
        </row>
        <row r="26">
          <cell r="B26">
            <v>560</v>
          </cell>
          <cell r="C26" t="str">
            <v>"</v>
          </cell>
          <cell r="D26" t="str">
            <v>"</v>
          </cell>
          <cell r="E26">
            <v>160112.35999999999</v>
          </cell>
          <cell r="F26">
            <v>40532</v>
          </cell>
          <cell r="G26">
            <v>390757.36</v>
          </cell>
        </row>
        <row r="27">
          <cell r="B27">
            <v>569</v>
          </cell>
          <cell r="C27" t="str">
            <v>"</v>
          </cell>
          <cell r="D27" t="str">
            <v>"</v>
          </cell>
          <cell r="E27">
            <v>3526836.53</v>
          </cell>
          <cell r="F27">
            <v>1669781.25</v>
          </cell>
          <cell r="G27">
            <v>11318139.98</v>
          </cell>
        </row>
        <row r="28">
          <cell r="B28" t="str">
            <v>5**</v>
          </cell>
          <cell r="C28" t="str">
            <v>"</v>
          </cell>
          <cell r="D28" t="str">
            <v>"</v>
          </cell>
          <cell r="E28">
            <v>4014110.94</v>
          </cell>
          <cell r="F28">
            <v>2007179.89</v>
          </cell>
          <cell r="G28">
            <v>13178902.5</v>
          </cell>
        </row>
        <row r="29">
          <cell r="B29">
            <v>680</v>
          </cell>
          <cell r="C29" t="str">
            <v>"</v>
          </cell>
          <cell r="D29" t="str">
            <v>"</v>
          </cell>
          <cell r="E29">
            <v>2663290.7599999998</v>
          </cell>
          <cell r="F29">
            <v>2705687.2</v>
          </cell>
          <cell r="G29">
            <v>15942500.85</v>
          </cell>
        </row>
        <row r="30">
          <cell r="B30">
            <v>820</v>
          </cell>
          <cell r="C30" t="str">
            <v>"</v>
          </cell>
          <cell r="D30" t="str">
            <v>"</v>
          </cell>
          <cell r="E30">
            <v>1389207.23</v>
          </cell>
          <cell r="F30">
            <v>1220834.06</v>
          </cell>
          <cell r="G30">
            <v>7381579.5499999998</v>
          </cell>
        </row>
        <row r="31">
          <cell r="B31" t="str">
            <v>710 à 830</v>
          </cell>
          <cell r="C31" t="str">
            <v>"</v>
          </cell>
          <cell r="D31" t="str">
            <v>"</v>
          </cell>
          <cell r="E31">
            <v>1548189.51</v>
          </cell>
          <cell r="F31">
            <v>1329167.3899999999</v>
          </cell>
          <cell r="G31">
            <v>7907282.8099999996</v>
          </cell>
        </row>
        <row r="32">
          <cell r="B32" t="str">
            <v>010 à 699</v>
          </cell>
          <cell r="C32" t="str">
            <v>"</v>
          </cell>
          <cell r="D32" t="str">
            <v>"</v>
          </cell>
          <cell r="E32">
            <v>19198408.899999999</v>
          </cell>
          <cell r="F32">
            <v>16388264.689999999</v>
          </cell>
          <cell r="G32">
            <v>102709034.34</v>
          </cell>
        </row>
        <row r="36">
          <cell r="B36" t="str">
            <v>TABLEAU DE BORD 77</v>
          </cell>
        </row>
        <row r="37">
          <cell r="B37" t="str">
            <v>DEPENSES PAR STADE OPERATOIRE</v>
          </cell>
        </row>
        <row r="40">
          <cell r="B40" t="str">
            <v xml:space="preserve">Ligne prix de revient </v>
          </cell>
          <cell r="C40" t="str">
            <v>Sections analytiques</v>
          </cell>
          <cell r="D40" t="str">
            <v>Surcodes</v>
          </cell>
          <cell r="E40" t="str">
            <v>Réalisé</v>
          </cell>
          <cell r="F40" t="str">
            <v>Prévu</v>
          </cell>
          <cell r="G40" t="str">
            <v>Cumul</v>
          </cell>
        </row>
        <row r="41">
          <cell r="B41" t="str">
            <v>Toutes LPR</v>
          </cell>
          <cell r="C41" t="str">
            <v>701 à 707</v>
          </cell>
          <cell r="D41" t="str">
            <v>0381  2481  2981</v>
          </cell>
          <cell r="E41">
            <v>4600699.9800000004</v>
          </cell>
          <cell r="F41">
            <v>2871675.83</v>
          </cell>
          <cell r="G41">
            <v>18343832.68</v>
          </cell>
        </row>
        <row r="42">
          <cell r="B42" t="str">
            <v>"</v>
          </cell>
          <cell r="C42">
            <v>709</v>
          </cell>
          <cell r="D42" t="str">
            <v>2981</v>
          </cell>
          <cell r="E42">
            <v>2214.6799999999998</v>
          </cell>
          <cell r="F42">
            <v>24789.78</v>
          </cell>
          <cell r="G42">
            <v>59790.15</v>
          </cell>
        </row>
        <row r="43">
          <cell r="B43" t="str">
            <v>"</v>
          </cell>
          <cell r="C43">
            <v>900</v>
          </cell>
          <cell r="D43" t="str">
            <v>2481</v>
          </cell>
          <cell r="E43">
            <v>2061640.54</v>
          </cell>
          <cell r="F43">
            <v>1644819.21</v>
          </cell>
          <cell r="G43">
            <v>13548538.52</v>
          </cell>
        </row>
        <row r="44">
          <cell r="B44" t="str">
            <v>"</v>
          </cell>
          <cell r="C44">
            <v>909</v>
          </cell>
          <cell r="D44" t="str">
            <v>2481</v>
          </cell>
          <cell r="E44">
            <v>280033.49</v>
          </cell>
          <cell r="F44">
            <v>207894.8</v>
          </cell>
          <cell r="G44">
            <v>1394908.22</v>
          </cell>
        </row>
        <row r="45">
          <cell r="B45" t="str">
            <v>"</v>
          </cell>
          <cell r="C45">
            <v>901</v>
          </cell>
          <cell r="D45" t="str">
            <v>2481</v>
          </cell>
          <cell r="E45">
            <v>173707.69</v>
          </cell>
          <cell r="F45">
            <v>170284.41</v>
          </cell>
          <cell r="G45">
            <v>1012255.53</v>
          </cell>
        </row>
        <row r="46">
          <cell r="B46" t="str">
            <v>"</v>
          </cell>
          <cell r="C46">
            <v>902</v>
          </cell>
          <cell r="D46" t="str">
            <v>2481</v>
          </cell>
          <cell r="E46">
            <v>136739.91</v>
          </cell>
          <cell r="F46">
            <v>205532.1</v>
          </cell>
          <cell r="G46">
            <v>1550618.26</v>
          </cell>
        </row>
        <row r="47">
          <cell r="B47" t="str">
            <v>"</v>
          </cell>
          <cell r="C47" t="str">
            <v>710 à 718</v>
          </cell>
          <cell r="D47" t="str">
            <v>7082  7982  2981</v>
          </cell>
          <cell r="E47">
            <v>1183939.8400000001</v>
          </cell>
          <cell r="F47">
            <v>1100761.6100000001</v>
          </cell>
          <cell r="G47">
            <v>6774678.54</v>
          </cell>
        </row>
        <row r="48">
          <cell r="B48" t="str">
            <v>"</v>
          </cell>
          <cell r="C48">
            <v>719</v>
          </cell>
          <cell r="D48" t="str">
            <v>7982</v>
          </cell>
          <cell r="E48">
            <v>87508.81</v>
          </cell>
          <cell r="F48">
            <v>78079.539999999994</v>
          </cell>
          <cell r="G48">
            <v>595542.05000000005</v>
          </cell>
        </row>
        <row r="49">
          <cell r="B49" t="str">
            <v>"</v>
          </cell>
          <cell r="C49" t="str">
            <v>911 à 914</v>
          </cell>
          <cell r="D49" t="str">
            <v>0382  7682</v>
          </cell>
          <cell r="E49">
            <v>6582505.7400000002</v>
          </cell>
          <cell r="F49">
            <v>6591872.3700000001</v>
          </cell>
          <cell r="G49">
            <v>37783362.68</v>
          </cell>
        </row>
        <row r="50">
          <cell r="B50" t="str">
            <v>"</v>
          </cell>
          <cell r="C50">
            <v>919</v>
          </cell>
          <cell r="D50" t="str">
            <v>7682</v>
          </cell>
          <cell r="E50">
            <v>787171.54</v>
          </cell>
          <cell r="F50">
            <v>578851.15</v>
          </cell>
          <cell r="G50">
            <v>3012219.94</v>
          </cell>
        </row>
        <row r="51">
          <cell r="B51" t="str">
            <v>"</v>
          </cell>
          <cell r="C51" t="str">
            <v>915 &amp; 916</v>
          </cell>
          <cell r="D51" t="str">
            <v>7682</v>
          </cell>
          <cell r="E51">
            <v>701462.84</v>
          </cell>
          <cell r="F51">
            <v>782897.88</v>
          </cell>
          <cell r="G51">
            <v>5016702.8499999996</v>
          </cell>
        </row>
        <row r="52">
          <cell r="B52" t="str">
            <v>"</v>
          </cell>
          <cell r="C52">
            <v>918</v>
          </cell>
          <cell r="D52" t="str">
            <v>7682</v>
          </cell>
          <cell r="E52">
            <v>605425</v>
          </cell>
          <cell r="F52">
            <v>269658.57</v>
          </cell>
          <cell r="G52">
            <v>1732557.35</v>
          </cell>
        </row>
        <row r="53">
          <cell r="B53" t="str">
            <v>"</v>
          </cell>
          <cell r="C53" t="str">
            <v>Toutes sections</v>
          </cell>
          <cell r="D53" t="str">
            <v>0388</v>
          </cell>
          <cell r="E53">
            <v>568459.07999999996</v>
          </cell>
          <cell r="F53">
            <v>531979.81000000006</v>
          </cell>
          <cell r="G53">
            <v>3312754.87</v>
          </cell>
        </row>
        <row r="54">
          <cell r="B54" t="str">
            <v xml:space="preserve"> 010 à 699</v>
          </cell>
          <cell r="C54" t="str">
            <v>"</v>
          </cell>
          <cell r="D54" t="str">
            <v>0000  0002  0009</v>
          </cell>
          <cell r="E54">
            <v>1426899.76</v>
          </cell>
          <cell r="F54">
            <v>1329167.6299999999</v>
          </cell>
          <cell r="G54">
            <v>8499594.5999999996</v>
          </cell>
        </row>
        <row r="55">
          <cell r="B55" t="str">
            <v xml:space="preserve"> 710 à 830</v>
          </cell>
          <cell r="C55" t="str">
            <v>"</v>
          </cell>
          <cell r="D55" t="str">
            <v>0000  0002  0009</v>
          </cell>
          <cell r="E55">
            <v>1548189.51</v>
          </cell>
          <cell r="F55">
            <v>1329167.3899999999</v>
          </cell>
          <cell r="G55">
            <v>7907282.8099999996</v>
          </cell>
        </row>
        <row r="90">
          <cell r="B90" t="str">
            <v>TABLEAU DE BORD 79</v>
          </cell>
        </row>
        <row r="91">
          <cell r="B91" t="str">
            <v>SECHAGE</v>
          </cell>
        </row>
        <row r="94">
          <cell r="B94" t="str">
            <v>Ligne prix de revient</v>
          </cell>
          <cell r="C94" t="str">
            <v>Sections analytiques</v>
          </cell>
          <cell r="D94" t="str">
            <v>Surcodes</v>
          </cell>
          <cell r="E94" t="str">
            <v>Réalisé</v>
          </cell>
          <cell r="F94" t="str">
            <v>Prévu</v>
          </cell>
          <cell r="G94" t="str">
            <v>Cumul</v>
          </cell>
        </row>
        <row r="95">
          <cell r="B95" t="str">
            <v>0**</v>
          </cell>
          <cell r="C95" t="str">
            <v>900 à 909</v>
          </cell>
          <cell r="D95" t="str">
            <v>2481</v>
          </cell>
          <cell r="E95">
            <v>212236.59</v>
          </cell>
          <cell r="F95">
            <v>213225.89</v>
          </cell>
          <cell r="G95">
            <v>1309427.5900000001</v>
          </cell>
        </row>
        <row r="96">
          <cell r="B96" t="str">
            <v>05*</v>
          </cell>
          <cell r="C96" t="str">
            <v>"</v>
          </cell>
          <cell r="D96" t="str">
            <v>"</v>
          </cell>
          <cell r="E96">
            <v>16198.01</v>
          </cell>
          <cell r="F96">
            <v>14630.76</v>
          </cell>
          <cell r="G96">
            <v>121031.41</v>
          </cell>
        </row>
        <row r="97">
          <cell r="B97">
            <v>103</v>
          </cell>
          <cell r="C97" t="str">
            <v>"</v>
          </cell>
          <cell r="D97" t="str">
            <v>"</v>
          </cell>
          <cell r="E97">
            <v>226105.52</v>
          </cell>
          <cell r="F97">
            <v>176067.99</v>
          </cell>
          <cell r="G97">
            <v>1488211.04</v>
          </cell>
        </row>
        <row r="98">
          <cell r="B98">
            <v>490</v>
          </cell>
          <cell r="C98" t="str">
            <v>"</v>
          </cell>
          <cell r="D98" t="str">
            <v>"</v>
          </cell>
          <cell r="E98">
            <v>0</v>
          </cell>
          <cell r="F98">
            <v>0</v>
          </cell>
          <cell r="G98">
            <v>0</v>
          </cell>
        </row>
        <row r="99">
          <cell r="B99">
            <v>492</v>
          </cell>
          <cell r="C99" t="str">
            <v>"</v>
          </cell>
          <cell r="D99" t="str">
            <v>"</v>
          </cell>
          <cell r="E99">
            <v>1432402.32</v>
          </cell>
          <cell r="F99">
            <v>1092262.5</v>
          </cell>
          <cell r="G99">
            <v>9295763.0399999991</v>
          </cell>
        </row>
        <row r="100">
          <cell r="B100">
            <v>107</v>
          </cell>
          <cell r="C100" t="str">
            <v>"</v>
          </cell>
          <cell r="D100" t="str">
            <v>"</v>
          </cell>
          <cell r="E100">
            <v>9158.7999999999993</v>
          </cell>
          <cell r="F100">
            <v>8090.83</v>
          </cell>
          <cell r="G100">
            <v>45047.8</v>
          </cell>
        </row>
        <row r="101">
          <cell r="B101">
            <v>211</v>
          </cell>
          <cell r="C101" t="str">
            <v>"</v>
          </cell>
          <cell r="D101" t="str">
            <v>"</v>
          </cell>
          <cell r="E101">
            <v>101468.45</v>
          </cell>
          <cell r="F101">
            <v>62872.49</v>
          </cell>
          <cell r="G101">
            <v>505274.65</v>
          </cell>
        </row>
        <row r="102">
          <cell r="B102">
            <v>212</v>
          </cell>
          <cell r="C102" t="str">
            <v>"</v>
          </cell>
          <cell r="D102" t="str">
            <v>"</v>
          </cell>
          <cell r="E102">
            <v>117586.28</v>
          </cell>
          <cell r="F102">
            <v>92037.07</v>
          </cell>
          <cell r="G102">
            <v>701368.37</v>
          </cell>
        </row>
        <row r="103">
          <cell r="B103">
            <v>242</v>
          </cell>
          <cell r="C103" t="str">
            <v>"</v>
          </cell>
          <cell r="D103" t="str">
            <v>"</v>
          </cell>
          <cell r="E103">
            <v>168964.21</v>
          </cell>
          <cell r="F103">
            <v>88068.25</v>
          </cell>
          <cell r="G103">
            <v>693437.62</v>
          </cell>
        </row>
        <row r="104">
          <cell r="B104" t="str">
            <v>2**</v>
          </cell>
          <cell r="C104" t="str">
            <v>"</v>
          </cell>
          <cell r="D104" t="str">
            <v>"</v>
          </cell>
          <cell r="E104">
            <v>388018.94</v>
          </cell>
          <cell r="F104">
            <v>242977.81</v>
          </cell>
          <cell r="G104">
            <v>1900080.68</v>
          </cell>
        </row>
        <row r="105">
          <cell r="B105" t="str">
            <v>3**</v>
          </cell>
          <cell r="C105" t="str">
            <v>"</v>
          </cell>
          <cell r="D105" t="str">
            <v>"</v>
          </cell>
          <cell r="E105">
            <v>40082.160000000003</v>
          </cell>
          <cell r="F105">
            <v>41942.550000000003</v>
          </cell>
          <cell r="G105">
            <v>220240.89</v>
          </cell>
        </row>
        <row r="106">
          <cell r="B106">
            <v>402</v>
          </cell>
          <cell r="C106" t="str">
            <v>"</v>
          </cell>
          <cell r="D106" t="str">
            <v>"</v>
          </cell>
          <cell r="E106">
            <v>0</v>
          </cell>
          <cell r="F106">
            <v>8619</v>
          </cell>
          <cell r="G106">
            <v>53922</v>
          </cell>
        </row>
        <row r="107">
          <cell r="B107">
            <v>408</v>
          </cell>
          <cell r="C107" t="str">
            <v>"</v>
          </cell>
          <cell r="D107" t="str">
            <v>"</v>
          </cell>
          <cell r="E107">
            <v>0</v>
          </cell>
          <cell r="F107">
            <v>0</v>
          </cell>
          <cell r="G107">
            <v>44826.51</v>
          </cell>
        </row>
        <row r="108">
          <cell r="B108">
            <v>409</v>
          </cell>
          <cell r="C108" t="str">
            <v>"</v>
          </cell>
          <cell r="D108" t="str">
            <v>"</v>
          </cell>
          <cell r="E108">
            <v>9669.23</v>
          </cell>
          <cell r="F108">
            <v>12399.33</v>
          </cell>
          <cell r="G108">
            <v>192960.74</v>
          </cell>
        </row>
        <row r="109">
          <cell r="B109">
            <v>417</v>
          </cell>
          <cell r="C109" t="str">
            <v>"</v>
          </cell>
          <cell r="D109" t="str">
            <v>"</v>
          </cell>
          <cell r="E109">
            <v>12296.81</v>
          </cell>
          <cell r="F109">
            <v>36143.58</v>
          </cell>
          <cell r="G109">
            <v>273500.39</v>
          </cell>
        </row>
        <row r="110">
          <cell r="B110" t="str">
            <v>4**</v>
          </cell>
          <cell r="C110" t="str">
            <v>"</v>
          </cell>
          <cell r="D110" t="str">
            <v>"</v>
          </cell>
          <cell r="E110">
            <v>1461164.88</v>
          </cell>
          <cell r="F110">
            <v>1158280.3700000001</v>
          </cell>
          <cell r="G110">
            <v>9938011.6899999995</v>
          </cell>
        </row>
        <row r="111">
          <cell r="B111" t="str">
            <v>5**</v>
          </cell>
          <cell r="C111" t="str">
            <v>"</v>
          </cell>
          <cell r="D111" t="str">
            <v>"</v>
          </cell>
          <cell r="E111">
            <v>2872.87</v>
          </cell>
          <cell r="F111">
            <v>4368.82</v>
          </cell>
          <cell r="G111">
            <v>30234.13</v>
          </cell>
        </row>
        <row r="112">
          <cell r="B112">
            <v>680</v>
          </cell>
          <cell r="C112" t="str">
            <v>"</v>
          </cell>
          <cell r="D112" t="str">
            <v>"</v>
          </cell>
          <cell r="E112">
            <v>2034.27</v>
          </cell>
          <cell r="F112">
            <v>7759.75</v>
          </cell>
          <cell r="G112">
            <v>12192.91</v>
          </cell>
        </row>
        <row r="113">
          <cell r="B113" t="str">
            <v>Toutes LPR</v>
          </cell>
          <cell r="C113" t="str">
            <v>"</v>
          </cell>
          <cell r="D113" t="str">
            <v>"</v>
          </cell>
          <cell r="E113">
            <v>2341674.0299999998</v>
          </cell>
          <cell r="F113">
            <v>1852714.01</v>
          </cell>
          <cell r="G113">
            <v>14943446.74</v>
          </cell>
        </row>
        <row r="116">
          <cell r="B116" t="str">
            <v>TABLEAU DE BORD 80</v>
          </cell>
        </row>
        <row r="117">
          <cell r="B117" t="str">
            <v>VOIE DU SEC ET MISE A TERRIL CLAIR</v>
          </cell>
        </row>
        <row r="120">
          <cell r="B120" t="str">
            <v>Ligne prix de revient</v>
          </cell>
          <cell r="C120" t="str">
            <v>Sections analytiques</v>
          </cell>
          <cell r="D120" t="str">
            <v>Surcodes</v>
          </cell>
          <cell r="E120" t="str">
            <v>Réalisé</v>
          </cell>
          <cell r="F120" t="str">
            <v>Prévu</v>
          </cell>
          <cell r="G120" t="str">
            <v>Cumul</v>
          </cell>
        </row>
        <row r="121">
          <cell r="B121" t="str">
            <v>0**</v>
          </cell>
          <cell r="C121" t="str">
            <v>901</v>
          </cell>
          <cell r="D121" t="str">
            <v>2481</v>
          </cell>
          <cell r="E121">
            <v>51907.17</v>
          </cell>
          <cell r="F121">
            <v>59161.71</v>
          </cell>
          <cell r="G121">
            <v>308346.3</v>
          </cell>
        </row>
        <row r="122">
          <cell r="B122" t="str">
            <v>05*</v>
          </cell>
          <cell r="C122" t="str">
            <v>"</v>
          </cell>
          <cell r="D122" t="str">
            <v>"</v>
          </cell>
          <cell r="E122">
            <v>5834.71</v>
          </cell>
          <cell r="F122">
            <v>6245.58</v>
          </cell>
          <cell r="G122">
            <v>33850.5</v>
          </cell>
        </row>
        <row r="123">
          <cell r="B123">
            <v>103</v>
          </cell>
          <cell r="C123" t="str">
            <v>"</v>
          </cell>
          <cell r="D123" t="str">
            <v>"</v>
          </cell>
          <cell r="E123">
            <v>38604.32</v>
          </cell>
          <cell r="F123">
            <v>38190</v>
          </cell>
          <cell r="G123">
            <v>233301.28</v>
          </cell>
        </row>
        <row r="124">
          <cell r="B124">
            <v>211</v>
          </cell>
          <cell r="C124" t="str">
            <v>"</v>
          </cell>
          <cell r="D124" t="str">
            <v>"</v>
          </cell>
          <cell r="E124">
            <v>45759.3</v>
          </cell>
          <cell r="F124">
            <v>36416.160000000003</v>
          </cell>
          <cell r="G124">
            <v>250363.4</v>
          </cell>
        </row>
        <row r="125">
          <cell r="B125">
            <v>212</v>
          </cell>
          <cell r="C125" t="str">
            <v>"</v>
          </cell>
          <cell r="D125" t="str">
            <v>"</v>
          </cell>
          <cell r="E125">
            <v>26114.6</v>
          </cell>
          <cell r="F125">
            <v>11709.41</v>
          </cell>
          <cell r="G125">
            <v>114587.02</v>
          </cell>
        </row>
        <row r="126">
          <cell r="B126" t="str">
            <v>2**</v>
          </cell>
          <cell r="C126" t="str">
            <v>"</v>
          </cell>
          <cell r="D126" t="str">
            <v>"</v>
          </cell>
          <cell r="E126">
            <v>71873.899999999994</v>
          </cell>
          <cell r="F126">
            <v>48125.57</v>
          </cell>
          <cell r="G126">
            <v>364950.42</v>
          </cell>
        </row>
        <row r="127">
          <cell r="B127" t="str">
            <v>3**</v>
          </cell>
          <cell r="C127" t="str">
            <v>"</v>
          </cell>
          <cell r="D127" t="str">
            <v>"</v>
          </cell>
          <cell r="E127">
            <v>0</v>
          </cell>
          <cell r="F127">
            <v>0</v>
          </cell>
          <cell r="G127">
            <v>0</v>
          </cell>
        </row>
        <row r="128">
          <cell r="B128">
            <v>402</v>
          </cell>
          <cell r="C128" t="str">
            <v>"</v>
          </cell>
          <cell r="D128" t="str">
            <v>"</v>
          </cell>
          <cell r="E128">
            <v>0</v>
          </cell>
          <cell r="F128">
            <v>11288.66</v>
          </cell>
          <cell r="G128">
            <v>0</v>
          </cell>
        </row>
        <row r="129">
          <cell r="B129">
            <v>408</v>
          </cell>
          <cell r="C129" t="str">
            <v>"</v>
          </cell>
          <cell r="D129" t="str">
            <v>"</v>
          </cell>
          <cell r="E129">
            <v>0</v>
          </cell>
          <cell r="F129">
            <v>833.33</v>
          </cell>
          <cell r="G129">
            <v>0</v>
          </cell>
        </row>
        <row r="130">
          <cell r="B130">
            <v>409</v>
          </cell>
          <cell r="C130" t="str">
            <v>"</v>
          </cell>
          <cell r="D130" t="str">
            <v>"</v>
          </cell>
          <cell r="E130">
            <v>459.22</v>
          </cell>
          <cell r="F130">
            <v>791.16</v>
          </cell>
          <cell r="G130">
            <v>10115.870000000001</v>
          </cell>
        </row>
        <row r="131">
          <cell r="B131">
            <v>417</v>
          </cell>
          <cell r="C131" t="str">
            <v>"</v>
          </cell>
          <cell r="D131" t="str">
            <v>"</v>
          </cell>
          <cell r="E131">
            <v>6461.43</v>
          </cell>
          <cell r="F131">
            <v>2978.33</v>
          </cell>
          <cell r="G131">
            <v>57252.83</v>
          </cell>
        </row>
        <row r="132">
          <cell r="B132" t="str">
            <v>4**</v>
          </cell>
          <cell r="C132" t="str">
            <v>"</v>
          </cell>
          <cell r="D132" t="str">
            <v>"</v>
          </cell>
          <cell r="E132">
            <v>6920.65</v>
          </cell>
          <cell r="F132">
            <v>18735.47</v>
          </cell>
          <cell r="G132">
            <v>71244.63</v>
          </cell>
        </row>
        <row r="133">
          <cell r="B133" t="str">
            <v>5**</v>
          </cell>
          <cell r="C133" t="str">
            <v>"</v>
          </cell>
          <cell r="D133" t="str">
            <v>"</v>
          </cell>
          <cell r="E133">
            <v>0</v>
          </cell>
          <cell r="F133">
            <v>1670</v>
          </cell>
          <cell r="G133">
            <v>8003</v>
          </cell>
        </row>
        <row r="134">
          <cell r="B134">
            <v>680</v>
          </cell>
          <cell r="C134" t="str">
            <v>"</v>
          </cell>
          <cell r="D134" t="str">
            <v>"</v>
          </cell>
          <cell r="E134">
            <v>4401.6499999999996</v>
          </cell>
          <cell r="F134">
            <v>4401.66</v>
          </cell>
          <cell r="G134">
            <v>26409.9</v>
          </cell>
        </row>
        <row r="135">
          <cell r="B135" t="str">
            <v>Toutes LPR</v>
          </cell>
          <cell r="C135" t="str">
            <v>"</v>
          </cell>
          <cell r="D135" t="str">
            <v>"</v>
          </cell>
          <cell r="E135">
            <v>173707.69</v>
          </cell>
          <cell r="F135">
            <v>170284.41</v>
          </cell>
          <cell r="G135">
            <v>1012255.53</v>
          </cell>
        </row>
        <row r="138">
          <cell r="B138" t="str">
            <v>TABLEAU DE BORD 81</v>
          </cell>
        </row>
        <row r="139">
          <cell r="B139" t="str">
            <v>STOCKAGE ET CHARGEMENT DU CLAIR</v>
          </cell>
        </row>
        <row r="142">
          <cell r="B142" t="str">
            <v>Ligne prix de revient</v>
          </cell>
          <cell r="C142" t="str">
            <v>Sections analytiques</v>
          </cell>
          <cell r="D142" t="str">
            <v>Surcodes</v>
          </cell>
          <cell r="E142" t="str">
            <v>Réalisé</v>
          </cell>
          <cell r="F142" t="str">
            <v>Prévu</v>
          </cell>
          <cell r="G142" t="str">
            <v>Cumul</v>
          </cell>
        </row>
        <row r="143">
          <cell r="B143" t="str">
            <v>0**</v>
          </cell>
          <cell r="C143" t="str">
            <v>902</v>
          </cell>
          <cell r="D143" t="str">
            <v>2481</v>
          </cell>
          <cell r="E143">
            <v>128177.92</v>
          </cell>
          <cell r="F143">
            <v>160646.38</v>
          </cell>
          <cell r="G143">
            <v>1454459.56</v>
          </cell>
        </row>
        <row r="144">
          <cell r="B144" t="str">
            <v>05*</v>
          </cell>
          <cell r="C144" t="str">
            <v>"</v>
          </cell>
          <cell r="D144" t="str">
            <v>"</v>
          </cell>
          <cell r="E144">
            <v>18061.59</v>
          </cell>
          <cell r="F144">
            <v>12532.83</v>
          </cell>
          <cell r="G144">
            <v>179112.67</v>
          </cell>
        </row>
        <row r="145">
          <cell r="B145">
            <v>103</v>
          </cell>
          <cell r="C145" t="str">
            <v>"</v>
          </cell>
          <cell r="D145" t="str">
            <v>"</v>
          </cell>
          <cell r="E145">
            <v>806.6</v>
          </cell>
          <cell r="F145">
            <v>1527.58</v>
          </cell>
          <cell r="G145">
            <v>4864.0200000000004</v>
          </cell>
        </row>
        <row r="146">
          <cell r="B146">
            <v>211</v>
          </cell>
          <cell r="C146" t="str">
            <v>"</v>
          </cell>
          <cell r="D146" t="str">
            <v>"</v>
          </cell>
          <cell r="E146">
            <v>6050.1</v>
          </cell>
          <cell r="F146">
            <v>7602.33</v>
          </cell>
          <cell r="G146">
            <v>31613</v>
          </cell>
        </row>
        <row r="147">
          <cell r="B147">
            <v>212</v>
          </cell>
          <cell r="C147" t="str">
            <v>"</v>
          </cell>
          <cell r="D147" t="str">
            <v>"</v>
          </cell>
          <cell r="E147">
            <v>0</v>
          </cell>
          <cell r="F147">
            <v>0</v>
          </cell>
          <cell r="G147">
            <v>0</v>
          </cell>
        </row>
        <row r="148">
          <cell r="B148" t="str">
            <v>2**</v>
          </cell>
          <cell r="C148" t="str">
            <v>"</v>
          </cell>
          <cell r="D148" t="str">
            <v>"</v>
          </cell>
          <cell r="E148">
            <v>6050.1</v>
          </cell>
          <cell r="F148">
            <v>7602.33</v>
          </cell>
          <cell r="G148">
            <v>31613</v>
          </cell>
        </row>
        <row r="149">
          <cell r="B149" t="str">
            <v>3**</v>
          </cell>
          <cell r="C149" t="str">
            <v>"</v>
          </cell>
          <cell r="D149" t="str">
            <v>"</v>
          </cell>
          <cell r="E149">
            <v>0</v>
          </cell>
          <cell r="F149">
            <v>0</v>
          </cell>
          <cell r="G149">
            <v>23908</v>
          </cell>
        </row>
        <row r="150">
          <cell r="B150">
            <v>402</v>
          </cell>
          <cell r="C150" t="str">
            <v>"</v>
          </cell>
          <cell r="D150" t="str">
            <v>"</v>
          </cell>
          <cell r="E150">
            <v>0</v>
          </cell>
          <cell r="F150">
            <v>8617.33</v>
          </cell>
          <cell r="G150">
            <v>0</v>
          </cell>
        </row>
        <row r="151">
          <cell r="B151">
            <v>408</v>
          </cell>
          <cell r="C151" t="str">
            <v>"</v>
          </cell>
          <cell r="D151" t="str">
            <v>"</v>
          </cell>
          <cell r="E151">
            <v>0</v>
          </cell>
          <cell r="F151">
            <v>2083.33</v>
          </cell>
          <cell r="G151">
            <v>0</v>
          </cell>
        </row>
        <row r="152">
          <cell r="B152">
            <v>409</v>
          </cell>
          <cell r="C152" t="str">
            <v>"</v>
          </cell>
          <cell r="D152" t="str">
            <v>"</v>
          </cell>
          <cell r="E152">
            <v>430.75</v>
          </cell>
          <cell r="F152">
            <v>92.08</v>
          </cell>
          <cell r="G152">
            <v>30264.720000000001</v>
          </cell>
        </row>
        <row r="153">
          <cell r="B153">
            <v>417</v>
          </cell>
          <cell r="C153" t="str">
            <v>"</v>
          </cell>
          <cell r="D153" t="str">
            <v>"</v>
          </cell>
          <cell r="E153">
            <v>391.69</v>
          </cell>
          <cell r="F153">
            <v>421.25</v>
          </cell>
          <cell r="G153">
            <v>2639.96</v>
          </cell>
        </row>
        <row r="154">
          <cell r="B154" t="str">
            <v>4**</v>
          </cell>
          <cell r="C154" t="str">
            <v>"</v>
          </cell>
          <cell r="D154" t="str">
            <v>"</v>
          </cell>
          <cell r="E154">
            <v>1705.29</v>
          </cell>
          <cell r="F154">
            <v>12089.15</v>
          </cell>
          <cell r="G154">
            <v>35654.519999999997</v>
          </cell>
        </row>
        <row r="155">
          <cell r="B155" t="str">
            <v>5**</v>
          </cell>
          <cell r="C155" t="str">
            <v>"</v>
          </cell>
          <cell r="D155" t="str">
            <v>"</v>
          </cell>
          <cell r="E155">
            <v>0</v>
          </cell>
          <cell r="F155">
            <v>23666.66</v>
          </cell>
          <cell r="G155">
            <v>119.16</v>
          </cell>
        </row>
        <row r="156">
          <cell r="B156">
            <v>680</v>
          </cell>
          <cell r="C156" t="str">
            <v>"</v>
          </cell>
          <cell r="D156" t="str">
            <v>"</v>
          </cell>
          <cell r="E156">
            <v>0</v>
          </cell>
          <cell r="F156">
            <v>0</v>
          </cell>
          <cell r="G156">
            <v>0</v>
          </cell>
        </row>
        <row r="157">
          <cell r="B157" t="str">
            <v>Toutes LPR</v>
          </cell>
          <cell r="C157" t="str">
            <v>"</v>
          </cell>
          <cell r="D157" t="str">
            <v>"</v>
          </cell>
          <cell r="E157">
            <v>136739.91</v>
          </cell>
          <cell r="F157">
            <v>205532.1</v>
          </cell>
          <cell r="G157">
            <v>1550618.26</v>
          </cell>
        </row>
        <row r="161">
          <cell r="B161" t="str">
            <v>TABLEAU DE BORD 82</v>
          </cell>
        </row>
        <row r="162">
          <cell r="B162" t="str">
            <v>MANUTENTION &amp; GESTION FLUX NOIR</v>
          </cell>
        </row>
        <row r="165">
          <cell r="B165" t="str">
            <v>Ligne prix de revient</v>
          </cell>
          <cell r="C165" t="str">
            <v>Sections analytiques</v>
          </cell>
          <cell r="D165" t="str">
            <v>Surcodes</v>
          </cell>
          <cell r="E165" t="str">
            <v>Réalisé</v>
          </cell>
          <cell r="F165" t="str">
            <v>Prévu</v>
          </cell>
          <cell r="G165" t="str">
            <v>Cumul</v>
          </cell>
        </row>
        <row r="166">
          <cell r="B166" t="str">
            <v>0**</v>
          </cell>
          <cell r="C166" t="str">
            <v>710 à 719</v>
          </cell>
          <cell r="D166" t="str">
            <v>7082   7982</v>
          </cell>
          <cell r="E166">
            <v>354175.74</v>
          </cell>
          <cell r="F166">
            <v>320601.23</v>
          </cell>
          <cell r="G166">
            <v>2052853.24</v>
          </cell>
        </row>
        <row r="167">
          <cell r="B167" t="str">
            <v>05*</v>
          </cell>
          <cell r="C167" t="str">
            <v>"</v>
          </cell>
          <cell r="D167" t="str">
            <v>"</v>
          </cell>
          <cell r="E167">
            <v>46246.61</v>
          </cell>
          <cell r="F167">
            <v>29616.99</v>
          </cell>
          <cell r="G167">
            <v>212621.59</v>
          </cell>
        </row>
        <row r="168">
          <cell r="B168">
            <v>103</v>
          </cell>
          <cell r="C168" t="str">
            <v>"</v>
          </cell>
          <cell r="D168" t="str">
            <v>"</v>
          </cell>
          <cell r="E168">
            <v>234309.16</v>
          </cell>
          <cell r="F168">
            <v>156749.98000000001</v>
          </cell>
          <cell r="G168">
            <v>1200205.26</v>
          </cell>
        </row>
        <row r="169">
          <cell r="B169">
            <v>211</v>
          </cell>
          <cell r="C169" t="str">
            <v>"</v>
          </cell>
          <cell r="D169" t="str">
            <v>"</v>
          </cell>
          <cell r="E169">
            <v>54802.2</v>
          </cell>
          <cell r="F169">
            <v>42515.98</v>
          </cell>
          <cell r="G169">
            <v>349544.23</v>
          </cell>
        </row>
        <row r="170">
          <cell r="B170">
            <v>212</v>
          </cell>
          <cell r="C170" t="str">
            <v>"</v>
          </cell>
          <cell r="D170" t="str">
            <v>"</v>
          </cell>
          <cell r="E170">
            <v>90451.520000000004</v>
          </cell>
          <cell r="F170">
            <v>105901.89</v>
          </cell>
          <cell r="G170">
            <v>469950.02</v>
          </cell>
        </row>
        <row r="171">
          <cell r="B171" t="str">
            <v>2**</v>
          </cell>
          <cell r="C171" t="str">
            <v>"</v>
          </cell>
          <cell r="D171" t="str">
            <v>"</v>
          </cell>
          <cell r="E171">
            <v>145253.72</v>
          </cell>
          <cell r="F171">
            <v>148417.87</v>
          </cell>
          <cell r="G171">
            <v>819494.25</v>
          </cell>
        </row>
        <row r="172">
          <cell r="B172" t="str">
            <v>3**</v>
          </cell>
          <cell r="C172" t="str">
            <v>"</v>
          </cell>
          <cell r="D172" t="str">
            <v>"</v>
          </cell>
          <cell r="E172">
            <v>86052.61</v>
          </cell>
          <cell r="F172">
            <v>56671.64</v>
          </cell>
          <cell r="G172">
            <v>487952.71</v>
          </cell>
        </row>
        <row r="173">
          <cell r="B173">
            <v>402</v>
          </cell>
          <cell r="C173" t="str">
            <v>"</v>
          </cell>
          <cell r="D173" t="str">
            <v>"</v>
          </cell>
          <cell r="E173">
            <v>0</v>
          </cell>
          <cell r="F173">
            <v>50099.25</v>
          </cell>
          <cell r="G173">
            <v>0</v>
          </cell>
        </row>
        <row r="174">
          <cell r="B174">
            <v>408</v>
          </cell>
          <cell r="C174" t="str">
            <v>"</v>
          </cell>
          <cell r="D174" t="str">
            <v>"</v>
          </cell>
          <cell r="E174">
            <v>14724.6</v>
          </cell>
          <cell r="F174">
            <v>11666.66</v>
          </cell>
          <cell r="G174">
            <v>42104.800000000003</v>
          </cell>
        </row>
        <row r="175">
          <cell r="B175">
            <v>409</v>
          </cell>
          <cell r="C175" t="str">
            <v>"</v>
          </cell>
          <cell r="D175" t="str">
            <v>"</v>
          </cell>
          <cell r="E175">
            <v>8302.64</v>
          </cell>
          <cell r="F175">
            <v>16970.47</v>
          </cell>
          <cell r="G175">
            <v>145684.46</v>
          </cell>
        </row>
        <row r="176">
          <cell r="B176">
            <v>417</v>
          </cell>
          <cell r="C176" t="str">
            <v>"</v>
          </cell>
          <cell r="D176" t="str">
            <v>"</v>
          </cell>
          <cell r="E176">
            <v>59159</v>
          </cell>
          <cell r="F176">
            <v>14110.81</v>
          </cell>
          <cell r="G176">
            <v>333075.49</v>
          </cell>
        </row>
        <row r="177">
          <cell r="B177" t="str">
            <v>4**</v>
          </cell>
          <cell r="C177" t="str">
            <v>"</v>
          </cell>
          <cell r="D177" t="str">
            <v>"</v>
          </cell>
          <cell r="E177">
            <v>93675.73</v>
          </cell>
          <cell r="F177">
            <v>110656.13</v>
          </cell>
          <cell r="G177">
            <v>581753.1</v>
          </cell>
        </row>
        <row r="178">
          <cell r="B178">
            <v>569</v>
          </cell>
          <cell r="C178" t="str">
            <v>"</v>
          </cell>
          <cell r="D178" t="str">
            <v>"</v>
          </cell>
          <cell r="E178">
            <v>0</v>
          </cell>
          <cell r="F178">
            <v>0</v>
          </cell>
          <cell r="G178">
            <v>0</v>
          </cell>
        </row>
        <row r="179">
          <cell r="B179" t="str">
            <v>5**</v>
          </cell>
          <cell r="C179" t="str">
            <v>"</v>
          </cell>
          <cell r="D179" t="str">
            <v>"</v>
          </cell>
          <cell r="E179">
            <v>12027.37</v>
          </cell>
          <cell r="F179">
            <v>5014.49</v>
          </cell>
          <cell r="G179">
            <v>152326.03</v>
          </cell>
        </row>
        <row r="180">
          <cell r="B180">
            <v>680</v>
          </cell>
          <cell r="C180" t="str">
            <v>"</v>
          </cell>
          <cell r="D180" t="str">
            <v>"</v>
          </cell>
          <cell r="E180">
            <v>345954.32</v>
          </cell>
          <cell r="F180">
            <v>380729.81</v>
          </cell>
          <cell r="G180">
            <v>2075636</v>
          </cell>
        </row>
        <row r="181">
          <cell r="B181" t="str">
            <v>Toutes LPR</v>
          </cell>
          <cell r="C181" t="str">
            <v>"</v>
          </cell>
          <cell r="D181" t="str">
            <v>"</v>
          </cell>
          <cell r="E181">
            <v>1271448.6499999999</v>
          </cell>
          <cell r="F181">
            <v>1178841.1499999999</v>
          </cell>
          <cell r="G181">
            <v>7370220.5899999999</v>
          </cell>
        </row>
        <row r="211">
          <cell r="B211" t="str">
            <v>TABLEAU DE BORD 84</v>
          </cell>
        </row>
        <row r="212">
          <cell r="B212" t="str">
            <v>VOIE DU CALCINE &amp; MISE A TERRIL</v>
          </cell>
        </row>
        <row r="215">
          <cell r="B215" t="str">
            <v>Ligne prix de revient</v>
          </cell>
          <cell r="C215" t="str">
            <v>Sections analytiques</v>
          </cell>
          <cell r="D215" t="str">
            <v>Surcodes</v>
          </cell>
          <cell r="E215" t="str">
            <v>Réalisé</v>
          </cell>
          <cell r="F215" t="str">
            <v>Prévu</v>
          </cell>
          <cell r="G215" t="str">
            <v>Cumul</v>
          </cell>
        </row>
        <row r="216">
          <cell r="B216" t="str">
            <v>0**</v>
          </cell>
          <cell r="C216" t="str">
            <v>915 &amp; 916</v>
          </cell>
          <cell r="D216" t="str">
            <v>7682</v>
          </cell>
          <cell r="E216">
            <v>314961.15999999997</v>
          </cell>
          <cell r="F216">
            <v>341576</v>
          </cell>
          <cell r="G216">
            <v>2047875.32</v>
          </cell>
        </row>
        <row r="217">
          <cell r="B217" t="str">
            <v>05*</v>
          </cell>
          <cell r="C217" t="str">
            <v>"</v>
          </cell>
          <cell r="D217" t="str">
            <v>"</v>
          </cell>
          <cell r="E217">
            <v>35717.839999999997</v>
          </cell>
          <cell r="F217">
            <v>30847</v>
          </cell>
          <cell r="G217">
            <v>202711.87</v>
          </cell>
        </row>
        <row r="218">
          <cell r="B218">
            <v>103</v>
          </cell>
          <cell r="C218" t="str">
            <v>"</v>
          </cell>
          <cell r="D218" t="str">
            <v>"</v>
          </cell>
          <cell r="E218">
            <v>152209.12</v>
          </cell>
          <cell r="F218">
            <v>139966.66</v>
          </cell>
          <cell r="G218">
            <v>891126.5</v>
          </cell>
        </row>
        <row r="219">
          <cell r="B219">
            <v>211</v>
          </cell>
          <cell r="C219" t="str">
            <v>"</v>
          </cell>
          <cell r="D219" t="str">
            <v>"</v>
          </cell>
          <cell r="E219">
            <v>24229.8</v>
          </cell>
          <cell r="F219">
            <v>28776.25</v>
          </cell>
          <cell r="G219">
            <v>170071.19</v>
          </cell>
        </row>
        <row r="220">
          <cell r="B220">
            <v>212</v>
          </cell>
          <cell r="C220" t="str">
            <v>"</v>
          </cell>
          <cell r="D220" t="str">
            <v>"</v>
          </cell>
          <cell r="E220">
            <v>4100.49</v>
          </cell>
          <cell r="F220">
            <v>18106.66</v>
          </cell>
          <cell r="G220">
            <v>46187.49</v>
          </cell>
        </row>
        <row r="221">
          <cell r="B221" t="str">
            <v>2**</v>
          </cell>
          <cell r="C221" t="str">
            <v>"</v>
          </cell>
          <cell r="D221" t="str">
            <v>"</v>
          </cell>
          <cell r="E221">
            <v>28330.29</v>
          </cell>
          <cell r="F221">
            <v>46882.91</v>
          </cell>
          <cell r="G221">
            <v>216258.68</v>
          </cell>
        </row>
        <row r="222">
          <cell r="B222" t="str">
            <v>3**</v>
          </cell>
          <cell r="C222" t="str">
            <v>"</v>
          </cell>
          <cell r="D222" t="str">
            <v>"</v>
          </cell>
          <cell r="E222">
            <v>68992</v>
          </cell>
          <cell r="F222">
            <v>1292.4000000000001</v>
          </cell>
          <cell r="G222">
            <v>749305.09</v>
          </cell>
        </row>
        <row r="223">
          <cell r="B223">
            <v>402</v>
          </cell>
          <cell r="C223" t="str">
            <v>"</v>
          </cell>
          <cell r="D223" t="str">
            <v>"</v>
          </cell>
          <cell r="E223">
            <v>0</v>
          </cell>
          <cell r="F223">
            <v>107564.24</v>
          </cell>
          <cell r="G223">
            <v>305916</v>
          </cell>
        </row>
        <row r="224">
          <cell r="B224">
            <v>408</v>
          </cell>
          <cell r="C224" t="str">
            <v>"</v>
          </cell>
          <cell r="D224" t="str">
            <v>"</v>
          </cell>
          <cell r="E224">
            <v>0</v>
          </cell>
          <cell r="F224">
            <v>12916.66</v>
          </cell>
          <cell r="G224">
            <v>25569</v>
          </cell>
        </row>
        <row r="225">
          <cell r="B225">
            <v>409</v>
          </cell>
          <cell r="C225" t="str">
            <v>"</v>
          </cell>
          <cell r="D225" t="str">
            <v>"</v>
          </cell>
          <cell r="E225">
            <v>26824.38</v>
          </cell>
          <cell r="F225">
            <v>16389.990000000002</v>
          </cell>
          <cell r="G225">
            <v>105392.53</v>
          </cell>
        </row>
        <row r="226">
          <cell r="B226">
            <v>417</v>
          </cell>
          <cell r="C226" t="str">
            <v>"</v>
          </cell>
          <cell r="D226" t="str">
            <v>"</v>
          </cell>
          <cell r="E226">
            <v>11177.26</v>
          </cell>
          <cell r="F226">
            <v>13442.24</v>
          </cell>
          <cell r="G226">
            <v>39620.03</v>
          </cell>
        </row>
        <row r="227">
          <cell r="B227" t="str">
            <v>4**</v>
          </cell>
          <cell r="C227" t="str">
            <v>"</v>
          </cell>
          <cell r="D227" t="str">
            <v>"</v>
          </cell>
          <cell r="E227">
            <v>42347.32</v>
          </cell>
          <cell r="F227">
            <v>157716</v>
          </cell>
          <cell r="G227">
            <v>545984.39</v>
          </cell>
        </row>
        <row r="228">
          <cell r="B228" t="str">
            <v>5**</v>
          </cell>
          <cell r="C228" t="str">
            <v>"</v>
          </cell>
          <cell r="D228" t="str">
            <v>"</v>
          </cell>
          <cell r="E228">
            <v>467.08</v>
          </cell>
          <cell r="F228">
            <v>1744</v>
          </cell>
          <cell r="G228">
            <v>3397.2</v>
          </cell>
        </row>
        <row r="229">
          <cell r="B229">
            <v>680</v>
          </cell>
          <cell r="C229" t="str">
            <v>"</v>
          </cell>
          <cell r="D229" t="str">
            <v>"</v>
          </cell>
          <cell r="E229">
            <v>94155.87</v>
          </cell>
          <cell r="F229">
            <v>93719.91</v>
          </cell>
          <cell r="G229">
            <v>562755.67000000004</v>
          </cell>
        </row>
        <row r="230">
          <cell r="B230" t="str">
            <v>Toutes LPR</v>
          </cell>
          <cell r="C230" t="str">
            <v>"</v>
          </cell>
          <cell r="D230" t="str">
            <v>"</v>
          </cell>
          <cell r="E230">
            <v>701462.84</v>
          </cell>
          <cell r="F230">
            <v>782897.88</v>
          </cell>
          <cell r="G230">
            <v>5016702.8499999996</v>
          </cell>
        </row>
        <row r="233">
          <cell r="B233" t="str">
            <v>TABLEAU DE BORD 85</v>
          </cell>
        </row>
        <row r="234">
          <cell r="B234" t="str">
            <v>STOCKAGE ET CHARGEMENT DU NOIR</v>
          </cell>
        </row>
        <row r="237">
          <cell r="B237" t="str">
            <v>Ligne prix de revient</v>
          </cell>
          <cell r="C237" t="str">
            <v>Sections analytiques</v>
          </cell>
          <cell r="D237" t="str">
            <v>Surcodes</v>
          </cell>
          <cell r="E237" t="str">
            <v>Réalisé</v>
          </cell>
          <cell r="F237" t="str">
            <v>Prévu</v>
          </cell>
          <cell r="G237" t="str">
            <v>Cumul</v>
          </cell>
        </row>
        <row r="238">
          <cell r="B238" t="str">
            <v>0**</v>
          </cell>
          <cell r="C238" t="str">
            <v>918</v>
          </cell>
          <cell r="D238" t="str">
            <v>7682</v>
          </cell>
          <cell r="E238">
            <v>137675.01999999999</v>
          </cell>
          <cell r="F238">
            <v>109891.62</v>
          </cell>
          <cell r="G238">
            <v>538316.19999999995</v>
          </cell>
        </row>
        <row r="239">
          <cell r="B239" t="str">
            <v>05*</v>
          </cell>
          <cell r="C239" t="str">
            <v>"</v>
          </cell>
          <cell r="D239" t="str">
            <v>"</v>
          </cell>
          <cell r="E239">
            <v>21947.37</v>
          </cell>
          <cell r="F239">
            <v>12969.99</v>
          </cell>
          <cell r="G239">
            <v>75262.210000000006</v>
          </cell>
        </row>
        <row r="240">
          <cell r="B240">
            <v>103</v>
          </cell>
          <cell r="C240" t="str">
            <v>"</v>
          </cell>
          <cell r="D240" t="str">
            <v>"</v>
          </cell>
          <cell r="E240">
            <v>35804.160000000003</v>
          </cell>
          <cell r="F240">
            <v>16466.66</v>
          </cell>
          <cell r="G240">
            <v>188744.4</v>
          </cell>
        </row>
        <row r="241">
          <cell r="B241">
            <v>211</v>
          </cell>
          <cell r="C241" t="str">
            <v>"</v>
          </cell>
          <cell r="D241" t="str">
            <v>"</v>
          </cell>
          <cell r="E241">
            <v>19206.849999999999</v>
          </cell>
          <cell r="F241">
            <v>12280.41</v>
          </cell>
          <cell r="G241">
            <v>82301.84</v>
          </cell>
        </row>
        <row r="242">
          <cell r="B242">
            <v>212</v>
          </cell>
          <cell r="C242" t="str">
            <v>"</v>
          </cell>
          <cell r="D242" t="str">
            <v>"</v>
          </cell>
          <cell r="E242">
            <v>2444.04</v>
          </cell>
          <cell r="F242">
            <v>4116.16</v>
          </cell>
          <cell r="G242">
            <v>10829.48</v>
          </cell>
        </row>
        <row r="243">
          <cell r="B243" t="str">
            <v>2**</v>
          </cell>
          <cell r="C243" t="str">
            <v>"</v>
          </cell>
          <cell r="D243" t="str">
            <v>"</v>
          </cell>
          <cell r="E243">
            <v>21650.89</v>
          </cell>
          <cell r="F243">
            <v>16396.57</v>
          </cell>
          <cell r="G243">
            <v>93131.32</v>
          </cell>
        </row>
        <row r="244">
          <cell r="B244" t="str">
            <v>3**</v>
          </cell>
          <cell r="C244" t="str">
            <v>"</v>
          </cell>
          <cell r="D244" t="str">
            <v>"</v>
          </cell>
          <cell r="E244">
            <v>141338</v>
          </cell>
          <cell r="F244">
            <v>1666.66</v>
          </cell>
          <cell r="G244">
            <v>343489.47</v>
          </cell>
        </row>
        <row r="245">
          <cell r="B245">
            <v>402</v>
          </cell>
          <cell r="C245" t="str">
            <v>"</v>
          </cell>
          <cell r="D245" t="str">
            <v>"</v>
          </cell>
          <cell r="E245">
            <v>213939.85</v>
          </cell>
          <cell r="F245">
            <v>30542.66</v>
          </cell>
          <cell r="G245">
            <v>213939.85</v>
          </cell>
        </row>
        <row r="246">
          <cell r="B246">
            <v>408</v>
          </cell>
          <cell r="C246" t="str">
            <v>"</v>
          </cell>
          <cell r="D246" t="str">
            <v>"</v>
          </cell>
          <cell r="E246">
            <v>0</v>
          </cell>
          <cell r="F246">
            <v>0</v>
          </cell>
          <cell r="G246">
            <v>0</v>
          </cell>
        </row>
        <row r="247">
          <cell r="B247">
            <v>409</v>
          </cell>
          <cell r="C247" t="str">
            <v>"</v>
          </cell>
          <cell r="D247" t="str">
            <v>"</v>
          </cell>
          <cell r="E247">
            <v>3166.74</v>
          </cell>
          <cell r="F247">
            <v>2282.33</v>
          </cell>
          <cell r="G247">
            <v>72588.92</v>
          </cell>
        </row>
        <row r="248">
          <cell r="B248">
            <v>417</v>
          </cell>
          <cell r="C248" t="str">
            <v>"</v>
          </cell>
          <cell r="D248" t="str">
            <v>"</v>
          </cell>
          <cell r="E248">
            <v>15465.02</v>
          </cell>
          <cell r="F248">
            <v>9839.25</v>
          </cell>
          <cell r="G248">
            <v>67211.360000000001</v>
          </cell>
        </row>
        <row r="249">
          <cell r="B249" t="str">
            <v>4**</v>
          </cell>
          <cell r="C249" t="str">
            <v>"</v>
          </cell>
          <cell r="D249" t="str">
            <v>"</v>
          </cell>
          <cell r="E249">
            <v>236629.96</v>
          </cell>
          <cell r="F249">
            <v>44910.06</v>
          </cell>
          <cell r="G249">
            <v>374914.14</v>
          </cell>
        </row>
        <row r="250">
          <cell r="B250" t="str">
            <v>5**</v>
          </cell>
          <cell r="C250" t="str">
            <v>"</v>
          </cell>
          <cell r="D250" t="str">
            <v>"</v>
          </cell>
          <cell r="E250">
            <v>0</v>
          </cell>
          <cell r="F250">
            <v>48000</v>
          </cell>
          <cell r="G250">
            <v>0</v>
          </cell>
        </row>
        <row r="251">
          <cell r="B251">
            <v>680</v>
          </cell>
          <cell r="C251" t="str">
            <v>"</v>
          </cell>
          <cell r="D251" t="str">
            <v>"</v>
          </cell>
          <cell r="E251">
            <v>32326.97</v>
          </cell>
          <cell r="F251">
            <v>32327</v>
          </cell>
          <cell r="G251">
            <v>193961.82</v>
          </cell>
        </row>
        <row r="252">
          <cell r="B252" t="str">
            <v>Toutes LPR</v>
          </cell>
          <cell r="C252" t="str">
            <v>"</v>
          </cell>
          <cell r="D252" t="str">
            <v>"</v>
          </cell>
          <cell r="E252">
            <v>605425</v>
          </cell>
          <cell r="F252">
            <v>269658.57</v>
          </cell>
          <cell r="G252">
            <v>1732557.35</v>
          </cell>
        </row>
        <row r="255">
          <cell r="B255" t="str">
            <v>TABLEAU DE BORD 86</v>
          </cell>
        </row>
        <row r="256">
          <cell r="B256" t="str">
            <v>UNITE N°1</v>
          </cell>
        </row>
        <row r="259">
          <cell r="B259" t="str">
            <v>Ligne prix de revient</v>
          </cell>
          <cell r="C259" t="str">
            <v>Sections analytiques</v>
          </cell>
          <cell r="D259" t="str">
            <v>Surcodes</v>
          </cell>
          <cell r="E259" t="str">
            <v>Réalisé</v>
          </cell>
          <cell r="F259" t="str">
            <v>Prévu</v>
          </cell>
          <cell r="G259" t="str">
            <v>Cumul</v>
          </cell>
        </row>
        <row r="260">
          <cell r="B260" t="str">
            <v>0**</v>
          </cell>
          <cell r="C260" t="str">
            <v>911</v>
          </cell>
          <cell r="D260" t="str">
            <v>0382</v>
          </cell>
          <cell r="E260">
            <v>0</v>
          </cell>
          <cell r="F260">
            <v>0</v>
          </cell>
          <cell r="G260">
            <v>1362.37</v>
          </cell>
        </row>
        <row r="261">
          <cell r="B261" t="str">
            <v>05*</v>
          </cell>
          <cell r="C261" t="str">
            <v>"</v>
          </cell>
          <cell r="D261" t="str">
            <v>"</v>
          </cell>
          <cell r="E261">
            <v>0</v>
          </cell>
          <cell r="F261">
            <v>0</v>
          </cell>
          <cell r="G261">
            <v>0</v>
          </cell>
        </row>
        <row r="262">
          <cell r="B262">
            <v>103</v>
          </cell>
          <cell r="C262" t="str">
            <v>"</v>
          </cell>
          <cell r="D262" t="str">
            <v>"</v>
          </cell>
          <cell r="E262">
            <v>0</v>
          </cell>
          <cell r="F262">
            <v>0</v>
          </cell>
          <cell r="G262">
            <v>0</v>
          </cell>
        </row>
        <row r="263">
          <cell r="B263">
            <v>490</v>
          </cell>
          <cell r="C263" t="str">
            <v>"</v>
          </cell>
          <cell r="D263" t="str">
            <v>"</v>
          </cell>
          <cell r="E263">
            <v>0</v>
          </cell>
          <cell r="F263">
            <v>0</v>
          </cell>
          <cell r="G263">
            <v>0</v>
          </cell>
        </row>
        <row r="264">
          <cell r="B264">
            <v>492</v>
          </cell>
          <cell r="C264" t="str">
            <v>"</v>
          </cell>
          <cell r="D264" t="str">
            <v>"</v>
          </cell>
          <cell r="E264">
            <v>0</v>
          </cell>
          <cell r="F264">
            <v>0</v>
          </cell>
          <cell r="G264">
            <v>0</v>
          </cell>
        </row>
        <row r="265">
          <cell r="B265">
            <v>107</v>
          </cell>
          <cell r="C265" t="str">
            <v>"</v>
          </cell>
          <cell r="D265" t="str">
            <v>"</v>
          </cell>
          <cell r="E265">
            <v>0</v>
          </cell>
          <cell r="F265">
            <v>0</v>
          </cell>
          <cell r="G265">
            <v>0</v>
          </cell>
        </row>
        <row r="266">
          <cell r="B266">
            <v>211</v>
          </cell>
          <cell r="C266" t="str">
            <v>"</v>
          </cell>
          <cell r="D266" t="str">
            <v>"</v>
          </cell>
          <cell r="E266">
            <v>0</v>
          </cell>
          <cell r="F266">
            <v>0</v>
          </cell>
          <cell r="G266">
            <v>28485.38</v>
          </cell>
        </row>
        <row r="267">
          <cell r="B267">
            <v>212</v>
          </cell>
          <cell r="C267" t="str">
            <v>"</v>
          </cell>
          <cell r="D267" t="str">
            <v>"</v>
          </cell>
          <cell r="E267">
            <v>0</v>
          </cell>
          <cell r="F267">
            <v>0</v>
          </cell>
          <cell r="G267">
            <v>0</v>
          </cell>
        </row>
        <row r="268">
          <cell r="B268" t="str">
            <v>2**</v>
          </cell>
          <cell r="C268" t="str">
            <v>"</v>
          </cell>
          <cell r="D268" t="str">
            <v>"</v>
          </cell>
          <cell r="E268">
            <v>0</v>
          </cell>
          <cell r="F268">
            <v>0</v>
          </cell>
          <cell r="G268">
            <v>28485.38</v>
          </cell>
        </row>
        <row r="269">
          <cell r="B269" t="str">
            <v>3**</v>
          </cell>
          <cell r="C269" t="str">
            <v>"</v>
          </cell>
          <cell r="D269" t="str">
            <v>"</v>
          </cell>
          <cell r="E269">
            <v>0</v>
          </cell>
          <cell r="F269">
            <v>0</v>
          </cell>
          <cell r="G269">
            <v>0</v>
          </cell>
        </row>
        <row r="270">
          <cell r="B270">
            <v>402</v>
          </cell>
          <cell r="C270" t="str">
            <v>"</v>
          </cell>
          <cell r="D270" t="str">
            <v>"</v>
          </cell>
          <cell r="E270">
            <v>0</v>
          </cell>
          <cell r="F270">
            <v>0</v>
          </cell>
          <cell r="G270">
            <v>0</v>
          </cell>
        </row>
        <row r="271">
          <cell r="B271">
            <v>409</v>
          </cell>
          <cell r="C271" t="str">
            <v>"</v>
          </cell>
          <cell r="D271" t="str">
            <v>"</v>
          </cell>
          <cell r="E271">
            <v>0</v>
          </cell>
          <cell r="F271">
            <v>0</v>
          </cell>
          <cell r="G271">
            <v>0</v>
          </cell>
        </row>
        <row r="272">
          <cell r="B272">
            <v>417</v>
          </cell>
          <cell r="C272" t="str">
            <v>"</v>
          </cell>
          <cell r="D272" t="str">
            <v>"</v>
          </cell>
          <cell r="E272">
            <v>0</v>
          </cell>
          <cell r="F272">
            <v>0</v>
          </cell>
          <cell r="G272">
            <v>6671.04</v>
          </cell>
        </row>
        <row r="273">
          <cell r="B273" t="str">
            <v>4**</v>
          </cell>
          <cell r="C273" t="str">
            <v>"</v>
          </cell>
          <cell r="D273" t="str">
            <v>"</v>
          </cell>
          <cell r="E273">
            <v>0</v>
          </cell>
          <cell r="F273">
            <v>0</v>
          </cell>
          <cell r="G273">
            <v>6671.04</v>
          </cell>
        </row>
        <row r="274">
          <cell r="B274" t="str">
            <v>5**</v>
          </cell>
          <cell r="C274" t="str">
            <v>"</v>
          </cell>
          <cell r="D274" t="str">
            <v>"</v>
          </cell>
          <cell r="E274">
            <v>2894.41</v>
          </cell>
          <cell r="F274">
            <v>1297.5</v>
          </cell>
          <cell r="G274">
            <v>17367.45</v>
          </cell>
        </row>
        <row r="275">
          <cell r="B275">
            <v>680</v>
          </cell>
          <cell r="C275" t="str">
            <v>"</v>
          </cell>
          <cell r="D275" t="str">
            <v>"</v>
          </cell>
          <cell r="E275">
            <v>1250</v>
          </cell>
          <cell r="F275">
            <v>1250</v>
          </cell>
          <cell r="G275">
            <v>7500</v>
          </cell>
        </row>
        <row r="276">
          <cell r="B276" t="str">
            <v>Toutes LPR</v>
          </cell>
          <cell r="C276" t="str">
            <v>"</v>
          </cell>
          <cell r="D276" t="str">
            <v>"</v>
          </cell>
          <cell r="E276">
            <v>4144.41</v>
          </cell>
          <cell r="F276">
            <v>2547.5</v>
          </cell>
          <cell r="G276">
            <v>61386.239999999998</v>
          </cell>
        </row>
        <row r="279">
          <cell r="B279" t="str">
            <v>TABLEAU DE BORD 87</v>
          </cell>
        </row>
        <row r="280">
          <cell r="B280" t="str">
            <v>UNITE N°2</v>
          </cell>
        </row>
        <row r="283">
          <cell r="B283" t="str">
            <v>Ligne prix de revient</v>
          </cell>
          <cell r="C283" t="str">
            <v>Sections analytiques</v>
          </cell>
          <cell r="D283" t="str">
            <v>Surcodes</v>
          </cell>
          <cell r="E283" t="str">
            <v>Réalisé</v>
          </cell>
          <cell r="F283" t="str">
            <v>Prévu</v>
          </cell>
          <cell r="G283" t="str">
            <v>Cumul</v>
          </cell>
        </row>
        <row r="284">
          <cell r="B284" t="str">
            <v>0**</v>
          </cell>
          <cell r="C284" t="str">
            <v>912</v>
          </cell>
          <cell r="D284" t="str">
            <v>7682</v>
          </cell>
          <cell r="E284">
            <v>83942.16</v>
          </cell>
          <cell r="F284">
            <v>133406.03</v>
          </cell>
          <cell r="G284">
            <v>666837.93999999994</v>
          </cell>
        </row>
        <row r="285">
          <cell r="B285" t="str">
            <v>05*</v>
          </cell>
          <cell r="C285" t="str">
            <v>"</v>
          </cell>
          <cell r="D285" t="str">
            <v>"</v>
          </cell>
          <cell r="E285">
            <v>5279.96</v>
          </cell>
          <cell r="F285">
            <v>10445.16</v>
          </cell>
          <cell r="G285">
            <v>42863.87</v>
          </cell>
        </row>
        <row r="286">
          <cell r="B286">
            <v>103</v>
          </cell>
          <cell r="C286" t="str">
            <v>"</v>
          </cell>
          <cell r="D286" t="str">
            <v>"</v>
          </cell>
          <cell r="E286">
            <v>6278.9</v>
          </cell>
          <cell r="F286">
            <v>741000</v>
          </cell>
          <cell r="G286">
            <v>438352.32</v>
          </cell>
        </row>
        <row r="287">
          <cell r="B287">
            <v>490</v>
          </cell>
          <cell r="C287" t="str">
            <v>"</v>
          </cell>
          <cell r="D287" t="str">
            <v>"</v>
          </cell>
          <cell r="E287">
            <v>0</v>
          </cell>
          <cell r="F287">
            <v>35425</v>
          </cell>
          <cell r="G287">
            <v>318666.34000000003</v>
          </cell>
        </row>
        <row r="288">
          <cell r="B288">
            <v>492</v>
          </cell>
          <cell r="C288" t="str">
            <v>"</v>
          </cell>
          <cell r="D288" t="str">
            <v>"</v>
          </cell>
          <cell r="E288">
            <v>0</v>
          </cell>
          <cell r="F288">
            <v>393656.25</v>
          </cell>
          <cell r="G288">
            <v>38012.800000000003</v>
          </cell>
        </row>
        <row r="289">
          <cell r="B289">
            <v>107</v>
          </cell>
          <cell r="C289" t="str">
            <v>"</v>
          </cell>
          <cell r="D289" t="str">
            <v>"</v>
          </cell>
          <cell r="E289">
            <v>0</v>
          </cell>
          <cell r="F289">
            <v>9100</v>
          </cell>
          <cell r="G289">
            <v>2622.2</v>
          </cell>
        </row>
        <row r="290">
          <cell r="B290">
            <v>211</v>
          </cell>
          <cell r="C290" t="str">
            <v>"</v>
          </cell>
          <cell r="D290" t="str">
            <v>"</v>
          </cell>
          <cell r="E290">
            <v>16255.55</v>
          </cell>
          <cell r="F290">
            <v>67267.91</v>
          </cell>
          <cell r="G290">
            <v>141106.13</v>
          </cell>
        </row>
        <row r="291">
          <cell r="B291">
            <v>212</v>
          </cell>
          <cell r="C291" t="str">
            <v>"</v>
          </cell>
          <cell r="D291" t="str">
            <v>"</v>
          </cell>
          <cell r="E291">
            <v>38697.300000000003</v>
          </cell>
          <cell r="F291">
            <v>86376.08</v>
          </cell>
          <cell r="G291">
            <v>256561.46</v>
          </cell>
        </row>
        <row r="292">
          <cell r="B292" t="str">
            <v>2**</v>
          </cell>
          <cell r="C292" t="str">
            <v>"</v>
          </cell>
          <cell r="D292" t="str">
            <v>"</v>
          </cell>
          <cell r="E292">
            <v>54952.85</v>
          </cell>
          <cell r="F292">
            <v>153643.99</v>
          </cell>
          <cell r="G292">
            <v>397667.59</v>
          </cell>
        </row>
        <row r="293">
          <cell r="B293" t="str">
            <v>3**</v>
          </cell>
          <cell r="C293" t="str">
            <v>"</v>
          </cell>
          <cell r="D293" t="str">
            <v>"</v>
          </cell>
          <cell r="E293">
            <v>0</v>
          </cell>
          <cell r="F293">
            <v>2916.66</v>
          </cell>
          <cell r="G293">
            <v>68768.820000000007</v>
          </cell>
        </row>
        <row r="294">
          <cell r="B294">
            <v>402</v>
          </cell>
          <cell r="C294" t="str">
            <v>"</v>
          </cell>
          <cell r="D294" t="str">
            <v>"</v>
          </cell>
          <cell r="E294">
            <v>0</v>
          </cell>
          <cell r="F294">
            <v>0</v>
          </cell>
          <cell r="G294">
            <v>0</v>
          </cell>
        </row>
        <row r="295">
          <cell r="B295">
            <v>409</v>
          </cell>
          <cell r="C295" t="str">
            <v>"</v>
          </cell>
          <cell r="D295" t="str">
            <v>"</v>
          </cell>
          <cell r="E295">
            <v>2333.81</v>
          </cell>
          <cell r="F295">
            <v>34842.75</v>
          </cell>
          <cell r="G295">
            <v>121413.52</v>
          </cell>
        </row>
        <row r="296">
          <cell r="B296">
            <v>417</v>
          </cell>
          <cell r="C296" t="str">
            <v>"</v>
          </cell>
          <cell r="D296" t="str">
            <v>"</v>
          </cell>
          <cell r="E296">
            <v>313.51</v>
          </cell>
          <cell r="F296">
            <v>32223.58</v>
          </cell>
          <cell r="G296">
            <v>207098.03</v>
          </cell>
        </row>
        <row r="297">
          <cell r="B297" t="str">
            <v>4**</v>
          </cell>
          <cell r="C297" t="str">
            <v>"</v>
          </cell>
          <cell r="D297" t="str">
            <v>"</v>
          </cell>
          <cell r="E297">
            <v>54727.32</v>
          </cell>
          <cell r="F297">
            <v>505897.87</v>
          </cell>
          <cell r="G297">
            <v>761463.83</v>
          </cell>
        </row>
        <row r="298">
          <cell r="B298" t="str">
            <v>5**</v>
          </cell>
          <cell r="C298" t="str">
            <v>"</v>
          </cell>
          <cell r="D298" t="str">
            <v>"</v>
          </cell>
          <cell r="E298">
            <v>28463.78</v>
          </cell>
          <cell r="F298">
            <v>12924.33</v>
          </cell>
          <cell r="G298">
            <v>171806.85</v>
          </cell>
        </row>
        <row r="299">
          <cell r="B299">
            <v>680</v>
          </cell>
          <cell r="C299" t="str">
            <v>"</v>
          </cell>
          <cell r="D299" t="str">
            <v>"</v>
          </cell>
          <cell r="E299">
            <v>619657.18999999994</v>
          </cell>
          <cell r="F299">
            <v>626877.07999999996</v>
          </cell>
          <cell r="G299">
            <v>3718196.54</v>
          </cell>
        </row>
        <row r="300">
          <cell r="B300" t="str">
            <v>Toutes LPR</v>
          </cell>
          <cell r="C300" t="str">
            <v>"</v>
          </cell>
          <cell r="D300" t="str">
            <v>"</v>
          </cell>
          <cell r="E300">
            <v>848022.2</v>
          </cell>
          <cell r="F300">
            <v>2185765.96</v>
          </cell>
          <cell r="G300">
            <v>6225716.0899999999</v>
          </cell>
        </row>
        <row r="303">
          <cell r="B303" t="str">
            <v>TABLEAU DE BORD 88</v>
          </cell>
        </row>
        <row r="304">
          <cell r="B304" t="str">
            <v>UNITE N°3</v>
          </cell>
        </row>
        <row r="307">
          <cell r="B307" t="str">
            <v>Ligne prix de revient</v>
          </cell>
          <cell r="C307" t="str">
            <v>Sections analytiques</v>
          </cell>
          <cell r="D307" t="str">
            <v>Surcodes</v>
          </cell>
          <cell r="E307" t="str">
            <v>Réalisé</v>
          </cell>
          <cell r="F307" t="str">
            <v>Prévu</v>
          </cell>
          <cell r="G307" t="str">
            <v>Cumul</v>
          </cell>
        </row>
        <row r="308">
          <cell r="B308" t="str">
            <v>0**</v>
          </cell>
          <cell r="C308" t="str">
            <v>913</v>
          </cell>
          <cell r="D308" t="str">
            <v>7682</v>
          </cell>
          <cell r="E308">
            <v>164368.20000000001</v>
          </cell>
          <cell r="F308">
            <v>133406.03</v>
          </cell>
          <cell r="G308">
            <v>802265.52</v>
          </cell>
        </row>
        <row r="309">
          <cell r="B309" t="str">
            <v>05*</v>
          </cell>
          <cell r="C309" t="str">
            <v>"</v>
          </cell>
          <cell r="D309" t="str">
            <v>"</v>
          </cell>
          <cell r="E309">
            <v>10418.280000000001</v>
          </cell>
          <cell r="F309">
            <v>10445.16</v>
          </cell>
          <cell r="G309">
            <v>58423.14</v>
          </cell>
        </row>
        <row r="310">
          <cell r="B310">
            <v>103</v>
          </cell>
          <cell r="C310" t="str">
            <v>"</v>
          </cell>
          <cell r="D310" t="str">
            <v>"</v>
          </cell>
          <cell r="E310">
            <v>507387.66</v>
          </cell>
          <cell r="F310">
            <v>741000</v>
          </cell>
          <cell r="G310">
            <v>4077682.68</v>
          </cell>
        </row>
        <row r="311">
          <cell r="B311">
            <v>490</v>
          </cell>
          <cell r="C311" t="str">
            <v>"</v>
          </cell>
          <cell r="D311" t="str">
            <v>"</v>
          </cell>
          <cell r="E311">
            <v>12383.42</v>
          </cell>
          <cell r="F311">
            <v>35425</v>
          </cell>
          <cell r="G311">
            <v>25432.82</v>
          </cell>
        </row>
        <row r="312">
          <cell r="B312">
            <v>492</v>
          </cell>
          <cell r="C312" t="str">
            <v>"</v>
          </cell>
          <cell r="D312" t="str">
            <v>"</v>
          </cell>
          <cell r="E312">
            <v>178160</v>
          </cell>
          <cell r="F312">
            <v>393656.25</v>
          </cell>
          <cell r="G312">
            <v>2228333.6</v>
          </cell>
        </row>
        <row r="313">
          <cell r="B313">
            <v>107</v>
          </cell>
          <cell r="C313" t="str">
            <v>"</v>
          </cell>
          <cell r="D313" t="str">
            <v>"</v>
          </cell>
          <cell r="E313">
            <v>3242.4</v>
          </cell>
          <cell r="F313">
            <v>9100</v>
          </cell>
          <cell r="G313">
            <v>52456.6</v>
          </cell>
        </row>
        <row r="314">
          <cell r="B314">
            <v>211</v>
          </cell>
          <cell r="C314" t="str">
            <v>"</v>
          </cell>
          <cell r="D314" t="str">
            <v>"</v>
          </cell>
          <cell r="E314">
            <v>56819.199999999997</v>
          </cell>
          <cell r="F314">
            <v>67267.91</v>
          </cell>
          <cell r="G314">
            <v>405473.1</v>
          </cell>
        </row>
        <row r="315">
          <cell r="B315">
            <v>212</v>
          </cell>
          <cell r="C315" t="str">
            <v>"</v>
          </cell>
          <cell r="D315" t="str">
            <v>"</v>
          </cell>
          <cell r="E315">
            <v>84455.16</v>
          </cell>
          <cell r="F315">
            <v>86376.08</v>
          </cell>
          <cell r="G315">
            <v>472229.6</v>
          </cell>
        </row>
        <row r="316">
          <cell r="B316" t="str">
            <v>2**</v>
          </cell>
          <cell r="C316" t="str">
            <v>"</v>
          </cell>
          <cell r="D316" t="str">
            <v>"</v>
          </cell>
          <cell r="E316">
            <v>141274.35999999999</v>
          </cell>
          <cell r="F316">
            <v>153643.99</v>
          </cell>
          <cell r="G316">
            <v>877702.7</v>
          </cell>
        </row>
        <row r="317">
          <cell r="B317" t="str">
            <v>3**</v>
          </cell>
          <cell r="C317" t="str">
            <v>"</v>
          </cell>
          <cell r="D317" t="str">
            <v>"</v>
          </cell>
          <cell r="E317">
            <v>0</v>
          </cell>
          <cell r="F317">
            <v>2916.66</v>
          </cell>
          <cell r="G317">
            <v>13776.42</v>
          </cell>
        </row>
        <row r="318">
          <cell r="B318">
            <v>402</v>
          </cell>
          <cell r="C318" t="str">
            <v>"</v>
          </cell>
          <cell r="D318" t="str">
            <v>"</v>
          </cell>
          <cell r="E318">
            <v>0</v>
          </cell>
          <cell r="F318">
            <v>0</v>
          </cell>
          <cell r="G318">
            <v>0</v>
          </cell>
        </row>
        <row r="319">
          <cell r="B319">
            <v>409</v>
          </cell>
          <cell r="C319" t="str">
            <v>"</v>
          </cell>
          <cell r="D319" t="str">
            <v>"</v>
          </cell>
          <cell r="E319">
            <v>11014.88</v>
          </cell>
          <cell r="F319">
            <v>34842.75</v>
          </cell>
          <cell r="G319">
            <v>59774.93</v>
          </cell>
        </row>
        <row r="320">
          <cell r="B320">
            <v>417</v>
          </cell>
          <cell r="C320" t="str">
            <v>"</v>
          </cell>
          <cell r="D320" t="str">
            <v>"</v>
          </cell>
          <cell r="E320">
            <v>4276.68</v>
          </cell>
          <cell r="F320">
            <v>32223.58</v>
          </cell>
          <cell r="G320">
            <v>276457.8</v>
          </cell>
        </row>
        <row r="321">
          <cell r="B321" t="str">
            <v>4**</v>
          </cell>
          <cell r="C321" t="str">
            <v>"</v>
          </cell>
          <cell r="D321" t="str">
            <v>"</v>
          </cell>
          <cell r="E321">
            <v>252135.49</v>
          </cell>
          <cell r="F321">
            <v>505897.87</v>
          </cell>
          <cell r="G321">
            <v>2664644</v>
          </cell>
        </row>
        <row r="322">
          <cell r="B322" t="str">
            <v>5**</v>
          </cell>
          <cell r="C322" t="str">
            <v>"</v>
          </cell>
          <cell r="D322" t="str">
            <v>"</v>
          </cell>
          <cell r="E322">
            <v>28631.82</v>
          </cell>
          <cell r="F322">
            <v>71257.66</v>
          </cell>
          <cell r="G322">
            <v>186588.27</v>
          </cell>
        </row>
        <row r="323">
          <cell r="B323">
            <v>680</v>
          </cell>
          <cell r="C323" t="str">
            <v>"</v>
          </cell>
          <cell r="D323" t="str">
            <v>"</v>
          </cell>
          <cell r="E323">
            <v>613280.41</v>
          </cell>
          <cell r="F323">
            <v>613280.41</v>
          </cell>
          <cell r="G323">
            <v>3679682.46</v>
          </cell>
        </row>
        <row r="324">
          <cell r="B324" t="str">
            <v>Toutes LPR</v>
          </cell>
          <cell r="C324" t="str">
            <v>"</v>
          </cell>
          <cell r="D324" t="str">
            <v>"</v>
          </cell>
          <cell r="E324">
            <v>1710320.34</v>
          </cell>
          <cell r="F324">
            <v>2230502.62</v>
          </cell>
          <cell r="G324">
            <v>12354798.65</v>
          </cell>
        </row>
        <row r="327">
          <cell r="B327" t="str">
            <v>TABLEAU DE BORD 89</v>
          </cell>
        </row>
        <row r="328">
          <cell r="B328" t="str">
            <v>UNITE N°4</v>
          </cell>
        </row>
        <row r="331">
          <cell r="B331" t="str">
            <v>Ligne prix de revient</v>
          </cell>
          <cell r="C331" t="str">
            <v>Sections analytiques</v>
          </cell>
          <cell r="D331" t="str">
            <v>Surcodes</v>
          </cell>
          <cell r="E331" t="str">
            <v>Réalisé</v>
          </cell>
          <cell r="F331" t="str">
            <v>Prévu</v>
          </cell>
          <cell r="G331" t="str">
            <v>Cumul</v>
          </cell>
        </row>
        <row r="332">
          <cell r="B332" t="str">
            <v>0**</v>
          </cell>
          <cell r="C332" t="str">
            <v>914</v>
          </cell>
          <cell r="D332" t="str">
            <v>7682</v>
          </cell>
          <cell r="E332">
            <v>188866.8</v>
          </cell>
          <cell r="F332">
            <v>133406.03</v>
          </cell>
          <cell r="G332">
            <v>1173376.01</v>
          </cell>
        </row>
        <row r="333">
          <cell r="B333" t="str">
            <v>05*</v>
          </cell>
          <cell r="C333" t="str">
            <v>"</v>
          </cell>
          <cell r="D333" t="str">
            <v>"</v>
          </cell>
          <cell r="E333">
            <v>14055.13</v>
          </cell>
          <cell r="F333">
            <v>10445.16</v>
          </cell>
          <cell r="G333">
            <v>96172.15</v>
          </cell>
        </row>
        <row r="334">
          <cell r="B334">
            <v>103</v>
          </cell>
          <cell r="C334" t="str">
            <v>"</v>
          </cell>
          <cell r="D334" t="str">
            <v>"</v>
          </cell>
          <cell r="E334">
            <v>1763823.3</v>
          </cell>
          <cell r="F334">
            <v>741000</v>
          </cell>
          <cell r="G334">
            <v>7685890.8600000003</v>
          </cell>
        </row>
        <row r="335">
          <cell r="B335">
            <v>490</v>
          </cell>
          <cell r="C335" t="str">
            <v>"</v>
          </cell>
          <cell r="D335" t="str">
            <v>"</v>
          </cell>
          <cell r="E335">
            <v>7603.85</v>
          </cell>
          <cell r="F335">
            <v>35425</v>
          </cell>
          <cell r="G335">
            <v>35586.03</v>
          </cell>
        </row>
        <row r="336">
          <cell r="B336">
            <v>492</v>
          </cell>
          <cell r="C336" t="str">
            <v>"</v>
          </cell>
          <cell r="D336" t="str">
            <v>"</v>
          </cell>
          <cell r="E336">
            <v>1043426</v>
          </cell>
          <cell r="F336">
            <v>393656.25</v>
          </cell>
          <cell r="G336">
            <v>4792847.28</v>
          </cell>
        </row>
        <row r="337">
          <cell r="B337">
            <v>107</v>
          </cell>
          <cell r="C337" t="str">
            <v>"</v>
          </cell>
          <cell r="D337" t="str">
            <v>"</v>
          </cell>
          <cell r="E337">
            <v>18830</v>
          </cell>
          <cell r="F337">
            <v>9100</v>
          </cell>
          <cell r="G337">
            <v>103924.8</v>
          </cell>
        </row>
        <row r="338">
          <cell r="B338">
            <v>211</v>
          </cell>
          <cell r="C338" t="str">
            <v>"</v>
          </cell>
          <cell r="D338" t="str">
            <v>"</v>
          </cell>
          <cell r="E338">
            <v>55428.3</v>
          </cell>
          <cell r="F338">
            <v>67267.91</v>
          </cell>
          <cell r="G338">
            <v>427333.59</v>
          </cell>
        </row>
        <row r="339">
          <cell r="B339">
            <v>212</v>
          </cell>
          <cell r="C339" t="str">
            <v>"</v>
          </cell>
          <cell r="D339" t="str">
            <v>"</v>
          </cell>
          <cell r="E339">
            <v>114326.76</v>
          </cell>
          <cell r="F339">
            <v>86376.08</v>
          </cell>
          <cell r="G339">
            <v>587653.56999999995</v>
          </cell>
        </row>
        <row r="340">
          <cell r="B340" t="str">
            <v>2**</v>
          </cell>
          <cell r="C340" t="str">
            <v>"</v>
          </cell>
          <cell r="D340" t="str">
            <v>"</v>
          </cell>
          <cell r="E340">
            <v>169755.06</v>
          </cell>
          <cell r="F340">
            <v>153643.99</v>
          </cell>
          <cell r="G340">
            <v>1014987.16</v>
          </cell>
        </row>
        <row r="341">
          <cell r="B341" t="str">
            <v>3**</v>
          </cell>
          <cell r="C341" t="str">
            <v>"</v>
          </cell>
          <cell r="D341" t="str">
            <v>"</v>
          </cell>
          <cell r="E341">
            <v>2020.86</v>
          </cell>
          <cell r="F341">
            <v>2916.66</v>
          </cell>
          <cell r="G341">
            <v>35038.480000000003</v>
          </cell>
        </row>
        <row r="342">
          <cell r="B342">
            <v>402</v>
          </cell>
          <cell r="C342" t="str">
            <v>"</v>
          </cell>
          <cell r="D342" t="str">
            <v>"</v>
          </cell>
          <cell r="E342">
            <v>0</v>
          </cell>
          <cell r="F342">
            <v>0</v>
          </cell>
          <cell r="G342">
            <v>0</v>
          </cell>
        </row>
        <row r="343">
          <cell r="B343">
            <v>409</v>
          </cell>
          <cell r="C343" t="str">
            <v>"</v>
          </cell>
          <cell r="D343" t="str">
            <v>"</v>
          </cell>
          <cell r="E343">
            <v>6935.09</v>
          </cell>
          <cell r="F343">
            <v>34842.75</v>
          </cell>
          <cell r="G343">
            <v>99548.06</v>
          </cell>
        </row>
        <row r="344">
          <cell r="B344">
            <v>417</v>
          </cell>
          <cell r="C344" t="str">
            <v>"</v>
          </cell>
          <cell r="D344" t="str">
            <v>"</v>
          </cell>
          <cell r="E344">
            <v>6403.25</v>
          </cell>
          <cell r="F344">
            <v>32223.58</v>
          </cell>
          <cell r="G344">
            <v>117105.31</v>
          </cell>
        </row>
        <row r="345">
          <cell r="B345" t="str">
            <v>4**</v>
          </cell>
          <cell r="C345" t="str">
            <v>"</v>
          </cell>
          <cell r="D345" t="str">
            <v>"</v>
          </cell>
          <cell r="E345">
            <v>1233065.17</v>
          </cell>
          <cell r="F345">
            <v>505897.87</v>
          </cell>
          <cell r="G345">
            <v>5265234.1100000003</v>
          </cell>
        </row>
        <row r="346">
          <cell r="B346" t="str">
            <v>5**</v>
          </cell>
          <cell r="C346" t="str">
            <v>"</v>
          </cell>
          <cell r="D346" t="str">
            <v>"</v>
          </cell>
          <cell r="E346">
            <v>29490.19</v>
          </cell>
          <cell r="F346">
            <v>12924.33</v>
          </cell>
          <cell r="G346">
            <v>178005.82</v>
          </cell>
        </row>
        <row r="347">
          <cell r="B347">
            <v>680</v>
          </cell>
          <cell r="C347" t="str">
            <v>"</v>
          </cell>
          <cell r="D347" t="str">
            <v>"</v>
          </cell>
          <cell r="E347">
            <v>614167.41</v>
          </cell>
          <cell r="F347">
            <v>614167.41</v>
          </cell>
          <cell r="G347">
            <v>3685004.46</v>
          </cell>
        </row>
        <row r="348">
          <cell r="B348" t="str">
            <v>Toutes LPR</v>
          </cell>
          <cell r="C348" t="str">
            <v>"</v>
          </cell>
          <cell r="D348" t="str">
            <v>"</v>
          </cell>
          <cell r="E348">
            <v>4020018.79</v>
          </cell>
          <cell r="F348">
            <v>2173056.29</v>
          </cell>
          <cell r="G348">
            <v>19141461.699999999</v>
          </cell>
        </row>
        <row r="351">
          <cell r="B351" t="str">
            <v>TABLEAU DE BORD 90</v>
          </cell>
        </row>
        <row r="352">
          <cell r="B352" t="str">
            <v>USINE DE SECHAGE</v>
          </cell>
        </row>
        <row r="355">
          <cell r="B355" t="str">
            <v>Ligne prix de revient</v>
          </cell>
          <cell r="C355" t="str">
            <v>Sections analytiques</v>
          </cell>
          <cell r="D355" t="str">
            <v>Surcodes</v>
          </cell>
          <cell r="E355" t="str">
            <v>Réalisé</v>
          </cell>
          <cell r="F355" t="str">
            <v>Prévu</v>
          </cell>
          <cell r="G355" t="str">
            <v>Cumul</v>
          </cell>
        </row>
        <row r="356">
          <cell r="B356" t="str">
            <v>0**</v>
          </cell>
          <cell r="C356" t="str">
            <v>900</v>
          </cell>
          <cell r="D356" t="str">
            <v>2481</v>
          </cell>
          <cell r="E356">
            <v>168905.82</v>
          </cell>
          <cell r="F356">
            <v>156699.53</v>
          </cell>
          <cell r="G356">
            <v>976614.99</v>
          </cell>
        </row>
        <row r="357">
          <cell r="B357" t="str">
            <v>05*</v>
          </cell>
          <cell r="C357" t="str">
            <v>"</v>
          </cell>
          <cell r="D357" t="str">
            <v>"</v>
          </cell>
          <cell r="E357">
            <v>14649.02</v>
          </cell>
          <cell r="F357">
            <v>13474.34</v>
          </cell>
          <cell r="G357">
            <v>112193.62</v>
          </cell>
        </row>
        <row r="358">
          <cell r="B358">
            <v>103</v>
          </cell>
          <cell r="C358" t="str">
            <v>"</v>
          </cell>
          <cell r="D358" t="str">
            <v>"</v>
          </cell>
          <cell r="E358">
            <v>215337.78</v>
          </cell>
          <cell r="F358">
            <v>166902.32999999999</v>
          </cell>
          <cell r="G358">
            <v>1422037.28</v>
          </cell>
        </row>
        <row r="359">
          <cell r="B359">
            <v>490</v>
          </cell>
          <cell r="C359" t="str">
            <v>"</v>
          </cell>
          <cell r="D359" t="str">
            <v>"</v>
          </cell>
          <cell r="E359">
            <v>0</v>
          </cell>
          <cell r="F359">
            <v>0</v>
          </cell>
          <cell r="G359">
            <v>0</v>
          </cell>
        </row>
        <row r="360">
          <cell r="B360">
            <v>492</v>
          </cell>
          <cell r="C360" t="str">
            <v>"</v>
          </cell>
          <cell r="D360" t="str">
            <v>"</v>
          </cell>
          <cell r="E360">
            <v>1432402.32</v>
          </cell>
          <cell r="F360">
            <v>1092262.5</v>
          </cell>
          <cell r="G360">
            <v>9295763.0399999991</v>
          </cell>
        </row>
        <row r="361">
          <cell r="B361">
            <v>211</v>
          </cell>
          <cell r="C361" t="str">
            <v>"</v>
          </cell>
          <cell r="D361" t="str">
            <v>"</v>
          </cell>
          <cell r="E361">
            <v>97140.95</v>
          </cell>
          <cell r="F361">
            <v>62281.33</v>
          </cell>
          <cell r="G361">
            <v>486653.15</v>
          </cell>
        </row>
        <row r="362">
          <cell r="B362">
            <v>212</v>
          </cell>
          <cell r="C362" t="str">
            <v>"</v>
          </cell>
          <cell r="D362" t="str">
            <v>"</v>
          </cell>
          <cell r="E362">
            <v>117303.96</v>
          </cell>
          <cell r="F362">
            <v>91749.41</v>
          </cell>
          <cell r="G362">
            <v>699392.13</v>
          </cell>
        </row>
        <row r="363">
          <cell r="B363" t="str">
            <v>2**</v>
          </cell>
          <cell r="C363" t="str">
            <v>"</v>
          </cell>
          <cell r="D363" t="str">
            <v>"</v>
          </cell>
          <cell r="E363">
            <v>214444.91</v>
          </cell>
          <cell r="F363">
            <v>154030.74</v>
          </cell>
          <cell r="G363">
            <v>1186045.28</v>
          </cell>
        </row>
        <row r="364">
          <cell r="B364" t="str">
            <v>3**</v>
          </cell>
          <cell r="C364" t="str">
            <v>"</v>
          </cell>
          <cell r="D364" t="str">
            <v>"</v>
          </cell>
          <cell r="E364">
            <v>2204.58</v>
          </cell>
          <cell r="F364">
            <v>833.32</v>
          </cell>
          <cell r="G364">
            <v>8663.6200000000008</v>
          </cell>
        </row>
        <row r="365">
          <cell r="B365">
            <v>402</v>
          </cell>
          <cell r="C365" t="str">
            <v>"</v>
          </cell>
          <cell r="D365" t="str">
            <v>"</v>
          </cell>
          <cell r="E365">
            <v>0</v>
          </cell>
          <cell r="F365">
            <v>8619</v>
          </cell>
          <cell r="G365">
            <v>53922</v>
          </cell>
        </row>
        <row r="366">
          <cell r="B366">
            <v>408</v>
          </cell>
          <cell r="C366" t="str">
            <v>"</v>
          </cell>
          <cell r="D366" t="str">
            <v>"</v>
          </cell>
          <cell r="E366">
            <v>0</v>
          </cell>
          <cell r="F366">
            <v>0</v>
          </cell>
          <cell r="G366">
            <v>44826.51</v>
          </cell>
        </row>
        <row r="367">
          <cell r="B367">
            <v>409</v>
          </cell>
          <cell r="C367" t="str">
            <v>"</v>
          </cell>
          <cell r="D367" t="str">
            <v>"</v>
          </cell>
          <cell r="E367">
            <v>8993.2900000000009</v>
          </cell>
          <cell r="F367">
            <v>12016.33</v>
          </cell>
          <cell r="G367">
            <v>190341.39</v>
          </cell>
        </row>
        <row r="368">
          <cell r="B368">
            <v>417</v>
          </cell>
          <cell r="C368" t="str">
            <v>"</v>
          </cell>
          <cell r="D368" t="str">
            <v>"</v>
          </cell>
          <cell r="E368">
            <v>12296.81</v>
          </cell>
          <cell r="F368">
            <v>36143.58</v>
          </cell>
          <cell r="G368">
            <v>272762.67</v>
          </cell>
        </row>
        <row r="369">
          <cell r="B369" t="str">
            <v>4**</v>
          </cell>
          <cell r="C369" t="str">
            <v>"</v>
          </cell>
          <cell r="D369" t="str">
            <v>"</v>
          </cell>
          <cell r="E369">
            <v>1457495.51</v>
          </cell>
          <cell r="F369">
            <v>1156181.3799999999</v>
          </cell>
          <cell r="G369">
            <v>9927772.8900000006</v>
          </cell>
        </row>
        <row r="370">
          <cell r="B370" t="str">
            <v>5**</v>
          </cell>
          <cell r="C370" t="str">
            <v>"</v>
          </cell>
          <cell r="D370" t="str">
            <v>"</v>
          </cell>
          <cell r="E370">
            <v>1378.68</v>
          </cell>
          <cell r="F370">
            <v>3509.66</v>
          </cell>
          <cell r="G370">
            <v>16164.9</v>
          </cell>
        </row>
        <row r="371">
          <cell r="B371">
            <v>680</v>
          </cell>
          <cell r="C371" t="str">
            <v>"</v>
          </cell>
          <cell r="D371" t="str">
            <v>"</v>
          </cell>
          <cell r="E371">
            <v>1873.26</v>
          </cell>
          <cell r="F371">
            <v>6662.25</v>
          </cell>
          <cell r="G371">
            <v>11239.56</v>
          </cell>
        </row>
        <row r="372">
          <cell r="B372" t="str">
            <v>Toutes LPR</v>
          </cell>
          <cell r="C372" t="str">
            <v>"</v>
          </cell>
          <cell r="D372" t="str">
            <v>"</v>
          </cell>
          <cell r="E372">
            <v>2061640.54</v>
          </cell>
          <cell r="F372">
            <v>1644819.21</v>
          </cell>
          <cell r="G372">
            <v>13548538.52</v>
          </cell>
        </row>
      </sheetData>
      <sheetData sheetId="10" refreshError="1"/>
      <sheetData sheetId="1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PORT"/>
    </sheetNames>
    <sheetDataSet>
      <sheetData sheetId="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rets criblage"/>
      <sheetName val="Criblage"/>
      <sheetName val="Chargement"/>
      <sheetName val="arrets Chargement"/>
      <sheetName val="Etat parc"/>
      <sheetName val="I FILM"/>
      <sheetName val="synthese 312"/>
      <sheetName val="Feuil2"/>
      <sheetName val="synthese 123"/>
      <sheetName val="KPI"/>
      <sheetName val="Feuil1"/>
      <sheetName val="Feuil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4">
          <cell r="C4" t="str">
            <v>AIT BRAHIM</v>
          </cell>
          <cell r="O4">
            <v>7601</v>
          </cell>
        </row>
        <row r="5">
          <cell r="C5" t="str">
            <v xml:space="preserve">BAKRAOUI </v>
          </cell>
          <cell r="O5">
            <v>7607</v>
          </cell>
        </row>
        <row r="6">
          <cell r="C6" t="str">
            <v>BENAISS</v>
          </cell>
          <cell r="O6">
            <v>7609</v>
          </cell>
        </row>
        <row r="7">
          <cell r="C7" t="str">
            <v>BOUMASSI</v>
          </cell>
          <cell r="O7">
            <v>7611</v>
          </cell>
        </row>
        <row r="8">
          <cell r="C8" t="str">
            <v>BOURROUS</v>
          </cell>
          <cell r="O8">
            <v>7613</v>
          </cell>
        </row>
        <row r="9">
          <cell r="C9" t="str">
            <v>CHAHDI</v>
          </cell>
          <cell r="O9">
            <v>7619</v>
          </cell>
        </row>
        <row r="10">
          <cell r="C10" t="str">
            <v>CHANTIER</v>
          </cell>
        </row>
        <row r="11">
          <cell r="C11" t="str">
            <v xml:space="preserve">CHARKAOUI </v>
          </cell>
        </row>
        <row r="12">
          <cell r="C12" t="str">
            <v xml:space="preserve">DOUBAJ </v>
          </cell>
        </row>
        <row r="13">
          <cell r="C13" t="str">
            <v xml:space="preserve">EL BAROUDI </v>
          </cell>
        </row>
        <row r="14">
          <cell r="C14" t="str">
            <v>EL BOUZIDI</v>
          </cell>
        </row>
        <row r="15">
          <cell r="C15" t="str">
            <v xml:space="preserve">EL FARH </v>
          </cell>
        </row>
        <row r="16">
          <cell r="C16" t="str">
            <v>ELGAREH</v>
          </cell>
        </row>
        <row r="18">
          <cell r="C18" t="str">
            <v>ELGHAZI</v>
          </cell>
        </row>
        <row r="19">
          <cell r="C19" t="str">
            <v xml:space="preserve">ENNIRRI </v>
          </cell>
        </row>
        <row r="20">
          <cell r="C20" t="str">
            <v xml:space="preserve">IDRISSI </v>
          </cell>
        </row>
        <row r="21">
          <cell r="C21" t="str">
            <v>NKIRA</v>
          </cell>
        </row>
        <row r="22">
          <cell r="C22" t="str">
            <v xml:space="preserve">TALEB </v>
          </cell>
        </row>
        <row r="23">
          <cell r="C23" t="str">
            <v xml:space="preserve">ZAOUIA </v>
          </cell>
        </row>
        <row r="24">
          <cell r="C24" t="str">
            <v xml:space="preserve">ZRAIDI </v>
          </cell>
        </row>
      </sheetData>
      <sheetData sheetId="1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.C"/>
      <sheetName val="RECAP. RUBRIQUES"/>
      <sheetName val="RECAP. ENTITES"/>
      <sheetName val="RECAP. NATURE"/>
      <sheetName val="TRAITEMENT BUDGETAIRE"/>
      <sheetName val="LIBELLES DES CODES"/>
      <sheetName val="FORMULATION SITUATION TRAITEM."/>
      <sheetName val="CREDITS ANT. A 2006"/>
      <sheetName val="DAC 2006"/>
      <sheetName val="DAL 2006"/>
      <sheetName val="BASE 2006"/>
      <sheetName val="BE interne"/>
      <sheetName val="Doc."/>
      <sheetName val="BE exter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ojovací technika"/>
      <sheetName val="Přenosová technika"/>
      <sheetName val="Přístupová síť"/>
      <sheetName val="Budovy"/>
      <sheetName val="Kusovky"/>
      <sheetName val="Ostatní"/>
      <sheetName val="Příprava"/>
      <sheetName val="Sumář jm. sez. Přípravy"/>
      <sheetName val="Sumář jm. sez. Realizace"/>
      <sheetName val="Krycí list"/>
      <sheetName val="Plán kapacit uveden. do provozu"/>
      <sheetName val="Informace"/>
      <sheetName val="Šablona"/>
      <sheetName val="Akce"/>
      <sheetName val="Data"/>
      <sheetName val="A.I.A"/>
      <sheetName val="BATIM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nexe DRH-autres(2)"/>
      <sheetName val="Page de garde"/>
      <sheetName val="EFFECT.OE&amp;TAMCA (2)"/>
      <sheetName val="EFFECT.HC"/>
      <sheetName val="Sal &amp; ch soc"/>
      <sheetName val="frais de pers"/>
      <sheetName val="Caisse Retraite"/>
      <sheetName val="Dot &amp; Rep"/>
      <sheetName val="Financier"/>
      <sheetName val="Données GF"/>
      <sheetName val="Impôts et taxes"/>
      <sheetName val="ANNEXE II DEK"/>
      <sheetName val="ANNEXE II DEG"/>
      <sheetName val="CPCDEG"/>
      <sheetName val="CPCDEK"/>
      <sheetName val="CPCDB"/>
      <sheetName val="ANNEXE OCP (3)"/>
      <sheetName val="CH sociales communes"/>
      <sheetName val="drh"/>
      <sheetName val="Annexe DRH-DB"/>
      <sheetName val="effectif"/>
      <sheetName val="AnnexeII_Filiales"/>
      <sheetName val="Annexe DRH-ocp"/>
      <sheetName val="Canevas_ADI"/>
      <sheetName val="BF PMG -PFF-"/>
      <sheetName val="Cons. spécifiques PMG 04-05"/>
      <sheetName val="BF PMG 2005 SFG avecpdts"/>
      <sheetName val="CPC - PMK"/>
      <sheetName val="CPC - PMG"/>
      <sheetName val="cons"/>
      <sheetName val="Ch ext"/>
      <sheetName val="ch. pers"/>
      <sheetName val="amort"/>
      <sheetName val="CPC-synthèse"/>
      <sheetName val="Aug DM"/>
      <sheetName val="facturation aux filiales"/>
      <sheetName val="CPC-2004"/>
      <sheetName val="ventes2004"/>
      <sheetName val="Feuil1"/>
      <sheetName val="ANNEXE 6"/>
      <sheetName val="ventes"/>
      <sheetName val=" PRODU_clot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2006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K DEG OCP CUM"/>
      <sheetName val="Salaires"/>
      <sheetName val="Données CPC"/>
      <sheetName val="OCP (11)"/>
      <sheetName val="DEG (12)"/>
      <sheetName val="DEK (13)"/>
      <sheetName val="DB (14)"/>
      <sheetName val="DEP.FONC (20)"/>
      <sheetName val="IS PREV INITIAL"/>
      <sheetName val="ISCLO"/>
      <sheetName val="IS Mois 98"/>
      <sheetName val="IS Prév Mois 98"/>
      <sheetName val="Résultats"/>
      <sheetName val="DétailDEP"/>
      <sheetName val="Feuil2"/>
      <sheetName val="Frais Financiers "/>
      <sheetName val="Redevance"/>
      <sheetName val="Chiffre d'affaires"/>
      <sheetName val="Reprises"/>
      <sheetName val="Dotations"/>
      <sheetName val="VS"/>
      <sheetName val="RES PROD"/>
      <sheetName val="COMPRP"/>
      <sheetName val="FAX DEG DEK 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1">
          <cell r="H1">
            <v>1998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1"/>
      <sheetName val="MP (15)"/>
      <sheetName val="PCS (16)"/>
      <sheetName val="PCJ (17)"/>
      <sheetName val="GP(18)"/>
      <sheetName val="PCE (19)"/>
      <sheetName val="PCI (20)"/>
      <sheetName val="HYPOan (21)"/>
      <sheetName val="HYPMOIS (22)"/>
      <sheetName val="GP-EMA-01"/>
      <sheetName val="GP02"/>
      <sheetName val="IMA-03"/>
      <sheetName val="IMA-02"/>
      <sheetName val="ema-03"/>
      <sheetName val="CJI-FAX"/>
      <sheetName val="FAX"/>
      <sheetName val="PREVCL"/>
      <sheetName val="PARITE"/>
      <sheetName val="Export Cumul"/>
      <sheetName val="Local Cuml"/>
      <sheetName val="Matières"/>
      <sheetName val="ISCLO"/>
      <sheetName val="DIJ02"/>
      <sheetName val="DIS02"/>
      <sheetName val="F.FIN."/>
      <sheetName val="Feuil1"/>
      <sheetName val="HYPO2002"/>
      <sheetName val="VVVV"/>
      <sheetName val="DIJ"/>
      <sheetName val="DIS"/>
      <sheetName val="w sept"/>
      <sheetName val="w"/>
      <sheetName val="ww"/>
      <sheetName val="ww sept"/>
      <sheetName val="DIJ0"/>
      <sheetName val="DIS0"/>
      <sheetName val="TB_Ecart"/>
      <sheetName val="A.Eca_CA"/>
      <sheetName val="A.Eca_Mt1ère"/>
    </sheetNames>
    <sheetDataSet>
      <sheetData sheetId="0" refreshError="1">
        <row r="6">
          <cell r="I6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EFFECT.OE&amp;TAMCA (2)"/>
      <sheetName val="EFFECT.HC"/>
      <sheetName val="Sal &amp; ch soc"/>
      <sheetName val="Impôts et taxes"/>
      <sheetName val="Dotations"/>
      <sheetName val="Reprises"/>
      <sheetName val="FF"/>
      <sheetName val="ANNEXE II DEK"/>
      <sheetName val="ANNEXE II DEG"/>
      <sheetName val="ANNEXEMP (4)"/>
      <sheetName val="ANNEXE MP (2)"/>
      <sheetName val="ANNEXE MP"/>
      <sheetName val="ANNEXE OCP (3)"/>
      <sheetName val="CH sociales communes"/>
      <sheetName val="ANNEXE OCP (2)"/>
      <sheetName val="ANNEXE OCP (DEG)"/>
      <sheetName val="ANNEXE OCP (DEK)"/>
      <sheetName val="Données GF"/>
      <sheetName val="Caisse Retraite"/>
      <sheetName val="ANNEXE OCP"/>
      <sheetName val="Aug DM"/>
      <sheetName val="aug siège"/>
      <sheetName val="TAUX AUG DEK"/>
      <sheetName val="TAUX AUG DB"/>
      <sheetName val="TAUX AUG DEG"/>
      <sheetName val="aug MP"/>
      <sheetName val="aug ema"/>
      <sheetName val="aug ima"/>
      <sheetName val="CPCDEG"/>
      <sheetName val="CPCDEK"/>
      <sheetName val="CPCDB"/>
      <sheetName val="ANX.BU.D'INVESTI"/>
      <sheetName val="INDICE OE TAMCA"/>
      <sheetName val="CPC IMACID"/>
      <sheetName val="CPC EMAPHOS"/>
      <sheetName val="CPC DIJ"/>
      <sheetName val="CPC DIS"/>
      <sheetName val="CA12"/>
      <sheetName val="Feuil3"/>
      <sheetName val="augmentation 01_00"/>
    </sheetNames>
    <sheetDataSet>
      <sheetData sheetId="0" refreshError="1">
        <row r="15">
          <cell r="B15">
            <v>2003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 (2)"/>
      <sheetName val="PCS_comex"/>
      <sheetName val="PCJ_comex"/>
      <sheetName val="F1"/>
      <sheetName val="MP (15)"/>
      <sheetName val="PCS (16)"/>
      <sheetName val="PCJ (17)"/>
      <sheetName val="GP(18)"/>
      <sheetName val="PCE (19)"/>
      <sheetName val="PCI (20)"/>
      <sheetName val="HYPOan (21)"/>
      <sheetName val="HYPMOIS (22)"/>
      <sheetName val="GP-EMA-01"/>
      <sheetName val="GP04"/>
      <sheetName val="IMA(A)"/>
      <sheetName val="IMA(A-1)"/>
      <sheetName val="ema(A)"/>
      <sheetName val="PCI-FAX"/>
      <sheetName val="FAX"/>
      <sheetName val="PREVCL"/>
      <sheetName val="PARITE"/>
      <sheetName val="Export Cumul"/>
      <sheetName val="Local Cuml"/>
      <sheetName val="Matières"/>
      <sheetName val="ISCLO"/>
      <sheetName val="DIJ(A-1)"/>
      <sheetName val="DIS(A-1)"/>
      <sheetName val="F.FIN."/>
      <sheetName val="Feuil1"/>
      <sheetName val="HYPO(A-1)"/>
      <sheetName val="VVVV"/>
      <sheetName val="DIJ"/>
      <sheetName val="DIS"/>
      <sheetName val="w sept"/>
      <sheetName val="w"/>
      <sheetName val="ww"/>
      <sheetName val="DIJ0"/>
      <sheetName val="ww sept"/>
      <sheetName val="DIS0"/>
      <sheetName val="TB_Ecart"/>
      <sheetName val="A.Eca_CA"/>
      <sheetName val="A.Eca_Mt1ère"/>
      <sheetName val="TB_Ecart _Prév"/>
      <sheetName val="A.Eca_CA_prév"/>
      <sheetName val="A.Eca_Mt1ère_Prév"/>
      <sheetName val="Feuil1_(2)"/>
      <sheetName val="MP_(15)"/>
      <sheetName val="PCS_(16)"/>
      <sheetName val="PCJ_(17)"/>
      <sheetName val="PCE_(19)"/>
      <sheetName val="PCI_(20)"/>
      <sheetName val="HYPOan_(21)"/>
      <sheetName val="HYPMOIS_(22)"/>
      <sheetName val="Export_Cumul"/>
      <sheetName val="Local_Cuml"/>
      <sheetName val="F_FIN_"/>
      <sheetName val="w_sept"/>
      <sheetName val="ww_sept"/>
      <sheetName val="A_Eca_CA"/>
      <sheetName val="A_Eca_Mt1ère"/>
      <sheetName val="TB_Ecart__Prév"/>
      <sheetName val="A_Eca_CA_prév"/>
      <sheetName val="A_Eca_Mt1ère_Prév"/>
      <sheetName val="Page de garde"/>
    </sheetNames>
    <sheetDataSet>
      <sheetData sheetId="0"/>
      <sheetData sheetId="1"/>
      <sheetData sheetId="2"/>
      <sheetData sheetId="3" refreshError="1">
        <row r="1">
          <cell r="A1">
            <v>5</v>
          </cell>
        </row>
        <row r="6">
          <cell r="I6">
            <v>2004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évus 2004 (2)"/>
      <sheetName val="RECAP.DSD  au 26-05-2004"/>
      <sheetName val="AE au 30-04-2004"/>
      <sheetName val="ENGAG. AU 26-05-04"/>
      <sheetName val="RECAP. ENTITES"/>
      <sheetName val="RECAP. RUBRIQUES"/>
      <sheetName val="AE Fin 02-2004"/>
      <sheetName val="ENGAG. Fin 02-2004"/>
      <sheetName val="RECAP.DSD  Fin 02-2004"/>
      <sheetName val="Suivi global"/>
      <sheetName val="Acivité 01et0204"/>
      <sheetName val="AE Fin 03-2004"/>
      <sheetName val="ENGAG. Fin 03-2004"/>
      <sheetName val="Crédits antérieurs à 2004"/>
      <sheetName val="Enveloppe 2004"/>
      <sheetName val="Imprévus 2004"/>
      <sheetName val="DIB-C 2004"/>
      <sheetName val="Prévus 2004"/>
      <sheetName val="Formulation "/>
      <sheetName val="Doc."/>
      <sheetName val="23-04-04"/>
      <sheetName val="13-04-04"/>
      <sheetName val="Synthèse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ITE "/>
      <sheetName val="LIBELLES DES CODES"/>
      <sheetName val="CROISE 07"/>
      <sheetName val="ANALYSE  AUTORISATIONS &amp; ENGAGE"/>
      <sheetName val="TB_07"/>
      <sheetName val="Feuil2"/>
      <sheetName val="Feuil1"/>
      <sheetName val="ASSISTANCE AU CP"/>
      <sheetName val="EVOLUTION PROJETS NON REPORTES"/>
      <sheetName val="DIB ANNULEE"/>
      <sheetName val="PROJETS NON PREVUS POUR 2007"/>
      <sheetName val="DAC"/>
      <sheetName val="DAL"/>
      <sheetName val="CORRESPONDANCE"/>
      <sheetName val="T.C"/>
      <sheetName val="LIBELLE DES CODES"/>
      <sheetName val="Feuil3"/>
      <sheetName val="Base de saisie"/>
      <sheetName val="FORMULATION SITUATION TRAITEM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DECIDE"/>
      <sheetName val="BORANNEX"/>
      <sheetName val="COMMENTAIRE"/>
      <sheetName val="Detail mensuel"/>
      <sheetName val="DCT_titu98+Rend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PORT"/>
    </sheetNames>
    <sheetDataSet>
      <sheetData sheetId="0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 Opératoire"/>
      <sheetName val="TM_A à E et G à S"/>
      <sheetName val="Nomenclature"/>
      <sheetName val="OPEX_MINE"/>
      <sheetName val="A-B-C-D-E-G-H-I-J-M-N-P-S"/>
      <sheetName val="TM_TDC"/>
      <sheetName val="F"/>
      <sheetName val="K"/>
      <sheetName val="L"/>
      <sheetName val="Q"/>
      <sheetName val="R"/>
      <sheetName val="O"/>
      <sheetName val="TCD"/>
      <sheetName val="Source PMK"/>
      <sheetName val="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5">
          <cell r="A5">
            <v>1103</v>
          </cell>
          <cell r="B5">
            <v>28641862.129999995</v>
          </cell>
          <cell r="C5">
            <v>17853578.09</v>
          </cell>
          <cell r="D5">
            <v>6122507.4500000011</v>
          </cell>
          <cell r="E5">
            <v>12444589.050000003</v>
          </cell>
          <cell r="F5">
            <v>65062536.720000006</v>
          </cell>
        </row>
        <row r="6">
          <cell r="A6">
            <v>1104</v>
          </cell>
          <cell r="E6">
            <v>92564.12</v>
          </cell>
          <cell r="F6">
            <v>92564.12</v>
          </cell>
        </row>
        <row r="7">
          <cell r="A7">
            <v>1106</v>
          </cell>
          <cell r="B7">
            <v>17241485.57</v>
          </cell>
          <cell r="C7">
            <v>13784491.030000003</v>
          </cell>
          <cell r="D7">
            <v>5271433.9400000004</v>
          </cell>
          <cell r="E7">
            <v>11471584.910000004</v>
          </cell>
          <cell r="F7">
            <v>47768995.450000003</v>
          </cell>
        </row>
        <row r="8">
          <cell r="A8">
            <v>1108</v>
          </cell>
          <cell r="B8">
            <v>3508189.11</v>
          </cell>
          <cell r="C8">
            <v>3733115.86</v>
          </cell>
          <cell r="D8">
            <v>997500.3</v>
          </cell>
          <cell r="E8">
            <v>4924541.32</v>
          </cell>
          <cell r="F8">
            <v>13163346.59</v>
          </cell>
        </row>
        <row r="9">
          <cell r="A9">
            <v>1109</v>
          </cell>
          <cell r="B9">
            <v>6675.98</v>
          </cell>
          <cell r="C9">
            <v>10876.18</v>
          </cell>
          <cell r="E9">
            <v>-158.52000000000001</v>
          </cell>
          <cell r="F9">
            <v>17393.64</v>
          </cell>
        </row>
        <row r="10">
          <cell r="A10">
            <v>1113</v>
          </cell>
          <cell r="B10">
            <v>13204950.819999997</v>
          </cell>
          <cell r="C10">
            <v>6842215.3099999987</v>
          </cell>
          <cell r="D10">
            <v>2080105.1</v>
          </cell>
          <cell r="E10">
            <v>4621701.0199999996</v>
          </cell>
          <cell r="F10">
            <v>26748972.249999996</v>
          </cell>
        </row>
        <row r="11">
          <cell r="A11">
            <v>1114</v>
          </cell>
          <cell r="E11">
            <v>27734.560000000001</v>
          </cell>
          <cell r="F11">
            <v>27734.560000000001</v>
          </cell>
        </row>
        <row r="12">
          <cell r="A12">
            <v>1116</v>
          </cell>
          <cell r="B12">
            <v>7594621.3099999977</v>
          </cell>
          <cell r="C12">
            <v>4042826.18</v>
          </cell>
          <cell r="D12">
            <v>1304308.56</v>
          </cell>
          <cell r="E12">
            <v>3464852.55</v>
          </cell>
          <cell r="F12">
            <v>16406608.6</v>
          </cell>
        </row>
        <row r="13">
          <cell r="A13">
            <v>1123</v>
          </cell>
          <cell r="B13">
            <v>5645348.120000002</v>
          </cell>
          <cell r="C13">
            <v>3480411.66</v>
          </cell>
          <cell r="D13">
            <v>1299248.24</v>
          </cell>
          <cell r="E13">
            <v>2880781.9</v>
          </cell>
          <cell r="F13">
            <v>13305789.920000002</v>
          </cell>
        </row>
        <row r="14">
          <cell r="A14">
            <v>1124</v>
          </cell>
          <cell r="E14">
            <v>80</v>
          </cell>
          <cell r="F14">
            <v>80</v>
          </cell>
        </row>
        <row r="15">
          <cell r="A15">
            <v>1126</v>
          </cell>
          <cell r="B15">
            <v>13790224.82</v>
          </cell>
          <cell r="C15">
            <v>7453688.1800000025</v>
          </cell>
          <cell r="D15">
            <v>2405850.1</v>
          </cell>
          <cell r="E15">
            <v>4864400.8</v>
          </cell>
          <cell r="F15">
            <v>28514163.900000006</v>
          </cell>
        </row>
        <row r="16">
          <cell r="A16">
            <v>1129</v>
          </cell>
          <cell r="B16">
            <v>53203.97</v>
          </cell>
          <cell r="C16">
            <v>12458.68</v>
          </cell>
          <cell r="D16">
            <v>9407.2000000000007</v>
          </cell>
          <cell r="E16">
            <v>14990.69</v>
          </cell>
          <cell r="F16">
            <v>90060.54</v>
          </cell>
        </row>
        <row r="17">
          <cell r="A17">
            <v>1199</v>
          </cell>
          <cell r="B17">
            <v>11295.69</v>
          </cell>
          <cell r="D17">
            <v>774.23</v>
          </cell>
          <cell r="E17">
            <v>6287.85</v>
          </cell>
          <cell r="F17">
            <v>18357.77</v>
          </cell>
        </row>
        <row r="18">
          <cell r="A18">
            <v>1208</v>
          </cell>
          <cell r="B18">
            <v>6765550.4499999993</v>
          </cell>
          <cell r="C18">
            <v>7392188.1899999967</v>
          </cell>
          <cell r="D18">
            <v>2054305.76</v>
          </cell>
          <cell r="E18">
            <v>9000414.2799999937</v>
          </cell>
          <cell r="F18">
            <v>25212458.679999992</v>
          </cell>
        </row>
        <row r="19">
          <cell r="A19">
            <v>1213</v>
          </cell>
          <cell r="B19">
            <v>4612637.18</v>
          </cell>
          <cell r="C19">
            <v>1803784.51</v>
          </cell>
          <cell r="D19">
            <v>735100.48</v>
          </cell>
          <cell r="E19">
            <v>1271980.6000000001</v>
          </cell>
          <cell r="F19">
            <v>8423502.7699999977</v>
          </cell>
        </row>
        <row r="20">
          <cell r="A20">
            <v>1214</v>
          </cell>
          <cell r="E20">
            <v>5434.84</v>
          </cell>
          <cell r="F20">
            <v>5434.84</v>
          </cell>
        </row>
        <row r="21">
          <cell r="A21">
            <v>1216</v>
          </cell>
          <cell r="B21">
            <v>-19799.79</v>
          </cell>
          <cell r="C21">
            <v>33260.17</v>
          </cell>
          <cell r="D21">
            <v>-72923.28</v>
          </cell>
          <cell r="E21">
            <v>-160547.89000000001</v>
          </cell>
          <cell r="F21">
            <v>-220010.79</v>
          </cell>
        </row>
        <row r="22">
          <cell r="A22">
            <v>1233</v>
          </cell>
          <cell r="B22">
            <v>21867287.779999986</v>
          </cell>
          <cell r="C22">
            <v>12729848.670000004</v>
          </cell>
          <cell r="D22">
            <v>4556029.9000000004</v>
          </cell>
          <cell r="E22">
            <v>8022330.8499999987</v>
          </cell>
          <cell r="F22">
            <v>47175497.199999988</v>
          </cell>
        </row>
        <row r="23">
          <cell r="A23">
            <v>1234</v>
          </cell>
          <cell r="E23">
            <v>13112.56</v>
          </cell>
          <cell r="F23">
            <v>13112.56</v>
          </cell>
        </row>
        <row r="24">
          <cell r="A24">
            <v>1236</v>
          </cell>
          <cell r="B24">
            <v>8706164.7400000002</v>
          </cell>
          <cell r="C24">
            <v>7105994.7200000016</v>
          </cell>
          <cell r="D24">
            <v>2565337.5099999998</v>
          </cell>
          <cell r="E24">
            <v>4906208.8499999996</v>
          </cell>
          <cell r="F24">
            <v>23283705.820000004</v>
          </cell>
        </row>
        <row r="25">
          <cell r="A25">
            <v>1238</v>
          </cell>
          <cell r="B25">
            <v>85413.49</v>
          </cell>
          <cell r="C25">
            <v>116749.2</v>
          </cell>
          <cell r="D25">
            <v>11171.06</v>
          </cell>
          <cell r="E25">
            <v>133194.82999999999</v>
          </cell>
          <cell r="F25">
            <v>346528.58</v>
          </cell>
        </row>
        <row r="26">
          <cell r="A26">
            <v>1239</v>
          </cell>
          <cell r="B26">
            <v>2989.86</v>
          </cell>
          <cell r="C26">
            <v>57315.1</v>
          </cell>
          <cell r="D26">
            <v>328.9</v>
          </cell>
          <cell r="E26">
            <v>1916.12</v>
          </cell>
          <cell r="F26">
            <v>62549.98</v>
          </cell>
        </row>
        <row r="27">
          <cell r="A27">
            <v>1269</v>
          </cell>
          <cell r="B27">
            <v>35000</v>
          </cell>
          <cell r="C27">
            <v>33231.379999999997</v>
          </cell>
          <cell r="D27">
            <v>17176.009999999998</v>
          </cell>
          <cell r="E27">
            <v>75000</v>
          </cell>
          <cell r="F27">
            <v>160407.39000000001</v>
          </cell>
        </row>
        <row r="28">
          <cell r="A28">
            <v>1303</v>
          </cell>
          <cell r="B28">
            <v>3752301.35</v>
          </cell>
          <cell r="C28">
            <v>1872984.27</v>
          </cell>
          <cell r="D28">
            <v>817099.04</v>
          </cell>
          <cell r="E28">
            <v>1344184.76</v>
          </cell>
          <cell r="F28">
            <v>7786569.4199999999</v>
          </cell>
        </row>
        <row r="29">
          <cell r="A29">
            <v>1304</v>
          </cell>
          <cell r="E29">
            <v>10861.18</v>
          </cell>
          <cell r="F29">
            <v>10861.18</v>
          </cell>
        </row>
        <row r="30">
          <cell r="A30">
            <v>1306</v>
          </cell>
          <cell r="B30">
            <v>1484017.51</v>
          </cell>
          <cell r="C30">
            <v>1269997.08</v>
          </cell>
          <cell r="D30">
            <v>464877.38</v>
          </cell>
          <cell r="E30">
            <v>1059704.5900000001</v>
          </cell>
          <cell r="F30">
            <v>4278596.5599999996</v>
          </cell>
        </row>
        <row r="31">
          <cell r="A31">
            <v>1323</v>
          </cell>
          <cell r="B31">
            <v>704312.83</v>
          </cell>
          <cell r="C31">
            <v>854998.6</v>
          </cell>
          <cell r="D31">
            <v>279797.98</v>
          </cell>
          <cell r="E31">
            <v>931365.51</v>
          </cell>
          <cell r="F31">
            <v>2770474.92</v>
          </cell>
        </row>
        <row r="32">
          <cell r="A32">
            <v>1326</v>
          </cell>
          <cell r="B32">
            <v>1116</v>
          </cell>
          <cell r="D32">
            <v>-1316</v>
          </cell>
          <cell r="F32">
            <v>-200</v>
          </cell>
        </row>
        <row r="33">
          <cell r="A33">
            <v>1333</v>
          </cell>
          <cell r="B33">
            <v>90505</v>
          </cell>
          <cell r="C33">
            <v>162497.20000000001</v>
          </cell>
          <cell r="D33">
            <v>36032</v>
          </cell>
          <cell r="E33">
            <v>204527</v>
          </cell>
          <cell r="F33">
            <v>493561.2</v>
          </cell>
        </row>
        <row r="34">
          <cell r="A34">
            <v>1336</v>
          </cell>
          <cell r="B34">
            <v>104676</v>
          </cell>
          <cell r="C34">
            <v>66392</v>
          </cell>
          <cell r="D34">
            <v>26874</v>
          </cell>
          <cell r="E34">
            <v>98838</v>
          </cell>
          <cell r="F34">
            <v>296780</v>
          </cell>
        </row>
        <row r="35">
          <cell r="A35">
            <v>1343</v>
          </cell>
          <cell r="B35">
            <v>1492376.55</v>
          </cell>
          <cell r="C35">
            <v>783923.76</v>
          </cell>
          <cell r="D35">
            <v>180504.14</v>
          </cell>
          <cell r="E35">
            <v>117200.49</v>
          </cell>
          <cell r="F35">
            <v>2574004.94</v>
          </cell>
        </row>
        <row r="36">
          <cell r="A36">
            <v>1353</v>
          </cell>
          <cell r="B36">
            <v>173679.49</v>
          </cell>
          <cell r="C36">
            <v>87496.36</v>
          </cell>
          <cell r="D36">
            <v>24168.6</v>
          </cell>
          <cell r="E36">
            <v>16022.2</v>
          </cell>
          <cell r="F36">
            <v>301366.65000000002</v>
          </cell>
        </row>
        <row r="37">
          <cell r="A37">
            <v>1356</v>
          </cell>
          <cell r="B37">
            <v>723985.51</v>
          </cell>
          <cell r="C37">
            <v>600206.53</v>
          </cell>
          <cell r="D37">
            <v>197910.46</v>
          </cell>
          <cell r="E37">
            <v>173378.66</v>
          </cell>
          <cell r="F37">
            <v>1695481.16</v>
          </cell>
        </row>
        <row r="38">
          <cell r="A38">
            <v>1366</v>
          </cell>
          <cell r="B38">
            <v>1036646.79</v>
          </cell>
          <cell r="C38">
            <v>691713.72</v>
          </cell>
          <cell r="D38">
            <v>312960.36</v>
          </cell>
          <cell r="E38">
            <v>904905.29</v>
          </cell>
          <cell r="F38">
            <v>2946226.16</v>
          </cell>
        </row>
        <row r="39">
          <cell r="A39">
            <v>1603</v>
          </cell>
          <cell r="B39">
            <v>9368512.1000000034</v>
          </cell>
          <cell r="C39">
            <v>5459880.0799999991</v>
          </cell>
          <cell r="D39">
            <v>1961699.55</v>
          </cell>
          <cell r="E39">
            <v>3605672.48</v>
          </cell>
          <cell r="F39">
            <v>20395764.210000005</v>
          </cell>
        </row>
        <row r="40">
          <cell r="A40">
            <v>1604</v>
          </cell>
          <cell r="E40">
            <v>11189.87</v>
          </cell>
          <cell r="F40">
            <v>11189.87</v>
          </cell>
        </row>
        <row r="41">
          <cell r="A41">
            <v>1606</v>
          </cell>
          <cell r="B41">
            <v>5203083.75</v>
          </cell>
          <cell r="C41">
            <v>4183066.14</v>
          </cell>
          <cell r="D41">
            <v>1597114.62</v>
          </cell>
          <cell r="E41">
            <v>3449905.75</v>
          </cell>
          <cell r="F41">
            <v>14433170.260000002</v>
          </cell>
        </row>
        <row r="42">
          <cell r="A42">
            <v>1613</v>
          </cell>
          <cell r="B42">
            <v>660941.43999999994</v>
          </cell>
          <cell r="C42">
            <v>389763.97</v>
          </cell>
          <cell r="D42">
            <v>131022.61</v>
          </cell>
          <cell r="E42">
            <v>262534.68</v>
          </cell>
          <cell r="F42">
            <v>1444262.7</v>
          </cell>
        </row>
        <row r="43">
          <cell r="A43">
            <v>1614</v>
          </cell>
          <cell r="E43">
            <v>1297.1600000000001</v>
          </cell>
          <cell r="F43">
            <v>1297.1600000000001</v>
          </cell>
        </row>
        <row r="44">
          <cell r="A44">
            <v>1616</v>
          </cell>
          <cell r="B44">
            <v>332596.09000000003</v>
          </cell>
          <cell r="C44">
            <v>241728.57</v>
          </cell>
          <cell r="D44">
            <v>89757.84</v>
          </cell>
          <cell r="E44">
            <v>194985.55</v>
          </cell>
          <cell r="F44">
            <v>859068.05</v>
          </cell>
        </row>
        <row r="45">
          <cell r="A45">
            <v>1623</v>
          </cell>
          <cell r="B45">
            <v>90246</v>
          </cell>
          <cell r="C45">
            <v>49819</v>
          </cell>
          <cell r="D45">
            <v>17529</v>
          </cell>
          <cell r="E45">
            <v>49793</v>
          </cell>
          <cell r="F45">
            <v>207387</v>
          </cell>
        </row>
        <row r="46">
          <cell r="A46">
            <v>1626</v>
          </cell>
          <cell r="B46">
            <v>55074</v>
          </cell>
          <cell r="C46">
            <v>42834</v>
          </cell>
          <cell r="D46">
            <v>15732</v>
          </cell>
          <cell r="E46">
            <v>32324</v>
          </cell>
          <cell r="F46">
            <v>145964</v>
          </cell>
        </row>
        <row r="47">
          <cell r="A47">
            <v>1788</v>
          </cell>
          <cell r="E47">
            <v>59535</v>
          </cell>
          <cell r="F47">
            <v>59535</v>
          </cell>
        </row>
        <row r="48">
          <cell r="A48">
            <v>1789</v>
          </cell>
          <cell r="E48">
            <v>29.38</v>
          </cell>
          <cell r="F48">
            <v>29.38</v>
          </cell>
        </row>
        <row r="49">
          <cell r="A49">
            <v>1906</v>
          </cell>
          <cell r="E49">
            <v>219120</v>
          </cell>
          <cell r="F49">
            <v>219120</v>
          </cell>
        </row>
        <row r="50">
          <cell r="A50">
            <v>1908</v>
          </cell>
          <cell r="E50">
            <v>40000</v>
          </cell>
          <cell r="F50">
            <v>40000</v>
          </cell>
        </row>
        <row r="51">
          <cell r="A51">
            <v>1909</v>
          </cell>
          <cell r="B51">
            <v>10000</v>
          </cell>
          <cell r="C51">
            <v>10000</v>
          </cell>
          <cell r="E51">
            <v>4738192.8</v>
          </cell>
          <cell r="F51">
            <v>4758192.8</v>
          </cell>
        </row>
        <row r="52">
          <cell r="A52">
            <v>1919</v>
          </cell>
          <cell r="E52">
            <v>1031003.5</v>
          </cell>
          <cell r="F52">
            <v>1031003.5</v>
          </cell>
        </row>
        <row r="53">
          <cell r="A53">
            <v>4012</v>
          </cell>
          <cell r="B53">
            <v>0</v>
          </cell>
          <cell r="C53">
            <v>188537.92</v>
          </cell>
          <cell r="F53">
            <v>188537.92</v>
          </cell>
        </row>
        <row r="54">
          <cell r="A54">
            <v>4220</v>
          </cell>
          <cell r="B54">
            <v>561</v>
          </cell>
          <cell r="C54">
            <v>1520919.45</v>
          </cell>
          <cell r="D54">
            <v>22759.439999999999</v>
          </cell>
          <cell r="E54">
            <v>-1184955.23</v>
          </cell>
          <cell r="F54">
            <v>359284.66</v>
          </cell>
        </row>
        <row r="55">
          <cell r="A55">
            <v>4231</v>
          </cell>
          <cell r="C55">
            <v>197025564.36000001</v>
          </cell>
          <cell r="E55">
            <v>-190340265.55000001</v>
          </cell>
          <cell r="F55">
            <v>6685298.8100000024</v>
          </cell>
        </row>
        <row r="56">
          <cell r="A56">
            <v>4232</v>
          </cell>
          <cell r="B56">
            <v>41723.550000000003</v>
          </cell>
          <cell r="C56">
            <v>6410.23</v>
          </cell>
          <cell r="D56">
            <v>113551.93</v>
          </cell>
          <cell r="E56">
            <v>-51974.93</v>
          </cell>
          <cell r="F56">
            <v>109710.78</v>
          </cell>
        </row>
        <row r="57">
          <cell r="A57">
            <v>4233</v>
          </cell>
          <cell r="B57">
            <v>98066949.580000073</v>
          </cell>
          <cell r="C57">
            <v>1905767.13</v>
          </cell>
          <cell r="D57">
            <v>485030.03</v>
          </cell>
          <cell r="E57">
            <v>-99512714.529999971</v>
          </cell>
          <cell r="F57">
            <v>945032.21000009775</v>
          </cell>
        </row>
        <row r="58">
          <cell r="A58">
            <v>4234</v>
          </cell>
          <cell r="B58">
            <v>11799825.339999998</v>
          </cell>
          <cell r="C58">
            <v>734183.94</v>
          </cell>
          <cell r="D58">
            <v>31990.080000000002</v>
          </cell>
          <cell r="E58">
            <v>-12201231.390000001</v>
          </cell>
          <cell r="F58">
            <v>364767.96999999695</v>
          </cell>
        </row>
        <row r="59">
          <cell r="A59">
            <v>4236</v>
          </cell>
          <cell r="C59">
            <v>22229917.5</v>
          </cell>
          <cell r="E59">
            <v>-23195750.960000001</v>
          </cell>
          <cell r="F59">
            <v>-965833.46000000089</v>
          </cell>
        </row>
        <row r="60">
          <cell r="A60">
            <v>4241</v>
          </cell>
          <cell r="B60">
            <v>337465</v>
          </cell>
          <cell r="C60">
            <v>127841.88</v>
          </cell>
          <cell r="D60">
            <v>45490.47</v>
          </cell>
          <cell r="E60">
            <v>-466050.32</v>
          </cell>
          <cell r="F60">
            <v>44747.030000000144</v>
          </cell>
        </row>
        <row r="61">
          <cell r="A61">
            <v>4242</v>
          </cell>
          <cell r="C61">
            <v>628004.27</v>
          </cell>
          <cell r="D61">
            <v>1152</v>
          </cell>
          <cell r="E61">
            <v>-640881.87</v>
          </cell>
          <cell r="F61">
            <v>-11725.600000000093</v>
          </cell>
        </row>
        <row r="62">
          <cell r="A62">
            <v>4243</v>
          </cell>
          <cell r="B62">
            <v>2299913.4500000002</v>
          </cell>
          <cell r="C62">
            <v>2002506.75</v>
          </cell>
          <cell r="D62">
            <v>178442.1</v>
          </cell>
          <cell r="E62">
            <v>-4006889.04</v>
          </cell>
          <cell r="F62">
            <v>473973.25999999885</v>
          </cell>
        </row>
        <row r="63">
          <cell r="A63">
            <v>4244</v>
          </cell>
          <cell r="B63">
            <v>741613.81</v>
          </cell>
          <cell r="C63">
            <v>860638.99</v>
          </cell>
          <cell r="D63">
            <v>289746.03999999998</v>
          </cell>
          <cell r="E63">
            <v>-2603353.58</v>
          </cell>
          <cell r="F63">
            <v>-711354.7399999979</v>
          </cell>
        </row>
        <row r="64">
          <cell r="A64">
            <v>4245</v>
          </cell>
          <cell r="B64">
            <v>278586.09000000003</v>
          </cell>
          <cell r="C64">
            <v>569303.25</v>
          </cell>
          <cell r="D64">
            <v>21216.13</v>
          </cell>
          <cell r="E64">
            <v>-796434.84</v>
          </cell>
          <cell r="F64">
            <v>72670.629999999888</v>
          </cell>
        </row>
        <row r="65">
          <cell r="A65">
            <v>4248</v>
          </cell>
          <cell r="B65">
            <v>5246268.4800000004</v>
          </cell>
          <cell r="C65">
            <v>6790027.5599999987</v>
          </cell>
          <cell r="D65">
            <v>569429.43000000005</v>
          </cell>
          <cell r="E65">
            <v>-10327793.469999997</v>
          </cell>
          <cell r="F65">
            <v>2277932</v>
          </cell>
        </row>
        <row r="66">
          <cell r="A66">
            <v>4250</v>
          </cell>
          <cell r="B66">
            <v>9763.5</v>
          </cell>
          <cell r="E66">
            <v>-14964.3</v>
          </cell>
          <cell r="F66">
            <v>-5200.8</v>
          </cell>
        </row>
        <row r="67">
          <cell r="A67">
            <v>4251</v>
          </cell>
          <cell r="B67">
            <v>5054913.7300000004</v>
          </cell>
          <cell r="C67">
            <v>25489916.539999999</v>
          </cell>
          <cell r="E67">
            <v>-9178875.4700000007</v>
          </cell>
          <cell r="F67">
            <v>21365954.799999997</v>
          </cell>
        </row>
        <row r="68">
          <cell r="A68">
            <v>4252</v>
          </cell>
          <cell r="B68">
            <v>37863106.889999993</v>
          </cell>
          <cell r="E68">
            <v>-36322315.670000002</v>
          </cell>
          <cell r="F68">
            <v>1540791.2199999914</v>
          </cell>
        </row>
        <row r="69">
          <cell r="A69">
            <v>4253</v>
          </cell>
          <cell r="B69">
            <v>596386.14</v>
          </cell>
          <cell r="C69">
            <v>1988342.11</v>
          </cell>
          <cell r="E69">
            <v>-1813509.64</v>
          </cell>
          <cell r="F69">
            <v>771218.61</v>
          </cell>
        </row>
        <row r="70">
          <cell r="A70">
            <v>4254</v>
          </cell>
          <cell r="B70">
            <v>1080513.75</v>
          </cell>
          <cell r="C70">
            <v>1125497.79</v>
          </cell>
          <cell r="D70">
            <v>109722.39</v>
          </cell>
          <cell r="E70">
            <v>-1651146.87</v>
          </cell>
          <cell r="F70">
            <v>664587.05999999936</v>
          </cell>
        </row>
        <row r="71">
          <cell r="A71">
            <v>4256</v>
          </cell>
          <cell r="B71">
            <v>111212.5</v>
          </cell>
          <cell r="F71">
            <v>111212.5</v>
          </cell>
        </row>
        <row r="72">
          <cell r="A72">
            <v>4257</v>
          </cell>
          <cell r="B72">
            <v>2133100.4900000002</v>
          </cell>
          <cell r="C72">
            <v>3556.19</v>
          </cell>
          <cell r="E72">
            <v>-4378738.21</v>
          </cell>
          <cell r="F72">
            <v>-2242081.5299999998</v>
          </cell>
        </row>
        <row r="73">
          <cell r="A73">
            <v>4258</v>
          </cell>
          <cell r="B73">
            <v>321002.49</v>
          </cell>
          <cell r="E73">
            <v>-126629.51</v>
          </cell>
          <cell r="F73">
            <v>194372.98</v>
          </cell>
        </row>
        <row r="74">
          <cell r="A74">
            <v>4259</v>
          </cell>
          <cell r="E74">
            <v>0</v>
          </cell>
          <cell r="F74">
            <v>0</v>
          </cell>
        </row>
        <row r="75">
          <cell r="A75">
            <v>4261</v>
          </cell>
          <cell r="B75">
            <v>4183951.6</v>
          </cell>
          <cell r="C75">
            <v>78086.42</v>
          </cell>
          <cell r="D75">
            <v>43121.83</v>
          </cell>
          <cell r="E75">
            <v>-6118754.8300000001</v>
          </cell>
          <cell r="F75">
            <v>-1813594.98</v>
          </cell>
        </row>
        <row r="76">
          <cell r="A76">
            <v>4262</v>
          </cell>
          <cell r="B76">
            <v>68466.460000000006</v>
          </cell>
          <cell r="C76">
            <v>6060.86</v>
          </cell>
          <cell r="D76">
            <v>31286.85</v>
          </cell>
          <cell r="E76">
            <v>-78406.73</v>
          </cell>
          <cell r="F76">
            <v>27407.439999999999</v>
          </cell>
        </row>
        <row r="77">
          <cell r="A77">
            <v>4263</v>
          </cell>
          <cell r="B77">
            <v>105618256.85000002</v>
          </cell>
          <cell r="C77">
            <v>31707520.400000013</v>
          </cell>
          <cell r="D77">
            <v>882582.58</v>
          </cell>
          <cell r="E77">
            <v>-128211530.73999996</v>
          </cell>
          <cell r="F77">
            <v>9996829.0900000781</v>
          </cell>
        </row>
        <row r="78">
          <cell r="A78">
            <v>4264</v>
          </cell>
          <cell r="B78">
            <v>404321.08</v>
          </cell>
          <cell r="C78">
            <v>29645.98</v>
          </cell>
          <cell r="D78">
            <v>12258.49</v>
          </cell>
          <cell r="E78">
            <v>-483992.84</v>
          </cell>
          <cell r="F78">
            <v>-37767.29</v>
          </cell>
        </row>
        <row r="79">
          <cell r="A79">
            <v>4265</v>
          </cell>
          <cell r="B79">
            <v>565112.86</v>
          </cell>
          <cell r="C79">
            <v>152023.79999999999</v>
          </cell>
          <cell r="D79">
            <v>73410.2</v>
          </cell>
          <cell r="E79">
            <v>-765320.32</v>
          </cell>
          <cell r="F79">
            <v>25226.539999999921</v>
          </cell>
        </row>
        <row r="80">
          <cell r="A80">
            <v>4266</v>
          </cell>
          <cell r="B80">
            <v>371200.59</v>
          </cell>
          <cell r="C80">
            <v>294072.99</v>
          </cell>
          <cell r="D80">
            <v>173324.5</v>
          </cell>
          <cell r="E80">
            <v>-734258.49</v>
          </cell>
          <cell r="F80">
            <v>104339.59</v>
          </cell>
        </row>
        <row r="81">
          <cell r="A81">
            <v>4267</v>
          </cell>
          <cell r="B81">
            <v>1273.24</v>
          </cell>
          <cell r="C81">
            <v>1219.1600000000001</v>
          </cell>
          <cell r="E81">
            <v>-19787.650000000052</v>
          </cell>
          <cell r="F81">
            <v>-17295.250000000051</v>
          </cell>
        </row>
        <row r="82">
          <cell r="A82">
            <v>4270</v>
          </cell>
          <cell r="B82">
            <v>331567.2</v>
          </cell>
          <cell r="C82">
            <v>262101.78</v>
          </cell>
          <cell r="D82">
            <v>90422.6</v>
          </cell>
          <cell r="E82">
            <v>-872425.03000000108</v>
          </cell>
          <cell r="F82">
            <v>-188333.45000000112</v>
          </cell>
        </row>
        <row r="83">
          <cell r="A83">
            <v>4299</v>
          </cell>
          <cell r="E83">
            <v>-6211778.3600000003</v>
          </cell>
          <cell r="F83">
            <v>-6211778.3600000003</v>
          </cell>
        </row>
        <row r="84">
          <cell r="A84">
            <v>4330</v>
          </cell>
          <cell r="B84">
            <v>14653.55</v>
          </cell>
          <cell r="C84">
            <v>2184.4</v>
          </cell>
          <cell r="D84">
            <v>840.97</v>
          </cell>
          <cell r="E84">
            <v>-8737.6</v>
          </cell>
          <cell r="F84">
            <v>8941.32</v>
          </cell>
        </row>
        <row r="85">
          <cell r="A85">
            <v>4511</v>
          </cell>
          <cell r="B85">
            <v>4482.93</v>
          </cell>
          <cell r="C85">
            <v>130875.72</v>
          </cell>
          <cell r="D85">
            <v>92885097.159999996</v>
          </cell>
          <cell r="E85">
            <v>5259168.6399999997</v>
          </cell>
          <cell r="F85">
            <v>98279624.450000003</v>
          </cell>
        </row>
        <row r="86">
          <cell r="A86">
            <v>4512</v>
          </cell>
          <cell r="E86">
            <v>1016107.38</v>
          </cell>
          <cell r="F86">
            <v>1016107.38</v>
          </cell>
        </row>
        <row r="87">
          <cell r="A87">
            <v>4525</v>
          </cell>
          <cell r="B87">
            <v>0</v>
          </cell>
          <cell r="C87">
            <v>135.05000000000001</v>
          </cell>
          <cell r="E87">
            <v>1444439.2</v>
          </cell>
          <cell r="F87">
            <v>1444574.25</v>
          </cell>
        </row>
        <row r="88">
          <cell r="A88">
            <v>4560</v>
          </cell>
          <cell r="E88">
            <v>-139024.43</v>
          </cell>
          <cell r="F88">
            <v>-139024.43</v>
          </cell>
        </row>
        <row r="89">
          <cell r="A89">
            <v>4611</v>
          </cell>
          <cell r="B89">
            <v>2.06</v>
          </cell>
          <cell r="C89">
            <v>299314.93</v>
          </cell>
          <cell r="D89">
            <v>763958.05</v>
          </cell>
          <cell r="E89">
            <v>611873.63</v>
          </cell>
          <cell r="F89">
            <v>1675148.67</v>
          </cell>
        </row>
        <row r="90">
          <cell r="A90">
            <v>4613</v>
          </cell>
          <cell r="E90">
            <v>372721.76</v>
          </cell>
          <cell r="F90">
            <v>372721.76</v>
          </cell>
        </row>
        <row r="91">
          <cell r="A91">
            <v>4614</v>
          </cell>
          <cell r="B91">
            <v>956520.06</v>
          </cell>
          <cell r="C91">
            <v>318220.15999999997</v>
          </cell>
          <cell r="E91">
            <v>530756.73</v>
          </cell>
          <cell r="F91">
            <v>1805496.95</v>
          </cell>
        </row>
        <row r="92">
          <cell r="A92">
            <v>4620</v>
          </cell>
          <cell r="E92">
            <v>131017</v>
          </cell>
          <cell r="F92">
            <v>131017</v>
          </cell>
        </row>
        <row r="93">
          <cell r="A93">
            <v>4630</v>
          </cell>
          <cell r="B93">
            <v>721824.64</v>
          </cell>
          <cell r="C93">
            <v>2695063.27</v>
          </cell>
          <cell r="D93">
            <v>109267.09</v>
          </cell>
          <cell r="E93">
            <v>602460.21</v>
          </cell>
          <cell r="F93">
            <v>4128615.21</v>
          </cell>
        </row>
        <row r="94">
          <cell r="A94">
            <v>4642</v>
          </cell>
          <cell r="E94">
            <v>826717.95</v>
          </cell>
          <cell r="F94">
            <v>826717.95</v>
          </cell>
        </row>
        <row r="95">
          <cell r="A95">
            <v>5301</v>
          </cell>
          <cell r="B95">
            <v>4511879.29</v>
          </cell>
          <cell r="D95">
            <v>509.6</v>
          </cell>
          <cell r="F95">
            <v>4512388.8899999997</v>
          </cell>
        </row>
        <row r="96">
          <cell r="A96">
            <v>5311</v>
          </cell>
          <cell r="B96">
            <v>15000</v>
          </cell>
          <cell r="C96">
            <v>28020</v>
          </cell>
          <cell r="D96">
            <v>7925</v>
          </cell>
          <cell r="E96">
            <v>581035.53</v>
          </cell>
          <cell r="F96">
            <v>631980.53</v>
          </cell>
        </row>
        <row r="97">
          <cell r="A97">
            <v>5313</v>
          </cell>
          <cell r="B97">
            <v>1987419.65</v>
          </cell>
          <cell r="C97">
            <v>174645.13</v>
          </cell>
          <cell r="D97">
            <v>1254810.8400000001</v>
          </cell>
          <cell r="E97">
            <v>1860552.65</v>
          </cell>
          <cell r="F97">
            <v>5277428.2699999996</v>
          </cell>
        </row>
        <row r="98">
          <cell r="A98">
            <v>5314</v>
          </cell>
          <cell r="B98">
            <v>7430.05</v>
          </cell>
          <cell r="E98">
            <v>52804.03</v>
          </cell>
          <cell r="F98">
            <v>60234.080000000002</v>
          </cell>
        </row>
        <row r="99">
          <cell r="A99">
            <v>5318</v>
          </cell>
          <cell r="C99">
            <v>108518.25</v>
          </cell>
          <cell r="D99">
            <v>-33637</v>
          </cell>
          <cell r="E99">
            <v>520253.53</v>
          </cell>
          <cell r="F99">
            <v>595134.78</v>
          </cell>
        </row>
        <row r="100">
          <cell r="A100">
            <v>5332</v>
          </cell>
          <cell r="B100">
            <v>656462.02</v>
          </cell>
          <cell r="C100">
            <v>40884.019999999997</v>
          </cell>
          <cell r="D100">
            <v>80586.87</v>
          </cell>
          <cell r="E100">
            <v>-80993.429999999833</v>
          </cell>
          <cell r="F100">
            <v>696939.48</v>
          </cell>
        </row>
        <row r="101">
          <cell r="A101">
            <v>5335</v>
          </cell>
          <cell r="E101">
            <v>0</v>
          </cell>
          <cell r="F101">
            <v>0</v>
          </cell>
        </row>
        <row r="102">
          <cell r="A102">
            <v>5339</v>
          </cell>
          <cell r="B102">
            <v>3534206.29</v>
          </cell>
          <cell r="C102">
            <v>819199.02</v>
          </cell>
          <cell r="D102">
            <v>177257.4</v>
          </cell>
          <cell r="E102">
            <v>1862540.2</v>
          </cell>
          <cell r="F102">
            <v>6393202.9100000001</v>
          </cell>
        </row>
        <row r="103">
          <cell r="A103">
            <v>5341</v>
          </cell>
          <cell r="C103">
            <v>60307.97</v>
          </cell>
          <cell r="E103">
            <v>19644.18</v>
          </cell>
          <cell r="F103">
            <v>79952.149999999994</v>
          </cell>
        </row>
        <row r="104">
          <cell r="A104">
            <v>5342</v>
          </cell>
          <cell r="B104">
            <v>774862.23</v>
          </cell>
          <cell r="C104">
            <v>457206.47</v>
          </cell>
          <cell r="D104">
            <v>215252.91</v>
          </cell>
          <cell r="E104">
            <v>214601.43</v>
          </cell>
          <cell r="F104">
            <v>1661923.04</v>
          </cell>
        </row>
        <row r="105">
          <cell r="A105">
            <v>5345</v>
          </cell>
          <cell r="B105">
            <v>14244.32</v>
          </cell>
          <cell r="E105">
            <v>241373.81</v>
          </cell>
          <cell r="F105">
            <v>255618.13</v>
          </cell>
        </row>
        <row r="106">
          <cell r="A106">
            <v>5348</v>
          </cell>
          <cell r="E106">
            <v>542758.26</v>
          </cell>
          <cell r="F106">
            <v>542758.26</v>
          </cell>
        </row>
        <row r="107">
          <cell r="A107">
            <v>5350</v>
          </cell>
          <cell r="B107">
            <v>560</v>
          </cell>
          <cell r="E107">
            <v>21640</v>
          </cell>
          <cell r="F107">
            <v>22200</v>
          </cell>
        </row>
        <row r="108">
          <cell r="A108">
            <v>5352</v>
          </cell>
          <cell r="B108">
            <v>40332215.429999985</v>
          </cell>
          <cell r="C108">
            <v>27137670.640000008</v>
          </cell>
          <cell r="D108">
            <v>673166.35</v>
          </cell>
          <cell r="E108">
            <v>16059688.99</v>
          </cell>
          <cell r="F108">
            <v>84202741.409999982</v>
          </cell>
        </row>
        <row r="109">
          <cell r="A109">
            <v>5353</v>
          </cell>
          <cell r="E109">
            <v>-59973.120000000003</v>
          </cell>
          <cell r="F109">
            <v>-59973.120000000003</v>
          </cell>
        </row>
        <row r="110">
          <cell r="A110">
            <v>5365</v>
          </cell>
          <cell r="C110">
            <v>5673421.3499999996</v>
          </cell>
          <cell r="E110">
            <v>-43849.34</v>
          </cell>
          <cell r="F110">
            <v>5629572.0099999998</v>
          </cell>
        </row>
        <row r="111">
          <cell r="A111">
            <v>5366</v>
          </cell>
          <cell r="E111">
            <v>8295.19</v>
          </cell>
          <cell r="F111">
            <v>8295.19</v>
          </cell>
        </row>
        <row r="112">
          <cell r="A112">
            <v>5367</v>
          </cell>
          <cell r="B112">
            <v>2501.27</v>
          </cell>
          <cell r="E112">
            <v>6077871.3200000003</v>
          </cell>
          <cell r="F112">
            <v>6080372.5899999999</v>
          </cell>
        </row>
        <row r="113">
          <cell r="A113">
            <v>5368</v>
          </cell>
          <cell r="E113">
            <v>420398</v>
          </cell>
          <cell r="F113">
            <v>420398</v>
          </cell>
        </row>
        <row r="114">
          <cell r="A114">
            <v>5378</v>
          </cell>
          <cell r="D114">
            <v>380559.82</v>
          </cell>
          <cell r="F114">
            <v>380559.82</v>
          </cell>
        </row>
        <row r="115">
          <cell r="A115">
            <v>5411</v>
          </cell>
          <cell r="B115">
            <v>-254656.6</v>
          </cell>
          <cell r="C115">
            <v>48795.59</v>
          </cell>
          <cell r="D115">
            <v>-46039</v>
          </cell>
          <cell r="E115">
            <v>121113.27</v>
          </cell>
          <cell r="F115">
            <v>-130786.74</v>
          </cell>
        </row>
        <row r="116">
          <cell r="A116">
            <v>5412</v>
          </cell>
          <cell r="C116">
            <v>531199.04</v>
          </cell>
          <cell r="D116">
            <v>245518.81</v>
          </cell>
          <cell r="E116">
            <v>62620.959999999999</v>
          </cell>
          <cell r="F116">
            <v>839338.81</v>
          </cell>
        </row>
        <row r="117">
          <cell r="A117">
            <v>5413</v>
          </cell>
          <cell r="C117">
            <v>1917.3</v>
          </cell>
          <cell r="F117">
            <v>1917.3</v>
          </cell>
        </row>
        <row r="118">
          <cell r="A118">
            <v>5415</v>
          </cell>
          <cell r="B118">
            <v>28338.720000000001</v>
          </cell>
          <cell r="C118">
            <v>62724.9</v>
          </cell>
          <cell r="D118">
            <v>39208.22</v>
          </cell>
          <cell r="E118">
            <v>58367.31</v>
          </cell>
          <cell r="F118">
            <v>188639.15</v>
          </cell>
        </row>
        <row r="119">
          <cell r="A119">
            <v>5601</v>
          </cell>
          <cell r="B119">
            <v>7308577.4800000004</v>
          </cell>
          <cell r="C119">
            <v>2725715.56</v>
          </cell>
          <cell r="D119">
            <v>59147.14</v>
          </cell>
          <cell r="E119">
            <v>1578515.24</v>
          </cell>
          <cell r="F119">
            <v>11671955.420000002</v>
          </cell>
        </row>
        <row r="120">
          <cell r="A120">
            <v>5658</v>
          </cell>
          <cell r="B120">
            <v>16161873.800000001</v>
          </cell>
          <cell r="F120">
            <v>16161873.800000001</v>
          </cell>
        </row>
        <row r="121">
          <cell r="A121">
            <v>5673</v>
          </cell>
          <cell r="B121">
            <v>2500993.36</v>
          </cell>
          <cell r="C121">
            <v>611022.06999999995</v>
          </cell>
          <cell r="D121">
            <v>12848.56</v>
          </cell>
          <cell r="E121">
            <v>1655432.84</v>
          </cell>
          <cell r="F121">
            <v>4780296.83</v>
          </cell>
        </row>
        <row r="122">
          <cell r="A122">
            <v>5674</v>
          </cell>
          <cell r="C122">
            <v>21948.43</v>
          </cell>
          <cell r="E122">
            <v>17827.5</v>
          </cell>
          <cell r="F122">
            <v>39775.93</v>
          </cell>
        </row>
        <row r="123">
          <cell r="A123">
            <v>5731</v>
          </cell>
          <cell r="B123">
            <v>772951.73</v>
          </cell>
          <cell r="C123">
            <v>792244.22</v>
          </cell>
          <cell r="D123">
            <v>421716.36</v>
          </cell>
          <cell r="E123">
            <v>626830.92000000004</v>
          </cell>
          <cell r="F123">
            <v>2613743.23</v>
          </cell>
        </row>
        <row r="124">
          <cell r="A124">
            <v>5733</v>
          </cell>
          <cell r="C124">
            <v>7952.16</v>
          </cell>
          <cell r="D124">
            <v>17446.05</v>
          </cell>
          <cell r="E124">
            <v>835</v>
          </cell>
          <cell r="F124">
            <v>26233.21</v>
          </cell>
        </row>
        <row r="125">
          <cell r="A125">
            <v>5735</v>
          </cell>
          <cell r="C125">
            <v>2106</v>
          </cell>
          <cell r="E125">
            <v>110738.4</v>
          </cell>
          <cell r="F125">
            <v>112844.4</v>
          </cell>
        </row>
        <row r="126">
          <cell r="A126">
            <v>5736</v>
          </cell>
          <cell r="E126">
            <v>500</v>
          </cell>
          <cell r="F126">
            <v>500</v>
          </cell>
        </row>
        <row r="127">
          <cell r="A127">
            <v>5751</v>
          </cell>
          <cell r="E127">
            <v>271678.31</v>
          </cell>
          <cell r="F127">
            <v>271678.31</v>
          </cell>
        </row>
        <row r="128">
          <cell r="A128">
            <v>5755</v>
          </cell>
          <cell r="B128">
            <v>25066.39</v>
          </cell>
          <cell r="C128">
            <v>20675.61</v>
          </cell>
          <cell r="D128">
            <v>21007.62</v>
          </cell>
          <cell r="E128">
            <v>801513.04</v>
          </cell>
          <cell r="F128">
            <v>868262.66</v>
          </cell>
        </row>
        <row r="129">
          <cell r="A129">
            <v>5756</v>
          </cell>
          <cell r="E129">
            <v>61307.6</v>
          </cell>
          <cell r="F129">
            <v>61307.6</v>
          </cell>
        </row>
        <row r="130">
          <cell r="A130">
            <v>5757</v>
          </cell>
          <cell r="E130">
            <v>15524.08</v>
          </cell>
          <cell r="F130">
            <v>15524.08</v>
          </cell>
        </row>
        <row r="131">
          <cell r="A131">
            <v>5762</v>
          </cell>
          <cell r="B131">
            <v>8800</v>
          </cell>
          <cell r="C131">
            <v>2160</v>
          </cell>
          <cell r="E131">
            <v>315998.59999999998</v>
          </cell>
          <cell r="F131">
            <v>326958.59999999998</v>
          </cell>
        </row>
        <row r="132">
          <cell r="A132">
            <v>5778</v>
          </cell>
          <cell r="E132">
            <v>22</v>
          </cell>
          <cell r="F132">
            <v>22</v>
          </cell>
        </row>
        <row r="133">
          <cell r="A133">
            <v>6111</v>
          </cell>
          <cell r="E133">
            <v>5858141.2999999998</v>
          </cell>
          <cell r="F133">
            <v>5858141.2999999998</v>
          </cell>
        </row>
        <row r="134">
          <cell r="A134">
            <v>6115</v>
          </cell>
          <cell r="E134">
            <v>6969.5</v>
          </cell>
          <cell r="F134">
            <v>6969.5</v>
          </cell>
        </row>
        <row r="135">
          <cell r="A135">
            <v>6117</v>
          </cell>
          <cell r="E135">
            <v>2003.1</v>
          </cell>
          <cell r="F135">
            <v>2003.1</v>
          </cell>
        </row>
        <row r="136">
          <cell r="A136">
            <v>6170</v>
          </cell>
          <cell r="E136">
            <v>274200245.08999997</v>
          </cell>
          <cell r="F136">
            <v>274200245.08999997</v>
          </cell>
        </row>
        <row r="137">
          <cell r="A137">
            <v>6171</v>
          </cell>
          <cell r="B137">
            <v>3200</v>
          </cell>
          <cell r="C137">
            <v>155860</v>
          </cell>
          <cell r="D137">
            <v>1800</v>
          </cell>
          <cell r="E137">
            <v>15915</v>
          </cell>
          <cell r="F137">
            <v>176775</v>
          </cell>
        </row>
        <row r="138">
          <cell r="A138">
            <v>6173</v>
          </cell>
          <cell r="B138">
            <v>596475</v>
          </cell>
          <cell r="C138">
            <v>108150</v>
          </cell>
          <cell r="D138">
            <v>246000</v>
          </cell>
          <cell r="E138">
            <v>48800</v>
          </cell>
          <cell r="F138">
            <v>999425</v>
          </cell>
        </row>
        <row r="139">
          <cell r="A139">
            <v>6177</v>
          </cell>
          <cell r="E139">
            <v>77250</v>
          </cell>
          <cell r="F139">
            <v>77250</v>
          </cell>
        </row>
        <row r="140">
          <cell r="A140">
            <v>6178</v>
          </cell>
          <cell r="C140">
            <v>1757.5</v>
          </cell>
          <cell r="E140">
            <v>2932.76</v>
          </cell>
          <cell r="F140">
            <v>4690.26</v>
          </cell>
        </row>
        <row r="141">
          <cell r="A141">
            <v>6380</v>
          </cell>
          <cell r="B141">
            <v>30157560.63000001</v>
          </cell>
          <cell r="C141">
            <v>20955289.639999993</v>
          </cell>
          <cell r="D141">
            <v>1938532.12</v>
          </cell>
          <cell r="E141">
            <v>2421972.98</v>
          </cell>
          <cell r="F141">
            <v>55473355.369999997</v>
          </cell>
        </row>
        <row r="142">
          <cell r="A142">
            <v>6386</v>
          </cell>
          <cell r="E142">
            <v>962961.42</v>
          </cell>
          <cell r="F142">
            <v>962961.42</v>
          </cell>
        </row>
        <row r="143">
          <cell r="A143">
            <v>6387</v>
          </cell>
          <cell r="B143">
            <v>441906548.20999998</v>
          </cell>
          <cell r="C143">
            <v>4011878.01</v>
          </cell>
          <cell r="E143">
            <v>307131132.52999997</v>
          </cell>
          <cell r="F143">
            <v>753049558.75</v>
          </cell>
        </row>
        <row r="144">
          <cell r="A144">
            <v>7195</v>
          </cell>
          <cell r="B144">
            <v>-441906548.20999998</v>
          </cell>
          <cell r="C144">
            <v>-4011878.01</v>
          </cell>
          <cell r="E144">
            <v>-285638.25</v>
          </cell>
          <cell r="F144">
            <v>-446204064.46999997</v>
          </cell>
        </row>
        <row r="145">
          <cell r="A145">
            <v>7196</v>
          </cell>
          <cell r="E145">
            <v>-305023138.30000001</v>
          </cell>
          <cell r="F145">
            <v>-305023138.30000001</v>
          </cell>
        </row>
        <row r="146">
          <cell r="A146">
            <v>9099</v>
          </cell>
          <cell r="B146">
            <v>585812.74</v>
          </cell>
          <cell r="C146">
            <v>1023898.57</v>
          </cell>
          <cell r="D146">
            <v>41046.44</v>
          </cell>
          <cell r="E146">
            <v>10899898.310000001</v>
          </cell>
          <cell r="F146">
            <v>12550656.060000001</v>
          </cell>
        </row>
        <row r="147">
          <cell r="A147">
            <v>9248</v>
          </cell>
          <cell r="C147">
            <v>18726.400000000001</v>
          </cell>
          <cell r="F147">
            <v>18726.400000000001</v>
          </cell>
        </row>
        <row r="148">
          <cell r="A148" t="str">
            <v>A4220</v>
          </cell>
          <cell r="E148">
            <v>2835811.24</v>
          </cell>
          <cell r="F148">
            <v>2835811.24</v>
          </cell>
        </row>
        <row r="149">
          <cell r="A149" t="str">
            <v>A4231</v>
          </cell>
          <cell r="E149">
            <v>190079805.65000001</v>
          </cell>
          <cell r="F149">
            <v>190079805.65000001</v>
          </cell>
        </row>
        <row r="150">
          <cell r="A150" t="str">
            <v>A4232</v>
          </cell>
          <cell r="E150">
            <v>91117.58</v>
          </cell>
          <cell r="F150">
            <v>91117.58</v>
          </cell>
        </row>
        <row r="151">
          <cell r="A151" t="str">
            <v>A4233</v>
          </cell>
          <cell r="E151">
            <v>104937494.86</v>
          </cell>
          <cell r="F151">
            <v>104937494.86</v>
          </cell>
        </row>
        <row r="152">
          <cell r="A152" t="str">
            <v>A4234</v>
          </cell>
          <cell r="E152">
            <v>12415445.77</v>
          </cell>
          <cell r="F152">
            <v>12415445.77</v>
          </cell>
        </row>
        <row r="153">
          <cell r="A153" t="str">
            <v>A4236</v>
          </cell>
          <cell r="E153">
            <v>21915694.27</v>
          </cell>
          <cell r="F153">
            <v>21915694.27</v>
          </cell>
        </row>
        <row r="154">
          <cell r="A154" t="str">
            <v>A4241</v>
          </cell>
          <cell r="E154">
            <v>594157.62</v>
          </cell>
          <cell r="F154">
            <v>594157.62</v>
          </cell>
        </row>
        <row r="155">
          <cell r="A155" t="str">
            <v>A4242</v>
          </cell>
          <cell r="E155">
            <v>631306.73</v>
          </cell>
          <cell r="F155">
            <v>631306.73</v>
          </cell>
        </row>
        <row r="156">
          <cell r="A156" t="str">
            <v>A4243</v>
          </cell>
          <cell r="E156">
            <v>4213406.74</v>
          </cell>
          <cell r="F156">
            <v>4213406.74</v>
          </cell>
        </row>
        <row r="157">
          <cell r="A157" t="str">
            <v>A4244</v>
          </cell>
          <cell r="E157">
            <v>2893949.85</v>
          </cell>
          <cell r="F157">
            <v>2893949.85</v>
          </cell>
        </row>
        <row r="158">
          <cell r="A158" t="str">
            <v>A4245</v>
          </cell>
          <cell r="E158">
            <v>1000167.43</v>
          </cell>
          <cell r="F158">
            <v>1000167.43</v>
          </cell>
        </row>
        <row r="159">
          <cell r="A159" t="str">
            <v>A4248</v>
          </cell>
          <cell r="E159">
            <v>12783091.18</v>
          </cell>
          <cell r="F159">
            <v>12783091.18</v>
          </cell>
        </row>
        <row r="160">
          <cell r="A160" t="str">
            <v>A4251</v>
          </cell>
          <cell r="E160">
            <v>12303596.59</v>
          </cell>
          <cell r="F160">
            <v>12303596.59</v>
          </cell>
        </row>
        <row r="161">
          <cell r="A161" t="str">
            <v>A4252</v>
          </cell>
          <cell r="E161">
            <v>36044454.18</v>
          </cell>
          <cell r="F161">
            <v>36044454.18</v>
          </cell>
        </row>
        <row r="162">
          <cell r="A162" t="str">
            <v>A4253</v>
          </cell>
          <cell r="E162">
            <v>2018758.98</v>
          </cell>
          <cell r="F162">
            <v>2018758.98</v>
          </cell>
        </row>
        <row r="163">
          <cell r="A163" t="str">
            <v>A4254</v>
          </cell>
          <cell r="E163">
            <v>298916.09000000003</v>
          </cell>
          <cell r="F163">
            <v>298916.09000000003</v>
          </cell>
        </row>
        <row r="164">
          <cell r="A164" t="str">
            <v>A4257</v>
          </cell>
          <cell r="E164">
            <v>4067315.55</v>
          </cell>
          <cell r="F164">
            <v>4067315.55</v>
          </cell>
        </row>
        <row r="165">
          <cell r="A165" t="str">
            <v>A4258</v>
          </cell>
          <cell r="E165">
            <v>126629.51</v>
          </cell>
          <cell r="F165">
            <v>126629.51</v>
          </cell>
        </row>
        <row r="166">
          <cell r="A166" t="str">
            <v>A4259</v>
          </cell>
          <cell r="E166">
            <v>1505344.22</v>
          </cell>
          <cell r="F166">
            <v>1505344.22</v>
          </cell>
        </row>
        <row r="167">
          <cell r="A167" t="str">
            <v>A4261</v>
          </cell>
          <cell r="E167">
            <v>5194404.09</v>
          </cell>
          <cell r="F167">
            <v>5194404.09</v>
          </cell>
        </row>
        <row r="168">
          <cell r="A168" t="str">
            <v>A4262</v>
          </cell>
          <cell r="E168">
            <v>79010.19</v>
          </cell>
          <cell r="F168">
            <v>79010.19</v>
          </cell>
        </row>
        <row r="169">
          <cell r="A169" t="str">
            <v>A4263</v>
          </cell>
          <cell r="E169">
            <v>114917105.35000001</v>
          </cell>
          <cell r="F169">
            <v>114917105.35000001</v>
          </cell>
        </row>
        <row r="170">
          <cell r="A170" t="str">
            <v>A4264</v>
          </cell>
          <cell r="E170">
            <v>497494.34</v>
          </cell>
          <cell r="F170">
            <v>497494.34</v>
          </cell>
        </row>
        <row r="171">
          <cell r="A171" t="str">
            <v>A4265</v>
          </cell>
          <cell r="E171">
            <v>797042.19</v>
          </cell>
          <cell r="F171">
            <v>797042.19</v>
          </cell>
        </row>
        <row r="172">
          <cell r="A172" t="str">
            <v>A4266</v>
          </cell>
          <cell r="E172">
            <v>1535592.48</v>
          </cell>
          <cell r="F172">
            <v>1535592.48</v>
          </cell>
        </row>
        <row r="173">
          <cell r="A173" t="str">
            <v>A4267</v>
          </cell>
          <cell r="E173">
            <v>190816.47</v>
          </cell>
          <cell r="F173">
            <v>190816.47</v>
          </cell>
        </row>
        <row r="174">
          <cell r="A174" t="str">
            <v>A4270</v>
          </cell>
          <cell r="B174">
            <v>292.5</v>
          </cell>
          <cell r="C174">
            <v>341.5</v>
          </cell>
          <cell r="D174">
            <v>217.5</v>
          </cell>
          <cell r="E174">
            <v>1224482.24</v>
          </cell>
          <cell r="F174">
            <v>1225333.74</v>
          </cell>
        </row>
        <row r="175">
          <cell r="A175" t="str">
            <v>A4284</v>
          </cell>
          <cell r="E175">
            <v>-1419343.16</v>
          </cell>
          <cell r="F175">
            <v>-1419343.16</v>
          </cell>
        </row>
        <row r="176">
          <cell r="A176" t="str">
            <v>A4299</v>
          </cell>
          <cell r="E176">
            <v>166307.99</v>
          </cell>
          <cell r="F176">
            <v>166307.99</v>
          </cell>
        </row>
        <row r="177">
          <cell r="A177" t="str">
            <v>A4330</v>
          </cell>
          <cell r="E177">
            <v>14546.65</v>
          </cell>
          <cell r="F177">
            <v>14546.65</v>
          </cell>
        </row>
        <row r="178">
          <cell r="A178" t="str">
            <v>S4263</v>
          </cell>
          <cell r="C178">
            <v>79307</v>
          </cell>
          <cell r="F178">
            <v>79307</v>
          </cell>
        </row>
      </sheetData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"/>
      <sheetName val="PL"/>
      <sheetName val="CF"/>
      <sheetName val="BS"/>
      <sheetName val="FA"/>
      <sheetName val="CuLiab"/>
      <sheetName val="Capex"/>
      <sheetName val="Revenues"/>
      <sheetName val="OPEX"/>
      <sheetName val="TSG_"/>
      <sheetName val="Consolidation"/>
      <sheetName val="Update"/>
      <sheetName val="MacroEco"/>
      <sheetName val="Ratios"/>
      <sheetName val="Interest"/>
      <sheetName val="Contr_Serv"/>
      <sheetName val="CuA"/>
      <sheetName val="Loans"/>
      <sheetName val="Provisions"/>
      <sheetName val="IOL"/>
      <sheetName val="Switch"/>
      <sheetName val="Trans"/>
      <sheetName val="Access"/>
      <sheetName val="Build"/>
      <sheetName val="Data"/>
      <sheetName val="Indiv"/>
      <sheetName val="OSS_HW"/>
      <sheetName val="IT_HW_"/>
      <sheetName val="IT_SW_ "/>
      <sheetName val="OSS_SW"/>
      <sheetName val="Depr"/>
      <sheetName val="Income Tax"/>
      <sheetName val="TaxDepr"/>
      <sheetName val="IntUpd"/>
      <sheetName val="Staff"/>
      <sheetName val="MTL"/>
      <sheetName val="COS"/>
      <sheetName val=" OPEX"/>
      <sheetName val="Feuil6"/>
      <sheetName val="Feuil3"/>
      <sheetName val="Feuil5"/>
      <sheetName val="BATIMENT"/>
      <sheetName val="BG0603"/>
      <sheetName val="CUM99BN"/>
      <sheetName val="Conso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6">
          <cell r="D6">
            <v>1453444</v>
          </cell>
          <cell r="E6">
            <v>1453053</v>
          </cell>
          <cell r="F6">
            <v>1089393</v>
          </cell>
          <cell r="G6">
            <v>704113</v>
          </cell>
          <cell r="H6">
            <v>763210</v>
          </cell>
          <cell r="I6">
            <v>365689.58109559619</v>
          </cell>
          <cell r="J6">
            <v>299809.12863070541</v>
          </cell>
          <cell r="K6">
            <v>218563.2183908046</v>
          </cell>
          <cell r="L6">
            <v>216830.18867924527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 important"/>
      <sheetName val="Renouvellements TG, EY &amp; BG"/>
      <sheetName val="Dotations nouvelles TG, EY &amp; BG"/>
      <sheetName val="SYNTHESE 99"/>
      <sheetName val="Budget administratif EY, BG &amp;TG"/>
      <sheetName val="BUDGET GT TG  EY  BG &amp; AG"/>
      <sheetName val="BUDGET SOCIAL"/>
      <sheetName val="BUDGET HABITAT"/>
      <sheetName val="ETUDES&amp; ESSAIS"/>
      <sheetName val="AUTRES"/>
      <sheetName val="Sommaire"/>
      <sheetName val="Evol 96-20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connect cost"/>
      <sheetName val="Rev summary"/>
      <sheetName val="P&amp;L Summary"/>
      <sheetName val="P&amp;L"/>
      <sheetName val="Line revenue"/>
      <sheetName val="PSTN (Cust)"/>
      <sheetName val="ISDN (Cust)"/>
      <sheetName val="Call revenue (Total)"/>
      <sheetName val="Call revenue (Res)"/>
      <sheetName val="Call revenue (Bus)"/>
      <sheetName val="Call revenue (Seg1)"/>
      <sheetName val="Call revenue (Seg)"/>
      <sheetName val="Subscription"/>
      <sheetName val="Connection"/>
      <sheetName val="Internet and data"/>
      <sheetName val="Interconnect rev"/>
      <sheetName val="Value Add + Other"/>
      <sheetName val="Leased circuits"/>
      <sheetName val="Equipment"/>
      <sheetName val="Other"/>
      <sheetName val="Equip"/>
      <sheetName val="Commission"/>
      <sheetName val="Op costs"/>
      <sheetName val="Materials"/>
      <sheetName val="R&amp;M"/>
      <sheetName val="M&amp;S"/>
      <sheetName val="Lease"/>
      <sheetName val="Consultancy"/>
      <sheetName val="Other op"/>
      <sheetName val="Employees"/>
      <sheetName val="Key Obs"/>
    </sheetNames>
    <sheetDataSet>
      <sheetData sheetId="0" refreshError="1"/>
      <sheetData sheetId="1" refreshError="1">
        <row r="3">
          <cell r="A3" t="str">
            <v>Revenue summary</v>
          </cell>
        </row>
        <row r="4">
          <cell r="B4" t="str">
            <v>Actual</v>
          </cell>
          <cell r="E4" t="str">
            <v>Projected</v>
          </cell>
        </row>
        <row r="5">
          <cell r="B5">
            <v>2002</v>
          </cell>
          <cell r="C5">
            <v>2003</v>
          </cell>
          <cell r="D5">
            <v>2004</v>
          </cell>
          <cell r="E5">
            <v>2005</v>
          </cell>
          <cell r="F5">
            <v>2006</v>
          </cell>
          <cell r="G5">
            <v>2007</v>
          </cell>
          <cell r="H5">
            <v>2008</v>
          </cell>
          <cell r="I5">
            <v>2009</v>
          </cell>
        </row>
        <row r="6">
          <cell r="A6" t="str">
            <v>Revenue (CZKm)</v>
          </cell>
        </row>
        <row r="7">
          <cell r="A7" t="str">
            <v>Call revenue</v>
          </cell>
          <cell r="B7">
            <v>16846</v>
          </cell>
          <cell r="C7">
            <v>13355</v>
          </cell>
          <cell r="D7">
            <v>9995</v>
          </cell>
          <cell r="E7">
            <v>7615</v>
          </cell>
          <cell r="F7">
            <v>6277</v>
          </cell>
          <cell r="G7">
            <v>5634</v>
          </cell>
          <cell r="H7">
            <v>5138</v>
          </cell>
          <cell r="I7">
            <v>4731</v>
          </cell>
        </row>
        <row r="8">
          <cell r="A8" t="str">
            <v>Subscription</v>
          </cell>
          <cell r="B8">
            <v>11801</v>
          </cell>
          <cell r="C8">
            <v>12187</v>
          </cell>
          <cell r="D8">
            <v>11835</v>
          </cell>
          <cell r="E8">
            <v>11152</v>
          </cell>
          <cell r="F8">
            <v>10540</v>
          </cell>
          <cell r="G8">
            <v>10059</v>
          </cell>
          <cell r="H8">
            <v>9708</v>
          </cell>
          <cell r="I8">
            <v>9464</v>
          </cell>
        </row>
        <row r="9">
          <cell r="B9">
            <v>28647</v>
          </cell>
          <cell r="C9">
            <v>25542</v>
          </cell>
          <cell r="D9">
            <v>21830</v>
          </cell>
        </row>
        <row r="10">
          <cell r="A10" t="str">
            <v>Connection</v>
          </cell>
          <cell r="B10">
            <v>317</v>
          </cell>
          <cell r="C10">
            <v>296</v>
          </cell>
          <cell r="D10">
            <v>204</v>
          </cell>
          <cell r="E10">
            <v>118</v>
          </cell>
          <cell r="F10">
            <v>97</v>
          </cell>
          <cell r="G10">
            <v>89</v>
          </cell>
          <cell r="H10">
            <v>81</v>
          </cell>
          <cell r="I10">
            <v>76</v>
          </cell>
        </row>
        <row r="11">
          <cell r="A11" t="str">
            <v>Internet and data</v>
          </cell>
          <cell r="B11">
            <v>1771</v>
          </cell>
          <cell r="C11">
            <v>2301</v>
          </cell>
          <cell r="D11">
            <v>2705</v>
          </cell>
          <cell r="E11">
            <v>4222</v>
          </cell>
          <cell r="F11">
            <v>5945</v>
          </cell>
          <cell r="G11">
            <v>7013</v>
          </cell>
          <cell r="H11">
            <v>7620</v>
          </cell>
          <cell r="I11">
            <v>7793</v>
          </cell>
        </row>
        <row r="12">
          <cell r="A12" t="str">
            <v>VAS and Other</v>
          </cell>
          <cell r="B12">
            <v>1035</v>
          </cell>
          <cell r="C12">
            <v>1000</v>
          </cell>
          <cell r="D12">
            <v>971</v>
          </cell>
          <cell r="E12">
            <v>861</v>
          </cell>
          <cell r="F12">
            <v>900</v>
          </cell>
          <cell r="G12">
            <v>958</v>
          </cell>
          <cell r="H12">
            <v>1019</v>
          </cell>
          <cell r="I12">
            <v>1076</v>
          </cell>
        </row>
        <row r="13">
          <cell r="A13" t="str">
            <v>Internconnect</v>
          </cell>
          <cell r="B13">
            <v>2593</v>
          </cell>
          <cell r="C13">
            <v>3137</v>
          </cell>
          <cell r="D13">
            <v>3825</v>
          </cell>
          <cell r="E13">
            <v>3982</v>
          </cell>
          <cell r="F13">
            <v>3768</v>
          </cell>
          <cell r="G13">
            <v>3686</v>
          </cell>
          <cell r="H13">
            <v>3592</v>
          </cell>
          <cell r="I13">
            <v>3527</v>
          </cell>
        </row>
        <row r="14">
          <cell r="A14" t="str">
            <v>Leased circuits</v>
          </cell>
          <cell r="B14">
            <v>2680</v>
          </cell>
          <cell r="C14">
            <v>2725</v>
          </cell>
          <cell r="D14">
            <v>2787</v>
          </cell>
          <cell r="E14">
            <v>2706</v>
          </cell>
          <cell r="F14">
            <v>2605</v>
          </cell>
          <cell r="G14">
            <v>2440</v>
          </cell>
          <cell r="H14">
            <v>2298</v>
          </cell>
          <cell r="I14">
            <v>2164</v>
          </cell>
        </row>
        <row r="15">
          <cell r="A15" t="str">
            <v>Equipment</v>
          </cell>
          <cell r="B15">
            <v>514</v>
          </cell>
          <cell r="C15">
            <v>301</v>
          </cell>
          <cell r="D15">
            <v>370</v>
          </cell>
          <cell r="E15">
            <v>477</v>
          </cell>
          <cell r="F15">
            <v>482</v>
          </cell>
          <cell r="G15">
            <v>487</v>
          </cell>
          <cell r="H15">
            <v>491</v>
          </cell>
          <cell r="I15">
            <v>496</v>
          </cell>
        </row>
        <row r="16">
          <cell r="A16" t="str">
            <v>Other</v>
          </cell>
          <cell r="B16">
            <v>1623</v>
          </cell>
          <cell r="C16">
            <v>1246</v>
          </cell>
          <cell r="D16">
            <v>1576</v>
          </cell>
          <cell r="E16">
            <v>961</v>
          </cell>
          <cell r="F16">
            <v>864</v>
          </cell>
          <cell r="G16">
            <v>1011</v>
          </cell>
          <cell r="H16">
            <v>1153</v>
          </cell>
          <cell r="I16">
            <v>1377</v>
          </cell>
        </row>
        <row r="17">
          <cell r="A17" t="str">
            <v>Total revenue</v>
          </cell>
          <cell r="B17">
            <v>39180</v>
          </cell>
          <cell r="C17">
            <v>36548</v>
          </cell>
          <cell r="D17">
            <v>34268</v>
          </cell>
          <cell r="E17">
            <v>13209</v>
          </cell>
          <cell r="F17">
            <v>14564</v>
          </cell>
          <cell r="G17">
            <v>15595</v>
          </cell>
          <cell r="H17">
            <v>16173</v>
          </cell>
          <cell r="I17">
            <v>16433</v>
          </cell>
        </row>
        <row r="18">
          <cell r="A18" t="str">
            <v>% growth</v>
          </cell>
          <cell r="C18">
            <v>-6.7177131189382289E-2</v>
          </cell>
          <cell r="D18">
            <v>-6.2383714567144533E-2</v>
          </cell>
          <cell r="E18">
            <v>-0.61453834481148595</v>
          </cell>
          <cell r="F18">
            <v>0.10258157316980854</v>
          </cell>
          <cell r="G18">
            <v>7.0790991485855548E-2</v>
          </cell>
          <cell r="H18">
            <v>3.7063161269637712E-2</v>
          </cell>
          <cell r="I18">
            <v>1.6076176343288173E-2</v>
          </cell>
        </row>
        <row r="19">
          <cell r="A19" t="str">
            <v>KPI's</v>
          </cell>
        </row>
        <row r="20">
          <cell r="A20" t="str">
            <v>Lines ('000)</v>
          </cell>
          <cell r="B20">
            <v>3418</v>
          </cell>
          <cell r="C20">
            <v>3291</v>
          </cell>
          <cell r="D20">
            <v>3065.2</v>
          </cell>
        </row>
        <row r="21">
          <cell r="A21" t="str">
            <v>Total minutes (m CZK)</v>
          </cell>
          <cell r="B21">
            <v>12023</v>
          </cell>
          <cell r="C21">
            <v>11213</v>
          </cell>
          <cell r="D21">
            <v>9193</v>
          </cell>
        </row>
        <row r="22">
          <cell r="A22" t="str">
            <v>Total call revenue and subscriptions per line (CZK)</v>
          </cell>
          <cell r="B22">
            <v>8381.2170860152128</v>
          </cell>
          <cell r="C22">
            <v>7761.1668185961717</v>
          </cell>
          <cell r="D22">
            <v>7121.8843794858412</v>
          </cell>
          <cell r="E22" t="e">
            <v>#DIV/0!</v>
          </cell>
          <cell r="F22" t="e">
            <v>#DIV/0!</v>
          </cell>
          <cell r="G22" t="e">
            <v>#DIV/0!</v>
          </cell>
          <cell r="H22" t="e">
            <v>#DIV/0!</v>
          </cell>
          <cell r="I22" t="e">
            <v>#DIV/0!</v>
          </cell>
        </row>
        <row r="23">
          <cell r="A23" t="str">
            <v>Total call revenue and subscriptions per minute (CZK)</v>
          </cell>
          <cell r="B23">
            <v>2.3826831905514432</v>
          </cell>
          <cell r="C23">
            <v>2.2778917328101311</v>
          </cell>
          <cell r="D23">
            <v>2.374632872838029</v>
          </cell>
        </row>
        <row r="26">
          <cell r="A26" t="str">
            <v>Call revenue and subscriptions split</v>
          </cell>
        </row>
        <row r="27">
          <cell r="B27" t="str">
            <v>Actual</v>
          </cell>
          <cell r="E27" t="str">
            <v>Projected</v>
          </cell>
        </row>
        <row r="28">
          <cell r="B28">
            <v>2002</v>
          </cell>
          <cell r="C28">
            <v>2003</v>
          </cell>
          <cell r="D28">
            <v>2004</v>
          </cell>
          <cell r="E28">
            <v>2005</v>
          </cell>
          <cell r="F28">
            <v>2006</v>
          </cell>
          <cell r="G28">
            <v>2007</v>
          </cell>
          <cell r="H28">
            <v>2008</v>
          </cell>
          <cell r="I28">
            <v>2009</v>
          </cell>
        </row>
        <row r="29">
          <cell r="A29" t="str">
            <v>Voice + Dial up service</v>
          </cell>
        </row>
        <row r="30">
          <cell r="A30" t="str">
            <v>PSTN</v>
          </cell>
          <cell r="B30">
            <v>23872</v>
          </cell>
          <cell r="C30">
            <v>20294</v>
          </cell>
          <cell r="D30">
            <v>17049</v>
          </cell>
          <cell r="E30">
            <v>14776</v>
          </cell>
          <cell r="F30">
            <v>13213</v>
          </cell>
          <cell r="G30">
            <v>12236</v>
          </cell>
          <cell r="H30">
            <v>11525</v>
          </cell>
          <cell r="I30">
            <v>11015</v>
          </cell>
        </row>
        <row r="31">
          <cell r="A31" t="str">
            <v>ISDN</v>
          </cell>
          <cell r="B31">
            <v>4508</v>
          </cell>
          <cell r="C31">
            <v>5073</v>
          </cell>
          <cell r="D31">
            <v>4582</v>
          </cell>
          <cell r="E31">
            <v>3716</v>
          </cell>
          <cell r="F31">
            <v>3328</v>
          </cell>
          <cell r="G31">
            <v>3187</v>
          </cell>
          <cell r="H31">
            <v>3053</v>
          </cell>
          <cell r="I31">
            <v>2918</v>
          </cell>
        </row>
        <row r="32">
          <cell r="A32" t="str">
            <v>Other</v>
          </cell>
          <cell r="B32">
            <v>584</v>
          </cell>
          <cell r="C32">
            <v>471</v>
          </cell>
          <cell r="D32">
            <v>403</v>
          </cell>
          <cell r="E32">
            <v>393</v>
          </cell>
          <cell r="F32">
            <v>373</v>
          </cell>
          <cell r="G32">
            <v>359</v>
          </cell>
          <cell r="H32">
            <v>349</v>
          </cell>
          <cell r="I32">
            <v>338</v>
          </cell>
        </row>
        <row r="33">
          <cell r="A33" t="str">
            <v>Total call revenue and subscriptions</v>
          </cell>
          <cell r="B33">
            <v>28964</v>
          </cell>
          <cell r="C33">
            <v>25838</v>
          </cell>
          <cell r="D33">
            <v>22034</v>
          </cell>
          <cell r="E33">
            <v>18885</v>
          </cell>
          <cell r="F33">
            <v>16914</v>
          </cell>
          <cell r="G33">
            <v>15782</v>
          </cell>
          <cell r="H33">
            <v>14927</v>
          </cell>
          <cell r="I33">
            <v>14271</v>
          </cell>
        </row>
        <row r="34">
          <cell r="A34" t="str">
            <v>% growth</v>
          </cell>
          <cell r="C34">
            <v>-0.10792708189476596</v>
          </cell>
          <cell r="D34">
            <v>-0.14722501741620864</v>
          </cell>
          <cell r="E34">
            <v>-0.14291549423618044</v>
          </cell>
          <cell r="F34">
            <v>-0.1043685464654488</v>
          </cell>
          <cell r="G34">
            <v>-6.6926806196050626E-2</v>
          </cell>
          <cell r="H34">
            <v>-5.4175643137751917E-2</v>
          </cell>
          <cell r="I34">
            <v>-4.3947209754136796E-2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ář jm. sez. Přípravy"/>
      <sheetName val="Krycí list"/>
      <sheetName val="Sumár jm. sez. Prípravy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FFECTIF"/>
      <sheetName val="H-supplementaires"/>
      <sheetName val="H-STR_CONJ."/>
      <sheetName val="TAUX HS"/>
      <sheetName val="H-supplementaires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MODEL&gt;&gt;&gt;"/>
      <sheetName val="Parameters"/>
      <sheetName val="Chart"/>
      <sheetName val="Summary"/>
      <sheetName val="Shareholders"/>
      <sheetName val="Val ET 03"/>
      <sheetName val="Val ET 04"/>
      <sheetName val="Val CTc cons 03-08"/>
      <sheetName val="Val CTc cons 04-08"/>
      <sheetName val="Val CTc cons 05-08"/>
      <sheetName val="Val CTc stand 04-08"/>
      <sheetName val="Val CTc stand 05-08"/>
      <sheetName val="CTc 2003 monthly"/>
      <sheetName val="CTcAfter"/>
      <sheetName val="CTcCons"/>
      <sheetName val="CTcCons adj 4 rating"/>
      <sheetName val="ETafter"/>
      <sheetName val="OUTPUT 1"/>
      <sheetName val="OUTPUT 2"/>
      <sheetName val="OUTPUT 3"/>
      <sheetName val="OUTPUT 4"/>
      <sheetName val="CESKY TELECOM&gt;&gt;&gt;"/>
      <sheetName val="CTc"/>
      <sheetName val="CTc stress"/>
      <sheetName val="CTc 2003 stress"/>
      <sheetName val="CTc cons. pre-acq."/>
      <sheetName val="EUROTEL&gt;&gt;&gt;"/>
      <sheetName val="ET"/>
      <sheetName val="ET100"/>
      <sheetName val="ET51"/>
      <sheetName val="ETADJ100"/>
      <sheetName val="ET100c"/>
      <sheetName val="ETc"/>
      <sheetName val="ET100 stress"/>
      <sheetName val="ET51 stress"/>
      <sheetName val="ETloan51"/>
      <sheetName val="ETADJ51"/>
      <sheetName val="ETloan100"/>
      <sheetName val="ET100 - old"/>
      <sheetName val="OPERATIONS&gt;&gt;&gt;"/>
      <sheetName val="Dividend"/>
      <sheetName val="Loans"/>
      <sheetName val="Acquisition"/>
      <sheetName val="BBloan"/>
      <sheetName val="BBoutcome"/>
      <sheetName val="BuyBack"/>
      <sheetName val="Subsidiaries"/>
      <sheetName val="SubsidiariesDiv"/>
      <sheetName val="SubsidiariesDiff"/>
      <sheetName val="SubsidiariesCTc"/>
      <sheetName val="SubsidiariesOut"/>
      <sheetName val="Goodwill"/>
      <sheetName val="AUX&gt;&gt;&gt;"/>
      <sheetName val="Template"/>
      <sheetName val="Calcul"/>
      <sheetName val="Val"/>
      <sheetName val="OutPut CTc"/>
      <sheetName val="OutPut CTc stand"/>
      <sheetName val="OutPut ET"/>
      <sheetName val="OutPut"/>
      <sheetName val="RERICHA"/>
      <sheetName val="FARMA"/>
      <sheetName val="FARMAHUF"/>
      <sheetName val="CTc1"/>
      <sheetName val="CTc3"/>
      <sheetName val="CTc2"/>
      <sheetName val="Val CTc cons 03"/>
      <sheetName val="Val CTc cons 04"/>
      <sheetName val="Val CTc cons 05"/>
      <sheetName val="Val CTc stand 04"/>
      <sheetName val="Val CTc stand 05"/>
      <sheetName val="CTcRE"/>
      <sheetName val="CTcDAM"/>
      <sheetName val="Op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>
        <row r="2">
          <cell r="N2" t="str">
            <v>No</v>
          </cell>
        </row>
        <row r="3">
          <cell r="N3" t="str">
            <v>No</v>
          </cell>
        </row>
      </sheetData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 FILM"/>
      <sheetName val="Etat de parc"/>
      <sheetName val="Reprise"/>
      <sheetName val="Arrêts CV T1"/>
      <sheetName val="synthése 312"/>
      <sheetName val="Feuil3"/>
      <sheetName val="synthése123"/>
      <sheetName val="perf ope"/>
      <sheetName val="KPI"/>
      <sheetName val="Graphique2"/>
      <sheetName val="Données"/>
      <sheetName val="indicateur prime"/>
      <sheetName val="Feuil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E2" t="str">
            <v>Liste Résponsable poste</v>
          </cell>
          <cell r="G2" t="str">
            <v>Couches</v>
          </cell>
        </row>
        <row r="4">
          <cell r="C4" t="str">
            <v>ARAFAH</v>
          </cell>
          <cell r="E4" t="str">
            <v>AIT BRAHIM</v>
          </cell>
          <cell r="G4" t="str">
            <v>HC1/A</v>
          </cell>
          <cell r="I4" t="str">
            <v xml:space="preserve">AD </v>
          </cell>
        </row>
        <row r="5">
          <cell r="C5" t="str">
            <v>BENSLIM</v>
          </cell>
          <cell r="E5" t="str">
            <v xml:space="preserve">BAKRAOUI </v>
          </cell>
          <cell r="G5" t="str">
            <v>HC1/CT15</v>
          </cell>
          <cell r="I5" t="str">
            <v>BG Lavé</v>
          </cell>
        </row>
        <row r="6">
          <cell r="C6" t="str">
            <v>CHAMBARI</v>
          </cell>
          <cell r="E6" t="str">
            <v>BENAISS</v>
          </cell>
          <cell r="G6" t="str">
            <v>HC1/13</v>
          </cell>
          <cell r="I6" t="str">
            <v>C3 GB</v>
          </cell>
        </row>
        <row r="7">
          <cell r="C7" t="str">
            <v>ECHAMEKH</v>
          </cell>
          <cell r="E7" t="str">
            <v>BOUMASSI</v>
          </cell>
          <cell r="G7" t="str">
            <v>HC2/A</v>
          </cell>
          <cell r="I7" t="str">
            <v>Export</v>
          </cell>
        </row>
        <row r="8">
          <cell r="C8" t="str">
            <v>EZZAHRAOUI</v>
          </cell>
          <cell r="E8" t="str">
            <v>BOURROUS</v>
          </cell>
          <cell r="G8" t="str">
            <v>HC2/B</v>
          </cell>
          <cell r="I8" t="str">
            <v>Profile BG</v>
          </cell>
        </row>
        <row r="9">
          <cell r="C9" t="str">
            <v>SAMOUD</v>
          </cell>
          <cell r="E9" t="str">
            <v>CHAHDI</v>
          </cell>
          <cell r="G9" t="str">
            <v>HC2/CT15</v>
          </cell>
          <cell r="I9" t="str">
            <v>ST Calciné</v>
          </cell>
        </row>
        <row r="10">
          <cell r="C10" t="str">
            <v>SBAAI</v>
          </cell>
          <cell r="E10" t="str">
            <v>CHANTIER</v>
          </cell>
          <cell r="G10" t="str">
            <v>HC2/CT13</v>
          </cell>
        </row>
        <row r="11">
          <cell r="C11" t="str">
            <v>SBAAI</v>
          </cell>
          <cell r="E11" t="str">
            <v xml:space="preserve">CHARKAOUI </v>
          </cell>
          <cell r="G11" t="str">
            <v>HC3/A</v>
          </cell>
        </row>
        <row r="12">
          <cell r="C12" t="str">
            <v>TALHI</v>
          </cell>
          <cell r="E12" t="str">
            <v xml:space="preserve">DOUBAJ </v>
          </cell>
          <cell r="G12" t="str">
            <v>HC3/B</v>
          </cell>
        </row>
        <row r="13">
          <cell r="C13" t="str">
            <v>ZEROUAL</v>
          </cell>
          <cell r="E13" t="str">
            <v xml:space="preserve">EL BAROUDI </v>
          </cell>
          <cell r="G13" t="str">
            <v>HC3/CT15</v>
          </cell>
        </row>
        <row r="14">
          <cell r="E14" t="str">
            <v>EL BOUZIDI</v>
          </cell>
          <cell r="G14" t="str">
            <v>HC3/CT13</v>
          </cell>
        </row>
        <row r="15">
          <cell r="E15" t="str">
            <v xml:space="preserve">EL FARH </v>
          </cell>
          <cell r="G15" t="str">
            <v>HC4/A</v>
          </cell>
        </row>
        <row r="16">
          <cell r="E16" t="str">
            <v>ELGAREH</v>
          </cell>
          <cell r="G16" t="str">
            <v>HC4/B</v>
          </cell>
        </row>
        <row r="17">
          <cell r="E17" t="str">
            <v>ELGHAZI</v>
          </cell>
          <cell r="G17" t="str">
            <v>HC4/CT15</v>
          </cell>
        </row>
        <row r="18">
          <cell r="E18" t="str">
            <v xml:space="preserve">ENNIRRI </v>
          </cell>
          <cell r="G18" t="str">
            <v>HC4/CT13</v>
          </cell>
        </row>
        <row r="19">
          <cell r="E19" t="str">
            <v xml:space="preserve">IDRISSI </v>
          </cell>
          <cell r="G19" t="str">
            <v>Direct</v>
          </cell>
        </row>
        <row r="20">
          <cell r="E20" t="str">
            <v>NKIRA</v>
          </cell>
          <cell r="G20" t="str">
            <v>HC1/Sautrelle</v>
          </cell>
        </row>
        <row r="21">
          <cell r="E21" t="str">
            <v xml:space="preserve">TALEB </v>
          </cell>
        </row>
        <row r="22">
          <cell r="E22" t="str">
            <v xml:space="preserve">ZAOUIA </v>
          </cell>
        </row>
        <row r="23">
          <cell r="E23" t="str">
            <v xml:space="preserve">ZRAIDI 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F RTTE 6"/>
      <sheetName val="BF RTTE 8"/>
      <sheetName val="BF RTTE 9"/>
      <sheetName val="BF Y2"/>
      <sheetName val="BF Y2+Y1"/>
      <sheetName val="BF R 5+7"/>
      <sheetName val="BF MR g22"/>
      <sheetName val="BF MR g24"/>
      <sheetName val="MR g29"/>
      <sheetName val="BF T GARAGE"/>
      <sheetName val="BF MM"/>
      <sheetName val="BF ME"/>
      <sheetName val="BF SCES PRES"/>
      <sheetName val="BF SCES GNRX"/>
      <sheetName val="GLOBAL DEG.EY"/>
      <sheetName val="Synthése.BF EY"/>
      <sheetName val="Etat.R6 (2)"/>
      <sheetName val="Etat.R8 (2)"/>
      <sheetName val="Etat.R9 (2)"/>
      <sheetName val="Etat.Y2 (2)"/>
      <sheetName val="Et.Y1+Y2 (2)"/>
      <sheetName val="Etat.DEG.EY (2)"/>
      <sheetName val="Etat.Sces.EY (2)"/>
      <sheetName val="BAREME ACX"/>
      <sheetName val="BAREME GARAGE"/>
      <sheetName val="BAREME ENGINS"/>
      <sheetName val="BAREME ME"/>
      <sheetName val="BAREME L-D-C"/>
      <sheetName val="BAREME L-D-C2"/>
      <sheetName val="doc R5 et R6"/>
      <sheetName val="doc R7"/>
      <sheetName val="doc R8"/>
      <sheetName val="doc R9"/>
      <sheetName val="doc Y 2 "/>
      <sheetName val="doc EY"/>
      <sheetName val="MARCH."/>
      <sheetName val="Qté Prev"/>
      <sheetName val="Qté Prev (2)"/>
      <sheetName val="Actif"/>
      <sheetName val="Balance"/>
      <sheetName val="Feuil9"/>
      <sheetName val="synth des coûts TM&amp;DEP comprise"/>
      <sheetName val="31.12.05"/>
      <sheetName val="31.10.05"/>
      <sheetName val="Calcul"/>
    </sheetNames>
    <sheetDataSet>
      <sheetData sheetId="0">
        <row r="1">
          <cell r="BL1" t="str">
            <v>-  1/32 -</v>
          </cell>
        </row>
      </sheetData>
      <sheetData sheetId="1" refreshError="1">
        <row r="1">
          <cell r="BL1" t="str">
            <v>-  1/32 -</v>
          </cell>
          <cell r="CC1" t="str">
            <v>-  5/32 -</v>
          </cell>
          <cell r="CT1" t="str">
            <v>-  9/32 -</v>
          </cell>
          <cell r="DH1" t="str">
            <v>-  13/32 -</v>
          </cell>
          <cell r="DV1" t="str">
            <v>-  17/32 -</v>
          </cell>
          <cell r="EM1" t="str">
            <v>-  21/32 -</v>
          </cell>
          <cell r="FA1" t="str">
            <v>-  25/32 -</v>
          </cell>
          <cell r="FR1" t="str">
            <v>-29/32-</v>
          </cell>
        </row>
        <row r="2">
          <cell r="AZ2" t="str">
            <v xml:space="preserve">BUDGET DE FONCTIONNEMENT ( MACHINES AM 50 ) &lt; Recette 8 &gt; </v>
          </cell>
          <cell r="BN2" t="str">
            <v xml:space="preserve">BUDGET DE FONCTIONNEMENT ( MACHINES AM 50 ) &lt; Recette 8 &gt; </v>
          </cell>
          <cell r="CE2" t="str">
            <v xml:space="preserve">BUDGET DE FONCTIONNEMENT ( TAILLES ) &lt; Recette 8 &gt; </v>
          </cell>
          <cell r="CV2" t="str">
            <v xml:space="preserve">BUDGET DE FONCTIONNEMENT ( MACHINES AM 50 ) &lt; Recette 8 &gt; </v>
          </cell>
          <cell r="DJ2" t="str">
            <v xml:space="preserve">BUDGET DE FONCTIONNEMENT ( FRAIS COMMUNS FOND ) &lt; Recette 8 &gt; </v>
          </cell>
          <cell r="DX2" t="str">
            <v xml:space="preserve">BUDGET DE FONCTIONNEMENT ( MACHINES AM 50 ) &lt; Recette 8 &gt; </v>
          </cell>
          <cell r="EO2" t="str">
            <v xml:space="preserve">BUDGET DE FONCTIONNEMENT ( FRAIS COMMUNS JOUR ) &lt; Recette 8 &gt; </v>
          </cell>
          <cell r="FC2" t="str">
            <v xml:space="preserve">BUDGET DE FONCTIONNEMENT ( MACHINES AM 50 ) &lt; Recette 8 &gt; </v>
          </cell>
        </row>
        <row r="3">
          <cell r="AZ3" t="str">
            <v xml:space="preserve"> PREVU 2003 / Réalisé Fin Décembre 2002</v>
          </cell>
          <cell r="BN3" t="str">
            <v xml:space="preserve"> PREVU 2003 / Réalisé Fin Décembre 2002</v>
          </cell>
          <cell r="CE3" t="str">
            <v xml:space="preserve"> PREVU 2003 / Réalisé Fin Décembre 2002</v>
          </cell>
          <cell r="CV3" t="str">
            <v xml:space="preserve"> PREVU 2003 / Réalisé Fin Décembre 2002</v>
          </cell>
          <cell r="DJ3" t="str">
            <v xml:space="preserve"> PREVU 2003 / Réalisé Fin Décembre 2002</v>
          </cell>
          <cell r="DX3" t="str">
            <v xml:space="preserve"> PREVU 2003 / Réalisé Fin Décembre 2002</v>
          </cell>
          <cell r="EO3" t="str">
            <v xml:space="preserve"> PREVU 2003 / Réalisé Fin Décembre 2002</v>
          </cell>
          <cell r="FC3" t="str">
            <v xml:space="preserve"> PREVU 2003 / Réalisé Fin Décembre 2002</v>
          </cell>
        </row>
        <row r="4">
          <cell r="AZ4" t="str">
            <v>S.A.</v>
          </cell>
          <cell r="BA4" t="str">
            <v>821 - F</v>
          </cell>
          <cell r="BD4" t="str">
            <v>822 - A</v>
          </cell>
          <cell r="BG4" t="str">
            <v>823 - I</v>
          </cell>
          <cell r="BJ4" t="str">
            <v>824 - M</v>
          </cell>
          <cell r="BN4" t="str">
            <v>S.A.</v>
          </cell>
          <cell r="BO4" t="str">
            <v>825 - V</v>
          </cell>
          <cell r="BR4" t="str">
            <v>827 - D</v>
          </cell>
          <cell r="BU4" t="str">
            <v>828 - C</v>
          </cell>
          <cell r="BX4">
            <v>829</v>
          </cell>
          <cell r="CA4" t="str">
            <v>TOT AM50 R8</v>
          </cell>
          <cell r="CE4" t="str">
            <v>S.A.</v>
          </cell>
          <cell r="CF4" t="str">
            <v>840 - J</v>
          </cell>
          <cell r="CI4" t="str">
            <v>841 - L</v>
          </cell>
          <cell r="CL4" t="str">
            <v>842 - I</v>
          </cell>
          <cell r="CO4">
            <v>849</v>
          </cell>
          <cell r="CR4" t="str">
            <v>T. TAILLES</v>
          </cell>
          <cell r="CV4" t="str">
            <v>S.A.</v>
          </cell>
          <cell r="CW4">
            <v>860</v>
          </cell>
          <cell r="CZ4">
            <v>861</v>
          </cell>
          <cell r="DC4">
            <v>969</v>
          </cell>
          <cell r="DF4" t="str">
            <v>T. EXHAURE</v>
          </cell>
          <cell r="DJ4" t="str">
            <v>S.A.</v>
          </cell>
          <cell r="DK4">
            <v>871</v>
          </cell>
          <cell r="DN4">
            <v>873</v>
          </cell>
          <cell r="DQ4">
            <v>874</v>
          </cell>
          <cell r="DT4">
            <v>875</v>
          </cell>
          <cell r="DX4" t="str">
            <v>S.A.</v>
          </cell>
          <cell r="DY4">
            <v>876</v>
          </cell>
          <cell r="EB4">
            <v>877</v>
          </cell>
          <cell r="EE4">
            <v>878</v>
          </cell>
          <cell r="EH4">
            <v>879</v>
          </cell>
          <cell r="EK4" t="str">
            <v>FCF R8</v>
          </cell>
          <cell r="EO4" t="str">
            <v>S.A.</v>
          </cell>
          <cell r="EP4">
            <v>882</v>
          </cell>
          <cell r="ES4">
            <v>883</v>
          </cell>
          <cell r="EV4">
            <v>884</v>
          </cell>
          <cell r="EY4">
            <v>885</v>
          </cell>
          <cell r="FC4" t="str">
            <v>S.A.</v>
          </cell>
          <cell r="FD4">
            <v>886</v>
          </cell>
          <cell r="FG4">
            <v>887</v>
          </cell>
          <cell r="FJ4">
            <v>888</v>
          </cell>
          <cell r="FM4">
            <v>889</v>
          </cell>
          <cell r="FQ4" t="str">
            <v>F.G.J R8</v>
          </cell>
        </row>
        <row r="5">
          <cell r="BA5" t="str">
            <v>R</v>
          </cell>
          <cell r="BB5" t="str">
            <v>P</v>
          </cell>
          <cell r="BC5" t="str">
            <v>P/R</v>
          </cell>
          <cell r="BD5" t="str">
            <v>R</v>
          </cell>
          <cell r="BE5" t="str">
            <v>P</v>
          </cell>
          <cell r="BF5" t="str">
            <v>P/R</v>
          </cell>
          <cell r="BG5" t="str">
            <v>R</v>
          </cell>
          <cell r="BH5" t="str">
            <v>P</v>
          </cell>
          <cell r="BI5" t="str">
            <v>P/R</v>
          </cell>
          <cell r="BJ5" t="str">
            <v>R</v>
          </cell>
          <cell r="BK5" t="str">
            <v>P</v>
          </cell>
          <cell r="BL5" t="str">
            <v>P/R</v>
          </cell>
          <cell r="BO5" t="str">
            <v>R</v>
          </cell>
          <cell r="BP5" t="str">
            <v>P</v>
          </cell>
          <cell r="BQ5" t="str">
            <v>P/R</v>
          </cell>
          <cell r="BR5" t="str">
            <v>R</v>
          </cell>
          <cell r="BS5" t="str">
            <v>P</v>
          </cell>
          <cell r="BT5" t="str">
            <v>P/R</v>
          </cell>
          <cell r="BU5" t="str">
            <v>R</v>
          </cell>
          <cell r="BV5" t="str">
            <v>P</v>
          </cell>
          <cell r="BW5" t="str">
            <v>P/R</v>
          </cell>
          <cell r="BX5" t="str">
            <v>R</v>
          </cell>
          <cell r="BY5" t="str">
            <v>P</v>
          </cell>
          <cell r="BZ5" t="str">
            <v>P/R</v>
          </cell>
          <cell r="CA5" t="str">
            <v>R</v>
          </cell>
          <cell r="CB5" t="str">
            <v>P</v>
          </cell>
          <cell r="CC5" t="str">
            <v>P/R</v>
          </cell>
          <cell r="CF5" t="str">
            <v>R</v>
          </cell>
          <cell r="CG5" t="str">
            <v>P</v>
          </cell>
          <cell r="CH5" t="str">
            <v>P/R</v>
          </cell>
          <cell r="CI5" t="str">
            <v>R</v>
          </cell>
          <cell r="CJ5" t="str">
            <v>P</v>
          </cell>
          <cell r="CK5" t="str">
            <v>P/R</v>
          </cell>
          <cell r="CL5" t="str">
            <v>R</v>
          </cell>
          <cell r="CM5" t="str">
            <v>P</v>
          </cell>
          <cell r="CN5" t="str">
            <v>P/R</v>
          </cell>
          <cell r="CO5" t="str">
            <v>R</v>
          </cell>
          <cell r="CP5" t="str">
            <v>P</v>
          </cell>
          <cell r="CQ5" t="str">
            <v>P/R</v>
          </cell>
          <cell r="CR5" t="str">
            <v>R</v>
          </cell>
          <cell r="CS5" t="str">
            <v>P</v>
          </cell>
          <cell r="CT5" t="str">
            <v>P/R</v>
          </cell>
          <cell r="CW5" t="str">
            <v>R</v>
          </cell>
          <cell r="CX5" t="str">
            <v>P</v>
          </cell>
          <cell r="CY5" t="str">
            <v>P/R</v>
          </cell>
          <cell r="CZ5" t="str">
            <v>R</v>
          </cell>
          <cell r="DA5" t="str">
            <v>P</v>
          </cell>
          <cell r="DB5" t="str">
            <v>P/R</v>
          </cell>
          <cell r="DC5" t="str">
            <v>R</v>
          </cell>
          <cell r="DD5" t="str">
            <v>P</v>
          </cell>
          <cell r="DE5" t="str">
            <v>P/R</v>
          </cell>
          <cell r="DF5" t="str">
            <v>R</v>
          </cell>
          <cell r="DG5" t="str">
            <v>P</v>
          </cell>
          <cell r="DH5" t="str">
            <v>P/R</v>
          </cell>
          <cell r="DK5" t="str">
            <v>R</v>
          </cell>
          <cell r="DL5" t="str">
            <v>P</v>
          </cell>
          <cell r="DM5" t="str">
            <v>P/R</v>
          </cell>
          <cell r="DN5" t="str">
            <v>R</v>
          </cell>
          <cell r="DO5" t="str">
            <v>P</v>
          </cell>
          <cell r="DP5" t="str">
            <v>P/R</v>
          </cell>
          <cell r="DQ5" t="str">
            <v>R</v>
          </cell>
          <cell r="DR5" t="str">
            <v>P</v>
          </cell>
          <cell r="DS5" t="str">
            <v>P/R</v>
          </cell>
          <cell r="DT5" t="str">
            <v>R</v>
          </cell>
          <cell r="DU5" t="str">
            <v>P</v>
          </cell>
          <cell r="DV5" t="str">
            <v>P/R</v>
          </cell>
          <cell r="DY5" t="str">
            <v>R</v>
          </cell>
          <cell r="DZ5" t="str">
            <v>P</v>
          </cell>
          <cell r="EA5" t="str">
            <v>P/R</v>
          </cell>
          <cell r="EB5" t="str">
            <v>R</v>
          </cell>
          <cell r="EC5" t="str">
            <v>P</v>
          </cell>
          <cell r="ED5" t="str">
            <v>P/R</v>
          </cell>
          <cell r="EE5" t="str">
            <v>R</v>
          </cell>
          <cell r="EF5" t="str">
            <v>P</v>
          </cell>
          <cell r="EG5" t="str">
            <v>P/R</v>
          </cell>
          <cell r="EH5" t="str">
            <v>R</v>
          </cell>
          <cell r="EI5" t="str">
            <v>P</v>
          </cell>
          <cell r="EJ5" t="str">
            <v>P/R</v>
          </cell>
          <cell r="EK5" t="str">
            <v>R</v>
          </cell>
          <cell r="EL5" t="str">
            <v>P</v>
          </cell>
          <cell r="EM5" t="str">
            <v>P/R</v>
          </cell>
          <cell r="EP5" t="str">
            <v>R</v>
          </cell>
          <cell r="EQ5" t="str">
            <v>P</v>
          </cell>
          <cell r="ER5" t="str">
            <v>P/R</v>
          </cell>
          <cell r="ES5" t="str">
            <v>R</v>
          </cell>
          <cell r="ET5" t="str">
            <v>P</v>
          </cell>
          <cell r="EU5" t="str">
            <v>P/R</v>
          </cell>
          <cell r="EV5" t="str">
            <v>R</v>
          </cell>
          <cell r="EW5" t="str">
            <v>P</v>
          </cell>
          <cell r="EX5" t="str">
            <v>P/R</v>
          </cell>
          <cell r="EY5" t="str">
            <v>R</v>
          </cell>
          <cell r="EZ5" t="str">
            <v>P</v>
          </cell>
          <cell r="FA5" t="str">
            <v>P/R</v>
          </cell>
          <cell r="FD5" t="str">
            <v>R</v>
          </cell>
          <cell r="FE5" t="str">
            <v>P</v>
          </cell>
          <cell r="FF5" t="str">
            <v>P/R</v>
          </cell>
          <cell r="FG5" t="str">
            <v>R</v>
          </cell>
          <cell r="FH5" t="str">
            <v>P</v>
          </cell>
          <cell r="FI5" t="str">
            <v>P/R</v>
          </cell>
          <cell r="FJ5" t="str">
            <v>R</v>
          </cell>
          <cell r="FK5" t="str">
            <v>P</v>
          </cell>
          <cell r="FL5" t="str">
            <v>P/R</v>
          </cell>
          <cell r="FM5" t="str">
            <v>R</v>
          </cell>
          <cell r="FN5" t="str">
            <v>P</v>
          </cell>
          <cell r="FO5" t="str">
            <v>P/R</v>
          </cell>
          <cell r="FP5" t="str">
            <v>R</v>
          </cell>
          <cell r="FQ5" t="str">
            <v>P</v>
          </cell>
          <cell r="FR5" t="str">
            <v>P/R</v>
          </cell>
        </row>
        <row r="6">
          <cell r="AZ6" t="str">
            <v>U.O</v>
          </cell>
          <cell r="BA6">
            <v>0</v>
          </cell>
          <cell r="BB6">
            <v>0</v>
          </cell>
          <cell r="BC6" t="e">
            <v>#DIV/0!</v>
          </cell>
          <cell r="BD6">
            <v>33499</v>
          </cell>
          <cell r="BE6">
            <v>33333.333333333336</v>
          </cell>
          <cell r="BF6">
            <v>99.50545787436441</v>
          </cell>
          <cell r="BG6">
            <v>33723</v>
          </cell>
          <cell r="BH6">
            <v>0</v>
          </cell>
          <cell r="BI6">
            <v>0</v>
          </cell>
          <cell r="BJ6">
            <v>27368</v>
          </cell>
          <cell r="BK6">
            <v>0</v>
          </cell>
          <cell r="BL6">
            <v>0</v>
          </cell>
          <cell r="BN6" t="str">
            <v>U.O</v>
          </cell>
          <cell r="BO6">
            <v>35033</v>
          </cell>
          <cell r="BP6">
            <v>33333.333333333336</v>
          </cell>
          <cell r="BQ6">
            <v>95.148383904699386</v>
          </cell>
          <cell r="BR6">
            <v>32320</v>
          </cell>
          <cell r="BS6">
            <v>0</v>
          </cell>
          <cell r="BT6">
            <v>0</v>
          </cell>
          <cell r="BU6">
            <v>42008</v>
          </cell>
          <cell r="BV6">
            <v>33333.333333333336</v>
          </cell>
          <cell r="BW6">
            <v>79.349965086015374</v>
          </cell>
          <cell r="BX6">
            <v>203951</v>
          </cell>
          <cell r="BY6">
            <v>100000</v>
          </cell>
          <cell r="BZ6">
            <v>49.031384989531801</v>
          </cell>
          <cell r="CA6">
            <v>203951</v>
          </cell>
          <cell r="CB6">
            <v>100000</v>
          </cell>
          <cell r="CC6">
            <v>49.031384989531801</v>
          </cell>
          <cell r="CE6" t="str">
            <v>U.O</v>
          </cell>
          <cell r="CF6">
            <v>92763</v>
          </cell>
          <cell r="CG6">
            <v>0</v>
          </cell>
          <cell r="CH6">
            <v>0</v>
          </cell>
          <cell r="CI6">
            <v>134055</v>
          </cell>
          <cell r="CJ6">
            <v>250000</v>
          </cell>
          <cell r="CK6">
            <v>186.49061952183806</v>
          </cell>
          <cell r="CL6">
            <v>0</v>
          </cell>
          <cell r="CM6">
            <v>0</v>
          </cell>
          <cell r="CN6" t="e">
            <v>#DIV/0!</v>
          </cell>
          <cell r="CO6">
            <v>226818</v>
          </cell>
          <cell r="CP6">
            <v>250000</v>
          </cell>
          <cell r="CQ6">
            <v>110.22052923489318</v>
          </cell>
          <cell r="CR6">
            <v>226818</v>
          </cell>
          <cell r="CS6">
            <v>250000</v>
          </cell>
          <cell r="CT6">
            <v>110.22052923489318</v>
          </cell>
          <cell r="CV6" t="str">
            <v>U.O</v>
          </cell>
          <cell r="CW6">
            <v>430769</v>
          </cell>
          <cell r="CX6">
            <v>350000</v>
          </cell>
          <cell r="CY6">
            <v>81.250043526809037</v>
          </cell>
          <cell r="CZ6">
            <v>430769</v>
          </cell>
          <cell r="DA6">
            <v>350000</v>
          </cell>
          <cell r="DB6">
            <v>81.250043526809037</v>
          </cell>
          <cell r="DC6">
            <v>430769</v>
          </cell>
          <cell r="DD6">
            <v>350000</v>
          </cell>
          <cell r="DE6">
            <v>81.250043526809037</v>
          </cell>
          <cell r="DF6">
            <v>430769</v>
          </cell>
          <cell r="DG6">
            <v>350000</v>
          </cell>
          <cell r="DH6">
            <v>81.250043526809037</v>
          </cell>
          <cell r="DJ6" t="str">
            <v>U.O</v>
          </cell>
          <cell r="DK6">
            <v>1367840</v>
          </cell>
          <cell r="DL6">
            <v>2800000</v>
          </cell>
          <cell r="DM6">
            <v>204.70230436308339</v>
          </cell>
          <cell r="DN6">
            <v>430769</v>
          </cell>
          <cell r="DO6">
            <v>350000</v>
          </cell>
          <cell r="DP6">
            <v>81.250043526809037</v>
          </cell>
          <cell r="DQ6">
            <v>430769</v>
          </cell>
          <cell r="DR6">
            <v>350000</v>
          </cell>
          <cell r="DS6">
            <v>81.250043526809037</v>
          </cell>
          <cell r="DT6">
            <v>430769</v>
          </cell>
          <cell r="DU6">
            <v>350000</v>
          </cell>
          <cell r="DV6">
            <v>81.250043526809037</v>
          </cell>
          <cell r="DX6" t="str">
            <v>U.O</v>
          </cell>
          <cell r="DY6">
            <v>430769</v>
          </cell>
          <cell r="DZ6">
            <v>350000</v>
          </cell>
          <cell r="EA6">
            <v>81.250043526809037</v>
          </cell>
          <cell r="EB6">
            <v>430769</v>
          </cell>
          <cell r="EC6">
            <v>350000</v>
          </cell>
          <cell r="ED6">
            <v>81.250043526809037</v>
          </cell>
          <cell r="EE6">
            <v>430769</v>
          </cell>
          <cell r="EF6">
            <v>350000</v>
          </cell>
          <cell r="EG6">
            <v>81.250043526809037</v>
          </cell>
          <cell r="EH6">
            <v>430769</v>
          </cell>
          <cell r="EI6">
            <v>350000</v>
          </cell>
          <cell r="EJ6">
            <v>81.250043526809037</v>
          </cell>
          <cell r="EK6">
            <v>430769</v>
          </cell>
          <cell r="EL6">
            <v>350000</v>
          </cell>
          <cell r="EM6">
            <v>81.250043526809037</v>
          </cell>
          <cell r="EO6" t="str">
            <v>U.O</v>
          </cell>
          <cell r="EP6">
            <v>430769</v>
          </cell>
          <cell r="EQ6">
            <v>350000</v>
          </cell>
          <cell r="ER6">
            <v>81.250043526809037</v>
          </cell>
          <cell r="ES6">
            <v>430769</v>
          </cell>
          <cell r="ET6">
            <v>350000</v>
          </cell>
          <cell r="EU6">
            <v>81.250043526809037</v>
          </cell>
          <cell r="EV6">
            <v>430769</v>
          </cell>
          <cell r="EW6">
            <v>350000</v>
          </cell>
          <cell r="EX6">
            <v>81.250043526809037</v>
          </cell>
          <cell r="EY6">
            <v>430769</v>
          </cell>
          <cell r="EZ6">
            <v>350000</v>
          </cell>
          <cell r="FA6">
            <v>81.250043526809037</v>
          </cell>
          <cell r="FC6" t="str">
            <v>U.O</v>
          </cell>
          <cell r="FD6">
            <v>430769</v>
          </cell>
          <cell r="FE6">
            <v>350000</v>
          </cell>
          <cell r="FF6">
            <v>81.250043526809037</v>
          </cell>
          <cell r="FG6">
            <v>430769</v>
          </cell>
          <cell r="FH6">
            <v>350000</v>
          </cell>
          <cell r="FI6">
            <v>81.250043526809037</v>
          </cell>
          <cell r="FJ6">
            <v>430769</v>
          </cell>
          <cell r="FK6">
            <v>350000</v>
          </cell>
          <cell r="FL6">
            <v>81.250043526809037</v>
          </cell>
          <cell r="FM6">
            <v>430769</v>
          </cell>
          <cell r="FN6">
            <v>350000</v>
          </cell>
          <cell r="FO6">
            <v>81.250043526809037</v>
          </cell>
          <cell r="FP6">
            <v>430769</v>
          </cell>
          <cell r="FQ6">
            <v>350000</v>
          </cell>
          <cell r="FR6">
            <v>81.250043526809037</v>
          </cell>
        </row>
        <row r="7">
          <cell r="AZ7" t="str">
            <v>010 TACHE</v>
          </cell>
          <cell r="BA7">
            <v>0</v>
          </cell>
          <cell r="BB7">
            <v>0</v>
          </cell>
          <cell r="BC7" t="e">
            <v>#DIV/0!</v>
          </cell>
          <cell r="BD7">
            <v>607286</v>
          </cell>
          <cell r="BE7">
            <v>334008</v>
          </cell>
          <cell r="BF7">
            <v>55.000115266941776</v>
          </cell>
          <cell r="BG7">
            <v>656117</v>
          </cell>
          <cell r="BH7">
            <v>360864</v>
          </cell>
          <cell r="BI7">
            <v>54.999946655855595</v>
          </cell>
          <cell r="BJ7">
            <v>596985</v>
          </cell>
          <cell r="BK7">
            <v>328344</v>
          </cell>
          <cell r="BL7">
            <v>55.000376893891811</v>
          </cell>
          <cell r="BN7" t="str">
            <v>010 TACHE</v>
          </cell>
          <cell r="BO7">
            <v>656256</v>
          </cell>
          <cell r="BP7">
            <v>360936</v>
          </cell>
          <cell r="BQ7">
            <v>54.99926857811586</v>
          </cell>
          <cell r="BR7">
            <v>518229</v>
          </cell>
          <cell r="BS7">
            <v>285024</v>
          </cell>
          <cell r="BT7">
            <v>54.999623718471945</v>
          </cell>
          <cell r="BU7">
            <v>694240</v>
          </cell>
          <cell r="BV7">
            <v>381828</v>
          </cell>
          <cell r="BW7">
            <v>54.999423830375662</v>
          </cell>
          <cell r="BX7">
            <v>0</v>
          </cell>
          <cell r="BY7">
            <v>0</v>
          </cell>
          <cell r="BZ7" t="e">
            <v>#DIV/0!</v>
          </cell>
          <cell r="CA7">
            <v>3729113</v>
          </cell>
          <cell r="CB7">
            <v>2051004</v>
          </cell>
          <cell r="CC7">
            <v>54.99978144936879</v>
          </cell>
          <cell r="CE7" t="str">
            <v>010 TACHE</v>
          </cell>
          <cell r="CF7">
            <v>2585055</v>
          </cell>
          <cell r="CG7">
            <v>1731984</v>
          </cell>
          <cell r="CH7">
            <v>66.999889750895051</v>
          </cell>
          <cell r="CI7">
            <v>3474035</v>
          </cell>
          <cell r="CJ7">
            <v>2327604</v>
          </cell>
          <cell r="CK7">
            <v>67.000015831734572</v>
          </cell>
          <cell r="CL7">
            <v>0</v>
          </cell>
          <cell r="CM7">
            <v>0</v>
          </cell>
          <cell r="CN7" t="e">
            <v>#DIV/0!</v>
          </cell>
          <cell r="CO7">
            <v>0</v>
          </cell>
          <cell r="CP7">
            <v>0</v>
          </cell>
          <cell r="CQ7" t="e">
            <v>#DIV/0!</v>
          </cell>
          <cell r="CR7">
            <v>6059090</v>
          </cell>
          <cell r="CS7">
            <v>4059588</v>
          </cell>
          <cell r="CT7">
            <v>66.999962040504428</v>
          </cell>
          <cell r="CV7" t="str">
            <v>010 TACHE</v>
          </cell>
          <cell r="CW7">
            <v>66215</v>
          </cell>
          <cell r="CX7">
            <v>61584</v>
          </cell>
          <cell r="CY7">
            <v>93.006116438873363</v>
          </cell>
          <cell r="CZ7">
            <v>60850</v>
          </cell>
          <cell r="DA7">
            <v>56592</v>
          </cell>
          <cell r="DB7">
            <v>93.002465078060808</v>
          </cell>
          <cell r="DC7">
            <v>0</v>
          </cell>
          <cell r="DD7">
            <v>0</v>
          </cell>
          <cell r="DE7" t="e">
            <v>#DIV/0!</v>
          </cell>
          <cell r="DF7">
            <v>127065</v>
          </cell>
          <cell r="DG7">
            <v>118176</v>
          </cell>
          <cell r="DH7">
            <v>93.004367843229844</v>
          </cell>
          <cell r="DJ7" t="str">
            <v>010 TACHE</v>
          </cell>
          <cell r="DK7">
            <v>774561</v>
          </cell>
          <cell r="DL7">
            <v>720336</v>
          </cell>
          <cell r="DM7">
            <v>92.999260226115183</v>
          </cell>
          <cell r="DN7">
            <v>0</v>
          </cell>
          <cell r="DO7">
            <v>0</v>
          </cell>
          <cell r="DP7" t="e">
            <v>#DIV/0!</v>
          </cell>
          <cell r="DQ7">
            <v>0</v>
          </cell>
          <cell r="DR7">
            <v>0</v>
          </cell>
          <cell r="DS7" t="e">
            <v>#DIV/0!</v>
          </cell>
          <cell r="DT7">
            <v>0</v>
          </cell>
          <cell r="DU7">
            <v>0</v>
          </cell>
          <cell r="DV7" t="e">
            <v>#DIV/0!</v>
          </cell>
          <cell r="DX7" t="str">
            <v>010 TACHE</v>
          </cell>
          <cell r="DY7">
            <v>0</v>
          </cell>
          <cell r="DZ7">
            <v>0</v>
          </cell>
          <cell r="EA7" t="e">
            <v>#DIV/0!</v>
          </cell>
          <cell r="EB7">
            <v>0</v>
          </cell>
          <cell r="EC7">
            <v>0</v>
          </cell>
          <cell r="ED7" t="e">
            <v>#DIV/0!</v>
          </cell>
          <cell r="EE7">
            <v>0</v>
          </cell>
          <cell r="EF7">
            <v>0</v>
          </cell>
          <cell r="EG7" t="e">
            <v>#DIV/0!</v>
          </cell>
          <cell r="EH7">
            <v>588714</v>
          </cell>
          <cell r="EI7">
            <v>547500</v>
          </cell>
          <cell r="EJ7">
            <v>92.999317155698691</v>
          </cell>
          <cell r="EK7">
            <v>1363275</v>
          </cell>
          <cell r="EL7">
            <v>1267836</v>
          </cell>
          <cell r="EM7">
            <v>92.999284810474776</v>
          </cell>
          <cell r="EO7" t="str">
            <v>010 TACHE</v>
          </cell>
          <cell r="EP7">
            <v>8100</v>
          </cell>
          <cell r="EQ7">
            <v>7536</v>
          </cell>
          <cell r="ER7">
            <v>93.037037037037038</v>
          </cell>
          <cell r="ES7">
            <v>0</v>
          </cell>
          <cell r="ET7">
            <v>0</v>
          </cell>
          <cell r="EU7" t="e">
            <v>#DIV/0!</v>
          </cell>
          <cell r="EV7">
            <v>996</v>
          </cell>
          <cell r="EW7">
            <v>924</v>
          </cell>
          <cell r="EX7">
            <v>92.771084337349393</v>
          </cell>
          <cell r="EY7">
            <v>0</v>
          </cell>
          <cell r="EZ7">
            <v>0</v>
          </cell>
          <cell r="FA7" t="e">
            <v>#DIV/0!</v>
          </cell>
          <cell r="FC7" t="str">
            <v>010 TACHE</v>
          </cell>
          <cell r="FD7">
            <v>0</v>
          </cell>
          <cell r="FE7">
            <v>0</v>
          </cell>
          <cell r="FF7" t="e">
            <v>#DIV/0!</v>
          </cell>
          <cell r="FG7">
            <v>0</v>
          </cell>
          <cell r="FH7">
            <v>0</v>
          </cell>
          <cell r="FI7" t="e">
            <v>#DIV/0!</v>
          </cell>
          <cell r="FJ7">
            <v>4499</v>
          </cell>
          <cell r="FK7">
            <v>4188</v>
          </cell>
          <cell r="FL7">
            <v>93.087352745054446</v>
          </cell>
          <cell r="FM7">
            <v>22716</v>
          </cell>
          <cell r="FN7">
            <v>21120</v>
          </cell>
          <cell r="FO7">
            <v>92.974115161119926</v>
          </cell>
          <cell r="FP7">
            <v>36311</v>
          </cell>
          <cell r="FQ7">
            <v>33768</v>
          </cell>
          <cell r="FR7">
            <v>92.996612596733769</v>
          </cell>
        </row>
        <row r="8">
          <cell r="AZ8" t="str">
            <v>011 CHARGES S.</v>
          </cell>
          <cell r="BA8">
            <v>0</v>
          </cell>
          <cell r="BB8">
            <v>0</v>
          </cell>
          <cell r="BC8" t="e">
            <v>#DIV/0!</v>
          </cell>
          <cell r="BD8">
            <v>289870</v>
          </cell>
          <cell r="BE8">
            <v>159432</v>
          </cell>
          <cell r="BF8">
            <v>55.001207437816959</v>
          </cell>
          <cell r="BG8">
            <v>291532</v>
          </cell>
          <cell r="BH8">
            <v>160344</v>
          </cell>
          <cell r="BI8">
            <v>55.000480221725233</v>
          </cell>
          <cell r="BJ8">
            <v>275176</v>
          </cell>
          <cell r="BK8">
            <v>151344</v>
          </cell>
          <cell r="BL8">
            <v>54.998982469401405</v>
          </cell>
          <cell r="BN8" t="str">
            <v>011 CHARGES S.</v>
          </cell>
          <cell r="BO8">
            <v>320611</v>
          </cell>
          <cell r="BP8">
            <v>176340</v>
          </cell>
          <cell r="BQ8">
            <v>55.001232022606835</v>
          </cell>
          <cell r="BR8">
            <v>249933</v>
          </cell>
          <cell r="BS8">
            <v>137460</v>
          </cell>
          <cell r="BT8">
            <v>54.998739662229482</v>
          </cell>
          <cell r="BU8">
            <v>329315</v>
          </cell>
          <cell r="BV8">
            <v>181128</v>
          </cell>
          <cell r="BW8">
            <v>55.00144238798719</v>
          </cell>
          <cell r="BX8">
            <v>0</v>
          </cell>
          <cell r="BY8">
            <v>0</v>
          </cell>
          <cell r="BZ8" t="e">
            <v>#DIV/0!</v>
          </cell>
          <cell r="CA8">
            <v>1756437</v>
          </cell>
          <cell r="CB8">
            <v>966048</v>
          </cell>
          <cell r="CC8">
            <v>55.000435540813584</v>
          </cell>
          <cell r="CE8" t="str">
            <v>011 CHARGES S.</v>
          </cell>
          <cell r="CF8">
            <v>1010960</v>
          </cell>
          <cell r="CG8">
            <v>677340</v>
          </cell>
          <cell r="CH8">
            <v>66.99968346917781</v>
          </cell>
          <cell r="CI8">
            <v>1352705</v>
          </cell>
          <cell r="CJ8">
            <v>906312</v>
          </cell>
          <cell r="CK8">
            <v>66.999974125918072</v>
          </cell>
          <cell r="CL8">
            <v>0</v>
          </cell>
          <cell r="CM8">
            <v>0</v>
          </cell>
          <cell r="CN8" t="e">
            <v>#DIV/0!</v>
          </cell>
          <cell r="CO8">
            <v>0</v>
          </cell>
          <cell r="CP8">
            <v>0</v>
          </cell>
          <cell r="CQ8" t="e">
            <v>#DIV/0!</v>
          </cell>
          <cell r="CR8">
            <v>2363665</v>
          </cell>
          <cell r="CS8">
            <v>1583652</v>
          </cell>
          <cell r="CT8">
            <v>66.999849809511929</v>
          </cell>
          <cell r="CV8" t="str">
            <v>011 CHARGES S.</v>
          </cell>
          <cell r="CW8">
            <v>29987</v>
          </cell>
          <cell r="CX8">
            <v>27888</v>
          </cell>
          <cell r="CY8">
            <v>93.00030013005636</v>
          </cell>
          <cell r="CZ8">
            <v>48127</v>
          </cell>
          <cell r="DA8">
            <v>44760</v>
          </cell>
          <cell r="DB8">
            <v>93.003927109522721</v>
          </cell>
          <cell r="DC8">
            <v>0</v>
          </cell>
          <cell r="DD8">
            <v>0</v>
          </cell>
          <cell r="DE8" t="e">
            <v>#DIV/0!</v>
          </cell>
          <cell r="DF8">
            <v>78114</v>
          </cell>
          <cell r="DG8">
            <v>72648</v>
          </cell>
          <cell r="DH8">
            <v>93.002534756893766</v>
          </cell>
          <cell r="DJ8" t="str">
            <v>011 CHARGES S.</v>
          </cell>
          <cell r="DK8">
            <v>431081</v>
          </cell>
          <cell r="DL8">
            <v>400908</v>
          </cell>
          <cell r="DM8">
            <v>93.000619373157249</v>
          </cell>
          <cell r="DN8">
            <v>0</v>
          </cell>
          <cell r="DO8">
            <v>0</v>
          </cell>
          <cell r="DP8" t="e">
            <v>#DIV/0!</v>
          </cell>
          <cell r="DQ8">
            <v>0</v>
          </cell>
          <cell r="DR8">
            <v>0</v>
          </cell>
          <cell r="DS8" t="e">
            <v>#DIV/0!</v>
          </cell>
          <cell r="DT8">
            <v>0</v>
          </cell>
          <cell r="DU8">
            <v>0</v>
          </cell>
          <cell r="DV8" t="e">
            <v>#DIV/0!</v>
          </cell>
          <cell r="DX8" t="str">
            <v>011 CHARGES S.</v>
          </cell>
          <cell r="DY8">
            <v>0</v>
          </cell>
          <cell r="DZ8">
            <v>0</v>
          </cell>
          <cell r="EA8" t="e">
            <v>#DIV/0!</v>
          </cell>
          <cell r="EB8">
            <v>0</v>
          </cell>
          <cell r="EC8">
            <v>0</v>
          </cell>
          <cell r="ED8" t="e">
            <v>#DIV/0!</v>
          </cell>
          <cell r="EE8">
            <v>0</v>
          </cell>
          <cell r="EF8">
            <v>0</v>
          </cell>
          <cell r="EG8" t="e">
            <v>#DIV/0!</v>
          </cell>
          <cell r="EH8">
            <v>105759</v>
          </cell>
          <cell r="EI8">
            <v>98352</v>
          </cell>
          <cell r="EJ8">
            <v>92.996340736958558</v>
          </cell>
          <cell r="EK8">
            <v>536840</v>
          </cell>
          <cell r="EL8">
            <v>499260</v>
          </cell>
          <cell r="EM8">
            <v>92.999776469711648</v>
          </cell>
          <cell r="EO8" t="str">
            <v>011 CHARGES S.</v>
          </cell>
          <cell r="EP8">
            <v>55359</v>
          </cell>
          <cell r="EQ8">
            <v>51480</v>
          </cell>
          <cell r="ER8">
            <v>92.99300926678589</v>
          </cell>
          <cell r="ES8">
            <v>0</v>
          </cell>
          <cell r="ET8">
            <v>0</v>
          </cell>
          <cell r="EU8" t="e">
            <v>#DIV/0!</v>
          </cell>
          <cell r="EV8">
            <v>3422</v>
          </cell>
          <cell r="EW8">
            <v>3180</v>
          </cell>
          <cell r="EX8">
            <v>92.928112215078912</v>
          </cell>
          <cell r="EY8">
            <v>0</v>
          </cell>
          <cell r="EZ8">
            <v>0</v>
          </cell>
          <cell r="FA8" t="e">
            <v>#DIV/0!</v>
          </cell>
          <cell r="FC8" t="str">
            <v>011 CHARGES S.</v>
          </cell>
          <cell r="FD8">
            <v>0</v>
          </cell>
          <cell r="FE8">
            <v>0</v>
          </cell>
          <cell r="FF8" t="e">
            <v>#DIV/0!</v>
          </cell>
          <cell r="FG8">
            <v>0</v>
          </cell>
          <cell r="FH8">
            <v>0</v>
          </cell>
          <cell r="FI8" t="e">
            <v>#DIV/0!</v>
          </cell>
          <cell r="FJ8">
            <v>26861</v>
          </cell>
          <cell r="FK8">
            <v>24984</v>
          </cell>
          <cell r="FL8">
            <v>93.01217378355237</v>
          </cell>
          <cell r="FM8">
            <v>188304</v>
          </cell>
          <cell r="FN8">
            <v>175128</v>
          </cell>
          <cell r="FO8">
            <v>93.002803976548563</v>
          </cell>
          <cell r="FP8">
            <v>273946</v>
          </cell>
          <cell r="FQ8">
            <v>254772</v>
          </cell>
          <cell r="FR8">
            <v>93.000810378687774</v>
          </cell>
        </row>
        <row r="9">
          <cell r="AZ9" t="str">
            <v>012 BUREAU</v>
          </cell>
          <cell r="BA9">
            <v>0</v>
          </cell>
          <cell r="BB9">
            <v>0</v>
          </cell>
          <cell r="BC9" t="e">
            <v>#DIV/0!</v>
          </cell>
          <cell r="BD9">
            <v>0</v>
          </cell>
          <cell r="BE9">
            <v>0</v>
          </cell>
          <cell r="BF9" t="e">
            <v>#DIV/0!</v>
          </cell>
          <cell r="BG9">
            <v>0</v>
          </cell>
          <cell r="BH9">
            <v>0</v>
          </cell>
          <cell r="BI9" t="e">
            <v>#DIV/0!</v>
          </cell>
          <cell r="BJ9">
            <v>0</v>
          </cell>
          <cell r="BK9">
            <v>0</v>
          </cell>
          <cell r="BL9" t="e">
            <v>#DIV/0!</v>
          </cell>
          <cell r="BN9" t="str">
            <v>012 BUREAU</v>
          </cell>
          <cell r="BO9">
            <v>0</v>
          </cell>
          <cell r="BP9">
            <v>0</v>
          </cell>
          <cell r="BQ9" t="e">
            <v>#DIV/0!</v>
          </cell>
          <cell r="BR9">
            <v>0</v>
          </cell>
          <cell r="BS9">
            <v>0</v>
          </cell>
          <cell r="BT9" t="e">
            <v>#DIV/0!</v>
          </cell>
          <cell r="BU9">
            <v>0</v>
          </cell>
          <cell r="BV9">
            <v>0</v>
          </cell>
          <cell r="BW9" t="e">
            <v>#DIV/0!</v>
          </cell>
          <cell r="BX9">
            <v>0</v>
          </cell>
          <cell r="BY9">
            <v>0</v>
          </cell>
          <cell r="BZ9" t="e">
            <v>#DIV/0!</v>
          </cell>
          <cell r="CA9">
            <v>0</v>
          </cell>
          <cell r="CB9">
            <v>0</v>
          </cell>
          <cell r="CC9" t="e">
            <v>#DIV/0!</v>
          </cell>
          <cell r="CE9" t="str">
            <v>012 BUREAU</v>
          </cell>
          <cell r="CF9">
            <v>0</v>
          </cell>
          <cell r="CG9">
            <v>0</v>
          </cell>
          <cell r="CH9" t="e">
            <v>#DIV/0!</v>
          </cell>
          <cell r="CI9">
            <v>0</v>
          </cell>
          <cell r="CJ9">
            <v>0</v>
          </cell>
          <cell r="CK9" t="e">
            <v>#DIV/0!</v>
          </cell>
          <cell r="CL9">
            <v>0</v>
          </cell>
          <cell r="CM9">
            <v>0</v>
          </cell>
          <cell r="CN9" t="e">
            <v>#DIV/0!</v>
          </cell>
          <cell r="CO9">
            <v>0</v>
          </cell>
          <cell r="CP9">
            <v>0</v>
          </cell>
          <cell r="CQ9" t="e">
            <v>#DIV/0!</v>
          </cell>
          <cell r="CR9">
            <v>0</v>
          </cell>
          <cell r="CS9">
            <v>0</v>
          </cell>
          <cell r="CT9" t="e">
            <v>#DIV/0!</v>
          </cell>
          <cell r="CV9" t="str">
            <v>012 BUREAU</v>
          </cell>
          <cell r="CW9">
            <v>0</v>
          </cell>
          <cell r="CX9">
            <v>0</v>
          </cell>
          <cell r="CY9" t="e">
            <v>#DIV/0!</v>
          </cell>
          <cell r="CZ9">
            <v>0</v>
          </cell>
          <cell r="DA9">
            <v>0</v>
          </cell>
          <cell r="DB9" t="e">
            <v>#DIV/0!</v>
          </cell>
          <cell r="DC9">
            <v>0</v>
          </cell>
          <cell r="DD9">
            <v>0</v>
          </cell>
          <cell r="DE9" t="e">
            <v>#DIV/0!</v>
          </cell>
          <cell r="DF9">
            <v>0</v>
          </cell>
          <cell r="DG9">
            <v>0</v>
          </cell>
          <cell r="DH9" t="e">
            <v>#DIV/0!</v>
          </cell>
          <cell r="DJ9" t="str">
            <v>012 BUREAU</v>
          </cell>
          <cell r="DK9">
            <v>0</v>
          </cell>
          <cell r="DL9">
            <v>0</v>
          </cell>
          <cell r="DM9" t="e">
            <v>#DIV/0!</v>
          </cell>
          <cell r="DN9">
            <v>0</v>
          </cell>
          <cell r="DO9">
            <v>0</v>
          </cell>
          <cell r="DP9" t="e">
            <v>#DIV/0!</v>
          </cell>
          <cell r="DQ9">
            <v>0</v>
          </cell>
          <cell r="DR9">
            <v>0</v>
          </cell>
          <cell r="DS9" t="e">
            <v>#DIV/0!</v>
          </cell>
          <cell r="DT9">
            <v>0</v>
          </cell>
          <cell r="DU9">
            <v>0</v>
          </cell>
          <cell r="DV9" t="e">
            <v>#DIV/0!</v>
          </cell>
          <cell r="DX9" t="str">
            <v>012 BUREAU</v>
          </cell>
          <cell r="DY9">
            <v>0</v>
          </cell>
          <cell r="DZ9">
            <v>0</v>
          </cell>
          <cell r="EA9" t="e">
            <v>#DIV/0!</v>
          </cell>
          <cell r="EB9">
            <v>0</v>
          </cell>
          <cell r="EC9">
            <v>0</v>
          </cell>
          <cell r="ED9" t="e">
            <v>#DIV/0!</v>
          </cell>
          <cell r="EE9">
            <v>0</v>
          </cell>
          <cell r="EF9">
            <v>0</v>
          </cell>
          <cell r="EG9" t="e">
            <v>#DIV/0!</v>
          </cell>
          <cell r="EH9">
            <v>0</v>
          </cell>
          <cell r="EI9">
            <v>0</v>
          </cell>
          <cell r="EJ9" t="e">
            <v>#DIV/0!</v>
          </cell>
          <cell r="EK9">
            <v>0</v>
          </cell>
          <cell r="EL9">
            <v>0</v>
          </cell>
          <cell r="EM9" t="e">
            <v>#DIV/0!</v>
          </cell>
          <cell r="EO9" t="str">
            <v>012 BUREAU</v>
          </cell>
          <cell r="EP9">
            <v>0</v>
          </cell>
          <cell r="EQ9">
            <v>0</v>
          </cell>
          <cell r="ER9" t="e">
            <v>#DIV/0!</v>
          </cell>
          <cell r="ES9">
            <v>0</v>
          </cell>
          <cell r="ET9">
            <v>0</v>
          </cell>
          <cell r="EU9" t="e">
            <v>#DIV/0!</v>
          </cell>
          <cell r="EV9">
            <v>0</v>
          </cell>
          <cell r="EW9">
            <v>0</v>
          </cell>
          <cell r="EX9" t="e">
            <v>#DIV/0!</v>
          </cell>
          <cell r="EY9">
            <v>0</v>
          </cell>
          <cell r="EZ9">
            <v>0</v>
          </cell>
          <cell r="FA9" t="e">
            <v>#DIV/0!</v>
          </cell>
          <cell r="FC9" t="str">
            <v>012 BUREAU</v>
          </cell>
          <cell r="FD9">
            <v>0</v>
          </cell>
          <cell r="FE9">
            <v>0</v>
          </cell>
          <cell r="FF9" t="e">
            <v>#DIV/0!</v>
          </cell>
          <cell r="FG9">
            <v>0</v>
          </cell>
          <cell r="FH9">
            <v>0</v>
          </cell>
          <cell r="FI9" t="e">
            <v>#DIV/0!</v>
          </cell>
          <cell r="FJ9">
            <v>0</v>
          </cell>
          <cell r="FK9">
            <v>0</v>
          </cell>
          <cell r="FL9" t="e">
            <v>#DIV/0!</v>
          </cell>
          <cell r="FM9">
            <v>4675</v>
          </cell>
          <cell r="FN9">
            <v>4344</v>
          </cell>
          <cell r="FO9">
            <v>92.919786096256686</v>
          </cell>
          <cell r="FP9">
            <v>4675</v>
          </cell>
          <cell r="FQ9">
            <v>4344</v>
          </cell>
          <cell r="FR9">
            <v>92.919786096256686</v>
          </cell>
        </row>
        <row r="10">
          <cell r="AZ10" t="str">
            <v>013 CHARGES S.</v>
          </cell>
          <cell r="BA10">
            <v>0</v>
          </cell>
          <cell r="BB10">
            <v>0</v>
          </cell>
          <cell r="BC10" t="e">
            <v>#DIV/0!</v>
          </cell>
          <cell r="BD10">
            <v>0</v>
          </cell>
          <cell r="BE10">
            <v>0</v>
          </cell>
          <cell r="BF10" t="e">
            <v>#DIV/0!</v>
          </cell>
          <cell r="BG10">
            <v>0</v>
          </cell>
          <cell r="BH10">
            <v>0</v>
          </cell>
          <cell r="BI10" t="e">
            <v>#DIV/0!</v>
          </cell>
          <cell r="BJ10">
            <v>0</v>
          </cell>
          <cell r="BK10">
            <v>0</v>
          </cell>
          <cell r="BL10" t="e">
            <v>#DIV/0!</v>
          </cell>
          <cell r="BN10" t="str">
            <v>013 CHARGES S.</v>
          </cell>
          <cell r="BO10">
            <v>0</v>
          </cell>
          <cell r="BP10">
            <v>0</v>
          </cell>
          <cell r="BQ10" t="e">
            <v>#DIV/0!</v>
          </cell>
          <cell r="BR10">
            <v>0</v>
          </cell>
          <cell r="BS10">
            <v>0</v>
          </cell>
          <cell r="BT10" t="e">
            <v>#DIV/0!</v>
          </cell>
          <cell r="BU10">
            <v>0</v>
          </cell>
          <cell r="BV10">
            <v>0</v>
          </cell>
          <cell r="BW10" t="e">
            <v>#DIV/0!</v>
          </cell>
          <cell r="BX10">
            <v>0</v>
          </cell>
          <cell r="BY10">
            <v>0</v>
          </cell>
          <cell r="BZ10" t="e">
            <v>#DIV/0!</v>
          </cell>
          <cell r="CA10">
            <v>0</v>
          </cell>
          <cell r="CB10">
            <v>0</v>
          </cell>
          <cell r="CC10" t="e">
            <v>#DIV/0!</v>
          </cell>
          <cell r="CE10" t="str">
            <v>013 CHARGES S.</v>
          </cell>
          <cell r="CF10">
            <v>0</v>
          </cell>
          <cell r="CG10">
            <v>0</v>
          </cell>
          <cell r="CH10" t="e">
            <v>#DIV/0!</v>
          </cell>
          <cell r="CI10">
            <v>0</v>
          </cell>
          <cell r="CJ10">
            <v>0</v>
          </cell>
          <cell r="CK10" t="e">
            <v>#DIV/0!</v>
          </cell>
          <cell r="CL10">
            <v>0</v>
          </cell>
          <cell r="CM10">
            <v>0</v>
          </cell>
          <cell r="CN10" t="e">
            <v>#DIV/0!</v>
          </cell>
          <cell r="CO10">
            <v>0</v>
          </cell>
          <cell r="CP10">
            <v>0</v>
          </cell>
          <cell r="CQ10" t="e">
            <v>#DIV/0!</v>
          </cell>
          <cell r="CR10">
            <v>0</v>
          </cell>
          <cell r="CS10">
            <v>0</v>
          </cell>
          <cell r="CT10" t="e">
            <v>#DIV/0!</v>
          </cell>
          <cell r="CV10" t="str">
            <v>013 CHARGES S.</v>
          </cell>
          <cell r="CW10">
            <v>0</v>
          </cell>
          <cell r="CX10">
            <v>0</v>
          </cell>
          <cell r="CY10" t="e">
            <v>#DIV/0!</v>
          </cell>
          <cell r="CZ10">
            <v>0</v>
          </cell>
          <cell r="DA10">
            <v>0</v>
          </cell>
          <cell r="DB10" t="e">
            <v>#DIV/0!</v>
          </cell>
          <cell r="DC10">
            <v>0</v>
          </cell>
          <cell r="DD10">
            <v>0</v>
          </cell>
          <cell r="DE10" t="e">
            <v>#DIV/0!</v>
          </cell>
          <cell r="DF10">
            <v>0</v>
          </cell>
          <cell r="DG10">
            <v>0</v>
          </cell>
          <cell r="DH10" t="e">
            <v>#DIV/0!</v>
          </cell>
          <cell r="DJ10" t="str">
            <v>013 CHARGES S.</v>
          </cell>
          <cell r="DK10">
            <v>0</v>
          </cell>
          <cell r="DL10">
            <v>0</v>
          </cell>
          <cell r="DM10" t="e">
            <v>#DIV/0!</v>
          </cell>
          <cell r="DN10">
            <v>0</v>
          </cell>
          <cell r="DO10">
            <v>0</v>
          </cell>
          <cell r="DP10" t="e">
            <v>#DIV/0!</v>
          </cell>
          <cell r="DQ10">
            <v>0</v>
          </cell>
          <cell r="DR10">
            <v>0</v>
          </cell>
          <cell r="DS10" t="e">
            <v>#DIV/0!</v>
          </cell>
          <cell r="DT10">
            <v>0</v>
          </cell>
          <cell r="DU10">
            <v>0</v>
          </cell>
          <cell r="DV10" t="e">
            <v>#DIV/0!</v>
          </cell>
          <cell r="DX10" t="str">
            <v>013 CHARGES S.</v>
          </cell>
          <cell r="DY10">
            <v>0</v>
          </cell>
          <cell r="DZ10">
            <v>0</v>
          </cell>
          <cell r="EA10" t="e">
            <v>#DIV/0!</v>
          </cell>
          <cell r="EB10">
            <v>0</v>
          </cell>
          <cell r="EC10">
            <v>0</v>
          </cell>
          <cell r="ED10" t="e">
            <v>#DIV/0!</v>
          </cell>
          <cell r="EE10">
            <v>0</v>
          </cell>
          <cell r="EF10">
            <v>0</v>
          </cell>
          <cell r="EG10" t="e">
            <v>#DIV/0!</v>
          </cell>
          <cell r="EH10">
            <v>0</v>
          </cell>
          <cell r="EI10">
            <v>0</v>
          </cell>
          <cell r="EJ10" t="e">
            <v>#DIV/0!</v>
          </cell>
          <cell r="EK10">
            <v>0</v>
          </cell>
          <cell r="EL10">
            <v>0</v>
          </cell>
          <cell r="EM10" t="e">
            <v>#DIV/0!</v>
          </cell>
          <cell r="EO10" t="str">
            <v>013 CHARGES S.</v>
          </cell>
          <cell r="EP10">
            <v>0</v>
          </cell>
          <cell r="EQ10">
            <v>0</v>
          </cell>
          <cell r="ER10" t="e">
            <v>#DIV/0!</v>
          </cell>
          <cell r="ES10">
            <v>0</v>
          </cell>
          <cell r="ET10">
            <v>0</v>
          </cell>
          <cell r="EU10" t="e">
            <v>#DIV/0!</v>
          </cell>
          <cell r="EV10">
            <v>0</v>
          </cell>
          <cell r="EW10">
            <v>0</v>
          </cell>
          <cell r="EX10" t="e">
            <v>#DIV/0!</v>
          </cell>
          <cell r="EY10">
            <v>0</v>
          </cell>
          <cell r="EZ10">
            <v>0</v>
          </cell>
          <cell r="FA10" t="e">
            <v>#DIV/0!</v>
          </cell>
          <cell r="FC10" t="str">
            <v>013 CHARGES S.</v>
          </cell>
          <cell r="FD10">
            <v>0</v>
          </cell>
          <cell r="FE10">
            <v>0</v>
          </cell>
          <cell r="FF10" t="e">
            <v>#DIV/0!</v>
          </cell>
          <cell r="FG10">
            <v>0</v>
          </cell>
          <cell r="FH10">
            <v>0</v>
          </cell>
          <cell r="FI10" t="e">
            <v>#DIV/0!</v>
          </cell>
          <cell r="FJ10">
            <v>0</v>
          </cell>
          <cell r="FK10">
            <v>0</v>
          </cell>
          <cell r="FL10" t="e">
            <v>#DIV/0!</v>
          </cell>
          <cell r="FM10">
            <v>5096</v>
          </cell>
          <cell r="FN10">
            <v>4740</v>
          </cell>
          <cell r="FO10">
            <v>93.014128728414448</v>
          </cell>
          <cell r="FP10">
            <v>5096</v>
          </cell>
          <cell r="FQ10">
            <v>4740</v>
          </cell>
          <cell r="FR10">
            <v>93.014128728414448</v>
          </cell>
        </row>
        <row r="11">
          <cell r="AZ11" t="str">
            <v>014 JOUR</v>
          </cell>
          <cell r="BA11">
            <v>0</v>
          </cell>
          <cell r="BB11">
            <v>0</v>
          </cell>
          <cell r="BC11" t="e">
            <v>#DIV/0!</v>
          </cell>
          <cell r="BD11">
            <v>0</v>
          </cell>
          <cell r="BE11">
            <v>0</v>
          </cell>
          <cell r="BF11" t="e">
            <v>#DIV/0!</v>
          </cell>
          <cell r="BG11">
            <v>0</v>
          </cell>
          <cell r="BH11">
            <v>0</v>
          </cell>
          <cell r="BI11" t="e">
            <v>#DIV/0!</v>
          </cell>
          <cell r="BJ11">
            <v>0</v>
          </cell>
          <cell r="BK11">
            <v>0</v>
          </cell>
          <cell r="BL11" t="e">
            <v>#DIV/0!</v>
          </cell>
          <cell r="BN11" t="str">
            <v>014 JOUR</v>
          </cell>
          <cell r="BO11">
            <v>0</v>
          </cell>
          <cell r="BP11">
            <v>0</v>
          </cell>
          <cell r="BQ11" t="e">
            <v>#DIV/0!</v>
          </cell>
          <cell r="BR11">
            <v>0</v>
          </cell>
          <cell r="BS11">
            <v>0</v>
          </cell>
          <cell r="BT11" t="e">
            <v>#DIV/0!</v>
          </cell>
          <cell r="BU11">
            <v>0</v>
          </cell>
          <cell r="BV11">
            <v>0</v>
          </cell>
          <cell r="BW11" t="e">
            <v>#DIV/0!</v>
          </cell>
          <cell r="BX11">
            <v>0</v>
          </cell>
          <cell r="BY11">
            <v>0</v>
          </cell>
          <cell r="BZ11" t="e">
            <v>#DIV/0!</v>
          </cell>
          <cell r="CA11">
            <v>0</v>
          </cell>
          <cell r="CB11">
            <v>0</v>
          </cell>
          <cell r="CC11" t="e">
            <v>#DIV/0!</v>
          </cell>
          <cell r="CE11" t="str">
            <v>014 JOUR</v>
          </cell>
          <cell r="CF11">
            <v>0</v>
          </cell>
          <cell r="CG11">
            <v>0</v>
          </cell>
          <cell r="CH11" t="e">
            <v>#DIV/0!</v>
          </cell>
          <cell r="CI11">
            <v>0</v>
          </cell>
          <cell r="CJ11">
            <v>0</v>
          </cell>
          <cell r="CK11" t="e">
            <v>#DIV/0!</v>
          </cell>
          <cell r="CL11">
            <v>0</v>
          </cell>
          <cell r="CM11">
            <v>0</v>
          </cell>
          <cell r="CN11" t="e">
            <v>#DIV/0!</v>
          </cell>
          <cell r="CO11">
            <v>0</v>
          </cell>
          <cell r="CP11">
            <v>0</v>
          </cell>
          <cell r="CQ11" t="e">
            <v>#DIV/0!</v>
          </cell>
          <cell r="CR11">
            <v>0</v>
          </cell>
          <cell r="CS11">
            <v>0</v>
          </cell>
          <cell r="CT11" t="e">
            <v>#DIV/0!</v>
          </cell>
          <cell r="CV11" t="str">
            <v>014 JOUR</v>
          </cell>
          <cell r="CW11">
            <v>0</v>
          </cell>
          <cell r="CX11">
            <v>0</v>
          </cell>
          <cell r="CY11" t="e">
            <v>#DIV/0!</v>
          </cell>
          <cell r="CZ11">
            <v>0</v>
          </cell>
          <cell r="DA11">
            <v>0</v>
          </cell>
          <cell r="DB11" t="e">
            <v>#DIV/0!</v>
          </cell>
          <cell r="DC11">
            <v>0</v>
          </cell>
          <cell r="DD11">
            <v>0</v>
          </cell>
          <cell r="DE11" t="e">
            <v>#DIV/0!</v>
          </cell>
          <cell r="DF11">
            <v>0</v>
          </cell>
          <cell r="DG11">
            <v>0</v>
          </cell>
          <cell r="DH11" t="e">
            <v>#DIV/0!</v>
          </cell>
          <cell r="DJ11" t="str">
            <v>014 JOUR</v>
          </cell>
          <cell r="DK11">
            <v>57976</v>
          </cell>
          <cell r="DL11">
            <v>53916</v>
          </cell>
          <cell r="DM11">
            <v>92.997102249206563</v>
          </cell>
          <cell r="DN11">
            <v>0</v>
          </cell>
          <cell r="DO11">
            <v>0</v>
          </cell>
          <cell r="DP11" t="e">
            <v>#DIV/0!</v>
          </cell>
          <cell r="DQ11">
            <v>0</v>
          </cell>
          <cell r="DR11">
            <v>0</v>
          </cell>
          <cell r="DS11" t="e">
            <v>#DIV/0!</v>
          </cell>
          <cell r="DT11">
            <v>0</v>
          </cell>
          <cell r="DU11">
            <v>0</v>
          </cell>
          <cell r="DV11" t="e">
            <v>#DIV/0!</v>
          </cell>
          <cell r="DX11" t="str">
            <v>014 JOUR</v>
          </cell>
          <cell r="DY11">
            <v>0</v>
          </cell>
          <cell r="DZ11">
            <v>0</v>
          </cell>
          <cell r="EA11" t="e">
            <v>#DIV/0!</v>
          </cell>
          <cell r="EB11">
            <v>0</v>
          </cell>
          <cell r="EC11">
            <v>0</v>
          </cell>
          <cell r="ED11" t="e">
            <v>#DIV/0!</v>
          </cell>
          <cell r="EE11">
            <v>178116</v>
          </cell>
          <cell r="EF11">
            <v>165648</v>
          </cell>
          <cell r="EG11">
            <v>93.000067371825097</v>
          </cell>
          <cell r="EH11">
            <v>0</v>
          </cell>
          <cell r="EI11">
            <v>0</v>
          </cell>
          <cell r="EJ11" t="e">
            <v>#DIV/0!</v>
          </cell>
          <cell r="EK11">
            <v>236092</v>
          </cell>
          <cell r="EL11">
            <v>219564</v>
          </cell>
          <cell r="EM11">
            <v>92.99933924063501</v>
          </cell>
          <cell r="EO11" t="str">
            <v>014 JOUR</v>
          </cell>
          <cell r="EP11">
            <v>993248</v>
          </cell>
          <cell r="EQ11">
            <v>923724</v>
          </cell>
          <cell r="ER11">
            <v>93.000338284094212</v>
          </cell>
          <cell r="ES11">
            <v>0</v>
          </cell>
          <cell r="ET11">
            <v>0</v>
          </cell>
          <cell r="EU11" t="e">
            <v>#DIV/0!</v>
          </cell>
          <cell r="EV11">
            <v>79468</v>
          </cell>
          <cell r="EW11">
            <v>73908</v>
          </cell>
          <cell r="EX11">
            <v>93.003473096088996</v>
          </cell>
          <cell r="EY11">
            <v>54485</v>
          </cell>
          <cell r="EZ11">
            <v>50676</v>
          </cell>
          <cell r="FA11">
            <v>93.009085069285121</v>
          </cell>
          <cell r="FC11" t="str">
            <v>014 JOUR</v>
          </cell>
          <cell r="FD11">
            <v>0</v>
          </cell>
          <cell r="FE11">
            <v>0</v>
          </cell>
          <cell r="FF11" t="e">
            <v>#DIV/0!</v>
          </cell>
          <cell r="FG11">
            <v>0</v>
          </cell>
          <cell r="FH11">
            <v>0</v>
          </cell>
          <cell r="FI11" t="e">
            <v>#DIV/0!</v>
          </cell>
          <cell r="FJ11">
            <v>420406</v>
          </cell>
          <cell r="FK11">
            <v>390972</v>
          </cell>
          <cell r="FL11">
            <v>92.998672711616877</v>
          </cell>
          <cell r="FM11">
            <v>510991</v>
          </cell>
          <cell r="FN11">
            <v>475224</v>
          </cell>
          <cell r="FO11">
            <v>93.000463804646259</v>
          </cell>
          <cell r="FP11">
            <v>2058598</v>
          </cell>
          <cell r="FQ11">
            <v>1914504</v>
          </cell>
          <cell r="FR11">
            <v>93.000381813253483</v>
          </cell>
        </row>
        <row r="12">
          <cell r="AZ12" t="str">
            <v>015 CHARGES S.</v>
          </cell>
          <cell r="BA12">
            <v>0</v>
          </cell>
          <cell r="BB12">
            <v>0</v>
          </cell>
          <cell r="BC12" t="e">
            <v>#DIV/0!</v>
          </cell>
          <cell r="BD12">
            <v>0</v>
          </cell>
          <cell r="BE12">
            <v>0</v>
          </cell>
          <cell r="BF12" t="e">
            <v>#DIV/0!</v>
          </cell>
          <cell r="BG12">
            <v>0</v>
          </cell>
          <cell r="BH12">
            <v>0</v>
          </cell>
          <cell r="BI12" t="e">
            <v>#DIV/0!</v>
          </cell>
          <cell r="BJ12">
            <v>0</v>
          </cell>
          <cell r="BK12">
            <v>0</v>
          </cell>
          <cell r="BL12" t="e">
            <v>#DIV/0!</v>
          </cell>
          <cell r="BN12" t="str">
            <v>015 CHARGES S.</v>
          </cell>
          <cell r="BO12">
            <v>0</v>
          </cell>
          <cell r="BP12">
            <v>0</v>
          </cell>
          <cell r="BQ12" t="e">
            <v>#DIV/0!</v>
          </cell>
          <cell r="BR12">
            <v>0</v>
          </cell>
          <cell r="BS12">
            <v>0</v>
          </cell>
          <cell r="BT12" t="e">
            <v>#DIV/0!</v>
          </cell>
          <cell r="BU12">
            <v>0</v>
          </cell>
          <cell r="BV12">
            <v>0</v>
          </cell>
          <cell r="BW12" t="e">
            <v>#DIV/0!</v>
          </cell>
          <cell r="BX12">
            <v>0</v>
          </cell>
          <cell r="BY12">
            <v>0</v>
          </cell>
          <cell r="BZ12" t="e">
            <v>#DIV/0!</v>
          </cell>
          <cell r="CA12">
            <v>0</v>
          </cell>
          <cell r="CB12">
            <v>0</v>
          </cell>
          <cell r="CC12" t="e">
            <v>#DIV/0!</v>
          </cell>
          <cell r="CE12" t="str">
            <v>015 CHARGES S.</v>
          </cell>
          <cell r="CF12">
            <v>0</v>
          </cell>
          <cell r="CG12">
            <v>0</v>
          </cell>
          <cell r="CH12" t="e">
            <v>#DIV/0!</v>
          </cell>
          <cell r="CI12">
            <v>0</v>
          </cell>
          <cell r="CJ12">
            <v>0</v>
          </cell>
          <cell r="CK12" t="e">
            <v>#DIV/0!</v>
          </cell>
          <cell r="CL12">
            <v>0</v>
          </cell>
          <cell r="CM12">
            <v>0</v>
          </cell>
          <cell r="CN12" t="e">
            <v>#DIV/0!</v>
          </cell>
          <cell r="CO12">
            <v>0</v>
          </cell>
          <cell r="CP12">
            <v>0</v>
          </cell>
          <cell r="CQ12" t="e">
            <v>#DIV/0!</v>
          </cell>
          <cell r="CR12">
            <v>0</v>
          </cell>
          <cell r="CS12">
            <v>0</v>
          </cell>
          <cell r="CT12" t="e">
            <v>#DIV/0!</v>
          </cell>
          <cell r="CV12" t="str">
            <v>015 CHARGES S.</v>
          </cell>
          <cell r="CW12">
            <v>0</v>
          </cell>
          <cell r="CX12">
            <v>0</v>
          </cell>
          <cell r="CY12" t="e">
            <v>#DIV/0!</v>
          </cell>
          <cell r="CZ12">
            <v>0</v>
          </cell>
          <cell r="DA12">
            <v>0</v>
          </cell>
          <cell r="DB12" t="e">
            <v>#DIV/0!</v>
          </cell>
          <cell r="DC12">
            <v>0</v>
          </cell>
          <cell r="DD12">
            <v>0</v>
          </cell>
          <cell r="DE12" t="e">
            <v>#DIV/0!</v>
          </cell>
          <cell r="DF12">
            <v>0</v>
          </cell>
          <cell r="DG12">
            <v>0</v>
          </cell>
          <cell r="DH12" t="e">
            <v>#DIV/0!</v>
          </cell>
          <cell r="DJ12" t="str">
            <v>015 CHARGES S.</v>
          </cell>
          <cell r="DK12">
            <v>45105</v>
          </cell>
          <cell r="DL12">
            <v>41952</v>
          </cell>
          <cell r="DM12">
            <v>93.009644163618219</v>
          </cell>
          <cell r="DN12">
            <v>0</v>
          </cell>
          <cell r="DO12">
            <v>0</v>
          </cell>
          <cell r="DP12" t="e">
            <v>#DIV/0!</v>
          </cell>
          <cell r="DQ12">
            <v>0</v>
          </cell>
          <cell r="DR12">
            <v>0</v>
          </cell>
          <cell r="DS12" t="e">
            <v>#DIV/0!</v>
          </cell>
          <cell r="DT12">
            <v>0</v>
          </cell>
          <cell r="DU12">
            <v>0</v>
          </cell>
          <cell r="DV12" t="e">
            <v>#DIV/0!</v>
          </cell>
          <cell r="DX12" t="str">
            <v>015 CHARGES S.</v>
          </cell>
          <cell r="DY12">
            <v>0</v>
          </cell>
          <cell r="DZ12">
            <v>0</v>
          </cell>
          <cell r="EA12" t="e">
            <v>#DIV/0!</v>
          </cell>
          <cell r="EB12">
            <v>0</v>
          </cell>
          <cell r="EC12">
            <v>0</v>
          </cell>
          <cell r="ED12" t="e">
            <v>#DIV/0!</v>
          </cell>
          <cell r="EE12">
            <v>124771</v>
          </cell>
          <cell r="EF12">
            <v>116040</v>
          </cell>
          <cell r="EG12">
            <v>93.002380360821022</v>
          </cell>
          <cell r="EH12">
            <v>0</v>
          </cell>
          <cell r="EI12">
            <v>0</v>
          </cell>
          <cell r="EJ12" t="e">
            <v>#DIV/0!</v>
          </cell>
          <cell r="EK12">
            <v>169876</v>
          </cell>
          <cell r="EL12">
            <v>157992</v>
          </cell>
          <cell r="EM12">
            <v>93.004309025406769</v>
          </cell>
          <cell r="EO12" t="str">
            <v>015 CHARGES S.</v>
          </cell>
          <cell r="EP12">
            <v>862448</v>
          </cell>
          <cell r="EQ12">
            <v>802080</v>
          </cell>
          <cell r="ER12">
            <v>93.00038958870563</v>
          </cell>
          <cell r="ES12">
            <v>0</v>
          </cell>
          <cell r="ET12">
            <v>0</v>
          </cell>
          <cell r="EU12" t="e">
            <v>#DIV/0!</v>
          </cell>
          <cell r="EV12">
            <v>60364</v>
          </cell>
          <cell r="EW12">
            <v>56136</v>
          </cell>
          <cell r="EX12">
            <v>92.995825326353454</v>
          </cell>
          <cell r="EY12">
            <v>42113</v>
          </cell>
          <cell r="EZ12">
            <v>39168</v>
          </cell>
          <cell r="FA12">
            <v>93.006909980291113</v>
          </cell>
          <cell r="FC12" t="str">
            <v>015 CHARGES S.</v>
          </cell>
          <cell r="FD12">
            <v>0</v>
          </cell>
          <cell r="FE12">
            <v>0</v>
          </cell>
          <cell r="FF12" t="e">
            <v>#DIV/0!</v>
          </cell>
          <cell r="FG12">
            <v>0</v>
          </cell>
          <cell r="FH12">
            <v>0</v>
          </cell>
          <cell r="FI12" t="e">
            <v>#DIV/0!</v>
          </cell>
          <cell r="FJ12">
            <v>350113</v>
          </cell>
          <cell r="FK12">
            <v>325608</v>
          </cell>
          <cell r="FL12">
            <v>93.000831160225417</v>
          </cell>
          <cell r="FM12">
            <v>412375</v>
          </cell>
          <cell r="FN12">
            <v>383508</v>
          </cell>
          <cell r="FO12">
            <v>92.999818126705065</v>
          </cell>
          <cell r="FP12">
            <v>1727413</v>
          </cell>
          <cell r="FQ12">
            <v>1606500</v>
          </cell>
          <cell r="FR12">
            <v>93.00034213011017</v>
          </cell>
        </row>
        <row r="13">
          <cell r="AZ13" t="str">
            <v>016 FOND</v>
          </cell>
          <cell r="BA13">
            <v>0</v>
          </cell>
          <cell r="BB13">
            <v>0</v>
          </cell>
          <cell r="BC13" t="e">
            <v>#DIV/0!</v>
          </cell>
          <cell r="BD13">
            <v>245606</v>
          </cell>
          <cell r="BE13">
            <v>135084</v>
          </cell>
          <cell r="BF13">
            <v>55.000285009323882</v>
          </cell>
          <cell r="BG13">
            <v>219255</v>
          </cell>
          <cell r="BH13">
            <v>120588</v>
          </cell>
          <cell r="BI13">
            <v>54.998973797632885</v>
          </cell>
          <cell r="BJ13">
            <v>147993</v>
          </cell>
          <cell r="BK13">
            <v>81396</v>
          </cell>
          <cell r="BL13">
            <v>54.99989864385477</v>
          </cell>
          <cell r="BN13" t="str">
            <v>016 FOND</v>
          </cell>
          <cell r="BO13">
            <v>174101</v>
          </cell>
          <cell r="BP13">
            <v>95760</v>
          </cell>
          <cell r="BQ13">
            <v>55.00255598761639</v>
          </cell>
          <cell r="BR13">
            <v>144920</v>
          </cell>
          <cell r="BS13">
            <v>79704</v>
          </cell>
          <cell r="BT13">
            <v>54.998619928236266</v>
          </cell>
          <cell r="BU13">
            <v>201798</v>
          </cell>
          <cell r="BV13">
            <v>110988</v>
          </cell>
          <cell r="BW13">
            <v>54.999554009454997</v>
          </cell>
          <cell r="BX13">
            <v>0</v>
          </cell>
          <cell r="BY13">
            <v>0</v>
          </cell>
          <cell r="BZ13" t="e">
            <v>#DIV/0!</v>
          </cell>
          <cell r="CA13">
            <v>1133673</v>
          </cell>
          <cell r="CB13">
            <v>623520</v>
          </cell>
          <cell r="CC13">
            <v>54.999986768671391</v>
          </cell>
          <cell r="CE13" t="str">
            <v>016 FOND</v>
          </cell>
          <cell r="CF13">
            <v>324540</v>
          </cell>
          <cell r="CG13">
            <v>217440</v>
          </cell>
          <cell r="CH13">
            <v>66.999445368829726</v>
          </cell>
          <cell r="CI13">
            <v>453651</v>
          </cell>
          <cell r="CJ13">
            <v>303948</v>
          </cell>
          <cell r="CK13">
            <v>67.000403393798308</v>
          </cell>
          <cell r="CL13">
            <v>0</v>
          </cell>
          <cell r="CM13">
            <v>0</v>
          </cell>
          <cell r="CN13" t="e">
            <v>#DIV/0!</v>
          </cell>
          <cell r="CO13">
            <v>0</v>
          </cell>
          <cell r="CP13">
            <v>0</v>
          </cell>
          <cell r="CQ13" t="e">
            <v>#DIV/0!</v>
          </cell>
          <cell r="CR13">
            <v>778191</v>
          </cell>
          <cell r="CS13">
            <v>521388</v>
          </cell>
          <cell r="CT13">
            <v>67.000003855094704</v>
          </cell>
          <cell r="CV13" t="str">
            <v>016 FOND</v>
          </cell>
          <cell r="CW13">
            <v>288</v>
          </cell>
          <cell r="CX13">
            <v>264</v>
          </cell>
          <cell r="CY13">
            <v>91.666666666666657</v>
          </cell>
          <cell r="CZ13">
            <v>1134147</v>
          </cell>
          <cell r="DA13">
            <v>1054752</v>
          </cell>
          <cell r="DB13">
            <v>92.999584709918565</v>
          </cell>
          <cell r="DC13">
            <v>0</v>
          </cell>
          <cell r="DD13">
            <v>0</v>
          </cell>
          <cell r="DE13" t="e">
            <v>#DIV/0!</v>
          </cell>
          <cell r="DF13">
            <v>1134435</v>
          </cell>
          <cell r="DG13">
            <v>1055016</v>
          </cell>
          <cell r="DH13">
            <v>92.999246320855761</v>
          </cell>
          <cell r="DJ13" t="str">
            <v>016 FOND</v>
          </cell>
          <cell r="DK13">
            <v>2096398</v>
          </cell>
          <cell r="DL13">
            <v>1949652</v>
          </cell>
          <cell r="DM13">
            <v>93.000088723610688</v>
          </cell>
          <cell r="DN13">
            <v>0</v>
          </cell>
          <cell r="DO13">
            <v>0</v>
          </cell>
          <cell r="DP13" t="e">
            <v>#DIV/0!</v>
          </cell>
          <cell r="DQ13">
            <v>0</v>
          </cell>
          <cell r="DR13">
            <v>0</v>
          </cell>
          <cell r="DS13" t="e">
            <v>#DIV/0!</v>
          </cell>
          <cell r="DT13">
            <v>0</v>
          </cell>
          <cell r="DU13">
            <v>0</v>
          </cell>
          <cell r="DV13" t="e">
            <v>#DIV/0!</v>
          </cell>
          <cell r="DX13" t="str">
            <v>016 FOND</v>
          </cell>
          <cell r="DY13">
            <v>0</v>
          </cell>
          <cell r="DZ13">
            <v>0</v>
          </cell>
          <cell r="EA13" t="e">
            <v>#DIV/0!</v>
          </cell>
          <cell r="EB13">
            <v>0</v>
          </cell>
          <cell r="EC13">
            <v>0</v>
          </cell>
          <cell r="ED13" t="e">
            <v>#DIV/0!</v>
          </cell>
          <cell r="EE13">
            <v>639990</v>
          </cell>
          <cell r="EF13">
            <v>595188</v>
          </cell>
          <cell r="EG13">
            <v>92.999578118408095</v>
          </cell>
          <cell r="EH13">
            <v>234826</v>
          </cell>
          <cell r="EI13">
            <v>218388</v>
          </cell>
          <cell r="EJ13">
            <v>92.999923347499845</v>
          </cell>
          <cell r="EK13">
            <v>2971214</v>
          </cell>
          <cell r="EL13">
            <v>2763228</v>
          </cell>
          <cell r="EM13">
            <v>92.999965670597945</v>
          </cell>
          <cell r="EO13" t="str">
            <v>016 FOND</v>
          </cell>
          <cell r="EP13">
            <v>306043</v>
          </cell>
          <cell r="EQ13">
            <v>284616</v>
          </cell>
          <cell r="ER13">
            <v>92.998696261636439</v>
          </cell>
          <cell r="ES13">
            <v>0</v>
          </cell>
          <cell r="ET13">
            <v>0</v>
          </cell>
          <cell r="EU13" t="e">
            <v>#DIV/0!</v>
          </cell>
          <cell r="EV13">
            <v>45083</v>
          </cell>
          <cell r="EW13">
            <v>41928</v>
          </cell>
          <cell r="EX13">
            <v>93.001796686112286</v>
          </cell>
          <cell r="EY13">
            <v>0</v>
          </cell>
          <cell r="EZ13">
            <v>0</v>
          </cell>
          <cell r="FA13" t="e">
            <v>#DIV/0!</v>
          </cell>
          <cell r="FC13" t="str">
            <v>016 FOND</v>
          </cell>
          <cell r="FD13">
            <v>0</v>
          </cell>
          <cell r="FE13">
            <v>0</v>
          </cell>
          <cell r="FF13" t="e">
            <v>#DIV/0!</v>
          </cell>
          <cell r="FG13">
            <v>0</v>
          </cell>
          <cell r="FH13">
            <v>0</v>
          </cell>
          <cell r="FI13" t="e">
            <v>#DIV/0!</v>
          </cell>
          <cell r="FJ13">
            <v>84575</v>
          </cell>
          <cell r="FK13">
            <v>78660</v>
          </cell>
          <cell r="FL13">
            <v>93.006207508128881</v>
          </cell>
          <cell r="FM13">
            <v>610486</v>
          </cell>
          <cell r="FN13">
            <v>567756</v>
          </cell>
          <cell r="FO13">
            <v>93.000658491759026</v>
          </cell>
          <cell r="FP13">
            <v>1046187</v>
          </cell>
          <cell r="FQ13">
            <v>972960</v>
          </cell>
          <cell r="FR13">
            <v>93.000582113905068</v>
          </cell>
        </row>
        <row r="14">
          <cell r="AZ14" t="str">
            <v>017 CHARGES S.</v>
          </cell>
          <cell r="BA14">
            <v>0</v>
          </cell>
          <cell r="BB14">
            <v>0</v>
          </cell>
          <cell r="BC14" t="e">
            <v>#DIV/0!</v>
          </cell>
          <cell r="BD14">
            <v>250157</v>
          </cell>
          <cell r="BE14">
            <v>137592</v>
          </cell>
          <cell r="BF14">
            <v>55.002258581610754</v>
          </cell>
          <cell r="BG14">
            <v>236396</v>
          </cell>
          <cell r="BH14">
            <v>130020</v>
          </cell>
          <cell r="BI14">
            <v>55.000930641804437</v>
          </cell>
          <cell r="BJ14">
            <v>170812</v>
          </cell>
          <cell r="BK14">
            <v>93948</v>
          </cell>
          <cell r="BL14">
            <v>55.000819614546991</v>
          </cell>
          <cell r="BN14" t="str">
            <v>017 CHARGES S.</v>
          </cell>
          <cell r="BO14">
            <v>223213</v>
          </cell>
          <cell r="BP14">
            <v>122772</v>
          </cell>
          <cell r="BQ14">
            <v>55.002172812515404</v>
          </cell>
          <cell r="BR14">
            <v>154015</v>
          </cell>
          <cell r="BS14">
            <v>84708</v>
          </cell>
          <cell r="BT14">
            <v>54.999837678148232</v>
          </cell>
          <cell r="BU14">
            <v>206257</v>
          </cell>
          <cell r="BV14">
            <v>113436</v>
          </cell>
          <cell r="BW14">
            <v>54.997406148639804</v>
          </cell>
          <cell r="BX14">
            <v>0</v>
          </cell>
          <cell r="BY14">
            <v>0</v>
          </cell>
          <cell r="BZ14" t="e">
            <v>#DIV/0!</v>
          </cell>
          <cell r="CA14">
            <v>1240850</v>
          </cell>
          <cell r="CB14">
            <v>682476</v>
          </cell>
          <cell r="CC14">
            <v>55.000685014304707</v>
          </cell>
          <cell r="CE14" t="str">
            <v>017 CHARGES S.</v>
          </cell>
          <cell r="CF14">
            <v>620263</v>
          </cell>
          <cell r="CG14">
            <v>415572</v>
          </cell>
          <cell r="CH14">
            <v>66.999321255660902</v>
          </cell>
          <cell r="CI14">
            <v>880298</v>
          </cell>
          <cell r="CJ14">
            <v>589800</v>
          </cell>
          <cell r="CK14">
            <v>67.000038623284382</v>
          </cell>
          <cell r="CL14">
            <v>0</v>
          </cell>
          <cell r="CM14">
            <v>0</v>
          </cell>
          <cell r="CN14" t="e">
            <v>#DIV/0!</v>
          </cell>
          <cell r="CO14">
            <v>0</v>
          </cell>
          <cell r="CP14">
            <v>0</v>
          </cell>
          <cell r="CQ14" t="e">
            <v>#DIV/0!</v>
          </cell>
          <cell r="CR14">
            <v>1500561</v>
          </cell>
          <cell r="CS14">
            <v>1005372</v>
          </cell>
          <cell r="CT14">
            <v>66.999742096455932</v>
          </cell>
          <cell r="CV14" t="str">
            <v>017 CHARGES S.</v>
          </cell>
          <cell r="CW14">
            <v>3561</v>
          </cell>
          <cell r="CX14">
            <v>3312</v>
          </cell>
          <cell r="CY14">
            <v>93.007582139848353</v>
          </cell>
          <cell r="CZ14">
            <v>968313</v>
          </cell>
          <cell r="DA14">
            <v>900528</v>
          </cell>
          <cell r="DB14">
            <v>92.999680888307807</v>
          </cell>
          <cell r="DC14">
            <v>0</v>
          </cell>
          <cell r="DD14">
            <v>0</v>
          </cell>
          <cell r="DE14" t="e">
            <v>#DIV/0!</v>
          </cell>
          <cell r="DF14">
            <v>971874</v>
          </cell>
          <cell r="DG14">
            <v>903840</v>
          </cell>
          <cell r="DH14">
            <v>92.999709838929732</v>
          </cell>
          <cell r="DJ14" t="str">
            <v>017 CHARGES S.</v>
          </cell>
          <cell r="DK14">
            <v>1694658</v>
          </cell>
          <cell r="DL14">
            <v>1576032</v>
          </cell>
          <cell r="DM14">
            <v>93.000003540537378</v>
          </cell>
          <cell r="DN14">
            <v>0</v>
          </cell>
          <cell r="DO14">
            <v>0</v>
          </cell>
          <cell r="DP14" t="e">
            <v>#DIV/0!</v>
          </cell>
          <cell r="DQ14">
            <v>0</v>
          </cell>
          <cell r="DR14">
            <v>0</v>
          </cell>
          <cell r="DS14" t="e">
            <v>#DIV/0!</v>
          </cell>
          <cell r="DT14">
            <v>0</v>
          </cell>
          <cell r="DU14">
            <v>0</v>
          </cell>
          <cell r="DV14" t="e">
            <v>#DIV/0!</v>
          </cell>
          <cell r="DX14" t="str">
            <v>017 CHARGES S.</v>
          </cell>
          <cell r="DY14">
            <v>0</v>
          </cell>
          <cell r="DZ14">
            <v>0</v>
          </cell>
          <cell r="EA14" t="e">
            <v>#DIV/0!</v>
          </cell>
          <cell r="EB14">
            <v>0</v>
          </cell>
          <cell r="EC14">
            <v>0</v>
          </cell>
          <cell r="ED14" t="e">
            <v>#DIV/0!</v>
          </cell>
          <cell r="EE14">
            <v>482704</v>
          </cell>
          <cell r="EF14">
            <v>448920</v>
          </cell>
          <cell r="EG14">
            <v>93.001093838045676</v>
          </cell>
          <cell r="EH14">
            <v>441601</v>
          </cell>
          <cell r="EI14">
            <v>410688</v>
          </cell>
          <cell r="EJ14">
            <v>92.999789402650805</v>
          </cell>
          <cell r="EK14">
            <v>2618963</v>
          </cell>
          <cell r="EL14">
            <v>2435640</v>
          </cell>
          <cell r="EM14">
            <v>93.000168387258626</v>
          </cell>
          <cell r="EO14" t="str">
            <v>017 CHARGES S.</v>
          </cell>
          <cell r="EP14">
            <v>185700</v>
          </cell>
          <cell r="EQ14">
            <v>172704</v>
          </cell>
          <cell r="ER14">
            <v>93.001615508885294</v>
          </cell>
          <cell r="ES14">
            <v>0</v>
          </cell>
          <cell r="ET14">
            <v>0</v>
          </cell>
          <cell r="EU14" t="e">
            <v>#DIV/0!</v>
          </cell>
          <cell r="EV14">
            <v>31796</v>
          </cell>
          <cell r="EW14">
            <v>29568</v>
          </cell>
          <cell r="EX14">
            <v>92.99282928670273</v>
          </cell>
          <cell r="EY14">
            <v>0</v>
          </cell>
          <cell r="EZ14">
            <v>0</v>
          </cell>
          <cell r="FA14" t="e">
            <v>#DIV/0!</v>
          </cell>
          <cell r="FC14" t="str">
            <v>017 CHARGES S.</v>
          </cell>
          <cell r="FD14">
            <v>0</v>
          </cell>
          <cell r="FE14">
            <v>0</v>
          </cell>
          <cell r="FF14" t="e">
            <v>#DIV/0!</v>
          </cell>
          <cell r="FG14">
            <v>0</v>
          </cell>
          <cell r="FH14">
            <v>0</v>
          </cell>
          <cell r="FI14" t="e">
            <v>#DIV/0!</v>
          </cell>
          <cell r="FJ14">
            <v>50089</v>
          </cell>
          <cell r="FK14">
            <v>46584</v>
          </cell>
          <cell r="FL14">
            <v>93.002455628980414</v>
          </cell>
          <cell r="FM14">
            <v>350604</v>
          </cell>
          <cell r="FN14">
            <v>326064</v>
          </cell>
          <cell r="FO14">
            <v>93.000650306328509</v>
          </cell>
          <cell r="FP14">
            <v>618189</v>
          </cell>
          <cell r="FQ14">
            <v>574920</v>
          </cell>
          <cell r="FR14">
            <v>93.000684256756429</v>
          </cell>
        </row>
        <row r="15">
          <cell r="AZ15" t="str">
            <v>022 TAMCA</v>
          </cell>
          <cell r="BA15">
            <v>0</v>
          </cell>
          <cell r="BB15">
            <v>0</v>
          </cell>
          <cell r="BC15" t="e">
            <v>#DIV/0!</v>
          </cell>
          <cell r="BD15">
            <v>116866</v>
          </cell>
          <cell r="BE15">
            <v>64272</v>
          </cell>
          <cell r="BF15">
            <v>54.996320572279366</v>
          </cell>
          <cell r="BG15">
            <v>42780</v>
          </cell>
          <cell r="BH15">
            <v>23532</v>
          </cell>
          <cell r="BI15">
            <v>55.007012622720893</v>
          </cell>
          <cell r="BJ15">
            <v>71439</v>
          </cell>
          <cell r="BK15">
            <v>39288</v>
          </cell>
          <cell r="BL15">
            <v>54.995170705077058</v>
          </cell>
          <cell r="BN15" t="str">
            <v>022 TAMCA</v>
          </cell>
          <cell r="BO15">
            <v>96275</v>
          </cell>
          <cell r="BP15">
            <v>52956</v>
          </cell>
          <cell r="BQ15">
            <v>55.004933783432875</v>
          </cell>
          <cell r="BR15">
            <v>52591</v>
          </cell>
          <cell r="BS15">
            <v>28920</v>
          </cell>
          <cell r="BT15">
            <v>54.990397596546934</v>
          </cell>
          <cell r="BU15">
            <v>73512</v>
          </cell>
          <cell r="BV15">
            <v>40428</v>
          </cell>
          <cell r="BW15">
            <v>54.995102840352594</v>
          </cell>
          <cell r="BX15">
            <v>0</v>
          </cell>
          <cell r="BY15">
            <v>0</v>
          </cell>
          <cell r="BZ15" t="e">
            <v>#DIV/0!</v>
          </cell>
          <cell r="CA15">
            <v>453463</v>
          </cell>
          <cell r="CB15">
            <v>249396</v>
          </cell>
          <cell r="CC15">
            <v>54.998092457378</v>
          </cell>
          <cell r="CE15" t="str">
            <v>022 TAMCA</v>
          </cell>
          <cell r="CF15">
            <v>247483</v>
          </cell>
          <cell r="CG15">
            <v>165816</v>
          </cell>
          <cell r="CH15">
            <v>67.000965722898144</v>
          </cell>
          <cell r="CI15">
            <v>381990</v>
          </cell>
          <cell r="CJ15">
            <v>255936</v>
          </cell>
          <cell r="CK15">
            <v>67.000706824785993</v>
          </cell>
          <cell r="CL15">
            <v>0</v>
          </cell>
          <cell r="CM15">
            <v>0</v>
          </cell>
          <cell r="CN15" t="e">
            <v>#DIV/0!</v>
          </cell>
          <cell r="CO15">
            <v>0</v>
          </cell>
          <cell r="CP15">
            <v>0</v>
          </cell>
          <cell r="CQ15" t="e">
            <v>#DIV/0!</v>
          </cell>
          <cell r="CR15">
            <v>629473</v>
          </cell>
          <cell r="CS15">
            <v>421752</v>
          </cell>
          <cell r="CT15">
            <v>67.000808612919059</v>
          </cell>
          <cell r="CV15" t="str">
            <v>022 TAMCA</v>
          </cell>
          <cell r="CW15">
            <v>0</v>
          </cell>
          <cell r="CX15">
            <v>0</v>
          </cell>
          <cell r="CY15" t="e">
            <v>#DIV/0!</v>
          </cell>
          <cell r="CZ15">
            <v>90260</v>
          </cell>
          <cell r="DA15">
            <v>83940</v>
          </cell>
          <cell r="DB15">
            <v>92.998005761134507</v>
          </cell>
          <cell r="DC15">
            <v>0</v>
          </cell>
          <cell r="DD15">
            <v>0</v>
          </cell>
          <cell r="DE15" t="e">
            <v>#DIV/0!</v>
          </cell>
          <cell r="DF15">
            <v>90260</v>
          </cell>
          <cell r="DG15">
            <v>83940</v>
          </cell>
          <cell r="DH15">
            <v>92.998005761134507</v>
          </cell>
          <cell r="DJ15" t="str">
            <v>022 TAMCA</v>
          </cell>
          <cell r="DK15">
            <v>390576</v>
          </cell>
          <cell r="DL15">
            <v>363240</v>
          </cell>
          <cell r="DM15">
            <v>93.001106058744014</v>
          </cell>
          <cell r="DN15">
            <v>0</v>
          </cell>
          <cell r="DO15">
            <v>0</v>
          </cell>
          <cell r="DP15" t="e">
            <v>#DIV/0!</v>
          </cell>
          <cell r="DQ15">
            <v>0</v>
          </cell>
          <cell r="DR15">
            <v>0</v>
          </cell>
          <cell r="DS15" t="e">
            <v>#DIV/0!</v>
          </cell>
          <cell r="DT15">
            <v>0</v>
          </cell>
          <cell r="DU15">
            <v>0</v>
          </cell>
          <cell r="DV15" t="e">
            <v>#DIV/0!</v>
          </cell>
          <cell r="DX15" t="str">
            <v>022 TAMCA</v>
          </cell>
          <cell r="DY15">
            <v>0</v>
          </cell>
          <cell r="DZ15">
            <v>0</v>
          </cell>
          <cell r="EA15" t="e">
            <v>#DIV/0!</v>
          </cell>
          <cell r="EB15">
            <v>0</v>
          </cell>
          <cell r="EC15">
            <v>0</v>
          </cell>
          <cell r="ED15" t="e">
            <v>#DIV/0!</v>
          </cell>
          <cell r="EE15">
            <v>79046</v>
          </cell>
          <cell r="EF15">
            <v>73512</v>
          </cell>
          <cell r="EG15">
            <v>92.999013232801147</v>
          </cell>
          <cell r="EH15">
            <v>287120</v>
          </cell>
          <cell r="EI15">
            <v>267024</v>
          </cell>
          <cell r="EJ15">
            <v>93.000835887433837</v>
          </cell>
          <cell r="EK15">
            <v>756742</v>
          </cell>
          <cell r="EL15">
            <v>703776</v>
          </cell>
          <cell r="EM15">
            <v>93.000784943877832</v>
          </cell>
          <cell r="EO15" t="str">
            <v>022 TAMCA</v>
          </cell>
          <cell r="EP15">
            <v>268601</v>
          </cell>
          <cell r="EQ15">
            <v>249804</v>
          </cell>
          <cell r="ER15">
            <v>93.001887558125247</v>
          </cell>
          <cell r="ES15">
            <v>0</v>
          </cell>
          <cell r="ET15">
            <v>0</v>
          </cell>
          <cell r="EU15" t="e">
            <v>#DIV/0!</v>
          </cell>
          <cell r="EV15">
            <v>0</v>
          </cell>
          <cell r="EW15">
            <v>0</v>
          </cell>
          <cell r="EX15" t="e">
            <v>#DIV/0!</v>
          </cell>
          <cell r="EY15">
            <v>57441</v>
          </cell>
          <cell r="EZ15">
            <v>53424</v>
          </cell>
          <cell r="FA15">
            <v>93.006737347887409</v>
          </cell>
          <cell r="FC15" t="str">
            <v>022 TAMCA</v>
          </cell>
          <cell r="FD15">
            <v>0</v>
          </cell>
          <cell r="FE15">
            <v>0</v>
          </cell>
          <cell r="FF15" t="e">
            <v>#DIV/0!</v>
          </cell>
          <cell r="FG15">
            <v>0</v>
          </cell>
          <cell r="FH15">
            <v>0</v>
          </cell>
          <cell r="FI15" t="e">
            <v>#DIV/0!</v>
          </cell>
          <cell r="FJ15">
            <v>239325</v>
          </cell>
          <cell r="FK15">
            <v>222576</v>
          </cell>
          <cell r="FL15">
            <v>93.001566906925731</v>
          </cell>
          <cell r="FM15">
            <v>232319</v>
          </cell>
          <cell r="FN15">
            <v>216060</v>
          </cell>
          <cell r="FO15">
            <v>93.001433373938426</v>
          </cell>
          <cell r="FP15">
            <v>797686</v>
          </cell>
          <cell r="FQ15">
            <v>741864</v>
          </cell>
          <cell r="FR15">
            <v>93.002008309033883</v>
          </cell>
        </row>
        <row r="16">
          <cell r="AZ16" t="str">
            <v>023 CHARGES S.</v>
          </cell>
          <cell r="BA16">
            <v>0</v>
          </cell>
          <cell r="BB16">
            <v>0</v>
          </cell>
          <cell r="BC16" t="e">
            <v>#DIV/0!</v>
          </cell>
          <cell r="BD16">
            <v>39815</v>
          </cell>
          <cell r="BE16">
            <v>21900</v>
          </cell>
          <cell r="BF16">
            <v>55.004395328393819</v>
          </cell>
          <cell r="BG16">
            <v>17950</v>
          </cell>
          <cell r="BH16">
            <v>9876</v>
          </cell>
          <cell r="BI16">
            <v>55.019498607242348</v>
          </cell>
          <cell r="BJ16">
            <v>40023</v>
          </cell>
          <cell r="BK16">
            <v>22008</v>
          </cell>
          <cell r="BL16">
            <v>54.988381680533692</v>
          </cell>
          <cell r="BN16" t="str">
            <v>023 CHARGES S.</v>
          </cell>
          <cell r="BO16">
            <v>23445</v>
          </cell>
          <cell r="BP16">
            <v>12900</v>
          </cell>
          <cell r="BQ16">
            <v>55.022392834293022</v>
          </cell>
          <cell r="BR16">
            <v>17541</v>
          </cell>
          <cell r="BS16">
            <v>9648</v>
          </cell>
          <cell r="BT16">
            <v>55.002565418163165</v>
          </cell>
          <cell r="BU16">
            <v>30975</v>
          </cell>
          <cell r="BV16">
            <v>17040</v>
          </cell>
          <cell r="BW16">
            <v>55.012106537530272</v>
          </cell>
          <cell r="BX16">
            <v>0</v>
          </cell>
          <cell r="BY16">
            <v>0</v>
          </cell>
          <cell r="BZ16" t="e">
            <v>#DIV/0!</v>
          </cell>
          <cell r="CA16">
            <v>169749</v>
          </cell>
          <cell r="CB16">
            <v>93372</v>
          </cell>
          <cell r="CC16">
            <v>55.005920506159086</v>
          </cell>
          <cell r="CE16" t="str">
            <v>023 CHARGES S.</v>
          </cell>
          <cell r="CF16">
            <v>70435</v>
          </cell>
          <cell r="CG16">
            <v>47196</v>
          </cell>
          <cell r="CH16">
            <v>67.006459856605389</v>
          </cell>
          <cell r="CI16">
            <v>149124</v>
          </cell>
          <cell r="CJ16">
            <v>99912</v>
          </cell>
          <cell r="CK16">
            <v>66.999275770499722</v>
          </cell>
          <cell r="CL16">
            <v>0</v>
          </cell>
          <cell r="CM16">
            <v>0</v>
          </cell>
          <cell r="CN16" t="e">
            <v>#DIV/0!</v>
          </cell>
          <cell r="CO16">
            <v>0</v>
          </cell>
          <cell r="CP16">
            <v>0</v>
          </cell>
          <cell r="CQ16" t="e">
            <v>#DIV/0!</v>
          </cell>
          <cell r="CR16">
            <v>219559</v>
          </cell>
          <cell r="CS16">
            <v>147108</v>
          </cell>
          <cell r="CT16">
            <v>67.001580440792679</v>
          </cell>
          <cell r="CV16" t="str">
            <v>023 CHARGES S.</v>
          </cell>
          <cell r="CW16">
            <v>0</v>
          </cell>
          <cell r="CX16">
            <v>0</v>
          </cell>
          <cell r="CY16" t="e">
            <v>#DIV/0!</v>
          </cell>
          <cell r="CZ16">
            <v>16906</v>
          </cell>
          <cell r="DA16">
            <v>15720</v>
          </cell>
          <cell r="DB16">
            <v>92.984739145865376</v>
          </cell>
          <cell r="DC16">
            <v>0</v>
          </cell>
          <cell r="DD16">
            <v>0</v>
          </cell>
          <cell r="DE16" t="e">
            <v>#DIV/0!</v>
          </cell>
          <cell r="DF16">
            <v>16906</v>
          </cell>
          <cell r="DG16">
            <v>15720</v>
          </cell>
          <cell r="DH16">
            <v>92.984739145865376</v>
          </cell>
          <cell r="DJ16" t="str">
            <v>023 CHARGES S.</v>
          </cell>
          <cell r="DK16">
            <v>138165</v>
          </cell>
          <cell r="DL16">
            <v>128496</v>
          </cell>
          <cell r="DM16">
            <v>93.001845619368154</v>
          </cell>
          <cell r="DN16">
            <v>0</v>
          </cell>
          <cell r="DO16">
            <v>0</v>
          </cell>
          <cell r="DP16" t="e">
            <v>#DIV/0!</v>
          </cell>
          <cell r="DQ16">
            <v>0</v>
          </cell>
          <cell r="DR16">
            <v>0</v>
          </cell>
          <cell r="DS16" t="e">
            <v>#DIV/0!</v>
          </cell>
          <cell r="DT16">
            <v>0</v>
          </cell>
          <cell r="DU16">
            <v>0</v>
          </cell>
          <cell r="DV16" t="e">
            <v>#DIV/0!</v>
          </cell>
          <cell r="DX16" t="str">
            <v>023 CHARGES S.</v>
          </cell>
          <cell r="DY16">
            <v>0</v>
          </cell>
          <cell r="DZ16">
            <v>0</v>
          </cell>
          <cell r="EA16" t="e">
            <v>#DIV/0!</v>
          </cell>
          <cell r="EB16">
            <v>0</v>
          </cell>
          <cell r="EC16">
            <v>0</v>
          </cell>
          <cell r="ED16" t="e">
            <v>#DIV/0!</v>
          </cell>
          <cell r="EE16">
            <v>42243</v>
          </cell>
          <cell r="EF16">
            <v>39288</v>
          </cell>
          <cell r="EG16">
            <v>93.004758184788017</v>
          </cell>
          <cell r="EH16">
            <v>107873</v>
          </cell>
          <cell r="EI16">
            <v>100320</v>
          </cell>
          <cell r="EJ16">
            <v>92.998247939706886</v>
          </cell>
          <cell r="EK16">
            <v>288281</v>
          </cell>
          <cell r="EL16">
            <v>268104</v>
          </cell>
          <cell r="EM16">
            <v>93.000926179664972</v>
          </cell>
          <cell r="EO16" t="str">
            <v>023 CHARGES S.</v>
          </cell>
          <cell r="EP16">
            <v>93143</v>
          </cell>
          <cell r="EQ16">
            <v>86628</v>
          </cell>
          <cell r="ER16">
            <v>93.005378826106096</v>
          </cell>
          <cell r="ES16">
            <v>0</v>
          </cell>
          <cell r="ET16">
            <v>0</v>
          </cell>
          <cell r="EU16" t="e">
            <v>#DIV/0!</v>
          </cell>
          <cell r="EV16">
            <v>0</v>
          </cell>
          <cell r="EW16">
            <v>0</v>
          </cell>
          <cell r="EX16" t="e">
            <v>#DIV/0!</v>
          </cell>
          <cell r="EY16">
            <v>26426</v>
          </cell>
          <cell r="EZ16">
            <v>24576</v>
          </cell>
          <cell r="FA16">
            <v>92.999318852645118</v>
          </cell>
          <cell r="FC16" t="str">
            <v>023 CHARGES S.</v>
          </cell>
          <cell r="FD16">
            <v>0</v>
          </cell>
          <cell r="FE16">
            <v>0</v>
          </cell>
          <cell r="FF16" t="e">
            <v>#DIV/0!</v>
          </cell>
          <cell r="FG16">
            <v>0</v>
          </cell>
          <cell r="FH16">
            <v>0</v>
          </cell>
          <cell r="FI16" t="e">
            <v>#DIV/0!</v>
          </cell>
          <cell r="FJ16">
            <v>96569</v>
          </cell>
          <cell r="FK16">
            <v>89808</v>
          </cell>
          <cell r="FL16">
            <v>92.998788431070011</v>
          </cell>
          <cell r="FM16">
            <v>69438</v>
          </cell>
          <cell r="FN16">
            <v>64572</v>
          </cell>
          <cell r="FO16">
            <v>92.992309686338899</v>
          </cell>
          <cell r="FP16">
            <v>285576</v>
          </cell>
          <cell r="FQ16">
            <v>265584</v>
          </cell>
          <cell r="FR16">
            <v>92.999411715270185</v>
          </cell>
        </row>
        <row r="17">
          <cell r="AZ17" t="str">
            <v>035 P. P. rel. OS 824 OE</v>
          </cell>
          <cell r="BA17">
            <v>0</v>
          </cell>
          <cell r="BB17">
            <v>0</v>
          </cell>
          <cell r="BC17" t="e">
            <v>#DIV/0!</v>
          </cell>
          <cell r="BD17">
            <v>3264</v>
          </cell>
          <cell r="BE17">
            <v>1800</v>
          </cell>
          <cell r="BF17">
            <v>55.147058823529413</v>
          </cell>
          <cell r="BG17">
            <v>16785</v>
          </cell>
          <cell r="BH17">
            <v>9228</v>
          </cell>
          <cell r="BI17">
            <v>54.977658623771219</v>
          </cell>
          <cell r="BJ17">
            <v>5974</v>
          </cell>
          <cell r="BK17">
            <v>3288</v>
          </cell>
          <cell r="BL17">
            <v>55.038500167392037</v>
          </cell>
          <cell r="BN17" t="str">
            <v>035 P. P. rel. OS 824 OE</v>
          </cell>
          <cell r="BO17">
            <v>4641</v>
          </cell>
          <cell r="BP17">
            <v>2556</v>
          </cell>
          <cell r="BQ17">
            <v>55.074337427278607</v>
          </cell>
          <cell r="BR17">
            <v>5091</v>
          </cell>
          <cell r="BS17">
            <v>2796</v>
          </cell>
          <cell r="BT17">
            <v>54.920447849145546</v>
          </cell>
          <cell r="BU17">
            <v>5784</v>
          </cell>
          <cell r="BV17">
            <v>3180</v>
          </cell>
          <cell r="BW17">
            <v>54.979253112033199</v>
          </cell>
          <cell r="BX17">
            <v>0</v>
          </cell>
          <cell r="BY17">
            <v>0</v>
          </cell>
          <cell r="BZ17" t="e">
            <v>#DIV/0!</v>
          </cell>
          <cell r="CA17">
            <v>41539</v>
          </cell>
          <cell r="CB17">
            <v>22848</v>
          </cell>
          <cell r="CC17">
            <v>55.003731433111049</v>
          </cell>
          <cell r="CE17" t="str">
            <v>035 P. P. rel. OS 824 OE</v>
          </cell>
          <cell r="CF17">
            <v>28123</v>
          </cell>
          <cell r="CG17">
            <v>18840</v>
          </cell>
          <cell r="CH17">
            <v>66.991430501724565</v>
          </cell>
          <cell r="CI17">
            <v>33705</v>
          </cell>
          <cell r="CJ17">
            <v>22584</v>
          </cell>
          <cell r="CK17">
            <v>67.004895416110372</v>
          </cell>
          <cell r="CL17">
            <v>0</v>
          </cell>
          <cell r="CM17">
            <v>0</v>
          </cell>
          <cell r="CN17" t="e">
            <v>#DIV/0!</v>
          </cell>
          <cell r="CO17">
            <v>0</v>
          </cell>
          <cell r="CP17">
            <v>0</v>
          </cell>
          <cell r="CQ17" t="e">
            <v>#DIV/0!</v>
          </cell>
          <cell r="CR17">
            <v>61828</v>
          </cell>
          <cell r="CS17">
            <v>41424</v>
          </cell>
          <cell r="CT17">
            <v>66.998770783463797</v>
          </cell>
          <cell r="CV17" t="str">
            <v>035 P. P. rel. OS 824 OE</v>
          </cell>
          <cell r="CW17">
            <v>0</v>
          </cell>
          <cell r="CX17">
            <v>0</v>
          </cell>
          <cell r="CY17" t="e">
            <v>#DIV/0!</v>
          </cell>
          <cell r="CZ17">
            <v>8057</v>
          </cell>
          <cell r="DA17">
            <v>7488</v>
          </cell>
          <cell r="DB17">
            <v>92.937818046419267</v>
          </cell>
          <cell r="DC17">
            <v>0</v>
          </cell>
          <cell r="DD17">
            <v>0</v>
          </cell>
          <cell r="DE17" t="e">
            <v>#DIV/0!</v>
          </cell>
          <cell r="DF17">
            <v>8057</v>
          </cell>
          <cell r="DG17">
            <v>7488</v>
          </cell>
          <cell r="DH17">
            <v>92.937818046419267</v>
          </cell>
          <cell r="DJ17" t="str">
            <v>035 P. P. rel. OS 824 OE</v>
          </cell>
          <cell r="DK17">
            <v>38422</v>
          </cell>
          <cell r="DL17">
            <v>35736</v>
          </cell>
          <cell r="DM17">
            <v>93.009213471448646</v>
          </cell>
          <cell r="DN17">
            <v>0</v>
          </cell>
          <cell r="DO17">
            <v>0</v>
          </cell>
          <cell r="DP17" t="e">
            <v>#DIV/0!</v>
          </cell>
          <cell r="DQ17">
            <v>0</v>
          </cell>
          <cell r="DR17">
            <v>0</v>
          </cell>
          <cell r="DS17" t="e">
            <v>#DIV/0!</v>
          </cell>
          <cell r="DT17">
            <v>0</v>
          </cell>
          <cell r="DU17">
            <v>0</v>
          </cell>
          <cell r="DV17" t="e">
            <v>#DIV/0!</v>
          </cell>
          <cell r="DX17" t="str">
            <v>035 P. P. rel. OS 824 OE</v>
          </cell>
          <cell r="DY17">
            <v>0</v>
          </cell>
          <cell r="DZ17">
            <v>0</v>
          </cell>
          <cell r="EA17" t="e">
            <v>#DIV/0!</v>
          </cell>
          <cell r="EB17">
            <v>0</v>
          </cell>
          <cell r="EC17">
            <v>0</v>
          </cell>
          <cell r="ED17" t="e">
            <v>#DIV/0!</v>
          </cell>
          <cell r="EE17">
            <v>5295</v>
          </cell>
          <cell r="EF17">
            <v>4920</v>
          </cell>
          <cell r="EG17">
            <v>92.917847025495746</v>
          </cell>
          <cell r="EH17">
            <v>14041</v>
          </cell>
          <cell r="EI17">
            <v>13056</v>
          </cell>
          <cell r="EJ17">
            <v>92.984830140303401</v>
          </cell>
          <cell r="EK17">
            <v>57758</v>
          </cell>
          <cell r="EL17">
            <v>53712</v>
          </cell>
          <cell r="EM17">
            <v>92.994909796045562</v>
          </cell>
          <cell r="EO17" t="str">
            <v>035 P. P. rel. OS 824 OE</v>
          </cell>
          <cell r="EP17">
            <v>60792</v>
          </cell>
          <cell r="EQ17">
            <v>56532</v>
          </cell>
          <cell r="ER17">
            <v>92.992499013028024</v>
          </cell>
          <cell r="ES17">
            <v>0</v>
          </cell>
          <cell r="ET17">
            <v>0</v>
          </cell>
          <cell r="EU17" t="e">
            <v>#DIV/0!</v>
          </cell>
          <cell r="EV17">
            <v>6021</v>
          </cell>
          <cell r="EW17">
            <v>5604</v>
          </cell>
          <cell r="EX17">
            <v>93.074240159441956</v>
          </cell>
          <cell r="EY17">
            <v>0</v>
          </cell>
          <cell r="EZ17">
            <v>0</v>
          </cell>
          <cell r="FA17" t="e">
            <v>#DIV/0!</v>
          </cell>
          <cell r="FC17" t="str">
            <v>035 P. P. rel. OS 824 OE</v>
          </cell>
          <cell r="FD17">
            <v>0</v>
          </cell>
          <cell r="FE17">
            <v>0</v>
          </cell>
          <cell r="FF17" t="e">
            <v>#DIV/0!</v>
          </cell>
          <cell r="FG17">
            <v>0</v>
          </cell>
          <cell r="FH17">
            <v>0</v>
          </cell>
          <cell r="FI17" t="e">
            <v>#DIV/0!</v>
          </cell>
          <cell r="FJ17">
            <v>13907</v>
          </cell>
          <cell r="FK17">
            <v>12936</v>
          </cell>
          <cell r="FL17">
            <v>93.017904652333357</v>
          </cell>
          <cell r="FM17">
            <v>37308</v>
          </cell>
          <cell r="FN17">
            <v>34692</v>
          </cell>
          <cell r="FO17">
            <v>92.988099067224184</v>
          </cell>
          <cell r="FP17">
            <v>118028</v>
          </cell>
          <cell r="FQ17">
            <v>109764</v>
          </cell>
          <cell r="FR17">
            <v>92.998271596570305</v>
          </cell>
        </row>
        <row r="18">
          <cell r="AZ18" t="str">
            <v>036 P. P. REC. rel. OS 824 OE</v>
          </cell>
          <cell r="BA18">
            <v>0</v>
          </cell>
          <cell r="BB18">
            <v>0</v>
          </cell>
          <cell r="BC18" t="e">
            <v>#DIV/0!</v>
          </cell>
          <cell r="BD18">
            <v>1292</v>
          </cell>
          <cell r="BE18">
            <v>708</v>
          </cell>
          <cell r="BF18">
            <v>54.798761609907118</v>
          </cell>
          <cell r="BG18">
            <v>2896</v>
          </cell>
          <cell r="BH18">
            <v>1596</v>
          </cell>
          <cell r="BI18">
            <v>55.110497237569056</v>
          </cell>
          <cell r="BJ18">
            <v>1765</v>
          </cell>
          <cell r="BK18">
            <v>972</v>
          </cell>
          <cell r="BL18">
            <v>55.070821529745039</v>
          </cell>
          <cell r="BN18" t="str">
            <v>036 P. P. REC. rel. OS 824 OE</v>
          </cell>
          <cell r="BO18">
            <v>2571</v>
          </cell>
          <cell r="BP18">
            <v>1416</v>
          </cell>
          <cell r="BQ18">
            <v>55.075845974329049</v>
          </cell>
          <cell r="BR18">
            <v>2845</v>
          </cell>
          <cell r="BS18">
            <v>1560</v>
          </cell>
          <cell r="BT18">
            <v>54.833040421792624</v>
          </cell>
          <cell r="BU18">
            <v>4649</v>
          </cell>
          <cell r="BV18">
            <v>2556</v>
          </cell>
          <cell r="BW18">
            <v>54.97956549795655</v>
          </cell>
          <cell r="BX18">
            <v>0</v>
          </cell>
          <cell r="BY18">
            <v>0</v>
          </cell>
          <cell r="BZ18" t="e">
            <v>#DIV/0!</v>
          </cell>
          <cell r="CA18">
            <v>16018</v>
          </cell>
          <cell r="CB18">
            <v>8808</v>
          </cell>
          <cell r="CC18">
            <v>54.988138344362589</v>
          </cell>
          <cell r="CE18" t="str">
            <v>036 P. P. REC. rel. OS 824 OE</v>
          </cell>
          <cell r="CF18">
            <v>20921</v>
          </cell>
          <cell r="CG18">
            <v>14016</v>
          </cell>
          <cell r="CH18">
            <v>66.994885521724584</v>
          </cell>
          <cell r="CI18">
            <v>27017</v>
          </cell>
          <cell r="CJ18">
            <v>18096</v>
          </cell>
          <cell r="CK18">
            <v>66.98004959840101</v>
          </cell>
          <cell r="CL18">
            <v>0</v>
          </cell>
          <cell r="CM18">
            <v>0</v>
          </cell>
          <cell r="CN18" t="e">
            <v>#DIV/0!</v>
          </cell>
          <cell r="CO18">
            <v>0</v>
          </cell>
          <cell r="CP18">
            <v>0</v>
          </cell>
          <cell r="CQ18" t="e">
            <v>#DIV/0!</v>
          </cell>
          <cell r="CR18">
            <v>47938</v>
          </cell>
          <cell r="CS18">
            <v>32112</v>
          </cell>
          <cell r="CT18">
            <v>66.98652426050316</v>
          </cell>
          <cell r="CV18" t="str">
            <v>036 P. P. REC. rel. OS 824 OE</v>
          </cell>
          <cell r="CW18">
            <v>0</v>
          </cell>
          <cell r="CX18">
            <v>0</v>
          </cell>
          <cell r="CY18" t="e">
            <v>#DIV/0!</v>
          </cell>
          <cell r="CZ18">
            <v>1428</v>
          </cell>
          <cell r="DA18">
            <v>1332</v>
          </cell>
          <cell r="DB18">
            <v>93.277310924369743</v>
          </cell>
          <cell r="DC18">
            <v>0</v>
          </cell>
          <cell r="DD18">
            <v>0</v>
          </cell>
          <cell r="DE18" t="e">
            <v>#DIV/0!</v>
          </cell>
          <cell r="DF18">
            <v>1428</v>
          </cell>
          <cell r="DG18">
            <v>1332</v>
          </cell>
          <cell r="DH18">
            <v>93.277310924369743</v>
          </cell>
          <cell r="DJ18" t="str">
            <v>036 P. P. REC. rel. OS 824 OE</v>
          </cell>
          <cell r="DK18">
            <v>22456</v>
          </cell>
          <cell r="DL18">
            <v>20880</v>
          </cell>
          <cell r="DM18">
            <v>92.981831136444598</v>
          </cell>
          <cell r="DN18">
            <v>0</v>
          </cell>
          <cell r="DO18">
            <v>0</v>
          </cell>
          <cell r="DP18" t="e">
            <v>#DIV/0!</v>
          </cell>
          <cell r="DQ18">
            <v>0</v>
          </cell>
          <cell r="DR18">
            <v>0</v>
          </cell>
          <cell r="DS18" t="e">
            <v>#DIV/0!</v>
          </cell>
          <cell r="DT18">
            <v>0</v>
          </cell>
          <cell r="DU18">
            <v>0</v>
          </cell>
          <cell r="DV18" t="e">
            <v>#DIV/0!</v>
          </cell>
          <cell r="DX18" t="str">
            <v>036 P. P. REC. rel. OS 824 OE</v>
          </cell>
          <cell r="DY18">
            <v>0</v>
          </cell>
          <cell r="DZ18">
            <v>0</v>
          </cell>
          <cell r="EA18" t="e">
            <v>#DIV/0!</v>
          </cell>
          <cell r="EB18">
            <v>0</v>
          </cell>
          <cell r="EC18">
            <v>0</v>
          </cell>
          <cell r="ED18" t="e">
            <v>#DIV/0!</v>
          </cell>
          <cell r="EE18">
            <v>1700</v>
          </cell>
          <cell r="EF18">
            <v>1584</v>
          </cell>
          <cell r="EG18">
            <v>93.17647058823529</v>
          </cell>
          <cell r="EH18">
            <v>7850</v>
          </cell>
          <cell r="EI18">
            <v>7296</v>
          </cell>
          <cell r="EJ18">
            <v>92.942675159235662</v>
          </cell>
          <cell r="EK18">
            <v>32006</v>
          </cell>
          <cell r="EL18">
            <v>29760</v>
          </cell>
          <cell r="EM18">
            <v>92.98256576891832</v>
          </cell>
          <cell r="EO18" t="str">
            <v>036 P. P. REC. rel. OS 824 OE</v>
          </cell>
          <cell r="EP18">
            <v>12755</v>
          </cell>
          <cell r="EQ18">
            <v>11868</v>
          </cell>
          <cell r="ER18">
            <v>93.045864366914927</v>
          </cell>
          <cell r="ES18">
            <v>0</v>
          </cell>
          <cell r="ET18">
            <v>0</v>
          </cell>
          <cell r="EU18" t="e">
            <v>#DIV/0!</v>
          </cell>
          <cell r="EV18">
            <v>1459</v>
          </cell>
          <cell r="EW18">
            <v>1356</v>
          </cell>
          <cell r="EX18">
            <v>92.940370116518167</v>
          </cell>
          <cell r="EY18">
            <v>0</v>
          </cell>
          <cell r="EZ18">
            <v>0</v>
          </cell>
          <cell r="FA18" t="e">
            <v>#DIV/0!</v>
          </cell>
          <cell r="FC18" t="str">
            <v>036 P. P. REC. rel. OS 824 OE</v>
          </cell>
          <cell r="FD18">
            <v>0</v>
          </cell>
          <cell r="FE18">
            <v>0</v>
          </cell>
          <cell r="FF18" t="e">
            <v>#DIV/0!</v>
          </cell>
          <cell r="FG18">
            <v>0</v>
          </cell>
          <cell r="FH18">
            <v>0</v>
          </cell>
          <cell r="FI18" t="e">
            <v>#DIV/0!</v>
          </cell>
          <cell r="FJ18">
            <v>1742</v>
          </cell>
          <cell r="FK18">
            <v>1620</v>
          </cell>
          <cell r="FL18">
            <v>92.99655568312285</v>
          </cell>
          <cell r="FM18">
            <v>19751</v>
          </cell>
          <cell r="FN18">
            <v>18372</v>
          </cell>
          <cell r="FO18">
            <v>93.018075034175482</v>
          </cell>
          <cell r="FP18">
            <v>35707</v>
          </cell>
          <cell r="FQ18">
            <v>33216</v>
          </cell>
          <cell r="FR18">
            <v>93.023776850477503</v>
          </cell>
        </row>
        <row r="19">
          <cell r="AZ19" t="str">
            <v>037 P. P. RCAR rel OS 824 OE</v>
          </cell>
          <cell r="BA19">
            <v>0</v>
          </cell>
          <cell r="BB19">
            <v>0</v>
          </cell>
          <cell r="BC19" t="e">
            <v>#DIV/0!</v>
          </cell>
          <cell r="BD19">
            <v>0</v>
          </cell>
          <cell r="BE19">
            <v>0</v>
          </cell>
          <cell r="BF19" t="e">
            <v>#DIV/0!</v>
          </cell>
          <cell r="BG19">
            <v>0</v>
          </cell>
          <cell r="BH19">
            <v>0</v>
          </cell>
          <cell r="BI19" t="e">
            <v>#DIV/0!</v>
          </cell>
          <cell r="BJ19">
            <v>0</v>
          </cell>
          <cell r="BK19">
            <v>0</v>
          </cell>
          <cell r="BL19" t="e">
            <v>#DIV/0!</v>
          </cell>
          <cell r="BN19" t="str">
            <v>037 P. P. RCAR rel OS 824 OE</v>
          </cell>
          <cell r="BO19">
            <v>0</v>
          </cell>
          <cell r="BP19">
            <v>0</v>
          </cell>
          <cell r="BQ19" t="e">
            <v>#DIV/0!</v>
          </cell>
          <cell r="BR19">
            <v>0</v>
          </cell>
          <cell r="BS19">
            <v>0</v>
          </cell>
          <cell r="BT19" t="e">
            <v>#DIV/0!</v>
          </cell>
          <cell r="BU19">
            <v>0</v>
          </cell>
          <cell r="BV19">
            <v>0</v>
          </cell>
          <cell r="BW19" t="e">
            <v>#DIV/0!</v>
          </cell>
          <cell r="BX19">
            <v>0</v>
          </cell>
          <cell r="BY19">
            <v>0</v>
          </cell>
          <cell r="BZ19" t="e">
            <v>#DIV/0!</v>
          </cell>
          <cell r="CA19">
            <v>0</v>
          </cell>
          <cell r="CB19">
            <v>0</v>
          </cell>
          <cell r="CC19" t="e">
            <v>#DIV/0!</v>
          </cell>
          <cell r="CE19" t="str">
            <v>037 P. P. RCAR rel OS 824 OE</v>
          </cell>
          <cell r="CF19">
            <v>0</v>
          </cell>
          <cell r="CG19">
            <v>0</v>
          </cell>
          <cell r="CH19" t="e">
            <v>#DIV/0!</v>
          </cell>
          <cell r="CI19">
            <v>0</v>
          </cell>
          <cell r="CJ19">
            <v>0</v>
          </cell>
          <cell r="CK19" t="e">
            <v>#DIV/0!</v>
          </cell>
          <cell r="CL19">
            <v>0</v>
          </cell>
          <cell r="CM19">
            <v>0</v>
          </cell>
          <cell r="CN19" t="e">
            <v>#DIV/0!</v>
          </cell>
          <cell r="CO19">
            <v>0</v>
          </cell>
          <cell r="CP19">
            <v>0</v>
          </cell>
          <cell r="CQ19" t="e">
            <v>#DIV/0!</v>
          </cell>
          <cell r="CR19">
            <v>0</v>
          </cell>
          <cell r="CS19">
            <v>0</v>
          </cell>
          <cell r="CT19" t="e">
            <v>#DIV/0!</v>
          </cell>
          <cell r="CV19" t="str">
            <v>037 P. P. RCAR rel OS 824 OE</v>
          </cell>
          <cell r="CW19">
            <v>0</v>
          </cell>
          <cell r="CX19">
            <v>0</v>
          </cell>
          <cell r="CY19" t="e">
            <v>#DIV/0!</v>
          </cell>
          <cell r="CZ19">
            <v>0</v>
          </cell>
          <cell r="DA19">
            <v>0</v>
          </cell>
          <cell r="DB19" t="e">
            <v>#DIV/0!</v>
          </cell>
          <cell r="DC19">
            <v>0</v>
          </cell>
          <cell r="DD19">
            <v>0</v>
          </cell>
          <cell r="DE19" t="e">
            <v>#DIV/0!</v>
          </cell>
          <cell r="DF19">
            <v>0</v>
          </cell>
          <cell r="DG19">
            <v>0</v>
          </cell>
          <cell r="DH19" t="e">
            <v>#DIV/0!</v>
          </cell>
          <cell r="DJ19" t="str">
            <v>037 P. P. RCAR rel OS 824 OE</v>
          </cell>
          <cell r="DK19">
            <v>0</v>
          </cell>
          <cell r="DL19">
            <v>0</v>
          </cell>
          <cell r="DM19" t="e">
            <v>#DIV/0!</v>
          </cell>
          <cell r="DN19">
            <v>0</v>
          </cell>
          <cell r="DO19">
            <v>0</v>
          </cell>
          <cell r="DP19" t="e">
            <v>#DIV/0!</v>
          </cell>
          <cell r="DQ19">
            <v>0</v>
          </cell>
          <cell r="DR19">
            <v>0</v>
          </cell>
          <cell r="DS19" t="e">
            <v>#DIV/0!</v>
          </cell>
          <cell r="DT19">
            <v>0</v>
          </cell>
          <cell r="DU19">
            <v>0</v>
          </cell>
          <cell r="DV19" t="e">
            <v>#DIV/0!</v>
          </cell>
          <cell r="DX19" t="str">
            <v>037 P. P. RCAR rel OS 824 OE</v>
          </cell>
          <cell r="DY19">
            <v>0</v>
          </cell>
          <cell r="DZ19">
            <v>0</v>
          </cell>
          <cell r="EA19" t="e">
            <v>#DIV/0!</v>
          </cell>
          <cell r="EB19">
            <v>0</v>
          </cell>
          <cell r="EC19">
            <v>0</v>
          </cell>
          <cell r="ED19" t="e">
            <v>#DIV/0!</v>
          </cell>
          <cell r="EE19">
            <v>0</v>
          </cell>
          <cell r="EF19">
            <v>0</v>
          </cell>
          <cell r="EG19" t="e">
            <v>#DIV/0!</v>
          </cell>
          <cell r="EH19">
            <v>0</v>
          </cell>
          <cell r="EI19">
            <v>0</v>
          </cell>
          <cell r="EJ19" t="e">
            <v>#DIV/0!</v>
          </cell>
          <cell r="EK19">
            <v>0</v>
          </cell>
          <cell r="EL19">
            <v>0</v>
          </cell>
          <cell r="EM19" t="e">
            <v>#DIV/0!</v>
          </cell>
          <cell r="EO19" t="str">
            <v>037 P. P. RCAR rel OS 824 OE</v>
          </cell>
          <cell r="EP19">
            <v>0</v>
          </cell>
          <cell r="EQ19">
            <v>0</v>
          </cell>
          <cell r="ER19" t="e">
            <v>#DIV/0!</v>
          </cell>
          <cell r="ES19">
            <v>0</v>
          </cell>
          <cell r="ET19">
            <v>0</v>
          </cell>
          <cell r="EU19" t="e">
            <v>#DIV/0!</v>
          </cell>
          <cell r="EV19">
            <v>0</v>
          </cell>
          <cell r="EW19">
            <v>0</v>
          </cell>
          <cell r="EX19" t="e">
            <v>#DIV/0!</v>
          </cell>
          <cell r="EY19">
            <v>0</v>
          </cell>
          <cell r="EZ19">
            <v>0</v>
          </cell>
          <cell r="FA19" t="e">
            <v>#DIV/0!</v>
          </cell>
          <cell r="FC19" t="str">
            <v>037 P. P. RCAR rel OS 824 OE</v>
          </cell>
          <cell r="FD19">
            <v>0</v>
          </cell>
          <cell r="FE19">
            <v>0</v>
          </cell>
          <cell r="FF19" t="e">
            <v>#DIV/0!</v>
          </cell>
          <cell r="FG19">
            <v>0</v>
          </cell>
          <cell r="FH19">
            <v>0</v>
          </cell>
          <cell r="FI19" t="e">
            <v>#DIV/0!</v>
          </cell>
          <cell r="FJ19">
            <v>0</v>
          </cell>
          <cell r="FK19">
            <v>0</v>
          </cell>
          <cell r="FL19" t="e">
            <v>#DIV/0!</v>
          </cell>
          <cell r="FM19">
            <v>0</v>
          </cell>
          <cell r="FN19">
            <v>0</v>
          </cell>
          <cell r="FO19" t="e">
            <v>#DIV/0!</v>
          </cell>
          <cell r="FP19">
            <v>0</v>
          </cell>
          <cell r="FQ19">
            <v>0</v>
          </cell>
          <cell r="FR19" t="e">
            <v>#DIV/0!</v>
          </cell>
        </row>
        <row r="20">
          <cell r="AZ20" t="str">
            <v>038 P. P. REC. RCAR OS 824 OE</v>
          </cell>
          <cell r="BA20">
            <v>0</v>
          </cell>
          <cell r="BB20">
            <v>0</v>
          </cell>
          <cell r="BC20" t="e">
            <v>#DIV/0!</v>
          </cell>
          <cell r="BD20">
            <v>0</v>
          </cell>
          <cell r="BE20">
            <v>0</v>
          </cell>
          <cell r="BF20" t="e">
            <v>#DIV/0!</v>
          </cell>
          <cell r="BG20">
            <v>0</v>
          </cell>
          <cell r="BH20">
            <v>0</v>
          </cell>
          <cell r="BI20" t="e">
            <v>#DIV/0!</v>
          </cell>
          <cell r="BJ20">
            <v>0</v>
          </cell>
          <cell r="BK20">
            <v>0</v>
          </cell>
          <cell r="BL20" t="e">
            <v>#DIV/0!</v>
          </cell>
          <cell r="BN20" t="str">
            <v>038 P. P. REC. RCAR OS 824 OE</v>
          </cell>
          <cell r="BO20">
            <v>0</v>
          </cell>
          <cell r="BP20">
            <v>0</v>
          </cell>
          <cell r="BQ20" t="e">
            <v>#DIV/0!</v>
          </cell>
          <cell r="BR20">
            <v>0</v>
          </cell>
          <cell r="BS20">
            <v>0</v>
          </cell>
          <cell r="BT20" t="e">
            <v>#DIV/0!</v>
          </cell>
          <cell r="BU20">
            <v>0</v>
          </cell>
          <cell r="BV20">
            <v>0</v>
          </cell>
          <cell r="BW20" t="e">
            <v>#DIV/0!</v>
          </cell>
          <cell r="BX20">
            <v>0</v>
          </cell>
          <cell r="BY20">
            <v>0</v>
          </cell>
          <cell r="BZ20" t="e">
            <v>#DIV/0!</v>
          </cell>
          <cell r="CA20">
            <v>0</v>
          </cell>
          <cell r="CB20">
            <v>0</v>
          </cell>
          <cell r="CC20" t="e">
            <v>#DIV/0!</v>
          </cell>
          <cell r="CE20" t="str">
            <v>038 P. P. REC. RCAR OS 824 OE</v>
          </cell>
          <cell r="CF20">
            <v>0</v>
          </cell>
          <cell r="CG20">
            <v>0</v>
          </cell>
          <cell r="CH20" t="e">
            <v>#DIV/0!</v>
          </cell>
          <cell r="CI20">
            <v>0</v>
          </cell>
          <cell r="CJ20">
            <v>0</v>
          </cell>
          <cell r="CK20" t="e">
            <v>#DIV/0!</v>
          </cell>
          <cell r="CL20">
            <v>0</v>
          </cell>
          <cell r="CM20">
            <v>0</v>
          </cell>
          <cell r="CN20" t="e">
            <v>#DIV/0!</v>
          </cell>
          <cell r="CO20">
            <v>0</v>
          </cell>
          <cell r="CP20">
            <v>0</v>
          </cell>
          <cell r="CQ20" t="e">
            <v>#DIV/0!</v>
          </cell>
          <cell r="CR20">
            <v>0</v>
          </cell>
          <cell r="CS20">
            <v>0</v>
          </cell>
          <cell r="CT20" t="e">
            <v>#DIV/0!</v>
          </cell>
          <cell r="CV20" t="str">
            <v>038 P. P. REC. RCAR OS 824 OE</v>
          </cell>
          <cell r="CW20">
            <v>0</v>
          </cell>
          <cell r="CX20">
            <v>0</v>
          </cell>
          <cell r="CY20" t="e">
            <v>#DIV/0!</v>
          </cell>
          <cell r="CZ20">
            <v>0</v>
          </cell>
          <cell r="DA20">
            <v>0</v>
          </cell>
          <cell r="DB20" t="e">
            <v>#DIV/0!</v>
          </cell>
          <cell r="DC20">
            <v>0</v>
          </cell>
          <cell r="DD20">
            <v>0</v>
          </cell>
          <cell r="DE20" t="e">
            <v>#DIV/0!</v>
          </cell>
          <cell r="DF20">
            <v>0</v>
          </cell>
          <cell r="DG20">
            <v>0</v>
          </cell>
          <cell r="DH20" t="e">
            <v>#DIV/0!</v>
          </cell>
          <cell r="DJ20" t="str">
            <v>038 P. P. REC. RCAR OS 824 OE</v>
          </cell>
          <cell r="DK20">
            <v>0</v>
          </cell>
          <cell r="DL20">
            <v>0</v>
          </cell>
          <cell r="DM20" t="e">
            <v>#DIV/0!</v>
          </cell>
          <cell r="DN20">
            <v>0</v>
          </cell>
          <cell r="DO20">
            <v>0</v>
          </cell>
          <cell r="DP20" t="e">
            <v>#DIV/0!</v>
          </cell>
          <cell r="DQ20">
            <v>0</v>
          </cell>
          <cell r="DR20">
            <v>0</v>
          </cell>
          <cell r="DS20" t="e">
            <v>#DIV/0!</v>
          </cell>
          <cell r="DT20">
            <v>0</v>
          </cell>
          <cell r="DU20">
            <v>0</v>
          </cell>
          <cell r="DV20" t="e">
            <v>#DIV/0!</v>
          </cell>
          <cell r="DX20" t="str">
            <v>038 P. P. REC. RCAR OS 824 OE</v>
          </cell>
          <cell r="DY20">
            <v>0</v>
          </cell>
          <cell r="DZ20">
            <v>0</v>
          </cell>
          <cell r="EA20" t="e">
            <v>#DIV/0!</v>
          </cell>
          <cell r="EB20">
            <v>0</v>
          </cell>
          <cell r="EC20">
            <v>0</v>
          </cell>
          <cell r="ED20" t="e">
            <v>#DIV/0!</v>
          </cell>
          <cell r="EE20">
            <v>0</v>
          </cell>
          <cell r="EF20">
            <v>0</v>
          </cell>
          <cell r="EG20" t="e">
            <v>#DIV/0!</v>
          </cell>
          <cell r="EH20">
            <v>0</v>
          </cell>
          <cell r="EI20">
            <v>0</v>
          </cell>
          <cell r="EJ20" t="e">
            <v>#DIV/0!</v>
          </cell>
          <cell r="EK20">
            <v>0</v>
          </cell>
          <cell r="EL20">
            <v>0</v>
          </cell>
          <cell r="EM20" t="e">
            <v>#DIV/0!</v>
          </cell>
          <cell r="EO20" t="str">
            <v>038 P. P. REC. RCAR OS 824 OE</v>
          </cell>
          <cell r="EP20">
            <v>0</v>
          </cell>
          <cell r="EQ20">
            <v>0</v>
          </cell>
          <cell r="ER20" t="e">
            <v>#DIV/0!</v>
          </cell>
          <cell r="ES20">
            <v>0</v>
          </cell>
          <cell r="ET20">
            <v>0</v>
          </cell>
          <cell r="EU20" t="e">
            <v>#DIV/0!</v>
          </cell>
          <cell r="EV20">
            <v>0</v>
          </cell>
          <cell r="EW20">
            <v>0</v>
          </cell>
          <cell r="EX20" t="e">
            <v>#DIV/0!</v>
          </cell>
          <cell r="EY20">
            <v>0</v>
          </cell>
          <cell r="EZ20">
            <v>0</v>
          </cell>
          <cell r="FA20" t="e">
            <v>#DIV/0!</v>
          </cell>
          <cell r="FC20" t="str">
            <v>038 P. P. REC. RCAR OS 824 OE</v>
          </cell>
          <cell r="FD20">
            <v>0</v>
          </cell>
          <cell r="FE20">
            <v>0</v>
          </cell>
          <cell r="FF20" t="e">
            <v>#DIV/0!</v>
          </cell>
          <cell r="FG20">
            <v>0</v>
          </cell>
          <cell r="FH20">
            <v>0</v>
          </cell>
          <cell r="FI20" t="e">
            <v>#DIV/0!</v>
          </cell>
          <cell r="FJ20">
            <v>0</v>
          </cell>
          <cell r="FK20">
            <v>0</v>
          </cell>
          <cell r="FL20" t="e">
            <v>#DIV/0!</v>
          </cell>
          <cell r="FM20">
            <v>0</v>
          </cell>
          <cell r="FN20">
            <v>0</v>
          </cell>
          <cell r="FO20" t="e">
            <v>#DIV/0!</v>
          </cell>
          <cell r="FP20">
            <v>0</v>
          </cell>
          <cell r="FQ20">
            <v>0</v>
          </cell>
          <cell r="FR20" t="e">
            <v>#DIV/0!</v>
          </cell>
        </row>
        <row r="21">
          <cell r="AZ21" t="str">
            <v>039 P. P. S/P OE TAM. HC RCAR</v>
          </cell>
          <cell r="BA21">
            <v>0</v>
          </cell>
          <cell r="BB21">
            <v>0</v>
          </cell>
          <cell r="BC21" t="e">
            <v>#DIV/0!</v>
          </cell>
          <cell r="BD21">
            <v>0</v>
          </cell>
          <cell r="BE21">
            <v>0</v>
          </cell>
          <cell r="BF21" t="e">
            <v>#DIV/0!</v>
          </cell>
          <cell r="BG21">
            <v>0</v>
          </cell>
          <cell r="BH21">
            <v>0</v>
          </cell>
          <cell r="BI21" t="e">
            <v>#DIV/0!</v>
          </cell>
          <cell r="BJ21">
            <v>0</v>
          </cell>
          <cell r="BK21">
            <v>0</v>
          </cell>
          <cell r="BL21" t="e">
            <v>#DIV/0!</v>
          </cell>
          <cell r="BN21" t="str">
            <v>039 P. P. S/P OE TAM. HC RCAR</v>
          </cell>
          <cell r="BO21">
            <v>0</v>
          </cell>
          <cell r="BP21">
            <v>0</v>
          </cell>
          <cell r="BQ21" t="e">
            <v>#DIV/0!</v>
          </cell>
          <cell r="BR21">
            <v>0</v>
          </cell>
          <cell r="BS21">
            <v>0</v>
          </cell>
          <cell r="BT21" t="e">
            <v>#DIV/0!</v>
          </cell>
          <cell r="BU21">
            <v>0</v>
          </cell>
          <cell r="BV21">
            <v>0</v>
          </cell>
          <cell r="BW21" t="e">
            <v>#DIV/0!</v>
          </cell>
          <cell r="BX21">
            <v>0</v>
          </cell>
          <cell r="BY21">
            <v>0</v>
          </cell>
          <cell r="BZ21" t="e">
            <v>#DIV/0!</v>
          </cell>
          <cell r="CA21">
            <v>0</v>
          </cell>
          <cell r="CB21">
            <v>0</v>
          </cell>
          <cell r="CC21" t="e">
            <v>#DIV/0!</v>
          </cell>
          <cell r="CE21" t="str">
            <v>039 P. P. S/P OE TAM. HC RCAR</v>
          </cell>
          <cell r="CF21">
            <v>0</v>
          </cell>
          <cell r="CG21">
            <v>0</v>
          </cell>
          <cell r="CH21" t="e">
            <v>#DIV/0!</v>
          </cell>
          <cell r="CI21">
            <v>0</v>
          </cell>
          <cell r="CJ21">
            <v>0</v>
          </cell>
          <cell r="CK21" t="e">
            <v>#DIV/0!</v>
          </cell>
          <cell r="CL21">
            <v>0</v>
          </cell>
          <cell r="CM21">
            <v>0</v>
          </cell>
          <cell r="CN21" t="e">
            <v>#DIV/0!</v>
          </cell>
          <cell r="CO21">
            <v>0</v>
          </cell>
          <cell r="CP21">
            <v>0</v>
          </cell>
          <cell r="CQ21" t="e">
            <v>#DIV/0!</v>
          </cell>
          <cell r="CR21">
            <v>0</v>
          </cell>
          <cell r="CS21">
            <v>0</v>
          </cell>
          <cell r="CT21" t="e">
            <v>#DIV/0!</v>
          </cell>
          <cell r="CV21" t="str">
            <v>039 P. P. S/P OE TAM. HC RCAR</v>
          </cell>
          <cell r="CW21">
            <v>0</v>
          </cell>
          <cell r="CX21">
            <v>0</v>
          </cell>
          <cell r="CY21" t="e">
            <v>#DIV/0!</v>
          </cell>
          <cell r="CZ21">
            <v>0</v>
          </cell>
          <cell r="DA21">
            <v>0</v>
          </cell>
          <cell r="DB21" t="e">
            <v>#DIV/0!</v>
          </cell>
          <cell r="DC21">
            <v>0</v>
          </cell>
          <cell r="DD21">
            <v>0</v>
          </cell>
          <cell r="DE21" t="e">
            <v>#DIV/0!</v>
          </cell>
          <cell r="DF21">
            <v>0</v>
          </cell>
          <cell r="DG21">
            <v>0</v>
          </cell>
          <cell r="DH21" t="e">
            <v>#DIV/0!</v>
          </cell>
          <cell r="DJ21" t="str">
            <v>039 P. P. S/P OE TAM. HC RCAR</v>
          </cell>
          <cell r="DK21">
            <v>0</v>
          </cell>
          <cell r="DL21">
            <v>0</v>
          </cell>
          <cell r="DM21" t="e">
            <v>#DIV/0!</v>
          </cell>
          <cell r="DN21">
            <v>0</v>
          </cell>
          <cell r="DO21">
            <v>0</v>
          </cell>
          <cell r="DP21" t="e">
            <v>#DIV/0!</v>
          </cell>
          <cell r="DQ21">
            <v>0</v>
          </cell>
          <cell r="DR21">
            <v>0</v>
          </cell>
          <cell r="DS21" t="e">
            <v>#DIV/0!</v>
          </cell>
          <cell r="DT21">
            <v>0</v>
          </cell>
          <cell r="DU21">
            <v>0</v>
          </cell>
          <cell r="DV21" t="e">
            <v>#DIV/0!</v>
          </cell>
          <cell r="DX21" t="str">
            <v>039 P. P. S/P OE TAM. HC RCAR</v>
          </cell>
          <cell r="DY21">
            <v>0</v>
          </cell>
          <cell r="DZ21">
            <v>0</v>
          </cell>
          <cell r="EA21" t="e">
            <v>#DIV/0!</v>
          </cell>
          <cell r="EB21">
            <v>0</v>
          </cell>
          <cell r="EC21">
            <v>0</v>
          </cell>
          <cell r="ED21" t="e">
            <v>#DIV/0!</v>
          </cell>
          <cell r="EE21">
            <v>0</v>
          </cell>
          <cell r="EF21">
            <v>0</v>
          </cell>
          <cell r="EG21" t="e">
            <v>#DIV/0!</v>
          </cell>
          <cell r="EH21">
            <v>0</v>
          </cell>
          <cell r="EI21">
            <v>0</v>
          </cell>
          <cell r="EJ21" t="e">
            <v>#DIV/0!</v>
          </cell>
          <cell r="EK21">
            <v>0</v>
          </cell>
          <cell r="EL21">
            <v>0</v>
          </cell>
          <cell r="EM21" t="e">
            <v>#DIV/0!</v>
          </cell>
          <cell r="EO21" t="str">
            <v>039 P. P. S/P OE TAM. HC RCAR</v>
          </cell>
          <cell r="EP21">
            <v>0</v>
          </cell>
          <cell r="EQ21">
            <v>0</v>
          </cell>
          <cell r="ER21" t="e">
            <v>#DIV/0!</v>
          </cell>
          <cell r="ES21">
            <v>0</v>
          </cell>
          <cell r="ET21">
            <v>0</v>
          </cell>
          <cell r="EU21" t="e">
            <v>#DIV/0!</v>
          </cell>
          <cell r="EV21">
            <v>0</v>
          </cell>
          <cell r="EW21">
            <v>0</v>
          </cell>
          <cell r="EX21" t="e">
            <v>#DIV/0!</v>
          </cell>
          <cell r="EY21">
            <v>0</v>
          </cell>
          <cell r="EZ21">
            <v>0</v>
          </cell>
          <cell r="FA21" t="e">
            <v>#DIV/0!</v>
          </cell>
          <cell r="FC21" t="str">
            <v>039 P. P. S/P OE TAM. HC RCAR</v>
          </cell>
          <cell r="FD21">
            <v>0</v>
          </cell>
          <cell r="FE21">
            <v>0</v>
          </cell>
          <cell r="FF21" t="e">
            <v>#DIV/0!</v>
          </cell>
          <cell r="FG21">
            <v>0</v>
          </cell>
          <cell r="FH21">
            <v>0</v>
          </cell>
          <cell r="FI21" t="e">
            <v>#DIV/0!</v>
          </cell>
          <cell r="FJ21">
            <v>0</v>
          </cell>
          <cell r="FK21">
            <v>0</v>
          </cell>
          <cell r="FL21" t="e">
            <v>#DIV/0!</v>
          </cell>
          <cell r="FM21">
            <v>0</v>
          </cell>
          <cell r="FN21">
            <v>0</v>
          </cell>
          <cell r="FO21" t="e">
            <v>#DIV/0!</v>
          </cell>
          <cell r="FP21">
            <v>0</v>
          </cell>
          <cell r="FQ21">
            <v>0</v>
          </cell>
          <cell r="FR21" t="e">
            <v>#DIV/0!</v>
          </cell>
        </row>
        <row r="22">
          <cell r="AZ22" t="str">
            <v>040 H. CADRES</v>
          </cell>
          <cell r="BA22">
            <v>0</v>
          </cell>
          <cell r="BB22">
            <v>0</v>
          </cell>
          <cell r="BC22" t="e">
            <v>#DIV/0!</v>
          </cell>
          <cell r="BD22">
            <v>0</v>
          </cell>
          <cell r="BE22">
            <v>0</v>
          </cell>
          <cell r="BF22" t="e">
            <v>#DIV/0!</v>
          </cell>
          <cell r="BG22">
            <v>0</v>
          </cell>
          <cell r="BH22">
            <v>0</v>
          </cell>
          <cell r="BI22" t="e">
            <v>#DIV/0!</v>
          </cell>
          <cell r="BJ22">
            <v>0</v>
          </cell>
          <cell r="BK22">
            <v>0</v>
          </cell>
          <cell r="BL22" t="e">
            <v>#DIV/0!</v>
          </cell>
          <cell r="BN22" t="str">
            <v>040 H. CADRES</v>
          </cell>
          <cell r="BO22">
            <v>0</v>
          </cell>
          <cell r="BP22">
            <v>0</v>
          </cell>
          <cell r="BQ22" t="e">
            <v>#DIV/0!</v>
          </cell>
          <cell r="BR22">
            <v>0</v>
          </cell>
          <cell r="BS22">
            <v>0</v>
          </cell>
          <cell r="BT22" t="e">
            <v>#DIV/0!</v>
          </cell>
          <cell r="BU22">
            <v>0</v>
          </cell>
          <cell r="BV22">
            <v>0</v>
          </cell>
          <cell r="BW22" t="e">
            <v>#DIV/0!</v>
          </cell>
          <cell r="BX22">
            <v>0</v>
          </cell>
          <cell r="BY22">
            <v>0</v>
          </cell>
          <cell r="BZ22" t="e">
            <v>#DIV/0!</v>
          </cell>
          <cell r="CA22">
            <v>0</v>
          </cell>
          <cell r="CB22">
            <v>0</v>
          </cell>
          <cell r="CC22" t="e">
            <v>#DIV/0!</v>
          </cell>
          <cell r="CE22" t="str">
            <v>040 H. CADRES</v>
          </cell>
          <cell r="CF22">
            <v>116486</v>
          </cell>
          <cell r="CG22">
            <v>78048</v>
          </cell>
          <cell r="CH22">
            <v>67.002043163985377</v>
          </cell>
          <cell r="CI22">
            <v>133680</v>
          </cell>
          <cell r="CJ22">
            <v>89568</v>
          </cell>
          <cell r="CK22">
            <v>67.001795332136453</v>
          </cell>
          <cell r="CL22">
            <v>0</v>
          </cell>
          <cell r="CM22">
            <v>0</v>
          </cell>
          <cell r="CN22" t="e">
            <v>#DIV/0!</v>
          </cell>
          <cell r="CO22">
            <v>0</v>
          </cell>
          <cell r="CP22">
            <v>0</v>
          </cell>
          <cell r="CQ22" t="e">
            <v>#DIV/0!</v>
          </cell>
          <cell r="CR22">
            <v>250166</v>
          </cell>
          <cell r="CS22">
            <v>167616</v>
          </cell>
          <cell r="CT22">
            <v>67.001910731274435</v>
          </cell>
          <cell r="CV22" t="str">
            <v>040 H. CADRES</v>
          </cell>
          <cell r="CW22">
            <v>0</v>
          </cell>
          <cell r="CX22">
            <v>0</v>
          </cell>
          <cell r="CY22" t="e">
            <v>#DIV/0!</v>
          </cell>
          <cell r="CZ22">
            <v>0</v>
          </cell>
          <cell r="DA22">
            <v>0</v>
          </cell>
          <cell r="DB22" t="e">
            <v>#DIV/0!</v>
          </cell>
          <cell r="DC22">
            <v>0</v>
          </cell>
          <cell r="DD22">
            <v>0</v>
          </cell>
          <cell r="DE22" t="e">
            <v>#DIV/0!</v>
          </cell>
          <cell r="DF22">
            <v>0</v>
          </cell>
          <cell r="DG22">
            <v>0</v>
          </cell>
          <cell r="DH22" t="e">
            <v>#DIV/0!</v>
          </cell>
          <cell r="DJ22" t="str">
            <v>040 H. CADRES</v>
          </cell>
          <cell r="DK22">
            <v>0</v>
          </cell>
          <cell r="DL22">
            <v>0</v>
          </cell>
          <cell r="DM22" t="e">
            <v>#DIV/0!</v>
          </cell>
          <cell r="DN22">
            <v>0</v>
          </cell>
          <cell r="DO22">
            <v>0</v>
          </cell>
          <cell r="DP22" t="e">
            <v>#DIV/0!</v>
          </cell>
          <cell r="DQ22">
            <v>0</v>
          </cell>
          <cell r="DR22">
            <v>0</v>
          </cell>
          <cell r="DS22" t="e">
            <v>#DIV/0!</v>
          </cell>
          <cell r="DT22">
            <v>0</v>
          </cell>
          <cell r="DU22">
            <v>0</v>
          </cell>
          <cell r="DV22" t="e">
            <v>#DIV/0!</v>
          </cell>
          <cell r="DX22" t="str">
            <v>040 H. CADRES</v>
          </cell>
          <cell r="DY22">
            <v>0</v>
          </cell>
          <cell r="DZ22">
            <v>0</v>
          </cell>
          <cell r="EA22" t="e">
            <v>#DIV/0!</v>
          </cell>
          <cell r="EB22">
            <v>0</v>
          </cell>
          <cell r="EC22">
            <v>0</v>
          </cell>
          <cell r="ED22" t="e">
            <v>#DIV/0!</v>
          </cell>
          <cell r="EE22">
            <v>0</v>
          </cell>
          <cell r="EF22">
            <v>0</v>
          </cell>
          <cell r="EG22" t="e">
            <v>#DIV/0!</v>
          </cell>
          <cell r="EH22">
            <v>36094</v>
          </cell>
          <cell r="EI22">
            <v>33564</v>
          </cell>
          <cell r="EJ22">
            <v>92.990524740954172</v>
          </cell>
          <cell r="EK22">
            <v>36094</v>
          </cell>
          <cell r="EL22">
            <v>33564</v>
          </cell>
          <cell r="EM22">
            <v>92.990524740954172</v>
          </cell>
          <cell r="EO22" t="str">
            <v>040 H. CADRES</v>
          </cell>
          <cell r="EP22">
            <v>0</v>
          </cell>
          <cell r="EQ22">
            <v>0</v>
          </cell>
          <cell r="ER22" t="e">
            <v>#DIV/0!</v>
          </cell>
          <cell r="ES22">
            <v>0</v>
          </cell>
          <cell r="ET22">
            <v>0</v>
          </cell>
          <cell r="EU22" t="e">
            <v>#DIV/0!</v>
          </cell>
          <cell r="EV22">
            <v>0</v>
          </cell>
          <cell r="EW22">
            <v>0</v>
          </cell>
          <cell r="EX22" t="e">
            <v>#DIV/0!</v>
          </cell>
          <cell r="EY22">
            <v>0</v>
          </cell>
          <cell r="EZ22">
            <v>0</v>
          </cell>
          <cell r="FA22" t="e">
            <v>#DIV/0!</v>
          </cell>
          <cell r="FC22" t="str">
            <v>040 H. CADRES</v>
          </cell>
          <cell r="FD22">
            <v>0</v>
          </cell>
          <cell r="FE22">
            <v>0</v>
          </cell>
          <cell r="FF22" t="e">
            <v>#DIV/0!</v>
          </cell>
          <cell r="FG22">
            <v>0</v>
          </cell>
          <cell r="FH22">
            <v>0</v>
          </cell>
          <cell r="FI22" t="e">
            <v>#DIV/0!</v>
          </cell>
          <cell r="FJ22">
            <v>0</v>
          </cell>
          <cell r="FK22">
            <v>0</v>
          </cell>
          <cell r="FL22" t="e">
            <v>#DIV/0!</v>
          </cell>
          <cell r="FM22">
            <v>218935</v>
          </cell>
          <cell r="FN22">
            <v>203604</v>
          </cell>
          <cell r="FO22">
            <v>92.997465001027706</v>
          </cell>
          <cell r="FP22">
            <v>218935</v>
          </cell>
          <cell r="FQ22">
            <v>203604</v>
          </cell>
          <cell r="FR22">
            <v>92.997465001027706</v>
          </cell>
        </row>
        <row r="23">
          <cell r="AZ23" t="str">
            <v>041 CHARGES S.</v>
          </cell>
          <cell r="BA23">
            <v>0</v>
          </cell>
          <cell r="BB23">
            <v>0</v>
          </cell>
          <cell r="BC23" t="e">
            <v>#DIV/0!</v>
          </cell>
          <cell r="BD23">
            <v>0</v>
          </cell>
          <cell r="BE23">
            <v>0</v>
          </cell>
          <cell r="BF23" t="e">
            <v>#DIV/0!</v>
          </cell>
          <cell r="BG23">
            <v>0</v>
          </cell>
          <cell r="BH23">
            <v>0</v>
          </cell>
          <cell r="BI23" t="e">
            <v>#DIV/0!</v>
          </cell>
          <cell r="BJ23">
            <v>0</v>
          </cell>
          <cell r="BK23">
            <v>0</v>
          </cell>
          <cell r="BL23" t="e">
            <v>#DIV/0!</v>
          </cell>
          <cell r="BN23" t="str">
            <v>041 CHARGES S.</v>
          </cell>
          <cell r="BO23">
            <v>0</v>
          </cell>
          <cell r="BP23">
            <v>0</v>
          </cell>
          <cell r="BQ23" t="e">
            <v>#DIV/0!</v>
          </cell>
          <cell r="BR23">
            <v>0</v>
          </cell>
          <cell r="BS23">
            <v>0</v>
          </cell>
          <cell r="BT23" t="e">
            <v>#DIV/0!</v>
          </cell>
          <cell r="BU23">
            <v>0</v>
          </cell>
          <cell r="BV23">
            <v>0</v>
          </cell>
          <cell r="BW23" t="e">
            <v>#DIV/0!</v>
          </cell>
          <cell r="BX23">
            <v>0</v>
          </cell>
          <cell r="BY23">
            <v>0</v>
          </cell>
          <cell r="BZ23" t="e">
            <v>#DIV/0!</v>
          </cell>
          <cell r="CA23">
            <v>0</v>
          </cell>
          <cell r="CB23">
            <v>0</v>
          </cell>
          <cell r="CC23" t="e">
            <v>#DIV/0!</v>
          </cell>
          <cell r="CE23" t="str">
            <v>041 CHARGES S.</v>
          </cell>
          <cell r="CF23">
            <v>108161</v>
          </cell>
          <cell r="CG23">
            <v>72468</v>
          </cell>
          <cell r="CH23">
            <v>67.000120191196459</v>
          </cell>
          <cell r="CI23">
            <v>140719</v>
          </cell>
          <cell r="CJ23">
            <v>94284</v>
          </cell>
          <cell r="CK23">
            <v>67.001613143925127</v>
          </cell>
          <cell r="CL23">
            <v>0</v>
          </cell>
          <cell r="CM23">
            <v>0</v>
          </cell>
          <cell r="CN23" t="e">
            <v>#DIV/0!</v>
          </cell>
          <cell r="CO23">
            <v>0</v>
          </cell>
          <cell r="CP23">
            <v>0</v>
          </cell>
          <cell r="CQ23" t="e">
            <v>#DIV/0!</v>
          </cell>
          <cell r="CR23">
            <v>248880</v>
          </cell>
          <cell r="CS23">
            <v>166752</v>
          </cell>
          <cell r="CT23">
            <v>67.000964320154281</v>
          </cell>
          <cell r="CV23" t="str">
            <v>041 CHARGES S.</v>
          </cell>
          <cell r="CW23">
            <v>0</v>
          </cell>
          <cell r="CX23">
            <v>0</v>
          </cell>
          <cell r="CY23" t="e">
            <v>#DIV/0!</v>
          </cell>
          <cell r="CZ23">
            <v>0</v>
          </cell>
          <cell r="DA23">
            <v>0</v>
          </cell>
          <cell r="DB23" t="e">
            <v>#DIV/0!</v>
          </cell>
          <cell r="DC23">
            <v>0</v>
          </cell>
          <cell r="DD23">
            <v>0</v>
          </cell>
          <cell r="DE23" t="e">
            <v>#DIV/0!</v>
          </cell>
          <cell r="DF23">
            <v>0</v>
          </cell>
          <cell r="DG23">
            <v>0</v>
          </cell>
          <cell r="DH23" t="e">
            <v>#DIV/0!</v>
          </cell>
          <cell r="DJ23" t="str">
            <v>041 CHARGES S.</v>
          </cell>
          <cell r="DK23">
            <v>0</v>
          </cell>
          <cell r="DL23">
            <v>0</v>
          </cell>
          <cell r="DM23" t="e">
            <v>#DIV/0!</v>
          </cell>
          <cell r="DN23">
            <v>0</v>
          </cell>
          <cell r="DO23">
            <v>0</v>
          </cell>
          <cell r="DP23" t="e">
            <v>#DIV/0!</v>
          </cell>
          <cell r="DQ23">
            <v>0</v>
          </cell>
          <cell r="DR23">
            <v>0</v>
          </cell>
          <cell r="DS23" t="e">
            <v>#DIV/0!</v>
          </cell>
          <cell r="DT23">
            <v>0</v>
          </cell>
          <cell r="DU23">
            <v>0</v>
          </cell>
          <cell r="DV23" t="e">
            <v>#DIV/0!</v>
          </cell>
          <cell r="DX23" t="str">
            <v>041 CHARGES S.</v>
          </cell>
          <cell r="DY23">
            <v>0</v>
          </cell>
          <cell r="DZ23">
            <v>0</v>
          </cell>
          <cell r="EA23" t="e">
            <v>#DIV/0!</v>
          </cell>
          <cell r="EB23">
            <v>0</v>
          </cell>
          <cell r="EC23">
            <v>0</v>
          </cell>
          <cell r="ED23" t="e">
            <v>#DIV/0!</v>
          </cell>
          <cell r="EE23">
            <v>0</v>
          </cell>
          <cell r="EF23">
            <v>0</v>
          </cell>
          <cell r="EG23" t="e">
            <v>#DIV/0!</v>
          </cell>
          <cell r="EH23">
            <v>39238</v>
          </cell>
          <cell r="EI23">
            <v>36492</v>
          </cell>
          <cell r="EJ23">
            <v>93.001682042917579</v>
          </cell>
          <cell r="EK23">
            <v>39238</v>
          </cell>
          <cell r="EL23">
            <v>36492</v>
          </cell>
          <cell r="EM23">
            <v>93.001682042917579</v>
          </cell>
          <cell r="EO23" t="str">
            <v>041 CHARGES S.</v>
          </cell>
          <cell r="EP23">
            <v>0</v>
          </cell>
          <cell r="EQ23">
            <v>0</v>
          </cell>
          <cell r="ER23" t="e">
            <v>#DIV/0!</v>
          </cell>
          <cell r="ES23">
            <v>0</v>
          </cell>
          <cell r="ET23">
            <v>0</v>
          </cell>
          <cell r="EU23" t="e">
            <v>#DIV/0!</v>
          </cell>
          <cell r="EV23">
            <v>0</v>
          </cell>
          <cell r="EW23">
            <v>0</v>
          </cell>
          <cell r="EX23" t="e">
            <v>#DIV/0!</v>
          </cell>
          <cell r="EY23">
            <v>0</v>
          </cell>
          <cell r="EZ23">
            <v>0</v>
          </cell>
          <cell r="FA23" t="e">
            <v>#DIV/0!</v>
          </cell>
          <cell r="FC23" t="str">
            <v>041 CHARGES S.</v>
          </cell>
          <cell r="FD23">
            <v>0</v>
          </cell>
          <cell r="FE23">
            <v>0</v>
          </cell>
          <cell r="FF23" t="e">
            <v>#DIV/0!</v>
          </cell>
          <cell r="FG23">
            <v>0</v>
          </cell>
          <cell r="FH23">
            <v>0</v>
          </cell>
          <cell r="FI23" t="e">
            <v>#DIV/0!</v>
          </cell>
          <cell r="FJ23">
            <v>0</v>
          </cell>
          <cell r="FK23">
            <v>0</v>
          </cell>
          <cell r="FL23" t="e">
            <v>#DIV/0!</v>
          </cell>
          <cell r="FM23">
            <v>215348</v>
          </cell>
          <cell r="FN23">
            <v>200268</v>
          </cell>
          <cell r="FO23">
            <v>92.997380983338601</v>
          </cell>
          <cell r="FP23">
            <v>215348</v>
          </cell>
          <cell r="FQ23">
            <v>200268</v>
          </cell>
          <cell r="FR23">
            <v>92.997380983338601</v>
          </cell>
        </row>
        <row r="24">
          <cell r="AZ24" t="str">
            <v>045 P. Pat. rel. OS 824 HC</v>
          </cell>
          <cell r="BA24">
            <v>0</v>
          </cell>
          <cell r="BB24">
            <v>0</v>
          </cell>
          <cell r="BC24" t="e">
            <v>#DIV/0!</v>
          </cell>
          <cell r="BD24">
            <v>0</v>
          </cell>
          <cell r="BE24">
            <v>0</v>
          </cell>
          <cell r="BF24" t="e">
            <v>#DIV/0!</v>
          </cell>
          <cell r="BG24">
            <v>0</v>
          </cell>
          <cell r="BH24">
            <v>0</v>
          </cell>
          <cell r="BI24" t="e">
            <v>#DIV/0!</v>
          </cell>
          <cell r="BJ24">
            <v>0</v>
          </cell>
          <cell r="BK24">
            <v>0</v>
          </cell>
          <cell r="BL24" t="e">
            <v>#DIV/0!</v>
          </cell>
          <cell r="BN24" t="str">
            <v>045 P. Pat. rel. OS 824 HC</v>
          </cell>
          <cell r="BO24">
            <v>0</v>
          </cell>
          <cell r="BP24">
            <v>0</v>
          </cell>
          <cell r="BQ24" t="e">
            <v>#DIV/0!</v>
          </cell>
          <cell r="BR24">
            <v>0</v>
          </cell>
          <cell r="BS24">
            <v>0</v>
          </cell>
          <cell r="BT24" t="e">
            <v>#DIV/0!</v>
          </cell>
          <cell r="BU24">
            <v>0</v>
          </cell>
          <cell r="BV24">
            <v>0</v>
          </cell>
          <cell r="BW24" t="e">
            <v>#DIV/0!</v>
          </cell>
          <cell r="BX24">
            <v>0</v>
          </cell>
          <cell r="BY24">
            <v>0</v>
          </cell>
          <cell r="BZ24" t="e">
            <v>#DIV/0!</v>
          </cell>
          <cell r="CA24">
            <v>0</v>
          </cell>
          <cell r="CB24">
            <v>0</v>
          </cell>
          <cell r="CC24" t="e">
            <v>#DIV/0!</v>
          </cell>
          <cell r="CE24" t="str">
            <v>045 P. Pat. rel. OS 824 HC</v>
          </cell>
          <cell r="CF24">
            <v>21434</v>
          </cell>
          <cell r="CG24">
            <v>14364</v>
          </cell>
          <cell r="CH24">
            <v>67.015022860875234</v>
          </cell>
          <cell r="CI24">
            <v>24693</v>
          </cell>
          <cell r="CJ24">
            <v>16548</v>
          </cell>
          <cell r="CK24">
            <v>67.014943506256827</v>
          </cell>
          <cell r="CL24">
            <v>0</v>
          </cell>
          <cell r="CM24">
            <v>0</v>
          </cell>
          <cell r="CN24" t="e">
            <v>#DIV/0!</v>
          </cell>
          <cell r="CO24">
            <v>0</v>
          </cell>
          <cell r="CP24">
            <v>0</v>
          </cell>
          <cell r="CQ24" t="e">
            <v>#DIV/0!</v>
          </cell>
          <cell r="CR24">
            <v>46127</v>
          </cell>
          <cell r="CS24">
            <v>30912</v>
          </cell>
          <cell r="CT24">
            <v>67.014980380254514</v>
          </cell>
          <cell r="CV24" t="str">
            <v>045 P. Pat. rel. OS 824 HC</v>
          </cell>
          <cell r="CW24">
            <v>0</v>
          </cell>
          <cell r="CX24">
            <v>0</v>
          </cell>
          <cell r="CY24" t="e">
            <v>#DIV/0!</v>
          </cell>
          <cell r="CZ24">
            <v>0</v>
          </cell>
          <cell r="DA24">
            <v>0</v>
          </cell>
          <cell r="DB24" t="e">
            <v>#DIV/0!</v>
          </cell>
          <cell r="DC24">
            <v>0</v>
          </cell>
          <cell r="DD24">
            <v>0</v>
          </cell>
          <cell r="DE24" t="e">
            <v>#DIV/0!</v>
          </cell>
          <cell r="DF24">
            <v>0</v>
          </cell>
          <cell r="DG24">
            <v>0</v>
          </cell>
          <cell r="DH24" t="e">
            <v>#DIV/0!</v>
          </cell>
          <cell r="DJ24" t="str">
            <v>045 P. Pat. rel. OS 824 HC</v>
          </cell>
          <cell r="DK24">
            <v>0</v>
          </cell>
          <cell r="DL24">
            <v>0</v>
          </cell>
          <cell r="DM24" t="e">
            <v>#DIV/0!</v>
          </cell>
          <cell r="DN24">
            <v>0</v>
          </cell>
          <cell r="DO24">
            <v>0</v>
          </cell>
          <cell r="DP24" t="e">
            <v>#DIV/0!</v>
          </cell>
          <cell r="DQ24">
            <v>0</v>
          </cell>
          <cell r="DR24">
            <v>0</v>
          </cell>
          <cell r="DS24" t="e">
            <v>#DIV/0!</v>
          </cell>
          <cell r="DT24">
            <v>0</v>
          </cell>
          <cell r="DU24">
            <v>0</v>
          </cell>
          <cell r="DV24" t="e">
            <v>#DIV/0!</v>
          </cell>
          <cell r="DX24" t="str">
            <v>045 P. Pat. rel. OS 824 HC</v>
          </cell>
          <cell r="DY24">
            <v>0</v>
          </cell>
          <cell r="DZ24">
            <v>0</v>
          </cell>
          <cell r="EA24" t="e">
            <v>#DIV/0!</v>
          </cell>
          <cell r="EB24">
            <v>0</v>
          </cell>
          <cell r="EC24">
            <v>0</v>
          </cell>
          <cell r="ED24" t="e">
            <v>#DIV/0!</v>
          </cell>
          <cell r="EE24">
            <v>0</v>
          </cell>
          <cell r="EF24">
            <v>0</v>
          </cell>
          <cell r="EG24" t="e">
            <v>#DIV/0!</v>
          </cell>
          <cell r="EH24">
            <v>6691</v>
          </cell>
          <cell r="EI24">
            <v>6228</v>
          </cell>
          <cell r="EJ24">
            <v>93.080257061724708</v>
          </cell>
          <cell r="EK24">
            <v>6691</v>
          </cell>
          <cell r="EL24">
            <v>6228</v>
          </cell>
          <cell r="EM24">
            <v>93.080257061724708</v>
          </cell>
          <cell r="EO24" t="str">
            <v>045 P. Pat. rel. OS 824 HC</v>
          </cell>
          <cell r="EP24">
            <v>0</v>
          </cell>
          <cell r="EQ24">
            <v>0</v>
          </cell>
          <cell r="ER24" t="e">
            <v>#DIV/0!</v>
          </cell>
          <cell r="ES24">
            <v>0</v>
          </cell>
          <cell r="ET24">
            <v>0</v>
          </cell>
          <cell r="EU24" t="e">
            <v>#DIV/0!</v>
          </cell>
          <cell r="EV24">
            <v>0</v>
          </cell>
          <cell r="EW24">
            <v>0</v>
          </cell>
          <cell r="EX24" t="e">
            <v>#DIV/0!</v>
          </cell>
          <cell r="EY24">
            <v>0</v>
          </cell>
          <cell r="EZ24">
            <v>0</v>
          </cell>
          <cell r="FA24" t="e">
            <v>#DIV/0!</v>
          </cell>
          <cell r="FC24" t="str">
            <v>045 P. Pat. rel. OS 824 HC</v>
          </cell>
          <cell r="FD24">
            <v>0</v>
          </cell>
          <cell r="FE24">
            <v>0</v>
          </cell>
          <cell r="FF24" t="e">
            <v>#DIV/0!</v>
          </cell>
          <cell r="FG24">
            <v>0</v>
          </cell>
          <cell r="FH24">
            <v>0</v>
          </cell>
          <cell r="FI24" t="e">
            <v>#DIV/0!</v>
          </cell>
          <cell r="FJ24">
            <v>0</v>
          </cell>
          <cell r="FK24">
            <v>0</v>
          </cell>
          <cell r="FL24" t="e">
            <v>#DIV/0!</v>
          </cell>
          <cell r="FM24">
            <v>39722</v>
          </cell>
          <cell r="FN24">
            <v>36936</v>
          </cell>
          <cell r="FO24">
            <v>92.986254468556467</v>
          </cell>
          <cell r="FP24">
            <v>39722</v>
          </cell>
          <cell r="FQ24">
            <v>36936</v>
          </cell>
          <cell r="FR24">
            <v>92.986254468556467</v>
          </cell>
        </row>
        <row r="25">
          <cell r="AZ25" t="str">
            <v>046 P. P. REC. rel. OS 824 HC</v>
          </cell>
          <cell r="BA25">
            <v>0</v>
          </cell>
          <cell r="BB25">
            <v>0</v>
          </cell>
          <cell r="BC25" t="e">
            <v>#DIV/0!</v>
          </cell>
          <cell r="BD25">
            <v>0</v>
          </cell>
          <cell r="BE25">
            <v>0</v>
          </cell>
          <cell r="BF25" t="e">
            <v>#DIV/0!</v>
          </cell>
          <cell r="BG25">
            <v>0</v>
          </cell>
          <cell r="BH25">
            <v>0</v>
          </cell>
          <cell r="BI25" t="e">
            <v>#DIV/0!</v>
          </cell>
          <cell r="BJ25">
            <v>0</v>
          </cell>
          <cell r="BK25">
            <v>0</v>
          </cell>
          <cell r="BL25" t="e">
            <v>#DIV/0!</v>
          </cell>
          <cell r="BN25" t="str">
            <v>046 P. P. REC. rel. OS 824 HC</v>
          </cell>
          <cell r="BO25">
            <v>0</v>
          </cell>
          <cell r="BP25">
            <v>0</v>
          </cell>
          <cell r="BQ25" t="e">
            <v>#DIV/0!</v>
          </cell>
          <cell r="BR25">
            <v>0</v>
          </cell>
          <cell r="BS25">
            <v>0</v>
          </cell>
          <cell r="BT25" t="e">
            <v>#DIV/0!</v>
          </cell>
          <cell r="BU25">
            <v>0</v>
          </cell>
          <cell r="BV25">
            <v>0</v>
          </cell>
          <cell r="BW25" t="e">
            <v>#DIV/0!</v>
          </cell>
          <cell r="BX25">
            <v>0</v>
          </cell>
          <cell r="BY25">
            <v>0</v>
          </cell>
          <cell r="BZ25" t="e">
            <v>#DIV/0!</v>
          </cell>
          <cell r="CA25">
            <v>0</v>
          </cell>
          <cell r="CB25">
            <v>0</v>
          </cell>
          <cell r="CC25" t="e">
            <v>#DIV/0!</v>
          </cell>
          <cell r="CE25" t="str">
            <v>046 P. P. REC. rel. OS 824 HC</v>
          </cell>
          <cell r="CF25">
            <v>1344</v>
          </cell>
          <cell r="CG25">
            <v>900</v>
          </cell>
          <cell r="CH25">
            <v>66.964285714285708</v>
          </cell>
          <cell r="CI25">
            <v>3120</v>
          </cell>
          <cell r="CJ25">
            <v>2088</v>
          </cell>
          <cell r="CK25">
            <v>66.92307692307692</v>
          </cell>
          <cell r="CL25">
            <v>0</v>
          </cell>
          <cell r="CM25">
            <v>0</v>
          </cell>
          <cell r="CN25" t="e">
            <v>#DIV/0!</v>
          </cell>
          <cell r="CO25">
            <v>0</v>
          </cell>
          <cell r="CP25">
            <v>0</v>
          </cell>
          <cell r="CQ25" t="e">
            <v>#DIV/0!</v>
          </cell>
          <cell r="CR25">
            <v>4464</v>
          </cell>
          <cell r="CS25">
            <v>2988</v>
          </cell>
          <cell r="CT25">
            <v>66.935483870967744</v>
          </cell>
          <cell r="CV25" t="str">
            <v>046 P. P. REC. rel. OS 824 HC</v>
          </cell>
          <cell r="CW25">
            <v>0</v>
          </cell>
          <cell r="CX25">
            <v>0</v>
          </cell>
          <cell r="CY25" t="e">
            <v>#DIV/0!</v>
          </cell>
          <cell r="CZ25">
            <v>0</v>
          </cell>
          <cell r="DA25">
            <v>0</v>
          </cell>
          <cell r="DB25" t="e">
            <v>#DIV/0!</v>
          </cell>
          <cell r="DC25">
            <v>0</v>
          </cell>
          <cell r="DD25">
            <v>0</v>
          </cell>
          <cell r="DE25" t="e">
            <v>#DIV/0!</v>
          </cell>
          <cell r="DF25">
            <v>0</v>
          </cell>
          <cell r="DG25">
            <v>0</v>
          </cell>
          <cell r="DH25" t="e">
            <v>#DIV/0!</v>
          </cell>
          <cell r="DJ25" t="str">
            <v>046 P. P. REC. rel. OS 824 HC</v>
          </cell>
          <cell r="DK25">
            <v>0</v>
          </cell>
          <cell r="DL25">
            <v>0</v>
          </cell>
          <cell r="DM25" t="e">
            <v>#DIV/0!</v>
          </cell>
          <cell r="DN25">
            <v>0</v>
          </cell>
          <cell r="DO25">
            <v>0</v>
          </cell>
          <cell r="DP25" t="e">
            <v>#DIV/0!</v>
          </cell>
          <cell r="DQ25">
            <v>0</v>
          </cell>
          <cell r="DR25">
            <v>0</v>
          </cell>
          <cell r="DS25" t="e">
            <v>#DIV/0!</v>
          </cell>
          <cell r="DT25">
            <v>0</v>
          </cell>
          <cell r="DU25">
            <v>0</v>
          </cell>
          <cell r="DV25" t="e">
            <v>#DIV/0!</v>
          </cell>
          <cell r="DX25" t="str">
            <v>046 P. P. REC. rel. OS 824 HC</v>
          </cell>
          <cell r="DY25">
            <v>0</v>
          </cell>
          <cell r="DZ25">
            <v>0</v>
          </cell>
          <cell r="EA25" t="e">
            <v>#DIV/0!</v>
          </cell>
          <cell r="EB25">
            <v>0</v>
          </cell>
          <cell r="EC25">
            <v>0</v>
          </cell>
          <cell r="ED25" t="e">
            <v>#DIV/0!</v>
          </cell>
          <cell r="EE25">
            <v>0</v>
          </cell>
          <cell r="EF25">
            <v>0</v>
          </cell>
          <cell r="EG25" t="e">
            <v>#DIV/0!</v>
          </cell>
          <cell r="EH25">
            <v>840</v>
          </cell>
          <cell r="EI25">
            <v>780</v>
          </cell>
          <cell r="EJ25">
            <v>92.857142857142861</v>
          </cell>
          <cell r="EK25">
            <v>840</v>
          </cell>
          <cell r="EL25">
            <v>780</v>
          </cell>
          <cell r="EM25">
            <v>92.857142857142861</v>
          </cell>
          <cell r="EO25" t="str">
            <v>046 P. P. REC. rel. OS 824 HC</v>
          </cell>
          <cell r="EP25">
            <v>0</v>
          </cell>
          <cell r="EQ25">
            <v>0</v>
          </cell>
          <cell r="ER25" t="e">
            <v>#DIV/0!</v>
          </cell>
          <cell r="ES25">
            <v>0</v>
          </cell>
          <cell r="ET25">
            <v>0</v>
          </cell>
          <cell r="EU25" t="e">
            <v>#DIV/0!</v>
          </cell>
          <cell r="EV25">
            <v>0</v>
          </cell>
          <cell r="EW25">
            <v>0</v>
          </cell>
          <cell r="EX25" t="e">
            <v>#DIV/0!</v>
          </cell>
          <cell r="EY25">
            <v>0</v>
          </cell>
          <cell r="EZ25">
            <v>0</v>
          </cell>
          <cell r="FA25" t="e">
            <v>#DIV/0!</v>
          </cell>
          <cell r="FC25" t="str">
            <v>046 P. P. REC. rel. OS 824 HC</v>
          </cell>
          <cell r="FD25">
            <v>0</v>
          </cell>
          <cell r="FE25">
            <v>0</v>
          </cell>
          <cell r="FF25" t="e">
            <v>#DIV/0!</v>
          </cell>
          <cell r="FG25">
            <v>0</v>
          </cell>
          <cell r="FH25">
            <v>0</v>
          </cell>
          <cell r="FI25" t="e">
            <v>#DIV/0!</v>
          </cell>
          <cell r="FJ25">
            <v>0</v>
          </cell>
          <cell r="FK25">
            <v>0</v>
          </cell>
          <cell r="FL25" t="e">
            <v>#DIV/0!</v>
          </cell>
          <cell r="FM25">
            <v>31458</v>
          </cell>
          <cell r="FN25">
            <v>29256</v>
          </cell>
          <cell r="FO25">
            <v>93.000190730497806</v>
          </cell>
          <cell r="FP25">
            <v>31458</v>
          </cell>
          <cell r="FQ25">
            <v>29256</v>
          </cell>
          <cell r="FR25">
            <v>93.000190730497806</v>
          </cell>
        </row>
        <row r="26">
          <cell r="AZ26" t="str">
            <v>047 P. P. RCAR rel. OS 824 HC</v>
          </cell>
          <cell r="BA26">
            <v>0</v>
          </cell>
          <cell r="BB26">
            <v>0</v>
          </cell>
          <cell r="BC26" t="e">
            <v>#DIV/0!</v>
          </cell>
          <cell r="BD26">
            <v>0</v>
          </cell>
          <cell r="BE26">
            <v>0</v>
          </cell>
          <cell r="BF26" t="e">
            <v>#DIV/0!</v>
          </cell>
          <cell r="BG26">
            <v>0</v>
          </cell>
          <cell r="BH26">
            <v>0</v>
          </cell>
          <cell r="BI26" t="e">
            <v>#DIV/0!</v>
          </cell>
          <cell r="BJ26">
            <v>0</v>
          </cell>
          <cell r="BK26">
            <v>0</v>
          </cell>
          <cell r="BL26" t="e">
            <v>#DIV/0!</v>
          </cell>
          <cell r="BN26" t="str">
            <v>047 P. P. RCAR rel. OS 824 HC</v>
          </cell>
          <cell r="BO26">
            <v>0</v>
          </cell>
          <cell r="BP26">
            <v>0</v>
          </cell>
          <cell r="BQ26" t="e">
            <v>#DIV/0!</v>
          </cell>
          <cell r="BR26">
            <v>0</v>
          </cell>
          <cell r="BS26">
            <v>0</v>
          </cell>
          <cell r="BT26" t="e">
            <v>#DIV/0!</v>
          </cell>
          <cell r="BU26">
            <v>0</v>
          </cell>
          <cell r="BV26">
            <v>0</v>
          </cell>
          <cell r="BW26" t="e">
            <v>#DIV/0!</v>
          </cell>
          <cell r="BX26">
            <v>0</v>
          </cell>
          <cell r="BY26">
            <v>0</v>
          </cell>
          <cell r="BZ26" t="e">
            <v>#DIV/0!</v>
          </cell>
          <cell r="CA26">
            <v>0</v>
          </cell>
          <cell r="CB26">
            <v>0</v>
          </cell>
          <cell r="CC26" t="e">
            <v>#DIV/0!</v>
          </cell>
          <cell r="CE26" t="str">
            <v>047 P. P. RCAR rel. OS 824 HC</v>
          </cell>
          <cell r="CF26">
            <v>0</v>
          </cell>
          <cell r="CG26">
            <v>0</v>
          </cell>
          <cell r="CH26" t="e">
            <v>#DIV/0!</v>
          </cell>
          <cell r="CI26">
            <v>0</v>
          </cell>
          <cell r="CJ26">
            <v>0</v>
          </cell>
          <cell r="CK26" t="e">
            <v>#DIV/0!</v>
          </cell>
          <cell r="CL26">
            <v>0</v>
          </cell>
          <cell r="CM26">
            <v>0</v>
          </cell>
          <cell r="CN26" t="e">
            <v>#DIV/0!</v>
          </cell>
          <cell r="CO26">
            <v>0</v>
          </cell>
          <cell r="CP26">
            <v>0</v>
          </cell>
          <cell r="CQ26" t="e">
            <v>#DIV/0!</v>
          </cell>
          <cell r="CR26">
            <v>0</v>
          </cell>
          <cell r="CS26">
            <v>0</v>
          </cell>
          <cell r="CT26" t="e">
            <v>#DIV/0!</v>
          </cell>
          <cell r="CV26" t="str">
            <v>047 P. P. RCAR rel. OS 824 HC</v>
          </cell>
          <cell r="CW26">
            <v>0</v>
          </cell>
          <cell r="CX26">
            <v>0</v>
          </cell>
          <cell r="CY26" t="e">
            <v>#DIV/0!</v>
          </cell>
          <cell r="CZ26">
            <v>0</v>
          </cell>
          <cell r="DA26">
            <v>0</v>
          </cell>
          <cell r="DB26" t="e">
            <v>#DIV/0!</v>
          </cell>
          <cell r="DC26">
            <v>0</v>
          </cell>
          <cell r="DD26">
            <v>0</v>
          </cell>
          <cell r="DE26" t="e">
            <v>#DIV/0!</v>
          </cell>
          <cell r="DF26">
            <v>0</v>
          </cell>
          <cell r="DG26">
            <v>0</v>
          </cell>
          <cell r="DH26" t="e">
            <v>#DIV/0!</v>
          </cell>
          <cell r="DJ26" t="str">
            <v>047 P. P. RCAR rel. OS 824 HC</v>
          </cell>
          <cell r="DK26">
            <v>0</v>
          </cell>
          <cell r="DL26">
            <v>0</v>
          </cell>
          <cell r="DM26" t="e">
            <v>#DIV/0!</v>
          </cell>
          <cell r="DN26">
            <v>0</v>
          </cell>
          <cell r="DO26">
            <v>0</v>
          </cell>
          <cell r="DP26" t="e">
            <v>#DIV/0!</v>
          </cell>
          <cell r="DQ26">
            <v>0</v>
          </cell>
          <cell r="DR26">
            <v>0</v>
          </cell>
          <cell r="DS26" t="e">
            <v>#DIV/0!</v>
          </cell>
          <cell r="DT26">
            <v>0</v>
          </cell>
          <cell r="DU26">
            <v>0</v>
          </cell>
          <cell r="DV26" t="e">
            <v>#DIV/0!</v>
          </cell>
          <cell r="DX26" t="str">
            <v>047 P. P. RCAR rel. OS 824 HC</v>
          </cell>
          <cell r="DY26">
            <v>0</v>
          </cell>
          <cell r="DZ26">
            <v>0</v>
          </cell>
          <cell r="EA26" t="e">
            <v>#DIV/0!</v>
          </cell>
          <cell r="EB26">
            <v>0</v>
          </cell>
          <cell r="EC26">
            <v>0</v>
          </cell>
          <cell r="ED26" t="e">
            <v>#DIV/0!</v>
          </cell>
          <cell r="EE26">
            <v>0</v>
          </cell>
          <cell r="EF26">
            <v>0</v>
          </cell>
          <cell r="EG26" t="e">
            <v>#DIV/0!</v>
          </cell>
          <cell r="EH26">
            <v>0</v>
          </cell>
          <cell r="EI26">
            <v>0</v>
          </cell>
          <cell r="EJ26" t="e">
            <v>#DIV/0!</v>
          </cell>
          <cell r="EK26">
            <v>0</v>
          </cell>
          <cell r="EL26">
            <v>0</v>
          </cell>
          <cell r="EM26" t="e">
            <v>#DIV/0!</v>
          </cell>
          <cell r="EO26" t="str">
            <v>047 P. P. RCAR rel. OS 824 HC</v>
          </cell>
          <cell r="EP26">
            <v>0</v>
          </cell>
          <cell r="EQ26">
            <v>0</v>
          </cell>
          <cell r="ER26" t="e">
            <v>#DIV/0!</v>
          </cell>
          <cell r="ES26">
            <v>0</v>
          </cell>
          <cell r="ET26">
            <v>0</v>
          </cell>
          <cell r="EU26" t="e">
            <v>#DIV/0!</v>
          </cell>
          <cell r="EV26">
            <v>0</v>
          </cell>
          <cell r="EW26">
            <v>0</v>
          </cell>
          <cell r="EX26" t="e">
            <v>#DIV/0!</v>
          </cell>
          <cell r="EY26">
            <v>0</v>
          </cell>
          <cell r="EZ26">
            <v>0</v>
          </cell>
          <cell r="FA26" t="e">
            <v>#DIV/0!</v>
          </cell>
          <cell r="FC26" t="str">
            <v>047 P. P. RCAR rel. OS 824 HC</v>
          </cell>
          <cell r="FD26">
            <v>0</v>
          </cell>
          <cell r="FE26">
            <v>0</v>
          </cell>
          <cell r="FF26" t="e">
            <v>#DIV/0!</v>
          </cell>
          <cell r="FG26">
            <v>0</v>
          </cell>
          <cell r="FH26">
            <v>0</v>
          </cell>
          <cell r="FI26" t="e">
            <v>#DIV/0!</v>
          </cell>
          <cell r="FJ26">
            <v>0</v>
          </cell>
          <cell r="FK26">
            <v>0</v>
          </cell>
          <cell r="FL26" t="e">
            <v>#DIV/0!</v>
          </cell>
          <cell r="FM26">
            <v>0</v>
          </cell>
          <cell r="FN26">
            <v>0</v>
          </cell>
          <cell r="FO26" t="e">
            <v>#DIV/0!</v>
          </cell>
          <cell r="FP26">
            <v>0</v>
          </cell>
          <cell r="FQ26">
            <v>0</v>
          </cell>
          <cell r="FR26" t="e">
            <v>#DIV/0!</v>
          </cell>
        </row>
        <row r="27">
          <cell r="AZ27" t="str">
            <v>048 P. P. REC. RCAR. OS 824 HC</v>
          </cell>
          <cell r="BA27">
            <v>0</v>
          </cell>
          <cell r="BB27">
            <v>0</v>
          </cell>
          <cell r="BC27" t="e">
            <v>#DIV/0!</v>
          </cell>
          <cell r="BD27">
            <v>0</v>
          </cell>
          <cell r="BE27">
            <v>0</v>
          </cell>
          <cell r="BF27" t="e">
            <v>#DIV/0!</v>
          </cell>
          <cell r="BG27">
            <v>0</v>
          </cell>
          <cell r="BH27">
            <v>0</v>
          </cell>
          <cell r="BI27" t="e">
            <v>#DIV/0!</v>
          </cell>
          <cell r="BJ27">
            <v>0</v>
          </cell>
          <cell r="BK27">
            <v>0</v>
          </cell>
          <cell r="BL27" t="e">
            <v>#DIV/0!</v>
          </cell>
          <cell r="BN27" t="str">
            <v>048 P. P. REC. RCAR. OS 824 HC</v>
          </cell>
          <cell r="BO27">
            <v>0</v>
          </cell>
          <cell r="BP27">
            <v>0</v>
          </cell>
          <cell r="BQ27" t="e">
            <v>#DIV/0!</v>
          </cell>
          <cell r="BR27">
            <v>0</v>
          </cell>
          <cell r="BS27">
            <v>0</v>
          </cell>
          <cell r="BT27" t="e">
            <v>#DIV/0!</v>
          </cell>
          <cell r="BU27">
            <v>0</v>
          </cell>
          <cell r="BV27">
            <v>0</v>
          </cell>
          <cell r="BW27" t="e">
            <v>#DIV/0!</v>
          </cell>
          <cell r="BX27">
            <v>0</v>
          </cell>
          <cell r="BY27">
            <v>0</v>
          </cell>
          <cell r="BZ27" t="e">
            <v>#DIV/0!</v>
          </cell>
          <cell r="CA27">
            <v>0</v>
          </cell>
          <cell r="CB27">
            <v>0</v>
          </cell>
          <cell r="CC27" t="e">
            <v>#DIV/0!</v>
          </cell>
          <cell r="CE27" t="str">
            <v>048 P. P. REC. RCAR. OS 824 HC</v>
          </cell>
          <cell r="CF27">
            <v>0</v>
          </cell>
          <cell r="CG27">
            <v>0</v>
          </cell>
          <cell r="CH27" t="e">
            <v>#DIV/0!</v>
          </cell>
          <cell r="CI27">
            <v>0</v>
          </cell>
          <cell r="CJ27">
            <v>0</v>
          </cell>
          <cell r="CK27" t="e">
            <v>#DIV/0!</v>
          </cell>
          <cell r="CL27">
            <v>0</v>
          </cell>
          <cell r="CM27">
            <v>0</v>
          </cell>
          <cell r="CN27" t="e">
            <v>#DIV/0!</v>
          </cell>
          <cell r="CO27">
            <v>0</v>
          </cell>
          <cell r="CP27">
            <v>0</v>
          </cell>
          <cell r="CQ27" t="e">
            <v>#DIV/0!</v>
          </cell>
          <cell r="CR27">
            <v>0</v>
          </cell>
          <cell r="CS27">
            <v>0</v>
          </cell>
          <cell r="CT27" t="e">
            <v>#DIV/0!</v>
          </cell>
          <cell r="CV27" t="str">
            <v>048 P. P. REC. RCAR. OS 824 HC</v>
          </cell>
          <cell r="CW27">
            <v>0</v>
          </cell>
          <cell r="CX27">
            <v>0</v>
          </cell>
          <cell r="CY27" t="e">
            <v>#DIV/0!</v>
          </cell>
          <cell r="CZ27">
            <v>0</v>
          </cell>
          <cell r="DA27">
            <v>0</v>
          </cell>
          <cell r="DB27" t="e">
            <v>#DIV/0!</v>
          </cell>
          <cell r="DC27">
            <v>0</v>
          </cell>
          <cell r="DD27">
            <v>0</v>
          </cell>
          <cell r="DE27" t="e">
            <v>#DIV/0!</v>
          </cell>
          <cell r="DF27">
            <v>0</v>
          </cell>
          <cell r="DG27">
            <v>0</v>
          </cell>
          <cell r="DH27" t="e">
            <v>#DIV/0!</v>
          </cell>
          <cell r="DJ27" t="str">
            <v>048 P. P. REC. RCAR. OS 824 HC</v>
          </cell>
          <cell r="DK27">
            <v>0</v>
          </cell>
          <cell r="DL27">
            <v>0</v>
          </cell>
          <cell r="DM27" t="e">
            <v>#DIV/0!</v>
          </cell>
          <cell r="DN27">
            <v>0</v>
          </cell>
          <cell r="DO27">
            <v>0</v>
          </cell>
          <cell r="DP27" t="e">
            <v>#DIV/0!</v>
          </cell>
          <cell r="DQ27">
            <v>0</v>
          </cell>
          <cell r="DR27">
            <v>0</v>
          </cell>
          <cell r="DS27" t="e">
            <v>#DIV/0!</v>
          </cell>
          <cell r="DT27">
            <v>0</v>
          </cell>
          <cell r="DU27">
            <v>0</v>
          </cell>
          <cell r="DV27" t="e">
            <v>#DIV/0!</v>
          </cell>
          <cell r="DX27" t="str">
            <v>048 P. P. REC. RCAR. OS 824 HC</v>
          </cell>
          <cell r="DY27">
            <v>0</v>
          </cell>
          <cell r="DZ27">
            <v>0</v>
          </cell>
          <cell r="EA27" t="e">
            <v>#DIV/0!</v>
          </cell>
          <cell r="EB27">
            <v>0</v>
          </cell>
          <cell r="EC27">
            <v>0</v>
          </cell>
          <cell r="ED27" t="e">
            <v>#DIV/0!</v>
          </cell>
          <cell r="EE27">
            <v>0</v>
          </cell>
          <cell r="EF27">
            <v>0</v>
          </cell>
          <cell r="EG27" t="e">
            <v>#DIV/0!</v>
          </cell>
          <cell r="EH27">
            <v>0</v>
          </cell>
          <cell r="EI27">
            <v>0</v>
          </cell>
          <cell r="EJ27" t="e">
            <v>#DIV/0!</v>
          </cell>
          <cell r="EK27">
            <v>0</v>
          </cell>
          <cell r="EL27">
            <v>0</v>
          </cell>
          <cell r="EM27" t="e">
            <v>#DIV/0!</v>
          </cell>
          <cell r="EO27" t="str">
            <v>048 P. P. REC. RCAR. OS 824 HC</v>
          </cell>
          <cell r="EP27">
            <v>0</v>
          </cell>
          <cell r="EQ27">
            <v>0</v>
          </cell>
          <cell r="ER27" t="e">
            <v>#DIV/0!</v>
          </cell>
          <cell r="ES27">
            <v>0</v>
          </cell>
          <cell r="ET27">
            <v>0</v>
          </cell>
          <cell r="EU27" t="e">
            <v>#DIV/0!</v>
          </cell>
          <cell r="EV27">
            <v>0</v>
          </cell>
          <cell r="EW27">
            <v>0</v>
          </cell>
          <cell r="EX27" t="e">
            <v>#DIV/0!</v>
          </cell>
          <cell r="EY27">
            <v>0</v>
          </cell>
          <cell r="EZ27">
            <v>0</v>
          </cell>
          <cell r="FA27" t="e">
            <v>#DIV/0!</v>
          </cell>
          <cell r="FC27" t="str">
            <v>048 P. P. REC. RCAR. OS 824 HC</v>
          </cell>
          <cell r="FD27">
            <v>0</v>
          </cell>
          <cell r="FE27">
            <v>0</v>
          </cell>
          <cell r="FF27" t="e">
            <v>#DIV/0!</v>
          </cell>
          <cell r="FG27">
            <v>0</v>
          </cell>
          <cell r="FH27">
            <v>0</v>
          </cell>
          <cell r="FI27" t="e">
            <v>#DIV/0!</v>
          </cell>
          <cell r="FJ27">
            <v>0</v>
          </cell>
          <cell r="FK27">
            <v>0</v>
          </cell>
          <cell r="FL27" t="e">
            <v>#DIV/0!</v>
          </cell>
          <cell r="FM27">
            <v>0</v>
          </cell>
          <cell r="FN27">
            <v>0</v>
          </cell>
          <cell r="FO27" t="e">
            <v>#DIV/0!</v>
          </cell>
          <cell r="FP27">
            <v>0</v>
          </cell>
          <cell r="FQ27">
            <v>0</v>
          </cell>
          <cell r="FR27" t="e">
            <v>#DIV/0!</v>
          </cell>
        </row>
        <row r="28">
          <cell r="AZ28" t="str">
            <v>049 P. P. S/P OE TAM. HC OS 824</v>
          </cell>
          <cell r="BA28">
            <v>0</v>
          </cell>
          <cell r="BB28">
            <v>0</v>
          </cell>
          <cell r="BC28" t="e">
            <v>#DIV/0!</v>
          </cell>
          <cell r="BD28">
            <v>5109</v>
          </cell>
          <cell r="BE28">
            <v>2808</v>
          </cell>
          <cell r="BF28">
            <v>54.961832061068705</v>
          </cell>
          <cell r="BG28">
            <v>5112</v>
          </cell>
          <cell r="BH28">
            <v>2808</v>
          </cell>
          <cell r="BI28">
            <v>54.929577464788736</v>
          </cell>
          <cell r="BJ28">
            <v>1104</v>
          </cell>
          <cell r="BK28">
            <v>612</v>
          </cell>
          <cell r="BL28">
            <v>55.434782608695656</v>
          </cell>
          <cell r="BN28" t="str">
            <v>049 P. P. S/P OE TAM. HC OS 824</v>
          </cell>
          <cell r="BO28">
            <v>3103</v>
          </cell>
          <cell r="BP28">
            <v>1704</v>
          </cell>
          <cell r="BQ28">
            <v>54.914598775378664</v>
          </cell>
          <cell r="BR28">
            <v>2693</v>
          </cell>
          <cell r="BS28">
            <v>1476</v>
          </cell>
          <cell r="BT28">
            <v>54.808763460824359</v>
          </cell>
          <cell r="BU28">
            <v>1984</v>
          </cell>
          <cell r="BV28">
            <v>1092</v>
          </cell>
          <cell r="BW28">
            <v>55.04032258064516</v>
          </cell>
          <cell r="BX28">
            <v>0</v>
          </cell>
          <cell r="BY28">
            <v>0</v>
          </cell>
          <cell r="BZ28" t="e">
            <v>#DIV/0!</v>
          </cell>
          <cell r="CA28">
            <v>19105</v>
          </cell>
          <cell r="CB28">
            <v>10500</v>
          </cell>
          <cell r="CC28">
            <v>54.959434702957346</v>
          </cell>
          <cell r="CE28" t="str">
            <v>049 P. P. S/P OE TAM. HC OS 824</v>
          </cell>
          <cell r="CF28">
            <v>21872</v>
          </cell>
          <cell r="CG28">
            <v>14652</v>
          </cell>
          <cell r="CH28">
            <v>66.989758595464522</v>
          </cell>
          <cell r="CI28">
            <v>33447</v>
          </cell>
          <cell r="CJ28">
            <v>22404</v>
          </cell>
          <cell r="CK28">
            <v>66.983585971836035</v>
          </cell>
          <cell r="CL28">
            <v>0</v>
          </cell>
          <cell r="CM28">
            <v>0</v>
          </cell>
          <cell r="CN28" t="e">
            <v>#DIV/0!</v>
          </cell>
          <cell r="CO28">
            <v>0</v>
          </cell>
          <cell r="CP28">
            <v>0</v>
          </cell>
          <cell r="CQ28" t="e">
            <v>#DIV/0!</v>
          </cell>
          <cell r="CR28">
            <v>55319</v>
          </cell>
          <cell r="CS28">
            <v>37056</v>
          </cell>
          <cell r="CT28">
            <v>66.98602650084058</v>
          </cell>
          <cell r="CV28" t="str">
            <v>049 P. P. S/P OE TAM. HC OS 824</v>
          </cell>
          <cell r="CW28">
            <v>0</v>
          </cell>
          <cell r="CX28">
            <v>0</v>
          </cell>
          <cell r="CY28" t="e">
            <v>#DIV/0!</v>
          </cell>
          <cell r="CZ28">
            <v>3090</v>
          </cell>
          <cell r="DA28">
            <v>2868</v>
          </cell>
          <cell r="DB28">
            <v>92.815533980582515</v>
          </cell>
          <cell r="DC28">
            <v>0</v>
          </cell>
          <cell r="DD28">
            <v>0</v>
          </cell>
          <cell r="DE28" t="e">
            <v>#DIV/0!</v>
          </cell>
          <cell r="DF28">
            <v>3090</v>
          </cell>
          <cell r="DG28">
            <v>2868</v>
          </cell>
          <cell r="DH28">
            <v>92.815533980582515</v>
          </cell>
          <cell r="DJ28" t="str">
            <v>049 P. P. S/P OE TAM. HC OS 824</v>
          </cell>
          <cell r="DK28">
            <v>16354</v>
          </cell>
          <cell r="DL28">
            <v>15204</v>
          </cell>
          <cell r="DM28">
            <v>92.96808120337532</v>
          </cell>
          <cell r="DN28">
            <v>0</v>
          </cell>
          <cell r="DO28">
            <v>0</v>
          </cell>
          <cell r="DP28" t="e">
            <v>#DIV/0!</v>
          </cell>
          <cell r="DQ28">
            <v>0</v>
          </cell>
          <cell r="DR28">
            <v>0</v>
          </cell>
          <cell r="DS28" t="e">
            <v>#DIV/0!</v>
          </cell>
          <cell r="DT28">
            <v>0</v>
          </cell>
          <cell r="DU28">
            <v>0</v>
          </cell>
          <cell r="DV28" t="e">
            <v>#DIV/0!</v>
          </cell>
          <cell r="DX28" t="str">
            <v>049 P. P. S/P OE TAM. HC OS 824</v>
          </cell>
          <cell r="DY28">
            <v>0</v>
          </cell>
          <cell r="DZ28">
            <v>0</v>
          </cell>
          <cell r="EA28" t="e">
            <v>#DIV/0!</v>
          </cell>
          <cell r="EB28">
            <v>0</v>
          </cell>
          <cell r="EC28">
            <v>0</v>
          </cell>
          <cell r="ED28" t="e">
            <v>#DIV/0!</v>
          </cell>
          <cell r="EE28">
            <v>1553</v>
          </cell>
          <cell r="EF28">
            <v>1440</v>
          </cell>
          <cell r="EG28">
            <v>92.723760463618802</v>
          </cell>
          <cell r="EH28">
            <v>11778</v>
          </cell>
          <cell r="EI28">
            <v>10956</v>
          </cell>
          <cell r="EJ28">
            <v>93.020886398369839</v>
          </cell>
          <cell r="EK28">
            <v>29685</v>
          </cell>
          <cell r="EL28">
            <v>27600</v>
          </cell>
          <cell r="EM28">
            <v>92.976250631632141</v>
          </cell>
          <cell r="EO28" t="str">
            <v>049 P. P. S/P OE TAM. HC OS 824</v>
          </cell>
          <cell r="EP28">
            <v>17042</v>
          </cell>
          <cell r="EQ28">
            <v>15852</v>
          </cell>
          <cell r="ER28">
            <v>93.01725149630326</v>
          </cell>
          <cell r="ES28">
            <v>0</v>
          </cell>
          <cell r="ET28">
            <v>0</v>
          </cell>
          <cell r="EU28" t="e">
            <v>#DIV/0!</v>
          </cell>
          <cell r="EV28">
            <v>1592</v>
          </cell>
          <cell r="EW28">
            <v>1476</v>
          </cell>
          <cell r="EX28">
            <v>92.713567839195974</v>
          </cell>
          <cell r="EY28">
            <v>0</v>
          </cell>
          <cell r="EZ28">
            <v>0</v>
          </cell>
          <cell r="FA28" t="e">
            <v>#DIV/0!</v>
          </cell>
          <cell r="FC28" t="str">
            <v>049 P. P. S/P OE TAM. HC OS 824</v>
          </cell>
          <cell r="FD28">
            <v>0</v>
          </cell>
          <cell r="FE28">
            <v>0</v>
          </cell>
          <cell r="FF28" t="e">
            <v>#DIV/0!</v>
          </cell>
          <cell r="FG28">
            <v>0</v>
          </cell>
          <cell r="FH28">
            <v>0</v>
          </cell>
          <cell r="FI28" t="e">
            <v>#DIV/0!</v>
          </cell>
          <cell r="FJ28">
            <v>11476</v>
          </cell>
          <cell r="FK28">
            <v>10668</v>
          </cell>
          <cell r="FL28">
            <v>92.959219240153374</v>
          </cell>
          <cell r="FM28">
            <v>26115</v>
          </cell>
          <cell r="FN28">
            <v>24288</v>
          </cell>
          <cell r="FO28">
            <v>93.004020677771393</v>
          </cell>
          <cell r="FP28">
            <v>56225</v>
          </cell>
          <cell r="FQ28">
            <v>52284</v>
          </cell>
          <cell r="FR28">
            <v>92.990662516674078</v>
          </cell>
        </row>
        <row r="29">
          <cell r="AZ29" t="str">
            <v>051 HS BUREAU</v>
          </cell>
          <cell r="BA29">
            <v>0</v>
          </cell>
          <cell r="BB29">
            <v>0</v>
          </cell>
          <cell r="BC29" t="e">
            <v>#DIV/0!</v>
          </cell>
          <cell r="BD29">
            <v>0</v>
          </cell>
          <cell r="BE29">
            <v>0</v>
          </cell>
          <cell r="BF29" t="e">
            <v>#DIV/0!</v>
          </cell>
          <cell r="BG29">
            <v>0</v>
          </cell>
          <cell r="BH29">
            <v>0</v>
          </cell>
          <cell r="BI29" t="e">
            <v>#DIV/0!</v>
          </cell>
          <cell r="BJ29">
            <v>0</v>
          </cell>
          <cell r="BK29">
            <v>0</v>
          </cell>
          <cell r="BL29" t="e">
            <v>#DIV/0!</v>
          </cell>
          <cell r="BN29" t="str">
            <v>051 HS BUREAU</v>
          </cell>
          <cell r="BO29">
            <v>0</v>
          </cell>
          <cell r="BP29">
            <v>0</v>
          </cell>
          <cell r="BQ29" t="e">
            <v>#DIV/0!</v>
          </cell>
          <cell r="BR29">
            <v>0</v>
          </cell>
          <cell r="BS29">
            <v>0</v>
          </cell>
          <cell r="BT29" t="e">
            <v>#DIV/0!</v>
          </cell>
          <cell r="BU29">
            <v>0</v>
          </cell>
          <cell r="BV29">
            <v>0</v>
          </cell>
          <cell r="BW29" t="e">
            <v>#DIV/0!</v>
          </cell>
          <cell r="BX29">
            <v>0</v>
          </cell>
          <cell r="BY29">
            <v>0</v>
          </cell>
          <cell r="BZ29" t="e">
            <v>#DIV/0!</v>
          </cell>
          <cell r="CA29">
            <v>0</v>
          </cell>
          <cell r="CB29">
            <v>0</v>
          </cell>
          <cell r="CC29" t="e">
            <v>#DIV/0!</v>
          </cell>
          <cell r="CE29" t="str">
            <v>051 HS BUREAU</v>
          </cell>
          <cell r="CF29">
            <v>0</v>
          </cell>
          <cell r="CG29">
            <v>0</v>
          </cell>
          <cell r="CH29" t="e">
            <v>#DIV/0!</v>
          </cell>
          <cell r="CI29">
            <v>0</v>
          </cell>
          <cell r="CJ29">
            <v>0</v>
          </cell>
          <cell r="CK29" t="e">
            <v>#DIV/0!</v>
          </cell>
          <cell r="CL29">
            <v>0</v>
          </cell>
          <cell r="CM29">
            <v>0</v>
          </cell>
          <cell r="CN29" t="e">
            <v>#DIV/0!</v>
          </cell>
          <cell r="CO29">
            <v>0</v>
          </cell>
          <cell r="CP29">
            <v>0</v>
          </cell>
          <cell r="CQ29" t="e">
            <v>#DIV/0!</v>
          </cell>
          <cell r="CR29">
            <v>0</v>
          </cell>
          <cell r="CS29">
            <v>0</v>
          </cell>
          <cell r="CT29" t="e">
            <v>#DIV/0!</v>
          </cell>
          <cell r="CV29" t="str">
            <v>051 HS BUREAU</v>
          </cell>
          <cell r="CW29">
            <v>0</v>
          </cell>
          <cell r="CX29">
            <v>0</v>
          </cell>
          <cell r="CY29" t="e">
            <v>#DIV/0!</v>
          </cell>
          <cell r="CZ29">
            <v>0</v>
          </cell>
          <cell r="DA29">
            <v>0</v>
          </cell>
          <cell r="DB29" t="e">
            <v>#DIV/0!</v>
          </cell>
          <cell r="DC29">
            <v>0</v>
          </cell>
          <cell r="DD29">
            <v>0</v>
          </cell>
          <cell r="DE29" t="e">
            <v>#DIV/0!</v>
          </cell>
          <cell r="DF29">
            <v>0</v>
          </cell>
          <cell r="DG29">
            <v>0</v>
          </cell>
          <cell r="DH29" t="e">
            <v>#DIV/0!</v>
          </cell>
          <cell r="DJ29" t="str">
            <v>051 HS BUREAU</v>
          </cell>
          <cell r="DK29">
            <v>0</v>
          </cell>
          <cell r="DL29">
            <v>0</v>
          </cell>
          <cell r="DM29" t="e">
            <v>#DIV/0!</v>
          </cell>
          <cell r="DN29">
            <v>0</v>
          </cell>
          <cell r="DO29">
            <v>0</v>
          </cell>
          <cell r="DP29" t="e">
            <v>#DIV/0!</v>
          </cell>
          <cell r="DQ29">
            <v>0</v>
          </cell>
          <cell r="DR29">
            <v>0</v>
          </cell>
          <cell r="DS29" t="e">
            <v>#DIV/0!</v>
          </cell>
          <cell r="DT29">
            <v>0</v>
          </cell>
          <cell r="DU29">
            <v>0</v>
          </cell>
          <cell r="DV29" t="e">
            <v>#DIV/0!</v>
          </cell>
          <cell r="DX29" t="str">
            <v>051 HS BUREAU</v>
          </cell>
          <cell r="DY29">
            <v>0</v>
          </cell>
          <cell r="DZ29">
            <v>0</v>
          </cell>
          <cell r="EA29" t="e">
            <v>#DIV/0!</v>
          </cell>
          <cell r="EB29">
            <v>0</v>
          </cell>
          <cell r="EC29">
            <v>0</v>
          </cell>
          <cell r="ED29" t="e">
            <v>#DIV/0!</v>
          </cell>
          <cell r="EE29">
            <v>0</v>
          </cell>
          <cell r="EF29">
            <v>0</v>
          </cell>
          <cell r="EG29" t="e">
            <v>#DIV/0!</v>
          </cell>
          <cell r="EH29">
            <v>0</v>
          </cell>
          <cell r="EI29">
            <v>0</v>
          </cell>
          <cell r="EJ29" t="e">
            <v>#DIV/0!</v>
          </cell>
          <cell r="EK29">
            <v>0</v>
          </cell>
          <cell r="EL29">
            <v>0</v>
          </cell>
          <cell r="EM29" t="e">
            <v>#DIV/0!</v>
          </cell>
          <cell r="EO29" t="str">
            <v>051 HS BUREAU</v>
          </cell>
          <cell r="EP29">
            <v>0</v>
          </cell>
          <cell r="EQ29">
            <v>0</v>
          </cell>
          <cell r="ER29" t="e">
            <v>#DIV/0!</v>
          </cell>
          <cell r="ES29">
            <v>0</v>
          </cell>
          <cell r="ET29">
            <v>0</v>
          </cell>
          <cell r="EU29" t="e">
            <v>#DIV/0!</v>
          </cell>
          <cell r="EV29">
            <v>0</v>
          </cell>
          <cell r="EW29">
            <v>0</v>
          </cell>
          <cell r="EX29" t="e">
            <v>#DIV/0!</v>
          </cell>
          <cell r="EY29">
            <v>0</v>
          </cell>
          <cell r="EZ29">
            <v>0</v>
          </cell>
          <cell r="FA29" t="e">
            <v>#DIV/0!</v>
          </cell>
          <cell r="FC29" t="str">
            <v>051 HS BUREAU</v>
          </cell>
          <cell r="FD29">
            <v>0</v>
          </cell>
          <cell r="FE29">
            <v>0</v>
          </cell>
          <cell r="FF29" t="e">
            <v>#DIV/0!</v>
          </cell>
          <cell r="FG29">
            <v>0</v>
          </cell>
          <cell r="FH29">
            <v>0</v>
          </cell>
          <cell r="FI29" t="e">
            <v>#DIV/0!</v>
          </cell>
          <cell r="FJ29">
            <v>0</v>
          </cell>
          <cell r="FK29">
            <v>0</v>
          </cell>
          <cell r="FL29" t="e">
            <v>#DIV/0!</v>
          </cell>
          <cell r="FM29">
            <v>460</v>
          </cell>
          <cell r="FN29">
            <v>432</v>
          </cell>
          <cell r="FO29">
            <v>93.913043478260875</v>
          </cell>
          <cell r="FP29">
            <v>460</v>
          </cell>
          <cell r="FQ29">
            <v>432</v>
          </cell>
          <cell r="FR29">
            <v>93.913043478260875</v>
          </cell>
        </row>
        <row r="30">
          <cell r="AZ30" t="str">
            <v>052 HS JOUR</v>
          </cell>
          <cell r="BA30">
            <v>0</v>
          </cell>
          <cell r="BB30">
            <v>0</v>
          </cell>
          <cell r="BC30" t="e">
            <v>#DIV/0!</v>
          </cell>
          <cell r="BD30">
            <v>0</v>
          </cell>
          <cell r="BE30">
            <v>0</v>
          </cell>
          <cell r="BF30" t="e">
            <v>#DIV/0!</v>
          </cell>
          <cell r="BG30">
            <v>0</v>
          </cell>
          <cell r="BH30">
            <v>0</v>
          </cell>
          <cell r="BI30" t="e">
            <v>#DIV/0!</v>
          </cell>
          <cell r="BJ30">
            <v>0</v>
          </cell>
          <cell r="BK30">
            <v>0</v>
          </cell>
          <cell r="BL30" t="e">
            <v>#DIV/0!</v>
          </cell>
          <cell r="BN30" t="str">
            <v>052 HS JOUR</v>
          </cell>
          <cell r="BO30">
            <v>0</v>
          </cell>
          <cell r="BP30">
            <v>0</v>
          </cell>
          <cell r="BQ30" t="e">
            <v>#DIV/0!</v>
          </cell>
          <cell r="BR30">
            <v>0</v>
          </cell>
          <cell r="BS30">
            <v>0</v>
          </cell>
          <cell r="BT30" t="e">
            <v>#DIV/0!</v>
          </cell>
          <cell r="BU30">
            <v>0</v>
          </cell>
          <cell r="BV30">
            <v>0</v>
          </cell>
          <cell r="BW30" t="e">
            <v>#DIV/0!</v>
          </cell>
          <cell r="BX30">
            <v>0</v>
          </cell>
          <cell r="BY30">
            <v>0</v>
          </cell>
          <cell r="BZ30" t="e">
            <v>#DIV/0!</v>
          </cell>
          <cell r="CA30">
            <v>0</v>
          </cell>
          <cell r="CB30">
            <v>0</v>
          </cell>
          <cell r="CC30" t="e">
            <v>#DIV/0!</v>
          </cell>
          <cell r="CE30" t="str">
            <v>052 HS JOUR</v>
          </cell>
          <cell r="CF30">
            <v>0</v>
          </cell>
          <cell r="CG30">
            <v>0</v>
          </cell>
          <cell r="CH30" t="e">
            <v>#DIV/0!</v>
          </cell>
          <cell r="CI30">
            <v>1153</v>
          </cell>
          <cell r="CJ30">
            <v>768</v>
          </cell>
          <cell r="CK30">
            <v>66.608846487424117</v>
          </cell>
          <cell r="CL30">
            <v>0</v>
          </cell>
          <cell r="CM30">
            <v>0</v>
          </cell>
          <cell r="CN30" t="e">
            <v>#DIV/0!</v>
          </cell>
          <cell r="CO30">
            <v>0</v>
          </cell>
          <cell r="CP30">
            <v>0</v>
          </cell>
          <cell r="CQ30" t="e">
            <v>#DIV/0!</v>
          </cell>
          <cell r="CR30">
            <v>1153</v>
          </cell>
          <cell r="CS30">
            <v>768</v>
          </cell>
          <cell r="CT30">
            <v>66.608846487424117</v>
          </cell>
          <cell r="CV30" t="str">
            <v>052 HS JOUR</v>
          </cell>
          <cell r="CW30">
            <v>0</v>
          </cell>
          <cell r="CX30">
            <v>0</v>
          </cell>
          <cell r="CY30" t="e">
            <v>#DIV/0!</v>
          </cell>
          <cell r="CZ30">
            <v>0</v>
          </cell>
          <cell r="DA30">
            <v>0</v>
          </cell>
          <cell r="DB30" t="e">
            <v>#DIV/0!</v>
          </cell>
          <cell r="DC30">
            <v>0</v>
          </cell>
          <cell r="DD30">
            <v>0</v>
          </cell>
          <cell r="DE30" t="e">
            <v>#DIV/0!</v>
          </cell>
          <cell r="DF30">
            <v>0</v>
          </cell>
          <cell r="DG30">
            <v>0</v>
          </cell>
          <cell r="DH30" t="e">
            <v>#DIV/0!</v>
          </cell>
          <cell r="DJ30" t="str">
            <v>052 HS JOUR</v>
          </cell>
          <cell r="DK30">
            <v>10819</v>
          </cell>
          <cell r="DL30">
            <v>10056</v>
          </cell>
          <cell r="DM30">
            <v>92.947592198909319</v>
          </cell>
          <cell r="DN30">
            <v>0</v>
          </cell>
          <cell r="DO30">
            <v>0</v>
          </cell>
          <cell r="DP30" t="e">
            <v>#DIV/0!</v>
          </cell>
          <cell r="DQ30">
            <v>0</v>
          </cell>
          <cell r="DR30">
            <v>0</v>
          </cell>
          <cell r="DS30" t="e">
            <v>#DIV/0!</v>
          </cell>
          <cell r="DT30">
            <v>0</v>
          </cell>
          <cell r="DU30">
            <v>0</v>
          </cell>
          <cell r="DV30" t="e">
            <v>#DIV/0!</v>
          </cell>
          <cell r="DX30" t="str">
            <v>052 HS JOUR</v>
          </cell>
          <cell r="DY30">
            <v>0</v>
          </cell>
          <cell r="DZ30">
            <v>0</v>
          </cell>
          <cell r="EA30" t="e">
            <v>#DIV/0!</v>
          </cell>
          <cell r="EB30">
            <v>0</v>
          </cell>
          <cell r="EC30">
            <v>0</v>
          </cell>
          <cell r="ED30" t="e">
            <v>#DIV/0!</v>
          </cell>
          <cell r="EE30">
            <v>27859</v>
          </cell>
          <cell r="EF30">
            <v>25908</v>
          </cell>
          <cell r="EG30">
            <v>92.996877131268178</v>
          </cell>
          <cell r="EH30">
            <v>0</v>
          </cell>
          <cell r="EI30">
            <v>0</v>
          </cell>
          <cell r="EJ30" t="e">
            <v>#DIV/0!</v>
          </cell>
          <cell r="EK30">
            <v>38678</v>
          </cell>
          <cell r="EL30">
            <v>35964</v>
          </cell>
          <cell r="EM30">
            <v>92.983091162935011</v>
          </cell>
          <cell r="EO30" t="str">
            <v>052 HS JOUR</v>
          </cell>
          <cell r="EP30">
            <v>212183</v>
          </cell>
          <cell r="EQ30">
            <v>197328</v>
          </cell>
          <cell r="ER30">
            <v>92.998967872072697</v>
          </cell>
          <cell r="ES30">
            <v>0</v>
          </cell>
          <cell r="ET30">
            <v>0</v>
          </cell>
          <cell r="EU30" t="e">
            <v>#DIV/0!</v>
          </cell>
          <cell r="EV30">
            <v>27732</v>
          </cell>
          <cell r="EW30">
            <v>25788</v>
          </cell>
          <cell r="EX30">
            <v>92.990047598442231</v>
          </cell>
          <cell r="EY30">
            <v>11862</v>
          </cell>
          <cell r="EZ30">
            <v>11028</v>
          </cell>
          <cell r="FA30">
            <v>92.969145169448666</v>
          </cell>
          <cell r="FC30" t="str">
            <v>052 HS JOUR</v>
          </cell>
          <cell r="FD30">
            <v>0</v>
          </cell>
          <cell r="FE30">
            <v>0</v>
          </cell>
          <cell r="FF30" t="e">
            <v>#DIV/0!</v>
          </cell>
          <cell r="FG30">
            <v>0</v>
          </cell>
          <cell r="FH30">
            <v>0</v>
          </cell>
          <cell r="FI30" t="e">
            <v>#DIV/0!</v>
          </cell>
          <cell r="FJ30">
            <v>78313</v>
          </cell>
          <cell r="FK30">
            <v>72828</v>
          </cell>
          <cell r="FL30">
            <v>92.996054294944642</v>
          </cell>
          <cell r="FM30">
            <v>94043</v>
          </cell>
          <cell r="FN30">
            <v>87456</v>
          </cell>
          <cell r="FO30">
            <v>92.995757259976813</v>
          </cell>
          <cell r="FP30">
            <v>424133</v>
          </cell>
          <cell r="FQ30">
            <v>394428</v>
          </cell>
          <cell r="FR30">
            <v>92.996300688699066</v>
          </cell>
        </row>
        <row r="31">
          <cell r="AZ31" t="str">
            <v>053 HS FOND</v>
          </cell>
          <cell r="BA31">
            <v>0</v>
          </cell>
          <cell r="BB31">
            <v>0</v>
          </cell>
          <cell r="BC31" t="e">
            <v>#DIV/0!</v>
          </cell>
          <cell r="BD31">
            <v>43812</v>
          </cell>
          <cell r="BE31">
            <v>24096</v>
          </cell>
          <cell r="BF31">
            <v>54.998630512188441</v>
          </cell>
          <cell r="BG31">
            <v>42387</v>
          </cell>
          <cell r="BH31">
            <v>23316</v>
          </cell>
          <cell r="BI31">
            <v>55.007431523816265</v>
          </cell>
          <cell r="BJ31">
            <v>29934</v>
          </cell>
          <cell r="BK31">
            <v>16464</v>
          </cell>
          <cell r="BL31">
            <v>55.001002204850671</v>
          </cell>
          <cell r="BN31" t="str">
            <v>053 HS FOND</v>
          </cell>
          <cell r="BO31">
            <v>30760</v>
          </cell>
          <cell r="BP31">
            <v>16920</v>
          </cell>
          <cell r="BQ31">
            <v>55.006501950585175</v>
          </cell>
          <cell r="BR31">
            <v>34273</v>
          </cell>
          <cell r="BS31">
            <v>18852</v>
          </cell>
          <cell r="BT31">
            <v>55.005397835030493</v>
          </cell>
          <cell r="BU31">
            <v>38457</v>
          </cell>
          <cell r="BV31">
            <v>21156</v>
          </cell>
          <cell r="BW31">
            <v>55.012091426788359</v>
          </cell>
          <cell r="BX31">
            <v>0</v>
          </cell>
          <cell r="BY31">
            <v>0</v>
          </cell>
          <cell r="BZ31" t="e">
            <v>#DIV/0!</v>
          </cell>
          <cell r="CA31">
            <v>219623</v>
          </cell>
          <cell r="CB31">
            <v>120804</v>
          </cell>
          <cell r="CC31">
            <v>55.005167946890808</v>
          </cell>
          <cell r="CE31" t="str">
            <v>053 HS FOND</v>
          </cell>
          <cell r="CF31">
            <v>84355</v>
          </cell>
          <cell r="CG31">
            <v>56520</v>
          </cell>
          <cell r="CH31">
            <v>67.002548752296846</v>
          </cell>
          <cell r="CI31">
            <v>106254</v>
          </cell>
          <cell r="CJ31">
            <v>71196</v>
          </cell>
          <cell r="CK31">
            <v>67.005477440849276</v>
          </cell>
          <cell r="CL31">
            <v>0</v>
          </cell>
          <cell r="CM31">
            <v>0</v>
          </cell>
          <cell r="CN31" t="e">
            <v>#DIV/0!</v>
          </cell>
          <cell r="CO31">
            <v>0</v>
          </cell>
          <cell r="CP31">
            <v>0</v>
          </cell>
          <cell r="CQ31" t="e">
            <v>#DIV/0!</v>
          </cell>
          <cell r="CR31">
            <v>190609</v>
          </cell>
          <cell r="CS31">
            <v>127716</v>
          </cell>
          <cell r="CT31">
            <v>67.004181334564478</v>
          </cell>
          <cell r="CV31" t="str">
            <v>053 HS FOND</v>
          </cell>
          <cell r="CW31">
            <v>355</v>
          </cell>
          <cell r="CX31">
            <v>336</v>
          </cell>
          <cell r="CY31">
            <v>94.647887323943664</v>
          </cell>
          <cell r="CZ31">
            <v>348040</v>
          </cell>
          <cell r="DA31">
            <v>323676</v>
          </cell>
          <cell r="DB31">
            <v>92.999655212044601</v>
          </cell>
          <cell r="DC31">
            <v>0</v>
          </cell>
          <cell r="DD31">
            <v>0</v>
          </cell>
          <cell r="DE31" t="e">
            <v>#DIV/0!</v>
          </cell>
          <cell r="DF31">
            <v>348395</v>
          </cell>
          <cell r="DG31">
            <v>324012</v>
          </cell>
          <cell r="DH31">
            <v>93.001334691944493</v>
          </cell>
          <cell r="DJ31" t="str">
            <v>053 HS FOND</v>
          </cell>
          <cell r="DK31">
            <v>331605</v>
          </cell>
          <cell r="DL31">
            <v>308388</v>
          </cell>
          <cell r="DM31">
            <v>92.998597729226034</v>
          </cell>
          <cell r="DN31">
            <v>0</v>
          </cell>
          <cell r="DO31">
            <v>0</v>
          </cell>
          <cell r="DP31" t="e">
            <v>#DIV/0!</v>
          </cell>
          <cell r="DQ31">
            <v>0</v>
          </cell>
          <cell r="DR31">
            <v>0</v>
          </cell>
          <cell r="DS31" t="e">
            <v>#DIV/0!</v>
          </cell>
          <cell r="DT31">
            <v>0</v>
          </cell>
          <cell r="DU31">
            <v>0</v>
          </cell>
          <cell r="DV31" t="e">
            <v>#DIV/0!</v>
          </cell>
          <cell r="DX31" t="str">
            <v>053 HS FOND</v>
          </cell>
          <cell r="DY31">
            <v>0</v>
          </cell>
          <cell r="DZ31">
            <v>0</v>
          </cell>
          <cell r="EA31" t="e">
            <v>#DIV/0!</v>
          </cell>
          <cell r="EB31">
            <v>0</v>
          </cell>
          <cell r="EC31">
            <v>0</v>
          </cell>
          <cell r="ED31" t="e">
            <v>#DIV/0!</v>
          </cell>
          <cell r="EE31">
            <v>108449</v>
          </cell>
          <cell r="EF31">
            <v>100860</v>
          </cell>
          <cell r="EG31">
            <v>93.002240684561414</v>
          </cell>
          <cell r="EH31">
            <v>31287</v>
          </cell>
          <cell r="EI31">
            <v>29100</v>
          </cell>
          <cell r="EJ31">
            <v>93.009876306453151</v>
          </cell>
          <cell r="EK31">
            <v>471341</v>
          </cell>
          <cell r="EL31">
            <v>438348</v>
          </cell>
          <cell r="EM31">
            <v>93.000184579741628</v>
          </cell>
          <cell r="EO31" t="str">
            <v>053 HS FOND</v>
          </cell>
          <cell r="EP31">
            <v>61653</v>
          </cell>
          <cell r="EQ31">
            <v>57336</v>
          </cell>
          <cell r="ER31">
            <v>92.997907644396875</v>
          </cell>
          <cell r="ES31">
            <v>0</v>
          </cell>
          <cell r="ET31">
            <v>0</v>
          </cell>
          <cell r="EU31" t="e">
            <v>#DIV/0!</v>
          </cell>
          <cell r="EV31">
            <v>15869</v>
          </cell>
          <cell r="EW31">
            <v>14760</v>
          </cell>
          <cell r="EX31">
            <v>93.011531917575155</v>
          </cell>
          <cell r="EY31">
            <v>0</v>
          </cell>
          <cell r="EZ31">
            <v>0</v>
          </cell>
          <cell r="FA31" t="e">
            <v>#DIV/0!</v>
          </cell>
          <cell r="FC31" t="str">
            <v>053 HS FOND</v>
          </cell>
          <cell r="FD31">
            <v>0</v>
          </cell>
          <cell r="FE31">
            <v>0</v>
          </cell>
          <cell r="FF31" t="e">
            <v>#DIV/0!</v>
          </cell>
          <cell r="FG31">
            <v>0</v>
          </cell>
          <cell r="FH31">
            <v>0</v>
          </cell>
          <cell r="FI31" t="e">
            <v>#DIV/0!</v>
          </cell>
          <cell r="FJ31">
            <v>21653</v>
          </cell>
          <cell r="FK31">
            <v>20136</v>
          </cell>
          <cell r="FL31">
            <v>92.994042395972841</v>
          </cell>
          <cell r="FM31">
            <v>74264</v>
          </cell>
          <cell r="FN31">
            <v>69060</v>
          </cell>
          <cell r="FO31">
            <v>92.992567058063131</v>
          </cell>
          <cell r="FP31">
            <v>173439</v>
          </cell>
          <cell r="FQ31">
            <v>161292</v>
          </cell>
          <cell r="FR31">
            <v>92.996384896130621</v>
          </cell>
        </row>
        <row r="32">
          <cell r="AZ32" t="str">
            <v>056 HS TAMCA</v>
          </cell>
          <cell r="BA32">
            <v>0</v>
          </cell>
          <cell r="BB32">
            <v>0</v>
          </cell>
          <cell r="BC32" t="e">
            <v>#DIV/0!</v>
          </cell>
          <cell r="BD32">
            <v>23720</v>
          </cell>
          <cell r="BE32">
            <v>13044</v>
          </cell>
          <cell r="BF32">
            <v>54.991568296795954</v>
          </cell>
          <cell r="BG32">
            <v>11507</v>
          </cell>
          <cell r="BH32">
            <v>6324</v>
          </cell>
          <cell r="BI32">
            <v>54.95785174241766</v>
          </cell>
          <cell r="BJ32">
            <v>11515</v>
          </cell>
          <cell r="BK32">
            <v>6336</v>
          </cell>
          <cell r="BL32">
            <v>55.023881893182804</v>
          </cell>
          <cell r="BN32" t="str">
            <v>056 HS TAMCA</v>
          </cell>
          <cell r="BO32">
            <v>15924</v>
          </cell>
          <cell r="BP32">
            <v>8760</v>
          </cell>
          <cell r="BQ32">
            <v>55.011303692539556</v>
          </cell>
          <cell r="BR32">
            <v>9673</v>
          </cell>
          <cell r="BS32">
            <v>5316</v>
          </cell>
          <cell r="BT32">
            <v>54.957097074330605</v>
          </cell>
          <cell r="BU32">
            <v>9709</v>
          </cell>
          <cell r="BV32">
            <v>5340</v>
          </cell>
          <cell r="BW32">
            <v>55.000514986095375</v>
          </cell>
          <cell r="BX32">
            <v>0</v>
          </cell>
          <cell r="BY32">
            <v>0</v>
          </cell>
          <cell r="BZ32" t="e">
            <v>#DIV/0!</v>
          </cell>
          <cell r="CA32">
            <v>82048</v>
          </cell>
          <cell r="CB32">
            <v>45120</v>
          </cell>
          <cell r="CC32">
            <v>54.992199687987522</v>
          </cell>
          <cell r="CE32" t="str">
            <v>056 HS TAMCA</v>
          </cell>
          <cell r="CF32">
            <v>48557</v>
          </cell>
          <cell r="CG32">
            <v>32532</v>
          </cell>
          <cell r="CH32">
            <v>66.997549271989627</v>
          </cell>
          <cell r="CI32">
            <v>93801</v>
          </cell>
          <cell r="CJ32">
            <v>62844</v>
          </cell>
          <cell r="CK32">
            <v>66.99715354846964</v>
          </cell>
          <cell r="CL32">
            <v>0</v>
          </cell>
          <cell r="CM32">
            <v>0</v>
          </cell>
          <cell r="CN32" t="e">
            <v>#DIV/0!</v>
          </cell>
          <cell r="CO32">
            <v>0</v>
          </cell>
          <cell r="CP32">
            <v>0</v>
          </cell>
          <cell r="CQ32" t="e">
            <v>#DIV/0!</v>
          </cell>
          <cell r="CR32">
            <v>142358</v>
          </cell>
          <cell r="CS32">
            <v>95376</v>
          </cell>
          <cell r="CT32">
            <v>66.997288526110239</v>
          </cell>
          <cell r="CV32" t="str">
            <v>056 HS TAMCA</v>
          </cell>
          <cell r="CW32">
            <v>0</v>
          </cell>
          <cell r="CX32">
            <v>0</v>
          </cell>
          <cell r="CY32" t="e">
            <v>#DIV/0!</v>
          </cell>
          <cell r="CZ32">
            <v>23677</v>
          </cell>
          <cell r="DA32">
            <v>22020</v>
          </cell>
          <cell r="DB32">
            <v>93.00164716813785</v>
          </cell>
          <cell r="DC32">
            <v>0</v>
          </cell>
          <cell r="DD32">
            <v>0</v>
          </cell>
          <cell r="DE32" t="e">
            <v>#DIV/0!</v>
          </cell>
          <cell r="DF32">
            <v>23677</v>
          </cell>
          <cell r="DG32">
            <v>22020</v>
          </cell>
          <cell r="DH32">
            <v>93.00164716813785</v>
          </cell>
          <cell r="DJ32" t="str">
            <v>056 HS TAMCA</v>
          </cell>
          <cell r="DK32">
            <v>75890</v>
          </cell>
          <cell r="DL32">
            <v>70572</v>
          </cell>
          <cell r="DM32">
            <v>92.992489129002507</v>
          </cell>
          <cell r="DN32">
            <v>0</v>
          </cell>
          <cell r="DO32">
            <v>0</v>
          </cell>
          <cell r="DP32" t="e">
            <v>#DIV/0!</v>
          </cell>
          <cell r="DQ32">
            <v>0</v>
          </cell>
          <cell r="DR32">
            <v>0</v>
          </cell>
          <cell r="DS32" t="e">
            <v>#DIV/0!</v>
          </cell>
          <cell r="DT32">
            <v>0</v>
          </cell>
          <cell r="DU32">
            <v>0</v>
          </cell>
          <cell r="DV32" t="e">
            <v>#DIV/0!</v>
          </cell>
          <cell r="DX32" t="str">
            <v>056 HS TAMCA</v>
          </cell>
          <cell r="DY32">
            <v>0</v>
          </cell>
          <cell r="DZ32">
            <v>0</v>
          </cell>
          <cell r="EA32" t="e">
            <v>#DIV/0!</v>
          </cell>
          <cell r="EB32">
            <v>0</v>
          </cell>
          <cell r="EC32">
            <v>0</v>
          </cell>
          <cell r="ED32" t="e">
            <v>#DIV/0!</v>
          </cell>
          <cell r="EE32">
            <v>13591</v>
          </cell>
          <cell r="EF32">
            <v>12636</v>
          </cell>
          <cell r="EG32">
            <v>92.973291148554196</v>
          </cell>
          <cell r="EH32">
            <v>31954</v>
          </cell>
          <cell r="EI32">
            <v>29712</v>
          </cell>
          <cell r="EJ32">
            <v>92.983664017024466</v>
          </cell>
          <cell r="EK32">
            <v>121435</v>
          </cell>
          <cell r="EL32">
            <v>112920</v>
          </cell>
          <cell r="EM32">
            <v>92.988018281385095</v>
          </cell>
          <cell r="EO32" t="str">
            <v>056 HS TAMCA</v>
          </cell>
          <cell r="EP32">
            <v>29194</v>
          </cell>
          <cell r="EQ32">
            <v>27156</v>
          </cell>
          <cell r="ER32">
            <v>93.019113516475997</v>
          </cell>
          <cell r="ES32">
            <v>0</v>
          </cell>
          <cell r="ET32">
            <v>0</v>
          </cell>
          <cell r="EU32" t="e">
            <v>#DIV/0!</v>
          </cell>
          <cell r="EV32">
            <v>0</v>
          </cell>
          <cell r="EW32">
            <v>0</v>
          </cell>
          <cell r="EX32" t="e">
            <v>#DIV/0!</v>
          </cell>
          <cell r="EY32">
            <v>11297</v>
          </cell>
          <cell r="EZ32">
            <v>10512</v>
          </cell>
          <cell r="FA32">
            <v>93.051252544923429</v>
          </cell>
          <cell r="FC32" t="str">
            <v>056 HS TAMCA</v>
          </cell>
          <cell r="FD32">
            <v>0</v>
          </cell>
          <cell r="FE32">
            <v>0</v>
          </cell>
          <cell r="FF32" t="e">
            <v>#DIV/0!</v>
          </cell>
          <cell r="FG32">
            <v>0</v>
          </cell>
          <cell r="FH32">
            <v>0</v>
          </cell>
          <cell r="FI32" t="e">
            <v>#DIV/0!</v>
          </cell>
          <cell r="FJ32">
            <v>37324</v>
          </cell>
          <cell r="FK32">
            <v>34716</v>
          </cell>
          <cell r="FL32">
            <v>93.012538848997963</v>
          </cell>
          <cell r="FM32">
            <v>30279</v>
          </cell>
          <cell r="FN32">
            <v>28164</v>
          </cell>
          <cell r="FO32">
            <v>93.014960863965129</v>
          </cell>
          <cell r="FP32">
            <v>108094</v>
          </cell>
          <cell r="FQ32">
            <v>100548</v>
          </cell>
          <cell r="FR32">
            <v>93.019038984587482</v>
          </cell>
        </row>
        <row r="33">
          <cell r="AZ33" t="str">
            <v>058 HC OEJ</v>
          </cell>
          <cell r="BA33">
            <v>0</v>
          </cell>
          <cell r="BB33">
            <v>0</v>
          </cell>
          <cell r="BC33" t="e">
            <v>#DIV/0!</v>
          </cell>
          <cell r="BD33">
            <v>0</v>
          </cell>
          <cell r="BE33">
            <v>0</v>
          </cell>
          <cell r="BF33" t="e">
            <v>#DIV/0!</v>
          </cell>
          <cell r="BG33">
            <v>0</v>
          </cell>
          <cell r="BH33">
            <v>0</v>
          </cell>
          <cell r="BI33" t="e">
            <v>#DIV/0!</v>
          </cell>
          <cell r="BJ33">
            <v>0</v>
          </cell>
          <cell r="BK33">
            <v>0</v>
          </cell>
          <cell r="BL33" t="e">
            <v>#DIV/0!</v>
          </cell>
          <cell r="BN33" t="str">
            <v>058 HC OEJ</v>
          </cell>
          <cell r="BO33">
            <v>0</v>
          </cell>
          <cell r="BP33">
            <v>0</v>
          </cell>
          <cell r="BQ33" t="e">
            <v>#DIV/0!</v>
          </cell>
          <cell r="BR33">
            <v>0</v>
          </cell>
          <cell r="BS33">
            <v>0</v>
          </cell>
          <cell r="BT33" t="e">
            <v>#DIV/0!</v>
          </cell>
          <cell r="BU33">
            <v>0</v>
          </cell>
          <cell r="BV33">
            <v>0</v>
          </cell>
          <cell r="BW33" t="e">
            <v>#DIV/0!</v>
          </cell>
          <cell r="BX33">
            <v>0</v>
          </cell>
          <cell r="BY33">
            <v>0</v>
          </cell>
          <cell r="BZ33" t="e">
            <v>#DIV/0!</v>
          </cell>
          <cell r="CA33">
            <v>0</v>
          </cell>
          <cell r="CB33">
            <v>0</v>
          </cell>
          <cell r="CC33" t="e">
            <v>#DIV/0!</v>
          </cell>
          <cell r="CE33" t="str">
            <v>058 HC OEJ</v>
          </cell>
          <cell r="CF33">
            <v>0</v>
          </cell>
          <cell r="CG33">
            <v>0</v>
          </cell>
          <cell r="CH33" t="e">
            <v>#DIV/0!</v>
          </cell>
          <cell r="CI33">
            <v>0</v>
          </cell>
          <cell r="CJ33">
            <v>0</v>
          </cell>
          <cell r="CK33" t="e">
            <v>#DIV/0!</v>
          </cell>
          <cell r="CL33">
            <v>0</v>
          </cell>
          <cell r="CM33">
            <v>0</v>
          </cell>
          <cell r="CN33" t="e">
            <v>#DIV/0!</v>
          </cell>
          <cell r="CO33">
            <v>0</v>
          </cell>
          <cell r="CP33">
            <v>0</v>
          </cell>
          <cell r="CQ33" t="e">
            <v>#DIV/0!</v>
          </cell>
          <cell r="CR33">
            <v>0</v>
          </cell>
          <cell r="CS33">
            <v>0</v>
          </cell>
          <cell r="CT33" t="e">
            <v>#DIV/0!</v>
          </cell>
          <cell r="CV33" t="str">
            <v>058 HC OEJ</v>
          </cell>
          <cell r="CW33">
            <v>0</v>
          </cell>
          <cell r="CX33">
            <v>0</v>
          </cell>
          <cell r="CY33" t="e">
            <v>#DIV/0!</v>
          </cell>
          <cell r="CZ33">
            <v>0</v>
          </cell>
          <cell r="DA33">
            <v>0</v>
          </cell>
          <cell r="DB33" t="e">
            <v>#DIV/0!</v>
          </cell>
          <cell r="DC33">
            <v>0</v>
          </cell>
          <cell r="DD33">
            <v>0</v>
          </cell>
          <cell r="DE33" t="e">
            <v>#DIV/0!</v>
          </cell>
          <cell r="DF33">
            <v>0</v>
          </cell>
          <cell r="DG33">
            <v>0</v>
          </cell>
          <cell r="DH33" t="e">
            <v>#DIV/0!</v>
          </cell>
          <cell r="DJ33" t="str">
            <v>058 HC OEJ</v>
          </cell>
          <cell r="DK33">
            <v>0</v>
          </cell>
          <cell r="DL33">
            <v>0</v>
          </cell>
          <cell r="DM33" t="e">
            <v>#DIV/0!</v>
          </cell>
          <cell r="DN33">
            <v>0</v>
          </cell>
          <cell r="DO33">
            <v>0</v>
          </cell>
          <cell r="DP33" t="e">
            <v>#DIV/0!</v>
          </cell>
          <cell r="DQ33">
            <v>0</v>
          </cell>
          <cell r="DR33">
            <v>0</v>
          </cell>
          <cell r="DS33" t="e">
            <v>#DIV/0!</v>
          </cell>
          <cell r="DT33">
            <v>0</v>
          </cell>
          <cell r="DU33">
            <v>0</v>
          </cell>
          <cell r="DV33" t="e">
            <v>#DIV/0!</v>
          </cell>
          <cell r="DX33" t="str">
            <v>058 HC OEJ</v>
          </cell>
          <cell r="DY33">
            <v>0</v>
          </cell>
          <cell r="DZ33">
            <v>0</v>
          </cell>
          <cell r="EA33" t="e">
            <v>#DIV/0!</v>
          </cell>
          <cell r="EB33">
            <v>0</v>
          </cell>
          <cell r="EC33">
            <v>0</v>
          </cell>
          <cell r="ED33" t="e">
            <v>#DIV/0!</v>
          </cell>
          <cell r="EE33">
            <v>0</v>
          </cell>
          <cell r="EF33">
            <v>0</v>
          </cell>
          <cell r="EG33" t="e">
            <v>#DIV/0!</v>
          </cell>
          <cell r="EH33">
            <v>0</v>
          </cell>
          <cell r="EI33">
            <v>0</v>
          </cell>
          <cell r="EJ33" t="e">
            <v>#DIV/0!</v>
          </cell>
          <cell r="EK33">
            <v>0</v>
          </cell>
          <cell r="EL33">
            <v>0</v>
          </cell>
          <cell r="EM33" t="e">
            <v>#DIV/0!</v>
          </cell>
          <cell r="EO33" t="str">
            <v>058 HC OEJ</v>
          </cell>
          <cell r="EP33">
            <v>0</v>
          </cell>
          <cell r="EQ33">
            <v>0</v>
          </cell>
          <cell r="ER33" t="e">
            <v>#DIV/0!</v>
          </cell>
          <cell r="ES33">
            <v>0</v>
          </cell>
          <cell r="ET33">
            <v>0</v>
          </cell>
          <cell r="EU33" t="e">
            <v>#DIV/0!</v>
          </cell>
          <cell r="EV33">
            <v>0</v>
          </cell>
          <cell r="EW33">
            <v>0</v>
          </cell>
          <cell r="EX33" t="e">
            <v>#DIV/0!</v>
          </cell>
          <cell r="EY33">
            <v>0</v>
          </cell>
          <cell r="EZ33">
            <v>0</v>
          </cell>
          <cell r="FA33" t="e">
            <v>#DIV/0!</v>
          </cell>
          <cell r="FC33" t="str">
            <v>058 HC OEJ</v>
          </cell>
          <cell r="FD33">
            <v>0</v>
          </cell>
          <cell r="FE33">
            <v>0</v>
          </cell>
          <cell r="FF33" t="e">
            <v>#DIV/0!</v>
          </cell>
          <cell r="FG33">
            <v>0</v>
          </cell>
          <cell r="FH33">
            <v>0</v>
          </cell>
          <cell r="FI33" t="e">
            <v>#DIV/0!</v>
          </cell>
          <cell r="FJ33">
            <v>0</v>
          </cell>
          <cell r="FK33">
            <v>0</v>
          </cell>
          <cell r="FL33" t="e">
            <v>#DIV/0!</v>
          </cell>
          <cell r="FM33">
            <v>0</v>
          </cell>
          <cell r="FN33">
            <v>0</v>
          </cell>
          <cell r="FO33" t="e">
            <v>#DIV/0!</v>
          </cell>
          <cell r="FP33">
            <v>0</v>
          </cell>
          <cell r="FQ33">
            <v>0</v>
          </cell>
          <cell r="FR33" t="e">
            <v>#DIV/0!</v>
          </cell>
        </row>
        <row r="34">
          <cell r="AZ34" t="str">
            <v>059 HC TAMCA</v>
          </cell>
          <cell r="BA34">
            <v>0</v>
          </cell>
          <cell r="BB34">
            <v>0</v>
          </cell>
          <cell r="BC34" t="e">
            <v>#DIV/0!</v>
          </cell>
          <cell r="BD34">
            <v>-2981</v>
          </cell>
          <cell r="BE34">
            <v>-1644</v>
          </cell>
          <cell r="BF34">
            <v>55.149278765514929</v>
          </cell>
          <cell r="BG34">
            <v>-202</v>
          </cell>
          <cell r="BH34">
            <v>-108</v>
          </cell>
          <cell r="BI34">
            <v>53.46534653465347</v>
          </cell>
          <cell r="BJ34">
            <v>-472</v>
          </cell>
          <cell r="BK34">
            <v>-264</v>
          </cell>
          <cell r="BL34">
            <v>55.932203389830505</v>
          </cell>
          <cell r="BN34" t="str">
            <v>059 HC TAMCA</v>
          </cell>
          <cell r="BO34">
            <v>-1346</v>
          </cell>
          <cell r="BP34">
            <v>-744</v>
          </cell>
          <cell r="BQ34">
            <v>55.274888558692425</v>
          </cell>
          <cell r="BR34">
            <v>-572</v>
          </cell>
          <cell r="BS34">
            <v>-312</v>
          </cell>
          <cell r="BT34">
            <v>54.54545454545454</v>
          </cell>
          <cell r="BU34">
            <v>-208</v>
          </cell>
          <cell r="BV34">
            <v>-120</v>
          </cell>
          <cell r="BW34">
            <v>57.692307692307686</v>
          </cell>
          <cell r="BX34">
            <v>0</v>
          </cell>
          <cell r="BY34">
            <v>0</v>
          </cell>
          <cell r="BZ34" t="e">
            <v>#DIV/0!</v>
          </cell>
          <cell r="CA34">
            <v>-5781</v>
          </cell>
          <cell r="CB34">
            <v>-3192</v>
          </cell>
          <cell r="CC34">
            <v>55.21536066424494</v>
          </cell>
          <cell r="CE34" t="str">
            <v>059 HC TAMCA</v>
          </cell>
          <cell r="CF34">
            <v>-1719</v>
          </cell>
          <cell r="CG34">
            <v>-1152</v>
          </cell>
          <cell r="CH34">
            <v>67.015706806282722</v>
          </cell>
          <cell r="CI34">
            <v>-4659</v>
          </cell>
          <cell r="CJ34">
            <v>-3120</v>
          </cell>
          <cell r="CK34">
            <v>66.96716033483581</v>
          </cell>
          <cell r="CL34">
            <v>0</v>
          </cell>
          <cell r="CM34">
            <v>0</v>
          </cell>
          <cell r="CN34" t="e">
            <v>#DIV/0!</v>
          </cell>
          <cell r="CO34">
            <v>0</v>
          </cell>
          <cell r="CP34">
            <v>0</v>
          </cell>
          <cell r="CQ34" t="e">
            <v>#DIV/0!</v>
          </cell>
          <cell r="CR34">
            <v>-6378</v>
          </cell>
          <cell r="CS34">
            <v>-4272</v>
          </cell>
          <cell r="CT34">
            <v>66.980244590780813</v>
          </cell>
          <cell r="CV34" t="str">
            <v>059 HC TAMCA</v>
          </cell>
          <cell r="CW34">
            <v>0</v>
          </cell>
          <cell r="CX34">
            <v>0</v>
          </cell>
          <cell r="CY34" t="e">
            <v>#DIV/0!</v>
          </cell>
          <cell r="CZ34">
            <v>-167</v>
          </cell>
          <cell r="DA34">
            <v>-156</v>
          </cell>
          <cell r="DB34">
            <v>93.41317365269461</v>
          </cell>
          <cell r="DC34">
            <v>0</v>
          </cell>
          <cell r="DD34">
            <v>0</v>
          </cell>
          <cell r="DE34" t="e">
            <v>#DIV/0!</v>
          </cell>
          <cell r="DF34">
            <v>-167</v>
          </cell>
          <cell r="DG34">
            <v>-156</v>
          </cell>
          <cell r="DH34">
            <v>93.41317365269461</v>
          </cell>
          <cell r="DJ34" t="str">
            <v>059 HC TAMCA</v>
          </cell>
          <cell r="DK34">
            <v>-2715</v>
          </cell>
          <cell r="DL34">
            <v>-2520</v>
          </cell>
          <cell r="DM34">
            <v>92.817679558011051</v>
          </cell>
          <cell r="DN34">
            <v>0</v>
          </cell>
          <cell r="DO34">
            <v>0</v>
          </cell>
          <cell r="DP34" t="e">
            <v>#DIV/0!</v>
          </cell>
          <cell r="DQ34">
            <v>0</v>
          </cell>
          <cell r="DR34">
            <v>0</v>
          </cell>
          <cell r="DS34" t="e">
            <v>#DIV/0!</v>
          </cell>
          <cell r="DT34">
            <v>0</v>
          </cell>
          <cell r="DU34">
            <v>0</v>
          </cell>
          <cell r="DV34" t="e">
            <v>#DIV/0!</v>
          </cell>
          <cell r="DX34" t="str">
            <v>059 HC TAMCA</v>
          </cell>
          <cell r="DY34">
            <v>0</v>
          </cell>
          <cell r="DZ34">
            <v>0</v>
          </cell>
          <cell r="EA34" t="e">
            <v>#DIV/0!</v>
          </cell>
          <cell r="EB34">
            <v>0</v>
          </cell>
          <cell r="EC34">
            <v>0</v>
          </cell>
          <cell r="ED34" t="e">
            <v>#DIV/0!</v>
          </cell>
          <cell r="EE34">
            <v>-1075</v>
          </cell>
          <cell r="EF34">
            <v>-996</v>
          </cell>
          <cell r="EG34">
            <v>92.651162790697668</v>
          </cell>
          <cell r="EH34">
            <v>-3882</v>
          </cell>
          <cell r="EI34">
            <v>-3612</v>
          </cell>
          <cell r="EJ34">
            <v>93.044822256568779</v>
          </cell>
          <cell r="EK34">
            <v>-7672</v>
          </cell>
          <cell r="EL34">
            <v>-7128</v>
          </cell>
          <cell r="EM34">
            <v>92.909280500521376</v>
          </cell>
          <cell r="EO34" t="str">
            <v>059 HC TAMCA</v>
          </cell>
          <cell r="EP34">
            <v>-3514</v>
          </cell>
          <cell r="EQ34">
            <v>-3264</v>
          </cell>
          <cell r="ER34">
            <v>92.885600455321566</v>
          </cell>
          <cell r="ES34">
            <v>0</v>
          </cell>
          <cell r="ET34">
            <v>0</v>
          </cell>
          <cell r="EU34" t="e">
            <v>#DIV/0!</v>
          </cell>
          <cell r="EV34">
            <v>0</v>
          </cell>
          <cell r="EW34">
            <v>0</v>
          </cell>
          <cell r="EX34" t="e">
            <v>#DIV/0!</v>
          </cell>
          <cell r="EY34">
            <v>-173</v>
          </cell>
          <cell r="EZ34">
            <v>-156</v>
          </cell>
          <cell r="FA34">
            <v>90.173410404624278</v>
          </cell>
          <cell r="FC34" t="str">
            <v>059 HC TAMCA</v>
          </cell>
          <cell r="FD34">
            <v>0</v>
          </cell>
          <cell r="FE34">
            <v>0</v>
          </cell>
          <cell r="FF34" t="e">
            <v>#DIV/0!</v>
          </cell>
          <cell r="FG34">
            <v>0</v>
          </cell>
          <cell r="FH34">
            <v>0</v>
          </cell>
          <cell r="FI34" t="e">
            <v>#DIV/0!</v>
          </cell>
          <cell r="FJ34">
            <v>-1584</v>
          </cell>
          <cell r="FK34">
            <v>-1476</v>
          </cell>
          <cell r="FL34">
            <v>93.181818181818173</v>
          </cell>
          <cell r="FM34">
            <v>-1254</v>
          </cell>
          <cell r="FN34">
            <v>-1164</v>
          </cell>
          <cell r="FO34">
            <v>92.822966507177028</v>
          </cell>
          <cell r="FP34">
            <v>-6525</v>
          </cell>
          <cell r="FQ34">
            <v>-6060</v>
          </cell>
          <cell r="FR34">
            <v>92.873563218390814</v>
          </cell>
        </row>
        <row r="35">
          <cell r="AZ35" t="str">
            <v>060 PRIME TACH</v>
          </cell>
          <cell r="BA35">
            <v>0</v>
          </cell>
          <cell r="BB35">
            <v>0</v>
          </cell>
          <cell r="BC35" t="e">
            <v>#DIV/0!</v>
          </cell>
          <cell r="BD35">
            <v>142152</v>
          </cell>
          <cell r="BE35">
            <v>78180</v>
          </cell>
          <cell r="BF35">
            <v>54.997467499577915</v>
          </cell>
          <cell r="BG35">
            <v>147586</v>
          </cell>
          <cell r="BH35">
            <v>81168</v>
          </cell>
          <cell r="BI35">
            <v>54.997086444513712</v>
          </cell>
          <cell r="BJ35">
            <v>110107</v>
          </cell>
          <cell r="BK35">
            <v>60564</v>
          </cell>
          <cell r="BL35">
            <v>55.004677268475213</v>
          </cell>
          <cell r="BN35" t="str">
            <v>060 PRIME TACH</v>
          </cell>
          <cell r="BO35">
            <v>145937</v>
          </cell>
          <cell r="BP35">
            <v>80268</v>
          </cell>
          <cell r="BQ35">
            <v>55.001815852045745</v>
          </cell>
          <cell r="BR35">
            <v>112102</v>
          </cell>
          <cell r="BS35">
            <v>61656</v>
          </cell>
          <cell r="BT35">
            <v>54.999910795525508</v>
          </cell>
          <cell r="BU35">
            <v>165695</v>
          </cell>
          <cell r="BV35">
            <v>91128</v>
          </cell>
          <cell r="BW35">
            <v>54.997435046320042</v>
          </cell>
          <cell r="BX35">
            <v>0</v>
          </cell>
          <cell r="BY35">
            <v>0</v>
          </cell>
          <cell r="BZ35" t="e">
            <v>#DIV/0!</v>
          </cell>
          <cell r="CA35">
            <v>823579</v>
          </cell>
          <cell r="CB35">
            <v>452964</v>
          </cell>
          <cell r="CC35">
            <v>54.999459675392401</v>
          </cell>
          <cell r="CE35" t="str">
            <v>060 PRIME TACH</v>
          </cell>
          <cell r="CF35">
            <v>574989</v>
          </cell>
          <cell r="CG35">
            <v>385248</v>
          </cell>
          <cell r="CH35">
            <v>67.00093393090998</v>
          </cell>
          <cell r="CI35">
            <v>773125</v>
          </cell>
          <cell r="CJ35">
            <v>517992</v>
          </cell>
          <cell r="CK35">
            <v>66.999773645917543</v>
          </cell>
          <cell r="CL35">
            <v>0</v>
          </cell>
          <cell r="CM35">
            <v>0</v>
          </cell>
          <cell r="CN35" t="e">
            <v>#DIV/0!</v>
          </cell>
          <cell r="CO35">
            <v>0</v>
          </cell>
          <cell r="CP35">
            <v>0</v>
          </cell>
          <cell r="CQ35" t="e">
            <v>#DIV/0!</v>
          </cell>
          <cell r="CR35">
            <v>1348114</v>
          </cell>
          <cell r="CS35">
            <v>903240</v>
          </cell>
          <cell r="CT35">
            <v>67.000268523285129</v>
          </cell>
          <cell r="CV35" t="str">
            <v>060 PRIME TACH</v>
          </cell>
          <cell r="CW35">
            <v>18908</v>
          </cell>
          <cell r="CX35">
            <v>17580</v>
          </cell>
          <cell r="CY35">
            <v>92.976517876031309</v>
          </cell>
          <cell r="CZ35">
            <v>19055</v>
          </cell>
          <cell r="DA35">
            <v>17724</v>
          </cell>
          <cell r="DB35">
            <v>93.014956704277097</v>
          </cell>
          <cell r="DC35">
            <v>0</v>
          </cell>
          <cell r="DD35">
            <v>0</v>
          </cell>
          <cell r="DE35" t="e">
            <v>#DIV/0!</v>
          </cell>
          <cell r="DF35">
            <v>37963</v>
          </cell>
          <cell r="DG35">
            <v>35304</v>
          </cell>
          <cell r="DH35">
            <v>92.995811711403206</v>
          </cell>
          <cell r="DJ35" t="str">
            <v>060 PRIME TACH</v>
          </cell>
          <cell r="DK35">
            <v>184362</v>
          </cell>
          <cell r="DL35">
            <v>171456</v>
          </cell>
          <cell r="DM35">
            <v>92.999642008656878</v>
          </cell>
          <cell r="DN35">
            <v>0</v>
          </cell>
          <cell r="DO35">
            <v>0</v>
          </cell>
          <cell r="DP35" t="e">
            <v>#DIV/0!</v>
          </cell>
          <cell r="DQ35">
            <v>0</v>
          </cell>
          <cell r="DR35">
            <v>0</v>
          </cell>
          <cell r="DS35" t="e">
            <v>#DIV/0!</v>
          </cell>
          <cell r="DT35">
            <v>0</v>
          </cell>
          <cell r="DU35">
            <v>0</v>
          </cell>
          <cell r="DV35" t="e">
            <v>#DIV/0!</v>
          </cell>
          <cell r="DX35" t="str">
            <v>060 PRIME TACH</v>
          </cell>
          <cell r="DY35">
            <v>0</v>
          </cell>
          <cell r="DZ35">
            <v>0</v>
          </cell>
          <cell r="EA35" t="e">
            <v>#DIV/0!</v>
          </cell>
          <cell r="EB35">
            <v>0</v>
          </cell>
          <cell r="EC35">
            <v>0</v>
          </cell>
          <cell r="ED35" t="e">
            <v>#DIV/0!</v>
          </cell>
          <cell r="EE35">
            <v>0</v>
          </cell>
          <cell r="EF35">
            <v>0</v>
          </cell>
          <cell r="EG35" t="e">
            <v>#DIV/0!</v>
          </cell>
          <cell r="EH35">
            <v>46164</v>
          </cell>
          <cell r="EI35">
            <v>42936</v>
          </cell>
          <cell r="EJ35">
            <v>93.007538341564853</v>
          </cell>
          <cell r="EK35">
            <v>230526</v>
          </cell>
          <cell r="EL35">
            <v>214392</v>
          </cell>
          <cell r="EM35">
            <v>93.001223289346967</v>
          </cell>
          <cell r="EO35" t="str">
            <v>060 PRIME TACH</v>
          </cell>
          <cell r="EP35">
            <v>28325</v>
          </cell>
          <cell r="EQ35">
            <v>26340</v>
          </cell>
          <cell r="ER35">
            <v>92.99205648720212</v>
          </cell>
          <cell r="ES35">
            <v>0</v>
          </cell>
          <cell r="ET35">
            <v>0</v>
          </cell>
          <cell r="EU35" t="e">
            <v>#DIV/0!</v>
          </cell>
          <cell r="EV35">
            <v>2871</v>
          </cell>
          <cell r="EW35">
            <v>2676</v>
          </cell>
          <cell r="EX35">
            <v>93.207941483803552</v>
          </cell>
          <cell r="EY35">
            <v>0</v>
          </cell>
          <cell r="EZ35">
            <v>0</v>
          </cell>
          <cell r="FA35" t="e">
            <v>#DIV/0!</v>
          </cell>
          <cell r="FC35" t="str">
            <v>060 PRIME TACH</v>
          </cell>
          <cell r="FD35">
            <v>0</v>
          </cell>
          <cell r="FE35">
            <v>0</v>
          </cell>
          <cell r="FF35" t="e">
            <v>#DIV/0!</v>
          </cell>
          <cell r="FG35">
            <v>0</v>
          </cell>
          <cell r="FH35">
            <v>0</v>
          </cell>
          <cell r="FI35" t="e">
            <v>#DIV/0!</v>
          </cell>
          <cell r="FJ35">
            <v>14544</v>
          </cell>
          <cell r="FK35">
            <v>13524</v>
          </cell>
          <cell r="FL35">
            <v>92.986798679867988</v>
          </cell>
          <cell r="FM35">
            <v>88055</v>
          </cell>
          <cell r="FN35">
            <v>81888</v>
          </cell>
          <cell r="FO35">
            <v>92.996422690363971</v>
          </cell>
          <cell r="FP35">
            <v>133795</v>
          </cell>
          <cell r="FQ35">
            <v>124428</v>
          </cell>
          <cell r="FR35">
            <v>92.998990993684373</v>
          </cell>
        </row>
        <row r="36">
          <cell r="AZ36" t="str">
            <v>061 P. BUREAU</v>
          </cell>
          <cell r="BA36">
            <v>0</v>
          </cell>
          <cell r="BB36">
            <v>0</v>
          </cell>
          <cell r="BC36" t="e">
            <v>#DIV/0!</v>
          </cell>
          <cell r="BD36">
            <v>0</v>
          </cell>
          <cell r="BE36">
            <v>0</v>
          </cell>
          <cell r="BF36" t="e">
            <v>#DIV/0!</v>
          </cell>
          <cell r="BG36">
            <v>0</v>
          </cell>
          <cell r="BH36">
            <v>0</v>
          </cell>
          <cell r="BI36" t="e">
            <v>#DIV/0!</v>
          </cell>
          <cell r="BJ36">
            <v>0</v>
          </cell>
          <cell r="BK36">
            <v>0</v>
          </cell>
          <cell r="BL36" t="e">
            <v>#DIV/0!</v>
          </cell>
          <cell r="BN36" t="str">
            <v>061 P. BUREAU</v>
          </cell>
          <cell r="BO36">
            <v>0</v>
          </cell>
          <cell r="BP36">
            <v>0</v>
          </cell>
          <cell r="BQ36" t="e">
            <v>#DIV/0!</v>
          </cell>
          <cell r="BR36">
            <v>0</v>
          </cell>
          <cell r="BS36">
            <v>0</v>
          </cell>
          <cell r="BT36" t="e">
            <v>#DIV/0!</v>
          </cell>
          <cell r="BU36">
            <v>0</v>
          </cell>
          <cell r="BV36">
            <v>0</v>
          </cell>
          <cell r="BW36" t="e">
            <v>#DIV/0!</v>
          </cell>
          <cell r="BX36">
            <v>0</v>
          </cell>
          <cell r="BY36">
            <v>0</v>
          </cell>
          <cell r="BZ36" t="e">
            <v>#DIV/0!</v>
          </cell>
          <cell r="CA36">
            <v>0</v>
          </cell>
          <cell r="CB36">
            <v>0</v>
          </cell>
          <cell r="CC36" t="e">
            <v>#DIV/0!</v>
          </cell>
          <cell r="CE36" t="str">
            <v>061 P. BUREAU</v>
          </cell>
          <cell r="CF36">
            <v>0</v>
          </cell>
          <cell r="CG36">
            <v>0</v>
          </cell>
          <cell r="CH36" t="e">
            <v>#DIV/0!</v>
          </cell>
          <cell r="CI36">
            <v>0</v>
          </cell>
          <cell r="CJ36">
            <v>0</v>
          </cell>
          <cell r="CK36" t="e">
            <v>#DIV/0!</v>
          </cell>
          <cell r="CL36">
            <v>0</v>
          </cell>
          <cell r="CM36">
            <v>0</v>
          </cell>
          <cell r="CN36" t="e">
            <v>#DIV/0!</v>
          </cell>
          <cell r="CO36">
            <v>0</v>
          </cell>
          <cell r="CP36">
            <v>0</v>
          </cell>
          <cell r="CQ36" t="e">
            <v>#DIV/0!</v>
          </cell>
          <cell r="CR36">
            <v>0</v>
          </cell>
          <cell r="CS36">
            <v>0</v>
          </cell>
          <cell r="CT36" t="e">
            <v>#DIV/0!</v>
          </cell>
          <cell r="CV36" t="str">
            <v>061 P. BUREAU</v>
          </cell>
          <cell r="CW36">
            <v>0</v>
          </cell>
          <cell r="CX36">
            <v>0</v>
          </cell>
          <cell r="CY36" t="e">
            <v>#DIV/0!</v>
          </cell>
          <cell r="CZ36">
            <v>0</v>
          </cell>
          <cell r="DA36">
            <v>0</v>
          </cell>
          <cell r="DB36" t="e">
            <v>#DIV/0!</v>
          </cell>
          <cell r="DC36">
            <v>0</v>
          </cell>
          <cell r="DD36">
            <v>0</v>
          </cell>
          <cell r="DE36" t="e">
            <v>#DIV/0!</v>
          </cell>
          <cell r="DF36">
            <v>0</v>
          </cell>
          <cell r="DG36">
            <v>0</v>
          </cell>
          <cell r="DH36" t="e">
            <v>#DIV/0!</v>
          </cell>
          <cell r="DJ36" t="str">
            <v>061 P. BUREAU</v>
          </cell>
          <cell r="DK36">
            <v>0</v>
          </cell>
          <cell r="DL36">
            <v>0</v>
          </cell>
          <cell r="DM36" t="e">
            <v>#DIV/0!</v>
          </cell>
          <cell r="DN36">
            <v>0</v>
          </cell>
          <cell r="DO36">
            <v>0</v>
          </cell>
          <cell r="DP36" t="e">
            <v>#DIV/0!</v>
          </cell>
          <cell r="DQ36">
            <v>0</v>
          </cell>
          <cell r="DR36">
            <v>0</v>
          </cell>
          <cell r="DS36" t="e">
            <v>#DIV/0!</v>
          </cell>
          <cell r="DT36">
            <v>0</v>
          </cell>
          <cell r="DU36">
            <v>0</v>
          </cell>
          <cell r="DV36" t="e">
            <v>#DIV/0!</v>
          </cell>
          <cell r="DX36" t="str">
            <v>061 P. BUREAU</v>
          </cell>
          <cell r="DY36">
            <v>0</v>
          </cell>
          <cell r="DZ36">
            <v>0</v>
          </cell>
          <cell r="EA36" t="e">
            <v>#DIV/0!</v>
          </cell>
          <cell r="EB36">
            <v>0</v>
          </cell>
          <cell r="EC36">
            <v>0</v>
          </cell>
          <cell r="ED36" t="e">
            <v>#DIV/0!</v>
          </cell>
          <cell r="EE36">
            <v>0</v>
          </cell>
          <cell r="EF36">
            <v>0</v>
          </cell>
          <cell r="EG36" t="e">
            <v>#DIV/0!</v>
          </cell>
          <cell r="EH36">
            <v>0</v>
          </cell>
          <cell r="EI36">
            <v>0</v>
          </cell>
          <cell r="EJ36" t="e">
            <v>#DIV/0!</v>
          </cell>
          <cell r="EK36">
            <v>0</v>
          </cell>
          <cell r="EL36">
            <v>0</v>
          </cell>
          <cell r="EM36" t="e">
            <v>#DIV/0!</v>
          </cell>
          <cell r="EO36" t="str">
            <v>061 P. BUREAU</v>
          </cell>
          <cell r="EP36">
            <v>0</v>
          </cell>
          <cell r="EQ36">
            <v>0</v>
          </cell>
          <cell r="ER36" t="e">
            <v>#DIV/0!</v>
          </cell>
          <cell r="ES36">
            <v>0</v>
          </cell>
          <cell r="ET36">
            <v>0</v>
          </cell>
          <cell r="EU36" t="e">
            <v>#DIV/0!</v>
          </cell>
          <cell r="EV36">
            <v>0</v>
          </cell>
          <cell r="EW36">
            <v>0</v>
          </cell>
          <cell r="EX36" t="e">
            <v>#DIV/0!</v>
          </cell>
          <cell r="EY36">
            <v>0</v>
          </cell>
          <cell r="EZ36">
            <v>0</v>
          </cell>
          <cell r="FA36" t="e">
            <v>#DIV/0!</v>
          </cell>
          <cell r="FC36" t="str">
            <v>061 P. BUREAU</v>
          </cell>
          <cell r="FD36">
            <v>0</v>
          </cell>
          <cell r="FE36">
            <v>0</v>
          </cell>
          <cell r="FF36" t="e">
            <v>#DIV/0!</v>
          </cell>
          <cell r="FG36">
            <v>0</v>
          </cell>
          <cell r="FH36">
            <v>0</v>
          </cell>
          <cell r="FI36" t="e">
            <v>#DIV/0!</v>
          </cell>
          <cell r="FJ36">
            <v>0</v>
          </cell>
          <cell r="FK36">
            <v>0</v>
          </cell>
          <cell r="FL36" t="e">
            <v>#DIV/0!</v>
          </cell>
          <cell r="FM36">
            <v>631</v>
          </cell>
          <cell r="FN36">
            <v>588</v>
          </cell>
          <cell r="FO36">
            <v>93.185419968304288</v>
          </cell>
          <cell r="FP36">
            <v>631</v>
          </cell>
          <cell r="FQ36">
            <v>588</v>
          </cell>
          <cell r="FR36">
            <v>93.185419968304288</v>
          </cell>
        </row>
        <row r="37">
          <cell r="AZ37" t="str">
            <v>062 PRIME JOUR</v>
          </cell>
          <cell r="BA37">
            <v>0</v>
          </cell>
          <cell r="BB37">
            <v>0</v>
          </cell>
          <cell r="BC37" t="e">
            <v>#DIV/0!</v>
          </cell>
          <cell r="BD37">
            <v>0</v>
          </cell>
          <cell r="BE37">
            <v>0</v>
          </cell>
          <cell r="BF37" t="e">
            <v>#DIV/0!</v>
          </cell>
          <cell r="BG37">
            <v>0</v>
          </cell>
          <cell r="BH37">
            <v>0</v>
          </cell>
          <cell r="BI37" t="e">
            <v>#DIV/0!</v>
          </cell>
          <cell r="BJ37">
            <v>0</v>
          </cell>
          <cell r="BK37">
            <v>0</v>
          </cell>
          <cell r="BL37" t="e">
            <v>#DIV/0!</v>
          </cell>
          <cell r="BN37" t="str">
            <v>062 PRIME JOUR</v>
          </cell>
          <cell r="BO37">
            <v>0</v>
          </cell>
          <cell r="BP37">
            <v>0</v>
          </cell>
          <cell r="BQ37" t="e">
            <v>#DIV/0!</v>
          </cell>
          <cell r="BR37">
            <v>0</v>
          </cell>
          <cell r="BS37">
            <v>0</v>
          </cell>
          <cell r="BT37" t="e">
            <v>#DIV/0!</v>
          </cell>
          <cell r="BU37">
            <v>0</v>
          </cell>
          <cell r="BV37">
            <v>0</v>
          </cell>
          <cell r="BW37" t="e">
            <v>#DIV/0!</v>
          </cell>
          <cell r="BX37">
            <v>0</v>
          </cell>
          <cell r="BY37">
            <v>0</v>
          </cell>
          <cell r="BZ37" t="e">
            <v>#DIV/0!</v>
          </cell>
          <cell r="CA37">
            <v>0</v>
          </cell>
          <cell r="CB37">
            <v>0</v>
          </cell>
          <cell r="CC37" t="e">
            <v>#DIV/0!</v>
          </cell>
          <cell r="CE37" t="str">
            <v>062 PRIME JOUR</v>
          </cell>
          <cell r="CF37">
            <v>0</v>
          </cell>
          <cell r="CG37">
            <v>0</v>
          </cell>
          <cell r="CH37" t="e">
            <v>#DIV/0!</v>
          </cell>
          <cell r="CI37">
            <v>1789</v>
          </cell>
          <cell r="CJ37">
            <v>1200</v>
          </cell>
          <cell r="CK37">
            <v>67.076579094466183</v>
          </cell>
          <cell r="CL37">
            <v>0</v>
          </cell>
          <cell r="CM37">
            <v>0</v>
          </cell>
          <cell r="CN37" t="e">
            <v>#DIV/0!</v>
          </cell>
          <cell r="CO37">
            <v>0</v>
          </cell>
          <cell r="CP37">
            <v>0</v>
          </cell>
          <cell r="CQ37" t="e">
            <v>#DIV/0!</v>
          </cell>
          <cell r="CR37">
            <v>1789</v>
          </cell>
          <cell r="CS37">
            <v>1200</v>
          </cell>
          <cell r="CT37">
            <v>67.076579094466183</v>
          </cell>
          <cell r="CV37" t="str">
            <v>062 PRIME JOUR</v>
          </cell>
          <cell r="CW37">
            <v>0</v>
          </cell>
          <cell r="CX37">
            <v>0</v>
          </cell>
          <cell r="CY37" t="e">
            <v>#DIV/0!</v>
          </cell>
          <cell r="CZ37">
            <v>0</v>
          </cell>
          <cell r="DA37">
            <v>0</v>
          </cell>
          <cell r="DB37" t="e">
            <v>#DIV/0!</v>
          </cell>
          <cell r="DC37">
            <v>0</v>
          </cell>
          <cell r="DD37">
            <v>0</v>
          </cell>
          <cell r="DE37" t="e">
            <v>#DIV/0!</v>
          </cell>
          <cell r="DF37">
            <v>0</v>
          </cell>
          <cell r="DG37">
            <v>0</v>
          </cell>
          <cell r="DH37" t="e">
            <v>#DIV/0!</v>
          </cell>
          <cell r="DJ37" t="str">
            <v>062 PRIME JOUR</v>
          </cell>
          <cell r="DK37">
            <v>21732</v>
          </cell>
          <cell r="DL37">
            <v>20208</v>
          </cell>
          <cell r="DM37">
            <v>92.987299834345663</v>
          </cell>
          <cell r="DN37">
            <v>0</v>
          </cell>
          <cell r="DO37">
            <v>0</v>
          </cell>
          <cell r="DP37" t="e">
            <v>#DIV/0!</v>
          </cell>
          <cell r="DQ37">
            <v>0</v>
          </cell>
          <cell r="DR37">
            <v>0</v>
          </cell>
          <cell r="DS37" t="e">
            <v>#DIV/0!</v>
          </cell>
          <cell r="DT37">
            <v>0</v>
          </cell>
          <cell r="DU37">
            <v>0</v>
          </cell>
          <cell r="DV37" t="e">
            <v>#DIV/0!</v>
          </cell>
          <cell r="DX37" t="str">
            <v>062 PRIME JOUR</v>
          </cell>
          <cell r="DY37">
            <v>0</v>
          </cell>
          <cell r="DZ37">
            <v>0</v>
          </cell>
          <cell r="EA37" t="e">
            <v>#DIV/0!</v>
          </cell>
          <cell r="EB37">
            <v>0</v>
          </cell>
          <cell r="EC37">
            <v>0</v>
          </cell>
          <cell r="ED37" t="e">
            <v>#DIV/0!</v>
          </cell>
          <cell r="EE37">
            <v>45058</v>
          </cell>
          <cell r="EF37">
            <v>41904</v>
          </cell>
          <cell r="EG37">
            <v>93.000133161702692</v>
          </cell>
          <cell r="EH37">
            <v>0</v>
          </cell>
          <cell r="EI37">
            <v>0</v>
          </cell>
          <cell r="EJ37" t="e">
            <v>#DIV/0!</v>
          </cell>
          <cell r="EK37">
            <v>66790</v>
          </cell>
          <cell r="EL37">
            <v>62112</v>
          </cell>
          <cell r="EM37">
            <v>92.995957478664465</v>
          </cell>
          <cell r="EO37" t="str">
            <v>062 PRIME JOUR</v>
          </cell>
          <cell r="EP37">
            <v>286300</v>
          </cell>
          <cell r="EQ37">
            <v>266256</v>
          </cell>
          <cell r="ER37">
            <v>92.998952148096407</v>
          </cell>
          <cell r="ES37">
            <v>0</v>
          </cell>
          <cell r="ET37">
            <v>0</v>
          </cell>
          <cell r="EU37" t="e">
            <v>#DIV/0!</v>
          </cell>
          <cell r="EV37">
            <v>28760</v>
          </cell>
          <cell r="EW37">
            <v>26748</v>
          </cell>
          <cell r="EX37">
            <v>93.004172461752432</v>
          </cell>
          <cell r="EY37">
            <v>13099</v>
          </cell>
          <cell r="EZ37">
            <v>12180</v>
          </cell>
          <cell r="FA37">
            <v>92.984197266966945</v>
          </cell>
          <cell r="FC37" t="str">
            <v>062 PRIME JOUR</v>
          </cell>
          <cell r="FD37">
            <v>0</v>
          </cell>
          <cell r="FE37">
            <v>0</v>
          </cell>
          <cell r="FF37" t="e">
            <v>#DIV/0!</v>
          </cell>
          <cell r="FG37">
            <v>0</v>
          </cell>
          <cell r="FH37">
            <v>0</v>
          </cell>
          <cell r="FI37" t="e">
            <v>#DIV/0!</v>
          </cell>
          <cell r="FJ37">
            <v>129574</v>
          </cell>
          <cell r="FK37">
            <v>120504</v>
          </cell>
          <cell r="FL37">
            <v>93.00013891675799</v>
          </cell>
          <cell r="FM37">
            <v>152242</v>
          </cell>
          <cell r="FN37">
            <v>141588</v>
          </cell>
          <cell r="FO37">
            <v>93.001931135954592</v>
          </cell>
          <cell r="FP37">
            <v>609975</v>
          </cell>
          <cell r="FQ37">
            <v>567276</v>
          </cell>
          <cell r="FR37">
            <v>92.999877044141158</v>
          </cell>
        </row>
        <row r="38">
          <cell r="AZ38" t="str">
            <v>063 PRIME FOND</v>
          </cell>
          <cell r="BA38">
            <v>0</v>
          </cell>
          <cell r="BB38">
            <v>0</v>
          </cell>
          <cell r="BC38" t="e">
            <v>#DIV/0!</v>
          </cell>
          <cell r="BD38">
            <v>58969</v>
          </cell>
          <cell r="BE38">
            <v>32436</v>
          </cell>
          <cell r="BF38">
            <v>55.005172209126826</v>
          </cell>
          <cell r="BG38">
            <v>65882</v>
          </cell>
          <cell r="BH38">
            <v>36240</v>
          </cell>
          <cell r="BI38">
            <v>55.007437539843963</v>
          </cell>
          <cell r="BJ38">
            <v>42257</v>
          </cell>
          <cell r="BK38">
            <v>23244</v>
          </cell>
          <cell r="BL38">
            <v>55.006271150341959</v>
          </cell>
          <cell r="BN38" t="str">
            <v>063 PRIME FOND</v>
          </cell>
          <cell r="BO38">
            <v>45913</v>
          </cell>
          <cell r="BP38">
            <v>25248</v>
          </cell>
          <cell r="BQ38">
            <v>54.990961165682918</v>
          </cell>
          <cell r="BR38">
            <v>32448</v>
          </cell>
          <cell r="BS38">
            <v>17844</v>
          </cell>
          <cell r="BT38">
            <v>54.992603550295861</v>
          </cell>
          <cell r="BU38">
            <v>49175</v>
          </cell>
          <cell r="BV38">
            <v>27048</v>
          </cell>
          <cell r="BW38">
            <v>55.003558718861214</v>
          </cell>
          <cell r="BX38">
            <v>0</v>
          </cell>
          <cell r="BY38">
            <v>0</v>
          </cell>
          <cell r="BZ38" t="e">
            <v>#DIV/0!</v>
          </cell>
          <cell r="CA38">
            <v>294644</v>
          </cell>
          <cell r="CB38">
            <v>162060</v>
          </cell>
          <cell r="CC38">
            <v>55.001968477213182</v>
          </cell>
          <cell r="CE38" t="str">
            <v>063 PRIME FOND</v>
          </cell>
          <cell r="CF38">
            <v>185981</v>
          </cell>
          <cell r="CG38">
            <v>124608</v>
          </cell>
          <cell r="CH38">
            <v>67.000392513213711</v>
          </cell>
          <cell r="CI38">
            <v>253486</v>
          </cell>
          <cell r="CJ38">
            <v>169836</v>
          </cell>
          <cell r="CK38">
            <v>67.000149909659697</v>
          </cell>
          <cell r="CL38">
            <v>0</v>
          </cell>
          <cell r="CM38">
            <v>0</v>
          </cell>
          <cell r="CN38" t="e">
            <v>#DIV/0!</v>
          </cell>
          <cell r="CO38">
            <v>0</v>
          </cell>
          <cell r="CP38">
            <v>0</v>
          </cell>
          <cell r="CQ38" t="e">
            <v>#DIV/0!</v>
          </cell>
          <cell r="CR38">
            <v>439467</v>
          </cell>
          <cell r="CS38">
            <v>294444</v>
          </cell>
          <cell r="CT38">
            <v>67.000252578691914</v>
          </cell>
          <cell r="CV38" t="str">
            <v>063 PRIME FOND</v>
          </cell>
          <cell r="CW38">
            <v>1453</v>
          </cell>
          <cell r="CX38">
            <v>1356</v>
          </cell>
          <cell r="CY38">
            <v>93.324156916724021</v>
          </cell>
          <cell r="CZ38">
            <v>375346</v>
          </cell>
          <cell r="DA38">
            <v>349068</v>
          </cell>
          <cell r="DB38">
            <v>92.998992929190678</v>
          </cell>
          <cell r="DC38">
            <v>0</v>
          </cell>
          <cell r="DD38">
            <v>0</v>
          </cell>
          <cell r="DE38" t="e">
            <v>#DIV/0!</v>
          </cell>
          <cell r="DF38">
            <v>376799</v>
          </cell>
          <cell r="DG38">
            <v>350424</v>
          </cell>
          <cell r="DH38">
            <v>93.000246815941651</v>
          </cell>
          <cell r="DJ38" t="str">
            <v>063 PRIME FOND</v>
          </cell>
          <cell r="DK38">
            <v>562327</v>
          </cell>
          <cell r="DL38">
            <v>522960</v>
          </cell>
          <cell r="DM38">
            <v>92.999269108543601</v>
          </cell>
          <cell r="DN38">
            <v>0</v>
          </cell>
          <cell r="DO38">
            <v>0</v>
          </cell>
          <cell r="DP38" t="e">
            <v>#DIV/0!</v>
          </cell>
          <cell r="DQ38">
            <v>0</v>
          </cell>
          <cell r="DR38">
            <v>0</v>
          </cell>
          <cell r="DS38" t="e">
            <v>#DIV/0!</v>
          </cell>
          <cell r="DT38">
            <v>0</v>
          </cell>
          <cell r="DU38">
            <v>0</v>
          </cell>
          <cell r="DV38" t="e">
            <v>#DIV/0!</v>
          </cell>
          <cell r="DX38" t="str">
            <v>063 PRIME FOND</v>
          </cell>
          <cell r="DY38">
            <v>0</v>
          </cell>
          <cell r="DZ38">
            <v>0</v>
          </cell>
          <cell r="EA38" t="e">
            <v>#DIV/0!</v>
          </cell>
          <cell r="EB38">
            <v>0</v>
          </cell>
          <cell r="EC38">
            <v>0</v>
          </cell>
          <cell r="ED38" t="e">
            <v>#DIV/0!</v>
          </cell>
          <cell r="EE38">
            <v>195810</v>
          </cell>
          <cell r="EF38">
            <v>182100</v>
          </cell>
          <cell r="EG38">
            <v>92.998314692814461</v>
          </cell>
          <cell r="EH38">
            <v>171845</v>
          </cell>
          <cell r="EI38">
            <v>159816</v>
          </cell>
          <cell r="EJ38">
            <v>93.000087287962984</v>
          </cell>
          <cell r="EK38">
            <v>929982</v>
          </cell>
          <cell r="EL38">
            <v>864876</v>
          </cell>
          <cell r="EM38">
            <v>92.999219339729152</v>
          </cell>
          <cell r="EO38" t="str">
            <v>063 PRIME FOND</v>
          </cell>
          <cell r="EP38">
            <v>62540</v>
          </cell>
          <cell r="EQ38">
            <v>58164</v>
          </cell>
          <cell r="ER38">
            <v>93.002878157978898</v>
          </cell>
          <cell r="ES38">
            <v>0</v>
          </cell>
          <cell r="ET38">
            <v>0</v>
          </cell>
          <cell r="EU38" t="e">
            <v>#DIV/0!</v>
          </cell>
          <cell r="EV38">
            <v>14558</v>
          </cell>
          <cell r="EW38">
            <v>13536</v>
          </cell>
          <cell r="EX38">
            <v>92.979804918257997</v>
          </cell>
          <cell r="EY38">
            <v>0</v>
          </cell>
          <cell r="EZ38">
            <v>0</v>
          </cell>
          <cell r="FA38" t="e">
            <v>#DIV/0!</v>
          </cell>
          <cell r="FC38" t="str">
            <v>063 PRIME FOND</v>
          </cell>
          <cell r="FD38">
            <v>0</v>
          </cell>
          <cell r="FE38">
            <v>0</v>
          </cell>
          <cell r="FF38" t="e">
            <v>#DIV/0!</v>
          </cell>
          <cell r="FG38">
            <v>0</v>
          </cell>
          <cell r="FH38">
            <v>0</v>
          </cell>
          <cell r="FI38" t="e">
            <v>#DIV/0!</v>
          </cell>
          <cell r="FJ38">
            <v>15949</v>
          </cell>
          <cell r="FK38">
            <v>14832</v>
          </cell>
          <cell r="FL38">
            <v>92.99642610821995</v>
          </cell>
          <cell r="FM38">
            <v>112913</v>
          </cell>
          <cell r="FN38">
            <v>105012</v>
          </cell>
          <cell r="FO38">
            <v>93.002577205459076</v>
          </cell>
          <cell r="FP38">
            <v>205960</v>
          </cell>
          <cell r="FQ38">
            <v>191544</v>
          </cell>
          <cell r="FR38">
            <v>93.00058263740533</v>
          </cell>
        </row>
        <row r="39">
          <cell r="AZ39" t="str">
            <v>065 P. TAMCA</v>
          </cell>
          <cell r="BA39">
            <v>0</v>
          </cell>
          <cell r="BB39">
            <v>0</v>
          </cell>
          <cell r="BC39" t="e">
            <v>#DIV/0!</v>
          </cell>
          <cell r="BD39">
            <v>26342</v>
          </cell>
          <cell r="BE39">
            <v>14484</v>
          </cell>
          <cell r="BF39">
            <v>54.984435502239769</v>
          </cell>
          <cell r="BG39">
            <v>12971</v>
          </cell>
          <cell r="BH39">
            <v>7140</v>
          </cell>
          <cell r="BI39">
            <v>55.045871559633028</v>
          </cell>
          <cell r="BJ39">
            <v>15638</v>
          </cell>
          <cell r="BK39">
            <v>8604</v>
          </cell>
          <cell r="BL39">
            <v>55.0198235068423</v>
          </cell>
          <cell r="BN39" t="str">
            <v>065 P. TAMCA</v>
          </cell>
          <cell r="BO39">
            <v>20688</v>
          </cell>
          <cell r="BP39">
            <v>11376</v>
          </cell>
          <cell r="BQ39">
            <v>54.988399071925755</v>
          </cell>
          <cell r="BR39">
            <v>11239</v>
          </cell>
          <cell r="BS39">
            <v>6180</v>
          </cell>
          <cell r="BT39">
            <v>54.987098496307496</v>
          </cell>
          <cell r="BU39">
            <v>12582</v>
          </cell>
          <cell r="BV39">
            <v>6924</v>
          </cell>
          <cell r="BW39">
            <v>55.030996661897944</v>
          </cell>
          <cell r="BX39">
            <v>0</v>
          </cell>
          <cell r="BY39">
            <v>0</v>
          </cell>
          <cell r="BZ39" t="e">
            <v>#DIV/0!</v>
          </cell>
          <cell r="CA39">
            <v>99460</v>
          </cell>
          <cell r="CB39">
            <v>54708</v>
          </cell>
          <cell r="CC39">
            <v>55.005027146591587</v>
          </cell>
          <cell r="CE39" t="str">
            <v>065 P. TAMCA</v>
          </cell>
          <cell r="CF39">
            <v>64082</v>
          </cell>
          <cell r="CG39">
            <v>42936</v>
          </cell>
          <cell r="CH39">
            <v>67.001654130645122</v>
          </cell>
          <cell r="CI39">
            <v>101899</v>
          </cell>
          <cell r="CJ39">
            <v>68268</v>
          </cell>
          <cell r="CK39">
            <v>66.995750694314964</v>
          </cell>
          <cell r="CL39">
            <v>0</v>
          </cell>
          <cell r="CM39">
            <v>0</v>
          </cell>
          <cell r="CN39" t="e">
            <v>#DIV/0!</v>
          </cell>
          <cell r="CO39">
            <v>0</v>
          </cell>
          <cell r="CP39">
            <v>0</v>
          </cell>
          <cell r="CQ39" t="e">
            <v>#DIV/0!</v>
          </cell>
          <cell r="CR39">
            <v>165981</v>
          </cell>
          <cell r="CS39">
            <v>111204</v>
          </cell>
          <cell r="CT39">
            <v>66.99802989498798</v>
          </cell>
          <cell r="CV39" t="str">
            <v>065 P. TAMCA</v>
          </cell>
          <cell r="CW39">
            <v>0</v>
          </cell>
          <cell r="CX39">
            <v>0</v>
          </cell>
          <cell r="CY39" t="e">
            <v>#DIV/0!</v>
          </cell>
          <cell r="CZ39">
            <v>19942</v>
          </cell>
          <cell r="DA39">
            <v>18552</v>
          </cell>
          <cell r="DB39">
            <v>93.029786380503467</v>
          </cell>
          <cell r="DC39">
            <v>0</v>
          </cell>
          <cell r="DD39">
            <v>0</v>
          </cell>
          <cell r="DE39" t="e">
            <v>#DIV/0!</v>
          </cell>
          <cell r="DF39">
            <v>19942</v>
          </cell>
          <cell r="DG39">
            <v>18552</v>
          </cell>
          <cell r="DH39">
            <v>93.029786380503467</v>
          </cell>
          <cell r="DJ39" t="str">
            <v>065 P. TAMCA</v>
          </cell>
          <cell r="DK39">
            <v>87800</v>
          </cell>
          <cell r="DL39">
            <v>81660</v>
          </cell>
          <cell r="DM39">
            <v>93.006833712984047</v>
          </cell>
          <cell r="DN39">
            <v>0</v>
          </cell>
          <cell r="DO39">
            <v>0</v>
          </cell>
          <cell r="DP39" t="e">
            <v>#DIV/0!</v>
          </cell>
          <cell r="DQ39">
            <v>0</v>
          </cell>
          <cell r="DR39">
            <v>0</v>
          </cell>
          <cell r="DS39" t="e">
            <v>#DIV/0!</v>
          </cell>
          <cell r="DT39">
            <v>0</v>
          </cell>
          <cell r="DU39">
            <v>0</v>
          </cell>
          <cell r="DV39" t="e">
            <v>#DIV/0!</v>
          </cell>
          <cell r="DX39" t="str">
            <v>065 P. TAMCA</v>
          </cell>
          <cell r="DY39">
            <v>0</v>
          </cell>
          <cell r="DZ39">
            <v>0</v>
          </cell>
          <cell r="EA39" t="e">
            <v>#DIV/0!</v>
          </cell>
          <cell r="EB39">
            <v>0</v>
          </cell>
          <cell r="EC39">
            <v>0</v>
          </cell>
          <cell r="ED39" t="e">
            <v>#DIV/0!</v>
          </cell>
          <cell r="EE39">
            <v>18937</v>
          </cell>
          <cell r="EF39">
            <v>17616</v>
          </cell>
          <cell r="EG39">
            <v>93.024238263716526</v>
          </cell>
          <cell r="EH39">
            <v>76128</v>
          </cell>
          <cell r="EI39">
            <v>70800</v>
          </cell>
          <cell r="EJ39">
            <v>93.001261034047928</v>
          </cell>
          <cell r="EK39">
            <v>182865</v>
          </cell>
          <cell r="EL39">
            <v>170076</v>
          </cell>
          <cell r="EM39">
            <v>93.006316134853577</v>
          </cell>
          <cell r="EO39" t="str">
            <v>065 P. TAMCA</v>
          </cell>
          <cell r="EP39">
            <v>65826</v>
          </cell>
          <cell r="EQ39">
            <v>61224</v>
          </cell>
          <cell r="ER39">
            <v>93.00884149120408</v>
          </cell>
          <cell r="ES39">
            <v>0</v>
          </cell>
          <cell r="ET39">
            <v>0</v>
          </cell>
          <cell r="EU39" t="e">
            <v>#DIV/0!</v>
          </cell>
          <cell r="EV39">
            <v>0</v>
          </cell>
          <cell r="EW39">
            <v>0</v>
          </cell>
          <cell r="EX39" t="e">
            <v>#DIV/0!</v>
          </cell>
          <cell r="EY39">
            <v>18802</v>
          </cell>
          <cell r="EZ39">
            <v>17484</v>
          </cell>
          <cell r="FA39">
            <v>92.990107435379215</v>
          </cell>
          <cell r="FC39" t="str">
            <v>065 P. TAMCA</v>
          </cell>
          <cell r="FD39">
            <v>0</v>
          </cell>
          <cell r="FE39">
            <v>0</v>
          </cell>
          <cell r="FF39" t="e">
            <v>#DIV/0!</v>
          </cell>
          <cell r="FG39">
            <v>0</v>
          </cell>
          <cell r="FH39">
            <v>0</v>
          </cell>
          <cell r="FI39" t="e">
            <v>#DIV/0!</v>
          </cell>
          <cell r="FJ39">
            <v>56931</v>
          </cell>
          <cell r="FK39">
            <v>52944</v>
          </cell>
          <cell r="FL39">
            <v>92.99678558254729</v>
          </cell>
          <cell r="FM39">
            <v>60406</v>
          </cell>
          <cell r="FN39">
            <v>56172</v>
          </cell>
          <cell r="FO39">
            <v>92.990762507035726</v>
          </cell>
          <cell r="FP39">
            <v>201965</v>
          </cell>
          <cell r="FQ39">
            <v>187824</v>
          </cell>
          <cell r="FR39">
            <v>92.998291783229774</v>
          </cell>
        </row>
        <row r="40">
          <cell r="AZ40" t="str">
            <v>066 Part Pat. Mutuel Prestations</v>
          </cell>
          <cell r="BA40">
            <v>0</v>
          </cell>
          <cell r="BB40">
            <v>0</v>
          </cell>
          <cell r="BC40" t="e">
            <v>#DIV/0!</v>
          </cell>
          <cell r="BD40">
            <v>0</v>
          </cell>
          <cell r="BE40">
            <v>0</v>
          </cell>
          <cell r="BF40" t="e">
            <v>#DIV/0!</v>
          </cell>
          <cell r="BG40">
            <v>0</v>
          </cell>
          <cell r="BH40">
            <v>0</v>
          </cell>
          <cell r="BI40" t="e">
            <v>#DIV/0!</v>
          </cell>
          <cell r="BJ40">
            <v>0</v>
          </cell>
          <cell r="BK40">
            <v>0</v>
          </cell>
          <cell r="BL40" t="e">
            <v>#DIV/0!</v>
          </cell>
          <cell r="BN40" t="str">
            <v>066 Part Pat. Mutuel Prestations</v>
          </cell>
          <cell r="BO40">
            <v>0</v>
          </cell>
          <cell r="BP40">
            <v>0</v>
          </cell>
          <cell r="BQ40" t="e">
            <v>#DIV/0!</v>
          </cell>
          <cell r="BR40">
            <v>0</v>
          </cell>
          <cell r="BS40">
            <v>0</v>
          </cell>
          <cell r="BT40" t="e">
            <v>#DIV/0!</v>
          </cell>
          <cell r="BU40">
            <v>0</v>
          </cell>
          <cell r="BV40">
            <v>0</v>
          </cell>
          <cell r="BW40" t="e">
            <v>#DIV/0!</v>
          </cell>
          <cell r="BX40">
            <v>0</v>
          </cell>
          <cell r="BY40">
            <v>0</v>
          </cell>
          <cell r="BZ40" t="e">
            <v>#DIV/0!</v>
          </cell>
          <cell r="CA40">
            <v>0</v>
          </cell>
          <cell r="CB40">
            <v>0</v>
          </cell>
          <cell r="CC40" t="e">
            <v>#DIV/0!</v>
          </cell>
          <cell r="CE40" t="str">
            <v>066 Part Pat. Mutuel Prestations</v>
          </cell>
          <cell r="CF40">
            <v>0</v>
          </cell>
          <cell r="CG40">
            <v>0</v>
          </cell>
          <cell r="CH40" t="e">
            <v>#DIV/0!</v>
          </cell>
          <cell r="CI40">
            <v>0</v>
          </cell>
          <cell r="CJ40">
            <v>0</v>
          </cell>
          <cell r="CK40" t="e">
            <v>#DIV/0!</v>
          </cell>
          <cell r="CL40">
            <v>0</v>
          </cell>
          <cell r="CM40">
            <v>0</v>
          </cell>
          <cell r="CN40" t="e">
            <v>#DIV/0!</v>
          </cell>
          <cell r="CO40">
            <v>0</v>
          </cell>
          <cell r="CP40">
            <v>0</v>
          </cell>
          <cell r="CQ40" t="e">
            <v>#DIV/0!</v>
          </cell>
          <cell r="CR40">
            <v>0</v>
          </cell>
          <cell r="CS40">
            <v>0</v>
          </cell>
          <cell r="CT40" t="e">
            <v>#DIV/0!</v>
          </cell>
          <cell r="CV40" t="str">
            <v>066 Part Pat. Mutuel Prestations</v>
          </cell>
          <cell r="CW40">
            <v>0</v>
          </cell>
          <cell r="CX40">
            <v>0</v>
          </cell>
          <cell r="CY40" t="e">
            <v>#DIV/0!</v>
          </cell>
          <cell r="CZ40">
            <v>0</v>
          </cell>
          <cell r="DA40">
            <v>0</v>
          </cell>
          <cell r="DB40" t="e">
            <v>#DIV/0!</v>
          </cell>
          <cell r="DC40">
            <v>0</v>
          </cell>
          <cell r="DD40">
            <v>0</v>
          </cell>
          <cell r="DE40" t="e">
            <v>#DIV/0!</v>
          </cell>
          <cell r="DF40">
            <v>0</v>
          </cell>
          <cell r="DG40">
            <v>0</v>
          </cell>
          <cell r="DH40" t="e">
            <v>#DIV/0!</v>
          </cell>
          <cell r="DJ40" t="str">
            <v>066 Part Pat. Mutuel Prestations</v>
          </cell>
          <cell r="DK40">
            <v>0</v>
          </cell>
          <cell r="DL40">
            <v>0</v>
          </cell>
          <cell r="DM40" t="e">
            <v>#DIV/0!</v>
          </cell>
          <cell r="DN40">
            <v>0</v>
          </cell>
          <cell r="DO40">
            <v>0</v>
          </cell>
          <cell r="DP40" t="e">
            <v>#DIV/0!</v>
          </cell>
          <cell r="DQ40">
            <v>0</v>
          </cell>
          <cell r="DR40">
            <v>0</v>
          </cell>
          <cell r="DS40" t="e">
            <v>#DIV/0!</v>
          </cell>
          <cell r="DT40">
            <v>0</v>
          </cell>
          <cell r="DU40">
            <v>0</v>
          </cell>
          <cell r="DV40" t="e">
            <v>#DIV/0!</v>
          </cell>
          <cell r="DX40" t="str">
            <v>066 Part Pat. Mutuel Prestations</v>
          </cell>
          <cell r="DY40">
            <v>0</v>
          </cell>
          <cell r="DZ40">
            <v>0</v>
          </cell>
          <cell r="EA40" t="e">
            <v>#DIV/0!</v>
          </cell>
          <cell r="EB40">
            <v>0</v>
          </cell>
          <cell r="EC40">
            <v>0</v>
          </cell>
          <cell r="ED40" t="e">
            <v>#DIV/0!</v>
          </cell>
          <cell r="EE40">
            <v>0</v>
          </cell>
          <cell r="EF40">
            <v>0</v>
          </cell>
          <cell r="EG40" t="e">
            <v>#DIV/0!</v>
          </cell>
          <cell r="EH40">
            <v>0</v>
          </cell>
          <cell r="EI40">
            <v>0</v>
          </cell>
          <cell r="EJ40" t="e">
            <v>#DIV/0!</v>
          </cell>
          <cell r="EK40">
            <v>0</v>
          </cell>
          <cell r="EL40">
            <v>0</v>
          </cell>
          <cell r="EM40" t="e">
            <v>#DIV/0!</v>
          </cell>
          <cell r="EO40" t="str">
            <v>066 Part Pat. Mutuel Prestations</v>
          </cell>
          <cell r="EP40">
            <v>0</v>
          </cell>
          <cell r="EQ40">
            <v>0</v>
          </cell>
          <cell r="ER40" t="e">
            <v>#DIV/0!</v>
          </cell>
          <cell r="ES40">
            <v>0</v>
          </cell>
          <cell r="ET40">
            <v>0</v>
          </cell>
          <cell r="EU40" t="e">
            <v>#DIV/0!</v>
          </cell>
          <cell r="EV40">
            <v>0</v>
          </cell>
          <cell r="EW40">
            <v>0</v>
          </cell>
          <cell r="EX40" t="e">
            <v>#DIV/0!</v>
          </cell>
          <cell r="EY40">
            <v>0</v>
          </cell>
          <cell r="EZ40">
            <v>0</v>
          </cell>
          <cell r="FA40" t="e">
            <v>#DIV/0!</v>
          </cell>
          <cell r="FC40" t="str">
            <v>066 Part Pat. Mutuel Prestations</v>
          </cell>
          <cell r="FD40">
            <v>0</v>
          </cell>
          <cell r="FE40">
            <v>0</v>
          </cell>
          <cell r="FF40" t="e">
            <v>#DIV/0!</v>
          </cell>
          <cell r="FG40">
            <v>0</v>
          </cell>
          <cell r="FH40">
            <v>0</v>
          </cell>
          <cell r="FI40" t="e">
            <v>#DIV/0!</v>
          </cell>
          <cell r="FJ40">
            <v>0</v>
          </cell>
          <cell r="FK40">
            <v>0</v>
          </cell>
          <cell r="FL40" t="e">
            <v>#DIV/0!</v>
          </cell>
          <cell r="FM40">
            <v>0</v>
          </cell>
          <cell r="FN40">
            <v>0</v>
          </cell>
          <cell r="FO40" t="e">
            <v>#DIV/0!</v>
          </cell>
          <cell r="FP40">
            <v>0</v>
          </cell>
          <cell r="FQ40">
            <v>0</v>
          </cell>
          <cell r="FR40" t="e">
            <v>#DIV/0!</v>
          </cell>
        </row>
        <row r="41">
          <cell r="AZ41" t="str">
            <v>067 Part Pat. Mutuel Accid. Trav.</v>
          </cell>
          <cell r="BA41">
            <v>0</v>
          </cell>
          <cell r="BB41">
            <v>0</v>
          </cell>
          <cell r="BC41" t="e">
            <v>#DIV/0!</v>
          </cell>
          <cell r="BD41">
            <v>0</v>
          </cell>
          <cell r="BE41">
            <v>0</v>
          </cell>
          <cell r="BF41" t="e">
            <v>#DIV/0!</v>
          </cell>
          <cell r="BG41">
            <v>0</v>
          </cell>
          <cell r="BH41">
            <v>0</v>
          </cell>
          <cell r="BI41" t="e">
            <v>#DIV/0!</v>
          </cell>
          <cell r="BJ41">
            <v>0</v>
          </cell>
          <cell r="BK41">
            <v>0</v>
          </cell>
          <cell r="BL41" t="e">
            <v>#DIV/0!</v>
          </cell>
          <cell r="BN41" t="str">
            <v>067 Part Pat. Mutuel Accid. Trav.</v>
          </cell>
          <cell r="BO41">
            <v>0</v>
          </cell>
          <cell r="BP41">
            <v>0</v>
          </cell>
          <cell r="BQ41" t="e">
            <v>#DIV/0!</v>
          </cell>
          <cell r="BR41">
            <v>0</v>
          </cell>
          <cell r="BS41">
            <v>0</v>
          </cell>
          <cell r="BT41" t="e">
            <v>#DIV/0!</v>
          </cell>
          <cell r="BU41">
            <v>0</v>
          </cell>
          <cell r="BV41">
            <v>0</v>
          </cell>
          <cell r="BW41" t="e">
            <v>#DIV/0!</v>
          </cell>
          <cell r="BX41">
            <v>0</v>
          </cell>
          <cell r="BY41">
            <v>0</v>
          </cell>
          <cell r="BZ41" t="e">
            <v>#DIV/0!</v>
          </cell>
          <cell r="CA41">
            <v>0</v>
          </cell>
          <cell r="CB41">
            <v>0</v>
          </cell>
          <cell r="CC41" t="e">
            <v>#DIV/0!</v>
          </cell>
          <cell r="CE41" t="str">
            <v>067 Part Pat. Mutuel Accid. Trav.</v>
          </cell>
          <cell r="CF41">
            <v>0</v>
          </cell>
          <cell r="CG41">
            <v>0</v>
          </cell>
          <cell r="CH41" t="e">
            <v>#DIV/0!</v>
          </cell>
          <cell r="CI41">
            <v>0</v>
          </cell>
          <cell r="CJ41">
            <v>0</v>
          </cell>
          <cell r="CK41" t="e">
            <v>#DIV/0!</v>
          </cell>
          <cell r="CL41">
            <v>0</v>
          </cell>
          <cell r="CM41">
            <v>0</v>
          </cell>
          <cell r="CN41" t="e">
            <v>#DIV/0!</v>
          </cell>
          <cell r="CO41">
            <v>0</v>
          </cell>
          <cell r="CP41">
            <v>0</v>
          </cell>
          <cell r="CQ41" t="e">
            <v>#DIV/0!</v>
          </cell>
          <cell r="CR41">
            <v>0</v>
          </cell>
          <cell r="CS41">
            <v>0</v>
          </cell>
          <cell r="CT41" t="e">
            <v>#DIV/0!</v>
          </cell>
          <cell r="CV41" t="str">
            <v>067 Part Pat. Mutuel Accid. Trav.</v>
          </cell>
          <cell r="CW41">
            <v>0</v>
          </cell>
          <cell r="CX41">
            <v>0</v>
          </cell>
          <cell r="CY41" t="e">
            <v>#DIV/0!</v>
          </cell>
          <cell r="CZ41">
            <v>0</v>
          </cell>
          <cell r="DA41">
            <v>0</v>
          </cell>
          <cell r="DB41" t="e">
            <v>#DIV/0!</v>
          </cell>
          <cell r="DC41">
            <v>0</v>
          </cell>
          <cell r="DD41">
            <v>0</v>
          </cell>
          <cell r="DE41" t="e">
            <v>#DIV/0!</v>
          </cell>
          <cell r="DF41">
            <v>0</v>
          </cell>
          <cell r="DG41">
            <v>0</v>
          </cell>
          <cell r="DH41" t="e">
            <v>#DIV/0!</v>
          </cell>
          <cell r="DJ41" t="str">
            <v>067 Part Pat. Mutuel Accid. Trav.</v>
          </cell>
          <cell r="DK41">
            <v>0</v>
          </cell>
          <cell r="DL41">
            <v>0</v>
          </cell>
          <cell r="DM41" t="e">
            <v>#DIV/0!</v>
          </cell>
          <cell r="DN41">
            <v>0</v>
          </cell>
          <cell r="DO41">
            <v>0</v>
          </cell>
          <cell r="DP41" t="e">
            <v>#DIV/0!</v>
          </cell>
          <cell r="DQ41">
            <v>0</v>
          </cell>
          <cell r="DR41">
            <v>0</v>
          </cell>
          <cell r="DS41" t="e">
            <v>#DIV/0!</v>
          </cell>
          <cell r="DT41">
            <v>0</v>
          </cell>
          <cell r="DU41">
            <v>0</v>
          </cell>
          <cell r="DV41" t="e">
            <v>#DIV/0!</v>
          </cell>
          <cell r="DX41" t="str">
            <v>067 Part Pat. Mutuel Accid. Trav.</v>
          </cell>
          <cell r="DY41">
            <v>0</v>
          </cell>
          <cell r="DZ41">
            <v>0</v>
          </cell>
          <cell r="EA41" t="e">
            <v>#DIV/0!</v>
          </cell>
          <cell r="EB41">
            <v>0</v>
          </cell>
          <cell r="EC41">
            <v>0</v>
          </cell>
          <cell r="ED41" t="e">
            <v>#DIV/0!</v>
          </cell>
          <cell r="EE41">
            <v>0</v>
          </cell>
          <cell r="EF41">
            <v>0</v>
          </cell>
          <cell r="EG41" t="e">
            <v>#DIV/0!</v>
          </cell>
          <cell r="EH41">
            <v>0</v>
          </cell>
          <cell r="EI41">
            <v>0</v>
          </cell>
          <cell r="EJ41" t="e">
            <v>#DIV/0!</v>
          </cell>
          <cell r="EK41">
            <v>0</v>
          </cell>
          <cell r="EL41">
            <v>0</v>
          </cell>
          <cell r="EM41" t="e">
            <v>#DIV/0!</v>
          </cell>
          <cell r="EO41" t="str">
            <v>067 Part Pat. Mutuel Accid. Trav.</v>
          </cell>
          <cell r="EP41">
            <v>0</v>
          </cell>
          <cell r="EQ41">
            <v>0</v>
          </cell>
          <cell r="ER41" t="e">
            <v>#DIV/0!</v>
          </cell>
          <cell r="ES41">
            <v>0</v>
          </cell>
          <cell r="ET41">
            <v>0</v>
          </cell>
          <cell r="EU41" t="e">
            <v>#DIV/0!</v>
          </cell>
          <cell r="EV41">
            <v>0</v>
          </cell>
          <cell r="EW41">
            <v>0</v>
          </cell>
          <cell r="EX41" t="e">
            <v>#DIV/0!</v>
          </cell>
          <cell r="EY41">
            <v>0</v>
          </cell>
          <cell r="EZ41">
            <v>0</v>
          </cell>
          <cell r="FA41" t="e">
            <v>#DIV/0!</v>
          </cell>
          <cell r="FC41" t="str">
            <v>067 Part Pat. Mutuel Accid. Trav.</v>
          </cell>
          <cell r="FD41">
            <v>0</v>
          </cell>
          <cell r="FE41">
            <v>0</v>
          </cell>
          <cell r="FF41" t="e">
            <v>#DIV/0!</v>
          </cell>
          <cell r="FG41">
            <v>0</v>
          </cell>
          <cell r="FH41">
            <v>0</v>
          </cell>
          <cell r="FI41" t="e">
            <v>#DIV/0!</v>
          </cell>
          <cell r="FJ41">
            <v>0</v>
          </cell>
          <cell r="FK41">
            <v>0</v>
          </cell>
          <cell r="FL41" t="e">
            <v>#DIV/0!</v>
          </cell>
          <cell r="FM41">
            <v>0</v>
          </cell>
          <cell r="FN41">
            <v>0</v>
          </cell>
          <cell r="FO41" t="e">
            <v>#DIV/0!</v>
          </cell>
          <cell r="FP41">
            <v>0</v>
          </cell>
          <cell r="FQ41">
            <v>0</v>
          </cell>
          <cell r="FR41" t="e">
            <v>#DIV/0!</v>
          </cell>
        </row>
        <row r="42">
          <cell r="AZ42" t="str">
            <v>068 Part Mutuel Décés  Inv. P. Per.</v>
          </cell>
          <cell r="BA42">
            <v>0</v>
          </cell>
          <cell r="BB42">
            <v>0</v>
          </cell>
          <cell r="BC42" t="e">
            <v>#DIV/0!</v>
          </cell>
          <cell r="BD42">
            <v>0</v>
          </cell>
          <cell r="BE42">
            <v>0</v>
          </cell>
          <cell r="BF42" t="e">
            <v>#DIV/0!</v>
          </cell>
          <cell r="BG42">
            <v>0</v>
          </cell>
          <cell r="BH42">
            <v>0</v>
          </cell>
          <cell r="BI42" t="e">
            <v>#DIV/0!</v>
          </cell>
          <cell r="BJ42">
            <v>0</v>
          </cell>
          <cell r="BK42">
            <v>0</v>
          </cell>
          <cell r="BL42" t="e">
            <v>#DIV/0!</v>
          </cell>
          <cell r="BN42" t="str">
            <v>068 Part Mutuel Décés  Inv. P. Per.</v>
          </cell>
          <cell r="BO42">
            <v>0</v>
          </cell>
          <cell r="BP42">
            <v>0</v>
          </cell>
          <cell r="BQ42" t="e">
            <v>#DIV/0!</v>
          </cell>
          <cell r="BR42">
            <v>0</v>
          </cell>
          <cell r="BS42">
            <v>0</v>
          </cell>
          <cell r="BT42" t="e">
            <v>#DIV/0!</v>
          </cell>
          <cell r="BU42">
            <v>0</v>
          </cell>
          <cell r="BV42">
            <v>0</v>
          </cell>
          <cell r="BW42" t="e">
            <v>#DIV/0!</v>
          </cell>
          <cell r="BX42">
            <v>0</v>
          </cell>
          <cell r="BY42">
            <v>0</v>
          </cell>
          <cell r="BZ42" t="e">
            <v>#DIV/0!</v>
          </cell>
          <cell r="CA42">
            <v>0</v>
          </cell>
          <cell r="CB42">
            <v>0</v>
          </cell>
          <cell r="CC42" t="e">
            <v>#DIV/0!</v>
          </cell>
          <cell r="CE42" t="str">
            <v>068 Part Mutuel Décés  Inv. P. Per.</v>
          </cell>
          <cell r="CF42">
            <v>480</v>
          </cell>
          <cell r="CG42">
            <v>324</v>
          </cell>
          <cell r="CH42">
            <v>67.5</v>
          </cell>
          <cell r="CI42">
            <v>480</v>
          </cell>
          <cell r="CJ42">
            <v>324</v>
          </cell>
          <cell r="CK42">
            <v>67.5</v>
          </cell>
          <cell r="CL42">
            <v>0</v>
          </cell>
          <cell r="CM42">
            <v>0</v>
          </cell>
          <cell r="CN42" t="e">
            <v>#DIV/0!</v>
          </cell>
          <cell r="CO42">
            <v>0</v>
          </cell>
          <cell r="CP42">
            <v>0</v>
          </cell>
          <cell r="CQ42" t="e">
            <v>#DIV/0!</v>
          </cell>
          <cell r="CR42">
            <v>960</v>
          </cell>
          <cell r="CS42">
            <v>648</v>
          </cell>
          <cell r="CT42">
            <v>67.5</v>
          </cell>
          <cell r="CV42" t="str">
            <v>068 Part Mutuel Décés  Inv. P. Per.</v>
          </cell>
          <cell r="CW42">
            <v>0</v>
          </cell>
          <cell r="CX42">
            <v>0</v>
          </cell>
          <cell r="CY42" t="e">
            <v>#DIV/0!</v>
          </cell>
          <cell r="CZ42">
            <v>0</v>
          </cell>
          <cell r="DA42">
            <v>0</v>
          </cell>
          <cell r="DB42" t="e">
            <v>#DIV/0!</v>
          </cell>
          <cell r="DC42">
            <v>0</v>
          </cell>
          <cell r="DD42">
            <v>0</v>
          </cell>
          <cell r="DE42" t="e">
            <v>#DIV/0!</v>
          </cell>
          <cell r="DF42">
            <v>0</v>
          </cell>
          <cell r="DG42">
            <v>0</v>
          </cell>
          <cell r="DH42" t="e">
            <v>#DIV/0!</v>
          </cell>
          <cell r="DJ42" t="str">
            <v>068 Part Mutuel Décés  Inv. P. Per.</v>
          </cell>
          <cell r="DK42">
            <v>0</v>
          </cell>
          <cell r="DL42">
            <v>0</v>
          </cell>
          <cell r="DM42" t="e">
            <v>#DIV/0!</v>
          </cell>
          <cell r="DN42">
            <v>0</v>
          </cell>
          <cell r="DO42">
            <v>0</v>
          </cell>
          <cell r="DP42" t="e">
            <v>#DIV/0!</v>
          </cell>
          <cell r="DQ42">
            <v>0</v>
          </cell>
          <cell r="DR42">
            <v>0</v>
          </cell>
          <cell r="DS42" t="e">
            <v>#DIV/0!</v>
          </cell>
          <cell r="DT42">
            <v>0</v>
          </cell>
          <cell r="DU42">
            <v>0</v>
          </cell>
          <cell r="DV42" t="e">
            <v>#DIV/0!</v>
          </cell>
          <cell r="DX42" t="str">
            <v>068 Part Mutuel Décés  Inv. P. Per.</v>
          </cell>
          <cell r="DY42">
            <v>0</v>
          </cell>
          <cell r="DZ42">
            <v>0</v>
          </cell>
          <cell r="EA42" t="e">
            <v>#DIV/0!</v>
          </cell>
          <cell r="EB42">
            <v>0</v>
          </cell>
          <cell r="EC42">
            <v>0</v>
          </cell>
          <cell r="ED42" t="e">
            <v>#DIV/0!</v>
          </cell>
          <cell r="EE42">
            <v>0</v>
          </cell>
          <cell r="EF42">
            <v>0</v>
          </cell>
          <cell r="EG42" t="e">
            <v>#DIV/0!</v>
          </cell>
          <cell r="EH42">
            <v>0</v>
          </cell>
          <cell r="EI42">
            <v>0</v>
          </cell>
          <cell r="EJ42" t="e">
            <v>#DIV/0!</v>
          </cell>
          <cell r="EK42">
            <v>0</v>
          </cell>
          <cell r="EL42">
            <v>0</v>
          </cell>
          <cell r="EM42" t="e">
            <v>#DIV/0!</v>
          </cell>
          <cell r="EO42" t="str">
            <v>068 Part Mutuel Décés  Inv. P. Per.</v>
          </cell>
          <cell r="EP42">
            <v>0</v>
          </cell>
          <cell r="EQ42">
            <v>0</v>
          </cell>
          <cell r="ER42" t="e">
            <v>#DIV/0!</v>
          </cell>
          <cell r="ES42">
            <v>0</v>
          </cell>
          <cell r="ET42">
            <v>0</v>
          </cell>
          <cell r="EU42" t="e">
            <v>#DIV/0!</v>
          </cell>
          <cell r="EV42">
            <v>0</v>
          </cell>
          <cell r="EW42">
            <v>0</v>
          </cell>
          <cell r="EX42" t="e">
            <v>#DIV/0!</v>
          </cell>
          <cell r="EY42">
            <v>0</v>
          </cell>
          <cell r="EZ42">
            <v>0</v>
          </cell>
          <cell r="FA42" t="e">
            <v>#DIV/0!</v>
          </cell>
          <cell r="FC42" t="str">
            <v>068 Part Mutuel Décés  Inv. P. Per.</v>
          </cell>
          <cell r="FD42">
            <v>0</v>
          </cell>
          <cell r="FE42">
            <v>0</v>
          </cell>
          <cell r="FF42" t="e">
            <v>#DIV/0!</v>
          </cell>
          <cell r="FG42">
            <v>0</v>
          </cell>
          <cell r="FH42">
            <v>0</v>
          </cell>
          <cell r="FI42" t="e">
            <v>#DIV/0!</v>
          </cell>
          <cell r="FJ42">
            <v>0</v>
          </cell>
          <cell r="FK42">
            <v>0</v>
          </cell>
          <cell r="FL42" t="e">
            <v>#DIV/0!</v>
          </cell>
          <cell r="FM42">
            <v>888</v>
          </cell>
          <cell r="FN42">
            <v>828</v>
          </cell>
          <cell r="FO42">
            <v>93.243243243243242</v>
          </cell>
          <cell r="FP42">
            <v>888</v>
          </cell>
          <cell r="FQ42">
            <v>828</v>
          </cell>
          <cell r="FR42">
            <v>93.243243243243242</v>
          </cell>
        </row>
        <row r="43">
          <cell r="AZ43" t="str">
            <v>069 Part Mutuel Décés  Inv. P. Ret.</v>
          </cell>
          <cell r="BA43">
            <v>0</v>
          </cell>
          <cell r="BB43">
            <v>0</v>
          </cell>
          <cell r="BC43" t="e">
            <v>#DIV/0!</v>
          </cell>
          <cell r="BD43">
            <v>0</v>
          </cell>
          <cell r="BE43">
            <v>0</v>
          </cell>
          <cell r="BF43" t="e">
            <v>#DIV/0!</v>
          </cell>
          <cell r="BG43">
            <v>0</v>
          </cell>
          <cell r="BH43">
            <v>0</v>
          </cell>
          <cell r="BI43" t="e">
            <v>#DIV/0!</v>
          </cell>
          <cell r="BJ43">
            <v>0</v>
          </cell>
          <cell r="BK43">
            <v>0</v>
          </cell>
          <cell r="BL43" t="e">
            <v>#DIV/0!</v>
          </cell>
          <cell r="BN43" t="str">
            <v>069 Part Mutuel Décés  Inv. P. Ret.</v>
          </cell>
          <cell r="BO43">
            <v>0</v>
          </cell>
          <cell r="BP43">
            <v>0</v>
          </cell>
          <cell r="BQ43" t="e">
            <v>#DIV/0!</v>
          </cell>
          <cell r="BR43">
            <v>0</v>
          </cell>
          <cell r="BS43">
            <v>0</v>
          </cell>
          <cell r="BT43" t="e">
            <v>#DIV/0!</v>
          </cell>
          <cell r="BU43">
            <v>0</v>
          </cell>
          <cell r="BV43">
            <v>0</v>
          </cell>
          <cell r="BW43" t="e">
            <v>#DIV/0!</v>
          </cell>
          <cell r="BX43">
            <v>0</v>
          </cell>
          <cell r="BY43">
            <v>0</v>
          </cell>
          <cell r="BZ43" t="e">
            <v>#DIV/0!</v>
          </cell>
          <cell r="CA43">
            <v>0</v>
          </cell>
          <cell r="CB43">
            <v>0</v>
          </cell>
          <cell r="CC43" t="e">
            <v>#DIV/0!</v>
          </cell>
          <cell r="CE43" t="str">
            <v>069 Part Mutuel Décés  Inv. P. Ret.</v>
          </cell>
          <cell r="CF43">
            <v>0</v>
          </cell>
          <cell r="CG43">
            <v>0</v>
          </cell>
          <cell r="CH43" t="e">
            <v>#DIV/0!</v>
          </cell>
          <cell r="CI43">
            <v>0</v>
          </cell>
          <cell r="CJ43">
            <v>0</v>
          </cell>
          <cell r="CK43" t="e">
            <v>#DIV/0!</v>
          </cell>
          <cell r="CL43">
            <v>0</v>
          </cell>
          <cell r="CM43">
            <v>0</v>
          </cell>
          <cell r="CN43" t="e">
            <v>#DIV/0!</v>
          </cell>
          <cell r="CO43">
            <v>0</v>
          </cell>
          <cell r="CP43">
            <v>0</v>
          </cell>
          <cell r="CQ43" t="e">
            <v>#DIV/0!</v>
          </cell>
          <cell r="CR43">
            <v>0</v>
          </cell>
          <cell r="CS43">
            <v>0</v>
          </cell>
          <cell r="CT43" t="e">
            <v>#DIV/0!</v>
          </cell>
          <cell r="CV43" t="str">
            <v>069 Part Mutuel Décés  Inv. P. Ret.</v>
          </cell>
          <cell r="CW43">
            <v>0</v>
          </cell>
          <cell r="CX43">
            <v>0</v>
          </cell>
          <cell r="CY43" t="e">
            <v>#DIV/0!</v>
          </cell>
          <cell r="CZ43">
            <v>0</v>
          </cell>
          <cell r="DA43">
            <v>0</v>
          </cell>
          <cell r="DB43" t="e">
            <v>#DIV/0!</v>
          </cell>
          <cell r="DC43">
            <v>0</v>
          </cell>
          <cell r="DD43">
            <v>0</v>
          </cell>
          <cell r="DE43" t="e">
            <v>#DIV/0!</v>
          </cell>
          <cell r="DF43">
            <v>0</v>
          </cell>
          <cell r="DG43">
            <v>0</v>
          </cell>
          <cell r="DH43" t="e">
            <v>#DIV/0!</v>
          </cell>
          <cell r="DJ43" t="str">
            <v>069 Part Mutuel Décés  Inv. P. Ret.</v>
          </cell>
          <cell r="DK43">
            <v>0</v>
          </cell>
          <cell r="DL43">
            <v>0</v>
          </cell>
          <cell r="DM43" t="e">
            <v>#DIV/0!</v>
          </cell>
          <cell r="DN43">
            <v>0</v>
          </cell>
          <cell r="DO43">
            <v>0</v>
          </cell>
          <cell r="DP43" t="e">
            <v>#DIV/0!</v>
          </cell>
          <cell r="DQ43">
            <v>0</v>
          </cell>
          <cell r="DR43">
            <v>0</v>
          </cell>
          <cell r="DS43" t="e">
            <v>#DIV/0!</v>
          </cell>
          <cell r="DT43">
            <v>0</v>
          </cell>
          <cell r="DU43">
            <v>0</v>
          </cell>
          <cell r="DV43" t="e">
            <v>#DIV/0!</v>
          </cell>
          <cell r="DX43" t="str">
            <v>069 Part Mutuel Décés  Inv. P. Ret.</v>
          </cell>
          <cell r="DY43">
            <v>0</v>
          </cell>
          <cell r="DZ43">
            <v>0</v>
          </cell>
          <cell r="EA43" t="e">
            <v>#DIV/0!</v>
          </cell>
          <cell r="EB43">
            <v>0</v>
          </cell>
          <cell r="EC43">
            <v>0</v>
          </cell>
          <cell r="ED43" t="e">
            <v>#DIV/0!</v>
          </cell>
          <cell r="EE43">
            <v>0</v>
          </cell>
          <cell r="EF43">
            <v>0</v>
          </cell>
          <cell r="EG43" t="e">
            <v>#DIV/0!</v>
          </cell>
          <cell r="EH43">
            <v>0</v>
          </cell>
          <cell r="EI43">
            <v>0</v>
          </cell>
          <cell r="EJ43" t="e">
            <v>#DIV/0!</v>
          </cell>
          <cell r="EK43">
            <v>0</v>
          </cell>
          <cell r="EL43">
            <v>0</v>
          </cell>
          <cell r="EM43" t="e">
            <v>#DIV/0!</v>
          </cell>
          <cell r="EO43" t="str">
            <v>069 Part Mutuel Décés  Inv. P. Ret.</v>
          </cell>
          <cell r="EP43">
            <v>0</v>
          </cell>
          <cell r="EQ43">
            <v>0</v>
          </cell>
          <cell r="ER43" t="e">
            <v>#DIV/0!</v>
          </cell>
          <cell r="ES43">
            <v>0</v>
          </cell>
          <cell r="ET43">
            <v>0</v>
          </cell>
          <cell r="EU43" t="e">
            <v>#DIV/0!</v>
          </cell>
          <cell r="EV43">
            <v>0</v>
          </cell>
          <cell r="EW43">
            <v>0</v>
          </cell>
          <cell r="EX43" t="e">
            <v>#DIV/0!</v>
          </cell>
          <cell r="EY43">
            <v>0</v>
          </cell>
          <cell r="EZ43">
            <v>0</v>
          </cell>
          <cell r="FA43" t="e">
            <v>#DIV/0!</v>
          </cell>
          <cell r="FC43" t="str">
            <v>069 Part Mutuel Décés  Inv. P. Ret.</v>
          </cell>
          <cell r="FD43">
            <v>0</v>
          </cell>
          <cell r="FE43">
            <v>0</v>
          </cell>
          <cell r="FF43" t="e">
            <v>#DIV/0!</v>
          </cell>
          <cell r="FG43">
            <v>0</v>
          </cell>
          <cell r="FH43">
            <v>0</v>
          </cell>
          <cell r="FI43" t="e">
            <v>#DIV/0!</v>
          </cell>
          <cell r="FJ43">
            <v>0</v>
          </cell>
          <cell r="FK43">
            <v>0</v>
          </cell>
          <cell r="FL43" t="e">
            <v>#DIV/0!</v>
          </cell>
          <cell r="FM43">
            <v>0</v>
          </cell>
          <cell r="FN43">
            <v>0</v>
          </cell>
          <cell r="FO43" t="e">
            <v>#DIV/0!</v>
          </cell>
          <cell r="FP43">
            <v>0</v>
          </cell>
          <cell r="FQ43">
            <v>0</v>
          </cell>
          <cell r="FR43" t="e">
            <v>#DIV/0!</v>
          </cell>
        </row>
        <row r="44">
          <cell r="AZ44" t="str">
            <v>070 P. P..TACHES</v>
          </cell>
          <cell r="BA44">
            <v>0</v>
          </cell>
          <cell r="BB44">
            <v>0</v>
          </cell>
          <cell r="BC44" t="e">
            <v>#DIV/0!</v>
          </cell>
          <cell r="BD44">
            <v>82472</v>
          </cell>
          <cell r="BE44">
            <v>45360</v>
          </cell>
          <cell r="BF44">
            <v>55.000485013095357</v>
          </cell>
          <cell r="BG44">
            <v>84448</v>
          </cell>
          <cell r="BH44">
            <v>46452</v>
          </cell>
          <cell r="BI44">
            <v>55.006631299734742</v>
          </cell>
          <cell r="BJ44">
            <v>71475</v>
          </cell>
          <cell r="BK44">
            <v>39312</v>
          </cell>
          <cell r="BL44">
            <v>55.001049317943341</v>
          </cell>
          <cell r="BN44" t="str">
            <v>070 P. P..TACHES</v>
          </cell>
          <cell r="BO44">
            <v>89912</v>
          </cell>
          <cell r="BP44">
            <v>49452</v>
          </cell>
          <cell r="BQ44">
            <v>55.000444879437673</v>
          </cell>
          <cell r="BR44">
            <v>66596</v>
          </cell>
          <cell r="BS44">
            <v>36624</v>
          </cell>
          <cell r="BT44">
            <v>54.994293951588681</v>
          </cell>
          <cell r="BU44">
            <v>93583</v>
          </cell>
          <cell r="BV44">
            <v>51468</v>
          </cell>
          <cell r="BW44">
            <v>54.997168289112338</v>
          </cell>
          <cell r="BX44">
            <v>0</v>
          </cell>
          <cell r="BY44">
            <v>0</v>
          </cell>
          <cell r="BZ44" t="e">
            <v>#DIV/0!</v>
          </cell>
          <cell r="CA44">
            <v>488486</v>
          </cell>
          <cell r="CB44">
            <v>268668</v>
          </cell>
          <cell r="CC44">
            <v>55.000143299910334</v>
          </cell>
          <cell r="CE44" t="str">
            <v>070 P. P..TACHES</v>
          </cell>
          <cell r="CF44">
            <v>265784</v>
          </cell>
          <cell r="CG44">
            <v>178080</v>
          </cell>
          <cell r="CH44">
            <v>67.001775878156707</v>
          </cell>
          <cell r="CI44">
            <v>354484</v>
          </cell>
          <cell r="CJ44">
            <v>237504</v>
          </cell>
          <cell r="CK44">
            <v>66.999921011949766</v>
          </cell>
          <cell r="CL44">
            <v>0</v>
          </cell>
          <cell r="CM44">
            <v>0</v>
          </cell>
          <cell r="CN44" t="e">
            <v>#DIV/0!</v>
          </cell>
          <cell r="CO44">
            <v>0</v>
          </cell>
          <cell r="CP44">
            <v>0</v>
          </cell>
          <cell r="CQ44" t="e">
            <v>#DIV/0!</v>
          </cell>
          <cell r="CR44">
            <v>620268</v>
          </cell>
          <cell r="CS44">
            <v>415584</v>
          </cell>
          <cell r="CT44">
            <v>67.000715819613461</v>
          </cell>
          <cell r="CV44" t="str">
            <v>070 P. P..TACHES</v>
          </cell>
          <cell r="CW44">
            <v>10527</v>
          </cell>
          <cell r="CX44">
            <v>9792</v>
          </cell>
          <cell r="CY44">
            <v>93.01795383300086</v>
          </cell>
          <cell r="CZ44">
            <v>12253</v>
          </cell>
          <cell r="DA44">
            <v>11400</v>
          </cell>
          <cell r="DB44">
            <v>93.038439565820624</v>
          </cell>
          <cell r="DC44">
            <v>0</v>
          </cell>
          <cell r="DD44">
            <v>0</v>
          </cell>
          <cell r="DE44" t="e">
            <v>#DIV/0!</v>
          </cell>
          <cell r="DF44">
            <v>22780</v>
          </cell>
          <cell r="DG44">
            <v>21192</v>
          </cell>
          <cell r="DH44">
            <v>93.028972783143104</v>
          </cell>
          <cell r="DJ44" t="str">
            <v>070 P. P..TACHES</v>
          </cell>
          <cell r="DK44">
            <v>114273</v>
          </cell>
          <cell r="DL44">
            <v>106272</v>
          </cell>
          <cell r="DM44">
            <v>92.99834606599984</v>
          </cell>
          <cell r="DN44">
            <v>0</v>
          </cell>
          <cell r="DO44">
            <v>0</v>
          </cell>
          <cell r="DP44" t="e">
            <v>#DIV/0!</v>
          </cell>
          <cell r="DQ44">
            <v>0</v>
          </cell>
          <cell r="DR44">
            <v>0</v>
          </cell>
          <cell r="DS44" t="e">
            <v>#DIV/0!</v>
          </cell>
          <cell r="DT44">
            <v>0</v>
          </cell>
          <cell r="DU44">
            <v>0</v>
          </cell>
          <cell r="DV44" t="e">
            <v>#DIV/0!</v>
          </cell>
          <cell r="DX44" t="str">
            <v>070 P. P..TACHES</v>
          </cell>
          <cell r="DY44">
            <v>0</v>
          </cell>
          <cell r="DZ44">
            <v>0</v>
          </cell>
          <cell r="EA44" t="e">
            <v>#DIV/0!</v>
          </cell>
          <cell r="EB44">
            <v>0</v>
          </cell>
          <cell r="EC44">
            <v>0</v>
          </cell>
          <cell r="ED44" t="e">
            <v>#DIV/0!</v>
          </cell>
          <cell r="EE44">
            <v>0</v>
          </cell>
          <cell r="EF44">
            <v>0</v>
          </cell>
          <cell r="EG44" t="e">
            <v>#DIV/0!</v>
          </cell>
          <cell r="EH44">
            <v>28711</v>
          </cell>
          <cell r="EI44">
            <v>26700</v>
          </cell>
          <cell r="EJ44">
            <v>92.995715927693226</v>
          </cell>
          <cell r="EK44">
            <v>142984</v>
          </cell>
          <cell r="EL44">
            <v>132972</v>
          </cell>
          <cell r="EM44">
            <v>92.997817937671343</v>
          </cell>
          <cell r="EO44" t="str">
            <v>070 P. P..TACHES</v>
          </cell>
          <cell r="EP44">
            <v>17836</v>
          </cell>
          <cell r="EQ44">
            <v>16584</v>
          </cell>
          <cell r="ER44">
            <v>92.980488898856251</v>
          </cell>
          <cell r="ES44">
            <v>0</v>
          </cell>
          <cell r="ET44">
            <v>0</v>
          </cell>
          <cell r="EU44" t="e">
            <v>#DIV/0!</v>
          </cell>
          <cell r="EV44">
            <v>1712</v>
          </cell>
          <cell r="EW44">
            <v>1596</v>
          </cell>
          <cell r="EX44">
            <v>93.224299065420553</v>
          </cell>
          <cell r="EY44">
            <v>0</v>
          </cell>
          <cell r="EZ44">
            <v>0</v>
          </cell>
          <cell r="FA44" t="e">
            <v>#DIV/0!</v>
          </cell>
          <cell r="FC44" t="str">
            <v>070 P. P..TACHES</v>
          </cell>
          <cell r="FD44">
            <v>0</v>
          </cell>
          <cell r="FE44">
            <v>0</v>
          </cell>
          <cell r="FF44" t="e">
            <v>#DIV/0!</v>
          </cell>
          <cell r="FG44">
            <v>0</v>
          </cell>
          <cell r="FH44">
            <v>0</v>
          </cell>
          <cell r="FI44" t="e">
            <v>#DIV/0!</v>
          </cell>
          <cell r="FJ44">
            <v>9200</v>
          </cell>
          <cell r="FK44">
            <v>8556</v>
          </cell>
          <cell r="FL44">
            <v>93</v>
          </cell>
          <cell r="FM44">
            <v>58248</v>
          </cell>
          <cell r="FN44">
            <v>54168</v>
          </cell>
          <cell r="FO44">
            <v>92.995467655541816</v>
          </cell>
          <cell r="FP44">
            <v>86996</v>
          </cell>
          <cell r="FQ44">
            <v>80904</v>
          </cell>
          <cell r="FR44">
            <v>92.997379189847805</v>
          </cell>
        </row>
        <row r="45">
          <cell r="AZ45" t="str">
            <v>071 P. P.OE BUR.</v>
          </cell>
          <cell r="BA45">
            <v>0</v>
          </cell>
          <cell r="BB45">
            <v>0</v>
          </cell>
          <cell r="BC45" t="e">
            <v>#DIV/0!</v>
          </cell>
          <cell r="BD45">
            <v>0</v>
          </cell>
          <cell r="BE45">
            <v>0</v>
          </cell>
          <cell r="BF45" t="e">
            <v>#DIV/0!</v>
          </cell>
          <cell r="BG45">
            <v>0</v>
          </cell>
          <cell r="BH45">
            <v>0</v>
          </cell>
          <cell r="BI45" t="e">
            <v>#DIV/0!</v>
          </cell>
          <cell r="BJ45">
            <v>0</v>
          </cell>
          <cell r="BK45">
            <v>0</v>
          </cell>
          <cell r="BL45" t="e">
            <v>#DIV/0!</v>
          </cell>
          <cell r="BN45" t="str">
            <v>071 P. P.OE BUR.</v>
          </cell>
          <cell r="BO45">
            <v>0</v>
          </cell>
          <cell r="BP45">
            <v>0</v>
          </cell>
          <cell r="BQ45" t="e">
            <v>#DIV/0!</v>
          </cell>
          <cell r="BR45">
            <v>0</v>
          </cell>
          <cell r="BS45">
            <v>0</v>
          </cell>
          <cell r="BT45" t="e">
            <v>#DIV/0!</v>
          </cell>
          <cell r="BU45">
            <v>0</v>
          </cell>
          <cell r="BV45">
            <v>0</v>
          </cell>
          <cell r="BW45" t="e">
            <v>#DIV/0!</v>
          </cell>
          <cell r="BX45">
            <v>0</v>
          </cell>
          <cell r="BY45">
            <v>0</v>
          </cell>
          <cell r="BZ45" t="e">
            <v>#DIV/0!</v>
          </cell>
          <cell r="CA45">
            <v>0</v>
          </cell>
          <cell r="CB45">
            <v>0</v>
          </cell>
          <cell r="CC45" t="e">
            <v>#DIV/0!</v>
          </cell>
          <cell r="CE45" t="str">
            <v>071 P. P.OE BUR.</v>
          </cell>
          <cell r="CF45">
            <v>0</v>
          </cell>
          <cell r="CG45">
            <v>0</v>
          </cell>
          <cell r="CH45" t="e">
            <v>#DIV/0!</v>
          </cell>
          <cell r="CI45">
            <v>0</v>
          </cell>
          <cell r="CJ45">
            <v>0</v>
          </cell>
          <cell r="CK45" t="e">
            <v>#DIV/0!</v>
          </cell>
          <cell r="CL45">
            <v>0</v>
          </cell>
          <cell r="CM45">
            <v>0</v>
          </cell>
          <cell r="CN45" t="e">
            <v>#DIV/0!</v>
          </cell>
          <cell r="CO45">
            <v>0</v>
          </cell>
          <cell r="CP45">
            <v>0</v>
          </cell>
          <cell r="CQ45" t="e">
            <v>#DIV/0!</v>
          </cell>
          <cell r="CR45">
            <v>0</v>
          </cell>
          <cell r="CS45">
            <v>0</v>
          </cell>
          <cell r="CT45" t="e">
            <v>#DIV/0!</v>
          </cell>
          <cell r="CV45" t="str">
            <v>071 P. P.OE BUR.</v>
          </cell>
          <cell r="CW45">
            <v>0</v>
          </cell>
          <cell r="CX45">
            <v>0</v>
          </cell>
          <cell r="CY45" t="e">
            <v>#DIV/0!</v>
          </cell>
          <cell r="CZ45">
            <v>0</v>
          </cell>
          <cell r="DA45">
            <v>0</v>
          </cell>
          <cell r="DB45" t="e">
            <v>#DIV/0!</v>
          </cell>
          <cell r="DC45">
            <v>0</v>
          </cell>
          <cell r="DD45">
            <v>0</v>
          </cell>
          <cell r="DE45" t="e">
            <v>#DIV/0!</v>
          </cell>
          <cell r="DF45">
            <v>0</v>
          </cell>
          <cell r="DG45">
            <v>0</v>
          </cell>
          <cell r="DH45" t="e">
            <v>#DIV/0!</v>
          </cell>
          <cell r="DJ45" t="str">
            <v>071 P. P.OE BUR.</v>
          </cell>
          <cell r="DK45">
            <v>0</v>
          </cell>
          <cell r="DL45">
            <v>0</v>
          </cell>
          <cell r="DM45" t="e">
            <v>#DIV/0!</v>
          </cell>
          <cell r="DN45">
            <v>0</v>
          </cell>
          <cell r="DO45">
            <v>0</v>
          </cell>
          <cell r="DP45" t="e">
            <v>#DIV/0!</v>
          </cell>
          <cell r="DQ45">
            <v>0</v>
          </cell>
          <cell r="DR45">
            <v>0</v>
          </cell>
          <cell r="DS45" t="e">
            <v>#DIV/0!</v>
          </cell>
          <cell r="DT45">
            <v>0</v>
          </cell>
          <cell r="DU45">
            <v>0</v>
          </cell>
          <cell r="DV45" t="e">
            <v>#DIV/0!</v>
          </cell>
          <cell r="DX45" t="str">
            <v>071 P. P.OE BUR.</v>
          </cell>
          <cell r="DY45">
            <v>0</v>
          </cell>
          <cell r="DZ45">
            <v>0</v>
          </cell>
          <cell r="EA45" t="e">
            <v>#DIV/0!</v>
          </cell>
          <cell r="EB45">
            <v>0</v>
          </cell>
          <cell r="EC45">
            <v>0</v>
          </cell>
          <cell r="ED45" t="e">
            <v>#DIV/0!</v>
          </cell>
          <cell r="EE45">
            <v>0</v>
          </cell>
          <cell r="EF45">
            <v>0</v>
          </cell>
          <cell r="EG45" t="e">
            <v>#DIV/0!</v>
          </cell>
          <cell r="EH45">
            <v>0</v>
          </cell>
          <cell r="EI45">
            <v>0</v>
          </cell>
          <cell r="EJ45" t="e">
            <v>#DIV/0!</v>
          </cell>
          <cell r="EK45">
            <v>0</v>
          </cell>
          <cell r="EL45">
            <v>0</v>
          </cell>
          <cell r="EM45" t="e">
            <v>#DIV/0!</v>
          </cell>
          <cell r="EO45" t="str">
            <v>071 P. P.OE BUR.</v>
          </cell>
          <cell r="EP45">
            <v>0</v>
          </cell>
          <cell r="EQ45">
            <v>0</v>
          </cell>
          <cell r="ER45" t="e">
            <v>#DIV/0!</v>
          </cell>
          <cell r="ES45">
            <v>0</v>
          </cell>
          <cell r="ET45">
            <v>0</v>
          </cell>
          <cell r="EU45" t="e">
            <v>#DIV/0!</v>
          </cell>
          <cell r="EV45">
            <v>0</v>
          </cell>
          <cell r="EW45">
            <v>0</v>
          </cell>
          <cell r="EX45" t="e">
            <v>#DIV/0!</v>
          </cell>
          <cell r="EY45">
            <v>0</v>
          </cell>
          <cell r="EZ45">
            <v>0</v>
          </cell>
          <cell r="FA45" t="e">
            <v>#DIV/0!</v>
          </cell>
          <cell r="FC45" t="str">
            <v>071 P. P.OE BUR.</v>
          </cell>
          <cell r="FD45">
            <v>0</v>
          </cell>
          <cell r="FE45">
            <v>0</v>
          </cell>
          <cell r="FF45" t="e">
            <v>#DIV/0!</v>
          </cell>
          <cell r="FG45">
            <v>0</v>
          </cell>
          <cell r="FH45">
            <v>0</v>
          </cell>
          <cell r="FI45" t="e">
            <v>#DIV/0!</v>
          </cell>
          <cell r="FJ45">
            <v>0</v>
          </cell>
          <cell r="FK45">
            <v>0</v>
          </cell>
          <cell r="FL45" t="e">
            <v>#DIV/0!</v>
          </cell>
          <cell r="FM45">
            <v>0</v>
          </cell>
          <cell r="FN45">
            <v>0</v>
          </cell>
          <cell r="FO45" t="e">
            <v>#DIV/0!</v>
          </cell>
          <cell r="FP45">
            <v>0</v>
          </cell>
          <cell r="FQ45">
            <v>0</v>
          </cell>
          <cell r="FR45" t="e">
            <v>#DIV/0!</v>
          </cell>
        </row>
        <row r="46">
          <cell r="AZ46" t="str">
            <v>072 P. P. OE JOUR</v>
          </cell>
          <cell r="BA46">
            <v>0</v>
          </cell>
          <cell r="BB46">
            <v>0</v>
          </cell>
          <cell r="BC46" t="e">
            <v>#DIV/0!</v>
          </cell>
          <cell r="BD46">
            <v>0</v>
          </cell>
          <cell r="BE46">
            <v>0</v>
          </cell>
          <cell r="BF46" t="e">
            <v>#DIV/0!</v>
          </cell>
          <cell r="BG46">
            <v>0</v>
          </cell>
          <cell r="BH46">
            <v>0</v>
          </cell>
          <cell r="BI46" t="e">
            <v>#DIV/0!</v>
          </cell>
          <cell r="BJ46">
            <v>0</v>
          </cell>
          <cell r="BK46">
            <v>0</v>
          </cell>
          <cell r="BL46" t="e">
            <v>#DIV/0!</v>
          </cell>
          <cell r="BN46" t="str">
            <v>072 P. P. OE JOUR</v>
          </cell>
          <cell r="BO46">
            <v>0</v>
          </cell>
          <cell r="BP46">
            <v>0</v>
          </cell>
          <cell r="BQ46" t="e">
            <v>#DIV/0!</v>
          </cell>
          <cell r="BR46">
            <v>0</v>
          </cell>
          <cell r="BS46">
            <v>0</v>
          </cell>
          <cell r="BT46" t="e">
            <v>#DIV/0!</v>
          </cell>
          <cell r="BU46">
            <v>0</v>
          </cell>
          <cell r="BV46">
            <v>0</v>
          </cell>
          <cell r="BW46" t="e">
            <v>#DIV/0!</v>
          </cell>
          <cell r="BX46">
            <v>0</v>
          </cell>
          <cell r="BY46">
            <v>0</v>
          </cell>
          <cell r="BZ46" t="e">
            <v>#DIV/0!</v>
          </cell>
          <cell r="CA46">
            <v>0</v>
          </cell>
          <cell r="CB46">
            <v>0</v>
          </cell>
          <cell r="CC46" t="e">
            <v>#DIV/0!</v>
          </cell>
          <cell r="CE46" t="str">
            <v>072 P. P. OE JOUR</v>
          </cell>
          <cell r="CF46">
            <v>0</v>
          </cell>
          <cell r="CG46">
            <v>0</v>
          </cell>
          <cell r="CH46" t="e">
            <v>#DIV/0!</v>
          </cell>
          <cell r="CI46">
            <v>1028</v>
          </cell>
          <cell r="CJ46">
            <v>684</v>
          </cell>
          <cell r="CK46">
            <v>66.536964980544738</v>
          </cell>
          <cell r="CL46">
            <v>0</v>
          </cell>
          <cell r="CM46">
            <v>0</v>
          </cell>
          <cell r="CN46" t="e">
            <v>#DIV/0!</v>
          </cell>
          <cell r="CO46">
            <v>0</v>
          </cell>
          <cell r="CP46">
            <v>0</v>
          </cell>
          <cell r="CQ46" t="e">
            <v>#DIV/0!</v>
          </cell>
          <cell r="CR46">
            <v>1028</v>
          </cell>
          <cell r="CS46">
            <v>684</v>
          </cell>
          <cell r="CT46">
            <v>66.536964980544738</v>
          </cell>
          <cell r="CV46" t="str">
            <v>072 P. P. OE JOUR</v>
          </cell>
          <cell r="CW46">
            <v>0</v>
          </cell>
          <cell r="CX46">
            <v>0</v>
          </cell>
          <cell r="CY46" t="e">
            <v>#DIV/0!</v>
          </cell>
          <cell r="CZ46">
            <v>0</v>
          </cell>
          <cell r="DA46">
            <v>0</v>
          </cell>
          <cell r="DB46" t="e">
            <v>#DIV/0!</v>
          </cell>
          <cell r="DC46">
            <v>0</v>
          </cell>
          <cell r="DD46">
            <v>0</v>
          </cell>
          <cell r="DE46" t="e">
            <v>#DIV/0!</v>
          </cell>
          <cell r="DF46">
            <v>0</v>
          </cell>
          <cell r="DG46">
            <v>0</v>
          </cell>
          <cell r="DH46" t="e">
            <v>#DIV/0!</v>
          </cell>
          <cell r="DJ46" t="str">
            <v>072 P. P. OE JOUR</v>
          </cell>
          <cell r="DK46">
            <v>13205</v>
          </cell>
          <cell r="DL46">
            <v>12276</v>
          </cell>
          <cell r="DM46">
            <v>92.964786065884127</v>
          </cell>
          <cell r="DN46">
            <v>0</v>
          </cell>
          <cell r="DO46">
            <v>0</v>
          </cell>
          <cell r="DP46" t="e">
            <v>#DIV/0!</v>
          </cell>
          <cell r="DQ46">
            <v>0</v>
          </cell>
          <cell r="DR46">
            <v>0</v>
          </cell>
          <cell r="DS46" t="e">
            <v>#DIV/0!</v>
          </cell>
          <cell r="DT46">
            <v>0</v>
          </cell>
          <cell r="DU46">
            <v>0</v>
          </cell>
          <cell r="DV46" t="e">
            <v>#DIV/0!</v>
          </cell>
          <cell r="DX46" t="str">
            <v>072 P. P. OE JOUR</v>
          </cell>
          <cell r="DY46">
            <v>0</v>
          </cell>
          <cell r="DZ46">
            <v>0</v>
          </cell>
          <cell r="EA46" t="e">
            <v>#DIV/0!</v>
          </cell>
          <cell r="EB46">
            <v>0</v>
          </cell>
          <cell r="EC46">
            <v>0</v>
          </cell>
          <cell r="ED46" t="e">
            <v>#DIV/0!</v>
          </cell>
          <cell r="EE46">
            <v>33899</v>
          </cell>
          <cell r="EF46">
            <v>31524</v>
          </cell>
          <cell r="EG46">
            <v>92.993893625180675</v>
          </cell>
          <cell r="EH46">
            <v>0</v>
          </cell>
          <cell r="EI46">
            <v>0</v>
          </cell>
          <cell r="EJ46" t="e">
            <v>#DIV/0!</v>
          </cell>
          <cell r="EK46">
            <v>47104</v>
          </cell>
          <cell r="EL46">
            <v>43800</v>
          </cell>
          <cell r="EM46">
            <v>92.985733695652172</v>
          </cell>
          <cell r="EO46" t="str">
            <v>072 P. P. OE JOUR</v>
          </cell>
          <cell r="EP46">
            <v>174559</v>
          </cell>
          <cell r="EQ46">
            <v>162336</v>
          </cell>
          <cell r="ER46">
            <v>92.997782984549644</v>
          </cell>
          <cell r="ES46">
            <v>0</v>
          </cell>
          <cell r="ET46">
            <v>0</v>
          </cell>
          <cell r="EU46" t="e">
            <v>#DIV/0!</v>
          </cell>
          <cell r="EV46">
            <v>17337</v>
          </cell>
          <cell r="EW46">
            <v>16128</v>
          </cell>
          <cell r="EX46">
            <v>93.026475168714313</v>
          </cell>
          <cell r="EY46">
            <v>10780</v>
          </cell>
          <cell r="EZ46">
            <v>10020</v>
          </cell>
          <cell r="FA46">
            <v>92.949907235621524</v>
          </cell>
          <cell r="FC46" t="str">
            <v>072 P. P. OE JOUR</v>
          </cell>
          <cell r="FD46">
            <v>0</v>
          </cell>
          <cell r="FE46">
            <v>0</v>
          </cell>
          <cell r="FF46" t="e">
            <v>#DIV/0!</v>
          </cell>
          <cell r="FG46">
            <v>0</v>
          </cell>
          <cell r="FH46">
            <v>0</v>
          </cell>
          <cell r="FI46" t="e">
            <v>#DIV/0!</v>
          </cell>
          <cell r="FJ46">
            <v>74528</v>
          </cell>
          <cell r="FK46">
            <v>69312</v>
          </cell>
          <cell r="FL46">
            <v>93.001288106483472</v>
          </cell>
          <cell r="FM46">
            <v>101297</v>
          </cell>
          <cell r="FN46">
            <v>94212</v>
          </cell>
          <cell r="FO46">
            <v>93.005715865227984</v>
          </cell>
          <cell r="FP46">
            <v>378501</v>
          </cell>
          <cell r="FQ46">
            <v>352008</v>
          </cell>
          <cell r="FR46">
            <v>93.000546894195793</v>
          </cell>
        </row>
        <row r="47">
          <cell r="AZ47" t="str">
            <v>073 P. P. OE FOND</v>
          </cell>
          <cell r="BA47">
            <v>0</v>
          </cell>
          <cell r="BB47">
            <v>0</v>
          </cell>
          <cell r="BC47" t="e">
            <v>#DIV/0!</v>
          </cell>
          <cell r="BD47">
            <v>52531</v>
          </cell>
          <cell r="BE47">
            <v>28896</v>
          </cell>
          <cell r="BF47">
            <v>55.007519369515144</v>
          </cell>
          <cell r="BG47">
            <v>40384</v>
          </cell>
          <cell r="BH47">
            <v>22212</v>
          </cell>
          <cell r="BI47">
            <v>55.001980982567353</v>
          </cell>
          <cell r="BJ47">
            <v>32661</v>
          </cell>
          <cell r="BK47">
            <v>17964</v>
          </cell>
          <cell r="BL47">
            <v>55.001377790024797</v>
          </cell>
          <cell r="BN47" t="str">
            <v>073 P. P. OE FOND</v>
          </cell>
          <cell r="BO47">
            <v>38591</v>
          </cell>
          <cell r="BP47">
            <v>21228</v>
          </cell>
          <cell r="BQ47">
            <v>55.007644269389232</v>
          </cell>
          <cell r="BR47">
            <v>26274</v>
          </cell>
          <cell r="BS47">
            <v>14448</v>
          </cell>
          <cell r="BT47">
            <v>54.98972368120576</v>
          </cell>
          <cell r="BU47">
            <v>45455</v>
          </cell>
          <cell r="BV47">
            <v>24996</v>
          </cell>
          <cell r="BW47">
            <v>54.990650093499063</v>
          </cell>
          <cell r="BX47">
            <v>0</v>
          </cell>
          <cell r="BY47">
            <v>0</v>
          </cell>
          <cell r="BZ47" t="e">
            <v>#DIV/0!</v>
          </cell>
          <cell r="CA47">
            <v>235896</v>
          </cell>
          <cell r="CB47">
            <v>129744</v>
          </cell>
          <cell r="CC47">
            <v>55.000508698748597</v>
          </cell>
          <cell r="CE47" t="str">
            <v>073 P. P. OE FOND</v>
          </cell>
          <cell r="CF47">
            <v>112257</v>
          </cell>
          <cell r="CG47">
            <v>75216</v>
          </cell>
          <cell r="CH47">
            <v>67.003393997701693</v>
          </cell>
          <cell r="CI47">
            <v>167655</v>
          </cell>
          <cell r="CJ47">
            <v>112332</v>
          </cell>
          <cell r="CK47">
            <v>67.001878858369864</v>
          </cell>
          <cell r="CL47">
            <v>0</v>
          </cell>
          <cell r="CM47">
            <v>0</v>
          </cell>
          <cell r="CN47" t="e">
            <v>#DIV/0!</v>
          </cell>
          <cell r="CO47">
            <v>0</v>
          </cell>
          <cell r="CP47">
            <v>0</v>
          </cell>
          <cell r="CQ47" t="e">
            <v>#DIV/0!</v>
          </cell>
          <cell r="CR47">
            <v>279912</v>
          </cell>
          <cell r="CS47">
            <v>187548</v>
          </cell>
          <cell r="CT47">
            <v>67.002486495755804</v>
          </cell>
          <cell r="CV47" t="str">
            <v>073 P. P. OE FOND</v>
          </cell>
          <cell r="CW47">
            <v>802</v>
          </cell>
          <cell r="CX47">
            <v>744</v>
          </cell>
          <cell r="CY47">
            <v>92.768079800498754</v>
          </cell>
          <cell r="CZ47">
            <v>250650</v>
          </cell>
          <cell r="DA47">
            <v>233100</v>
          </cell>
          <cell r="DB47">
            <v>92.998204667863561</v>
          </cell>
          <cell r="DC47">
            <v>0</v>
          </cell>
          <cell r="DD47">
            <v>0</v>
          </cell>
          <cell r="DE47" t="e">
            <v>#DIV/0!</v>
          </cell>
          <cell r="DF47">
            <v>251452</v>
          </cell>
          <cell r="DG47">
            <v>233844</v>
          </cell>
          <cell r="DH47">
            <v>92.997470690231125</v>
          </cell>
          <cell r="DJ47" t="str">
            <v>073 P. P. OE FOND</v>
          </cell>
          <cell r="DK47">
            <v>425948</v>
          </cell>
          <cell r="DL47">
            <v>396132</v>
          </cell>
          <cell r="DM47">
            <v>93.000084517358928</v>
          </cell>
          <cell r="DN47">
            <v>0</v>
          </cell>
          <cell r="DO47">
            <v>0</v>
          </cell>
          <cell r="DP47" t="e">
            <v>#DIV/0!</v>
          </cell>
          <cell r="DQ47">
            <v>0</v>
          </cell>
          <cell r="DR47">
            <v>0</v>
          </cell>
          <cell r="DS47" t="e">
            <v>#DIV/0!</v>
          </cell>
          <cell r="DT47">
            <v>0</v>
          </cell>
          <cell r="DU47">
            <v>0</v>
          </cell>
          <cell r="DV47" t="e">
            <v>#DIV/0!</v>
          </cell>
          <cell r="DX47" t="str">
            <v>073 P. P. OE FOND</v>
          </cell>
          <cell r="DY47">
            <v>0</v>
          </cell>
          <cell r="DZ47">
            <v>0</v>
          </cell>
          <cell r="EA47" t="e">
            <v>#DIV/0!</v>
          </cell>
          <cell r="EB47">
            <v>0</v>
          </cell>
          <cell r="EC47">
            <v>0</v>
          </cell>
          <cell r="ED47" t="e">
            <v>#DIV/0!</v>
          </cell>
          <cell r="EE47">
            <v>123619</v>
          </cell>
          <cell r="EF47">
            <v>114960</v>
          </cell>
          <cell r="EG47">
            <v>92.995413326430395</v>
          </cell>
          <cell r="EH47">
            <v>97843</v>
          </cell>
          <cell r="EI47">
            <v>90996</v>
          </cell>
          <cell r="EJ47">
            <v>93.002054311499037</v>
          </cell>
          <cell r="EK47">
            <v>647410</v>
          </cell>
          <cell r="EL47">
            <v>602088</v>
          </cell>
          <cell r="EM47">
            <v>92.999490276640771</v>
          </cell>
          <cell r="EO47" t="str">
            <v>073 P. P. OE FOND</v>
          </cell>
          <cell r="EP47">
            <v>42254</v>
          </cell>
          <cell r="EQ47">
            <v>39300</v>
          </cell>
          <cell r="ER47">
            <v>93.008945898613149</v>
          </cell>
          <cell r="ES47">
            <v>0</v>
          </cell>
          <cell r="ET47">
            <v>0</v>
          </cell>
          <cell r="EU47" t="e">
            <v>#DIV/0!</v>
          </cell>
          <cell r="EV47">
            <v>4033</v>
          </cell>
          <cell r="EW47">
            <v>3756</v>
          </cell>
          <cell r="EX47">
            <v>93.131663773865611</v>
          </cell>
          <cell r="EY47">
            <v>0</v>
          </cell>
          <cell r="EZ47">
            <v>0</v>
          </cell>
          <cell r="FA47" t="e">
            <v>#DIV/0!</v>
          </cell>
          <cell r="FC47" t="str">
            <v>073 P. P. OE FOND</v>
          </cell>
          <cell r="FD47">
            <v>0</v>
          </cell>
          <cell r="FE47">
            <v>0</v>
          </cell>
          <cell r="FF47" t="e">
            <v>#DIV/0!</v>
          </cell>
          <cell r="FG47">
            <v>0</v>
          </cell>
          <cell r="FH47">
            <v>0</v>
          </cell>
          <cell r="FI47" t="e">
            <v>#DIV/0!</v>
          </cell>
          <cell r="FJ47">
            <v>10760</v>
          </cell>
          <cell r="FK47">
            <v>10008</v>
          </cell>
          <cell r="FL47">
            <v>93.011152416356879</v>
          </cell>
          <cell r="FM47">
            <v>69032</v>
          </cell>
          <cell r="FN47">
            <v>64200</v>
          </cell>
          <cell r="FO47">
            <v>93.000347664851077</v>
          </cell>
          <cell r="FP47">
            <v>126079</v>
          </cell>
          <cell r="FQ47">
            <v>117264</v>
          </cell>
          <cell r="FR47">
            <v>93.00835190634443</v>
          </cell>
        </row>
        <row r="48">
          <cell r="AZ48" t="str">
            <v>075 P. P.TAMCA</v>
          </cell>
          <cell r="BA48">
            <v>0</v>
          </cell>
          <cell r="BB48">
            <v>0</v>
          </cell>
          <cell r="BC48" t="e">
            <v>#DIV/0!</v>
          </cell>
          <cell r="BD48">
            <v>3960</v>
          </cell>
          <cell r="BE48">
            <v>2184</v>
          </cell>
          <cell r="BF48">
            <v>55.151515151515149</v>
          </cell>
          <cell r="BG48">
            <v>544</v>
          </cell>
          <cell r="BH48">
            <v>300</v>
          </cell>
          <cell r="BI48">
            <v>55.147058823529413</v>
          </cell>
          <cell r="BJ48">
            <v>13656</v>
          </cell>
          <cell r="BK48">
            <v>7512</v>
          </cell>
          <cell r="BL48">
            <v>55.008787346221446</v>
          </cell>
          <cell r="BN48" t="str">
            <v>075 P. P.TAMCA</v>
          </cell>
          <cell r="BO48">
            <v>7570</v>
          </cell>
          <cell r="BP48">
            <v>4164</v>
          </cell>
          <cell r="BQ48">
            <v>55.006605019815055</v>
          </cell>
          <cell r="BR48">
            <v>2897</v>
          </cell>
          <cell r="BS48">
            <v>1596</v>
          </cell>
          <cell r="BT48">
            <v>55.091473938557122</v>
          </cell>
          <cell r="BU48">
            <v>11686</v>
          </cell>
          <cell r="BV48">
            <v>6432</v>
          </cell>
          <cell r="BW48">
            <v>55.040219065548527</v>
          </cell>
          <cell r="BX48">
            <v>0</v>
          </cell>
          <cell r="BY48">
            <v>0</v>
          </cell>
          <cell r="BZ48" t="e">
            <v>#DIV/0!</v>
          </cell>
          <cell r="CA48">
            <v>40313</v>
          </cell>
          <cell r="CB48">
            <v>22188</v>
          </cell>
          <cell r="CC48">
            <v>55.039317341800412</v>
          </cell>
          <cell r="CE48" t="str">
            <v>075 P. P.TAMCA</v>
          </cell>
          <cell r="CF48">
            <v>24425</v>
          </cell>
          <cell r="CG48">
            <v>16368</v>
          </cell>
          <cell r="CH48">
            <v>67.013306038894569</v>
          </cell>
          <cell r="CI48">
            <v>36476</v>
          </cell>
          <cell r="CJ48">
            <v>24444</v>
          </cell>
          <cell r="CK48">
            <v>67.013926965676063</v>
          </cell>
          <cell r="CL48">
            <v>0</v>
          </cell>
          <cell r="CM48">
            <v>0</v>
          </cell>
          <cell r="CN48" t="e">
            <v>#DIV/0!</v>
          </cell>
          <cell r="CO48">
            <v>0</v>
          </cell>
          <cell r="CP48">
            <v>0</v>
          </cell>
          <cell r="CQ48" t="e">
            <v>#DIV/0!</v>
          </cell>
          <cell r="CR48">
            <v>60901</v>
          </cell>
          <cell r="CS48">
            <v>40812</v>
          </cell>
          <cell r="CT48">
            <v>67.013677936322878</v>
          </cell>
          <cell r="CV48" t="str">
            <v>075 P. P.TAMCA</v>
          </cell>
          <cell r="CW48">
            <v>0</v>
          </cell>
          <cell r="CX48">
            <v>0</v>
          </cell>
          <cell r="CY48" t="e">
            <v>#DIV/0!</v>
          </cell>
          <cell r="CZ48">
            <v>6483</v>
          </cell>
          <cell r="DA48">
            <v>6024</v>
          </cell>
          <cell r="DB48">
            <v>92.9199444701527</v>
          </cell>
          <cell r="DC48">
            <v>0</v>
          </cell>
          <cell r="DD48">
            <v>0</v>
          </cell>
          <cell r="DE48" t="e">
            <v>#DIV/0!</v>
          </cell>
          <cell r="DF48">
            <v>6483</v>
          </cell>
          <cell r="DG48">
            <v>6024</v>
          </cell>
          <cell r="DH48">
            <v>92.9199444701527</v>
          </cell>
          <cell r="DJ48" t="str">
            <v>075 P. P.TAMCA</v>
          </cell>
          <cell r="DK48">
            <v>48116</v>
          </cell>
          <cell r="DL48">
            <v>44748</v>
          </cell>
          <cell r="DM48">
            <v>93.000249397289878</v>
          </cell>
          <cell r="DN48">
            <v>0</v>
          </cell>
          <cell r="DO48">
            <v>0</v>
          </cell>
          <cell r="DP48" t="e">
            <v>#DIV/0!</v>
          </cell>
          <cell r="DQ48">
            <v>0</v>
          </cell>
          <cell r="DR48">
            <v>0</v>
          </cell>
          <cell r="DS48" t="e">
            <v>#DIV/0!</v>
          </cell>
          <cell r="DT48">
            <v>0</v>
          </cell>
          <cell r="DU48">
            <v>0</v>
          </cell>
          <cell r="DV48" t="e">
            <v>#DIV/0!</v>
          </cell>
          <cell r="DX48" t="str">
            <v>075 P. P.TAMCA</v>
          </cell>
          <cell r="DY48">
            <v>0</v>
          </cell>
          <cell r="DZ48">
            <v>0</v>
          </cell>
          <cell r="EA48" t="e">
            <v>#DIV/0!</v>
          </cell>
          <cell r="EB48">
            <v>0</v>
          </cell>
          <cell r="EC48">
            <v>0</v>
          </cell>
          <cell r="ED48" t="e">
            <v>#DIV/0!</v>
          </cell>
          <cell r="EE48">
            <v>15459</v>
          </cell>
          <cell r="EF48">
            <v>14376</v>
          </cell>
          <cell r="EG48">
            <v>92.994372210362897</v>
          </cell>
          <cell r="EH48">
            <v>39844</v>
          </cell>
          <cell r="EI48">
            <v>37056</v>
          </cell>
          <cell r="EJ48">
            <v>93.00271057122778</v>
          </cell>
          <cell r="EK48">
            <v>103419</v>
          </cell>
          <cell r="EL48">
            <v>96180</v>
          </cell>
          <cell r="EM48">
            <v>93.000319090302554</v>
          </cell>
          <cell r="EO48" t="str">
            <v>075 P. P.TAMCA</v>
          </cell>
          <cell r="EP48">
            <v>36553</v>
          </cell>
          <cell r="EQ48">
            <v>33996</v>
          </cell>
          <cell r="ER48">
            <v>93.004678138593277</v>
          </cell>
          <cell r="ES48">
            <v>0</v>
          </cell>
          <cell r="ET48">
            <v>0</v>
          </cell>
          <cell r="EU48" t="e">
            <v>#DIV/0!</v>
          </cell>
          <cell r="EV48">
            <v>0</v>
          </cell>
          <cell r="EW48">
            <v>0</v>
          </cell>
          <cell r="EX48" t="e">
            <v>#DIV/0!</v>
          </cell>
          <cell r="EY48">
            <v>11382</v>
          </cell>
          <cell r="EZ48">
            <v>10584</v>
          </cell>
          <cell r="FA48">
            <v>92.988929889298888</v>
          </cell>
          <cell r="FC48" t="str">
            <v>075 P. P.TAMCA</v>
          </cell>
          <cell r="FD48">
            <v>0</v>
          </cell>
          <cell r="FE48">
            <v>0</v>
          </cell>
          <cell r="FF48" t="e">
            <v>#DIV/0!</v>
          </cell>
          <cell r="FG48">
            <v>0</v>
          </cell>
          <cell r="FH48">
            <v>0</v>
          </cell>
          <cell r="FI48" t="e">
            <v>#DIV/0!</v>
          </cell>
          <cell r="FJ48">
            <v>10455</v>
          </cell>
          <cell r="FK48">
            <v>9720</v>
          </cell>
          <cell r="FL48">
            <v>92.969870875179339</v>
          </cell>
          <cell r="FM48">
            <v>17976</v>
          </cell>
          <cell r="FN48">
            <v>16716</v>
          </cell>
          <cell r="FO48">
            <v>92.990654205607484</v>
          </cell>
          <cell r="FP48">
            <v>76366</v>
          </cell>
          <cell r="FQ48">
            <v>71016</v>
          </cell>
          <cell r="FR48">
            <v>92.9942644632428</v>
          </cell>
        </row>
        <row r="49">
          <cell r="AZ49" t="str">
            <v>077 P..P. HC</v>
          </cell>
          <cell r="BA49">
            <v>0</v>
          </cell>
          <cell r="BB49">
            <v>0</v>
          </cell>
          <cell r="BC49" t="e">
            <v>#DIV/0!</v>
          </cell>
          <cell r="BD49">
            <v>0</v>
          </cell>
          <cell r="BE49">
            <v>0</v>
          </cell>
          <cell r="BF49" t="e">
            <v>#DIV/0!</v>
          </cell>
          <cell r="BG49">
            <v>0</v>
          </cell>
          <cell r="BH49">
            <v>0</v>
          </cell>
          <cell r="BI49" t="e">
            <v>#DIV/0!</v>
          </cell>
          <cell r="BJ49">
            <v>0</v>
          </cell>
          <cell r="BK49">
            <v>0</v>
          </cell>
          <cell r="BL49" t="e">
            <v>#DIV/0!</v>
          </cell>
          <cell r="BN49" t="str">
            <v>077 P..P. HC</v>
          </cell>
          <cell r="BO49">
            <v>0</v>
          </cell>
          <cell r="BP49">
            <v>0</v>
          </cell>
          <cell r="BQ49" t="e">
            <v>#DIV/0!</v>
          </cell>
          <cell r="BR49">
            <v>0</v>
          </cell>
          <cell r="BS49">
            <v>0</v>
          </cell>
          <cell r="BT49" t="e">
            <v>#DIV/0!</v>
          </cell>
          <cell r="BU49">
            <v>0</v>
          </cell>
          <cell r="BV49">
            <v>0</v>
          </cell>
          <cell r="BW49" t="e">
            <v>#DIV/0!</v>
          </cell>
          <cell r="BX49">
            <v>0</v>
          </cell>
          <cell r="BY49">
            <v>0</v>
          </cell>
          <cell r="BZ49" t="e">
            <v>#DIV/0!</v>
          </cell>
          <cell r="CA49">
            <v>0</v>
          </cell>
          <cell r="CB49">
            <v>0</v>
          </cell>
          <cell r="CC49" t="e">
            <v>#DIV/0!</v>
          </cell>
          <cell r="CE49" t="str">
            <v>077 P..P. HC</v>
          </cell>
          <cell r="CF49">
            <v>0</v>
          </cell>
          <cell r="CG49">
            <v>0</v>
          </cell>
          <cell r="CH49" t="e">
            <v>#DIV/0!</v>
          </cell>
          <cell r="CI49">
            <v>0</v>
          </cell>
          <cell r="CJ49">
            <v>0</v>
          </cell>
          <cell r="CK49" t="e">
            <v>#DIV/0!</v>
          </cell>
          <cell r="CL49">
            <v>0</v>
          </cell>
          <cell r="CM49">
            <v>0</v>
          </cell>
          <cell r="CN49" t="e">
            <v>#DIV/0!</v>
          </cell>
          <cell r="CO49">
            <v>0</v>
          </cell>
          <cell r="CP49">
            <v>0</v>
          </cell>
          <cell r="CQ49" t="e">
            <v>#DIV/0!</v>
          </cell>
          <cell r="CR49">
            <v>0</v>
          </cell>
          <cell r="CS49">
            <v>0</v>
          </cell>
          <cell r="CT49" t="e">
            <v>#DIV/0!</v>
          </cell>
          <cell r="CV49" t="str">
            <v>077 P..P. HC</v>
          </cell>
          <cell r="CW49">
            <v>0</v>
          </cell>
          <cell r="CX49">
            <v>0</v>
          </cell>
          <cell r="CY49" t="e">
            <v>#DIV/0!</v>
          </cell>
          <cell r="CZ49">
            <v>0</v>
          </cell>
          <cell r="DA49">
            <v>0</v>
          </cell>
          <cell r="DB49" t="e">
            <v>#DIV/0!</v>
          </cell>
          <cell r="DC49">
            <v>0</v>
          </cell>
          <cell r="DD49">
            <v>0</v>
          </cell>
          <cell r="DE49" t="e">
            <v>#DIV/0!</v>
          </cell>
          <cell r="DF49">
            <v>0</v>
          </cell>
          <cell r="DG49">
            <v>0</v>
          </cell>
          <cell r="DH49" t="e">
            <v>#DIV/0!</v>
          </cell>
          <cell r="DJ49" t="str">
            <v>077 P..P. HC</v>
          </cell>
          <cell r="DK49">
            <v>0</v>
          </cell>
          <cell r="DL49">
            <v>0</v>
          </cell>
          <cell r="DM49" t="e">
            <v>#DIV/0!</v>
          </cell>
          <cell r="DN49">
            <v>0</v>
          </cell>
          <cell r="DO49">
            <v>0</v>
          </cell>
          <cell r="DP49" t="e">
            <v>#DIV/0!</v>
          </cell>
          <cell r="DQ49">
            <v>0</v>
          </cell>
          <cell r="DR49">
            <v>0</v>
          </cell>
          <cell r="DS49" t="e">
            <v>#DIV/0!</v>
          </cell>
          <cell r="DT49">
            <v>0</v>
          </cell>
          <cell r="DU49">
            <v>0</v>
          </cell>
          <cell r="DV49" t="e">
            <v>#DIV/0!</v>
          </cell>
          <cell r="DX49" t="str">
            <v>077 P..P. HC</v>
          </cell>
          <cell r="DY49">
            <v>0</v>
          </cell>
          <cell r="DZ49">
            <v>0</v>
          </cell>
          <cell r="EA49" t="e">
            <v>#DIV/0!</v>
          </cell>
          <cell r="EB49">
            <v>0</v>
          </cell>
          <cell r="EC49">
            <v>0</v>
          </cell>
          <cell r="ED49" t="e">
            <v>#DIV/0!</v>
          </cell>
          <cell r="EE49">
            <v>0</v>
          </cell>
          <cell r="EF49">
            <v>0</v>
          </cell>
          <cell r="EG49" t="e">
            <v>#DIV/0!</v>
          </cell>
          <cell r="EH49">
            <v>0</v>
          </cell>
          <cell r="EI49">
            <v>0</v>
          </cell>
          <cell r="EJ49" t="e">
            <v>#DIV/0!</v>
          </cell>
          <cell r="EK49">
            <v>0</v>
          </cell>
          <cell r="EL49">
            <v>0</v>
          </cell>
          <cell r="EM49" t="e">
            <v>#DIV/0!</v>
          </cell>
          <cell r="EO49" t="str">
            <v>077 P..P. HC</v>
          </cell>
          <cell r="EP49">
            <v>0</v>
          </cell>
          <cell r="EQ49">
            <v>0</v>
          </cell>
          <cell r="ER49" t="e">
            <v>#DIV/0!</v>
          </cell>
          <cell r="ES49">
            <v>0</v>
          </cell>
          <cell r="ET49">
            <v>0</v>
          </cell>
          <cell r="EU49" t="e">
            <v>#DIV/0!</v>
          </cell>
          <cell r="EV49">
            <v>0</v>
          </cell>
          <cell r="EW49">
            <v>0</v>
          </cell>
          <cell r="EX49" t="e">
            <v>#DIV/0!</v>
          </cell>
          <cell r="EY49">
            <v>0</v>
          </cell>
          <cell r="EZ49">
            <v>0</v>
          </cell>
          <cell r="FA49" t="e">
            <v>#DIV/0!</v>
          </cell>
          <cell r="FC49" t="str">
            <v>077 P..P. HC</v>
          </cell>
          <cell r="FD49">
            <v>0</v>
          </cell>
          <cell r="FE49">
            <v>0</v>
          </cell>
          <cell r="FF49" t="e">
            <v>#DIV/0!</v>
          </cell>
          <cell r="FG49">
            <v>0</v>
          </cell>
          <cell r="FH49">
            <v>0</v>
          </cell>
          <cell r="FI49" t="e">
            <v>#DIV/0!</v>
          </cell>
          <cell r="FJ49">
            <v>0</v>
          </cell>
          <cell r="FK49">
            <v>0</v>
          </cell>
          <cell r="FL49" t="e">
            <v>#DIV/0!</v>
          </cell>
          <cell r="FM49">
            <v>0</v>
          </cell>
          <cell r="FN49">
            <v>0</v>
          </cell>
          <cell r="FO49" t="e">
            <v>#DIV/0!</v>
          </cell>
          <cell r="FP49">
            <v>0</v>
          </cell>
          <cell r="FQ49">
            <v>0</v>
          </cell>
          <cell r="FR49" t="e">
            <v>#DIV/0!</v>
          </cell>
        </row>
        <row r="50">
          <cell r="AZ50" t="str">
            <v>079 P.P. PERS.</v>
          </cell>
          <cell r="BA50">
            <v>0</v>
          </cell>
          <cell r="BB50">
            <v>0</v>
          </cell>
          <cell r="BC50" t="e">
            <v>#DIV/0!</v>
          </cell>
          <cell r="BD50">
            <v>35347</v>
          </cell>
          <cell r="BE50">
            <v>19440</v>
          </cell>
          <cell r="BF50">
            <v>54.99759526975415</v>
          </cell>
          <cell r="BG50">
            <v>35164</v>
          </cell>
          <cell r="BH50">
            <v>19344</v>
          </cell>
          <cell r="BI50">
            <v>55.010806506654532</v>
          </cell>
          <cell r="BJ50">
            <v>28625</v>
          </cell>
          <cell r="BK50">
            <v>15744</v>
          </cell>
          <cell r="BL50">
            <v>55.000873362445411</v>
          </cell>
          <cell r="BN50" t="str">
            <v>079 P.P. PERS.</v>
          </cell>
          <cell r="BO50">
            <v>34605</v>
          </cell>
          <cell r="BP50">
            <v>19032</v>
          </cell>
          <cell r="BQ50">
            <v>54.99783268313827</v>
          </cell>
          <cell r="BR50">
            <v>24970</v>
          </cell>
          <cell r="BS50">
            <v>13728</v>
          </cell>
          <cell r="BT50">
            <v>54.977973568281932</v>
          </cell>
          <cell r="BU50">
            <v>38292</v>
          </cell>
          <cell r="BV50">
            <v>21060</v>
          </cell>
          <cell r="BW50">
            <v>54.998433093074276</v>
          </cell>
          <cell r="BX50">
            <v>0</v>
          </cell>
          <cell r="BY50">
            <v>0</v>
          </cell>
          <cell r="BZ50" t="e">
            <v>#DIV/0!</v>
          </cell>
          <cell r="CA50">
            <v>197003</v>
          </cell>
          <cell r="CB50">
            <v>108348</v>
          </cell>
          <cell r="CC50">
            <v>54.9981472363365</v>
          </cell>
          <cell r="CE50" t="str">
            <v>079 P.P. PERS.</v>
          </cell>
          <cell r="CF50">
            <v>132209</v>
          </cell>
          <cell r="CG50">
            <v>88584</v>
          </cell>
          <cell r="CH50">
            <v>67.003002821290536</v>
          </cell>
          <cell r="CI50">
            <v>180100</v>
          </cell>
          <cell r="CJ50">
            <v>120672</v>
          </cell>
          <cell r="CK50">
            <v>67.002776235424761</v>
          </cell>
          <cell r="CL50">
            <v>0</v>
          </cell>
          <cell r="CM50">
            <v>0</v>
          </cell>
          <cell r="CN50" t="e">
            <v>#DIV/0!</v>
          </cell>
          <cell r="CO50">
            <v>0</v>
          </cell>
          <cell r="CP50">
            <v>0</v>
          </cell>
          <cell r="CQ50" t="e">
            <v>#DIV/0!</v>
          </cell>
          <cell r="CR50">
            <v>312309</v>
          </cell>
          <cell r="CS50">
            <v>209256</v>
          </cell>
          <cell r="CT50">
            <v>67.002872155461418</v>
          </cell>
          <cell r="CV50" t="str">
            <v>079 P.P. PERS.</v>
          </cell>
          <cell r="CW50">
            <v>3595</v>
          </cell>
          <cell r="CX50">
            <v>3348</v>
          </cell>
          <cell r="CY50">
            <v>93.12934631432546</v>
          </cell>
          <cell r="CZ50">
            <v>70244</v>
          </cell>
          <cell r="DA50">
            <v>65328</v>
          </cell>
          <cell r="DB50">
            <v>93.001537497864589</v>
          </cell>
          <cell r="DC50">
            <v>0</v>
          </cell>
          <cell r="DD50">
            <v>0</v>
          </cell>
          <cell r="DE50" t="e">
            <v>#DIV/0!</v>
          </cell>
          <cell r="DF50">
            <v>73839</v>
          </cell>
          <cell r="DG50">
            <v>68676</v>
          </cell>
          <cell r="DH50">
            <v>93.007760126762278</v>
          </cell>
          <cell r="DJ50" t="str">
            <v>079 P.P. PERS.</v>
          </cell>
          <cell r="DK50">
            <v>135768</v>
          </cell>
          <cell r="DL50">
            <v>126264</v>
          </cell>
          <cell r="DM50">
            <v>92.999823227859295</v>
          </cell>
          <cell r="DN50">
            <v>0</v>
          </cell>
          <cell r="DO50">
            <v>0</v>
          </cell>
          <cell r="DP50" t="e">
            <v>#DIV/0!</v>
          </cell>
          <cell r="DQ50">
            <v>0</v>
          </cell>
          <cell r="DR50">
            <v>0</v>
          </cell>
          <cell r="DS50" t="e">
            <v>#DIV/0!</v>
          </cell>
          <cell r="DT50">
            <v>0</v>
          </cell>
          <cell r="DU50">
            <v>0</v>
          </cell>
          <cell r="DV50" t="e">
            <v>#DIV/0!</v>
          </cell>
          <cell r="DX50" t="str">
            <v>079 P.P. PERS.</v>
          </cell>
          <cell r="DY50">
            <v>0</v>
          </cell>
          <cell r="DZ50">
            <v>0</v>
          </cell>
          <cell r="EA50" t="e">
            <v>#DIV/0!</v>
          </cell>
          <cell r="EB50">
            <v>0</v>
          </cell>
          <cell r="EC50">
            <v>0</v>
          </cell>
          <cell r="ED50" t="e">
            <v>#DIV/0!</v>
          </cell>
          <cell r="EE50">
            <v>44413</v>
          </cell>
          <cell r="EF50">
            <v>41304</v>
          </cell>
          <cell r="EG50">
            <v>92.999797356629827</v>
          </cell>
          <cell r="EH50">
            <v>44400</v>
          </cell>
          <cell r="EI50">
            <v>41292</v>
          </cell>
          <cell r="EJ50">
            <v>93</v>
          </cell>
          <cell r="EK50">
            <v>224581</v>
          </cell>
          <cell r="EL50">
            <v>208860</v>
          </cell>
          <cell r="EM50">
            <v>92.999853059697841</v>
          </cell>
          <cell r="EO50" t="str">
            <v>079 P.P. PERS.</v>
          </cell>
          <cell r="EP50">
            <v>62150</v>
          </cell>
          <cell r="EQ50">
            <v>57804</v>
          </cell>
          <cell r="ER50">
            <v>93.007240547063546</v>
          </cell>
          <cell r="ES50">
            <v>0</v>
          </cell>
          <cell r="ET50">
            <v>0</v>
          </cell>
          <cell r="EU50" t="e">
            <v>#DIV/0!</v>
          </cell>
          <cell r="EV50">
            <v>6654</v>
          </cell>
          <cell r="EW50">
            <v>6192</v>
          </cell>
          <cell r="EX50">
            <v>93.056807935076648</v>
          </cell>
          <cell r="EY50">
            <v>5633</v>
          </cell>
          <cell r="EZ50">
            <v>5244</v>
          </cell>
          <cell r="FA50">
            <v>93.094265932895439</v>
          </cell>
          <cell r="FC50" t="str">
            <v>079 P.P. PERS.</v>
          </cell>
          <cell r="FD50">
            <v>0</v>
          </cell>
          <cell r="FE50">
            <v>0</v>
          </cell>
          <cell r="FF50" t="e">
            <v>#DIV/0!</v>
          </cell>
          <cell r="FG50">
            <v>0</v>
          </cell>
          <cell r="FH50">
            <v>0</v>
          </cell>
          <cell r="FI50" t="e">
            <v>#DIV/0!</v>
          </cell>
          <cell r="FJ50">
            <v>27493</v>
          </cell>
          <cell r="FK50">
            <v>25572</v>
          </cell>
          <cell r="FL50">
            <v>93.012766886116466</v>
          </cell>
          <cell r="FM50">
            <v>59701</v>
          </cell>
          <cell r="FN50">
            <v>55524</v>
          </cell>
          <cell r="FO50">
            <v>93.003467278605044</v>
          </cell>
          <cell r="FP50">
            <v>161631</v>
          </cell>
          <cell r="FQ50">
            <v>150336</v>
          </cell>
          <cell r="FR50">
            <v>93.011860348571744</v>
          </cell>
        </row>
        <row r="51">
          <cell r="AZ51" t="str">
            <v>085 Part Pat. rel. OS 824 TAMCA</v>
          </cell>
          <cell r="BA51">
            <v>0</v>
          </cell>
          <cell r="BB51">
            <v>0</v>
          </cell>
          <cell r="BC51" t="e">
            <v>#DIV/0!</v>
          </cell>
          <cell r="BD51">
            <v>19382</v>
          </cell>
          <cell r="BE51">
            <v>10656</v>
          </cell>
          <cell r="BF51">
            <v>54.978846352285629</v>
          </cell>
          <cell r="BG51">
            <v>8163</v>
          </cell>
          <cell r="BH51">
            <v>4488</v>
          </cell>
          <cell r="BI51">
            <v>54.979786843072397</v>
          </cell>
          <cell r="BJ51">
            <v>0</v>
          </cell>
          <cell r="BK51">
            <v>0</v>
          </cell>
          <cell r="BL51" t="e">
            <v>#DIV/0!</v>
          </cell>
          <cell r="BN51" t="str">
            <v>085 Part Pat. rel. OS 824 TAMCA</v>
          </cell>
          <cell r="BO51">
            <v>10800</v>
          </cell>
          <cell r="BP51">
            <v>5940</v>
          </cell>
          <cell r="BQ51">
            <v>55.000000000000007</v>
          </cell>
          <cell r="BR51">
            <v>7105</v>
          </cell>
          <cell r="BS51">
            <v>3912</v>
          </cell>
          <cell r="BT51">
            <v>55.059817030260383</v>
          </cell>
          <cell r="BU51">
            <v>1297</v>
          </cell>
          <cell r="BV51">
            <v>708</v>
          </cell>
          <cell r="BW51">
            <v>54.587509637625288</v>
          </cell>
          <cell r="BX51">
            <v>0</v>
          </cell>
          <cell r="BY51">
            <v>0</v>
          </cell>
          <cell r="BZ51" t="e">
            <v>#DIV/0!</v>
          </cell>
          <cell r="CA51">
            <v>46747</v>
          </cell>
          <cell r="CB51">
            <v>25704</v>
          </cell>
          <cell r="CC51">
            <v>54.985346653261168</v>
          </cell>
          <cell r="CE51" t="str">
            <v>085 Part Pat. rel. OS 824 TAMCA</v>
          </cell>
          <cell r="CF51">
            <v>23391</v>
          </cell>
          <cell r="CG51">
            <v>15672</v>
          </cell>
          <cell r="CH51">
            <v>67.000128254456854</v>
          </cell>
          <cell r="CI51">
            <v>39284</v>
          </cell>
          <cell r="CJ51">
            <v>26316</v>
          </cell>
          <cell r="CK51">
            <v>66.989104979126353</v>
          </cell>
          <cell r="CL51">
            <v>0</v>
          </cell>
          <cell r="CM51">
            <v>0</v>
          </cell>
          <cell r="CN51" t="e">
            <v>#DIV/0!</v>
          </cell>
          <cell r="CO51">
            <v>0</v>
          </cell>
          <cell r="CP51">
            <v>0</v>
          </cell>
          <cell r="CQ51" t="e">
            <v>#DIV/0!</v>
          </cell>
          <cell r="CR51">
            <v>62675</v>
          </cell>
          <cell r="CS51">
            <v>41988</v>
          </cell>
          <cell r="CT51">
            <v>66.993218986836851</v>
          </cell>
          <cell r="CV51" t="str">
            <v>085 Part Pat. rel. OS 824 TAMCA</v>
          </cell>
          <cell r="CW51">
            <v>0</v>
          </cell>
          <cell r="CX51">
            <v>0</v>
          </cell>
          <cell r="CY51" t="e">
            <v>#DIV/0!</v>
          </cell>
          <cell r="CZ51">
            <v>11221</v>
          </cell>
          <cell r="DA51">
            <v>10440</v>
          </cell>
          <cell r="DB51">
            <v>93.039836021744932</v>
          </cell>
          <cell r="DC51">
            <v>0</v>
          </cell>
          <cell r="DD51">
            <v>0</v>
          </cell>
          <cell r="DE51" t="e">
            <v>#DIV/0!</v>
          </cell>
          <cell r="DF51">
            <v>11221</v>
          </cell>
          <cell r="DG51">
            <v>10440</v>
          </cell>
          <cell r="DH51">
            <v>93.039836021744932</v>
          </cell>
          <cell r="DJ51" t="str">
            <v>085 Part Pat. rel. OS 824 TAMCA</v>
          </cell>
          <cell r="DK51">
            <v>27386</v>
          </cell>
          <cell r="DL51">
            <v>25464</v>
          </cell>
          <cell r="DM51">
            <v>92.981815526181251</v>
          </cell>
          <cell r="DN51">
            <v>0</v>
          </cell>
          <cell r="DO51">
            <v>0</v>
          </cell>
          <cell r="DP51" t="e">
            <v>#DIV/0!</v>
          </cell>
          <cell r="DQ51">
            <v>0</v>
          </cell>
          <cell r="DR51">
            <v>0</v>
          </cell>
          <cell r="DS51" t="e">
            <v>#DIV/0!</v>
          </cell>
          <cell r="DT51">
            <v>0</v>
          </cell>
          <cell r="DU51">
            <v>0</v>
          </cell>
          <cell r="DV51" t="e">
            <v>#DIV/0!</v>
          </cell>
          <cell r="DX51" t="str">
            <v>085 Part Pat. rel. OS 824 TAMCA</v>
          </cell>
          <cell r="DY51">
            <v>0</v>
          </cell>
          <cell r="DZ51">
            <v>0</v>
          </cell>
          <cell r="EA51" t="e">
            <v>#DIV/0!</v>
          </cell>
          <cell r="EB51">
            <v>0</v>
          </cell>
          <cell r="EC51">
            <v>0</v>
          </cell>
          <cell r="ED51" t="e">
            <v>#DIV/0!</v>
          </cell>
          <cell r="EE51">
            <v>0</v>
          </cell>
          <cell r="EF51">
            <v>0</v>
          </cell>
          <cell r="EG51" t="e">
            <v>#DIV/0!</v>
          </cell>
          <cell r="EH51">
            <v>15959</v>
          </cell>
          <cell r="EI51">
            <v>14844</v>
          </cell>
          <cell r="EJ51">
            <v>93.013346700921105</v>
          </cell>
          <cell r="EK51">
            <v>43345</v>
          </cell>
          <cell r="EL51">
            <v>40308</v>
          </cell>
          <cell r="EM51">
            <v>92.993424847156533</v>
          </cell>
          <cell r="EO51" t="str">
            <v>085 Part Pat. rel. OS 824 TAMCA</v>
          </cell>
          <cell r="EP51">
            <v>16052</v>
          </cell>
          <cell r="EQ51">
            <v>14928</v>
          </cell>
          <cell r="ER51">
            <v>92.997757288811371</v>
          </cell>
          <cell r="ES51">
            <v>0</v>
          </cell>
          <cell r="ET51">
            <v>0</v>
          </cell>
          <cell r="EU51" t="e">
            <v>#DIV/0!</v>
          </cell>
          <cell r="EV51">
            <v>0</v>
          </cell>
          <cell r="EW51">
            <v>0</v>
          </cell>
          <cell r="EX51" t="e">
            <v>#DIV/0!</v>
          </cell>
          <cell r="EY51">
            <v>0</v>
          </cell>
          <cell r="EZ51">
            <v>0</v>
          </cell>
          <cell r="FA51" t="e">
            <v>#DIV/0!</v>
          </cell>
          <cell r="FC51" t="str">
            <v>085 Part Pat. rel. OS 824 TAMCA</v>
          </cell>
          <cell r="FD51">
            <v>0</v>
          </cell>
          <cell r="FE51">
            <v>0</v>
          </cell>
          <cell r="FF51" t="e">
            <v>#DIV/0!</v>
          </cell>
          <cell r="FG51">
            <v>0</v>
          </cell>
          <cell r="FH51">
            <v>0</v>
          </cell>
          <cell r="FI51" t="e">
            <v>#DIV/0!</v>
          </cell>
          <cell r="FJ51">
            <v>37818</v>
          </cell>
          <cell r="FK51">
            <v>35172</v>
          </cell>
          <cell r="FL51">
            <v>93.003331746787239</v>
          </cell>
          <cell r="FM51">
            <v>27132</v>
          </cell>
          <cell r="FN51">
            <v>25236</v>
          </cell>
          <cell r="FO51">
            <v>93.011941618752772</v>
          </cell>
          <cell r="FP51">
            <v>81002</v>
          </cell>
          <cell r="FQ51">
            <v>75336</v>
          </cell>
          <cell r="FR51">
            <v>93.005110984913955</v>
          </cell>
        </row>
        <row r="52">
          <cell r="AZ52" t="str">
            <v>086 Part P. Rec. rel. OS 824 TAM</v>
          </cell>
          <cell r="BA52">
            <v>0</v>
          </cell>
          <cell r="BB52">
            <v>0</v>
          </cell>
          <cell r="BC52" t="e">
            <v>#DIV/0!</v>
          </cell>
          <cell r="BD52">
            <v>1732</v>
          </cell>
          <cell r="BE52">
            <v>948</v>
          </cell>
          <cell r="BF52">
            <v>54.734411085450354</v>
          </cell>
          <cell r="BG52">
            <v>1200</v>
          </cell>
          <cell r="BH52">
            <v>660</v>
          </cell>
          <cell r="BI52">
            <v>55.000000000000007</v>
          </cell>
          <cell r="BJ52">
            <v>0</v>
          </cell>
          <cell r="BK52">
            <v>0</v>
          </cell>
          <cell r="BL52" t="e">
            <v>#DIV/0!</v>
          </cell>
          <cell r="BN52" t="str">
            <v>086 Part P. Rec. rel. OS 824 TAM</v>
          </cell>
          <cell r="BO52">
            <v>408</v>
          </cell>
          <cell r="BP52">
            <v>228</v>
          </cell>
          <cell r="BQ52">
            <v>55.882352941176471</v>
          </cell>
          <cell r="BR52">
            <v>504</v>
          </cell>
          <cell r="BS52">
            <v>276</v>
          </cell>
          <cell r="BT52">
            <v>54.761904761904766</v>
          </cell>
          <cell r="BU52">
            <v>192</v>
          </cell>
          <cell r="BV52">
            <v>108</v>
          </cell>
          <cell r="BW52">
            <v>56.25</v>
          </cell>
          <cell r="BX52">
            <v>0</v>
          </cell>
          <cell r="BY52">
            <v>0</v>
          </cell>
          <cell r="BZ52" t="e">
            <v>#DIV/0!</v>
          </cell>
          <cell r="CA52">
            <v>4036</v>
          </cell>
          <cell r="CB52">
            <v>2220</v>
          </cell>
          <cell r="CC52">
            <v>55.004955401387512</v>
          </cell>
          <cell r="CE52" t="str">
            <v>086 Part P. Rec. rel. OS 824 TAM</v>
          </cell>
          <cell r="CF52">
            <v>21762</v>
          </cell>
          <cell r="CG52">
            <v>14580</v>
          </cell>
          <cell r="CH52">
            <v>66.997518610421835</v>
          </cell>
          <cell r="CI52">
            <v>4074</v>
          </cell>
          <cell r="CJ52">
            <v>2724</v>
          </cell>
          <cell r="CK52">
            <v>66.863033873343142</v>
          </cell>
          <cell r="CL52">
            <v>0</v>
          </cell>
          <cell r="CM52">
            <v>0</v>
          </cell>
          <cell r="CN52" t="e">
            <v>#DIV/0!</v>
          </cell>
          <cell r="CO52">
            <v>0</v>
          </cell>
          <cell r="CP52">
            <v>0</v>
          </cell>
          <cell r="CQ52" t="e">
            <v>#DIV/0!</v>
          </cell>
          <cell r="CR52">
            <v>25836</v>
          </cell>
          <cell r="CS52">
            <v>17304</v>
          </cell>
          <cell r="CT52">
            <v>66.976312122619603</v>
          </cell>
          <cell r="CV52" t="str">
            <v>086 Part P. Rec. rel. OS 824 TAM</v>
          </cell>
          <cell r="CW52">
            <v>0</v>
          </cell>
          <cell r="CX52">
            <v>0</v>
          </cell>
          <cell r="CY52" t="e">
            <v>#DIV/0!</v>
          </cell>
          <cell r="CZ52">
            <v>1440</v>
          </cell>
          <cell r="DA52">
            <v>1344</v>
          </cell>
          <cell r="DB52">
            <v>93.333333333333329</v>
          </cell>
          <cell r="DC52">
            <v>0</v>
          </cell>
          <cell r="DD52">
            <v>0</v>
          </cell>
          <cell r="DE52" t="e">
            <v>#DIV/0!</v>
          </cell>
          <cell r="DF52">
            <v>1440</v>
          </cell>
          <cell r="DG52">
            <v>1344</v>
          </cell>
          <cell r="DH52">
            <v>93.333333333333329</v>
          </cell>
          <cell r="DJ52" t="str">
            <v>086 Part P. Rec. rel. OS 824 TAM</v>
          </cell>
          <cell r="DK52">
            <v>22512</v>
          </cell>
          <cell r="DL52">
            <v>20940</v>
          </cell>
          <cell r="DM52">
            <v>93.017057569296384</v>
          </cell>
          <cell r="DN52">
            <v>0</v>
          </cell>
          <cell r="DO52">
            <v>0</v>
          </cell>
          <cell r="DP52" t="e">
            <v>#DIV/0!</v>
          </cell>
          <cell r="DQ52">
            <v>0</v>
          </cell>
          <cell r="DR52">
            <v>0</v>
          </cell>
          <cell r="DS52" t="e">
            <v>#DIV/0!</v>
          </cell>
          <cell r="DT52">
            <v>0</v>
          </cell>
          <cell r="DU52">
            <v>0</v>
          </cell>
          <cell r="DV52" t="e">
            <v>#DIV/0!</v>
          </cell>
          <cell r="DX52" t="str">
            <v>086 Part P. Rec. rel. OS 824 TAM</v>
          </cell>
          <cell r="DY52">
            <v>0</v>
          </cell>
          <cell r="DZ52">
            <v>0</v>
          </cell>
          <cell r="EA52" t="e">
            <v>#DIV/0!</v>
          </cell>
          <cell r="EB52">
            <v>0</v>
          </cell>
          <cell r="EC52">
            <v>0</v>
          </cell>
          <cell r="ED52" t="e">
            <v>#DIV/0!</v>
          </cell>
          <cell r="EE52">
            <v>0</v>
          </cell>
          <cell r="EF52">
            <v>0</v>
          </cell>
          <cell r="EG52" t="e">
            <v>#DIV/0!</v>
          </cell>
          <cell r="EH52">
            <v>7200</v>
          </cell>
          <cell r="EI52">
            <v>6696</v>
          </cell>
          <cell r="EJ52">
            <v>93</v>
          </cell>
          <cell r="EK52">
            <v>29712</v>
          </cell>
          <cell r="EL52">
            <v>27636</v>
          </cell>
          <cell r="EM52">
            <v>93.012924071082395</v>
          </cell>
          <cell r="EO52" t="str">
            <v>086 Part P. Rec. rel. OS 824 TAM</v>
          </cell>
          <cell r="EP52">
            <v>1302</v>
          </cell>
          <cell r="EQ52">
            <v>1212</v>
          </cell>
          <cell r="ER52">
            <v>93.087557603686633</v>
          </cell>
          <cell r="ES52">
            <v>0</v>
          </cell>
          <cell r="ET52">
            <v>0</v>
          </cell>
          <cell r="EU52" t="e">
            <v>#DIV/0!</v>
          </cell>
          <cell r="EV52">
            <v>0</v>
          </cell>
          <cell r="EW52">
            <v>0</v>
          </cell>
          <cell r="EX52" t="e">
            <v>#DIV/0!</v>
          </cell>
          <cell r="EY52">
            <v>0</v>
          </cell>
          <cell r="EZ52">
            <v>0</v>
          </cell>
          <cell r="FA52" t="e">
            <v>#DIV/0!</v>
          </cell>
          <cell r="FC52" t="str">
            <v>086 Part P. Rec. rel. OS 824 TAM</v>
          </cell>
          <cell r="FD52">
            <v>0</v>
          </cell>
          <cell r="FE52">
            <v>0</v>
          </cell>
          <cell r="FF52" t="e">
            <v>#DIV/0!</v>
          </cell>
          <cell r="FG52">
            <v>0</v>
          </cell>
          <cell r="FH52">
            <v>0</v>
          </cell>
          <cell r="FI52" t="e">
            <v>#DIV/0!</v>
          </cell>
          <cell r="FJ52">
            <v>37800</v>
          </cell>
          <cell r="FK52">
            <v>35160</v>
          </cell>
          <cell r="FL52">
            <v>93.015873015873012</v>
          </cell>
          <cell r="FM52">
            <v>26424</v>
          </cell>
          <cell r="FN52">
            <v>24576</v>
          </cell>
          <cell r="FO52">
            <v>93.006357856494091</v>
          </cell>
          <cell r="FP52">
            <v>65526</v>
          </cell>
          <cell r="FQ52">
            <v>60948</v>
          </cell>
          <cell r="FR52">
            <v>93.013460305832794</v>
          </cell>
        </row>
        <row r="53">
          <cell r="AZ53" t="str">
            <v>087 Part P. Rcar rel OS 824 TAM</v>
          </cell>
          <cell r="BA53">
            <v>0</v>
          </cell>
          <cell r="BB53">
            <v>0</v>
          </cell>
          <cell r="BC53" t="e">
            <v>#DIV/0!</v>
          </cell>
          <cell r="BD53">
            <v>0</v>
          </cell>
          <cell r="BE53">
            <v>0</v>
          </cell>
          <cell r="BF53" t="e">
            <v>#DIV/0!</v>
          </cell>
          <cell r="BG53">
            <v>0</v>
          </cell>
          <cell r="BH53">
            <v>0</v>
          </cell>
          <cell r="BI53" t="e">
            <v>#DIV/0!</v>
          </cell>
          <cell r="BJ53">
            <v>0</v>
          </cell>
          <cell r="BK53">
            <v>0</v>
          </cell>
          <cell r="BL53" t="e">
            <v>#DIV/0!</v>
          </cell>
          <cell r="BN53" t="str">
            <v>087 Part P. Rcar rel OS 824 TAM</v>
          </cell>
          <cell r="BO53">
            <v>0</v>
          </cell>
          <cell r="BP53">
            <v>0</v>
          </cell>
          <cell r="BQ53" t="e">
            <v>#DIV/0!</v>
          </cell>
          <cell r="BR53">
            <v>0</v>
          </cell>
          <cell r="BS53">
            <v>0</v>
          </cell>
          <cell r="BT53" t="e">
            <v>#DIV/0!</v>
          </cell>
          <cell r="BU53">
            <v>0</v>
          </cell>
          <cell r="BV53">
            <v>0</v>
          </cell>
          <cell r="BW53" t="e">
            <v>#DIV/0!</v>
          </cell>
          <cell r="BX53">
            <v>0</v>
          </cell>
          <cell r="BY53">
            <v>0</v>
          </cell>
          <cell r="BZ53" t="e">
            <v>#DIV/0!</v>
          </cell>
          <cell r="CA53">
            <v>0</v>
          </cell>
          <cell r="CB53">
            <v>0</v>
          </cell>
          <cell r="CC53" t="e">
            <v>#DIV/0!</v>
          </cell>
          <cell r="CE53" t="str">
            <v>087 Part P. Rcar rel OS 824 TAM</v>
          </cell>
          <cell r="CF53">
            <v>0</v>
          </cell>
          <cell r="CG53">
            <v>0</v>
          </cell>
          <cell r="CH53" t="e">
            <v>#DIV/0!</v>
          </cell>
          <cell r="CI53">
            <v>0</v>
          </cell>
          <cell r="CJ53">
            <v>0</v>
          </cell>
          <cell r="CK53" t="e">
            <v>#DIV/0!</v>
          </cell>
          <cell r="CL53">
            <v>0</v>
          </cell>
          <cell r="CM53">
            <v>0</v>
          </cell>
          <cell r="CN53" t="e">
            <v>#DIV/0!</v>
          </cell>
          <cell r="CO53">
            <v>0</v>
          </cell>
          <cell r="CP53">
            <v>0</v>
          </cell>
          <cell r="CQ53" t="e">
            <v>#DIV/0!</v>
          </cell>
          <cell r="CR53">
            <v>0</v>
          </cell>
          <cell r="CS53">
            <v>0</v>
          </cell>
          <cell r="CT53" t="e">
            <v>#DIV/0!</v>
          </cell>
          <cell r="CV53" t="str">
            <v>087 Part P. Rcar rel OS 824 TAM</v>
          </cell>
          <cell r="CW53">
            <v>0</v>
          </cell>
          <cell r="CX53">
            <v>0</v>
          </cell>
          <cell r="CY53" t="e">
            <v>#DIV/0!</v>
          </cell>
          <cell r="CZ53">
            <v>0</v>
          </cell>
          <cell r="DA53">
            <v>0</v>
          </cell>
          <cell r="DB53" t="e">
            <v>#DIV/0!</v>
          </cell>
          <cell r="DC53">
            <v>0</v>
          </cell>
          <cell r="DD53">
            <v>0</v>
          </cell>
          <cell r="DE53" t="e">
            <v>#DIV/0!</v>
          </cell>
          <cell r="DF53">
            <v>0</v>
          </cell>
          <cell r="DG53">
            <v>0</v>
          </cell>
          <cell r="DH53" t="e">
            <v>#DIV/0!</v>
          </cell>
          <cell r="DJ53" t="str">
            <v>087 Part P. Rcar rel OS 824 TAM</v>
          </cell>
          <cell r="DK53">
            <v>0</v>
          </cell>
          <cell r="DL53">
            <v>0</v>
          </cell>
          <cell r="DM53" t="e">
            <v>#DIV/0!</v>
          </cell>
          <cell r="DN53">
            <v>0</v>
          </cell>
          <cell r="DO53">
            <v>0</v>
          </cell>
          <cell r="DP53" t="e">
            <v>#DIV/0!</v>
          </cell>
          <cell r="DQ53">
            <v>0</v>
          </cell>
          <cell r="DR53">
            <v>0</v>
          </cell>
          <cell r="DS53" t="e">
            <v>#DIV/0!</v>
          </cell>
          <cell r="DT53">
            <v>0</v>
          </cell>
          <cell r="DU53">
            <v>0</v>
          </cell>
          <cell r="DV53" t="e">
            <v>#DIV/0!</v>
          </cell>
          <cell r="DX53" t="str">
            <v>087 Part P. Rcar rel OS 824 TAM</v>
          </cell>
          <cell r="DY53">
            <v>0</v>
          </cell>
          <cell r="DZ53">
            <v>0</v>
          </cell>
          <cell r="EA53" t="e">
            <v>#DIV/0!</v>
          </cell>
          <cell r="EB53">
            <v>0</v>
          </cell>
          <cell r="EC53">
            <v>0</v>
          </cell>
          <cell r="ED53" t="e">
            <v>#DIV/0!</v>
          </cell>
          <cell r="EE53">
            <v>0</v>
          </cell>
          <cell r="EF53">
            <v>0</v>
          </cell>
          <cell r="EG53" t="e">
            <v>#DIV/0!</v>
          </cell>
          <cell r="EH53">
            <v>0</v>
          </cell>
          <cell r="EI53">
            <v>0</v>
          </cell>
          <cell r="EJ53" t="e">
            <v>#DIV/0!</v>
          </cell>
          <cell r="EK53">
            <v>0</v>
          </cell>
          <cell r="EL53">
            <v>0</v>
          </cell>
          <cell r="EM53" t="e">
            <v>#DIV/0!</v>
          </cell>
          <cell r="EO53" t="str">
            <v>087 Part P. Rcar rel OS 824 TAM</v>
          </cell>
          <cell r="EP53">
            <v>0</v>
          </cell>
          <cell r="EQ53">
            <v>0</v>
          </cell>
          <cell r="ER53" t="e">
            <v>#DIV/0!</v>
          </cell>
          <cell r="ES53">
            <v>0</v>
          </cell>
          <cell r="ET53">
            <v>0</v>
          </cell>
          <cell r="EU53" t="e">
            <v>#DIV/0!</v>
          </cell>
          <cell r="EV53">
            <v>0</v>
          </cell>
          <cell r="EW53">
            <v>0</v>
          </cell>
          <cell r="EX53" t="e">
            <v>#DIV/0!</v>
          </cell>
          <cell r="EY53">
            <v>0</v>
          </cell>
          <cell r="EZ53">
            <v>0</v>
          </cell>
          <cell r="FA53" t="e">
            <v>#DIV/0!</v>
          </cell>
          <cell r="FC53" t="str">
            <v>087 Part P. Rcar rel OS 824 TAM</v>
          </cell>
          <cell r="FD53">
            <v>0</v>
          </cell>
          <cell r="FE53">
            <v>0</v>
          </cell>
          <cell r="FF53" t="e">
            <v>#DIV/0!</v>
          </cell>
          <cell r="FG53">
            <v>0</v>
          </cell>
          <cell r="FH53">
            <v>0</v>
          </cell>
          <cell r="FI53" t="e">
            <v>#DIV/0!</v>
          </cell>
          <cell r="FJ53">
            <v>0</v>
          </cell>
          <cell r="FK53">
            <v>0</v>
          </cell>
          <cell r="FL53" t="e">
            <v>#DIV/0!</v>
          </cell>
          <cell r="FM53">
            <v>0</v>
          </cell>
          <cell r="FN53">
            <v>0</v>
          </cell>
          <cell r="FO53" t="e">
            <v>#DIV/0!</v>
          </cell>
          <cell r="FP53">
            <v>0</v>
          </cell>
          <cell r="FQ53">
            <v>0</v>
          </cell>
          <cell r="FR53" t="e">
            <v>#DIV/0!</v>
          </cell>
        </row>
        <row r="54">
          <cell r="AZ54" t="str">
            <v>088 P. P. Rec. Rcar. OS 824 TAM</v>
          </cell>
          <cell r="BA54">
            <v>0</v>
          </cell>
          <cell r="BB54">
            <v>0</v>
          </cell>
          <cell r="BC54" t="e">
            <v>#DIV/0!</v>
          </cell>
          <cell r="BD54">
            <v>0</v>
          </cell>
          <cell r="BE54">
            <v>0</v>
          </cell>
          <cell r="BF54" t="e">
            <v>#DIV/0!</v>
          </cell>
          <cell r="BG54">
            <v>0</v>
          </cell>
          <cell r="BH54">
            <v>0</v>
          </cell>
          <cell r="BI54" t="e">
            <v>#DIV/0!</v>
          </cell>
          <cell r="BJ54">
            <v>0</v>
          </cell>
          <cell r="BK54">
            <v>0</v>
          </cell>
          <cell r="BL54" t="e">
            <v>#DIV/0!</v>
          </cell>
          <cell r="BN54" t="str">
            <v>088 P. P. Rec. Rcar. OS 824 TAM</v>
          </cell>
          <cell r="BO54">
            <v>0</v>
          </cell>
          <cell r="BP54">
            <v>0</v>
          </cell>
          <cell r="BQ54" t="e">
            <v>#DIV/0!</v>
          </cell>
          <cell r="BR54">
            <v>0</v>
          </cell>
          <cell r="BS54">
            <v>0</v>
          </cell>
          <cell r="BT54" t="e">
            <v>#DIV/0!</v>
          </cell>
          <cell r="BU54">
            <v>0</v>
          </cell>
          <cell r="BV54">
            <v>0</v>
          </cell>
          <cell r="BW54" t="e">
            <v>#DIV/0!</v>
          </cell>
          <cell r="BX54">
            <v>0</v>
          </cell>
          <cell r="BY54">
            <v>0</v>
          </cell>
          <cell r="BZ54" t="e">
            <v>#DIV/0!</v>
          </cell>
          <cell r="CA54">
            <v>0</v>
          </cell>
          <cell r="CB54">
            <v>0</v>
          </cell>
          <cell r="CC54" t="e">
            <v>#DIV/0!</v>
          </cell>
          <cell r="CE54" t="str">
            <v>088 P. P. Rec. Rcar. OS 824 TAM</v>
          </cell>
          <cell r="CF54">
            <v>0</v>
          </cell>
          <cell r="CG54">
            <v>0</v>
          </cell>
          <cell r="CH54" t="e">
            <v>#DIV/0!</v>
          </cell>
          <cell r="CI54">
            <v>0</v>
          </cell>
          <cell r="CJ54">
            <v>0</v>
          </cell>
          <cell r="CK54" t="e">
            <v>#DIV/0!</v>
          </cell>
          <cell r="CL54">
            <v>0</v>
          </cell>
          <cell r="CM54">
            <v>0</v>
          </cell>
          <cell r="CN54" t="e">
            <v>#DIV/0!</v>
          </cell>
          <cell r="CO54">
            <v>0</v>
          </cell>
          <cell r="CP54">
            <v>0</v>
          </cell>
          <cell r="CQ54" t="e">
            <v>#DIV/0!</v>
          </cell>
          <cell r="CR54">
            <v>0</v>
          </cell>
          <cell r="CS54">
            <v>0</v>
          </cell>
          <cell r="CT54" t="e">
            <v>#DIV/0!</v>
          </cell>
          <cell r="CV54" t="str">
            <v>088 P. P. Rec. Rcar. OS 824 TAM</v>
          </cell>
          <cell r="CW54">
            <v>0</v>
          </cell>
          <cell r="CX54">
            <v>0</v>
          </cell>
          <cell r="CY54" t="e">
            <v>#DIV/0!</v>
          </cell>
          <cell r="CZ54">
            <v>0</v>
          </cell>
          <cell r="DA54">
            <v>0</v>
          </cell>
          <cell r="DB54" t="e">
            <v>#DIV/0!</v>
          </cell>
          <cell r="DC54">
            <v>0</v>
          </cell>
          <cell r="DD54">
            <v>0</v>
          </cell>
          <cell r="DE54" t="e">
            <v>#DIV/0!</v>
          </cell>
          <cell r="DF54">
            <v>0</v>
          </cell>
          <cell r="DG54">
            <v>0</v>
          </cell>
          <cell r="DH54" t="e">
            <v>#DIV/0!</v>
          </cell>
          <cell r="DJ54" t="str">
            <v>088 P. P. Rec. Rcar. OS 824 TAM</v>
          </cell>
          <cell r="DK54">
            <v>0</v>
          </cell>
          <cell r="DL54">
            <v>0</v>
          </cell>
          <cell r="DM54" t="e">
            <v>#DIV/0!</v>
          </cell>
          <cell r="DN54">
            <v>0</v>
          </cell>
          <cell r="DO54">
            <v>0</v>
          </cell>
          <cell r="DP54" t="e">
            <v>#DIV/0!</v>
          </cell>
          <cell r="DQ54">
            <v>0</v>
          </cell>
          <cell r="DR54">
            <v>0</v>
          </cell>
          <cell r="DS54" t="e">
            <v>#DIV/0!</v>
          </cell>
          <cell r="DT54">
            <v>0</v>
          </cell>
          <cell r="DU54">
            <v>0</v>
          </cell>
          <cell r="DV54" t="e">
            <v>#DIV/0!</v>
          </cell>
          <cell r="DX54" t="str">
            <v>088 P. P. Rec. Rcar. OS 824 TAM</v>
          </cell>
          <cell r="DY54">
            <v>0</v>
          </cell>
          <cell r="DZ54">
            <v>0</v>
          </cell>
          <cell r="EA54" t="e">
            <v>#DIV/0!</v>
          </cell>
          <cell r="EB54">
            <v>0</v>
          </cell>
          <cell r="EC54">
            <v>0</v>
          </cell>
          <cell r="ED54" t="e">
            <v>#DIV/0!</v>
          </cell>
          <cell r="EE54">
            <v>0</v>
          </cell>
          <cell r="EF54">
            <v>0</v>
          </cell>
          <cell r="EG54" t="e">
            <v>#DIV/0!</v>
          </cell>
          <cell r="EH54">
            <v>0</v>
          </cell>
          <cell r="EI54">
            <v>0</v>
          </cell>
          <cell r="EJ54" t="e">
            <v>#DIV/0!</v>
          </cell>
          <cell r="EK54">
            <v>0</v>
          </cell>
          <cell r="EL54">
            <v>0</v>
          </cell>
          <cell r="EM54" t="e">
            <v>#DIV/0!</v>
          </cell>
          <cell r="EO54" t="str">
            <v>088 P. P. Rec. Rcar. OS 824 TAM</v>
          </cell>
          <cell r="EP54">
            <v>0</v>
          </cell>
          <cell r="EQ54">
            <v>0</v>
          </cell>
          <cell r="ER54" t="e">
            <v>#DIV/0!</v>
          </cell>
          <cell r="ES54">
            <v>0</v>
          </cell>
          <cell r="ET54">
            <v>0</v>
          </cell>
          <cell r="EU54" t="e">
            <v>#DIV/0!</v>
          </cell>
          <cell r="EV54">
            <v>0</v>
          </cell>
          <cell r="EW54">
            <v>0</v>
          </cell>
          <cell r="EX54" t="e">
            <v>#DIV/0!</v>
          </cell>
          <cell r="EY54">
            <v>0</v>
          </cell>
          <cell r="EZ54">
            <v>0</v>
          </cell>
          <cell r="FA54" t="e">
            <v>#DIV/0!</v>
          </cell>
          <cell r="FC54" t="str">
            <v>088 P. P. Rec. Rcar. OS 824 TAM</v>
          </cell>
          <cell r="FD54">
            <v>0</v>
          </cell>
          <cell r="FE54">
            <v>0</v>
          </cell>
          <cell r="FF54" t="e">
            <v>#DIV/0!</v>
          </cell>
          <cell r="FG54">
            <v>0</v>
          </cell>
          <cell r="FH54">
            <v>0</v>
          </cell>
          <cell r="FI54" t="e">
            <v>#DIV/0!</v>
          </cell>
          <cell r="FJ54">
            <v>0</v>
          </cell>
          <cell r="FK54">
            <v>0</v>
          </cell>
          <cell r="FL54" t="e">
            <v>#DIV/0!</v>
          </cell>
          <cell r="FM54">
            <v>0</v>
          </cell>
          <cell r="FN54">
            <v>0</v>
          </cell>
          <cell r="FO54" t="e">
            <v>#DIV/0!</v>
          </cell>
          <cell r="FP54">
            <v>0</v>
          </cell>
          <cell r="FQ54">
            <v>0</v>
          </cell>
          <cell r="FR54" t="e">
            <v>#DIV/0!</v>
          </cell>
        </row>
        <row r="55">
          <cell r="AZ55" t="str">
            <v>0* T. SALAIRE</v>
          </cell>
          <cell r="BA55">
            <v>0</v>
          </cell>
          <cell r="BB55">
            <v>0</v>
          </cell>
          <cell r="BC55" t="e">
            <v>#DIV/0!</v>
          </cell>
          <cell r="BD55">
            <v>2046703</v>
          </cell>
          <cell r="BE55">
            <v>1125684</v>
          </cell>
          <cell r="BF55">
            <v>54.999870523471159</v>
          </cell>
          <cell r="BG55">
            <v>1938857</v>
          </cell>
          <cell r="BH55">
            <v>1066392</v>
          </cell>
          <cell r="BI55">
            <v>55.001065060496977</v>
          </cell>
          <cell r="BJ55">
            <v>1666667</v>
          </cell>
          <cell r="BK55">
            <v>916680</v>
          </cell>
          <cell r="BL55">
            <v>55.0007889998422</v>
          </cell>
          <cell r="BN55" t="str">
            <v>0* T. SALAIRE</v>
          </cell>
          <cell r="BO55">
            <v>1943978</v>
          </cell>
          <cell r="BP55">
            <v>1069212</v>
          </cell>
          <cell r="BQ55">
            <v>55.001239725963977</v>
          </cell>
          <cell r="BR55">
            <v>1475367</v>
          </cell>
          <cell r="BS55">
            <v>811416</v>
          </cell>
          <cell r="BT55">
            <v>54.997570096118451</v>
          </cell>
          <cell r="BU55">
            <v>2014429</v>
          </cell>
          <cell r="BV55">
            <v>1107924</v>
          </cell>
          <cell r="BW55">
            <v>54.999406779787229</v>
          </cell>
          <cell r="BX55">
            <v>0</v>
          </cell>
          <cell r="BY55">
            <v>0</v>
          </cell>
          <cell r="BZ55" t="e">
            <v>#DIV/0!</v>
          </cell>
          <cell r="CA55">
            <v>11086001</v>
          </cell>
          <cell r="CB55">
            <v>6097308</v>
          </cell>
          <cell r="CC55">
            <v>55.000067201870174</v>
          </cell>
          <cell r="CE55" t="str">
            <v>0* T. SALAIRE</v>
          </cell>
          <cell r="CF55">
            <v>6713630</v>
          </cell>
          <cell r="CG55">
            <v>4498152</v>
          </cell>
          <cell r="CI55">
            <v>9198613</v>
          </cell>
          <cell r="CJ55">
            <v>6163068</v>
          </cell>
          <cell r="CL55">
            <v>0</v>
          </cell>
          <cell r="CM55">
            <v>0</v>
          </cell>
          <cell r="CO55">
            <v>0</v>
          </cell>
          <cell r="CP55">
            <v>0</v>
          </cell>
          <cell r="CR55">
            <v>15912243</v>
          </cell>
          <cell r="CS55">
            <v>10661220</v>
          </cell>
          <cell r="CV55" t="str">
            <v>0* T. SALAIRE</v>
          </cell>
          <cell r="CW55">
            <v>135691</v>
          </cell>
          <cell r="CX55">
            <v>126204</v>
          </cell>
          <cell r="CZ55">
            <v>3469362</v>
          </cell>
          <cell r="DA55">
            <v>3226500</v>
          </cell>
          <cell r="DC55">
            <v>0</v>
          </cell>
          <cell r="DD55">
            <v>0</v>
          </cell>
          <cell r="DF55">
            <v>3605053</v>
          </cell>
          <cell r="DG55">
            <v>3352704</v>
          </cell>
          <cell r="DJ55" t="str">
            <v>0* T. SALAIRE</v>
          </cell>
          <cell r="DK55">
            <v>7764780</v>
          </cell>
          <cell r="DL55">
            <v>7221228</v>
          </cell>
          <cell r="DN55">
            <v>0</v>
          </cell>
          <cell r="DO55">
            <v>0</v>
          </cell>
          <cell r="DQ55">
            <v>0</v>
          </cell>
          <cell r="DR55">
            <v>0</v>
          </cell>
          <cell r="DT55">
            <v>0</v>
          </cell>
          <cell r="DU55">
            <v>0</v>
          </cell>
          <cell r="DX55" t="str">
            <v>0* T. SALAIRE</v>
          </cell>
          <cell r="DY55">
            <v>0</v>
          </cell>
          <cell r="DZ55">
            <v>0</v>
          </cell>
          <cell r="EB55">
            <v>0</v>
          </cell>
          <cell r="EC55">
            <v>0</v>
          </cell>
          <cell r="EE55">
            <v>2181437</v>
          </cell>
          <cell r="EF55">
            <v>2028732</v>
          </cell>
          <cell r="EH55">
            <v>2469878</v>
          </cell>
          <cell r="EI55">
            <v>2296980</v>
          </cell>
          <cell r="EK55">
            <v>12416095</v>
          </cell>
          <cell r="EL55">
            <v>11546940</v>
          </cell>
          <cell r="EM55">
            <v>92.999771667339843</v>
          </cell>
          <cell r="EO55" t="str">
            <v>0* T. SALAIRE</v>
          </cell>
          <cell r="EP55">
            <v>3956444</v>
          </cell>
          <cell r="EQ55">
            <v>3679524</v>
          </cell>
          <cell r="ER55">
            <v>93.000785553896378</v>
          </cell>
          <cell r="ES55">
            <v>0</v>
          </cell>
          <cell r="ET55">
            <v>0</v>
          </cell>
          <cell r="EU55" t="e">
            <v>#DIV/0!</v>
          </cell>
          <cell r="EV55">
            <v>349727</v>
          </cell>
          <cell r="EW55">
            <v>325260</v>
          </cell>
          <cell r="EX55">
            <v>93.003971669330653</v>
          </cell>
          <cell r="EY55">
            <v>263147</v>
          </cell>
          <cell r="EZ55">
            <v>244740</v>
          </cell>
          <cell r="FA55">
            <v>93.005050409086934</v>
          </cell>
          <cell r="FC55" t="str">
            <v>0* T. SALAIRE</v>
          </cell>
          <cell r="FD55">
            <v>0</v>
          </cell>
          <cell r="FE55">
            <v>0</v>
          </cell>
          <cell r="FF55" t="e">
            <v>#DIV/0!</v>
          </cell>
          <cell r="FG55">
            <v>0</v>
          </cell>
          <cell r="FH55">
            <v>0</v>
          </cell>
          <cell r="FI55" t="e">
            <v>#DIV/0!</v>
          </cell>
          <cell r="FJ55">
            <v>1860320</v>
          </cell>
          <cell r="FK55">
            <v>1730112</v>
          </cell>
          <cell r="FL55">
            <v>93.000774060376713</v>
          </cell>
          <cell r="FM55">
            <v>3968378</v>
          </cell>
          <cell r="FN55">
            <v>3690588</v>
          </cell>
          <cell r="FO55">
            <v>92.999910794788192</v>
          </cell>
          <cell r="FP55">
            <v>10398016</v>
          </cell>
          <cell r="FQ55">
            <v>9670224</v>
          </cell>
          <cell r="FR55">
            <v>93.000664742196975</v>
          </cell>
        </row>
        <row r="57">
          <cell r="BL57" t="str">
            <v>-  2/32 -</v>
          </cell>
          <cell r="CC57" t="str">
            <v>-  6/32 -</v>
          </cell>
          <cell r="CT57" t="str">
            <v>-  10/32 -</v>
          </cell>
          <cell r="DH57" t="str">
            <v>-  14/32 -</v>
          </cell>
          <cell r="DV57" t="str">
            <v>-  18/32 -</v>
          </cell>
          <cell r="EM57" t="str">
            <v>-  22/32 -</v>
          </cell>
          <cell r="FA57" t="str">
            <v>-  26/32 -</v>
          </cell>
          <cell r="FR57" t="str">
            <v>-  30/32 -</v>
          </cell>
        </row>
        <row r="58">
          <cell r="AZ58" t="str">
            <v xml:space="preserve">BUDGET DE FONCTIONNEMENT ( MACHINES AM 50 ) &lt; Recette 8 &gt; </v>
          </cell>
          <cell r="BN58" t="str">
            <v xml:space="preserve">BUDGET DE FONCTIONNEMENT ( MACHINES AM 50 ) &lt; Recette 8 &gt; </v>
          </cell>
          <cell r="CE58" t="str">
            <v xml:space="preserve">BUDGET DE FONCTIONNEMENT ( TAILLES ) &lt; Recette 8 &gt; </v>
          </cell>
          <cell r="CV58" t="str">
            <v xml:space="preserve">BUDGET DE FONCTIONNEMENT ( MACHINES AM 50 ) &lt; Recette 8 &gt; </v>
          </cell>
          <cell r="DJ58" t="str">
            <v xml:space="preserve">BUDGET DE FONCTIONNEMENT ( FRAIS COMMUNS FOND ) &lt; Recette 8 &gt; </v>
          </cell>
          <cell r="DX58" t="str">
            <v xml:space="preserve">BUDGET DE FONCTIONNEMENT ( MACHINES AM 50 ) &lt; Recette 8 &gt; </v>
          </cell>
          <cell r="EO58" t="str">
            <v xml:space="preserve">BUDGET DE FONCTIONNEMENT ( FRAIS COMMUNS JOUR ) &lt; Recette 8 &gt; </v>
          </cell>
          <cell r="FC58" t="str">
            <v xml:space="preserve">BUDGET DE FONCTIONNEMENT ( MACHINES AM 50 ) &lt; Recette 8 &gt; </v>
          </cell>
        </row>
        <row r="59">
          <cell r="AZ59" t="str">
            <v xml:space="preserve"> PREVU 2003 / Réalisé Fin Décembre 2002</v>
          </cell>
          <cell r="BN59" t="str">
            <v xml:space="preserve"> PREVU 2003 / Réalisé Fin Décembre 2002</v>
          </cell>
          <cell r="CE59" t="str">
            <v xml:space="preserve"> PREVU 2003 / Réalisé Fin Décembre 2002</v>
          </cell>
          <cell r="CV59" t="str">
            <v xml:space="preserve"> PREVU 2003 / Réalisé Fin Décembre 2002</v>
          </cell>
          <cell r="DJ59" t="str">
            <v xml:space="preserve"> PREVU 2003 / Réalisé Fin Décembre 2002</v>
          </cell>
          <cell r="DX59" t="str">
            <v xml:space="preserve"> PREVU 2003 / Réalisé Fin Décembre 2002</v>
          </cell>
          <cell r="EO59" t="str">
            <v xml:space="preserve"> PREVU 2003 / Réalisé Fin Décembre 2002</v>
          </cell>
          <cell r="FC59" t="str">
            <v xml:space="preserve"> PREVU 2003 / Réalisé Fin Décembre 2002</v>
          </cell>
        </row>
        <row r="60">
          <cell r="AZ60" t="str">
            <v>S.A.</v>
          </cell>
          <cell r="BA60" t="str">
            <v>821 - F</v>
          </cell>
          <cell r="BD60" t="str">
            <v>822 - A</v>
          </cell>
          <cell r="BG60" t="str">
            <v>823 - I</v>
          </cell>
          <cell r="BJ60" t="str">
            <v>824 - M</v>
          </cell>
          <cell r="BN60" t="str">
            <v>S.A.</v>
          </cell>
          <cell r="BO60" t="str">
            <v>825 - V</v>
          </cell>
          <cell r="BR60" t="str">
            <v>827 - D</v>
          </cell>
          <cell r="BU60" t="str">
            <v>828 - C</v>
          </cell>
          <cell r="BX60">
            <v>829</v>
          </cell>
          <cell r="CA60" t="str">
            <v>TOT AM50 R8</v>
          </cell>
          <cell r="CE60" t="str">
            <v>S.A.</v>
          </cell>
          <cell r="CF60" t="str">
            <v>840 - J</v>
          </cell>
          <cell r="CI60" t="str">
            <v>841 - L</v>
          </cell>
          <cell r="CL60" t="str">
            <v>842 - I</v>
          </cell>
          <cell r="CO60">
            <v>849</v>
          </cell>
          <cell r="CR60" t="str">
            <v>T. TAILLES</v>
          </cell>
          <cell r="CV60" t="str">
            <v>S.A.</v>
          </cell>
          <cell r="CW60">
            <v>860</v>
          </cell>
          <cell r="CZ60">
            <v>861</v>
          </cell>
          <cell r="DC60">
            <v>969</v>
          </cell>
          <cell r="DF60" t="str">
            <v>T. EXHAURE</v>
          </cell>
          <cell r="DJ60" t="str">
            <v>S.A.</v>
          </cell>
          <cell r="DK60">
            <v>871</v>
          </cell>
          <cell r="DN60">
            <v>873</v>
          </cell>
          <cell r="DQ60">
            <v>874</v>
          </cell>
          <cell r="DT60">
            <v>875</v>
          </cell>
          <cell r="DX60" t="str">
            <v>S.A.</v>
          </cell>
          <cell r="DY60">
            <v>876</v>
          </cell>
          <cell r="EB60">
            <v>877</v>
          </cell>
          <cell r="EE60">
            <v>878</v>
          </cell>
          <cell r="EH60">
            <v>879</v>
          </cell>
          <cell r="EK60" t="str">
            <v>FCF R8</v>
          </cell>
          <cell r="EO60" t="str">
            <v>S.A.</v>
          </cell>
          <cell r="EP60">
            <v>882</v>
          </cell>
          <cell r="ES60">
            <v>883</v>
          </cell>
          <cell r="EV60">
            <v>884</v>
          </cell>
          <cell r="EY60">
            <v>885</v>
          </cell>
          <cell r="FC60" t="str">
            <v>S.A.</v>
          </cell>
          <cell r="FD60">
            <v>886</v>
          </cell>
          <cell r="FG60">
            <v>887</v>
          </cell>
          <cell r="FJ60">
            <v>888</v>
          </cell>
          <cell r="FM60">
            <v>889</v>
          </cell>
          <cell r="FP60" t="str">
            <v>F.G.J R8</v>
          </cell>
        </row>
        <row r="61">
          <cell r="BA61" t="str">
            <v>R</v>
          </cell>
          <cell r="BB61" t="str">
            <v>P</v>
          </cell>
          <cell r="BC61" t="str">
            <v>P/R</v>
          </cell>
          <cell r="BD61" t="str">
            <v>R</v>
          </cell>
          <cell r="BE61" t="str">
            <v>P</v>
          </cell>
          <cell r="BF61" t="str">
            <v>P/R</v>
          </cell>
          <cell r="BG61" t="str">
            <v>R</v>
          </cell>
          <cell r="BH61" t="str">
            <v>P</v>
          </cell>
          <cell r="BI61" t="str">
            <v>P/R</v>
          </cell>
          <cell r="BJ61" t="str">
            <v>R</v>
          </cell>
          <cell r="BK61" t="str">
            <v>P</v>
          </cell>
          <cell r="BL61" t="str">
            <v>P/R</v>
          </cell>
          <cell r="BO61" t="str">
            <v>R</v>
          </cell>
          <cell r="BP61" t="str">
            <v>P</v>
          </cell>
          <cell r="BQ61" t="str">
            <v>P/R</v>
          </cell>
          <cell r="BR61" t="str">
            <v>R</v>
          </cell>
          <cell r="BS61" t="str">
            <v>P</v>
          </cell>
          <cell r="BT61" t="str">
            <v>P/R</v>
          </cell>
          <cell r="BU61" t="str">
            <v>R</v>
          </cell>
          <cell r="BV61" t="str">
            <v>P</v>
          </cell>
          <cell r="BW61" t="str">
            <v>P/R</v>
          </cell>
          <cell r="BX61" t="str">
            <v>R</v>
          </cell>
          <cell r="BY61" t="str">
            <v>P</v>
          </cell>
          <cell r="BZ61" t="str">
            <v>P/R</v>
          </cell>
          <cell r="CA61" t="str">
            <v>R</v>
          </cell>
          <cell r="CB61" t="str">
            <v>P</v>
          </cell>
          <cell r="CC61" t="str">
            <v>P/R</v>
          </cell>
          <cell r="CF61" t="str">
            <v>R</v>
          </cell>
          <cell r="CG61" t="str">
            <v>P</v>
          </cell>
          <cell r="CH61" t="str">
            <v>P/R</v>
          </cell>
          <cell r="CI61" t="str">
            <v>R</v>
          </cell>
          <cell r="CJ61" t="str">
            <v>P</v>
          </cell>
          <cell r="CK61" t="str">
            <v>P/R</v>
          </cell>
          <cell r="CL61" t="str">
            <v>R</v>
          </cell>
          <cell r="CM61" t="str">
            <v>P</v>
          </cell>
          <cell r="CN61" t="str">
            <v>P/R</v>
          </cell>
          <cell r="CO61" t="str">
            <v>R</v>
          </cell>
          <cell r="CP61" t="str">
            <v>P</v>
          </cell>
          <cell r="CQ61" t="str">
            <v>P/R</v>
          </cell>
          <cell r="CR61" t="str">
            <v>R</v>
          </cell>
          <cell r="CS61" t="str">
            <v>P</v>
          </cell>
          <cell r="CT61" t="str">
            <v>P/R</v>
          </cell>
          <cell r="CW61" t="str">
            <v>R</v>
          </cell>
          <cell r="CX61" t="str">
            <v>P</v>
          </cell>
          <cell r="CY61" t="str">
            <v>P/R</v>
          </cell>
          <cell r="CZ61" t="str">
            <v>R</v>
          </cell>
          <cell r="DA61" t="str">
            <v>P</v>
          </cell>
          <cell r="DB61" t="str">
            <v>P/R</v>
          </cell>
          <cell r="DC61" t="str">
            <v>R</v>
          </cell>
          <cell r="DD61" t="str">
            <v>P</v>
          </cell>
          <cell r="DE61" t="str">
            <v>P/R</v>
          </cell>
          <cell r="DF61" t="str">
            <v>R</v>
          </cell>
          <cell r="DG61" t="str">
            <v>P</v>
          </cell>
          <cell r="DH61" t="str">
            <v>P/R</v>
          </cell>
          <cell r="DK61" t="str">
            <v>R</v>
          </cell>
          <cell r="DL61" t="str">
            <v>P</v>
          </cell>
          <cell r="DM61" t="str">
            <v>P/R</v>
          </cell>
          <cell r="DN61" t="str">
            <v>R</v>
          </cell>
          <cell r="DO61" t="str">
            <v>P</v>
          </cell>
          <cell r="DP61" t="str">
            <v>P/R</v>
          </cell>
          <cell r="DQ61" t="str">
            <v>R</v>
          </cell>
          <cell r="DR61" t="str">
            <v>P</v>
          </cell>
          <cell r="DS61" t="str">
            <v>P/R</v>
          </cell>
          <cell r="DT61" t="str">
            <v>R</v>
          </cell>
          <cell r="DU61" t="str">
            <v>P</v>
          </cell>
          <cell r="DV61" t="str">
            <v>P/R</v>
          </cell>
          <cell r="DY61" t="str">
            <v>R</v>
          </cell>
          <cell r="DZ61" t="str">
            <v>P</v>
          </cell>
          <cell r="EA61" t="str">
            <v>P/R</v>
          </cell>
          <cell r="EB61" t="str">
            <v>R</v>
          </cell>
          <cell r="EC61" t="str">
            <v>P</v>
          </cell>
          <cell r="ED61" t="str">
            <v>P/R</v>
          </cell>
          <cell r="EE61" t="str">
            <v>R</v>
          </cell>
          <cell r="EF61" t="str">
            <v>P</v>
          </cell>
          <cell r="EG61" t="str">
            <v>P/R</v>
          </cell>
          <cell r="EH61" t="str">
            <v>R</v>
          </cell>
          <cell r="EI61" t="str">
            <v>P</v>
          </cell>
          <cell r="EJ61" t="str">
            <v>P/R</v>
          </cell>
          <cell r="EK61" t="str">
            <v>R</v>
          </cell>
          <cell r="EL61" t="str">
            <v>P</v>
          </cell>
          <cell r="EM61" t="str">
            <v>P/R</v>
          </cell>
          <cell r="EP61" t="str">
            <v>R</v>
          </cell>
          <cell r="EQ61" t="str">
            <v>P</v>
          </cell>
          <cell r="ER61" t="str">
            <v>P/R</v>
          </cell>
          <cell r="ES61" t="str">
            <v>R</v>
          </cell>
          <cell r="ET61" t="str">
            <v>P</v>
          </cell>
          <cell r="EU61" t="str">
            <v>P/R</v>
          </cell>
          <cell r="EV61" t="str">
            <v>R</v>
          </cell>
          <cell r="EW61" t="str">
            <v>P</v>
          </cell>
          <cell r="EX61" t="str">
            <v>P/R</v>
          </cell>
          <cell r="EY61" t="str">
            <v>R</v>
          </cell>
          <cell r="EZ61" t="str">
            <v>P</v>
          </cell>
          <cell r="FA61" t="str">
            <v>P/R</v>
          </cell>
          <cell r="FD61" t="str">
            <v>R</v>
          </cell>
          <cell r="FE61" t="str">
            <v>P</v>
          </cell>
          <cell r="FF61" t="str">
            <v>P/R</v>
          </cell>
          <cell r="FG61" t="str">
            <v>R</v>
          </cell>
          <cell r="FH61" t="str">
            <v>P</v>
          </cell>
          <cell r="FI61" t="str">
            <v>P/R</v>
          </cell>
          <cell r="FJ61" t="str">
            <v>R</v>
          </cell>
          <cell r="FK61" t="str">
            <v>P</v>
          </cell>
          <cell r="FL61" t="str">
            <v>P/R</v>
          </cell>
          <cell r="FM61" t="str">
            <v>R</v>
          </cell>
          <cell r="FN61" t="str">
            <v>P</v>
          </cell>
          <cell r="FO61" t="str">
            <v>P/R</v>
          </cell>
          <cell r="FP61" t="str">
            <v>R</v>
          </cell>
          <cell r="FQ61" t="str">
            <v>P</v>
          </cell>
          <cell r="FR61" t="str">
            <v>P/R</v>
          </cell>
        </row>
        <row r="62">
          <cell r="AZ62" t="str">
            <v>100 ELEC. FACT.</v>
          </cell>
          <cell r="BA62">
            <v>0</v>
          </cell>
          <cell r="BB62">
            <v>0</v>
          </cell>
          <cell r="BC62" t="e">
            <v>#DIV/0!</v>
          </cell>
          <cell r="BD62">
            <v>0</v>
          </cell>
          <cell r="BE62">
            <v>0</v>
          </cell>
          <cell r="BF62" t="e">
            <v>#DIV/0!</v>
          </cell>
          <cell r="BG62">
            <v>0</v>
          </cell>
          <cell r="BH62">
            <v>0</v>
          </cell>
          <cell r="BI62" t="e">
            <v>#DIV/0!</v>
          </cell>
          <cell r="BJ62">
            <v>0</v>
          </cell>
          <cell r="BK62">
            <v>0</v>
          </cell>
          <cell r="BL62" t="e">
            <v>#DIV/0!</v>
          </cell>
          <cell r="BN62" t="str">
            <v>100 ELEC. FACT.</v>
          </cell>
          <cell r="BO62">
            <v>0</v>
          </cell>
          <cell r="BP62">
            <v>0</v>
          </cell>
          <cell r="BQ62" t="e">
            <v>#DIV/0!</v>
          </cell>
          <cell r="BR62">
            <v>0</v>
          </cell>
          <cell r="BS62">
            <v>0</v>
          </cell>
          <cell r="BT62" t="e">
            <v>#DIV/0!</v>
          </cell>
          <cell r="BU62">
            <v>0</v>
          </cell>
          <cell r="BV62">
            <v>0</v>
          </cell>
          <cell r="BW62" t="e">
            <v>#DIV/0!</v>
          </cell>
          <cell r="BX62">
            <v>0</v>
          </cell>
          <cell r="BY62">
            <v>0</v>
          </cell>
          <cell r="BZ62" t="e">
            <v>#DIV/0!</v>
          </cell>
          <cell r="CA62">
            <v>0</v>
          </cell>
          <cell r="CB62">
            <v>0</v>
          </cell>
          <cell r="CC62" t="e">
            <v>#DIV/0!</v>
          </cell>
          <cell r="CE62" t="str">
            <v>100 ELEC. FACT.</v>
          </cell>
          <cell r="CF62">
            <v>0</v>
          </cell>
          <cell r="CG62">
            <v>0</v>
          </cell>
          <cell r="CH62" t="e">
            <v>#DIV/0!</v>
          </cell>
          <cell r="CI62">
            <v>0</v>
          </cell>
          <cell r="CJ62">
            <v>0</v>
          </cell>
          <cell r="CK62" t="e">
            <v>#DIV/0!</v>
          </cell>
          <cell r="CL62">
            <v>0</v>
          </cell>
          <cell r="CM62">
            <v>0</v>
          </cell>
          <cell r="CN62" t="e">
            <v>#DIV/0!</v>
          </cell>
          <cell r="CO62">
            <v>0</v>
          </cell>
          <cell r="CP62">
            <v>0</v>
          </cell>
          <cell r="CQ62" t="e">
            <v>#DIV/0!</v>
          </cell>
          <cell r="CR62">
            <v>0</v>
          </cell>
          <cell r="CS62">
            <v>0</v>
          </cell>
          <cell r="CT62" t="e">
            <v>#DIV/0!</v>
          </cell>
          <cell r="CV62" t="str">
            <v>100 ELEC. FACT.</v>
          </cell>
          <cell r="CW62">
            <v>0</v>
          </cell>
          <cell r="CX62">
            <v>0</v>
          </cell>
          <cell r="CY62" t="e">
            <v>#DIV/0!</v>
          </cell>
          <cell r="CZ62">
            <v>0</v>
          </cell>
          <cell r="DA62">
            <v>0</v>
          </cell>
          <cell r="DB62" t="e">
            <v>#DIV/0!</v>
          </cell>
          <cell r="DC62">
            <v>0</v>
          </cell>
          <cell r="DD62">
            <v>0</v>
          </cell>
          <cell r="DE62" t="e">
            <v>#DIV/0!</v>
          </cell>
          <cell r="DF62">
            <v>0</v>
          </cell>
          <cell r="DG62">
            <v>0</v>
          </cell>
          <cell r="DH62" t="e">
            <v>#DIV/0!</v>
          </cell>
          <cell r="DJ62" t="str">
            <v>100 ELEC. FACT.</v>
          </cell>
          <cell r="DK62">
            <v>0</v>
          </cell>
          <cell r="DL62">
            <v>0</v>
          </cell>
          <cell r="DM62" t="e">
            <v>#DIV/0!</v>
          </cell>
          <cell r="DN62">
            <v>0</v>
          </cell>
          <cell r="DO62">
            <v>0</v>
          </cell>
          <cell r="DP62" t="e">
            <v>#DIV/0!</v>
          </cell>
          <cell r="DQ62">
            <v>0</v>
          </cell>
          <cell r="DR62">
            <v>0</v>
          </cell>
          <cell r="DS62" t="e">
            <v>#DIV/0!</v>
          </cell>
          <cell r="DT62">
            <v>0</v>
          </cell>
          <cell r="DU62">
            <v>0</v>
          </cell>
          <cell r="DV62" t="e">
            <v>#DIV/0!</v>
          </cell>
          <cell r="DX62" t="str">
            <v>100 ELEC. FACT.</v>
          </cell>
          <cell r="DY62">
            <v>0</v>
          </cell>
          <cell r="DZ62">
            <v>0</v>
          </cell>
          <cell r="EA62" t="e">
            <v>#DIV/0!</v>
          </cell>
          <cell r="EB62">
            <v>0</v>
          </cell>
          <cell r="EC62">
            <v>0</v>
          </cell>
          <cell r="ED62" t="e">
            <v>#DIV/0!</v>
          </cell>
          <cell r="EE62">
            <v>0</v>
          </cell>
          <cell r="EF62">
            <v>0</v>
          </cell>
          <cell r="EG62" t="e">
            <v>#DIV/0!</v>
          </cell>
          <cell r="EH62">
            <v>0</v>
          </cell>
          <cell r="EI62">
            <v>0</v>
          </cell>
          <cell r="EJ62" t="e">
            <v>#DIV/0!</v>
          </cell>
          <cell r="EK62">
            <v>0</v>
          </cell>
          <cell r="EL62">
            <v>0</v>
          </cell>
          <cell r="EM62" t="e">
            <v>#DIV/0!</v>
          </cell>
          <cell r="EO62" t="str">
            <v>100 ELEC. FACT.</v>
          </cell>
          <cell r="EP62">
            <v>0</v>
          </cell>
          <cell r="EQ62">
            <v>0</v>
          </cell>
          <cell r="ER62" t="e">
            <v>#DIV/0!</v>
          </cell>
          <cell r="ES62">
            <v>0</v>
          </cell>
          <cell r="ET62">
            <v>0</v>
          </cell>
          <cell r="EU62" t="e">
            <v>#DIV/0!</v>
          </cell>
          <cell r="EV62">
            <v>0</v>
          </cell>
          <cell r="EW62">
            <v>0</v>
          </cell>
          <cell r="EX62" t="e">
            <v>#DIV/0!</v>
          </cell>
          <cell r="EY62">
            <v>0</v>
          </cell>
          <cell r="EZ62">
            <v>0</v>
          </cell>
          <cell r="FA62" t="e">
            <v>#DIV/0!</v>
          </cell>
          <cell r="FC62" t="str">
            <v>100 ELEC. FACT.</v>
          </cell>
          <cell r="FD62">
            <v>0</v>
          </cell>
          <cell r="FE62">
            <v>0</v>
          </cell>
          <cell r="FF62" t="e">
            <v>#DIV/0!</v>
          </cell>
          <cell r="FG62">
            <v>0</v>
          </cell>
          <cell r="FH62">
            <v>0</v>
          </cell>
          <cell r="FI62" t="e">
            <v>#DIV/0!</v>
          </cell>
          <cell r="FJ62">
            <v>0</v>
          </cell>
          <cell r="FK62">
            <v>0</v>
          </cell>
          <cell r="FL62" t="e">
            <v>#DIV/0!</v>
          </cell>
          <cell r="FM62">
            <v>0</v>
          </cell>
          <cell r="FN62">
            <v>0</v>
          </cell>
          <cell r="FO62" t="e">
            <v>#DIV/0!</v>
          </cell>
          <cell r="FP62">
            <v>0</v>
          </cell>
          <cell r="FQ62">
            <v>0</v>
          </cell>
        </row>
        <row r="63">
          <cell r="AZ63" t="str">
            <v>102 ELEC. CONS</v>
          </cell>
          <cell r="BA63">
            <v>0</v>
          </cell>
          <cell r="BB63">
            <v>0</v>
          </cell>
          <cell r="BC63" t="e">
            <v>#DIV/0!</v>
          </cell>
          <cell r="BD63">
            <v>54619</v>
          </cell>
          <cell r="BE63">
            <v>44496</v>
          </cell>
          <cell r="BF63">
            <v>81.466156465698745</v>
          </cell>
          <cell r="BG63">
            <v>51831</v>
          </cell>
          <cell r="BH63">
            <v>45108</v>
          </cell>
          <cell r="BI63">
            <v>87.028998089946171</v>
          </cell>
          <cell r="BJ63">
            <v>56103</v>
          </cell>
          <cell r="BK63">
            <v>49824</v>
          </cell>
          <cell r="BL63">
            <v>88.808085129137481</v>
          </cell>
          <cell r="BN63" t="str">
            <v>102 ELEC. CONS</v>
          </cell>
          <cell r="BO63">
            <v>65409</v>
          </cell>
          <cell r="BP63">
            <v>54192</v>
          </cell>
          <cell r="BQ63">
            <v>82.850983809567495</v>
          </cell>
          <cell r="BR63">
            <v>44535</v>
          </cell>
          <cell r="BS63">
            <v>38892</v>
          </cell>
          <cell r="BT63">
            <v>87.329067025934663</v>
          </cell>
          <cell r="BU63">
            <v>66709</v>
          </cell>
          <cell r="BV63">
            <v>55824</v>
          </cell>
          <cell r="BW63">
            <v>83.682861383021773</v>
          </cell>
          <cell r="BX63">
            <v>0</v>
          </cell>
          <cell r="BY63">
            <v>0</v>
          </cell>
          <cell r="BZ63" t="e">
            <v>#DIV/0!</v>
          </cell>
          <cell r="CA63">
            <v>339206</v>
          </cell>
          <cell r="CB63">
            <v>288336</v>
          </cell>
          <cell r="CC63">
            <v>85.003213386555672</v>
          </cell>
          <cell r="CE63" t="str">
            <v>102 ELEC. CONS</v>
          </cell>
          <cell r="CF63">
            <v>373481</v>
          </cell>
          <cell r="CG63">
            <v>253296</v>
          </cell>
          <cell r="CH63">
            <v>67.820317499417641</v>
          </cell>
          <cell r="CI63">
            <v>436696</v>
          </cell>
          <cell r="CJ63">
            <v>387828</v>
          </cell>
          <cell r="CK63">
            <v>88.809606682909845</v>
          </cell>
          <cell r="CL63">
            <v>0</v>
          </cell>
          <cell r="CM63">
            <v>0</v>
          </cell>
          <cell r="CN63" t="e">
            <v>#DIV/0!</v>
          </cell>
          <cell r="CO63">
            <v>0</v>
          </cell>
          <cell r="CP63">
            <v>0</v>
          </cell>
          <cell r="CQ63" t="e">
            <v>#DIV/0!</v>
          </cell>
          <cell r="CR63">
            <v>810177</v>
          </cell>
          <cell r="CS63">
            <v>641124</v>
          </cell>
          <cell r="CT63">
            <v>79.133818906239</v>
          </cell>
          <cell r="CV63" t="str">
            <v>102 ELEC. CONS</v>
          </cell>
          <cell r="CW63">
            <v>0</v>
          </cell>
          <cell r="CX63">
            <v>0</v>
          </cell>
          <cell r="CY63" t="e">
            <v>#DIV/0!</v>
          </cell>
          <cell r="CZ63">
            <v>2868515</v>
          </cell>
          <cell r="DA63">
            <v>2287728</v>
          </cell>
          <cell r="DB63">
            <v>79.753042950795091</v>
          </cell>
          <cell r="DC63">
            <v>0</v>
          </cell>
          <cell r="DD63">
            <v>0</v>
          </cell>
          <cell r="DE63" t="e">
            <v>#DIV/0!</v>
          </cell>
          <cell r="DF63">
            <v>2868515</v>
          </cell>
          <cell r="DG63">
            <v>2287728</v>
          </cell>
          <cell r="DH63">
            <v>79.753042950795091</v>
          </cell>
          <cell r="DJ63" t="str">
            <v>102 ELEC. CONS</v>
          </cell>
          <cell r="DK63">
            <v>2236759</v>
          </cell>
          <cell r="DL63">
            <v>1939812</v>
          </cell>
          <cell r="DM63">
            <v>86.724229119006552</v>
          </cell>
          <cell r="DN63">
            <v>0</v>
          </cell>
          <cell r="DO63">
            <v>0</v>
          </cell>
          <cell r="DP63" t="e">
            <v>#DIV/0!</v>
          </cell>
          <cell r="DQ63">
            <v>0</v>
          </cell>
          <cell r="DR63">
            <v>0</v>
          </cell>
          <cell r="DS63" t="e">
            <v>#DIV/0!</v>
          </cell>
          <cell r="DT63">
            <v>0</v>
          </cell>
          <cell r="DU63">
            <v>0</v>
          </cell>
          <cell r="DV63" t="e">
            <v>#DIV/0!</v>
          </cell>
          <cell r="DX63" t="str">
            <v>102 ELEC. CONS</v>
          </cell>
          <cell r="DY63">
            <v>0</v>
          </cell>
          <cell r="DZ63">
            <v>0</v>
          </cell>
          <cell r="EA63" t="e">
            <v>#DIV/0!</v>
          </cell>
          <cell r="EB63">
            <v>0</v>
          </cell>
          <cell r="EC63">
            <v>0</v>
          </cell>
          <cell r="ED63" t="e">
            <v>#DIV/0!</v>
          </cell>
          <cell r="EE63">
            <v>0</v>
          </cell>
          <cell r="EF63">
            <v>0</v>
          </cell>
          <cell r="EG63" t="e">
            <v>#DIV/0!</v>
          </cell>
          <cell r="EH63">
            <v>0</v>
          </cell>
          <cell r="EI63">
            <v>0</v>
          </cell>
          <cell r="EJ63" t="e">
            <v>#DIV/0!</v>
          </cell>
          <cell r="EK63">
            <v>2236759</v>
          </cell>
          <cell r="EL63">
            <v>1939812</v>
          </cell>
          <cell r="EM63">
            <v>86.724229119006552</v>
          </cell>
          <cell r="EO63" t="str">
            <v>102 ELEC. CONS</v>
          </cell>
          <cell r="EP63">
            <v>59418</v>
          </cell>
          <cell r="EQ63">
            <v>45060</v>
          </cell>
          <cell r="ER63">
            <v>75.835605372109455</v>
          </cell>
          <cell r="ES63">
            <v>0</v>
          </cell>
          <cell r="ET63">
            <v>0</v>
          </cell>
          <cell r="EU63" t="e">
            <v>#DIV/0!</v>
          </cell>
          <cell r="EV63">
            <v>3051174</v>
          </cell>
          <cell r="EW63">
            <v>2449788</v>
          </cell>
          <cell r="EX63">
            <v>80.290012958946306</v>
          </cell>
          <cell r="EY63">
            <v>0</v>
          </cell>
          <cell r="EZ63">
            <v>0</v>
          </cell>
          <cell r="FA63" t="e">
            <v>#DIV/0!</v>
          </cell>
          <cell r="FC63" t="str">
            <v>102 ELEC. CONS</v>
          </cell>
          <cell r="FD63">
            <v>0</v>
          </cell>
          <cell r="FE63">
            <v>0</v>
          </cell>
          <cell r="FF63" t="e">
            <v>#DIV/0!</v>
          </cell>
          <cell r="FG63">
            <v>0</v>
          </cell>
          <cell r="FH63">
            <v>0</v>
          </cell>
          <cell r="FI63" t="e">
            <v>#DIV/0!</v>
          </cell>
          <cell r="FJ63">
            <v>1727504</v>
          </cell>
          <cell r="FK63">
            <v>1413120</v>
          </cell>
          <cell r="FL63">
            <v>81.80125776843353</v>
          </cell>
          <cell r="FM63">
            <v>0</v>
          </cell>
          <cell r="FN63">
            <v>0</v>
          </cell>
          <cell r="FO63" t="e">
            <v>#DIV/0!</v>
          </cell>
          <cell r="FP63">
            <v>4838096</v>
          </cell>
          <cell r="FQ63">
            <v>3907968</v>
          </cell>
          <cell r="FR63">
            <v>80.774916413398984</v>
          </cell>
        </row>
        <row r="64">
          <cell r="AZ64" t="str">
            <v>106 CONSO EAU</v>
          </cell>
          <cell r="BA64">
            <v>0</v>
          </cell>
          <cell r="BB64">
            <v>0</v>
          </cell>
          <cell r="BC64" t="e">
            <v>#DIV/0!</v>
          </cell>
          <cell r="BD64">
            <v>0</v>
          </cell>
          <cell r="BE64">
            <v>0</v>
          </cell>
          <cell r="BF64" t="e">
            <v>#DIV/0!</v>
          </cell>
          <cell r="BG64">
            <v>0</v>
          </cell>
          <cell r="BH64">
            <v>0</v>
          </cell>
          <cell r="BI64" t="e">
            <v>#DIV/0!</v>
          </cell>
          <cell r="BJ64">
            <v>0</v>
          </cell>
          <cell r="BK64">
            <v>0</v>
          </cell>
          <cell r="BL64" t="e">
            <v>#DIV/0!</v>
          </cell>
          <cell r="BN64" t="str">
            <v>106 CONSO EAU</v>
          </cell>
          <cell r="BO64">
            <v>0</v>
          </cell>
          <cell r="BP64">
            <v>0</v>
          </cell>
          <cell r="BQ64" t="e">
            <v>#DIV/0!</v>
          </cell>
          <cell r="BR64">
            <v>0</v>
          </cell>
          <cell r="BS64">
            <v>0</v>
          </cell>
          <cell r="BT64" t="e">
            <v>#DIV/0!</v>
          </cell>
          <cell r="BU64">
            <v>0</v>
          </cell>
          <cell r="BV64">
            <v>0</v>
          </cell>
          <cell r="BW64" t="e">
            <v>#DIV/0!</v>
          </cell>
          <cell r="BX64">
            <v>0</v>
          </cell>
          <cell r="BY64">
            <v>0</v>
          </cell>
          <cell r="BZ64" t="e">
            <v>#DIV/0!</v>
          </cell>
          <cell r="CA64">
            <v>0</v>
          </cell>
          <cell r="CB64">
            <v>0</v>
          </cell>
          <cell r="CC64" t="e">
            <v>#DIV/0!</v>
          </cell>
          <cell r="CE64" t="str">
            <v>106 CONSO EAU</v>
          </cell>
          <cell r="CF64">
            <v>0</v>
          </cell>
          <cell r="CG64">
            <v>0</v>
          </cell>
          <cell r="CH64" t="e">
            <v>#DIV/0!</v>
          </cell>
          <cell r="CI64">
            <v>0</v>
          </cell>
          <cell r="CJ64">
            <v>0</v>
          </cell>
          <cell r="CK64" t="e">
            <v>#DIV/0!</v>
          </cell>
          <cell r="CL64">
            <v>0</v>
          </cell>
          <cell r="CM64">
            <v>0</v>
          </cell>
          <cell r="CN64" t="e">
            <v>#DIV/0!</v>
          </cell>
          <cell r="CO64">
            <v>0</v>
          </cell>
          <cell r="CP64">
            <v>0</v>
          </cell>
          <cell r="CQ64" t="e">
            <v>#DIV/0!</v>
          </cell>
          <cell r="CR64">
            <v>0</v>
          </cell>
          <cell r="CS64">
            <v>0</v>
          </cell>
          <cell r="CT64" t="e">
            <v>#DIV/0!</v>
          </cell>
          <cell r="CV64" t="str">
            <v>106 CONSO EAU</v>
          </cell>
          <cell r="CW64">
            <v>0</v>
          </cell>
          <cell r="CX64">
            <v>0</v>
          </cell>
          <cell r="CY64" t="e">
            <v>#DIV/0!</v>
          </cell>
          <cell r="CZ64">
            <v>0</v>
          </cell>
          <cell r="DA64">
            <v>0</v>
          </cell>
          <cell r="DB64" t="e">
            <v>#DIV/0!</v>
          </cell>
          <cell r="DC64">
            <v>0</v>
          </cell>
          <cell r="DD64">
            <v>0</v>
          </cell>
          <cell r="DE64" t="e">
            <v>#DIV/0!</v>
          </cell>
          <cell r="DF64">
            <v>0</v>
          </cell>
          <cell r="DG64">
            <v>0</v>
          </cell>
          <cell r="DH64" t="e">
            <v>#DIV/0!</v>
          </cell>
          <cell r="DJ64" t="str">
            <v>106 CONSO EAU</v>
          </cell>
          <cell r="DK64">
            <v>0</v>
          </cell>
          <cell r="DL64">
            <v>0</v>
          </cell>
          <cell r="DM64" t="e">
            <v>#DIV/0!</v>
          </cell>
          <cell r="DN64">
            <v>0</v>
          </cell>
          <cell r="DO64">
            <v>0</v>
          </cell>
          <cell r="DP64" t="e">
            <v>#DIV/0!</v>
          </cell>
          <cell r="DQ64">
            <v>0</v>
          </cell>
          <cell r="DR64">
            <v>0</v>
          </cell>
          <cell r="DS64" t="e">
            <v>#DIV/0!</v>
          </cell>
          <cell r="DT64">
            <v>0</v>
          </cell>
          <cell r="DU64">
            <v>0</v>
          </cell>
          <cell r="DV64" t="e">
            <v>#DIV/0!</v>
          </cell>
          <cell r="DX64" t="str">
            <v>106 CONSO EAU</v>
          </cell>
          <cell r="DY64">
            <v>0</v>
          </cell>
          <cell r="DZ64">
            <v>0</v>
          </cell>
          <cell r="EA64" t="e">
            <v>#DIV/0!</v>
          </cell>
          <cell r="EB64">
            <v>0</v>
          </cell>
          <cell r="EC64">
            <v>0</v>
          </cell>
          <cell r="ED64" t="e">
            <v>#DIV/0!</v>
          </cell>
          <cell r="EE64">
            <v>0</v>
          </cell>
          <cell r="EF64">
            <v>0</v>
          </cell>
          <cell r="EG64" t="e">
            <v>#DIV/0!</v>
          </cell>
          <cell r="EH64">
            <v>0</v>
          </cell>
          <cell r="EI64">
            <v>0</v>
          </cell>
          <cell r="EJ64" t="e">
            <v>#DIV/0!</v>
          </cell>
          <cell r="EK64">
            <v>0</v>
          </cell>
          <cell r="EL64">
            <v>0</v>
          </cell>
          <cell r="EM64" t="e">
            <v>#DIV/0!</v>
          </cell>
          <cell r="EO64" t="str">
            <v>106 CONSO EAU</v>
          </cell>
          <cell r="EP64">
            <v>0</v>
          </cell>
          <cell r="EQ64">
            <v>0</v>
          </cell>
          <cell r="ER64" t="e">
            <v>#DIV/0!</v>
          </cell>
          <cell r="ES64">
            <v>0</v>
          </cell>
          <cell r="ET64">
            <v>0</v>
          </cell>
          <cell r="EU64" t="e">
            <v>#DIV/0!</v>
          </cell>
          <cell r="EV64">
            <v>0</v>
          </cell>
          <cell r="EW64">
            <v>0</v>
          </cell>
          <cell r="EX64" t="e">
            <v>#DIV/0!</v>
          </cell>
          <cell r="EY64">
            <v>0</v>
          </cell>
          <cell r="EZ64">
            <v>0</v>
          </cell>
          <cell r="FA64" t="e">
            <v>#DIV/0!</v>
          </cell>
          <cell r="FC64" t="str">
            <v>106 CONSO EAU</v>
          </cell>
          <cell r="FD64">
            <v>0</v>
          </cell>
          <cell r="FE64">
            <v>0</v>
          </cell>
          <cell r="FF64" t="e">
            <v>#DIV/0!</v>
          </cell>
          <cell r="FG64">
            <v>0</v>
          </cell>
          <cell r="FH64">
            <v>0</v>
          </cell>
          <cell r="FI64" t="e">
            <v>#DIV/0!</v>
          </cell>
          <cell r="FJ64">
            <v>0</v>
          </cell>
          <cell r="FK64">
            <v>0</v>
          </cell>
          <cell r="FL64" t="e">
            <v>#DIV/0!</v>
          </cell>
          <cell r="FM64">
            <v>231644</v>
          </cell>
          <cell r="FN64">
            <v>231648</v>
          </cell>
          <cell r="FO64">
            <v>100.00172678765693</v>
          </cell>
          <cell r="FP64">
            <v>231644</v>
          </cell>
          <cell r="FQ64">
            <v>231648</v>
          </cell>
          <cell r="FR64">
            <v>100.00172678765693</v>
          </cell>
        </row>
        <row r="65">
          <cell r="AZ65" t="str">
            <v>1* FOUR+AB</v>
          </cell>
          <cell r="BA65">
            <v>0</v>
          </cell>
          <cell r="BB65">
            <v>0</v>
          </cell>
          <cell r="BC65" t="e">
            <v>#DIV/0!</v>
          </cell>
          <cell r="BD65">
            <v>54619</v>
          </cell>
          <cell r="BE65">
            <v>44496</v>
          </cell>
          <cell r="BF65">
            <v>81.466156465698745</v>
          </cell>
          <cell r="BG65">
            <v>51831</v>
          </cell>
          <cell r="BH65">
            <v>45108</v>
          </cell>
          <cell r="BI65">
            <v>87.028998089946171</v>
          </cell>
          <cell r="BJ65">
            <v>56103</v>
          </cell>
          <cell r="BK65">
            <v>49824</v>
          </cell>
          <cell r="BL65">
            <v>88.808085129137481</v>
          </cell>
          <cell r="BN65" t="str">
            <v>1* FOUR+AB</v>
          </cell>
          <cell r="BO65">
            <v>65409</v>
          </cell>
          <cell r="BP65">
            <v>54192</v>
          </cell>
          <cell r="BQ65">
            <v>82.850983809567495</v>
          </cell>
          <cell r="BR65">
            <v>44535</v>
          </cell>
          <cell r="BS65">
            <v>38892</v>
          </cell>
          <cell r="BT65">
            <v>87.329067025934663</v>
          </cell>
          <cell r="BU65">
            <v>66709</v>
          </cell>
          <cell r="BV65">
            <v>55824</v>
          </cell>
          <cell r="BW65">
            <v>83.682861383021773</v>
          </cell>
          <cell r="BX65">
            <v>0</v>
          </cell>
          <cell r="BY65">
            <v>0</v>
          </cell>
          <cell r="BZ65" t="e">
            <v>#DIV/0!</v>
          </cell>
          <cell r="CA65">
            <v>339206</v>
          </cell>
          <cell r="CB65">
            <v>288336</v>
          </cell>
          <cell r="CC65">
            <v>85.003213386555672</v>
          </cell>
          <cell r="CE65" t="str">
            <v>1* FOUR+AB</v>
          </cell>
          <cell r="CF65">
            <v>373481</v>
          </cell>
          <cell r="CG65">
            <v>253296</v>
          </cell>
          <cell r="CH65">
            <v>67.820317499417641</v>
          </cell>
          <cell r="CI65">
            <v>436696</v>
          </cell>
          <cell r="CJ65">
            <v>387828</v>
          </cell>
          <cell r="CK65">
            <v>88.809606682909845</v>
          </cell>
          <cell r="CL65">
            <v>0</v>
          </cell>
          <cell r="CM65">
            <v>0</v>
          </cell>
          <cell r="CN65" t="e">
            <v>#DIV/0!</v>
          </cell>
          <cell r="CO65">
            <v>0</v>
          </cell>
          <cell r="CP65">
            <v>0</v>
          </cell>
          <cell r="CQ65" t="e">
            <v>#DIV/0!</v>
          </cell>
          <cell r="CR65">
            <v>810177</v>
          </cell>
          <cell r="CS65">
            <v>641124</v>
          </cell>
          <cell r="CT65">
            <v>79.133818906239</v>
          </cell>
          <cell r="CV65" t="str">
            <v>1* FOUR+AB</v>
          </cell>
          <cell r="CW65">
            <v>0</v>
          </cell>
          <cell r="CX65">
            <v>0</v>
          </cell>
          <cell r="CY65" t="e">
            <v>#DIV/0!</v>
          </cell>
          <cell r="CZ65">
            <v>2868515</v>
          </cell>
          <cell r="DA65">
            <v>2287728</v>
          </cell>
          <cell r="DB65">
            <v>79.753042950795091</v>
          </cell>
          <cell r="DC65">
            <v>0</v>
          </cell>
          <cell r="DD65">
            <v>0</v>
          </cell>
          <cell r="DE65" t="e">
            <v>#DIV/0!</v>
          </cell>
          <cell r="DF65">
            <v>2868515</v>
          </cell>
          <cell r="DG65">
            <v>2287728</v>
          </cell>
          <cell r="DH65">
            <v>79.753042950795091</v>
          </cell>
          <cell r="DJ65" t="str">
            <v>1* FOUR+AB</v>
          </cell>
          <cell r="DK65">
            <v>2236759</v>
          </cell>
          <cell r="DL65">
            <v>1939812</v>
          </cell>
          <cell r="DM65">
            <v>86.724229119006552</v>
          </cell>
          <cell r="DN65">
            <v>0</v>
          </cell>
          <cell r="DO65">
            <v>0</v>
          </cell>
          <cell r="DP65" t="e">
            <v>#DIV/0!</v>
          </cell>
          <cell r="DQ65">
            <v>0</v>
          </cell>
          <cell r="DR65">
            <v>0</v>
          </cell>
          <cell r="DS65" t="e">
            <v>#DIV/0!</v>
          </cell>
          <cell r="DT65">
            <v>0</v>
          </cell>
          <cell r="DU65">
            <v>0</v>
          </cell>
          <cell r="DV65" t="e">
            <v>#DIV/0!</v>
          </cell>
          <cell r="DX65" t="str">
            <v>1* FOUR+AB</v>
          </cell>
          <cell r="DY65">
            <v>0</v>
          </cell>
          <cell r="DZ65">
            <v>0</v>
          </cell>
          <cell r="EA65" t="e">
            <v>#DIV/0!</v>
          </cell>
          <cell r="EB65">
            <v>0</v>
          </cell>
          <cell r="EC65">
            <v>0</v>
          </cell>
          <cell r="ED65" t="e">
            <v>#DIV/0!</v>
          </cell>
          <cell r="EE65">
            <v>0</v>
          </cell>
          <cell r="EF65">
            <v>0</v>
          </cell>
          <cell r="EG65" t="e">
            <v>#DIV/0!</v>
          </cell>
          <cell r="EH65">
            <v>0</v>
          </cell>
          <cell r="EI65">
            <v>0</v>
          </cell>
          <cell r="EJ65" t="e">
            <v>#DIV/0!</v>
          </cell>
          <cell r="EK65">
            <v>2236759</v>
          </cell>
          <cell r="EL65">
            <v>1939812</v>
          </cell>
          <cell r="EM65">
            <v>86.724229119006552</v>
          </cell>
          <cell r="EO65" t="str">
            <v>1* FOUR+AB</v>
          </cell>
          <cell r="EP65">
            <v>59418</v>
          </cell>
          <cell r="EQ65">
            <v>45060</v>
          </cell>
          <cell r="ER65">
            <v>75.835605372109455</v>
          </cell>
          <cell r="ES65">
            <v>0</v>
          </cell>
          <cell r="ET65">
            <v>0</v>
          </cell>
          <cell r="EU65" t="e">
            <v>#DIV/0!</v>
          </cell>
          <cell r="EV65">
            <v>3051174</v>
          </cell>
          <cell r="EW65">
            <v>2449788</v>
          </cell>
          <cell r="EX65">
            <v>80.290012958946306</v>
          </cell>
          <cell r="EY65">
            <v>0</v>
          </cell>
          <cell r="EZ65">
            <v>0</v>
          </cell>
          <cell r="FA65" t="e">
            <v>#DIV/0!</v>
          </cell>
          <cell r="FC65" t="str">
            <v>1* FOUR+AB</v>
          </cell>
          <cell r="FD65">
            <v>0</v>
          </cell>
          <cell r="FE65">
            <v>0</v>
          </cell>
          <cell r="FF65" t="e">
            <v>#DIV/0!</v>
          </cell>
          <cell r="FG65">
            <v>0</v>
          </cell>
          <cell r="FH65">
            <v>0</v>
          </cell>
          <cell r="FI65" t="e">
            <v>#DIV/0!</v>
          </cell>
          <cell r="FJ65">
            <v>1727504</v>
          </cell>
          <cell r="FK65">
            <v>1413120</v>
          </cell>
          <cell r="FL65">
            <v>81.80125776843353</v>
          </cell>
          <cell r="FM65">
            <v>231644</v>
          </cell>
          <cell r="FN65">
            <v>231648</v>
          </cell>
          <cell r="FO65">
            <v>100.00172678765693</v>
          </cell>
          <cell r="FP65">
            <v>5069740</v>
          </cell>
          <cell r="FQ65">
            <v>4139616</v>
          </cell>
          <cell r="FR65">
            <v>81.653418124006365</v>
          </cell>
        </row>
        <row r="66">
          <cell r="AZ66" t="str">
            <v>211 ATEL MECA</v>
          </cell>
          <cell r="BA66">
            <v>0</v>
          </cell>
          <cell r="BB66">
            <v>0</v>
          </cell>
          <cell r="BC66" t="e">
            <v>#DIV/0!</v>
          </cell>
          <cell r="BD66">
            <v>391347</v>
          </cell>
          <cell r="BE66">
            <v>129144</v>
          </cell>
          <cell r="BF66">
            <v>32.999869680871456</v>
          </cell>
          <cell r="BG66">
            <v>225060</v>
          </cell>
          <cell r="BH66">
            <v>74268</v>
          </cell>
          <cell r="BI66">
            <v>32.99920021327646</v>
          </cell>
          <cell r="BJ66">
            <v>324563</v>
          </cell>
          <cell r="BK66">
            <v>107100</v>
          </cell>
          <cell r="BL66">
            <v>32.998216062829094</v>
          </cell>
          <cell r="BN66" t="str">
            <v>211 ATEL MECA</v>
          </cell>
          <cell r="BO66">
            <v>222659</v>
          </cell>
          <cell r="BP66">
            <v>73476</v>
          </cell>
          <cell r="BQ66">
            <v>32.999339797627762</v>
          </cell>
          <cell r="BR66">
            <v>197560</v>
          </cell>
          <cell r="BS66">
            <v>65196</v>
          </cell>
          <cell r="BT66">
            <v>33.000607410406964</v>
          </cell>
          <cell r="BU66">
            <v>258706</v>
          </cell>
          <cell r="BV66">
            <v>85368</v>
          </cell>
          <cell r="BW66">
            <v>32.998075034981795</v>
          </cell>
          <cell r="BX66">
            <v>56311</v>
          </cell>
          <cell r="BY66">
            <v>18588</v>
          </cell>
          <cell r="BZ66">
            <v>33.00953632505194</v>
          </cell>
          <cell r="CA66">
            <v>1676206</v>
          </cell>
          <cell r="CB66">
            <v>553140</v>
          </cell>
          <cell r="CC66">
            <v>32.999523924863652</v>
          </cell>
          <cell r="CE66" t="str">
            <v>211 ATEL MECA</v>
          </cell>
          <cell r="CF66">
            <v>909775</v>
          </cell>
          <cell r="CG66">
            <v>909780</v>
          </cell>
          <cell r="CH66">
            <v>100.00054958643621</v>
          </cell>
          <cell r="CI66">
            <v>1431843</v>
          </cell>
          <cell r="CJ66">
            <v>1431840</v>
          </cell>
          <cell r="CK66">
            <v>99.999790479822153</v>
          </cell>
          <cell r="CL66">
            <v>0</v>
          </cell>
          <cell r="CM66">
            <v>0</v>
          </cell>
          <cell r="CN66" t="e">
            <v>#DIV/0!</v>
          </cell>
          <cell r="CO66">
            <v>0</v>
          </cell>
          <cell r="CP66">
            <v>0</v>
          </cell>
          <cell r="CQ66" t="e">
            <v>#DIV/0!</v>
          </cell>
          <cell r="CR66">
            <v>2341618</v>
          </cell>
          <cell r="CS66">
            <v>2341620</v>
          </cell>
          <cell r="CT66">
            <v>100.00008541102775</v>
          </cell>
          <cell r="CV66" t="str">
            <v>211 ATEL MECA</v>
          </cell>
          <cell r="CW66">
            <v>1393</v>
          </cell>
          <cell r="CX66">
            <v>1392</v>
          </cell>
          <cell r="CY66">
            <v>99.928212491026557</v>
          </cell>
          <cell r="CZ66">
            <v>255652</v>
          </cell>
          <cell r="DA66">
            <v>255648</v>
          </cell>
          <cell r="DB66">
            <v>99.998435373085286</v>
          </cell>
          <cell r="DC66">
            <v>0</v>
          </cell>
          <cell r="DD66">
            <v>0</v>
          </cell>
          <cell r="DE66" t="e">
            <v>#DIV/0!</v>
          </cell>
          <cell r="DF66">
            <v>257045</v>
          </cell>
          <cell r="DG66">
            <v>257040</v>
          </cell>
          <cell r="DH66">
            <v>99.998054815304712</v>
          </cell>
          <cell r="DJ66" t="str">
            <v>211 ATEL MECA</v>
          </cell>
          <cell r="DK66">
            <v>110706</v>
          </cell>
          <cell r="DL66">
            <v>83028</v>
          </cell>
          <cell r="DM66">
            <v>74.998645059888361</v>
          </cell>
          <cell r="DN66">
            <v>0</v>
          </cell>
          <cell r="DO66">
            <v>0</v>
          </cell>
          <cell r="DP66" t="e">
            <v>#DIV/0!</v>
          </cell>
          <cell r="DQ66">
            <v>0</v>
          </cell>
          <cell r="DR66">
            <v>0</v>
          </cell>
          <cell r="DS66" t="e">
            <v>#DIV/0!</v>
          </cell>
          <cell r="DT66">
            <v>0</v>
          </cell>
          <cell r="DU66">
            <v>0</v>
          </cell>
          <cell r="DV66" t="e">
            <v>#DIV/0!</v>
          </cell>
          <cell r="DX66" t="str">
            <v>211 ATEL MECA</v>
          </cell>
          <cell r="DY66">
            <v>0</v>
          </cell>
          <cell r="DZ66">
            <v>0</v>
          </cell>
          <cell r="EA66" t="e">
            <v>#DIV/0!</v>
          </cell>
          <cell r="EB66">
            <v>0</v>
          </cell>
          <cell r="EC66">
            <v>0</v>
          </cell>
          <cell r="ED66" t="e">
            <v>#DIV/0!</v>
          </cell>
          <cell r="EE66">
            <v>450578</v>
          </cell>
          <cell r="EF66">
            <v>337932</v>
          </cell>
          <cell r="EG66">
            <v>74.99966709426559</v>
          </cell>
          <cell r="EH66">
            <v>72612</v>
          </cell>
          <cell r="EI66">
            <v>54456</v>
          </cell>
          <cell r="EJ66">
            <v>74.995868451495625</v>
          </cell>
          <cell r="EK66">
            <v>633896</v>
          </cell>
          <cell r="EL66">
            <v>475416</v>
          </cell>
          <cell r="EM66">
            <v>74.999053472493912</v>
          </cell>
          <cell r="EO66" t="str">
            <v>211 ATEL MECA</v>
          </cell>
          <cell r="EP66">
            <v>6096</v>
          </cell>
          <cell r="EQ66">
            <v>4572</v>
          </cell>
          <cell r="ER66">
            <v>75</v>
          </cell>
          <cell r="ES66">
            <v>0</v>
          </cell>
          <cell r="ET66">
            <v>0</v>
          </cell>
          <cell r="EU66" t="e">
            <v>#DIV/0!</v>
          </cell>
          <cell r="EV66">
            <v>3116</v>
          </cell>
          <cell r="EW66">
            <v>2340</v>
          </cell>
          <cell r="EX66">
            <v>75.096277278562269</v>
          </cell>
          <cell r="EY66">
            <v>0</v>
          </cell>
          <cell r="EZ66">
            <v>0</v>
          </cell>
          <cell r="FA66" t="e">
            <v>#DIV/0!</v>
          </cell>
          <cell r="FC66" t="str">
            <v>211 ATEL MECA</v>
          </cell>
          <cell r="FD66">
            <v>0</v>
          </cell>
          <cell r="FE66">
            <v>0</v>
          </cell>
          <cell r="FF66" t="e">
            <v>#DIV/0!</v>
          </cell>
          <cell r="FG66">
            <v>0</v>
          </cell>
          <cell r="FH66">
            <v>0</v>
          </cell>
          <cell r="FI66" t="e">
            <v>#DIV/0!</v>
          </cell>
          <cell r="FJ66">
            <v>252497</v>
          </cell>
          <cell r="FK66">
            <v>189372</v>
          </cell>
          <cell r="FL66">
            <v>74.999702966767927</v>
          </cell>
          <cell r="FM66">
            <v>93813</v>
          </cell>
          <cell r="FN66">
            <v>70356</v>
          </cell>
          <cell r="FO66">
            <v>74.996002686194871</v>
          </cell>
          <cell r="FP66">
            <v>355522</v>
          </cell>
          <cell r="FQ66">
            <v>266640</v>
          </cell>
          <cell r="FR66">
            <v>74.999578085181781</v>
          </cell>
        </row>
        <row r="67">
          <cell r="AZ67" t="str">
            <v>212 ATEL ELEC</v>
          </cell>
          <cell r="BA67">
            <v>0</v>
          </cell>
          <cell r="BB67">
            <v>0</v>
          </cell>
          <cell r="BC67" t="e">
            <v>#DIV/0!</v>
          </cell>
          <cell r="BD67">
            <v>152896</v>
          </cell>
          <cell r="BE67">
            <v>50460</v>
          </cell>
          <cell r="BF67">
            <v>33.002825449979071</v>
          </cell>
          <cell r="BG67">
            <v>88595</v>
          </cell>
          <cell r="BH67">
            <v>29232</v>
          </cell>
          <cell r="BI67">
            <v>32.995090016366611</v>
          </cell>
          <cell r="BJ67">
            <v>102445</v>
          </cell>
          <cell r="BK67">
            <v>33804</v>
          </cell>
          <cell r="BL67">
            <v>32.997218019425056</v>
          </cell>
          <cell r="BN67" t="str">
            <v>212 ATEL ELEC</v>
          </cell>
          <cell r="BO67">
            <v>94347</v>
          </cell>
          <cell r="BP67">
            <v>31140</v>
          </cell>
          <cell r="BQ67">
            <v>33.005818944958506</v>
          </cell>
          <cell r="BR67">
            <v>61024</v>
          </cell>
          <cell r="BS67">
            <v>20136</v>
          </cell>
          <cell r="BT67">
            <v>32.996853696906136</v>
          </cell>
          <cell r="BU67">
            <v>92550</v>
          </cell>
          <cell r="BV67">
            <v>30540</v>
          </cell>
          <cell r="BW67">
            <v>32.998379254457049</v>
          </cell>
          <cell r="BX67">
            <v>135751</v>
          </cell>
          <cell r="BY67">
            <v>44796</v>
          </cell>
          <cell r="BZ67">
            <v>32.99865194363209</v>
          </cell>
          <cell r="CA67">
            <v>727608</v>
          </cell>
          <cell r="CB67">
            <v>240108</v>
          </cell>
          <cell r="CC67">
            <v>32.999637167265888</v>
          </cell>
          <cell r="CE67" t="str">
            <v>212 ATEL ELEC</v>
          </cell>
          <cell r="CF67">
            <v>788517</v>
          </cell>
          <cell r="CG67">
            <v>788520</v>
          </cell>
          <cell r="CH67">
            <v>100.0003804610427</v>
          </cell>
          <cell r="CI67">
            <v>765953</v>
          </cell>
          <cell r="CJ67">
            <v>765948</v>
          </cell>
          <cell r="CK67">
            <v>99.999347218432462</v>
          </cell>
          <cell r="CL67">
            <v>0</v>
          </cell>
          <cell r="CM67">
            <v>0</v>
          </cell>
          <cell r="CN67" t="e">
            <v>#DIV/0!</v>
          </cell>
          <cell r="CO67">
            <v>0</v>
          </cell>
          <cell r="CP67">
            <v>0</v>
          </cell>
          <cell r="CQ67" t="e">
            <v>#DIV/0!</v>
          </cell>
          <cell r="CR67">
            <v>1554470</v>
          </cell>
          <cell r="CS67">
            <v>1554468</v>
          </cell>
          <cell r="CT67">
            <v>99.999871338784288</v>
          </cell>
          <cell r="CV67" t="str">
            <v>212 ATEL ELEC</v>
          </cell>
          <cell r="CW67">
            <v>0</v>
          </cell>
          <cell r="CX67">
            <v>0</v>
          </cell>
          <cell r="CY67" t="e">
            <v>#DIV/0!</v>
          </cell>
          <cell r="CZ67">
            <v>237667</v>
          </cell>
          <cell r="DA67">
            <v>237672</v>
          </cell>
          <cell r="DB67">
            <v>100.00210378386566</v>
          </cell>
          <cell r="DC67">
            <v>0</v>
          </cell>
          <cell r="DD67">
            <v>0</v>
          </cell>
          <cell r="DE67" t="e">
            <v>#DIV/0!</v>
          </cell>
          <cell r="DF67">
            <v>237667</v>
          </cell>
          <cell r="DG67">
            <v>237672</v>
          </cell>
          <cell r="DH67">
            <v>100.00210378386566</v>
          </cell>
          <cell r="DJ67" t="str">
            <v>212 ATEL ELEC</v>
          </cell>
          <cell r="DK67">
            <v>155274</v>
          </cell>
          <cell r="DL67">
            <v>116460</v>
          </cell>
          <cell r="DM67">
            <v>75.002898102708755</v>
          </cell>
          <cell r="DN67">
            <v>0</v>
          </cell>
          <cell r="DO67">
            <v>0</v>
          </cell>
          <cell r="DP67" t="e">
            <v>#DIV/0!</v>
          </cell>
          <cell r="DQ67">
            <v>0</v>
          </cell>
          <cell r="DR67">
            <v>0</v>
          </cell>
          <cell r="DS67" t="e">
            <v>#DIV/0!</v>
          </cell>
          <cell r="DT67">
            <v>0</v>
          </cell>
          <cell r="DU67">
            <v>0</v>
          </cell>
          <cell r="DV67" t="e">
            <v>#DIV/0!</v>
          </cell>
          <cell r="DX67" t="str">
            <v>212 ATEL ELEC</v>
          </cell>
          <cell r="DY67">
            <v>0</v>
          </cell>
          <cell r="DZ67">
            <v>0</v>
          </cell>
          <cell r="EA67" t="e">
            <v>#DIV/0!</v>
          </cell>
          <cell r="EB67">
            <v>0</v>
          </cell>
          <cell r="EC67">
            <v>0</v>
          </cell>
          <cell r="ED67" t="e">
            <v>#DIV/0!</v>
          </cell>
          <cell r="EE67">
            <v>0</v>
          </cell>
          <cell r="EF67">
            <v>0</v>
          </cell>
          <cell r="EG67" t="e">
            <v>#DIV/0!</v>
          </cell>
          <cell r="EH67">
            <v>226124</v>
          </cell>
          <cell r="EI67">
            <v>169596</v>
          </cell>
          <cell r="EJ67">
            <v>75.001326705701302</v>
          </cell>
          <cell r="EK67">
            <v>381398</v>
          </cell>
          <cell r="EL67">
            <v>286056</v>
          </cell>
          <cell r="EM67">
            <v>75.00196644974541</v>
          </cell>
          <cell r="EO67" t="str">
            <v>212 ATEL ELEC</v>
          </cell>
          <cell r="EP67">
            <v>58456</v>
          </cell>
          <cell r="EQ67">
            <v>43848</v>
          </cell>
          <cell r="ER67">
            <v>75.010264130286032</v>
          </cell>
          <cell r="ES67">
            <v>0</v>
          </cell>
          <cell r="ET67">
            <v>0</v>
          </cell>
          <cell r="EU67" t="e">
            <v>#DIV/0!</v>
          </cell>
          <cell r="EV67">
            <v>45260</v>
          </cell>
          <cell r="EW67">
            <v>33948</v>
          </cell>
          <cell r="EX67">
            <v>75.006628369421122</v>
          </cell>
          <cell r="EY67">
            <v>0</v>
          </cell>
          <cell r="EZ67">
            <v>0</v>
          </cell>
          <cell r="FA67" t="e">
            <v>#DIV/0!</v>
          </cell>
          <cell r="FC67" t="str">
            <v>212 ATEL ELEC</v>
          </cell>
          <cell r="FD67">
            <v>0</v>
          </cell>
          <cell r="FE67">
            <v>0</v>
          </cell>
          <cell r="FF67" t="e">
            <v>#DIV/0!</v>
          </cell>
          <cell r="FG67">
            <v>0</v>
          </cell>
          <cell r="FH67">
            <v>0</v>
          </cell>
          <cell r="FI67" t="e">
            <v>#DIV/0!</v>
          </cell>
          <cell r="FJ67">
            <v>229412</v>
          </cell>
          <cell r="FK67">
            <v>172056</v>
          </cell>
          <cell r="FL67">
            <v>74.99869230903353</v>
          </cell>
          <cell r="FM67">
            <v>12898</v>
          </cell>
          <cell r="FN67">
            <v>9672</v>
          </cell>
          <cell r="FO67">
            <v>74.988370289967435</v>
          </cell>
          <cell r="FP67">
            <v>346026</v>
          </cell>
          <cell r="FQ67">
            <v>259524</v>
          </cell>
          <cell r="FR67">
            <v>75.001300480310732</v>
          </cell>
        </row>
        <row r="68">
          <cell r="AZ68" t="str">
            <v>213 A. DRAGL.</v>
          </cell>
          <cell r="BA68">
            <v>0</v>
          </cell>
          <cell r="BB68">
            <v>0</v>
          </cell>
          <cell r="BC68" t="e">
            <v>#DIV/0!</v>
          </cell>
          <cell r="BD68">
            <v>0</v>
          </cell>
          <cell r="BE68">
            <v>0</v>
          </cell>
          <cell r="BF68" t="e">
            <v>#DIV/0!</v>
          </cell>
          <cell r="BG68">
            <v>0</v>
          </cell>
          <cell r="BH68">
            <v>0</v>
          </cell>
          <cell r="BI68" t="e">
            <v>#DIV/0!</v>
          </cell>
          <cell r="BJ68">
            <v>0</v>
          </cell>
          <cell r="BK68">
            <v>0</v>
          </cell>
          <cell r="BL68" t="e">
            <v>#DIV/0!</v>
          </cell>
          <cell r="BN68" t="str">
            <v>213 A. DRAGL.</v>
          </cell>
          <cell r="BO68">
            <v>0</v>
          </cell>
          <cell r="BP68">
            <v>0</v>
          </cell>
          <cell r="BQ68" t="e">
            <v>#DIV/0!</v>
          </cell>
          <cell r="BR68">
            <v>0</v>
          </cell>
          <cell r="BS68">
            <v>0</v>
          </cell>
          <cell r="BT68" t="e">
            <v>#DIV/0!</v>
          </cell>
          <cell r="BU68">
            <v>0</v>
          </cell>
          <cell r="BV68">
            <v>0</v>
          </cell>
          <cell r="BW68" t="e">
            <v>#DIV/0!</v>
          </cell>
          <cell r="BX68">
            <v>0</v>
          </cell>
          <cell r="BY68">
            <v>0</v>
          </cell>
          <cell r="BZ68" t="e">
            <v>#DIV/0!</v>
          </cell>
          <cell r="CA68">
            <v>0</v>
          </cell>
          <cell r="CB68">
            <v>0</v>
          </cell>
          <cell r="CC68" t="e">
            <v>#DIV/0!</v>
          </cell>
          <cell r="CE68" t="str">
            <v>213 A. DRAGL.</v>
          </cell>
          <cell r="CF68">
            <v>0</v>
          </cell>
          <cell r="CG68">
            <v>0</v>
          </cell>
          <cell r="CH68" t="e">
            <v>#DIV/0!</v>
          </cell>
          <cell r="CI68">
            <v>0</v>
          </cell>
          <cell r="CJ68">
            <v>0</v>
          </cell>
          <cell r="CK68" t="e">
            <v>#DIV/0!</v>
          </cell>
          <cell r="CL68">
            <v>0</v>
          </cell>
          <cell r="CM68">
            <v>0</v>
          </cell>
          <cell r="CN68" t="e">
            <v>#DIV/0!</v>
          </cell>
          <cell r="CO68">
            <v>0</v>
          </cell>
          <cell r="CP68">
            <v>0</v>
          </cell>
          <cell r="CQ68" t="e">
            <v>#DIV/0!</v>
          </cell>
          <cell r="CR68">
            <v>0</v>
          </cell>
          <cell r="CS68">
            <v>0</v>
          </cell>
          <cell r="CT68" t="e">
            <v>#DIV/0!</v>
          </cell>
          <cell r="CV68" t="str">
            <v>213 A. DRAGL.</v>
          </cell>
          <cell r="CW68">
            <v>0</v>
          </cell>
          <cell r="CX68">
            <v>0</v>
          </cell>
          <cell r="CY68" t="e">
            <v>#DIV/0!</v>
          </cell>
          <cell r="CZ68">
            <v>0</v>
          </cell>
          <cell r="DA68">
            <v>0</v>
          </cell>
          <cell r="DB68" t="e">
            <v>#DIV/0!</v>
          </cell>
          <cell r="DC68">
            <v>0</v>
          </cell>
          <cell r="DD68">
            <v>0</v>
          </cell>
          <cell r="DE68" t="e">
            <v>#DIV/0!</v>
          </cell>
          <cell r="DF68">
            <v>0</v>
          </cell>
          <cell r="DG68">
            <v>0</v>
          </cell>
          <cell r="DH68" t="e">
            <v>#DIV/0!</v>
          </cell>
          <cell r="DJ68" t="str">
            <v>213 A. DRAGL.</v>
          </cell>
          <cell r="DK68">
            <v>0</v>
          </cell>
          <cell r="DL68">
            <v>0</v>
          </cell>
          <cell r="DM68" t="e">
            <v>#DIV/0!</v>
          </cell>
          <cell r="DN68">
            <v>0</v>
          </cell>
          <cell r="DO68">
            <v>0</v>
          </cell>
          <cell r="DP68" t="e">
            <v>#DIV/0!</v>
          </cell>
          <cell r="DQ68">
            <v>0</v>
          </cell>
          <cell r="DR68">
            <v>0</v>
          </cell>
          <cell r="DS68" t="e">
            <v>#DIV/0!</v>
          </cell>
          <cell r="DT68">
            <v>0</v>
          </cell>
          <cell r="DU68">
            <v>0</v>
          </cell>
          <cell r="DV68" t="e">
            <v>#DIV/0!</v>
          </cell>
          <cell r="DX68" t="str">
            <v>213 A. DRAGL.</v>
          </cell>
          <cell r="DY68">
            <v>0</v>
          </cell>
          <cell r="DZ68">
            <v>0</v>
          </cell>
          <cell r="EA68" t="e">
            <v>#DIV/0!</v>
          </cell>
          <cell r="EB68">
            <v>0</v>
          </cell>
          <cell r="EC68">
            <v>0</v>
          </cell>
          <cell r="ED68" t="e">
            <v>#DIV/0!</v>
          </cell>
          <cell r="EE68">
            <v>0</v>
          </cell>
          <cell r="EF68">
            <v>0</v>
          </cell>
          <cell r="EG68" t="e">
            <v>#DIV/0!</v>
          </cell>
          <cell r="EH68">
            <v>0</v>
          </cell>
          <cell r="EI68">
            <v>0</v>
          </cell>
          <cell r="EJ68" t="e">
            <v>#DIV/0!</v>
          </cell>
          <cell r="EK68">
            <v>0</v>
          </cell>
          <cell r="EL68">
            <v>0</v>
          </cell>
          <cell r="EM68" t="e">
            <v>#DIV/0!</v>
          </cell>
          <cell r="EO68" t="str">
            <v>213 A. DRAGL.</v>
          </cell>
          <cell r="EP68">
            <v>0</v>
          </cell>
          <cell r="EQ68">
            <v>0</v>
          </cell>
          <cell r="ER68" t="e">
            <v>#DIV/0!</v>
          </cell>
          <cell r="ES68">
            <v>0</v>
          </cell>
          <cell r="ET68">
            <v>0</v>
          </cell>
          <cell r="EU68" t="e">
            <v>#DIV/0!</v>
          </cell>
          <cell r="EV68">
            <v>0</v>
          </cell>
          <cell r="EW68">
            <v>0</v>
          </cell>
          <cell r="EX68" t="e">
            <v>#DIV/0!</v>
          </cell>
          <cell r="EY68">
            <v>0</v>
          </cell>
          <cell r="EZ68">
            <v>0</v>
          </cell>
          <cell r="FA68" t="e">
            <v>#DIV/0!</v>
          </cell>
          <cell r="FC68" t="str">
            <v>213 A. DRAGL.</v>
          </cell>
          <cell r="FD68">
            <v>0</v>
          </cell>
          <cell r="FE68">
            <v>0</v>
          </cell>
          <cell r="FF68" t="e">
            <v>#DIV/0!</v>
          </cell>
          <cell r="FG68">
            <v>0</v>
          </cell>
          <cell r="FH68">
            <v>0</v>
          </cell>
          <cell r="FI68" t="e">
            <v>#DIV/0!</v>
          </cell>
          <cell r="FJ68">
            <v>0</v>
          </cell>
          <cell r="FK68">
            <v>0</v>
          </cell>
          <cell r="FL68" t="e">
            <v>#DIV/0!</v>
          </cell>
          <cell r="FM68">
            <v>0</v>
          </cell>
          <cell r="FN68">
            <v>0</v>
          </cell>
          <cell r="FO68" t="e">
            <v>#DIV/0!</v>
          </cell>
          <cell r="FP68">
            <v>0</v>
          </cell>
          <cell r="FQ68">
            <v>0</v>
          </cell>
          <cell r="FR68" t="e">
            <v>#DIV/0!</v>
          </cell>
        </row>
        <row r="69">
          <cell r="AZ69" t="str">
            <v>218 A. CHAUD. L</v>
          </cell>
          <cell r="BA69">
            <v>0</v>
          </cell>
          <cell r="BB69">
            <v>0</v>
          </cell>
          <cell r="BC69" t="e">
            <v>#DIV/0!</v>
          </cell>
          <cell r="BD69">
            <v>0</v>
          </cell>
          <cell r="BE69">
            <v>0</v>
          </cell>
          <cell r="BF69" t="e">
            <v>#DIV/0!</v>
          </cell>
          <cell r="BG69">
            <v>0</v>
          </cell>
          <cell r="BH69">
            <v>0</v>
          </cell>
          <cell r="BI69" t="e">
            <v>#DIV/0!</v>
          </cell>
          <cell r="BJ69">
            <v>0</v>
          </cell>
          <cell r="BK69">
            <v>0</v>
          </cell>
          <cell r="BL69" t="e">
            <v>#DIV/0!</v>
          </cell>
          <cell r="BN69" t="str">
            <v>218 A. CHAUD. L</v>
          </cell>
          <cell r="BO69">
            <v>0</v>
          </cell>
          <cell r="BP69">
            <v>0</v>
          </cell>
          <cell r="BQ69" t="e">
            <v>#DIV/0!</v>
          </cell>
          <cell r="BR69">
            <v>0</v>
          </cell>
          <cell r="BS69">
            <v>0</v>
          </cell>
          <cell r="BT69" t="e">
            <v>#DIV/0!</v>
          </cell>
          <cell r="BU69">
            <v>0</v>
          </cell>
          <cell r="BV69">
            <v>0</v>
          </cell>
          <cell r="BW69" t="e">
            <v>#DIV/0!</v>
          </cell>
          <cell r="BX69">
            <v>0</v>
          </cell>
          <cell r="BY69">
            <v>0</v>
          </cell>
          <cell r="BZ69" t="e">
            <v>#DIV/0!</v>
          </cell>
          <cell r="CA69">
            <v>0</v>
          </cell>
          <cell r="CB69">
            <v>0</v>
          </cell>
          <cell r="CC69" t="e">
            <v>#DIV/0!</v>
          </cell>
          <cell r="CE69" t="str">
            <v>218 A. CHAUD. L</v>
          </cell>
          <cell r="CF69">
            <v>0</v>
          </cell>
          <cell r="CG69">
            <v>0</v>
          </cell>
          <cell r="CH69" t="e">
            <v>#DIV/0!</v>
          </cell>
          <cell r="CI69">
            <v>0</v>
          </cell>
          <cell r="CJ69">
            <v>0</v>
          </cell>
          <cell r="CK69" t="e">
            <v>#DIV/0!</v>
          </cell>
          <cell r="CL69">
            <v>0</v>
          </cell>
          <cell r="CM69">
            <v>0</v>
          </cell>
          <cell r="CN69" t="e">
            <v>#DIV/0!</v>
          </cell>
          <cell r="CO69">
            <v>0</v>
          </cell>
          <cell r="CP69">
            <v>0</v>
          </cell>
          <cell r="CQ69" t="e">
            <v>#DIV/0!</v>
          </cell>
          <cell r="CR69">
            <v>0</v>
          </cell>
          <cell r="CS69">
            <v>0</v>
          </cell>
          <cell r="CT69" t="e">
            <v>#DIV/0!</v>
          </cell>
          <cell r="CV69" t="str">
            <v>218 A. CHAUD. L</v>
          </cell>
          <cell r="CW69">
            <v>0</v>
          </cell>
          <cell r="CX69">
            <v>0</v>
          </cell>
          <cell r="CY69" t="e">
            <v>#DIV/0!</v>
          </cell>
          <cell r="CZ69">
            <v>0</v>
          </cell>
          <cell r="DA69">
            <v>0</v>
          </cell>
          <cell r="DB69" t="e">
            <v>#DIV/0!</v>
          </cell>
          <cell r="DC69">
            <v>0</v>
          </cell>
          <cell r="DD69">
            <v>0</v>
          </cell>
          <cell r="DE69" t="e">
            <v>#DIV/0!</v>
          </cell>
          <cell r="DF69">
            <v>0</v>
          </cell>
          <cell r="DG69">
            <v>0</v>
          </cell>
          <cell r="DH69" t="e">
            <v>#DIV/0!</v>
          </cell>
          <cell r="DJ69" t="str">
            <v>218 A. CHAUD. L</v>
          </cell>
          <cell r="DK69">
            <v>0</v>
          </cell>
          <cell r="DL69">
            <v>0</v>
          </cell>
          <cell r="DM69" t="e">
            <v>#DIV/0!</v>
          </cell>
          <cell r="DN69">
            <v>0</v>
          </cell>
          <cell r="DO69">
            <v>0</v>
          </cell>
          <cell r="DP69" t="e">
            <v>#DIV/0!</v>
          </cell>
          <cell r="DQ69">
            <v>0</v>
          </cell>
          <cell r="DR69">
            <v>0</v>
          </cell>
          <cell r="DS69" t="e">
            <v>#DIV/0!</v>
          </cell>
          <cell r="DT69">
            <v>0</v>
          </cell>
          <cell r="DU69">
            <v>0</v>
          </cell>
          <cell r="DV69" t="e">
            <v>#DIV/0!</v>
          </cell>
          <cell r="DX69" t="str">
            <v>218 A. CHAUD. L</v>
          </cell>
          <cell r="DY69">
            <v>0</v>
          </cell>
          <cell r="DZ69">
            <v>0</v>
          </cell>
          <cell r="EA69" t="e">
            <v>#DIV/0!</v>
          </cell>
          <cell r="EB69">
            <v>0</v>
          </cell>
          <cell r="EC69">
            <v>0</v>
          </cell>
          <cell r="ED69" t="e">
            <v>#DIV/0!</v>
          </cell>
          <cell r="EE69">
            <v>0</v>
          </cell>
          <cell r="EF69">
            <v>0</v>
          </cell>
          <cell r="EG69" t="e">
            <v>#DIV/0!</v>
          </cell>
          <cell r="EH69">
            <v>0</v>
          </cell>
          <cell r="EI69">
            <v>0</v>
          </cell>
          <cell r="EJ69" t="e">
            <v>#DIV/0!</v>
          </cell>
          <cell r="EK69">
            <v>0</v>
          </cell>
          <cell r="EL69">
            <v>0</v>
          </cell>
          <cell r="EM69" t="e">
            <v>#DIV/0!</v>
          </cell>
          <cell r="EO69" t="str">
            <v>218 A. CHAUD. L</v>
          </cell>
          <cell r="EP69">
            <v>0</v>
          </cell>
          <cell r="EQ69">
            <v>0</v>
          </cell>
          <cell r="ER69" t="e">
            <v>#DIV/0!</v>
          </cell>
          <cell r="ES69">
            <v>0</v>
          </cell>
          <cell r="ET69">
            <v>0</v>
          </cell>
          <cell r="EU69" t="e">
            <v>#DIV/0!</v>
          </cell>
          <cell r="EV69">
            <v>0</v>
          </cell>
          <cell r="EW69">
            <v>0</v>
          </cell>
          <cell r="EX69" t="e">
            <v>#DIV/0!</v>
          </cell>
          <cell r="EY69">
            <v>0</v>
          </cell>
          <cell r="EZ69">
            <v>0</v>
          </cell>
          <cell r="FA69" t="e">
            <v>#DIV/0!</v>
          </cell>
          <cell r="FC69" t="str">
            <v>218 A. CHAUD. L</v>
          </cell>
          <cell r="FD69">
            <v>0</v>
          </cell>
          <cell r="FE69">
            <v>0</v>
          </cell>
          <cell r="FF69" t="e">
            <v>#DIV/0!</v>
          </cell>
          <cell r="FG69">
            <v>0</v>
          </cell>
          <cell r="FH69">
            <v>0</v>
          </cell>
          <cell r="FI69" t="e">
            <v>#DIV/0!</v>
          </cell>
          <cell r="FJ69">
            <v>0</v>
          </cell>
          <cell r="FK69">
            <v>0</v>
          </cell>
          <cell r="FL69" t="e">
            <v>#DIV/0!</v>
          </cell>
          <cell r="FM69">
            <v>0</v>
          </cell>
          <cell r="FN69">
            <v>0</v>
          </cell>
          <cell r="FO69" t="e">
            <v>#DIV/0!</v>
          </cell>
          <cell r="FP69">
            <v>0</v>
          </cell>
          <cell r="FQ69">
            <v>0</v>
          </cell>
          <cell r="FR69" t="e">
            <v>#DIV/0!</v>
          </cell>
        </row>
        <row r="70">
          <cell r="AZ70" t="str">
            <v>231 CAMION CH.</v>
          </cell>
          <cell r="BA70">
            <v>0</v>
          </cell>
          <cell r="BB70">
            <v>0</v>
          </cell>
          <cell r="BC70" t="e">
            <v>#DIV/0!</v>
          </cell>
          <cell r="BD70">
            <v>0</v>
          </cell>
          <cell r="BE70">
            <v>0</v>
          </cell>
          <cell r="BF70" t="e">
            <v>#DIV/0!</v>
          </cell>
          <cell r="BG70">
            <v>0</v>
          </cell>
          <cell r="BH70">
            <v>0</v>
          </cell>
          <cell r="BI70" t="e">
            <v>#DIV/0!</v>
          </cell>
          <cell r="BJ70">
            <v>0</v>
          </cell>
          <cell r="BK70">
            <v>0</v>
          </cell>
          <cell r="BL70" t="e">
            <v>#DIV/0!</v>
          </cell>
          <cell r="BN70" t="str">
            <v>231 CAMION CH.</v>
          </cell>
          <cell r="BO70">
            <v>0</v>
          </cell>
          <cell r="BP70">
            <v>0</v>
          </cell>
          <cell r="BQ70" t="e">
            <v>#DIV/0!</v>
          </cell>
          <cell r="BR70">
            <v>0</v>
          </cell>
          <cell r="BS70">
            <v>0</v>
          </cell>
          <cell r="BT70" t="e">
            <v>#DIV/0!</v>
          </cell>
          <cell r="BU70">
            <v>0</v>
          </cell>
          <cell r="BV70">
            <v>0</v>
          </cell>
          <cell r="BW70" t="e">
            <v>#DIV/0!</v>
          </cell>
          <cell r="BX70">
            <v>0</v>
          </cell>
          <cell r="BY70">
            <v>0</v>
          </cell>
          <cell r="BZ70" t="e">
            <v>#DIV/0!</v>
          </cell>
          <cell r="CA70">
            <v>0</v>
          </cell>
          <cell r="CB70">
            <v>0</v>
          </cell>
          <cell r="CC70" t="e">
            <v>#DIV/0!</v>
          </cell>
          <cell r="CE70" t="str">
            <v>231 CAMION CH.</v>
          </cell>
          <cell r="CF70">
            <v>0</v>
          </cell>
          <cell r="CG70">
            <v>0</v>
          </cell>
          <cell r="CH70" t="e">
            <v>#DIV/0!</v>
          </cell>
          <cell r="CI70">
            <v>0</v>
          </cell>
          <cell r="CJ70">
            <v>0</v>
          </cell>
          <cell r="CK70" t="e">
            <v>#DIV/0!</v>
          </cell>
          <cell r="CL70">
            <v>0</v>
          </cell>
          <cell r="CM70">
            <v>0</v>
          </cell>
          <cell r="CN70" t="e">
            <v>#DIV/0!</v>
          </cell>
          <cell r="CO70">
            <v>0</v>
          </cell>
          <cell r="CP70">
            <v>0</v>
          </cell>
          <cell r="CQ70" t="e">
            <v>#DIV/0!</v>
          </cell>
          <cell r="CR70">
            <v>0</v>
          </cell>
          <cell r="CS70">
            <v>0</v>
          </cell>
          <cell r="CT70" t="e">
            <v>#DIV/0!</v>
          </cell>
          <cell r="CV70" t="str">
            <v>231 CAMION CH.</v>
          </cell>
          <cell r="CW70">
            <v>0</v>
          </cell>
          <cell r="CX70">
            <v>0</v>
          </cell>
          <cell r="CY70" t="e">
            <v>#DIV/0!</v>
          </cell>
          <cell r="CZ70">
            <v>0</v>
          </cell>
          <cell r="DA70">
            <v>0</v>
          </cell>
          <cell r="DB70" t="e">
            <v>#DIV/0!</v>
          </cell>
          <cell r="DC70">
            <v>0</v>
          </cell>
          <cell r="DD70">
            <v>0</v>
          </cell>
          <cell r="DE70" t="e">
            <v>#DIV/0!</v>
          </cell>
          <cell r="DF70">
            <v>0</v>
          </cell>
          <cell r="DG70">
            <v>0</v>
          </cell>
          <cell r="DH70" t="e">
            <v>#DIV/0!</v>
          </cell>
          <cell r="DJ70" t="str">
            <v>231 CAMION CH.</v>
          </cell>
          <cell r="DK70">
            <v>0</v>
          </cell>
          <cell r="DL70">
            <v>0</v>
          </cell>
          <cell r="DM70" t="e">
            <v>#DIV/0!</v>
          </cell>
          <cell r="DN70">
            <v>0</v>
          </cell>
          <cell r="DO70">
            <v>0</v>
          </cell>
          <cell r="DP70" t="e">
            <v>#DIV/0!</v>
          </cell>
          <cell r="DQ70">
            <v>0</v>
          </cell>
          <cell r="DR70">
            <v>0</v>
          </cell>
          <cell r="DS70" t="e">
            <v>#DIV/0!</v>
          </cell>
          <cell r="DT70">
            <v>0</v>
          </cell>
          <cell r="DU70">
            <v>0</v>
          </cell>
          <cell r="DV70" t="e">
            <v>#DIV/0!</v>
          </cell>
          <cell r="DX70" t="str">
            <v>231 CAMION CH.</v>
          </cell>
          <cell r="DY70">
            <v>0</v>
          </cell>
          <cell r="DZ70">
            <v>0</v>
          </cell>
          <cell r="EA70" t="e">
            <v>#DIV/0!</v>
          </cell>
          <cell r="EB70">
            <v>0</v>
          </cell>
          <cell r="EC70">
            <v>0</v>
          </cell>
          <cell r="ED70" t="e">
            <v>#DIV/0!</v>
          </cell>
          <cell r="EE70">
            <v>0</v>
          </cell>
          <cell r="EF70">
            <v>0</v>
          </cell>
          <cell r="EG70" t="e">
            <v>#DIV/0!</v>
          </cell>
          <cell r="EH70">
            <v>110179</v>
          </cell>
          <cell r="EI70">
            <v>82632</v>
          </cell>
          <cell r="EJ70">
            <v>74.99795786855934</v>
          </cell>
          <cell r="EK70">
            <v>110179</v>
          </cell>
          <cell r="EL70">
            <v>82632</v>
          </cell>
          <cell r="EM70">
            <v>74.99795786855934</v>
          </cell>
          <cell r="EO70" t="str">
            <v>231 CAMION CH.</v>
          </cell>
          <cell r="EP70">
            <v>0</v>
          </cell>
          <cell r="EQ70">
            <v>0</v>
          </cell>
          <cell r="ER70" t="e">
            <v>#DIV/0!</v>
          </cell>
          <cell r="ES70">
            <v>0</v>
          </cell>
          <cell r="ET70">
            <v>0</v>
          </cell>
          <cell r="EU70" t="e">
            <v>#DIV/0!</v>
          </cell>
          <cell r="EV70">
            <v>0</v>
          </cell>
          <cell r="EW70">
            <v>0</v>
          </cell>
          <cell r="EX70" t="e">
            <v>#DIV/0!</v>
          </cell>
          <cell r="EY70">
            <v>0</v>
          </cell>
          <cell r="EZ70">
            <v>0</v>
          </cell>
          <cell r="FA70" t="e">
            <v>#DIV/0!</v>
          </cell>
          <cell r="FC70" t="str">
            <v>231 CAMION CH.</v>
          </cell>
          <cell r="FD70">
            <v>0</v>
          </cell>
          <cell r="FE70">
            <v>0</v>
          </cell>
          <cell r="FF70" t="e">
            <v>#DIV/0!</v>
          </cell>
          <cell r="FG70">
            <v>0</v>
          </cell>
          <cell r="FH70">
            <v>0</v>
          </cell>
          <cell r="FI70" t="e">
            <v>#DIV/0!</v>
          </cell>
          <cell r="FJ70">
            <v>0</v>
          </cell>
          <cell r="FK70">
            <v>0</v>
          </cell>
          <cell r="FL70" t="e">
            <v>#DIV/0!</v>
          </cell>
          <cell r="FM70">
            <v>540323</v>
          </cell>
          <cell r="FN70">
            <v>405240</v>
          </cell>
          <cell r="FO70">
            <v>74.99958358241274</v>
          </cell>
          <cell r="FP70">
            <v>540323</v>
          </cell>
          <cell r="FQ70">
            <v>405240</v>
          </cell>
          <cell r="FR70">
            <v>74.99958358241274</v>
          </cell>
        </row>
        <row r="71">
          <cell r="AZ71" t="str">
            <v>232 BULLS</v>
          </cell>
          <cell r="BA71">
            <v>0</v>
          </cell>
          <cell r="BB71">
            <v>0</v>
          </cell>
          <cell r="BC71" t="e">
            <v>#DIV/0!</v>
          </cell>
          <cell r="BD71">
            <v>0</v>
          </cell>
          <cell r="BE71">
            <v>0</v>
          </cell>
          <cell r="BF71" t="e">
            <v>#DIV/0!</v>
          </cell>
          <cell r="BG71">
            <v>0</v>
          </cell>
          <cell r="BH71">
            <v>0</v>
          </cell>
          <cell r="BI71" t="e">
            <v>#DIV/0!</v>
          </cell>
          <cell r="BJ71">
            <v>0</v>
          </cell>
          <cell r="BK71">
            <v>0</v>
          </cell>
          <cell r="BL71" t="e">
            <v>#DIV/0!</v>
          </cell>
          <cell r="BN71" t="str">
            <v>232 BULLS</v>
          </cell>
          <cell r="BO71">
            <v>0</v>
          </cell>
          <cell r="BP71">
            <v>0</v>
          </cell>
          <cell r="BQ71" t="e">
            <v>#DIV/0!</v>
          </cell>
          <cell r="BR71">
            <v>0</v>
          </cell>
          <cell r="BS71">
            <v>0</v>
          </cell>
          <cell r="BT71" t="e">
            <v>#DIV/0!</v>
          </cell>
          <cell r="BU71">
            <v>0</v>
          </cell>
          <cell r="BV71">
            <v>0</v>
          </cell>
          <cell r="BW71" t="e">
            <v>#DIV/0!</v>
          </cell>
          <cell r="BX71">
            <v>0</v>
          </cell>
          <cell r="BY71">
            <v>0</v>
          </cell>
          <cell r="BZ71" t="e">
            <v>#DIV/0!</v>
          </cell>
          <cell r="CA71">
            <v>0</v>
          </cell>
          <cell r="CB71">
            <v>0</v>
          </cell>
          <cell r="CC71" t="e">
            <v>#DIV/0!</v>
          </cell>
          <cell r="CE71" t="str">
            <v>232 BULLS</v>
          </cell>
          <cell r="CF71">
            <v>0</v>
          </cell>
          <cell r="CG71">
            <v>0</v>
          </cell>
          <cell r="CH71" t="e">
            <v>#DIV/0!</v>
          </cell>
          <cell r="CI71">
            <v>0</v>
          </cell>
          <cell r="CJ71">
            <v>0</v>
          </cell>
          <cell r="CK71" t="e">
            <v>#DIV/0!</v>
          </cell>
          <cell r="CL71">
            <v>0</v>
          </cell>
          <cell r="CM71">
            <v>0</v>
          </cell>
          <cell r="CN71" t="e">
            <v>#DIV/0!</v>
          </cell>
          <cell r="CO71">
            <v>0</v>
          </cell>
          <cell r="CP71">
            <v>0</v>
          </cell>
          <cell r="CQ71" t="e">
            <v>#DIV/0!</v>
          </cell>
          <cell r="CR71">
            <v>0</v>
          </cell>
          <cell r="CS71">
            <v>0</v>
          </cell>
          <cell r="CT71" t="e">
            <v>#DIV/0!</v>
          </cell>
          <cell r="CV71" t="str">
            <v>232 BULLS</v>
          </cell>
          <cell r="CW71">
            <v>0</v>
          </cell>
          <cell r="CX71">
            <v>0</v>
          </cell>
          <cell r="CY71" t="e">
            <v>#DIV/0!</v>
          </cell>
          <cell r="CZ71">
            <v>0</v>
          </cell>
          <cell r="DA71">
            <v>0</v>
          </cell>
          <cell r="DB71" t="e">
            <v>#DIV/0!</v>
          </cell>
          <cell r="DC71">
            <v>0</v>
          </cell>
          <cell r="DD71">
            <v>0</v>
          </cell>
          <cell r="DE71" t="e">
            <v>#DIV/0!</v>
          </cell>
          <cell r="DF71">
            <v>0</v>
          </cell>
          <cell r="DG71">
            <v>0</v>
          </cell>
          <cell r="DH71" t="e">
            <v>#DIV/0!</v>
          </cell>
          <cell r="DJ71" t="str">
            <v>232 BULLS</v>
          </cell>
          <cell r="DK71">
            <v>0</v>
          </cell>
          <cell r="DL71">
            <v>0</v>
          </cell>
          <cell r="DM71" t="e">
            <v>#DIV/0!</v>
          </cell>
          <cell r="DN71">
            <v>0</v>
          </cell>
          <cell r="DO71">
            <v>0</v>
          </cell>
          <cell r="DP71" t="e">
            <v>#DIV/0!</v>
          </cell>
          <cell r="DQ71">
            <v>0</v>
          </cell>
          <cell r="DR71">
            <v>0</v>
          </cell>
          <cell r="DS71" t="e">
            <v>#DIV/0!</v>
          </cell>
          <cell r="DT71">
            <v>0</v>
          </cell>
          <cell r="DU71">
            <v>0</v>
          </cell>
          <cell r="DV71" t="e">
            <v>#DIV/0!</v>
          </cell>
          <cell r="DX71" t="str">
            <v>232 BULLS</v>
          </cell>
          <cell r="DY71">
            <v>0</v>
          </cell>
          <cell r="DZ71">
            <v>0</v>
          </cell>
          <cell r="EA71" t="e">
            <v>#DIV/0!</v>
          </cell>
          <cell r="EB71">
            <v>0</v>
          </cell>
          <cell r="EC71">
            <v>0</v>
          </cell>
          <cell r="ED71" t="e">
            <v>#DIV/0!</v>
          </cell>
          <cell r="EE71">
            <v>0</v>
          </cell>
          <cell r="EF71">
            <v>0</v>
          </cell>
          <cell r="EG71" t="e">
            <v>#DIV/0!</v>
          </cell>
          <cell r="EH71">
            <v>0</v>
          </cell>
          <cell r="EI71">
            <v>0</v>
          </cell>
          <cell r="EJ71" t="e">
            <v>#DIV/0!</v>
          </cell>
          <cell r="EK71">
            <v>0</v>
          </cell>
          <cell r="EL71">
            <v>0</v>
          </cell>
          <cell r="EM71" t="e">
            <v>#DIV/0!</v>
          </cell>
          <cell r="EO71" t="str">
            <v>232 BULLS</v>
          </cell>
          <cell r="EP71">
            <v>0</v>
          </cell>
          <cell r="EQ71">
            <v>0</v>
          </cell>
          <cell r="ER71" t="e">
            <v>#DIV/0!</v>
          </cell>
          <cell r="ES71">
            <v>0</v>
          </cell>
          <cell r="ET71">
            <v>0</v>
          </cell>
          <cell r="EU71" t="e">
            <v>#DIV/0!</v>
          </cell>
          <cell r="EV71">
            <v>0</v>
          </cell>
          <cell r="EW71">
            <v>0</v>
          </cell>
          <cell r="EX71" t="e">
            <v>#DIV/0!</v>
          </cell>
          <cell r="EY71">
            <v>0</v>
          </cell>
          <cell r="EZ71">
            <v>0</v>
          </cell>
          <cell r="FA71" t="e">
            <v>#DIV/0!</v>
          </cell>
          <cell r="FC71" t="str">
            <v>232 BULLS</v>
          </cell>
          <cell r="FD71">
            <v>0</v>
          </cell>
          <cell r="FE71">
            <v>0</v>
          </cell>
          <cell r="FF71" t="e">
            <v>#DIV/0!</v>
          </cell>
          <cell r="FG71">
            <v>0</v>
          </cell>
          <cell r="FH71">
            <v>0</v>
          </cell>
          <cell r="FI71" t="e">
            <v>#DIV/0!</v>
          </cell>
          <cell r="FJ71">
            <v>0</v>
          </cell>
          <cell r="FK71">
            <v>0</v>
          </cell>
          <cell r="FL71" t="e">
            <v>#DIV/0!</v>
          </cell>
          <cell r="FM71">
            <v>5287</v>
          </cell>
          <cell r="FN71">
            <v>3960</v>
          </cell>
          <cell r="FO71">
            <v>74.900699829771128</v>
          </cell>
          <cell r="FP71">
            <v>5287</v>
          </cell>
          <cell r="FQ71">
            <v>3960</v>
          </cell>
          <cell r="FR71">
            <v>74.900699829771128</v>
          </cell>
        </row>
        <row r="72">
          <cell r="AZ72" t="str">
            <v>233 NIVELEUSES</v>
          </cell>
          <cell r="BA72">
            <v>0</v>
          </cell>
          <cell r="BB72">
            <v>0</v>
          </cell>
          <cell r="BC72" t="e">
            <v>#DIV/0!</v>
          </cell>
          <cell r="BD72">
            <v>0</v>
          </cell>
          <cell r="BE72">
            <v>0</v>
          </cell>
          <cell r="BF72" t="e">
            <v>#DIV/0!</v>
          </cell>
          <cell r="BG72">
            <v>0</v>
          </cell>
          <cell r="BH72">
            <v>0</v>
          </cell>
          <cell r="BI72" t="e">
            <v>#DIV/0!</v>
          </cell>
          <cell r="BJ72">
            <v>0</v>
          </cell>
          <cell r="BK72">
            <v>0</v>
          </cell>
          <cell r="BL72" t="e">
            <v>#DIV/0!</v>
          </cell>
          <cell r="BN72" t="str">
            <v>233 NIVELEUSES</v>
          </cell>
          <cell r="BO72">
            <v>0</v>
          </cell>
          <cell r="BP72">
            <v>0</v>
          </cell>
          <cell r="BQ72" t="e">
            <v>#DIV/0!</v>
          </cell>
          <cell r="BR72">
            <v>0</v>
          </cell>
          <cell r="BS72">
            <v>0</v>
          </cell>
          <cell r="BT72" t="e">
            <v>#DIV/0!</v>
          </cell>
          <cell r="BU72">
            <v>0</v>
          </cell>
          <cell r="BV72">
            <v>0</v>
          </cell>
          <cell r="BW72" t="e">
            <v>#DIV/0!</v>
          </cell>
          <cell r="BX72">
            <v>0</v>
          </cell>
          <cell r="BY72">
            <v>0</v>
          </cell>
          <cell r="BZ72" t="e">
            <v>#DIV/0!</v>
          </cell>
          <cell r="CA72">
            <v>0</v>
          </cell>
          <cell r="CB72">
            <v>0</v>
          </cell>
          <cell r="CC72" t="e">
            <v>#DIV/0!</v>
          </cell>
          <cell r="CE72" t="str">
            <v>233 NIVELEUSES</v>
          </cell>
          <cell r="CF72">
            <v>0</v>
          </cell>
          <cell r="CG72">
            <v>0</v>
          </cell>
          <cell r="CH72" t="e">
            <v>#DIV/0!</v>
          </cell>
          <cell r="CI72">
            <v>0</v>
          </cell>
          <cell r="CJ72">
            <v>0</v>
          </cell>
          <cell r="CK72" t="e">
            <v>#DIV/0!</v>
          </cell>
          <cell r="CL72">
            <v>0</v>
          </cell>
          <cell r="CM72">
            <v>0</v>
          </cell>
          <cell r="CN72" t="e">
            <v>#DIV/0!</v>
          </cell>
          <cell r="CO72">
            <v>0</v>
          </cell>
          <cell r="CP72">
            <v>0</v>
          </cell>
          <cell r="CQ72" t="e">
            <v>#DIV/0!</v>
          </cell>
          <cell r="CR72">
            <v>0</v>
          </cell>
          <cell r="CS72">
            <v>0</v>
          </cell>
          <cell r="CT72" t="e">
            <v>#DIV/0!</v>
          </cell>
          <cell r="CV72" t="str">
            <v>233 NIVELEUSES</v>
          </cell>
          <cell r="CW72">
            <v>0</v>
          </cell>
          <cell r="CX72">
            <v>0</v>
          </cell>
          <cell r="CY72" t="e">
            <v>#DIV/0!</v>
          </cell>
          <cell r="CZ72">
            <v>0</v>
          </cell>
          <cell r="DA72">
            <v>0</v>
          </cell>
          <cell r="DB72" t="e">
            <v>#DIV/0!</v>
          </cell>
          <cell r="DC72">
            <v>0</v>
          </cell>
          <cell r="DD72">
            <v>0</v>
          </cell>
          <cell r="DE72" t="e">
            <v>#DIV/0!</v>
          </cell>
          <cell r="DF72">
            <v>0</v>
          </cell>
          <cell r="DG72">
            <v>0</v>
          </cell>
          <cell r="DH72" t="e">
            <v>#DIV/0!</v>
          </cell>
          <cell r="DJ72" t="str">
            <v>233 NIVELEUSES</v>
          </cell>
          <cell r="DK72">
            <v>0</v>
          </cell>
          <cell r="DL72">
            <v>0</v>
          </cell>
          <cell r="DM72" t="e">
            <v>#DIV/0!</v>
          </cell>
          <cell r="DN72">
            <v>0</v>
          </cell>
          <cell r="DO72">
            <v>0</v>
          </cell>
          <cell r="DP72" t="e">
            <v>#DIV/0!</v>
          </cell>
          <cell r="DQ72">
            <v>0</v>
          </cell>
          <cell r="DR72">
            <v>0</v>
          </cell>
          <cell r="DS72" t="e">
            <v>#DIV/0!</v>
          </cell>
          <cell r="DT72">
            <v>0</v>
          </cell>
          <cell r="DU72">
            <v>0</v>
          </cell>
          <cell r="DV72" t="e">
            <v>#DIV/0!</v>
          </cell>
          <cell r="DX72" t="str">
            <v>233 NIVELEUSES</v>
          </cell>
          <cell r="DY72">
            <v>0</v>
          </cell>
          <cell r="DZ72">
            <v>0</v>
          </cell>
          <cell r="EA72" t="e">
            <v>#DIV/0!</v>
          </cell>
          <cell r="EB72">
            <v>0</v>
          </cell>
          <cell r="EC72">
            <v>0</v>
          </cell>
          <cell r="ED72" t="e">
            <v>#DIV/0!</v>
          </cell>
          <cell r="EE72">
            <v>0</v>
          </cell>
          <cell r="EF72">
            <v>0</v>
          </cell>
          <cell r="EG72" t="e">
            <v>#DIV/0!</v>
          </cell>
          <cell r="EH72">
            <v>0</v>
          </cell>
          <cell r="EI72">
            <v>0</v>
          </cell>
          <cell r="EJ72" t="e">
            <v>#DIV/0!</v>
          </cell>
          <cell r="EK72">
            <v>0</v>
          </cell>
          <cell r="EL72">
            <v>0</v>
          </cell>
          <cell r="EM72" t="e">
            <v>#DIV/0!</v>
          </cell>
          <cell r="EO72" t="str">
            <v>233 NIVELEUSES</v>
          </cell>
          <cell r="EP72">
            <v>0</v>
          </cell>
          <cell r="EQ72">
            <v>0</v>
          </cell>
          <cell r="ER72" t="e">
            <v>#DIV/0!</v>
          </cell>
          <cell r="ES72">
            <v>0</v>
          </cell>
          <cell r="ET72">
            <v>0</v>
          </cell>
          <cell r="EU72" t="e">
            <v>#DIV/0!</v>
          </cell>
          <cell r="EV72">
            <v>0</v>
          </cell>
          <cell r="EW72">
            <v>0</v>
          </cell>
          <cell r="EX72" t="e">
            <v>#DIV/0!</v>
          </cell>
          <cell r="EY72">
            <v>0</v>
          </cell>
          <cell r="EZ72">
            <v>0</v>
          </cell>
          <cell r="FA72" t="e">
            <v>#DIV/0!</v>
          </cell>
          <cell r="FC72" t="str">
            <v>233 NIVELEUSES</v>
          </cell>
          <cell r="FD72">
            <v>0</v>
          </cell>
          <cell r="FE72">
            <v>0</v>
          </cell>
          <cell r="FF72" t="e">
            <v>#DIV/0!</v>
          </cell>
          <cell r="FG72">
            <v>0</v>
          </cell>
          <cell r="FH72">
            <v>0</v>
          </cell>
          <cell r="FI72" t="e">
            <v>#DIV/0!</v>
          </cell>
          <cell r="FJ72">
            <v>10150</v>
          </cell>
          <cell r="FK72">
            <v>7608</v>
          </cell>
          <cell r="FL72">
            <v>74.955665024630548</v>
          </cell>
          <cell r="FM72">
            <v>0</v>
          </cell>
          <cell r="FN72">
            <v>0</v>
          </cell>
          <cell r="FO72" t="e">
            <v>#DIV/0!</v>
          </cell>
          <cell r="FP72">
            <v>10150</v>
          </cell>
          <cell r="FQ72">
            <v>7608</v>
          </cell>
          <cell r="FR72">
            <v>74.955665024630548</v>
          </cell>
        </row>
        <row r="73">
          <cell r="AZ73" t="str">
            <v>234 CHARGEUS</v>
          </cell>
          <cell r="BA73">
            <v>0</v>
          </cell>
          <cell r="BB73">
            <v>0</v>
          </cell>
          <cell r="BC73" t="e">
            <v>#DIV/0!</v>
          </cell>
          <cell r="BD73">
            <v>0</v>
          </cell>
          <cell r="BE73">
            <v>0</v>
          </cell>
          <cell r="BF73" t="e">
            <v>#DIV/0!</v>
          </cell>
          <cell r="BG73">
            <v>0</v>
          </cell>
          <cell r="BH73">
            <v>0</v>
          </cell>
          <cell r="BI73" t="e">
            <v>#DIV/0!</v>
          </cell>
          <cell r="BJ73">
            <v>0</v>
          </cell>
          <cell r="BK73">
            <v>0</v>
          </cell>
          <cell r="BL73" t="e">
            <v>#DIV/0!</v>
          </cell>
          <cell r="BN73" t="str">
            <v>234 CHARGEUS</v>
          </cell>
          <cell r="BO73">
            <v>0</v>
          </cell>
          <cell r="BP73">
            <v>0</v>
          </cell>
          <cell r="BQ73" t="e">
            <v>#DIV/0!</v>
          </cell>
          <cell r="BR73">
            <v>0</v>
          </cell>
          <cell r="BS73">
            <v>0</v>
          </cell>
          <cell r="BT73" t="e">
            <v>#DIV/0!</v>
          </cell>
          <cell r="BU73">
            <v>0</v>
          </cell>
          <cell r="BV73">
            <v>0</v>
          </cell>
          <cell r="BW73" t="e">
            <v>#DIV/0!</v>
          </cell>
          <cell r="BX73">
            <v>0</v>
          </cell>
          <cell r="BY73">
            <v>0</v>
          </cell>
          <cell r="BZ73" t="e">
            <v>#DIV/0!</v>
          </cell>
          <cell r="CA73">
            <v>0</v>
          </cell>
          <cell r="CB73">
            <v>0</v>
          </cell>
          <cell r="CC73" t="e">
            <v>#DIV/0!</v>
          </cell>
          <cell r="CE73" t="str">
            <v>234 CHARGEUS</v>
          </cell>
          <cell r="CF73">
            <v>0</v>
          </cell>
          <cell r="CG73">
            <v>0</v>
          </cell>
          <cell r="CH73" t="e">
            <v>#DIV/0!</v>
          </cell>
          <cell r="CI73">
            <v>0</v>
          </cell>
          <cell r="CJ73">
            <v>0</v>
          </cell>
          <cell r="CK73" t="e">
            <v>#DIV/0!</v>
          </cell>
          <cell r="CL73">
            <v>0</v>
          </cell>
          <cell r="CM73">
            <v>0</v>
          </cell>
          <cell r="CN73" t="e">
            <v>#DIV/0!</v>
          </cell>
          <cell r="CO73">
            <v>0</v>
          </cell>
          <cell r="CP73">
            <v>0</v>
          </cell>
          <cell r="CQ73" t="e">
            <v>#DIV/0!</v>
          </cell>
          <cell r="CR73">
            <v>0</v>
          </cell>
          <cell r="CS73">
            <v>0</v>
          </cell>
          <cell r="CT73" t="e">
            <v>#DIV/0!</v>
          </cell>
          <cell r="CV73" t="str">
            <v>234 CHARGEUS</v>
          </cell>
          <cell r="CW73">
            <v>0</v>
          </cell>
          <cell r="CX73">
            <v>0</v>
          </cell>
          <cell r="CY73" t="e">
            <v>#DIV/0!</v>
          </cell>
          <cell r="CZ73">
            <v>0</v>
          </cell>
          <cell r="DA73">
            <v>0</v>
          </cell>
          <cell r="DB73" t="e">
            <v>#DIV/0!</v>
          </cell>
          <cell r="DC73">
            <v>0</v>
          </cell>
          <cell r="DD73">
            <v>0</v>
          </cell>
          <cell r="DE73" t="e">
            <v>#DIV/0!</v>
          </cell>
          <cell r="DF73">
            <v>0</v>
          </cell>
          <cell r="DG73">
            <v>0</v>
          </cell>
          <cell r="DH73" t="e">
            <v>#DIV/0!</v>
          </cell>
          <cell r="DJ73" t="str">
            <v>234 CHARGEUS</v>
          </cell>
          <cell r="DK73">
            <v>0</v>
          </cell>
          <cell r="DL73">
            <v>0</v>
          </cell>
          <cell r="DM73" t="e">
            <v>#DIV/0!</v>
          </cell>
          <cell r="DN73">
            <v>0</v>
          </cell>
          <cell r="DO73">
            <v>0</v>
          </cell>
          <cell r="DP73" t="e">
            <v>#DIV/0!</v>
          </cell>
          <cell r="DQ73">
            <v>0</v>
          </cell>
          <cell r="DR73">
            <v>0</v>
          </cell>
          <cell r="DS73" t="e">
            <v>#DIV/0!</v>
          </cell>
          <cell r="DT73">
            <v>0</v>
          </cell>
          <cell r="DU73">
            <v>0</v>
          </cell>
          <cell r="DV73" t="e">
            <v>#DIV/0!</v>
          </cell>
          <cell r="DX73" t="str">
            <v>234 CHARGEUS</v>
          </cell>
          <cell r="DY73">
            <v>0</v>
          </cell>
          <cell r="DZ73">
            <v>0</v>
          </cell>
          <cell r="EA73" t="e">
            <v>#DIV/0!</v>
          </cell>
          <cell r="EB73">
            <v>0</v>
          </cell>
          <cell r="EC73">
            <v>0</v>
          </cell>
          <cell r="ED73" t="e">
            <v>#DIV/0!</v>
          </cell>
          <cell r="EE73">
            <v>0</v>
          </cell>
          <cell r="EF73">
            <v>0</v>
          </cell>
          <cell r="EG73" t="e">
            <v>#DIV/0!</v>
          </cell>
          <cell r="EH73">
            <v>0</v>
          </cell>
          <cell r="EI73">
            <v>0</v>
          </cell>
          <cell r="EJ73" t="e">
            <v>#DIV/0!</v>
          </cell>
          <cell r="EK73">
            <v>0</v>
          </cell>
          <cell r="EL73">
            <v>0</v>
          </cell>
          <cell r="EM73" t="e">
            <v>#DIV/0!</v>
          </cell>
          <cell r="EO73" t="str">
            <v>234 CHARGEUS</v>
          </cell>
          <cell r="EP73">
            <v>0</v>
          </cell>
          <cell r="EQ73">
            <v>0</v>
          </cell>
          <cell r="ER73" t="e">
            <v>#DIV/0!</v>
          </cell>
          <cell r="ES73">
            <v>0</v>
          </cell>
          <cell r="ET73">
            <v>0</v>
          </cell>
          <cell r="EU73" t="e">
            <v>#DIV/0!</v>
          </cell>
          <cell r="EV73">
            <v>0</v>
          </cell>
          <cell r="EW73">
            <v>0</v>
          </cell>
          <cell r="EX73" t="e">
            <v>#DIV/0!</v>
          </cell>
          <cell r="EY73">
            <v>0</v>
          </cell>
          <cell r="EZ73">
            <v>0</v>
          </cell>
          <cell r="FA73" t="e">
            <v>#DIV/0!</v>
          </cell>
          <cell r="FC73" t="str">
            <v>234 CHARGEUS</v>
          </cell>
          <cell r="FD73">
            <v>0</v>
          </cell>
          <cell r="FE73">
            <v>0</v>
          </cell>
          <cell r="FF73" t="e">
            <v>#DIV/0!</v>
          </cell>
          <cell r="FG73">
            <v>0</v>
          </cell>
          <cell r="FH73">
            <v>0</v>
          </cell>
          <cell r="FI73" t="e">
            <v>#DIV/0!</v>
          </cell>
          <cell r="FJ73">
            <v>0</v>
          </cell>
          <cell r="FK73">
            <v>0</v>
          </cell>
          <cell r="FL73" t="e">
            <v>#DIV/0!</v>
          </cell>
          <cell r="FM73">
            <v>0</v>
          </cell>
          <cell r="FN73">
            <v>0</v>
          </cell>
          <cell r="FO73" t="e">
            <v>#DIV/0!</v>
          </cell>
          <cell r="FP73">
            <v>0</v>
          </cell>
          <cell r="FQ73">
            <v>0</v>
          </cell>
          <cell r="FR73" t="e">
            <v>#DIV/0!</v>
          </cell>
        </row>
        <row r="74">
          <cell r="AZ74" t="str">
            <v>235 SONDEUSES</v>
          </cell>
          <cell r="BA74">
            <v>0</v>
          </cell>
          <cell r="BB74">
            <v>0</v>
          </cell>
          <cell r="BC74" t="e">
            <v>#DIV/0!</v>
          </cell>
          <cell r="BD74">
            <v>0</v>
          </cell>
          <cell r="BE74">
            <v>0</v>
          </cell>
          <cell r="BF74" t="e">
            <v>#DIV/0!</v>
          </cell>
          <cell r="BG74">
            <v>0</v>
          </cell>
          <cell r="BH74">
            <v>0</v>
          </cell>
          <cell r="BI74" t="e">
            <v>#DIV/0!</v>
          </cell>
          <cell r="BJ74">
            <v>0</v>
          </cell>
          <cell r="BK74">
            <v>0</v>
          </cell>
          <cell r="BL74" t="e">
            <v>#DIV/0!</v>
          </cell>
          <cell r="BN74" t="str">
            <v>235 SONDEUSES</v>
          </cell>
          <cell r="BO74">
            <v>0</v>
          </cell>
          <cell r="BP74">
            <v>0</v>
          </cell>
          <cell r="BQ74" t="e">
            <v>#DIV/0!</v>
          </cell>
          <cell r="BR74">
            <v>0</v>
          </cell>
          <cell r="BS74">
            <v>0</v>
          </cell>
          <cell r="BT74" t="e">
            <v>#DIV/0!</v>
          </cell>
          <cell r="BU74">
            <v>0</v>
          </cell>
          <cell r="BV74">
            <v>0</v>
          </cell>
          <cell r="BW74" t="e">
            <v>#DIV/0!</v>
          </cell>
          <cell r="BX74">
            <v>0</v>
          </cell>
          <cell r="BY74">
            <v>0</v>
          </cell>
          <cell r="BZ74" t="e">
            <v>#DIV/0!</v>
          </cell>
          <cell r="CA74">
            <v>0</v>
          </cell>
          <cell r="CB74">
            <v>0</v>
          </cell>
          <cell r="CC74" t="e">
            <v>#DIV/0!</v>
          </cell>
          <cell r="CE74" t="str">
            <v>235 SONDEUSES</v>
          </cell>
          <cell r="CF74">
            <v>0</v>
          </cell>
          <cell r="CG74">
            <v>0</v>
          </cell>
          <cell r="CH74" t="e">
            <v>#DIV/0!</v>
          </cell>
          <cell r="CI74">
            <v>0</v>
          </cell>
          <cell r="CJ74">
            <v>0</v>
          </cell>
          <cell r="CK74" t="e">
            <v>#DIV/0!</v>
          </cell>
          <cell r="CL74">
            <v>0</v>
          </cell>
          <cell r="CM74">
            <v>0</v>
          </cell>
          <cell r="CN74" t="e">
            <v>#DIV/0!</v>
          </cell>
          <cell r="CO74">
            <v>0</v>
          </cell>
          <cell r="CP74">
            <v>0</v>
          </cell>
          <cell r="CQ74" t="e">
            <v>#DIV/0!</v>
          </cell>
          <cell r="CR74">
            <v>0</v>
          </cell>
          <cell r="CS74">
            <v>0</v>
          </cell>
          <cell r="CT74" t="e">
            <v>#DIV/0!</v>
          </cell>
          <cell r="CV74" t="str">
            <v>235 SONDEUSES</v>
          </cell>
          <cell r="CW74">
            <v>0</v>
          </cell>
          <cell r="CX74">
            <v>0</v>
          </cell>
          <cell r="CY74" t="e">
            <v>#DIV/0!</v>
          </cell>
          <cell r="CZ74">
            <v>0</v>
          </cell>
          <cell r="DA74">
            <v>0</v>
          </cell>
          <cell r="DB74" t="e">
            <v>#DIV/0!</v>
          </cell>
          <cell r="DC74">
            <v>0</v>
          </cell>
          <cell r="DD74">
            <v>0</v>
          </cell>
          <cell r="DE74" t="e">
            <v>#DIV/0!</v>
          </cell>
          <cell r="DF74">
            <v>0</v>
          </cell>
          <cell r="DG74">
            <v>0</v>
          </cell>
          <cell r="DH74" t="e">
            <v>#DIV/0!</v>
          </cell>
          <cell r="DJ74" t="str">
            <v>235 SONDEUSES</v>
          </cell>
          <cell r="DK74">
            <v>0</v>
          </cell>
          <cell r="DL74">
            <v>0</v>
          </cell>
          <cell r="DM74" t="e">
            <v>#DIV/0!</v>
          </cell>
          <cell r="DN74">
            <v>0</v>
          </cell>
          <cell r="DO74">
            <v>0</v>
          </cell>
          <cell r="DP74" t="e">
            <v>#DIV/0!</v>
          </cell>
          <cell r="DQ74">
            <v>0</v>
          </cell>
          <cell r="DR74">
            <v>0</v>
          </cell>
          <cell r="DS74" t="e">
            <v>#DIV/0!</v>
          </cell>
          <cell r="DT74">
            <v>0</v>
          </cell>
          <cell r="DU74">
            <v>0</v>
          </cell>
          <cell r="DV74" t="e">
            <v>#DIV/0!</v>
          </cell>
          <cell r="DX74" t="str">
            <v>235 SONDEUSES</v>
          </cell>
          <cell r="DY74">
            <v>0</v>
          </cell>
          <cell r="DZ74">
            <v>0</v>
          </cell>
          <cell r="EA74" t="e">
            <v>#DIV/0!</v>
          </cell>
          <cell r="EB74">
            <v>0</v>
          </cell>
          <cell r="EC74">
            <v>0</v>
          </cell>
          <cell r="ED74" t="e">
            <v>#DIV/0!</v>
          </cell>
          <cell r="EE74">
            <v>0</v>
          </cell>
          <cell r="EF74">
            <v>0</v>
          </cell>
          <cell r="EG74" t="e">
            <v>#DIV/0!</v>
          </cell>
          <cell r="EH74">
            <v>0</v>
          </cell>
          <cell r="EI74">
            <v>0</v>
          </cell>
          <cell r="EJ74" t="e">
            <v>#DIV/0!</v>
          </cell>
          <cell r="EK74">
            <v>0</v>
          </cell>
          <cell r="EL74">
            <v>0</v>
          </cell>
          <cell r="EM74" t="e">
            <v>#DIV/0!</v>
          </cell>
          <cell r="EO74" t="str">
            <v>235 SONDEUSES</v>
          </cell>
          <cell r="EP74">
            <v>0</v>
          </cell>
          <cell r="EQ74">
            <v>0</v>
          </cell>
          <cell r="ER74" t="e">
            <v>#DIV/0!</v>
          </cell>
          <cell r="ES74">
            <v>0</v>
          </cell>
          <cell r="ET74">
            <v>0</v>
          </cell>
          <cell r="EU74" t="e">
            <v>#DIV/0!</v>
          </cell>
          <cell r="EV74">
            <v>0</v>
          </cell>
          <cell r="EW74">
            <v>0</v>
          </cell>
          <cell r="EX74" t="e">
            <v>#DIV/0!</v>
          </cell>
          <cell r="EY74">
            <v>0</v>
          </cell>
          <cell r="EZ74">
            <v>0</v>
          </cell>
          <cell r="FA74" t="e">
            <v>#DIV/0!</v>
          </cell>
          <cell r="FC74" t="str">
            <v>235 SONDEUSES</v>
          </cell>
          <cell r="FD74">
            <v>0</v>
          </cell>
          <cell r="FE74">
            <v>0</v>
          </cell>
          <cell r="FF74" t="e">
            <v>#DIV/0!</v>
          </cell>
          <cell r="FG74">
            <v>0</v>
          </cell>
          <cell r="FH74">
            <v>0</v>
          </cell>
          <cell r="FI74" t="e">
            <v>#DIV/0!</v>
          </cell>
          <cell r="FJ74">
            <v>0</v>
          </cell>
          <cell r="FK74">
            <v>0</v>
          </cell>
          <cell r="FL74" t="e">
            <v>#DIV/0!</v>
          </cell>
          <cell r="FM74">
            <v>0</v>
          </cell>
          <cell r="FN74">
            <v>0</v>
          </cell>
          <cell r="FO74" t="e">
            <v>#DIV/0!</v>
          </cell>
          <cell r="FP74">
            <v>0</v>
          </cell>
          <cell r="FQ74">
            <v>0</v>
          </cell>
          <cell r="FR74" t="e">
            <v>#DIV/0!</v>
          </cell>
        </row>
        <row r="75">
          <cell r="AZ75" t="str">
            <v>236 SCRAPERS</v>
          </cell>
          <cell r="BA75">
            <v>0</v>
          </cell>
          <cell r="BB75">
            <v>0</v>
          </cell>
          <cell r="BC75" t="e">
            <v>#DIV/0!</v>
          </cell>
          <cell r="BD75">
            <v>0</v>
          </cell>
          <cell r="BE75">
            <v>0</v>
          </cell>
          <cell r="BF75" t="e">
            <v>#DIV/0!</v>
          </cell>
          <cell r="BG75">
            <v>0</v>
          </cell>
          <cell r="BH75">
            <v>0</v>
          </cell>
          <cell r="BI75" t="e">
            <v>#DIV/0!</v>
          </cell>
          <cell r="BJ75">
            <v>0</v>
          </cell>
          <cell r="BK75">
            <v>0</v>
          </cell>
          <cell r="BL75" t="e">
            <v>#DIV/0!</v>
          </cell>
          <cell r="BN75" t="str">
            <v>236 SCRAPERS</v>
          </cell>
          <cell r="BO75">
            <v>0</v>
          </cell>
          <cell r="BP75">
            <v>0</v>
          </cell>
          <cell r="BQ75" t="e">
            <v>#DIV/0!</v>
          </cell>
          <cell r="BR75">
            <v>0</v>
          </cell>
          <cell r="BS75">
            <v>0</v>
          </cell>
          <cell r="BT75" t="e">
            <v>#DIV/0!</v>
          </cell>
          <cell r="BU75">
            <v>0</v>
          </cell>
          <cell r="BV75">
            <v>0</v>
          </cell>
          <cell r="BW75" t="e">
            <v>#DIV/0!</v>
          </cell>
          <cell r="BX75">
            <v>0</v>
          </cell>
          <cell r="BY75">
            <v>0</v>
          </cell>
          <cell r="BZ75" t="e">
            <v>#DIV/0!</v>
          </cell>
          <cell r="CA75">
            <v>0</v>
          </cell>
          <cell r="CB75">
            <v>0</v>
          </cell>
          <cell r="CC75" t="e">
            <v>#DIV/0!</v>
          </cell>
          <cell r="CE75" t="str">
            <v>236 SCRAPERS</v>
          </cell>
          <cell r="CF75">
            <v>0</v>
          </cell>
          <cell r="CG75">
            <v>0</v>
          </cell>
          <cell r="CH75" t="e">
            <v>#DIV/0!</v>
          </cell>
          <cell r="CI75">
            <v>0</v>
          </cell>
          <cell r="CJ75">
            <v>0</v>
          </cell>
          <cell r="CK75" t="e">
            <v>#DIV/0!</v>
          </cell>
          <cell r="CL75">
            <v>0</v>
          </cell>
          <cell r="CM75">
            <v>0</v>
          </cell>
          <cell r="CN75" t="e">
            <v>#DIV/0!</v>
          </cell>
          <cell r="CO75">
            <v>0</v>
          </cell>
          <cell r="CP75">
            <v>0</v>
          </cell>
          <cell r="CQ75" t="e">
            <v>#DIV/0!</v>
          </cell>
          <cell r="CR75">
            <v>0</v>
          </cell>
          <cell r="CS75">
            <v>0</v>
          </cell>
          <cell r="CT75" t="e">
            <v>#DIV/0!</v>
          </cell>
          <cell r="CV75" t="str">
            <v>236 SCRAPERS</v>
          </cell>
          <cell r="CW75">
            <v>0</v>
          </cell>
          <cell r="CX75">
            <v>0</v>
          </cell>
          <cell r="CY75" t="e">
            <v>#DIV/0!</v>
          </cell>
          <cell r="CZ75">
            <v>0</v>
          </cell>
          <cell r="DA75">
            <v>0</v>
          </cell>
          <cell r="DB75" t="e">
            <v>#DIV/0!</v>
          </cell>
          <cell r="DC75">
            <v>0</v>
          </cell>
          <cell r="DD75">
            <v>0</v>
          </cell>
          <cell r="DE75" t="e">
            <v>#DIV/0!</v>
          </cell>
          <cell r="DF75">
            <v>0</v>
          </cell>
          <cell r="DG75">
            <v>0</v>
          </cell>
          <cell r="DH75" t="e">
            <v>#DIV/0!</v>
          </cell>
          <cell r="DJ75" t="str">
            <v>236 SCRAPERS</v>
          </cell>
          <cell r="DK75">
            <v>0</v>
          </cell>
          <cell r="DL75">
            <v>0</v>
          </cell>
          <cell r="DM75" t="e">
            <v>#DIV/0!</v>
          </cell>
          <cell r="DN75">
            <v>0</v>
          </cell>
          <cell r="DO75">
            <v>0</v>
          </cell>
          <cell r="DP75" t="e">
            <v>#DIV/0!</v>
          </cell>
          <cell r="DQ75">
            <v>0</v>
          </cell>
          <cell r="DR75">
            <v>0</v>
          </cell>
          <cell r="DS75" t="e">
            <v>#DIV/0!</v>
          </cell>
          <cell r="DT75">
            <v>0</v>
          </cell>
          <cell r="DU75">
            <v>0</v>
          </cell>
          <cell r="DV75" t="e">
            <v>#DIV/0!</v>
          </cell>
          <cell r="DX75" t="str">
            <v>236 SCRAPERS</v>
          </cell>
          <cell r="DY75">
            <v>0</v>
          </cell>
          <cell r="DZ75">
            <v>0</v>
          </cell>
          <cell r="EA75" t="e">
            <v>#DIV/0!</v>
          </cell>
          <cell r="EB75">
            <v>0</v>
          </cell>
          <cell r="EC75">
            <v>0</v>
          </cell>
          <cell r="ED75" t="e">
            <v>#DIV/0!</v>
          </cell>
          <cell r="EE75">
            <v>0</v>
          </cell>
          <cell r="EF75">
            <v>0</v>
          </cell>
          <cell r="EG75" t="e">
            <v>#DIV/0!</v>
          </cell>
          <cell r="EH75">
            <v>0</v>
          </cell>
          <cell r="EI75">
            <v>0</v>
          </cell>
          <cell r="EJ75" t="e">
            <v>#DIV/0!</v>
          </cell>
          <cell r="EK75">
            <v>0</v>
          </cell>
          <cell r="EL75">
            <v>0</v>
          </cell>
          <cell r="EM75" t="e">
            <v>#DIV/0!</v>
          </cell>
          <cell r="EO75" t="str">
            <v>236 SCRAPERS</v>
          </cell>
          <cell r="EP75">
            <v>0</v>
          </cell>
          <cell r="EQ75">
            <v>0</v>
          </cell>
          <cell r="ER75" t="e">
            <v>#DIV/0!</v>
          </cell>
          <cell r="ES75">
            <v>0</v>
          </cell>
          <cell r="ET75">
            <v>0</v>
          </cell>
          <cell r="EU75" t="e">
            <v>#DIV/0!</v>
          </cell>
          <cell r="EV75">
            <v>0</v>
          </cell>
          <cell r="EW75">
            <v>0</v>
          </cell>
          <cell r="EX75" t="e">
            <v>#DIV/0!</v>
          </cell>
          <cell r="EY75">
            <v>0</v>
          </cell>
          <cell r="EZ75">
            <v>0</v>
          </cell>
          <cell r="FA75" t="e">
            <v>#DIV/0!</v>
          </cell>
          <cell r="FC75" t="str">
            <v>236 SCRAPERS</v>
          </cell>
          <cell r="FD75">
            <v>0</v>
          </cell>
          <cell r="FE75">
            <v>0</v>
          </cell>
          <cell r="FF75" t="e">
            <v>#DIV/0!</v>
          </cell>
          <cell r="FG75">
            <v>0</v>
          </cell>
          <cell r="FH75">
            <v>0</v>
          </cell>
          <cell r="FI75" t="e">
            <v>#DIV/0!</v>
          </cell>
          <cell r="FJ75">
            <v>0</v>
          </cell>
          <cell r="FK75">
            <v>0</v>
          </cell>
          <cell r="FL75" t="e">
            <v>#DIV/0!</v>
          </cell>
          <cell r="FM75">
            <v>0</v>
          </cell>
          <cell r="FN75">
            <v>0</v>
          </cell>
          <cell r="FO75" t="e">
            <v>#DIV/0!</v>
          </cell>
          <cell r="FP75">
            <v>0</v>
          </cell>
          <cell r="FQ75">
            <v>0</v>
          </cell>
          <cell r="FR75" t="e">
            <v>#DIV/0!</v>
          </cell>
        </row>
        <row r="76">
          <cell r="AZ76" t="str">
            <v>237 GAR.  (VEHI)</v>
          </cell>
          <cell r="BA76">
            <v>0</v>
          </cell>
          <cell r="BB76">
            <v>0</v>
          </cell>
          <cell r="BC76" t="e">
            <v>#DIV/0!</v>
          </cell>
          <cell r="BD76">
            <v>0</v>
          </cell>
          <cell r="BE76">
            <v>0</v>
          </cell>
          <cell r="BF76" t="e">
            <v>#DIV/0!</v>
          </cell>
          <cell r="BG76">
            <v>0</v>
          </cell>
          <cell r="BH76">
            <v>0</v>
          </cell>
          <cell r="BI76" t="e">
            <v>#DIV/0!</v>
          </cell>
          <cell r="BJ76">
            <v>0</v>
          </cell>
          <cell r="BK76">
            <v>0</v>
          </cell>
          <cell r="BL76" t="e">
            <v>#DIV/0!</v>
          </cell>
          <cell r="BN76" t="str">
            <v>237 GAR.  (VEHI)</v>
          </cell>
          <cell r="BO76">
            <v>0</v>
          </cell>
          <cell r="BP76">
            <v>0</v>
          </cell>
          <cell r="BQ76" t="e">
            <v>#DIV/0!</v>
          </cell>
          <cell r="BR76">
            <v>0</v>
          </cell>
          <cell r="BS76">
            <v>0</v>
          </cell>
          <cell r="BT76" t="e">
            <v>#DIV/0!</v>
          </cell>
          <cell r="BU76">
            <v>0</v>
          </cell>
          <cell r="BV76">
            <v>0</v>
          </cell>
          <cell r="BW76" t="e">
            <v>#DIV/0!</v>
          </cell>
          <cell r="BX76">
            <v>0</v>
          </cell>
          <cell r="BY76">
            <v>0</v>
          </cell>
          <cell r="BZ76" t="e">
            <v>#DIV/0!</v>
          </cell>
          <cell r="CA76">
            <v>0</v>
          </cell>
          <cell r="CB76">
            <v>0</v>
          </cell>
          <cell r="CC76" t="e">
            <v>#DIV/0!</v>
          </cell>
          <cell r="CE76" t="str">
            <v>237 GAR.  (VEHI)</v>
          </cell>
          <cell r="CF76">
            <v>0</v>
          </cell>
          <cell r="CG76">
            <v>0</v>
          </cell>
          <cell r="CH76" t="e">
            <v>#DIV/0!</v>
          </cell>
          <cell r="CI76">
            <v>0</v>
          </cell>
          <cell r="CJ76">
            <v>0</v>
          </cell>
          <cell r="CK76" t="e">
            <v>#DIV/0!</v>
          </cell>
          <cell r="CL76">
            <v>0</v>
          </cell>
          <cell r="CM76">
            <v>0</v>
          </cell>
          <cell r="CN76" t="e">
            <v>#DIV/0!</v>
          </cell>
          <cell r="CO76">
            <v>0</v>
          </cell>
          <cell r="CP76">
            <v>0</v>
          </cell>
          <cell r="CQ76" t="e">
            <v>#DIV/0!</v>
          </cell>
          <cell r="CR76">
            <v>0</v>
          </cell>
          <cell r="CS76">
            <v>0</v>
          </cell>
          <cell r="CT76" t="e">
            <v>#DIV/0!</v>
          </cell>
          <cell r="CV76" t="str">
            <v>237 GAR.  (VEHI)</v>
          </cell>
          <cell r="CW76">
            <v>0</v>
          </cell>
          <cell r="CX76">
            <v>0</v>
          </cell>
          <cell r="CY76" t="e">
            <v>#DIV/0!</v>
          </cell>
          <cell r="CZ76">
            <v>0</v>
          </cell>
          <cell r="DA76">
            <v>0</v>
          </cell>
          <cell r="DB76" t="e">
            <v>#DIV/0!</v>
          </cell>
          <cell r="DC76">
            <v>0</v>
          </cell>
          <cell r="DD76">
            <v>0</v>
          </cell>
          <cell r="DE76" t="e">
            <v>#DIV/0!</v>
          </cell>
          <cell r="DF76">
            <v>0</v>
          </cell>
          <cell r="DG76">
            <v>0</v>
          </cell>
          <cell r="DH76" t="e">
            <v>#DIV/0!</v>
          </cell>
          <cell r="DJ76" t="str">
            <v>237 GAR.  (VEHI)</v>
          </cell>
          <cell r="DK76">
            <v>0</v>
          </cell>
          <cell r="DL76">
            <v>0</v>
          </cell>
          <cell r="DM76" t="e">
            <v>#DIV/0!</v>
          </cell>
          <cell r="DN76">
            <v>0</v>
          </cell>
          <cell r="DO76">
            <v>0</v>
          </cell>
          <cell r="DP76" t="e">
            <v>#DIV/0!</v>
          </cell>
          <cell r="DQ76">
            <v>0</v>
          </cell>
          <cell r="DR76">
            <v>0</v>
          </cell>
          <cell r="DS76" t="e">
            <v>#DIV/0!</v>
          </cell>
          <cell r="DT76">
            <v>0</v>
          </cell>
          <cell r="DU76">
            <v>0</v>
          </cell>
          <cell r="DV76" t="e">
            <v>#DIV/0!</v>
          </cell>
          <cell r="DX76" t="str">
            <v>237 GAR.  (VEHI)</v>
          </cell>
          <cell r="DY76">
            <v>0</v>
          </cell>
          <cell r="DZ76">
            <v>0</v>
          </cell>
          <cell r="EA76" t="e">
            <v>#DIV/0!</v>
          </cell>
          <cell r="EB76">
            <v>0</v>
          </cell>
          <cell r="EC76">
            <v>0</v>
          </cell>
          <cell r="ED76" t="e">
            <v>#DIV/0!</v>
          </cell>
          <cell r="EE76">
            <v>0</v>
          </cell>
          <cell r="EF76">
            <v>0</v>
          </cell>
          <cell r="EG76" t="e">
            <v>#DIV/0!</v>
          </cell>
          <cell r="EH76">
            <v>447782</v>
          </cell>
          <cell r="EI76">
            <v>335832</v>
          </cell>
          <cell r="EJ76">
            <v>74.99899504669682</v>
          </cell>
          <cell r="EK76">
            <v>447782</v>
          </cell>
          <cell r="EL76">
            <v>335832</v>
          </cell>
          <cell r="EM76">
            <v>74.99899504669682</v>
          </cell>
          <cell r="EO76" t="str">
            <v>237 GAR.  (VEHI)</v>
          </cell>
          <cell r="EP76">
            <v>497096</v>
          </cell>
          <cell r="EQ76">
            <v>372828</v>
          </cell>
          <cell r="ER76">
            <v>75.001207010315923</v>
          </cell>
          <cell r="ES76">
            <v>0</v>
          </cell>
          <cell r="ET76">
            <v>0</v>
          </cell>
          <cell r="EU76" t="e">
            <v>#DIV/0!</v>
          </cell>
          <cell r="EV76">
            <v>0</v>
          </cell>
          <cell r="EW76">
            <v>0</v>
          </cell>
          <cell r="EX76" t="e">
            <v>#DIV/0!</v>
          </cell>
          <cell r="EY76">
            <v>0</v>
          </cell>
          <cell r="EZ76">
            <v>0</v>
          </cell>
          <cell r="FA76" t="e">
            <v>#DIV/0!</v>
          </cell>
          <cell r="FC76" t="str">
            <v>237 GAR.  (VEHI)</v>
          </cell>
          <cell r="FD76">
            <v>0</v>
          </cell>
          <cell r="FE76">
            <v>0</v>
          </cell>
          <cell r="FF76" t="e">
            <v>#DIV/0!</v>
          </cell>
          <cell r="FG76">
            <v>0</v>
          </cell>
          <cell r="FH76">
            <v>0</v>
          </cell>
          <cell r="FI76" t="e">
            <v>#DIV/0!</v>
          </cell>
          <cell r="FJ76">
            <v>0</v>
          </cell>
          <cell r="FK76">
            <v>0</v>
          </cell>
          <cell r="FL76" t="e">
            <v>#DIV/0!</v>
          </cell>
          <cell r="FM76">
            <v>178494</v>
          </cell>
          <cell r="FN76">
            <v>133872</v>
          </cell>
          <cell r="FO76">
            <v>75.000840364381986</v>
          </cell>
          <cell r="FP76">
            <v>675590</v>
          </cell>
          <cell r="FQ76">
            <v>506700</v>
          </cell>
          <cell r="FR76">
            <v>75.001110140765846</v>
          </cell>
        </row>
        <row r="77">
          <cell r="AZ77" t="str">
            <v>239 ENG DIVERS</v>
          </cell>
          <cell r="BA77">
            <v>0</v>
          </cell>
          <cell r="BB77">
            <v>0</v>
          </cell>
          <cell r="BC77" t="e">
            <v>#DIV/0!</v>
          </cell>
          <cell r="BD77">
            <v>0</v>
          </cell>
          <cell r="BE77">
            <v>0</v>
          </cell>
          <cell r="BF77" t="e">
            <v>#DIV/0!</v>
          </cell>
          <cell r="BG77">
            <v>0</v>
          </cell>
          <cell r="BH77">
            <v>0</v>
          </cell>
          <cell r="BI77" t="e">
            <v>#DIV/0!</v>
          </cell>
          <cell r="BJ77">
            <v>0</v>
          </cell>
          <cell r="BK77">
            <v>0</v>
          </cell>
          <cell r="BL77" t="e">
            <v>#DIV/0!</v>
          </cell>
          <cell r="BN77" t="str">
            <v>239 ENG DIVERS</v>
          </cell>
          <cell r="BO77">
            <v>0</v>
          </cell>
          <cell r="BP77">
            <v>0</v>
          </cell>
          <cell r="BQ77" t="e">
            <v>#DIV/0!</v>
          </cell>
          <cell r="BR77">
            <v>0</v>
          </cell>
          <cell r="BS77">
            <v>0</v>
          </cell>
          <cell r="BT77" t="e">
            <v>#DIV/0!</v>
          </cell>
          <cell r="BU77">
            <v>0</v>
          </cell>
          <cell r="BV77">
            <v>0</v>
          </cell>
          <cell r="BW77" t="e">
            <v>#DIV/0!</v>
          </cell>
          <cell r="BX77">
            <v>4728</v>
          </cell>
          <cell r="BY77">
            <v>1560</v>
          </cell>
          <cell r="BZ77">
            <v>32.994923857868017</v>
          </cell>
          <cell r="CA77">
            <v>4728</v>
          </cell>
          <cell r="CB77">
            <v>1560</v>
          </cell>
          <cell r="CC77">
            <v>32.994923857868017</v>
          </cell>
          <cell r="CE77" t="str">
            <v>239 ENG DIVERS</v>
          </cell>
          <cell r="CF77">
            <v>1347</v>
          </cell>
          <cell r="CG77">
            <v>1344</v>
          </cell>
          <cell r="CH77">
            <v>99.777282850779514</v>
          </cell>
          <cell r="CI77">
            <v>1347</v>
          </cell>
          <cell r="CJ77">
            <v>1344</v>
          </cell>
          <cell r="CK77">
            <v>99.777282850779514</v>
          </cell>
          <cell r="CL77">
            <v>0</v>
          </cell>
          <cell r="CM77">
            <v>0</v>
          </cell>
          <cell r="CN77" t="e">
            <v>#DIV/0!</v>
          </cell>
          <cell r="CO77">
            <v>0</v>
          </cell>
          <cell r="CP77">
            <v>0</v>
          </cell>
          <cell r="CQ77" t="e">
            <v>#DIV/0!</v>
          </cell>
          <cell r="CR77">
            <v>2694</v>
          </cell>
          <cell r="CS77">
            <v>2688</v>
          </cell>
          <cell r="CT77">
            <v>99.777282850779514</v>
          </cell>
          <cell r="CV77" t="str">
            <v>239 ENG DIVERS</v>
          </cell>
          <cell r="CW77">
            <v>0</v>
          </cell>
          <cell r="CX77">
            <v>0</v>
          </cell>
          <cell r="CY77" t="e">
            <v>#DIV/0!</v>
          </cell>
          <cell r="CZ77">
            <v>0</v>
          </cell>
          <cell r="DA77">
            <v>0</v>
          </cell>
          <cell r="DB77" t="e">
            <v>#DIV/0!</v>
          </cell>
          <cell r="DC77">
            <v>0</v>
          </cell>
          <cell r="DD77">
            <v>0</v>
          </cell>
          <cell r="DE77" t="e">
            <v>#DIV/0!</v>
          </cell>
          <cell r="DF77">
            <v>0</v>
          </cell>
          <cell r="DG77">
            <v>0</v>
          </cell>
          <cell r="DH77" t="e">
            <v>#DIV/0!</v>
          </cell>
          <cell r="DJ77" t="str">
            <v>239 ENG DIVERS</v>
          </cell>
          <cell r="DK77">
            <v>0</v>
          </cell>
          <cell r="DL77">
            <v>0</v>
          </cell>
          <cell r="DM77" t="e">
            <v>#DIV/0!</v>
          </cell>
          <cell r="DN77">
            <v>0</v>
          </cell>
          <cell r="DO77">
            <v>0</v>
          </cell>
          <cell r="DP77" t="e">
            <v>#DIV/0!</v>
          </cell>
          <cell r="DQ77">
            <v>0</v>
          </cell>
          <cell r="DR77">
            <v>0</v>
          </cell>
          <cell r="DS77" t="e">
            <v>#DIV/0!</v>
          </cell>
          <cell r="DT77">
            <v>0</v>
          </cell>
          <cell r="DU77">
            <v>0</v>
          </cell>
          <cell r="DV77" t="e">
            <v>#DIV/0!</v>
          </cell>
          <cell r="DX77" t="str">
            <v>239 ENG DIVERS</v>
          </cell>
          <cell r="DY77">
            <v>0</v>
          </cell>
          <cell r="DZ77">
            <v>0</v>
          </cell>
          <cell r="EA77" t="e">
            <v>#DIV/0!</v>
          </cell>
          <cell r="EB77">
            <v>0</v>
          </cell>
          <cell r="EC77">
            <v>0</v>
          </cell>
          <cell r="ED77" t="e">
            <v>#DIV/0!</v>
          </cell>
          <cell r="EE77">
            <v>25521</v>
          </cell>
          <cell r="EF77">
            <v>19140</v>
          </cell>
          <cell r="EG77">
            <v>74.997061243681671</v>
          </cell>
          <cell r="EH77">
            <v>19077</v>
          </cell>
          <cell r="EI77">
            <v>14304</v>
          </cell>
          <cell r="EJ77">
            <v>74.980342821198292</v>
          </cell>
          <cell r="EK77">
            <v>44598</v>
          </cell>
          <cell r="EL77">
            <v>33444</v>
          </cell>
          <cell r="EM77">
            <v>74.989909861428757</v>
          </cell>
          <cell r="EO77" t="str">
            <v>239 ENG DIVERS</v>
          </cell>
          <cell r="EP77">
            <v>0</v>
          </cell>
          <cell r="EQ77">
            <v>0</v>
          </cell>
          <cell r="ER77" t="e">
            <v>#DIV/0!</v>
          </cell>
          <cell r="ES77">
            <v>0</v>
          </cell>
          <cell r="ET77">
            <v>0</v>
          </cell>
          <cell r="EU77" t="e">
            <v>#DIV/0!</v>
          </cell>
          <cell r="EV77">
            <v>0</v>
          </cell>
          <cell r="EW77">
            <v>0</v>
          </cell>
          <cell r="EX77" t="e">
            <v>#DIV/0!</v>
          </cell>
          <cell r="EY77">
            <v>0</v>
          </cell>
          <cell r="EZ77">
            <v>0</v>
          </cell>
          <cell r="FA77" t="e">
            <v>#DIV/0!</v>
          </cell>
          <cell r="FC77" t="str">
            <v>239 ENG DIVERS</v>
          </cell>
          <cell r="FD77">
            <v>0</v>
          </cell>
          <cell r="FE77">
            <v>0</v>
          </cell>
          <cell r="FF77" t="e">
            <v>#DIV/0!</v>
          </cell>
          <cell r="FG77">
            <v>0</v>
          </cell>
          <cell r="FH77">
            <v>0</v>
          </cell>
          <cell r="FI77" t="e">
            <v>#DIV/0!</v>
          </cell>
          <cell r="FJ77">
            <v>25798</v>
          </cell>
          <cell r="FK77">
            <v>19344</v>
          </cell>
          <cell r="FL77">
            <v>74.98255678734786</v>
          </cell>
          <cell r="FM77">
            <v>0</v>
          </cell>
          <cell r="FN77">
            <v>0</v>
          </cell>
          <cell r="FO77" t="e">
            <v>#DIV/0!</v>
          </cell>
          <cell r="FP77">
            <v>25798</v>
          </cell>
          <cell r="FQ77">
            <v>19344</v>
          </cell>
          <cell r="FR77">
            <v>74.98255678734786</v>
          </cell>
        </row>
        <row r="78">
          <cell r="AZ78" t="str">
            <v>241 ST. SERVICE</v>
          </cell>
          <cell r="BA78">
            <v>0</v>
          </cell>
          <cell r="BB78">
            <v>0</v>
          </cell>
          <cell r="BC78" t="e">
            <v>#DIV/0!</v>
          </cell>
          <cell r="BD78">
            <v>0</v>
          </cell>
          <cell r="BE78">
            <v>0</v>
          </cell>
          <cell r="BF78" t="e">
            <v>#DIV/0!</v>
          </cell>
          <cell r="BG78">
            <v>0</v>
          </cell>
          <cell r="BH78">
            <v>0</v>
          </cell>
          <cell r="BI78" t="e">
            <v>#DIV/0!</v>
          </cell>
          <cell r="BJ78">
            <v>0</v>
          </cell>
          <cell r="BK78">
            <v>0</v>
          </cell>
          <cell r="BL78" t="e">
            <v>#DIV/0!</v>
          </cell>
          <cell r="BN78" t="str">
            <v>241 ST. SERVICE</v>
          </cell>
          <cell r="BO78">
            <v>0</v>
          </cell>
          <cell r="BP78">
            <v>0</v>
          </cell>
          <cell r="BQ78" t="e">
            <v>#DIV/0!</v>
          </cell>
          <cell r="BR78">
            <v>0</v>
          </cell>
          <cell r="BS78">
            <v>0</v>
          </cell>
          <cell r="BT78" t="e">
            <v>#DIV/0!</v>
          </cell>
          <cell r="BU78">
            <v>0</v>
          </cell>
          <cell r="BV78">
            <v>0</v>
          </cell>
          <cell r="BW78" t="e">
            <v>#DIV/0!</v>
          </cell>
          <cell r="BX78">
            <v>0</v>
          </cell>
          <cell r="BY78">
            <v>0</v>
          </cell>
          <cell r="BZ78" t="e">
            <v>#DIV/0!</v>
          </cell>
          <cell r="CA78">
            <v>0</v>
          </cell>
          <cell r="CB78">
            <v>0</v>
          </cell>
          <cell r="CC78" t="e">
            <v>#DIV/0!</v>
          </cell>
          <cell r="CE78" t="str">
            <v>241 ST. SERVICE</v>
          </cell>
          <cell r="CF78">
            <v>0</v>
          </cell>
          <cell r="CG78">
            <v>0</v>
          </cell>
          <cell r="CH78" t="e">
            <v>#DIV/0!</v>
          </cell>
          <cell r="CI78">
            <v>0</v>
          </cell>
          <cell r="CJ78">
            <v>0</v>
          </cell>
          <cell r="CK78" t="e">
            <v>#DIV/0!</v>
          </cell>
          <cell r="CL78">
            <v>0</v>
          </cell>
          <cell r="CM78">
            <v>0</v>
          </cell>
          <cell r="CN78" t="e">
            <v>#DIV/0!</v>
          </cell>
          <cell r="CO78">
            <v>0</v>
          </cell>
          <cell r="CP78">
            <v>0</v>
          </cell>
          <cell r="CQ78" t="e">
            <v>#DIV/0!</v>
          </cell>
          <cell r="CR78">
            <v>0</v>
          </cell>
          <cell r="CS78">
            <v>0</v>
          </cell>
          <cell r="CT78" t="e">
            <v>#DIV/0!</v>
          </cell>
          <cell r="CV78" t="str">
            <v>241 ST. SERVICE</v>
          </cell>
          <cell r="CW78">
            <v>0</v>
          </cell>
          <cell r="CX78">
            <v>0</v>
          </cell>
          <cell r="CY78" t="e">
            <v>#DIV/0!</v>
          </cell>
          <cell r="CZ78">
            <v>0</v>
          </cell>
          <cell r="DA78">
            <v>0</v>
          </cell>
          <cell r="DB78" t="e">
            <v>#DIV/0!</v>
          </cell>
          <cell r="DC78">
            <v>0</v>
          </cell>
          <cell r="DD78">
            <v>0</v>
          </cell>
          <cell r="DE78" t="e">
            <v>#DIV/0!</v>
          </cell>
          <cell r="DF78">
            <v>0</v>
          </cell>
          <cell r="DG78">
            <v>0</v>
          </cell>
          <cell r="DH78" t="e">
            <v>#DIV/0!</v>
          </cell>
          <cell r="DJ78" t="str">
            <v>241 ST. SERVICE</v>
          </cell>
          <cell r="DK78">
            <v>0</v>
          </cell>
          <cell r="DL78">
            <v>0</v>
          </cell>
          <cell r="DM78" t="e">
            <v>#DIV/0!</v>
          </cell>
          <cell r="DN78">
            <v>0</v>
          </cell>
          <cell r="DO78">
            <v>0</v>
          </cell>
          <cell r="DP78" t="e">
            <v>#DIV/0!</v>
          </cell>
          <cell r="DQ78">
            <v>0</v>
          </cell>
          <cell r="DR78">
            <v>0</v>
          </cell>
          <cell r="DS78" t="e">
            <v>#DIV/0!</v>
          </cell>
          <cell r="DT78">
            <v>0</v>
          </cell>
          <cell r="DU78">
            <v>0</v>
          </cell>
          <cell r="DV78" t="e">
            <v>#DIV/0!</v>
          </cell>
          <cell r="DX78" t="str">
            <v>241 ST. SERVICE</v>
          </cell>
          <cell r="DY78">
            <v>0</v>
          </cell>
          <cell r="DZ78">
            <v>0</v>
          </cell>
          <cell r="EA78" t="e">
            <v>#DIV/0!</v>
          </cell>
          <cell r="EB78">
            <v>0</v>
          </cell>
          <cell r="EC78">
            <v>0</v>
          </cell>
          <cell r="ED78" t="e">
            <v>#DIV/0!</v>
          </cell>
          <cell r="EE78">
            <v>0</v>
          </cell>
          <cell r="EF78">
            <v>0</v>
          </cell>
          <cell r="EG78" t="e">
            <v>#DIV/0!</v>
          </cell>
          <cell r="EH78">
            <v>0</v>
          </cell>
          <cell r="EI78">
            <v>0</v>
          </cell>
          <cell r="EJ78" t="e">
            <v>#DIV/0!</v>
          </cell>
          <cell r="EK78">
            <v>0</v>
          </cell>
          <cell r="EL78">
            <v>0</v>
          </cell>
          <cell r="EM78" t="e">
            <v>#DIV/0!</v>
          </cell>
          <cell r="EO78" t="str">
            <v>241 ST. SERVICE</v>
          </cell>
          <cell r="EP78">
            <v>0</v>
          </cell>
          <cell r="EQ78">
            <v>0</v>
          </cell>
          <cell r="ER78" t="e">
            <v>#DIV/0!</v>
          </cell>
          <cell r="ES78">
            <v>0</v>
          </cell>
          <cell r="ET78">
            <v>0</v>
          </cell>
          <cell r="EU78" t="e">
            <v>#DIV/0!</v>
          </cell>
          <cell r="EV78">
            <v>0</v>
          </cell>
          <cell r="EW78">
            <v>0</v>
          </cell>
          <cell r="EX78" t="e">
            <v>#DIV/0!</v>
          </cell>
          <cell r="EY78">
            <v>0</v>
          </cell>
          <cell r="EZ78">
            <v>0</v>
          </cell>
          <cell r="FA78" t="e">
            <v>#DIV/0!</v>
          </cell>
          <cell r="FC78" t="str">
            <v>241 ST. SERVICE</v>
          </cell>
          <cell r="FD78">
            <v>0</v>
          </cell>
          <cell r="FE78">
            <v>0</v>
          </cell>
          <cell r="FF78" t="e">
            <v>#DIV/0!</v>
          </cell>
          <cell r="FG78">
            <v>0</v>
          </cell>
          <cell r="FH78">
            <v>0</v>
          </cell>
          <cell r="FI78" t="e">
            <v>#DIV/0!</v>
          </cell>
          <cell r="FJ78">
            <v>0</v>
          </cell>
          <cell r="FK78">
            <v>0</v>
          </cell>
          <cell r="FL78" t="e">
            <v>#DIV/0!</v>
          </cell>
          <cell r="FM78">
            <v>1934</v>
          </cell>
          <cell r="FN78">
            <v>1452</v>
          </cell>
          <cell r="FO78">
            <v>75.077559462254399</v>
          </cell>
          <cell r="FP78">
            <v>1934</v>
          </cell>
          <cell r="FQ78">
            <v>1452</v>
          </cell>
          <cell r="FR78">
            <v>75.077559462254399</v>
          </cell>
        </row>
        <row r="79">
          <cell r="AZ79" t="str">
            <v>243 IMP M. FILM</v>
          </cell>
          <cell r="BA79">
            <v>0</v>
          </cell>
          <cell r="BB79">
            <v>0</v>
          </cell>
          <cell r="BC79" t="e">
            <v>#DIV/0!</v>
          </cell>
          <cell r="BD79">
            <v>0</v>
          </cell>
          <cell r="BE79">
            <v>0</v>
          </cell>
          <cell r="BF79" t="e">
            <v>#DIV/0!</v>
          </cell>
          <cell r="BG79">
            <v>0</v>
          </cell>
          <cell r="BH79">
            <v>0</v>
          </cell>
          <cell r="BI79" t="e">
            <v>#DIV/0!</v>
          </cell>
          <cell r="BJ79">
            <v>0</v>
          </cell>
          <cell r="BK79">
            <v>0</v>
          </cell>
          <cell r="BL79" t="e">
            <v>#DIV/0!</v>
          </cell>
          <cell r="BN79" t="str">
            <v>243 IMP M. FILM</v>
          </cell>
          <cell r="BO79">
            <v>0</v>
          </cell>
          <cell r="BP79">
            <v>0</v>
          </cell>
          <cell r="BQ79" t="e">
            <v>#DIV/0!</v>
          </cell>
          <cell r="BR79">
            <v>0</v>
          </cell>
          <cell r="BS79">
            <v>0</v>
          </cell>
          <cell r="BT79" t="e">
            <v>#DIV/0!</v>
          </cell>
          <cell r="BU79">
            <v>0</v>
          </cell>
          <cell r="BV79">
            <v>0</v>
          </cell>
          <cell r="BW79" t="e">
            <v>#DIV/0!</v>
          </cell>
          <cell r="BX79">
            <v>0</v>
          </cell>
          <cell r="BY79">
            <v>0</v>
          </cell>
          <cell r="BZ79" t="e">
            <v>#DIV/0!</v>
          </cell>
          <cell r="CA79">
            <v>0</v>
          </cell>
          <cell r="CB79">
            <v>0</v>
          </cell>
          <cell r="CC79" t="e">
            <v>#DIV/0!</v>
          </cell>
          <cell r="CE79" t="str">
            <v>243 IMP M. FILM</v>
          </cell>
          <cell r="CF79">
            <v>0</v>
          </cell>
          <cell r="CG79">
            <v>0</v>
          </cell>
          <cell r="CH79" t="e">
            <v>#DIV/0!</v>
          </cell>
          <cell r="CI79">
            <v>0</v>
          </cell>
          <cell r="CJ79">
            <v>0</v>
          </cell>
          <cell r="CK79" t="e">
            <v>#DIV/0!</v>
          </cell>
          <cell r="CL79">
            <v>0</v>
          </cell>
          <cell r="CM79">
            <v>0</v>
          </cell>
          <cell r="CN79" t="e">
            <v>#DIV/0!</v>
          </cell>
          <cell r="CO79">
            <v>0</v>
          </cell>
          <cell r="CP79">
            <v>0</v>
          </cell>
          <cell r="CQ79" t="e">
            <v>#DIV/0!</v>
          </cell>
          <cell r="CR79">
            <v>0</v>
          </cell>
          <cell r="CS79">
            <v>0</v>
          </cell>
          <cell r="CT79" t="e">
            <v>#DIV/0!</v>
          </cell>
          <cell r="CV79" t="str">
            <v>243 IMP M. FILM</v>
          </cell>
          <cell r="CW79">
            <v>0</v>
          </cell>
          <cell r="CX79">
            <v>0</v>
          </cell>
          <cell r="CY79" t="e">
            <v>#DIV/0!</v>
          </cell>
          <cell r="CZ79">
            <v>0</v>
          </cell>
          <cell r="DA79">
            <v>0</v>
          </cell>
          <cell r="DB79" t="e">
            <v>#DIV/0!</v>
          </cell>
          <cell r="DC79">
            <v>0</v>
          </cell>
          <cell r="DD79">
            <v>0</v>
          </cell>
          <cell r="DE79" t="e">
            <v>#DIV/0!</v>
          </cell>
          <cell r="DF79">
            <v>0</v>
          </cell>
          <cell r="DG79">
            <v>0</v>
          </cell>
          <cell r="DH79" t="e">
            <v>#DIV/0!</v>
          </cell>
          <cell r="DJ79" t="str">
            <v>243 IMP M. FILM</v>
          </cell>
          <cell r="DK79">
            <v>0</v>
          </cell>
          <cell r="DL79">
            <v>0</v>
          </cell>
          <cell r="DM79" t="e">
            <v>#DIV/0!</v>
          </cell>
          <cell r="DN79">
            <v>0</v>
          </cell>
          <cell r="DO79">
            <v>0</v>
          </cell>
          <cell r="DP79" t="e">
            <v>#DIV/0!</v>
          </cell>
          <cell r="DQ79">
            <v>0</v>
          </cell>
          <cell r="DR79">
            <v>0</v>
          </cell>
          <cell r="DS79" t="e">
            <v>#DIV/0!</v>
          </cell>
          <cell r="DT79">
            <v>0</v>
          </cell>
          <cell r="DU79">
            <v>0</v>
          </cell>
          <cell r="DV79" t="e">
            <v>#DIV/0!</v>
          </cell>
          <cell r="DX79" t="str">
            <v>243 IMP M. FILM</v>
          </cell>
          <cell r="DY79">
            <v>0</v>
          </cell>
          <cell r="DZ79">
            <v>0</v>
          </cell>
          <cell r="EA79" t="e">
            <v>#DIV/0!</v>
          </cell>
          <cell r="EB79">
            <v>0</v>
          </cell>
          <cell r="EC79">
            <v>0</v>
          </cell>
          <cell r="ED79" t="e">
            <v>#DIV/0!</v>
          </cell>
          <cell r="EE79">
            <v>0</v>
          </cell>
          <cell r="EF79">
            <v>0</v>
          </cell>
          <cell r="EG79" t="e">
            <v>#DIV/0!</v>
          </cell>
          <cell r="EH79">
            <v>0</v>
          </cell>
          <cell r="EI79">
            <v>0</v>
          </cell>
          <cell r="EJ79" t="e">
            <v>#DIV/0!</v>
          </cell>
          <cell r="EK79">
            <v>0</v>
          </cell>
          <cell r="EL79">
            <v>0</v>
          </cell>
          <cell r="EM79" t="e">
            <v>#DIV/0!</v>
          </cell>
          <cell r="EO79" t="str">
            <v>243 IMP M. FILM</v>
          </cell>
          <cell r="EP79">
            <v>0</v>
          </cell>
          <cell r="EQ79">
            <v>0</v>
          </cell>
          <cell r="ER79" t="e">
            <v>#DIV/0!</v>
          </cell>
          <cell r="ES79">
            <v>0</v>
          </cell>
          <cell r="ET79">
            <v>0</v>
          </cell>
          <cell r="EU79" t="e">
            <v>#DIV/0!</v>
          </cell>
          <cell r="EV79">
            <v>0</v>
          </cell>
          <cell r="EW79">
            <v>0</v>
          </cell>
          <cell r="EX79" t="e">
            <v>#DIV/0!</v>
          </cell>
          <cell r="EY79">
            <v>0</v>
          </cell>
          <cell r="EZ79">
            <v>0</v>
          </cell>
          <cell r="FA79" t="e">
            <v>#DIV/0!</v>
          </cell>
          <cell r="FC79" t="str">
            <v>243 IMP M. FILM</v>
          </cell>
          <cell r="FD79">
            <v>0</v>
          </cell>
          <cell r="FE79">
            <v>0</v>
          </cell>
          <cell r="FF79" t="e">
            <v>#DIV/0!</v>
          </cell>
          <cell r="FG79">
            <v>0</v>
          </cell>
          <cell r="FH79">
            <v>0</v>
          </cell>
          <cell r="FI79" t="e">
            <v>#DIV/0!</v>
          </cell>
          <cell r="FJ79">
            <v>0</v>
          </cell>
          <cell r="FK79">
            <v>0</v>
          </cell>
          <cell r="FL79" t="e">
            <v>#DIV/0!</v>
          </cell>
          <cell r="FM79">
            <v>0</v>
          </cell>
          <cell r="FN79">
            <v>0</v>
          </cell>
          <cell r="FO79" t="e">
            <v>#DIV/0!</v>
          </cell>
          <cell r="FP79">
            <v>0</v>
          </cell>
          <cell r="FQ79">
            <v>0</v>
          </cell>
          <cell r="FR79" t="e">
            <v>#DIV/0!</v>
          </cell>
        </row>
        <row r="80">
          <cell r="AZ80" t="str">
            <v>245 TELECOM.</v>
          </cell>
          <cell r="BA80">
            <v>0</v>
          </cell>
          <cell r="BB80">
            <v>0</v>
          </cell>
          <cell r="BC80" t="e">
            <v>#DIV/0!</v>
          </cell>
          <cell r="BD80">
            <v>0</v>
          </cell>
          <cell r="BE80">
            <v>0</v>
          </cell>
          <cell r="BF80" t="e">
            <v>#DIV/0!</v>
          </cell>
          <cell r="BG80">
            <v>0</v>
          </cell>
          <cell r="BH80">
            <v>0</v>
          </cell>
          <cell r="BI80" t="e">
            <v>#DIV/0!</v>
          </cell>
          <cell r="BJ80">
            <v>0</v>
          </cell>
          <cell r="BK80">
            <v>0</v>
          </cell>
          <cell r="BL80" t="e">
            <v>#DIV/0!</v>
          </cell>
          <cell r="BN80" t="str">
            <v>245 TELECOM.</v>
          </cell>
          <cell r="BO80">
            <v>0</v>
          </cell>
          <cell r="BP80">
            <v>0</v>
          </cell>
          <cell r="BQ80" t="e">
            <v>#DIV/0!</v>
          </cell>
          <cell r="BR80">
            <v>0</v>
          </cell>
          <cell r="BS80">
            <v>0</v>
          </cell>
          <cell r="BT80" t="e">
            <v>#DIV/0!</v>
          </cell>
          <cell r="BU80">
            <v>0</v>
          </cell>
          <cell r="BV80">
            <v>0</v>
          </cell>
          <cell r="BW80" t="e">
            <v>#DIV/0!</v>
          </cell>
          <cell r="BX80">
            <v>0</v>
          </cell>
          <cell r="BY80">
            <v>0</v>
          </cell>
          <cell r="BZ80" t="e">
            <v>#DIV/0!</v>
          </cell>
          <cell r="CA80">
            <v>0</v>
          </cell>
          <cell r="CB80">
            <v>0</v>
          </cell>
          <cell r="CC80" t="e">
            <v>#DIV/0!</v>
          </cell>
          <cell r="CE80" t="str">
            <v>245 TELECOM.</v>
          </cell>
          <cell r="CF80">
            <v>0</v>
          </cell>
          <cell r="CG80">
            <v>0</v>
          </cell>
          <cell r="CH80" t="e">
            <v>#DIV/0!</v>
          </cell>
          <cell r="CI80">
            <v>0</v>
          </cell>
          <cell r="CJ80">
            <v>0</v>
          </cell>
          <cell r="CK80" t="e">
            <v>#DIV/0!</v>
          </cell>
          <cell r="CL80">
            <v>0</v>
          </cell>
          <cell r="CM80">
            <v>0</v>
          </cell>
          <cell r="CN80" t="e">
            <v>#DIV/0!</v>
          </cell>
          <cell r="CO80">
            <v>0</v>
          </cell>
          <cell r="CP80">
            <v>0</v>
          </cell>
          <cell r="CQ80" t="e">
            <v>#DIV/0!</v>
          </cell>
          <cell r="CR80">
            <v>0</v>
          </cell>
          <cell r="CS80">
            <v>0</v>
          </cell>
          <cell r="CT80" t="e">
            <v>#DIV/0!</v>
          </cell>
          <cell r="CV80" t="str">
            <v>245 TELECOM.</v>
          </cell>
          <cell r="CW80">
            <v>0</v>
          </cell>
          <cell r="CX80">
            <v>0</v>
          </cell>
          <cell r="CY80" t="e">
            <v>#DIV/0!</v>
          </cell>
          <cell r="CZ80">
            <v>0</v>
          </cell>
          <cell r="DA80">
            <v>0</v>
          </cell>
          <cell r="DB80" t="e">
            <v>#DIV/0!</v>
          </cell>
          <cell r="DC80">
            <v>0</v>
          </cell>
          <cell r="DD80">
            <v>0</v>
          </cell>
          <cell r="DE80" t="e">
            <v>#DIV/0!</v>
          </cell>
          <cell r="DF80">
            <v>0</v>
          </cell>
          <cell r="DG80">
            <v>0</v>
          </cell>
          <cell r="DH80" t="e">
            <v>#DIV/0!</v>
          </cell>
          <cell r="DJ80" t="str">
            <v>245 TELECOM.</v>
          </cell>
          <cell r="DK80">
            <v>0</v>
          </cell>
          <cell r="DL80">
            <v>0</v>
          </cell>
          <cell r="DM80" t="e">
            <v>#DIV/0!</v>
          </cell>
          <cell r="DN80">
            <v>0</v>
          </cell>
          <cell r="DO80">
            <v>0</v>
          </cell>
          <cell r="DP80" t="e">
            <v>#DIV/0!</v>
          </cell>
          <cell r="DQ80">
            <v>0</v>
          </cell>
          <cell r="DR80">
            <v>0</v>
          </cell>
          <cell r="DS80" t="e">
            <v>#DIV/0!</v>
          </cell>
          <cell r="DT80">
            <v>0</v>
          </cell>
          <cell r="DU80">
            <v>0</v>
          </cell>
          <cell r="DV80" t="e">
            <v>#DIV/0!</v>
          </cell>
          <cell r="DX80" t="str">
            <v>245 TELECOM.</v>
          </cell>
          <cell r="DY80">
            <v>0</v>
          </cell>
          <cell r="DZ80">
            <v>0</v>
          </cell>
          <cell r="EA80" t="e">
            <v>#DIV/0!</v>
          </cell>
          <cell r="EB80">
            <v>0</v>
          </cell>
          <cell r="EC80">
            <v>0</v>
          </cell>
          <cell r="ED80" t="e">
            <v>#DIV/0!</v>
          </cell>
          <cell r="EE80">
            <v>0</v>
          </cell>
          <cell r="EF80">
            <v>0</v>
          </cell>
          <cell r="EG80" t="e">
            <v>#DIV/0!</v>
          </cell>
          <cell r="EH80">
            <v>18600</v>
          </cell>
          <cell r="EI80">
            <v>13956</v>
          </cell>
          <cell r="EJ80">
            <v>75.032258064516128</v>
          </cell>
          <cell r="EK80">
            <v>18600</v>
          </cell>
          <cell r="EL80">
            <v>13956</v>
          </cell>
          <cell r="EM80">
            <v>75.032258064516128</v>
          </cell>
          <cell r="EO80" t="str">
            <v>245 TELECOM.</v>
          </cell>
          <cell r="EP80">
            <v>7440</v>
          </cell>
          <cell r="EQ80">
            <v>5580</v>
          </cell>
          <cell r="ER80">
            <v>75</v>
          </cell>
          <cell r="ES80">
            <v>0</v>
          </cell>
          <cell r="ET80">
            <v>0</v>
          </cell>
          <cell r="EU80" t="e">
            <v>#DIV/0!</v>
          </cell>
          <cell r="EV80">
            <v>0</v>
          </cell>
          <cell r="EW80">
            <v>0</v>
          </cell>
          <cell r="EX80" t="e">
            <v>#DIV/0!</v>
          </cell>
          <cell r="EY80">
            <v>1804</v>
          </cell>
          <cell r="EZ80">
            <v>1356</v>
          </cell>
          <cell r="FA80">
            <v>75.166297117516635</v>
          </cell>
          <cell r="FC80" t="str">
            <v>245 TELECOM.</v>
          </cell>
          <cell r="FD80">
            <v>0</v>
          </cell>
          <cell r="FE80">
            <v>0</v>
          </cell>
          <cell r="FF80" t="e">
            <v>#DIV/0!</v>
          </cell>
          <cell r="FG80">
            <v>0</v>
          </cell>
          <cell r="FH80">
            <v>0</v>
          </cell>
          <cell r="FI80" t="e">
            <v>#DIV/0!</v>
          </cell>
          <cell r="FJ80">
            <v>8680</v>
          </cell>
          <cell r="FK80">
            <v>6516</v>
          </cell>
          <cell r="FL80">
            <v>75.069124423963132</v>
          </cell>
          <cell r="FM80">
            <v>24259</v>
          </cell>
          <cell r="FN80">
            <v>18192</v>
          </cell>
          <cell r="FO80">
            <v>74.990725091718531</v>
          </cell>
          <cell r="FP80">
            <v>42183</v>
          </cell>
          <cell r="FQ80">
            <v>31644</v>
          </cell>
          <cell r="FR80">
            <v>75.016001706848741</v>
          </cell>
        </row>
        <row r="81">
          <cell r="AZ81" t="str">
            <v>246 SEC SRC 0009</v>
          </cell>
          <cell r="BA81">
            <v>0</v>
          </cell>
          <cell r="BB81">
            <v>0</v>
          </cell>
          <cell r="BC81" t="e">
            <v>#DIV/0!</v>
          </cell>
          <cell r="BD81">
            <v>0</v>
          </cell>
          <cell r="BE81">
            <v>0</v>
          </cell>
          <cell r="BF81" t="e">
            <v>#DIV/0!</v>
          </cell>
          <cell r="BG81">
            <v>0</v>
          </cell>
          <cell r="BH81">
            <v>0</v>
          </cell>
          <cell r="BI81" t="e">
            <v>#DIV/0!</v>
          </cell>
          <cell r="BJ81">
            <v>0</v>
          </cell>
          <cell r="BK81">
            <v>0</v>
          </cell>
          <cell r="BL81" t="e">
            <v>#DIV/0!</v>
          </cell>
          <cell r="BN81" t="str">
            <v>246 SEC SRC 0009</v>
          </cell>
          <cell r="BO81">
            <v>0</v>
          </cell>
          <cell r="BP81">
            <v>0</v>
          </cell>
          <cell r="BQ81" t="e">
            <v>#DIV/0!</v>
          </cell>
          <cell r="BR81">
            <v>0</v>
          </cell>
          <cell r="BS81">
            <v>0</v>
          </cell>
          <cell r="BT81" t="e">
            <v>#DIV/0!</v>
          </cell>
          <cell r="BU81">
            <v>0</v>
          </cell>
          <cell r="BV81">
            <v>0</v>
          </cell>
          <cell r="BW81" t="e">
            <v>#DIV/0!</v>
          </cell>
          <cell r="BX81">
            <v>0</v>
          </cell>
          <cell r="BY81">
            <v>0</v>
          </cell>
          <cell r="BZ81" t="e">
            <v>#DIV/0!</v>
          </cell>
          <cell r="CA81">
            <v>0</v>
          </cell>
          <cell r="CB81">
            <v>0</v>
          </cell>
          <cell r="CC81" t="e">
            <v>#DIV/0!</v>
          </cell>
          <cell r="CE81" t="str">
            <v>246 SEC SRC 0009</v>
          </cell>
          <cell r="CF81">
            <v>0</v>
          </cell>
          <cell r="CG81">
            <v>0</v>
          </cell>
          <cell r="CH81" t="e">
            <v>#DIV/0!</v>
          </cell>
          <cell r="CI81">
            <v>0</v>
          </cell>
          <cell r="CJ81">
            <v>0</v>
          </cell>
          <cell r="CK81" t="e">
            <v>#DIV/0!</v>
          </cell>
          <cell r="CL81">
            <v>0</v>
          </cell>
          <cell r="CM81">
            <v>0</v>
          </cell>
          <cell r="CN81" t="e">
            <v>#DIV/0!</v>
          </cell>
          <cell r="CO81">
            <v>0</v>
          </cell>
          <cell r="CP81">
            <v>0</v>
          </cell>
          <cell r="CQ81" t="e">
            <v>#DIV/0!</v>
          </cell>
          <cell r="CR81">
            <v>0</v>
          </cell>
          <cell r="CS81">
            <v>0</v>
          </cell>
          <cell r="CT81" t="e">
            <v>#DIV/0!</v>
          </cell>
          <cell r="CV81" t="str">
            <v>246 SEC SRC 0009</v>
          </cell>
          <cell r="CW81">
            <v>0</v>
          </cell>
          <cell r="CX81">
            <v>0</v>
          </cell>
          <cell r="CY81" t="e">
            <v>#DIV/0!</v>
          </cell>
          <cell r="CZ81">
            <v>0</v>
          </cell>
          <cell r="DA81">
            <v>0</v>
          </cell>
          <cell r="DB81" t="e">
            <v>#DIV/0!</v>
          </cell>
          <cell r="DC81">
            <v>0</v>
          </cell>
          <cell r="DD81">
            <v>0</v>
          </cell>
          <cell r="DE81" t="e">
            <v>#DIV/0!</v>
          </cell>
          <cell r="DF81">
            <v>0</v>
          </cell>
          <cell r="DG81">
            <v>0</v>
          </cell>
          <cell r="DH81" t="e">
            <v>#DIV/0!</v>
          </cell>
          <cell r="DJ81" t="str">
            <v>246 SEC SRC 0009</v>
          </cell>
          <cell r="DK81">
            <v>0</v>
          </cell>
          <cell r="DL81">
            <v>0</v>
          </cell>
          <cell r="DM81" t="e">
            <v>#DIV/0!</v>
          </cell>
          <cell r="DN81">
            <v>0</v>
          </cell>
          <cell r="DO81">
            <v>0</v>
          </cell>
          <cell r="DP81" t="e">
            <v>#DIV/0!</v>
          </cell>
          <cell r="DQ81">
            <v>0</v>
          </cell>
          <cell r="DR81">
            <v>0</v>
          </cell>
          <cell r="DS81" t="e">
            <v>#DIV/0!</v>
          </cell>
          <cell r="DT81">
            <v>0</v>
          </cell>
          <cell r="DU81">
            <v>0</v>
          </cell>
          <cell r="DV81" t="e">
            <v>#DIV/0!</v>
          </cell>
          <cell r="DX81" t="str">
            <v>246 SEC SRC 0009</v>
          </cell>
          <cell r="DY81">
            <v>0</v>
          </cell>
          <cell r="DZ81">
            <v>0</v>
          </cell>
          <cell r="EA81" t="e">
            <v>#DIV/0!</v>
          </cell>
          <cell r="EB81">
            <v>0</v>
          </cell>
          <cell r="EC81">
            <v>0</v>
          </cell>
          <cell r="ED81" t="e">
            <v>#DIV/0!</v>
          </cell>
          <cell r="EE81">
            <v>0</v>
          </cell>
          <cell r="EF81">
            <v>0</v>
          </cell>
          <cell r="EG81" t="e">
            <v>#DIV/0!</v>
          </cell>
          <cell r="EH81">
            <v>0</v>
          </cell>
          <cell r="EI81">
            <v>0</v>
          </cell>
          <cell r="EJ81" t="e">
            <v>#DIV/0!</v>
          </cell>
          <cell r="EK81">
            <v>0</v>
          </cell>
          <cell r="EL81">
            <v>0</v>
          </cell>
          <cell r="EM81" t="e">
            <v>#DIV/0!</v>
          </cell>
          <cell r="EO81" t="str">
            <v>246 SEC SRC 0009</v>
          </cell>
          <cell r="EP81">
            <v>0</v>
          </cell>
          <cell r="EQ81">
            <v>0</v>
          </cell>
          <cell r="ER81" t="e">
            <v>#DIV/0!</v>
          </cell>
          <cell r="ES81">
            <v>0</v>
          </cell>
          <cell r="ET81">
            <v>0</v>
          </cell>
          <cell r="EU81" t="e">
            <v>#DIV/0!</v>
          </cell>
          <cell r="EV81">
            <v>0</v>
          </cell>
          <cell r="EW81">
            <v>0</v>
          </cell>
          <cell r="EX81" t="e">
            <v>#DIV/0!</v>
          </cell>
          <cell r="EY81">
            <v>0</v>
          </cell>
          <cell r="EZ81">
            <v>0</v>
          </cell>
          <cell r="FA81" t="e">
            <v>#DIV/0!</v>
          </cell>
          <cell r="FC81" t="str">
            <v>246 SEC SRC 0009</v>
          </cell>
          <cell r="FD81">
            <v>0</v>
          </cell>
          <cell r="FE81">
            <v>0</v>
          </cell>
          <cell r="FF81" t="e">
            <v>#DIV/0!</v>
          </cell>
          <cell r="FG81">
            <v>0</v>
          </cell>
          <cell r="FH81">
            <v>0</v>
          </cell>
          <cell r="FI81" t="e">
            <v>#DIV/0!</v>
          </cell>
          <cell r="FJ81">
            <v>0</v>
          </cell>
          <cell r="FK81">
            <v>0</v>
          </cell>
          <cell r="FL81" t="e">
            <v>#DIV/0!</v>
          </cell>
          <cell r="FM81">
            <v>0</v>
          </cell>
          <cell r="FN81">
            <v>0</v>
          </cell>
          <cell r="FO81" t="e">
            <v>#DIV/0!</v>
          </cell>
          <cell r="FP81">
            <v>0</v>
          </cell>
          <cell r="FQ81">
            <v>0</v>
          </cell>
          <cell r="FR81" t="e">
            <v>#DIV/0!</v>
          </cell>
        </row>
        <row r="82">
          <cell r="AZ82" t="str">
            <v>249 DIVERS</v>
          </cell>
          <cell r="BA82">
            <v>0</v>
          </cell>
          <cell r="BB82">
            <v>0</v>
          </cell>
          <cell r="BC82" t="e">
            <v>#DIV/0!</v>
          </cell>
          <cell r="BD82">
            <v>0</v>
          </cell>
          <cell r="BE82">
            <v>0</v>
          </cell>
          <cell r="BF82" t="e">
            <v>#DIV/0!</v>
          </cell>
          <cell r="BG82">
            <v>0</v>
          </cell>
          <cell r="BH82">
            <v>0</v>
          </cell>
          <cell r="BI82" t="e">
            <v>#DIV/0!</v>
          </cell>
          <cell r="BJ82">
            <v>0</v>
          </cell>
          <cell r="BK82">
            <v>0</v>
          </cell>
          <cell r="BL82" t="e">
            <v>#DIV/0!</v>
          </cell>
          <cell r="BN82" t="str">
            <v>249 DIVERS</v>
          </cell>
          <cell r="BO82">
            <v>0</v>
          </cell>
          <cell r="BP82">
            <v>0</v>
          </cell>
          <cell r="BQ82" t="e">
            <v>#DIV/0!</v>
          </cell>
          <cell r="BR82">
            <v>0</v>
          </cell>
          <cell r="BS82">
            <v>0</v>
          </cell>
          <cell r="BT82" t="e">
            <v>#DIV/0!</v>
          </cell>
          <cell r="BU82">
            <v>0</v>
          </cell>
          <cell r="BV82">
            <v>0</v>
          </cell>
          <cell r="BW82" t="e">
            <v>#DIV/0!</v>
          </cell>
          <cell r="BX82">
            <v>0</v>
          </cell>
          <cell r="BY82">
            <v>0</v>
          </cell>
          <cell r="BZ82" t="e">
            <v>#DIV/0!</v>
          </cell>
          <cell r="CA82">
            <v>0</v>
          </cell>
          <cell r="CB82">
            <v>0</v>
          </cell>
          <cell r="CC82" t="e">
            <v>#DIV/0!</v>
          </cell>
          <cell r="CE82" t="str">
            <v>249 DIVERS</v>
          </cell>
          <cell r="CF82">
            <v>0</v>
          </cell>
          <cell r="CG82">
            <v>0</v>
          </cell>
          <cell r="CH82" t="e">
            <v>#DIV/0!</v>
          </cell>
          <cell r="CI82">
            <v>0</v>
          </cell>
          <cell r="CJ82">
            <v>0</v>
          </cell>
          <cell r="CK82" t="e">
            <v>#DIV/0!</v>
          </cell>
          <cell r="CL82">
            <v>0</v>
          </cell>
          <cell r="CM82">
            <v>0</v>
          </cell>
          <cell r="CN82" t="e">
            <v>#DIV/0!</v>
          </cell>
          <cell r="CO82">
            <v>0</v>
          </cell>
          <cell r="CP82">
            <v>0</v>
          </cell>
          <cell r="CQ82" t="e">
            <v>#DIV/0!</v>
          </cell>
          <cell r="CR82">
            <v>0</v>
          </cell>
          <cell r="CS82">
            <v>0</v>
          </cell>
          <cell r="CT82" t="e">
            <v>#DIV/0!</v>
          </cell>
          <cell r="CV82" t="str">
            <v>249 DIVERS</v>
          </cell>
          <cell r="CW82">
            <v>0</v>
          </cell>
          <cell r="CX82">
            <v>0</v>
          </cell>
          <cell r="CY82" t="e">
            <v>#DIV/0!</v>
          </cell>
          <cell r="CZ82">
            <v>0</v>
          </cell>
          <cell r="DA82">
            <v>0</v>
          </cell>
          <cell r="DB82" t="e">
            <v>#DIV/0!</v>
          </cell>
          <cell r="DC82">
            <v>0</v>
          </cell>
          <cell r="DD82">
            <v>0</v>
          </cell>
          <cell r="DE82" t="e">
            <v>#DIV/0!</v>
          </cell>
          <cell r="DF82">
            <v>0</v>
          </cell>
          <cell r="DG82">
            <v>0</v>
          </cell>
          <cell r="DH82" t="e">
            <v>#DIV/0!</v>
          </cell>
          <cell r="DJ82" t="str">
            <v>249 DIVERS</v>
          </cell>
          <cell r="DK82">
            <v>0</v>
          </cell>
          <cell r="DL82">
            <v>0</v>
          </cell>
          <cell r="DM82" t="e">
            <v>#DIV/0!</v>
          </cell>
          <cell r="DN82">
            <v>0</v>
          </cell>
          <cell r="DO82">
            <v>0</v>
          </cell>
          <cell r="DP82" t="e">
            <v>#DIV/0!</v>
          </cell>
          <cell r="DQ82">
            <v>0</v>
          </cell>
          <cell r="DR82">
            <v>0</v>
          </cell>
          <cell r="DS82" t="e">
            <v>#DIV/0!</v>
          </cell>
          <cell r="DT82">
            <v>0</v>
          </cell>
          <cell r="DU82">
            <v>0</v>
          </cell>
          <cell r="DV82" t="e">
            <v>#DIV/0!</v>
          </cell>
          <cell r="DX82" t="str">
            <v>249 DIVERS</v>
          </cell>
          <cell r="DY82">
            <v>0</v>
          </cell>
          <cell r="DZ82">
            <v>0</v>
          </cell>
          <cell r="EA82" t="e">
            <v>#DIV/0!</v>
          </cell>
          <cell r="EB82">
            <v>0</v>
          </cell>
          <cell r="EC82">
            <v>0</v>
          </cell>
          <cell r="ED82" t="e">
            <v>#DIV/0!</v>
          </cell>
          <cell r="EE82">
            <v>0</v>
          </cell>
          <cell r="EF82">
            <v>0</v>
          </cell>
          <cell r="EG82" t="e">
            <v>#DIV/0!</v>
          </cell>
          <cell r="EH82">
            <v>0</v>
          </cell>
          <cell r="EI82">
            <v>0</v>
          </cell>
          <cell r="EJ82" t="e">
            <v>#DIV/0!</v>
          </cell>
          <cell r="EK82">
            <v>0</v>
          </cell>
          <cell r="EL82">
            <v>0</v>
          </cell>
          <cell r="EM82" t="e">
            <v>#DIV/0!</v>
          </cell>
          <cell r="EO82" t="str">
            <v>249 DIVERS</v>
          </cell>
          <cell r="EP82">
            <v>0</v>
          </cell>
          <cell r="EQ82">
            <v>0</v>
          </cell>
          <cell r="ER82" t="e">
            <v>#DIV/0!</v>
          </cell>
          <cell r="ES82">
            <v>0</v>
          </cell>
          <cell r="ET82">
            <v>0</v>
          </cell>
          <cell r="EU82" t="e">
            <v>#DIV/0!</v>
          </cell>
          <cell r="EV82">
            <v>0</v>
          </cell>
          <cell r="EW82">
            <v>0</v>
          </cell>
          <cell r="EX82" t="e">
            <v>#DIV/0!</v>
          </cell>
          <cell r="EY82">
            <v>0</v>
          </cell>
          <cell r="EZ82">
            <v>0</v>
          </cell>
          <cell r="FA82" t="e">
            <v>#DIV/0!</v>
          </cell>
          <cell r="FC82" t="str">
            <v>249 DIVERS</v>
          </cell>
          <cell r="FD82">
            <v>0</v>
          </cell>
          <cell r="FE82">
            <v>0</v>
          </cell>
          <cell r="FF82" t="e">
            <v>#DIV/0!</v>
          </cell>
          <cell r="FG82">
            <v>0</v>
          </cell>
          <cell r="FH82">
            <v>0</v>
          </cell>
          <cell r="FI82" t="e">
            <v>#DIV/0!</v>
          </cell>
          <cell r="FJ82">
            <v>0</v>
          </cell>
          <cell r="FK82">
            <v>0</v>
          </cell>
          <cell r="FL82" t="e">
            <v>#DIV/0!</v>
          </cell>
          <cell r="FM82">
            <v>0</v>
          </cell>
          <cell r="FN82">
            <v>0</v>
          </cell>
          <cell r="FO82" t="e">
            <v>#DIV/0!</v>
          </cell>
          <cell r="FP82">
            <v>0</v>
          </cell>
          <cell r="FQ82">
            <v>0</v>
          </cell>
          <cell r="FR82" t="e">
            <v>#DIV/0!</v>
          </cell>
        </row>
        <row r="83">
          <cell r="AZ83" t="str">
            <v>250 A. VULCAN.</v>
          </cell>
          <cell r="BA83">
            <v>0</v>
          </cell>
          <cell r="BB83">
            <v>0</v>
          </cell>
          <cell r="BC83" t="e">
            <v>#DIV/0!</v>
          </cell>
          <cell r="BD83">
            <v>0</v>
          </cell>
          <cell r="BE83">
            <v>0</v>
          </cell>
          <cell r="BF83" t="e">
            <v>#DIV/0!</v>
          </cell>
          <cell r="BG83">
            <v>0</v>
          </cell>
          <cell r="BH83">
            <v>0</v>
          </cell>
          <cell r="BI83" t="e">
            <v>#DIV/0!</v>
          </cell>
          <cell r="BJ83">
            <v>0</v>
          </cell>
          <cell r="BK83">
            <v>0</v>
          </cell>
          <cell r="BL83" t="e">
            <v>#DIV/0!</v>
          </cell>
          <cell r="BN83" t="str">
            <v>250 A. VULCAN.</v>
          </cell>
          <cell r="BO83">
            <v>0</v>
          </cell>
          <cell r="BP83">
            <v>0</v>
          </cell>
          <cell r="BQ83" t="e">
            <v>#DIV/0!</v>
          </cell>
          <cell r="BR83">
            <v>0</v>
          </cell>
          <cell r="BS83">
            <v>0</v>
          </cell>
          <cell r="BT83" t="e">
            <v>#DIV/0!</v>
          </cell>
          <cell r="BU83">
            <v>0</v>
          </cell>
          <cell r="BV83">
            <v>0</v>
          </cell>
          <cell r="BW83" t="e">
            <v>#DIV/0!</v>
          </cell>
          <cell r="BX83">
            <v>0</v>
          </cell>
          <cell r="BY83">
            <v>0</v>
          </cell>
          <cell r="BZ83" t="e">
            <v>#DIV/0!</v>
          </cell>
          <cell r="CA83">
            <v>0</v>
          </cell>
          <cell r="CB83">
            <v>0</v>
          </cell>
          <cell r="CC83" t="e">
            <v>#DIV/0!</v>
          </cell>
          <cell r="CE83" t="str">
            <v>250 A. VULCAN.</v>
          </cell>
          <cell r="CF83">
            <v>0</v>
          </cell>
          <cell r="CG83">
            <v>0</v>
          </cell>
          <cell r="CH83" t="e">
            <v>#DIV/0!</v>
          </cell>
          <cell r="CI83">
            <v>0</v>
          </cell>
          <cell r="CJ83">
            <v>0</v>
          </cell>
          <cell r="CK83" t="e">
            <v>#DIV/0!</v>
          </cell>
          <cell r="CL83">
            <v>0</v>
          </cell>
          <cell r="CM83">
            <v>0</v>
          </cell>
          <cell r="CN83" t="e">
            <v>#DIV/0!</v>
          </cell>
          <cell r="CO83">
            <v>0</v>
          </cell>
          <cell r="CP83">
            <v>0</v>
          </cell>
          <cell r="CQ83" t="e">
            <v>#DIV/0!</v>
          </cell>
          <cell r="CR83">
            <v>0</v>
          </cell>
          <cell r="CS83">
            <v>0</v>
          </cell>
          <cell r="CT83" t="e">
            <v>#DIV/0!</v>
          </cell>
          <cell r="CV83" t="str">
            <v>250 A. VULCAN.</v>
          </cell>
          <cell r="CW83">
            <v>0</v>
          </cell>
          <cell r="CX83">
            <v>0</v>
          </cell>
          <cell r="CY83" t="e">
            <v>#DIV/0!</v>
          </cell>
          <cell r="CZ83">
            <v>0</v>
          </cell>
          <cell r="DA83">
            <v>0</v>
          </cell>
          <cell r="DB83" t="e">
            <v>#DIV/0!</v>
          </cell>
          <cell r="DC83">
            <v>0</v>
          </cell>
          <cell r="DD83">
            <v>0</v>
          </cell>
          <cell r="DE83" t="e">
            <v>#DIV/0!</v>
          </cell>
          <cell r="DF83">
            <v>0</v>
          </cell>
          <cell r="DG83">
            <v>0</v>
          </cell>
          <cell r="DH83" t="e">
            <v>#DIV/0!</v>
          </cell>
          <cell r="DJ83" t="str">
            <v>250 A. VULCAN.</v>
          </cell>
          <cell r="DK83">
            <v>0</v>
          </cell>
          <cell r="DL83">
            <v>0</v>
          </cell>
          <cell r="DM83" t="e">
            <v>#DIV/0!</v>
          </cell>
          <cell r="DN83">
            <v>0</v>
          </cell>
          <cell r="DO83">
            <v>0</v>
          </cell>
          <cell r="DP83" t="e">
            <v>#DIV/0!</v>
          </cell>
          <cell r="DQ83">
            <v>0</v>
          </cell>
          <cell r="DR83">
            <v>0</v>
          </cell>
          <cell r="DS83" t="e">
            <v>#DIV/0!</v>
          </cell>
          <cell r="DT83">
            <v>0</v>
          </cell>
          <cell r="DU83">
            <v>0</v>
          </cell>
          <cell r="DV83" t="e">
            <v>#DIV/0!</v>
          </cell>
          <cell r="DX83" t="str">
            <v>250 A. VULCAN.</v>
          </cell>
          <cell r="DY83">
            <v>0</v>
          </cell>
          <cell r="DZ83">
            <v>0</v>
          </cell>
          <cell r="EA83" t="e">
            <v>#DIV/0!</v>
          </cell>
          <cell r="EB83">
            <v>0</v>
          </cell>
          <cell r="EC83">
            <v>0</v>
          </cell>
          <cell r="ED83" t="e">
            <v>#DIV/0!</v>
          </cell>
          <cell r="EE83">
            <v>0</v>
          </cell>
          <cell r="EF83">
            <v>0</v>
          </cell>
          <cell r="EG83" t="e">
            <v>#DIV/0!</v>
          </cell>
          <cell r="EH83">
            <v>0</v>
          </cell>
          <cell r="EI83">
            <v>0</v>
          </cell>
          <cell r="EJ83" t="e">
            <v>#DIV/0!</v>
          </cell>
          <cell r="EK83">
            <v>0</v>
          </cell>
          <cell r="EL83">
            <v>0</v>
          </cell>
          <cell r="EM83" t="e">
            <v>#DIV/0!</v>
          </cell>
          <cell r="EO83" t="str">
            <v>250 A. VULCAN.</v>
          </cell>
          <cell r="EP83">
            <v>0</v>
          </cell>
          <cell r="EQ83">
            <v>0</v>
          </cell>
          <cell r="ER83" t="e">
            <v>#DIV/0!</v>
          </cell>
          <cell r="ES83">
            <v>0</v>
          </cell>
          <cell r="ET83">
            <v>0</v>
          </cell>
          <cell r="EU83" t="e">
            <v>#DIV/0!</v>
          </cell>
          <cell r="EV83">
            <v>0</v>
          </cell>
          <cell r="EW83">
            <v>0</v>
          </cell>
          <cell r="EX83" t="e">
            <v>#DIV/0!</v>
          </cell>
          <cell r="EY83">
            <v>0</v>
          </cell>
          <cell r="EZ83">
            <v>0</v>
          </cell>
          <cell r="FA83" t="e">
            <v>#DIV/0!</v>
          </cell>
          <cell r="FC83" t="str">
            <v>250 A. VULCAN.</v>
          </cell>
          <cell r="FD83">
            <v>0</v>
          </cell>
          <cell r="FE83">
            <v>0</v>
          </cell>
          <cell r="FF83" t="e">
            <v>#DIV/0!</v>
          </cell>
          <cell r="FG83">
            <v>0</v>
          </cell>
          <cell r="FH83">
            <v>0</v>
          </cell>
          <cell r="FI83" t="e">
            <v>#DIV/0!</v>
          </cell>
          <cell r="FJ83">
            <v>0</v>
          </cell>
          <cell r="FK83">
            <v>0</v>
          </cell>
          <cell r="FL83" t="e">
            <v>#DIV/0!</v>
          </cell>
          <cell r="FM83">
            <v>0</v>
          </cell>
          <cell r="FN83">
            <v>0</v>
          </cell>
          <cell r="FO83" t="e">
            <v>#DIV/0!</v>
          </cell>
          <cell r="FP83">
            <v>0</v>
          </cell>
          <cell r="FQ83">
            <v>0</v>
          </cell>
          <cell r="FR83" t="e">
            <v>#DIV/0!</v>
          </cell>
        </row>
        <row r="84">
          <cell r="AZ84" t="str">
            <v>253 A. CHAUD. EN</v>
          </cell>
          <cell r="BA84">
            <v>0</v>
          </cell>
          <cell r="BB84">
            <v>0</v>
          </cell>
          <cell r="BC84" t="e">
            <v>#DIV/0!</v>
          </cell>
          <cell r="BD84">
            <v>0</v>
          </cell>
          <cell r="BE84">
            <v>0</v>
          </cell>
          <cell r="BF84" t="e">
            <v>#DIV/0!</v>
          </cell>
          <cell r="BG84">
            <v>0</v>
          </cell>
          <cell r="BH84">
            <v>0</v>
          </cell>
          <cell r="BI84" t="e">
            <v>#DIV/0!</v>
          </cell>
          <cell r="BJ84">
            <v>0</v>
          </cell>
          <cell r="BK84">
            <v>0</v>
          </cell>
          <cell r="BL84" t="e">
            <v>#DIV/0!</v>
          </cell>
          <cell r="BN84" t="str">
            <v>253 A. CHAUD. EN</v>
          </cell>
          <cell r="BO84">
            <v>0</v>
          </cell>
          <cell r="BP84">
            <v>0</v>
          </cell>
          <cell r="BQ84" t="e">
            <v>#DIV/0!</v>
          </cell>
          <cell r="BR84">
            <v>0</v>
          </cell>
          <cell r="BS84">
            <v>0</v>
          </cell>
          <cell r="BT84" t="e">
            <v>#DIV/0!</v>
          </cell>
          <cell r="BU84">
            <v>0</v>
          </cell>
          <cell r="BV84">
            <v>0</v>
          </cell>
          <cell r="BW84" t="e">
            <v>#DIV/0!</v>
          </cell>
          <cell r="BX84">
            <v>0</v>
          </cell>
          <cell r="BY84">
            <v>0</v>
          </cell>
          <cell r="BZ84" t="e">
            <v>#DIV/0!</v>
          </cell>
          <cell r="CA84">
            <v>0</v>
          </cell>
          <cell r="CB84">
            <v>0</v>
          </cell>
          <cell r="CC84" t="e">
            <v>#DIV/0!</v>
          </cell>
          <cell r="CE84" t="str">
            <v>253 A. CHAUD. EN</v>
          </cell>
          <cell r="CF84">
            <v>0</v>
          </cell>
          <cell r="CG84">
            <v>0</v>
          </cell>
          <cell r="CH84" t="e">
            <v>#DIV/0!</v>
          </cell>
          <cell r="CI84">
            <v>0</v>
          </cell>
          <cell r="CJ84">
            <v>0</v>
          </cell>
          <cell r="CK84" t="e">
            <v>#DIV/0!</v>
          </cell>
          <cell r="CL84">
            <v>0</v>
          </cell>
          <cell r="CM84">
            <v>0</v>
          </cell>
          <cell r="CN84" t="e">
            <v>#DIV/0!</v>
          </cell>
          <cell r="CO84">
            <v>0</v>
          </cell>
          <cell r="CP84">
            <v>0</v>
          </cell>
          <cell r="CQ84" t="e">
            <v>#DIV/0!</v>
          </cell>
          <cell r="CR84">
            <v>0</v>
          </cell>
          <cell r="CS84">
            <v>0</v>
          </cell>
          <cell r="CT84" t="e">
            <v>#DIV/0!</v>
          </cell>
          <cell r="CV84" t="str">
            <v>253 A. CHAUD. EN</v>
          </cell>
          <cell r="CW84">
            <v>0</v>
          </cell>
          <cell r="CX84">
            <v>0</v>
          </cell>
          <cell r="CY84" t="e">
            <v>#DIV/0!</v>
          </cell>
          <cell r="CZ84">
            <v>0</v>
          </cell>
          <cell r="DA84">
            <v>0</v>
          </cell>
          <cell r="DB84" t="e">
            <v>#DIV/0!</v>
          </cell>
          <cell r="DC84">
            <v>0</v>
          </cell>
          <cell r="DD84">
            <v>0</v>
          </cell>
          <cell r="DE84" t="e">
            <v>#DIV/0!</v>
          </cell>
          <cell r="DF84">
            <v>0</v>
          </cell>
          <cell r="DG84">
            <v>0</v>
          </cell>
          <cell r="DH84" t="e">
            <v>#DIV/0!</v>
          </cell>
          <cell r="DJ84" t="str">
            <v>253 A. CHAUD. EN</v>
          </cell>
          <cell r="DK84">
            <v>0</v>
          </cell>
          <cell r="DL84">
            <v>0</v>
          </cell>
          <cell r="DM84" t="e">
            <v>#DIV/0!</v>
          </cell>
          <cell r="DN84">
            <v>0</v>
          </cell>
          <cell r="DO84">
            <v>0</v>
          </cell>
          <cell r="DP84" t="e">
            <v>#DIV/0!</v>
          </cell>
          <cell r="DQ84">
            <v>0</v>
          </cell>
          <cell r="DR84">
            <v>0</v>
          </cell>
          <cell r="DS84" t="e">
            <v>#DIV/0!</v>
          </cell>
          <cell r="DT84">
            <v>0</v>
          </cell>
          <cell r="DU84">
            <v>0</v>
          </cell>
          <cell r="DV84" t="e">
            <v>#DIV/0!</v>
          </cell>
          <cell r="DX84" t="str">
            <v>253 A. CHAUD. EN</v>
          </cell>
          <cell r="DY84">
            <v>0</v>
          </cell>
          <cell r="DZ84">
            <v>0</v>
          </cell>
          <cell r="EA84" t="e">
            <v>#DIV/0!</v>
          </cell>
          <cell r="EB84">
            <v>0</v>
          </cell>
          <cell r="EC84">
            <v>0</v>
          </cell>
          <cell r="ED84" t="e">
            <v>#DIV/0!</v>
          </cell>
          <cell r="EE84">
            <v>0</v>
          </cell>
          <cell r="EF84">
            <v>0</v>
          </cell>
          <cell r="EG84" t="e">
            <v>#DIV/0!</v>
          </cell>
          <cell r="EH84">
            <v>0</v>
          </cell>
          <cell r="EI84">
            <v>0</v>
          </cell>
          <cell r="EJ84" t="e">
            <v>#DIV/0!</v>
          </cell>
          <cell r="EK84">
            <v>0</v>
          </cell>
          <cell r="EL84">
            <v>0</v>
          </cell>
          <cell r="EM84" t="e">
            <v>#DIV/0!</v>
          </cell>
          <cell r="EO84" t="str">
            <v>253 A. CHAUD. EN</v>
          </cell>
          <cell r="EP84">
            <v>0</v>
          </cell>
          <cell r="EQ84">
            <v>0</v>
          </cell>
          <cell r="ER84" t="e">
            <v>#DIV/0!</v>
          </cell>
          <cell r="ES84">
            <v>0</v>
          </cell>
          <cell r="ET84">
            <v>0</v>
          </cell>
          <cell r="EU84" t="e">
            <v>#DIV/0!</v>
          </cell>
          <cell r="EV84">
            <v>0</v>
          </cell>
          <cell r="EW84">
            <v>0</v>
          </cell>
          <cell r="EX84" t="e">
            <v>#DIV/0!</v>
          </cell>
          <cell r="EY84">
            <v>0</v>
          </cell>
          <cell r="EZ84">
            <v>0</v>
          </cell>
          <cell r="FA84" t="e">
            <v>#DIV/0!</v>
          </cell>
          <cell r="FC84" t="str">
            <v>253 A. CHAUD. EN</v>
          </cell>
          <cell r="FD84">
            <v>0</v>
          </cell>
          <cell r="FE84">
            <v>0</v>
          </cell>
          <cell r="FF84" t="e">
            <v>#DIV/0!</v>
          </cell>
          <cell r="FG84">
            <v>0</v>
          </cell>
          <cell r="FH84">
            <v>0</v>
          </cell>
          <cell r="FI84" t="e">
            <v>#DIV/0!</v>
          </cell>
          <cell r="FJ84">
            <v>0</v>
          </cell>
          <cell r="FK84">
            <v>0</v>
          </cell>
          <cell r="FL84" t="e">
            <v>#DIV/0!</v>
          </cell>
          <cell r="FM84">
            <v>0</v>
          </cell>
          <cell r="FN84">
            <v>0</v>
          </cell>
          <cell r="FO84" t="e">
            <v>#DIV/0!</v>
          </cell>
          <cell r="FP84">
            <v>0</v>
          </cell>
          <cell r="FQ84">
            <v>0</v>
          </cell>
          <cell r="FR84" t="e">
            <v>#DIV/0!</v>
          </cell>
        </row>
        <row r="85">
          <cell r="AZ85" t="str">
            <v>257 A. M. OUT.</v>
          </cell>
          <cell r="BA85">
            <v>0</v>
          </cell>
          <cell r="BB85">
            <v>0</v>
          </cell>
          <cell r="BC85" t="e">
            <v>#DIV/0!</v>
          </cell>
          <cell r="BD85">
            <v>0</v>
          </cell>
          <cell r="BE85">
            <v>0</v>
          </cell>
          <cell r="BF85" t="e">
            <v>#DIV/0!</v>
          </cell>
          <cell r="BG85">
            <v>0</v>
          </cell>
          <cell r="BH85">
            <v>0</v>
          </cell>
          <cell r="BI85" t="e">
            <v>#DIV/0!</v>
          </cell>
          <cell r="BJ85">
            <v>0</v>
          </cell>
          <cell r="BK85">
            <v>0</v>
          </cell>
          <cell r="BL85" t="e">
            <v>#DIV/0!</v>
          </cell>
          <cell r="BN85" t="str">
            <v>257 A. M. OUT.</v>
          </cell>
          <cell r="BO85">
            <v>0</v>
          </cell>
          <cell r="BP85">
            <v>0</v>
          </cell>
          <cell r="BQ85" t="e">
            <v>#DIV/0!</v>
          </cell>
          <cell r="BR85">
            <v>0</v>
          </cell>
          <cell r="BS85">
            <v>0</v>
          </cell>
          <cell r="BT85" t="e">
            <v>#DIV/0!</v>
          </cell>
          <cell r="BU85">
            <v>0</v>
          </cell>
          <cell r="BV85">
            <v>0</v>
          </cell>
          <cell r="BW85" t="e">
            <v>#DIV/0!</v>
          </cell>
          <cell r="BX85">
            <v>0</v>
          </cell>
          <cell r="BY85">
            <v>0</v>
          </cell>
          <cell r="BZ85" t="e">
            <v>#DIV/0!</v>
          </cell>
          <cell r="CA85">
            <v>0</v>
          </cell>
          <cell r="CB85">
            <v>0</v>
          </cell>
          <cell r="CC85" t="e">
            <v>#DIV/0!</v>
          </cell>
          <cell r="CE85" t="str">
            <v>257 A. M. OUT.</v>
          </cell>
          <cell r="CF85">
            <v>0</v>
          </cell>
          <cell r="CG85">
            <v>0</v>
          </cell>
          <cell r="CH85" t="e">
            <v>#DIV/0!</v>
          </cell>
          <cell r="CI85">
            <v>0</v>
          </cell>
          <cell r="CJ85">
            <v>0</v>
          </cell>
          <cell r="CK85" t="e">
            <v>#DIV/0!</v>
          </cell>
          <cell r="CL85">
            <v>0</v>
          </cell>
          <cell r="CM85">
            <v>0</v>
          </cell>
          <cell r="CN85" t="e">
            <v>#DIV/0!</v>
          </cell>
          <cell r="CO85">
            <v>0</v>
          </cell>
          <cell r="CP85">
            <v>0</v>
          </cell>
          <cell r="CQ85" t="e">
            <v>#DIV/0!</v>
          </cell>
          <cell r="CR85">
            <v>0</v>
          </cell>
          <cell r="CS85">
            <v>0</v>
          </cell>
          <cell r="CT85" t="e">
            <v>#DIV/0!</v>
          </cell>
          <cell r="CV85" t="str">
            <v>257 A. M. OUT.</v>
          </cell>
          <cell r="CW85">
            <v>0</v>
          </cell>
          <cell r="CX85">
            <v>0</v>
          </cell>
          <cell r="CY85" t="e">
            <v>#DIV/0!</v>
          </cell>
          <cell r="CZ85">
            <v>0</v>
          </cell>
          <cell r="DA85">
            <v>0</v>
          </cell>
          <cell r="DB85" t="e">
            <v>#DIV/0!</v>
          </cell>
          <cell r="DC85">
            <v>0</v>
          </cell>
          <cell r="DD85">
            <v>0</v>
          </cell>
          <cell r="DE85" t="e">
            <v>#DIV/0!</v>
          </cell>
          <cell r="DF85">
            <v>0</v>
          </cell>
          <cell r="DG85">
            <v>0</v>
          </cell>
          <cell r="DH85" t="e">
            <v>#DIV/0!</v>
          </cell>
          <cell r="DJ85" t="str">
            <v>257 A. M. OUT.</v>
          </cell>
          <cell r="DK85">
            <v>0</v>
          </cell>
          <cell r="DL85">
            <v>0</v>
          </cell>
          <cell r="DM85" t="e">
            <v>#DIV/0!</v>
          </cell>
          <cell r="DN85">
            <v>0</v>
          </cell>
          <cell r="DO85">
            <v>0</v>
          </cell>
          <cell r="DP85" t="e">
            <v>#DIV/0!</v>
          </cell>
          <cell r="DQ85">
            <v>0</v>
          </cell>
          <cell r="DR85">
            <v>0</v>
          </cell>
          <cell r="DS85" t="e">
            <v>#DIV/0!</v>
          </cell>
          <cell r="DT85">
            <v>0</v>
          </cell>
          <cell r="DU85">
            <v>0</v>
          </cell>
          <cell r="DV85" t="e">
            <v>#DIV/0!</v>
          </cell>
          <cell r="DX85" t="str">
            <v>257 A. M. OUT.</v>
          </cell>
          <cell r="DY85">
            <v>0</v>
          </cell>
          <cell r="DZ85">
            <v>0</v>
          </cell>
          <cell r="EA85" t="e">
            <v>#DIV/0!</v>
          </cell>
          <cell r="EB85">
            <v>0</v>
          </cell>
          <cell r="EC85">
            <v>0</v>
          </cell>
          <cell r="ED85" t="e">
            <v>#DIV/0!</v>
          </cell>
          <cell r="EE85">
            <v>0</v>
          </cell>
          <cell r="EF85">
            <v>0</v>
          </cell>
          <cell r="EG85" t="e">
            <v>#DIV/0!</v>
          </cell>
          <cell r="EH85">
            <v>0</v>
          </cell>
          <cell r="EI85">
            <v>0</v>
          </cell>
          <cell r="EJ85" t="e">
            <v>#DIV/0!</v>
          </cell>
          <cell r="EK85">
            <v>0</v>
          </cell>
          <cell r="EL85">
            <v>0</v>
          </cell>
          <cell r="EM85" t="e">
            <v>#DIV/0!</v>
          </cell>
          <cell r="EO85" t="str">
            <v>257 A. M. OUT.</v>
          </cell>
          <cell r="EP85">
            <v>0</v>
          </cell>
          <cell r="EQ85">
            <v>0</v>
          </cell>
          <cell r="ER85" t="e">
            <v>#DIV/0!</v>
          </cell>
          <cell r="ES85">
            <v>0</v>
          </cell>
          <cell r="ET85">
            <v>0</v>
          </cell>
          <cell r="EU85" t="e">
            <v>#DIV/0!</v>
          </cell>
          <cell r="EV85">
            <v>0</v>
          </cell>
          <cell r="EW85">
            <v>0</v>
          </cell>
          <cell r="EX85" t="e">
            <v>#DIV/0!</v>
          </cell>
          <cell r="EY85">
            <v>0</v>
          </cell>
          <cell r="EZ85">
            <v>0</v>
          </cell>
          <cell r="FA85" t="e">
            <v>#DIV/0!</v>
          </cell>
          <cell r="FC85" t="str">
            <v>257 A. M. OUT.</v>
          </cell>
          <cell r="FD85">
            <v>0</v>
          </cell>
          <cell r="FE85">
            <v>0</v>
          </cell>
          <cell r="FF85" t="e">
            <v>#DIV/0!</v>
          </cell>
          <cell r="FG85">
            <v>0</v>
          </cell>
          <cell r="FH85">
            <v>0</v>
          </cell>
          <cell r="FI85" t="e">
            <v>#DIV/0!</v>
          </cell>
          <cell r="FJ85">
            <v>0</v>
          </cell>
          <cell r="FK85">
            <v>0</v>
          </cell>
          <cell r="FL85" t="e">
            <v>#DIV/0!</v>
          </cell>
          <cell r="FM85">
            <v>0</v>
          </cell>
          <cell r="FN85">
            <v>0</v>
          </cell>
          <cell r="FO85" t="e">
            <v>#DIV/0!</v>
          </cell>
          <cell r="FP85">
            <v>0</v>
          </cell>
          <cell r="FQ85">
            <v>0</v>
          </cell>
          <cell r="FR85" t="e">
            <v>#DIV/0!</v>
          </cell>
        </row>
        <row r="86">
          <cell r="AZ86" t="str">
            <v>2* PREST. INT.</v>
          </cell>
          <cell r="BA86">
            <v>0</v>
          </cell>
          <cell r="BB86">
            <v>0</v>
          </cell>
          <cell r="BC86" t="e">
            <v>#DIV/0!</v>
          </cell>
          <cell r="BD86">
            <v>544243</v>
          </cell>
          <cell r="BE86">
            <v>179604</v>
          </cell>
          <cell r="BF86">
            <v>33.00070005493869</v>
          </cell>
          <cell r="BG86">
            <v>313655</v>
          </cell>
          <cell r="BH86">
            <v>103500</v>
          </cell>
          <cell r="BI86">
            <v>32.998039246943293</v>
          </cell>
          <cell r="BJ86">
            <v>427008</v>
          </cell>
          <cell r="BK86">
            <v>140904</v>
          </cell>
          <cell r="BL86">
            <v>32.997976618705039</v>
          </cell>
          <cell r="BN86" t="str">
            <v>2* PREST. INT.</v>
          </cell>
          <cell r="BO86">
            <v>317006</v>
          </cell>
          <cell r="BP86">
            <v>104616</v>
          </cell>
          <cell r="BQ86">
            <v>33.001268114799089</v>
          </cell>
          <cell r="BR86">
            <v>258584</v>
          </cell>
          <cell r="BS86">
            <v>85332</v>
          </cell>
          <cell r="BT86">
            <v>32.99972156049872</v>
          </cell>
          <cell r="BU86">
            <v>351256</v>
          </cell>
          <cell r="BV86">
            <v>115908</v>
          </cell>
          <cell r="BW86">
            <v>32.998155191655087</v>
          </cell>
          <cell r="BX86">
            <v>196790</v>
          </cell>
          <cell r="BY86">
            <v>64944</v>
          </cell>
          <cell r="BZ86">
            <v>33.001676914477365</v>
          </cell>
          <cell r="CA86">
            <v>2408542</v>
          </cell>
          <cell r="CB86">
            <v>794808</v>
          </cell>
          <cell r="CC86">
            <v>32.999549104811123</v>
          </cell>
          <cell r="CE86" t="str">
            <v>2* PREST. INT.</v>
          </cell>
          <cell r="CF86">
            <v>1699639</v>
          </cell>
          <cell r="CG86">
            <v>1699644</v>
          </cell>
          <cell r="CH86">
            <v>100.00029418011707</v>
          </cell>
          <cell r="CI86">
            <v>2199143</v>
          </cell>
          <cell r="CJ86">
            <v>2199132</v>
          </cell>
          <cell r="CK86">
            <v>99.999499805151373</v>
          </cell>
          <cell r="CL86">
            <v>0</v>
          </cell>
          <cell r="CM86">
            <v>0</v>
          </cell>
          <cell r="CN86" t="e">
            <v>#DIV/0!</v>
          </cell>
          <cell r="CO86">
            <v>0</v>
          </cell>
          <cell r="CP86">
            <v>0</v>
          </cell>
          <cell r="CQ86" t="e">
            <v>#DIV/0!</v>
          </cell>
          <cell r="CR86">
            <v>3898782</v>
          </cell>
          <cell r="CS86">
            <v>3898776</v>
          </cell>
          <cell r="CT86">
            <v>99.999846105783803</v>
          </cell>
          <cell r="CV86" t="str">
            <v>2* PREST. INT.</v>
          </cell>
          <cell r="CW86">
            <v>1393</v>
          </cell>
          <cell r="CX86">
            <v>1392</v>
          </cell>
          <cell r="CY86">
            <v>99.928212491026557</v>
          </cell>
          <cell r="CZ86">
            <v>493319</v>
          </cell>
          <cell r="DA86">
            <v>493320</v>
          </cell>
          <cell r="DB86">
            <v>100.0002027085922</v>
          </cell>
          <cell r="DC86">
            <v>0</v>
          </cell>
          <cell r="DD86">
            <v>0</v>
          </cell>
          <cell r="DE86" t="e">
            <v>#DIV/0!</v>
          </cell>
          <cell r="DF86">
            <v>494712</v>
          </cell>
          <cell r="DG86">
            <v>494712</v>
          </cell>
          <cell r="DH86">
            <v>100</v>
          </cell>
          <cell r="DJ86" t="str">
            <v>2* PREST. INT.</v>
          </cell>
          <cell r="DK86">
            <v>265980</v>
          </cell>
          <cell r="DL86">
            <v>199488</v>
          </cell>
          <cell r="DM86">
            <v>75.001127904353709</v>
          </cell>
          <cell r="DN86">
            <v>0</v>
          </cell>
          <cell r="DO86">
            <v>0</v>
          </cell>
          <cell r="DP86" t="e">
            <v>#DIV/0!</v>
          </cell>
          <cell r="DQ86">
            <v>0</v>
          </cell>
          <cell r="DR86">
            <v>0</v>
          </cell>
          <cell r="DS86" t="e">
            <v>#DIV/0!</v>
          </cell>
          <cell r="DT86">
            <v>0</v>
          </cell>
          <cell r="DU86">
            <v>0</v>
          </cell>
          <cell r="DV86" t="e">
            <v>#DIV/0!</v>
          </cell>
          <cell r="DX86" t="str">
            <v>2* PREST. INT.</v>
          </cell>
          <cell r="DY86">
            <v>0</v>
          </cell>
          <cell r="DZ86">
            <v>0</v>
          </cell>
          <cell r="EA86" t="e">
            <v>#DIV/0!</v>
          </cell>
          <cell r="EB86">
            <v>0</v>
          </cell>
          <cell r="EC86">
            <v>0</v>
          </cell>
          <cell r="ED86" t="e">
            <v>#DIV/0!</v>
          </cell>
          <cell r="EE86">
            <v>476099</v>
          </cell>
          <cell r="EF86">
            <v>357072</v>
          </cell>
          <cell r="EG86">
            <v>74.999527409215304</v>
          </cell>
          <cell r="EH86">
            <v>894374</v>
          </cell>
          <cell r="EI86">
            <v>670776</v>
          </cell>
          <cell r="EJ86">
            <v>74.999496854783345</v>
          </cell>
          <cell r="EK86">
            <v>1636453</v>
          </cell>
          <cell r="EL86">
            <v>1227336</v>
          </cell>
          <cell r="EM86">
            <v>74.999770845847692</v>
          </cell>
          <cell r="EO86" t="str">
            <v>2* PREST. INT.</v>
          </cell>
          <cell r="EP86">
            <v>569088</v>
          </cell>
          <cell r="EQ86">
            <v>426828</v>
          </cell>
          <cell r="ER86">
            <v>75.002108636977056</v>
          </cell>
          <cell r="ES86">
            <v>0</v>
          </cell>
          <cell r="ET86">
            <v>0</v>
          </cell>
          <cell r="EU86" t="e">
            <v>#DIV/0!</v>
          </cell>
          <cell r="EV86">
            <v>48376</v>
          </cell>
          <cell r="EW86">
            <v>36288</v>
          </cell>
          <cell r="EX86">
            <v>75.012402844385647</v>
          </cell>
          <cell r="EY86">
            <v>1804</v>
          </cell>
          <cell r="EZ86">
            <v>1356</v>
          </cell>
          <cell r="FA86">
            <v>75.166297117516635</v>
          </cell>
          <cell r="FC86" t="str">
            <v>2* PREST. INT.</v>
          </cell>
          <cell r="FD86">
            <v>0</v>
          </cell>
          <cell r="FE86">
            <v>0</v>
          </cell>
          <cell r="FF86" t="e">
            <v>#DIV/0!</v>
          </cell>
          <cell r="FG86">
            <v>0</v>
          </cell>
          <cell r="FH86">
            <v>0</v>
          </cell>
          <cell r="FI86" t="e">
            <v>#DIV/0!</v>
          </cell>
          <cell r="FJ86">
            <v>526537</v>
          </cell>
          <cell r="FK86">
            <v>394896</v>
          </cell>
          <cell r="FL86">
            <v>74.998718038808292</v>
          </cell>
          <cell r="FM86">
            <v>857008</v>
          </cell>
          <cell r="FN86">
            <v>642744</v>
          </cell>
          <cell r="FO86">
            <v>74.998599779698665</v>
          </cell>
          <cell r="FP86">
            <v>2002813</v>
          </cell>
          <cell r="FQ86">
            <v>1502112</v>
          </cell>
          <cell r="FR86">
            <v>75.000112341990985</v>
          </cell>
        </row>
        <row r="87">
          <cell r="AZ87" t="str">
            <v>300 JARDINAGE PEPINIERE</v>
          </cell>
          <cell r="BA87">
            <v>0</v>
          </cell>
          <cell r="BB87">
            <v>0</v>
          </cell>
          <cell r="BC87" t="e">
            <v>#DIV/0!</v>
          </cell>
          <cell r="BD87">
            <v>0</v>
          </cell>
          <cell r="BE87">
            <v>0</v>
          </cell>
          <cell r="BF87" t="e">
            <v>#DIV/0!</v>
          </cell>
          <cell r="BG87">
            <v>0</v>
          </cell>
          <cell r="BH87">
            <v>0</v>
          </cell>
          <cell r="BI87" t="e">
            <v>#DIV/0!</v>
          </cell>
          <cell r="BJ87">
            <v>0</v>
          </cell>
          <cell r="BK87">
            <v>0</v>
          </cell>
          <cell r="BL87" t="e">
            <v>#DIV/0!</v>
          </cell>
          <cell r="BN87" t="str">
            <v>300 JARDINAGE PEPINIERE</v>
          </cell>
          <cell r="BO87">
            <v>0</v>
          </cell>
          <cell r="BP87">
            <v>0</v>
          </cell>
          <cell r="BQ87" t="e">
            <v>#DIV/0!</v>
          </cell>
          <cell r="BR87">
            <v>0</v>
          </cell>
          <cell r="BS87">
            <v>0</v>
          </cell>
          <cell r="BT87" t="e">
            <v>#DIV/0!</v>
          </cell>
          <cell r="BU87">
            <v>0</v>
          </cell>
          <cell r="BV87">
            <v>0</v>
          </cell>
          <cell r="BW87" t="e">
            <v>#DIV/0!</v>
          </cell>
          <cell r="BX87">
            <v>0</v>
          </cell>
          <cell r="BY87">
            <v>0</v>
          </cell>
          <cell r="BZ87" t="e">
            <v>#DIV/0!</v>
          </cell>
          <cell r="CA87">
            <v>0</v>
          </cell>
          <cell r="CB87">
            <v>0</v>
          </cell>
          <cell r="CC87" t="e">
            <v>#DIV/0!</v>
          </cell>
          <cell r="CE87" t="str">
            <v>300 JARDINAGE PEPINIERE</v>
          </cell>
          <cell r="CF87">
            <v>0</v>
          </cell>
          <cell r="CG87">
            <v>0</v>
          </cell>
          <cell r="CH87" t="e">
            <v>#DIV/0!</v>
          </cell>
          <cell r="CI87">
            <v>0</v>
          </cell>
          <cell r="CJ87">
            <v>0</v>
          </cell>
          <cell r="CK87" t="e">
            <v>#DIV/0!</v>
          </cell>
          <cell r="CL87">
            <v>0</v>
          </cell>
          <cell r="CM87">
            <v>0</v>
          </cell>
          <cell r="CN87" t="e">
            <v>#DIV/0!</v>
          </cell>
          <cell r="CO87">
            <v>0</v>
          </cell>
          <cell r="CP87">
            <v>0</v>
          </cell>
          <cell r="CQ87" t="e">
            <v>#DIV/0!</v>
          </cell>
          <cell r="CR87">
            <v>0</v>
          </cell>
          <cell r="CS87">
            <v>0</v>
          </cell>
          <cell r="CT87" t="e">
            <v>#DIV/0!</v>
          </cell>
          <cell r="CV87" t="str">
            <v>300 JARDINAGE PEPINIERE</v>
          </cell>
          <cell r="CW87">
            <v>0</v>
          </cell>
          <cell r="CX87">
            <v>0</v>
          </cell>
          <cell r="CY87" t="e">
            <v>#DIV/0!</v>
          </cell>
          <cell r="CZ87">
            <v>0</v>
          </cell>
          <cell r="DA87">
            <v>0</v>
          </cell>
          <cell r="DB87" t="e">
            <v>#DIV/0!</v>
          </cell>
          <cell r="DC87">
            <v>0</v>
          </cell>
          <cell r="DD87">
            <v>0</v>
          </cell>
          <cell r="DE87" t="e">
            <v>#DIV/0!</v>
          </cell>
          <cell r="DF87">
            <v>0</v>
          </cell>
          <cell r="DG87">
            <v>0</v>
          </cell>
          <cell r="DH87" t="e">
            <v>#DIV/0!</v>
          </cell>
          <cell r="DJ87" t="str">
            <v>300 JARDINAGE PEPINIERE</v>
          </cell>
          <cell r="DK87">
            <v>0</v>
          </cell>
          <cell r="DL87">
            <v>0</v>
          </cell>
          <cell r="DM87" t="e">
            <v>#DIV/0!</v>
          </cell>
          <cell r="DN87">
            <v>0</v>
          </cell>
          <cell r="DO87">
            <v>0</v>
          </cell>
          <cell r="DP87" t="e">
            <v>#DIV/0!</v>
          </cell>
          <cell r="DQ87">
            <v>0</v>
          </cell>
          <cell r="DR87">
            <v>0</v>
          </cell>
          <cell r="DS87" t="e">
            <v>#DIV/0!</v>
          </cell>
          <cell r="DT87">
            <v>0</v>
          </cell>
          <cell r="DU87">
            <v>0</v>
          </cell>
          <cell r="DV87" t="e">
            <v>#DIV/0!</v>
          </cell>
          <cell r="DX87" t="str">
            <v>300 JARDINAGE PEPINIERE</v>
          </cell>
          <cell r="DY87">
            <v>0</v>
          </cell>
          <cell r="DZ87">
            <v>0</v>
          </cell>
          <cell r="EA87" t="e">
            <v>#DIV/0!</v>
          </cell>
          <cell r="EB87">
            <v>0</v>
          </cell>
          <cell r="EC87">
            <v>0</v>
          </cell>
          <cell r="ED87" t="e">
            <v>#DIV/0!</v>
          </cell>
          <cell r="EE87">
            <v>0</v>
          </cell>
          <cell r="EF87">
            <v>0</v>
          </cell>
          <cell r="EG87" t="e">
            <v>#DIV/0!</v>
          </cell>
          <cell r="EH87">
            <v>0</v>
          </cell>
          <cell r="EI87">
            <v>0</v>
          </cell>
          <cell r="EJ87" t="e">
            <v>#DIV/0!</v>
          </cell>
          <cell r="EK87">
            <v>0</v>
          </cell>
          <cell r="EL87">
            <v>0</v>
          </cell>
          <cell r="EM87" t="e">
            <v>#DIV/0!</v>
          </cell>
          <cell r="EO87" t="str">
            <v>300 JARDINAGE PEPINIERE</v>
          </cell>
          <cell r="EP87">
            <v>0</v>
          </cell>
          <cell r="EQ87">
            <v>0</v>
          </cell>
          <cell r="ER87" t="e">
            <v>#DIV/0!</v>
          </cell>
          <cell r="ES87">
            <v>0</v>
          </cell>
          <cell r="ET87">
            <v>0</v>
          </cell>
          <cell r="EU87" t="e">
            <v>#DIV/0!</v>
          </cell>
          <cell r="EV87">
            <v>0</v>
          </cell>
          <cell r="EW87">
            <v>0</v>
          </cell>
          <cell r="EX87" t="e">
            <v>#DIV/0!</v>
          </cell>
          <cell r="EY87">
            <v>0</v>
          </cell>
          <cell r="EZ87">
            <v>0</v>
          </cell>
          <cell r="FA87" t="e">
            <v>#DIV/0!</v>
          </cell>
          <cell r="FC87" t="str">
            <v>300 JARDINAGE PEPINIERE</v>
          </cell>
          <cell r="FD87">
            <v>0</v>
          </cell>
          <cell r="FE87">
            <v>0</v>
          </cell>
          <cell r="FF87" t="e">
            <v>#DIV/0!</v>
          </cell>
          <cell r="FG87">
            <v>0</v>
          </cell>
          <cell r="FH87">
            <v>0</v>
          </cell>
          <cell r="FI87" t="e">
            <v>#DIV/0!</v>
          </cell>
          <cell r="FJ87">
            <v>0</v>
          </cell>
          <cell r="FK87">
            <v>0</v>
          </cell>
          <cell r="FL87" t="e">
            <v>#DIV/0!</v>
          </cell>
          <cell r="FM87">
            <v>869</v>
          </cell>
          <cell r="FN87">
            <v>648</v>
          </cell>
          <cell r="FO87">
            <v>74.568469505178371</v>
          </cell>
          <cell r="FP87">
            <v>869</v>
          </cell>
          <cell r="FQ87">
            <v>648</v>
          </cell>
          <cell r="FR87">
            <v>74.568469505178371</v>
          </cell>
        </row>
        <row r="88">
          <cell r="AZ88" t="str">
            <v>301 NETOYAGE</v>
          </cell>
          <cell r="BA88">
            <v>0</v>
          </cell>
          <cell r="BB88">
            <v>0</v>
          </cell>
          <cell r="BC88" t="e">
            <v>#DIV/0!</v>
          </cell>
          <cell r="BD88">
            <v>0</v>
          </cell>
          <cell r="BE88">
            <v>0</v>
          </cell>
          <cell r="BF88" t="e">
            <v>#DIV/0!</v>
          </cell>
          <cell r="BG88">
            <v>0</v>
          </cell>
          <cell r="BH88">
            <v>0</v>
          </cell>
          <cell r="BI88" t="e">
            <v>#DIV/0!</v>
          </cell>
          <cell r="BJ88">
            <v>0</v>
          </cell>
          <cell r="BK88">
            <v>0</v>
          </cell>
          <cell r="BL88" t="e">
            <v>#DIV/0!</v>
          </cell>
          <cell r="BN88" t="str">
            <v>301 NETOYAGE</v>
          </cell>
          <cell r="BO88">
            <v>0</v>
          </cell>
          <cell r="BP88">
            <v>0</v>
          </cell>
          <cell r="BQ88" t="e">
            <v>#DIV/0!</v>
          </cell>
          <cell r="BR88">
            <v>0</v>
          </cell>
          <cell r="BS88">
            <v>0</v>
          </cell>
          <cell r="BT88" t="e">
            <v>#DIV/0!</v>
          </cell>
          <cell r="BU88">
            <v>0</v>
          </cell>
          <cell r="BV88">
            <v>0</v>
          </cell>
          <cell r="BW88" t="e">
            <v>#DIV/0!</v>
          </cell>
          <cell r="BX88">
            <v>0</v>
          </cell>
          <cell r="BY88">
            <v>0</v>
          </cell>
          <cell r="BZ88" t="e">
            <v>#DIV/0!</v>
          </cell>
          <cell r="CA88">
            <v>0</v>
          </cell>
          <cell r="CB88">
            <v>0</v>
          </cell>
          <cell r="CC88" t="e">
            <v>#DIV/0!</v>
          </cell>
          <cell r="CE88" t="str">
            <v>301 NETOYAGE</v>
          </cell>
          <cell r="CF88">
            <v>0</v>
          </cell>
          <cell r="CG88">
            <v>0</v>
          </cell>
          <cell r="CH88" t="e">
            <v>#DIV/0!</v>
          </cell>
          <cell r="CI88">
            <v>0</v>
          </cell>
          <cell r="CJ88">
            <v>0</v>
          </cell>
          <cell r="CK88" t="e">
            <v>#DIV/0!</v>
          </cell>
          <cell r="CL88">
            <v>0</v>
          </cell>
          <cell r="CM88">
            <v>0</v>
          </cell>
          <cell r="CN88" t="e">
            <v>#DIV/0!</v>
          </cell>
          <cell r="CO88">
            <v>0</v>
          </cell>
          <cell r="CP88">
            <v>0</v>
          </cell>
          <cell r="CQ88" t="e">
            <v>#DIV/0!</v>
          </cell>
          <cell r="CR88">
            <v>0</v>
          </cell>
          <cell r="CS88">
            <v>0</v>
          </cell>
          <cell r="CT88" t="e">
            <v>#DIV/0!</v>
          </cell>
          <cell r="CV88" t="str">
            <v>301 NETOYAGE</v>
          </cell>
          <cell r="CW88">
            <v>0</v>
          </cell>
          <cell r="CX88">
            <v>0</v>
          </cell>
          <cell r="CY88" t="e">
            <v>#DIV/0!</v>
          </cell>
          <cell r="CZ88">
            <v>0</v>
          </cell>
          <cell r="DA88">
            <v>0</v>
          </cell>
          <cell r="DB88" t="e">
            <v>#DIV/0!</v>
          </cell>
          <cell r="DC88">
            <v>0</v>
          </cell>
          <cell r="DD88">
            <v>0</v>
          </cell>
          <cell r="DE88" t="e">
            <v>#DIV/0!</v>
          </cell>
          <cell r="DF88">
            <v>0</v>
          </cell>
          <cell r="DG88">
            <v>0</v>
          </cell>
          <cell r="DH88" t="e">
            <v>#DIV/0!</v>
          </cell>
          <cell r="DJ88" t="str">
            <v>301 NETOYAGE</v>
          </cell>
          <cell r="DK88">
            <v>0</v>
          </cell>
          <cell r="DL88">
            <v>0</v>
          </cell>
          <cell r="DM88" t="e">
            <v>#DIV/0!</v>
          </cell>
          <cell r="DN88">
            <v>0</v>
          </cell>
          <cell r="DO88">
            <v>0</v>
          </cell>
          <cell r="DP88" t="e">
            <v>#DIV/0!</v>
          </cell>
          <cell r="DQ88">
            <v>0</v>
          </cell>
          <cell r="DR88">
            <v>0</v>
          </cell>
          <cell r="DS88" t="e">
            <v>#DIV/0!</v>
          </cell>
          <cell r="DT88">
            <v>0</v>
          </cell>
          <cell r="DU88">
            <v>0</v>
          </cell>
          <cell r="DV88" t="e">
            <v>#DIV/0!</v>
          </cell>
          <cell r="DX88" t="str">
            <v>301 NETOYAGE</v>
          </cell>
          <cell r="DY88">
            <v>0</v>
          </cell>
          <cell r="DZ88">
            <v>0</v>
          </cell>
          <cell r="EA88" t="e">
            <v>#DIV/0!</v>
          </cell>
          <cell r="EB88">
            <v>0</v>
          </cell>
          <cell r="EC88">
            <v>0</v>
          </cell>
          <cell r="ED88" t="e">
            <v>#DIV/0!</v>
          </cell>
          <cell r="EE88">
            <v>0</v>
          </cell>
          <cell r="EF88">
            <v>0</v>
          </cell>
          <cell r="EG88" t="e">
            <v>#DIV/0!</v>
          </cell>
          <cell r="EH88">
            <v>1445</v>
          </cell>
          <cell r="EI88">
            <v>1044</v>
          </cell>
          <cell r="EJ88">
            <v>72.249134948096881</v>
          </cell>
          <cell r="EK88">
            <v>1445</v>
          </cell>
          <cell r="EL88">
            <v>1044</v>
          </cell>
          <cell r="EM88">
            <v>72.249134948096881</v>
          </cell>
          <cell r="EO88" t="str">
            <v>301 NETOYAGE</v>
          </cell>
          <cell r="EP88">
            <v>0</v>
          </cell>
          <cell r="EQ88">
            <v>0</v>
          </cell>
          <cell r="ER88" t="e">
            <v>#DIV/0!</v>
          </cell>
          <cell r="ES88">
            <v>0</v>
          </cell>
          <cell r="ET88">
            <v>0</v>
          </cell>
          <cell r="EU88" t="e">
            <v>#DIV/0!</v>
          </cell>
          <cell r="EV88">
            <v>0</v>
          </cell>
          <cell r="EW88">
            <v>0</v>
          </cell>
          <cell r="EX88" t="e">
            <v>#DIV/0!</v>
          </cell>
          <cell r="EY88">
            <v>0</v>
          </cell>
          <cell r="EZ88">
            <v>0</v>
          </cell>
          <cell r="FA88" t="e">
            <v>#DIV/0!</v>
          </cell>
          <cell r="FC88" t="str">
            <v>301 NETOYAGE</v>
          </cell>
          <cell r="FD88">
            <v>0</v>
          </cell>
          <cell r="FE88">
            <v>0</v>
          </cell>
          <cell r="FF88" t="e">
            <v>#DIV/0!</v>
          </cell>
          <cell r="FG88">
            <v>0</v>
          </cell>
          <cell r="FH88">
            <v>0</v>
          </cell>
          <cell r="FI88" t="e">
            <v>#DIV/0!</v>
          </cell>
          <cell r="FJ88">
            <v>0</v>
          </cell>
          <cell r="FK88">
            <v>0</v>
          </cell>
          <cell r="FL88" t="e">
            <v>#DIV/0!</v>
          </cell>
          <cell r="FM88">
            <v>16580</v>
          </cell>
          <cell r="FN88">
            <v>12432</v>
          </cell>
          <cell r="FO88">
            <v>74.981905910735819</v>
          </cell>
          <cell r="FP88">
            <v>16580</v>
          </cell>
          <cell r="FQ88">
            <v>12432</v>
          </cell>
          <cell r="FR88">
            <v>74.981905910735819</v>
          </cell>
        </row>
        <row r="89">
          <cell r="AZ89" t="str">
            <v>302 PRESTATION MENUISERIE</v>
          </cell>
          <cell r="BA89">
            <v>0</v>
          </cell>
          <cell r="BB89">
            <v>0</v>
          </cell>
          <cell r="BC89" t="e">
            <v>#DIV/0!</v>
          </cell>
          <cell r="BD89">
            <v>0</v>
          </cell>
          <cell r="BE89">
            <v>0</v>
          </cell>
          <cell r="BF89" t="e">
            <v>#DIV/0!</v>
          </cell>
          <cell r="BG89">
            <v>0</v>
          </cell>
          <cell r="BH89">
            <v>0</v>
          </cell>
          <cell r="BI89" t="e">
            <v>#DIV/0!</v>
          </cell>
          <cell r="BJ89">
            <v>0</v>
          </cell>
          <cell r="BK89">
            <v>0</v>
          </cell>
          <cell r="BL89" t="e">
            <v>#DIV/0!</v>
          </cell>
          <cell r="BN89" t="str">
            <v>302 PRESTATION MENUISERIE</v>
          </cell>
          <cell r="BO89">
            <v>0</v>
          </cell>
          <cell r="BP89">
            <v>0</v>
          </cell>
          <cell r="BQ89" t="e">
            <v>#DIV/0!</v>
          </cell>
          <cell r="BR89">
            <v>0</v>
          </cell>
          <cell r="BS89">
            <v>0</v>
          </cell>
          <cell r="BT89" t="e">
            <v>#DIV/0!</v>
          </cell>
          <cell r="BU89">
            <v>0</v>
          </cell>
          <cell r="BV89">
            <v>0</v>
          </cell>
          <cell r="BW89" t="e">
            <v>#DIV/0!</v>
          </cell>
          <cell r="BX89">
            <v>0</v>
          </cell>
          <cell r="BY89">
            <v>0</v>
          </cell>
          <cell r="BZ89" t="e">
            <v>#DIV/0!</v>
          </cell>
          <cell r="CA89">
            <v>0</v>
          </cell>
          <cell r="CB89">
            <v>0</v>
          </cell>
          <cell r="CC89" t="e">
            <v>#DIV/0!</v>
          </cell>
          <cell r="CE89" t="str">
            <v>302 PRESTATION MENUISERIE</v>
          </cell>
          <cell r="CF89">
            <v>0</v>
          </cell>
          <cell r="CG89">
            <v>0</v>
          </cell>
          <cell r="CH89" t="e">
            <v>#DIV/0!</v>
          </cell>
          <cell r="CI89">
            <v>0</v>
          </cell>
          <cell r="CJ89">
            <v>0</v>
          </cell>
          <cell r="CK89" t="e">
            <v>#DIV/0!</v>
          </cell>
          <cell r="CL89">
            <v>0</v>
          </cell>
          <cell r="CM89">
            <v>0</v>
          </cell>
          <cell r="CN89" t="e">
            <v>#DIV/0!</v>
          </cell>
          <cell r="CO89">
            <v>0</v>
          </cell>
          <cell r="CP89">
            <v>0</v>
          </cell>
          <cell r="CQ89" t="e">
            <v>#DIV/0!</v>
          </cell>
          <cell r="CR89">
            <v>0</v>
          </cell>
          <cell r="CS89">
            <v>0</v>
          </cell>
          <cell r="CT89" t="e">
            <v>#DIV/0!</v>
          </cell>
          <cell r="CV89" t="str">
            <v>302 PRESTATION MENUISERIE</v>
          </cell>
          <cell r="CW89">
            <v>0</v>
          </cell>
          <cell r="CX89">
            <v>0</v>
          </cell>
          <cell r="CY89" t="e">
            <v>#DIV/0!</v>
          </cell>
          <cell r="CZ89">
            <v>0</v>
          </cell>
          <cell r="DA89">
            <v>0</v>
          </cell>
          <cell r="DB89" t="e">
            <v>#DIV/0!</v>
          </cell>
          <cell r="DC89">
            <v>0</v>
          </cell>
          <cell r="DD89">
            <v>0</v>
          </cell>
          <cell r="DE89" t="e">
            <v>#DIV/0!</v>
          </cell>
          <cell r="DF89">
            <v>0</v>
          </cell>
          <cell r="DG89">
            <v>0</v>
          </cell>
          <cell r="DH89" t="e">
            <v>#DIV/0!</v>
          </cell>
          <cell r="DJ89" t="str">
            <v>302 PRESTATION MENUISERIE</v>
          </cell>
          <cell r="DK89">
            <v>0</v>
          </cell>
          <cell r="DL89">
            <v>0</v>
          </cell>
          <cell r="DM89" t="e">
            <v>#DIV/0!</v>
          </cell>
          <cell r="DN89">
            <v>0</v>
          </cell>
          <cell r="DO89">
            <v>0</v>
          </cell>
          <cell r="DP89" t="e">
            <v>#DIV/0!</v>
          </cell>
          <cell r="DQ89">
            <v>0</v>
          </cell>
          <cell r="DR89">
            <v>0</v>
          </cell>
          <cell r="DS89" t="e">
            <v>#DIV/0!</v>
          </cell>
          <cell r="DT89">
            <v>0</v>
          </cell>
          <cell r="DU89">
            <v>0</v>
          </cell>
          <cell r="DV89" t="e">
            <v>#DIV/0!</v>
          </cell>
          <cell r="DX89" t="str">
            <v>302 PRESTATION MENUISERIE</v>
          </cell>
          <cell r="DY89">
            <v>0</v>
          </cell>
          <cell r="DZ89">
            <v>0</v>
          </cell>
          <cell r="EA89" t="e">
            <v>#DIV/0!</v>
          </cell>
          <cell r="EB89">
            <v>0</v>
          </cell>
          <cell r="EC89">
            <v>0</v>
          </cell>
          <cell r="ED89" t="e">
            <v>#DIV/0!</v>
          </cell>
          <cell r="EE89">
            <v>0</v>
          </cell>
          <cell r="EF89">
            <v>0</v>
          </cell>
          <cell r="EG89" t="e">
            <v>#DIV/0!</v>
          </cell>
          <cell r="EH89">
            <v>0</v>
          </cell>
          <cell r="EI89">
            <v>0</v>
          </cell>
          <cell r="EJ89" t="e">
            <v>#DIV/0!</v>
          </cell>
          <cell r="EK89">
            <v>0</v>
          </cell>
          <cell r="EL89">
            <v>0</v>
          </cell>
          <cell r="EM89" t="e">
            <v>#DIV/0!</v>
          </cell>
          <cell r="EO89" t="str">
            <v>302 PRESTATION MENUISERIE</v>
          </cell>
          <cell r="EP89">
            <v>0</v>
          </cell>
          <cell r="EQ89">
            <v>0</v>
          </cell>
          <cell r="ER89" t="e">
            <v>#DIV/0!</v>
          </cell>
          <cell r="ES89">
            <v>0</v>
          </cell>
          <cell r="ET89">
            <v>0</v>
          </cell>
          <cell r="EU89" t="e">
            <v>#DIV/0!</v>
          </cell>
          <cell r="EV89">
            <v>0</v>
          </cell>
          <cell r="EW89">
            <v>0</v>
          </cell>
          <cell r="EX89" t="e">
            <v>#DIV/0!</v>
          </cell>
          <cell r="EY89">
            <v>0</v>
          </cell>
          <cell r="EZ89">
            <v>0</v>
          </cell>
          <cell r="FA89" t="e">
            <v>#DIV/0!</v>
          </cell>
          <cell r="FC89" t="str">
            <v>302 PRESTATION MENUISERIE</v>
          </cell>
          <cell r="FD89">
            <v>0</v>
          </cell>
          <cell r="FE89">
            <v>0</v>
          </cell>
          <cell r="FF89" t="e">
            <v>#DIV/0!</v>
          </cell>
          <cell r="FG89">
            <v>0</v>
          </cell>
          <cell r="FH89">
            <v>0</v>
          </cell>
          <cell r="FI89" t="e">
            <v>#DIV/0!</v>
          </cell>
          <cell r="FJ89">
            <v>0</v>
          </cell>
          <cell r="FK89">
            <v>0</v>
          </cell>
          <cell r="FL89" t="e">
            <v>#DIV/0!</v>
          </cell>
          <cell r="FM89">
            <v>1385</v>
          </cell>
          <cell r="FN89">
            <v>1044</v>
          </cell>
          <cell r="FO89">
            <v>75.379061371841161</v>
          </cell>
          <cell r="FP89">
            <v>1385</v>
          </cell>
          <cell r="FQ89">
            <v>1044</v>
          </cell>
          <cell r="FR89">
            <v>75.379061371841161</v>
          </cell>
        </row>
        <row r="90">
          <cell r="AZ90" t="str">
            <v>303 PRESTATION PEINTURE ET VIT</v>
          </cell>
          <cell r="BA90">
            <v>0</v>
          </cell>
          <cell r="BB90">
            <v>0</v>
          </cell>
          <cell r="BC90" t="e">
            <v>#DIV/0!</v>
          </cell>
          <cell r="BD90">
            <v>0</v>
          </cell>
          <cell r="BE90">
            <v>0</v>
          </cell>
          <cell r="BF90" t="e">
            <v>#DIV/0!</v>
          </cell>
          <cell r="BG90">
            <v>0</v>
          </cell>
          <cell r="BH90">
            <v>0</v>
          </cell>
          <cell r="BI90" t="e">
            <v>#DIV/0!</v>
          </cell>
          <cell r="BJ90">
            <v>0</v>
          </cell>
          <cell r="BK90">
            <v>0</v>
          </cell>
          <cell r="BL90" t="e">
            <v>#DIV/0!</v>
          </cell>
          <cell r="BN90" t="str">
            <v>303 PRESTATION PEINTURE ET VIT</v>
          </cell>
          <cell r="BO90">
            <v>0</v>
          </cell>
          <cell r="BP90">
            <v>0</v>
          </cell>
          <cell r="BQ90" t="e">
            <v>#DIV/0!</v>
          </cell>
          <cell r="BR90">
            <v>0</v>
          </cell>
          <cell r="BS90">
            <v>0</v>
          </cell>
          <cell r="BT90" t="e">
            <v>#DIV/0!</v>
          </cell>
          <cell r="BU90">
            <v>0</v>
          </cell>
          <cell r="BV90">
            <v>0</v>
          </cell>
          <cell r="BW90" t="e">
            <v>#DIV/0!</v>
          </cell>
          <cell r="BX90">
            <v>0</v>
          </cell>
          <cell r="BY90">
            <v>0</v>
          </cell>
          <cell r="BZ90" t="e">
            <v>#DIV/0!</v>
          </cell>
          <cell r="CA90">
            <v>0</v>
          </cell>
          <cell r="CB90">
            <v>0</v>
          </cell>
          <cell r="CC90" t="e">
            <v>#DIV/0!</v>
          </cell>
          <cell r="CE90" t="str">
            <v>303 PRESTATION PEINTURE ET VIT</v>
          </cell>
          <cell r="CF90">
            <v>0</v>
          </cell>
          <cell r="CG90">
            <v>0</v>
          </cell>
          <cell r="CH90" t="e">
            <v>#DIV/0!</v>
          </cell>
          <cell r="CI90">
            <v>0</v>
          </cell>
          <cell r="CJ90">
            <v>0</v>
          </cell>
          <cell r="CK90" t="e">
            <v>#DIV/0!</v>
          </cell>
          <cell r="CL90">
            <v>0</v>
          </cell>
          <cell r="CM90">
            <v>0</v>
          </cell>
          <cell r="CN90" t="e">
            <v>#DIV/0!</v>
          </cell>
          <cell r="CO90">
            <v>0</v>
          </cell>
          <cell r="CP90">
            <v>0</v>
          </cell>
          <cell r="CQ90" t="e">
            <v>#DIV/0!</v>
          </cell>
          <cell r="CR90">
            <v>0</v>
          </cell>
          <cell r="CS90">
            <v>0</v>
          </cell>
          <cell r="CT90" t="e">
            <v>#DIV/0!</v>
          </cell>
          <cell r="CV90" t="str">
            <v>303 PRESTATION PEINTURE ET VIT</v>
          </cell>
          <cell r="CW90">
            <v>0</v>
          </cell>
          <cell r="CX90">
            <v>0</v>
          </cell>
          <cell r="CY90" t="e">
            <v>#DIV/0!</v>
          </cell>
          <cell r="CZ90">
            <v>0</v>
          </cell>
          <cell r="DA90">
            <v>0</v>
          </cell>
          <cell r="DB90" t="e">
            <v>#DIV/0!</v>
          </cell>
          <cell r="DC90">
            <v>0</v>
          </cell>
          <cell r="DD90">
            <v>0</v>
          </cell>
          <cell r="DE90" t="e">
            <v>#DIV/0!</v>
          </cell>
          <cell r="DF90">
            <v>0</v>
          </cell>
          <cell r="DG90">
            <v>0</v>
          </cell>
          <cell r="DH90" t="e">
            <v>#DIV/0!</v>
          </cell>
          <cell r="DJ90" t="str">
            <v>303 PRESTATION PEINTURE ET VIT</v>
          </cell>
          <cell r="DK90">
            <v>0</v>
          </cell>
          <cell r="DL90">
            <v>0</v>
          </cell>
          <cell r="DM90" t="e">
            <v>#DIV/0!</v>
          </cell>
          <cell r="DN90">
            <v>0</v>
          </cell>
          <cell r="DO90">
            <v>0</v>
          </cell>
          <cell r="DP90" t="e">
            <v>#DIV/0!</v>
          </cell>
          <cell r="DQ90">
            <v>0</v>
          </cell>
          <cell r="DR90">
            <v>0</v>
          </cell>
          <cell r="DS90" t="e">
            <v>#DIV/0!</v>
          </cell>
          <cell r="DT90">
            <v>0</v>
          </cell>
          <cell r="DU90">
            <v>0</v>
          </cell>
          <cell r="DV90" t="e">
            <v>#DIV/0!</v>
          </cell>
          <cell r="DX90" t="str">
            <v>303 PRESTATION PEINTURE ET VIT</v>
          </cell>
          <cell r="DY90">
            <v>0</v>
          </cell>
          <cell r="DZ90">
            <v>0</v>
          </cell>
          <cell r="EA90" t="e">
            <v>#DIV/0!</v>
          </cell>
          <cell r="EB90">
            <v>0</v>
          </cell>
          <cell r="EC90">
            <v>0</v>
          </cell>
          <cell r="ED90" t="e">
            <v>#DIV/0!</v>
          </cell>
          <cell r="EE90">
            <v>0</v>
          </cell>
          <cell r="EF90">
            <v>0</v>
          </cell>
          <cell r="EG90" t="e">
            <v>#DIV/0!</v>
          </cell>
          <cell r="EH90">
            <v>0</v>
          </cell>
          <cell r="EI90">
            <v>0</v>
          </cell>
          <cell r="EJ90" t="e">
            <v>#DIV/0!</v>
          </cell>
          <cell r="EK90">
            <v>0</v>
          </cell>
          <cell r="EL90">
            <v>0</v>
          </cell>
          <cell r="EM90" t="e">
            <v>#DIV/0!</v>
          </cell>
          <cell r="EO90" t="str">
            <v>303 PRESTATION PEINTURE ET VIT</v>
          </cell>
          <cell r="EP90">
            <v>0</v>
          </cell>
          <cell r="EQ90">
            <v>0</v>
          </cell>
          <cell r="ER90" t="e">
            <v>#DIV/0!</v>
          </cell>
          <cell r="ES90">
            <v>0</v>
          </cell>
          <cell r="ET90">
            <v>0</v>
          </cell>
          <cell r="EU90" t="e">
            <v>#DIV/0!</v>
          </cell>
          <cell r="EV90">
            <v>0</v>
          </cell>
          <cell r="EW90">
            <v>0</v>
          </cell>
          <cell r="EX90" t="e">
            <v>#DIV/0!</v>
          </cell>
          <cell r="EY90">
            <v>0</v>
          </cell>
          <cell r="EZ90">
            <v>0</v>
          </cell>
          <cell r="FA90" t="e">
            <v>#DIV/0!</v>
          </cell>
          <cell r="FC90" t="str">
            <v>303 PRESTATION PEINTURE ET VIT</v>
          </cell>
          <cell r="FD90">
            <v>0</v>
          </cell>
          <cell r="FE90">
            <v>0</v>
          </cell>
          <cell r="FF90" t="e">
            <v>#DIV/0!</v>
          </cell>
          <cell r="FG90">
            <v>0</v>
          </cell>
          <cell r="FH90">
            <v>0</v>
          </cell>
          <cell r="FI90" t="e">
            <v>#DIV/0!</v>
          </cell>
          <cell r="FJ90">
            <v>0</v>
          </cell>
          <cell r="FK90">
            <v>0</v>
          </cell>
          <cell r="FL90" t="e">
            <v>#DIV/0!</v>
          </cell>
          <cell r="FM90">
            <v>0</v>
          </cell>
          <cell r="FN90">
            <v>0</v>
          </cell>
          <cell r="FO90" t="e">
            <v>#DIV/0!</v>
          </cell>
          <cell r="FP90">
            <v>0</v>
          </cell>
          <cell r="FQ90">
            <v>0</v>
          </cell>
          <cell r="FR90" t="e">
            <v>#DIV/0!</v>
          </cell>
        </row>
        <row r="91">
          <cell r="AZ91" t="str">
            <v>304 PRESTATION PLOMBERIE</v>
          </cell>
          <cell r="BA91">
            <v>0</v>
          </cell>
          <cell r="BB91">
            <v>0</v>
          </cell>
          <cell r="BC91" t="e">
            <v>#DIV/0!</v>
          </cell>
          <cell r="BD91">
            <v>0</v>
          </cell>
          <cell r="BE91">
            <v>0</v>
          </cell>
          <cell r="BF91" t="e">
            <v>#DIV/0!</v>
          </cell>
          <cell r="BG91">
            <v>0</v>
          </cell>
          <cell r="BH91">
            <v>0</v>
          </cell>
          <cell r="BI91" t="e">
            <v>#DIV/0!</v>
          </cell>
          <cell r="BJ91">
            <v>0</v>
          </cell>
          <cell r="BK91">
            <v>0</v>
          </cell>
          <cell r="BL91" t="e">
            <v>#DIV/0!</v>
          </cell>
          <cell r="BN91" t="str">
            <v>304 PRESTATION PLOMBERIE</v>
          </cell>
          <cell r="BO91">
            <v>0</v>
          </cell>
          <cell r="BP91">
            <v>0</v>
          </cell>
          <cell r="BQ91" t="e">
            <v>#DIV/0!</v>
          </cell>
          <cell r="BR91">
            <v>0</v>
          </cell>
          <cell r="BS91">
            <v>0</v>
          </cell>
          <cell r="BT91" t="e">
            <v>#DIV/0!</v>
          </cell>
          <cell r="BU91">
            <v>0</v>
          </cell>
          <cell r="BV91">
            <v>0</v>
          </cell>
          <cell r="BW91" t="e">
            <v>#DIV/0!</v>
          </cell>
          <cell r="BX91">
            <v>0</v>
          </cell>
          <cell r="BY91">
            <v>0</v>
          </cell>
          <cell r="BZ91" t="e">
            <v>#DIV/0!</v>
          </cell>
          <cell r="CA91">
            <v>0</v>
          </cell>
          <cell r="CB91">
            <v>0</v>
          </cell>
          <cell r="CC91" t="e">
            <v>#DIV/0!</v>
          </cell>
          <cell r="CE91" t="str">
            <v>304 PRESTATION PLOMBERIE</v>
          </cell>
          <cell r="CF91">
            <v>0</v>
          </cell>
          <cell r="CG91">
            <v>0</v>
          </cell>
          <cell r="CH91" t="e">
            <v>#DIV/0!</v>
          </cell>
          <cell r="CI91">
            <v>0</v>
          </cell>
          <cell r="CJ91">
            <v>0</v>
          </cell>
          <cell r="CK91" t="e">
            <v>#DIV/0!</v>
          </cell>
          <cell r="CL91">
            <v>0</v>
          </cell>
          <cell r="CM91">
            <v>0</v>
          </cell>
          <cell r="CN91" t="e">
            <v>#DIV/0!</v>
          </cell>
          <cell r="CO91">
            <v>0</v>
          </cell>
          <cell r="CP91">
            <v>0</v>
          </cell>
          <cell r="CQ91" t="e">
            <v>#DIV/0!</v>
          </cell>
          <cell r="CR91">
            <v>0</v>
          </cell>
          <cell r="CS91">
            <v>0</v>
          </cell>
          <cell r="CT91" t="e">
            <v>#DIV/0!</v>
          </cell>
          <cell r="CV91" t="str">
            <v>304 PRESTATION PLOMBERIE</v>
          </cell>
          <cell r="CW91">
            <v>0</v>
          </cell>
          <cell r="CX91">
            <v>0</v>
          </cell>
          <cell r="CY91" t="e">
            <v>#DIV/0!</v>
          </cell>
          <cell r="CZ91">
            <v>0</v>
          </cell>
          <cell r="DA91">
            <v>0</v>
          </cell>
          <cell r="DB91" t="e">
            <v>#DIV/0!</v>
          </cell>
          <cell r="DC91">
            <v>0</v>
          </cell>
          <cell r="DD91">
            <v>0</v>
          </cell>
          <cell r="DE91" t="e">
            <v>#DIV/0!</v>
          </cell>
          <cell r="DF91">
            <v>0</v>
          </cell>
          <cell r="DG91">
            <v>0</v>
          </cell>
          <cell r="DH91" t="e">
            <v>#DIV/0!</v>
          </cell>
          <cell r="DJ91" t="str">
            <v>304 PRESTATION PLOMBERIE</v>
          </cell>
          <cell r="DK91">
            <v>0</v>
          </cell>
          <cell r="DL91">
            <v>0</v>
          </cell>
          <cell r="DM91" t="e">
            <v>#DIV/0!</v>
          </cell>
          <cell r="DN91">
            <v>0</v>
          </cell>
          <cell r="DO91">
            <v>0</v>
          </cell>
          <cell r="DP91" t="e">
            <v>#DIV/0!</v>
          </cell>
          <cell r="DQ91">
            <v>0</v>
          </cell>
          <cell r="DR91">
            <v>0</v>
          </cell>
          <cell r="DS91" t="e">
            <v>#DIV/0!</v>
          </cell>
          <cell r="DT91">
            <v>0</v>
          </cell>
          <cell r="DU91">
            <v>0</v>
          </cell>
          <cell r="DV91" t="e">
            <v>#DIV/0!</v>
          </cell>
          <cell r="DX91" t="str">
            <v>304 PRESTATION PLOMBERIE</v>
          </cell>
          <cell r="DY91">
            <v>0</v>
          </cell>
          <cell r="DZ91">
            <v>0</v>
          </cell>
          <cell r="EA91" t="e">
            <v>#DIV/0!</v>
          </cell>
          <cell r="EB91">
            <v>0</v>
          </cell>
          <cell r="EC91">
            <v>0</v>
          </cell>
          <cell r="ED91" t="e">
            <v>#DIV/0!</v>
          </cell>
          <cell r="EE91">
            <v>0</v>
          </cell>
          <cell r="EF91">
            <v>0</v>
          </cell>
          <cell r="EG91" t="e">
            <v>#DIV/0!</v>
          </cell>
          <cell r="EH91">
            <v>0</v>
          </cell>
          <cell r="EI91">
            <v>0</v>
          </cell>
          <cell r="EJ91" t="e">
            <v>#DIV/0!</v>
          </cell>
          <cell r="EK91">
            <v>0</v>
          </cell>
          <cell r="EL91">
            <v>0</v>
          </cell>
          <cell r="EM91" t="e">
            <v>#DIV/0!</v>
          </cell>
          <cell r="EO91" t="str">
            <v>304 PRESTATION PLOMBERIE</v>
          </cell>
          <cell r="EP91">
            <v>0</v>
          </cell>
          <cell r="EQ91">
            <v>0</v>
          </cell>
          <cell r="ER91" t="e">
            <v>#DIV/0!</v>
          </cell>
          <cell r="ES91">
            <v>0</v>
          </cell>
          <cell r="ET91">
            <v>0</v>
          </cell>
          <cell r="EU91" t="e">
            <v>#DIV/0!</v>
          </cell>
          <cell r="EV91">
            <v>0</v>
          </cell>
          <cell r="EW91">
            <v>0</v>
          </cell>
          <cell r="EX91" t="e">
            <v>#DIV/0!</v>
          </cell>
          <cell r="EY91">
            <v>0</v>
          </cell>
          <cell r="EZ91">
            <v>0</v>
          </cell>
          <cell r="FA91" t="e">
            <v>#DIV/0!</v>
          </cell>
          <cell r="FC91" t="str">
            <v>304 PRESTATION PLOMBERIE</v>
          </cell>
          <cell r="FD91">
            <v>0</v>
          </cell>
          <cell r="FE91">
            <v>0</v>
          </cell>
          <cell r="FF91" t="e">
            <v>#DIV/0!</v>
          </cell>
          <cell r="FG91">
            <v>0</v>
          </cell>
          <cell r="FH91">
            <v>0</v>
          </cell>
          <cell r="FI91" t="e">
            <v>#DIV/0!</v>
          </cell>
          <cell r="FJ91">
            <v>0</v>
          </cell>
          <cell r="FK91">
            <v>0</v>
          </cell>
          <cell r="FL91" t="e">
            <v>#DIV/0!</v>
          </cell>
          <cell r="FM91">
            <v>3854</v>
          </cell>
          <cell r="FN91">
            <v>2892</v>
          </cell>
          <cell r="FO91">
            <v>75.038920601971981</v>
          </cell>
          <cell r="FP91">
            <v>3854</v>
          </cell>
          <cell r="FQ91">
            <v>2892</v>
          </cell>
          <cell r="FR91">
            <v>75.038920601971981</v>
          </cell>
        </row>
        <row r="92">
          <cell r="AZ92" t="str">
            <v>305 PRESTATION FROID ET CLIMA</v>
          </cell>
          <cell r="BA92">
            <v>0</v>
          </cell>
          <cell r="BB92">
            <v>0</v>
          </cell>
          <cell r="BC92" t="e">
            <v>#DIV/0!</v>
          </cell>
          <cell r="BD92">
            <v>0</v>
          </cell>
          <cell r="BE92">
            <v>0</v>
          </cell>
          <cell r="BF92" t="e">
            <v>#DIV/0!</v>
          </cell>
          <cell r="BG92">
            <v>0</v>
          </cell>
          <cell r="BH92">
            <v>0</v>
          </cell>
          <cell r="BI92" t="e">
            <v>#DIV/0!</v>
          </cell>
          <cell r="BJ92">
            <v>0</v>
          </cell>
          <cell r="BK92">
            <v>0</v>
          </cell>
          <cell r="BL92" t="e">
            <v>#DIV/0!</v>
          </cell>
          <cell r="BN92" t="str">
            <v>305 PRESTATION FROID ET CLIMA</v>
          </cell>
          <cell r="BO92">
            <v>0</v>
          </cell>
          <cell r="BP92">
            <v>0</v>
          </cell>
          <cell r="BQ92" t="e">
            <v>#DIV/0!</v>
          </cell>
          <cell r="BR92">
            <v>0</v>
          </cell>
          <cell r="BS92">
            <v>0</v>
          </cell>
          <cell r="BT92" t="e">
            <v>#DIV/0!</v>
          </cell>
          <cell r="BU92">
            <v>0</v>
          </cell>
          <cell r="BV92">
            <v>0</v>
          </cell>
          <cell r="BW92" t="e">
            <v>#DIV/0!</v>
          </cell>
          <cell r="BX92">
            <v>0</v>
          </cell>
          <cell r="BY92">
            <v>0</v>
          </cell>
          <cell r="BZ92" t="e">
            <v>#DIV/0!</v>
          </cell>
          <cell r="CA92">
            <v>0</v>
          </cell>
          <cell r="CB92">
            <v>0</v>
          </cell>
          <cell r="CC92" t="e">
            <v>#DIV/0!</v>
          </cell>
          <cell r="CE92" t="str">
            <v>305 PRESTATION FROID ET CLIMA</v>
          </cell>
          <cell r="CF92">
            <v>0</v>
          </cell>
          <cell r="CG92">
            <v>0</v>
          </cell>
          <cell r="CH92" t="e">
            <v>#DIV/0!</v>
          </cell>
          <cell r="CI92">
            <v>0</v>
          </cell>
          <cell r="CJ92">
            <v>0</v>
          </cell>
          <cell r="CK92" t="e">
            <v>#DIV/0!</v>
          </cell>
          <cell r="CL92">
            <v>0</v>
          </cell>
          <cell r="CM92">
            <v>0</v>
          </cell>
          <cell r="CN92" t="e">
            <v>#DIV/0!</v>
          </cell>
          <cell r="CO92">
            <v>0</v>
          </cell>
          <cell r="CP92">
            <v>0</v>
          </cell>
          <cell r="CQ92" t="e">
            <v>#DIV/0!</v>
          </cell>
          <cell r="CR92">
            <v>0</v>
          </cell>
          <cell r="CS92">
            <v>0</v>
          </cell>
          <cell r="CT92" t="e">
            <v>#DIV/0!</v>
          </cell>
          <cell r="CV92" t="str">
            <v>305 PRESTATION FROID ET CLIMA</v>
          </cell>
          <cell r="CW92">
            <v>0</v>
          </cell>
          <cell r="CX92">
            <v>0</v>
          </cell>
          <cell r="CY92" t="e">
            <v>#DIV/0!</v>
          </cell>
          <cell r="CZ92">
            <v>0</v>
          </cell>
          <cell r="DA92">
            <v>0</v>
          </cell>
          <cell r="DB92" t="e">
            <v>#DIV/0!</v>
          </cell>
          <cell r="DC92">
            <v>0</v>
          </cell>
          <cell r="DD92">
            <v>0</v>
          </cell>
          <cell r="DE92" t="e">
            <v>#DIV/0!</v>
          </cell>
          <cell r="DF92">
            <v>0</v>
          </cell>
          <cell r="DG92">
            <v>0</v>
          </cell>
          <cell r="DH92" t="e">
            <v>#DIV/0!</v>
          </cell>
          <cell r="DJ92" t="str">
            <v>305 PRESTATION FROID ET CLIMA</v>
          </cell>
          <cell r="DK92">
            <v>0</v>
          </cell>
          <cell r="DL92">
            <v>0</v>
          </cell>
          <cell r="DM92" t="e">
            <v>#DIV/0!</v>
          </cell>
          <cell r="DN92">
            <v>0</v>
          </cell>
          <cell r="DO92">
            <v>0</v>
          </cell>
          <cell r="DP92" t="e">
            <v>#DIV/0!</v>
          </cell>
          <cell r="DQ92">
            <v>0</v>
          </cell>
          <cell r="DR92">
            <v>0</v>
          </cell>
          <cell r="DS92" t="e">
            <v>#DIV/0!</v>
          </cell>
          <cell r="DT92">
            <v>0</v>
          </cell>
          <cell r="DU92">
            <v>0</v>
          </cell>
          <cell r="DV92" t="e">
            <v>#DIV/0!</v>
          </cell>
          <cell r="DX92" t="str">
            <v>305 PRESTATION FROID ET CLIMA</v>
          </cell>
          <cell r="DY92">
            <v>0</v>
          </cell>
          <cell r="DZ92">
            <v>0</v>
          </cell>
          <cell r="EA92" t="e">
            <v>#DIV/0!</v>
          </cell>
          <cell r="EB92">
            <v>0</v>
          </cell>
          <cell r="EC92">
            <v>0</v>
          </cell>
          <cell r="ED92" t="e">
            <v>#DIV/0!</v>
          </cell>
          <cell r="EE92">
            <v>0</v>
          </cell>
          <cell r="EF92">
            <v>0</v>
          </cell>
          <cell r="EG92" t="e">
            <v>#DIV/0!</v>
          </cell>
          <cell r="EH92">
            <v>0</v>
          </cell>
          <cell r="EI92">
            <v>0</v>
          </cell>
          <cell r="EJ92" t="e">
            <v>#DIV/0!</v>
          </cell>
          <cell r="EK92">
            <v>0</v>
          </cell>
          <cell r="EL92">
            <v>0</v>
          </cell>
          <cell r="EM92" t="e">
            <v>#DIV/0!</v>
          </cell>
          <cell r="EO92" t="str">
            <v>305 PRESTATION FROID ET CLIMA</v>
          </cell>
          <cell r="EP92">
            <v>0</v>
          </cell>
          <cell r="EQ92">
            <v>0</v>
          </cell>
          <cell r="ER92" t="e">
            <v>#DIV/0!</v>
          </cell>
          <cell r="ES92">
            <v>0</v>
          </cell>
          <cell r="ET92">
            <v>0</v>
          </cell>
          <cell r="EU92" t="e">
            <v>#DIV/0!</v>
          </cell>
          <cell r="EV92">
            <v>0</v>
          </cell>
          <cell r="EW92">
            <v>0</v>
          </cell>
          <cell r="EX92" t="e">
            <v>#DIV/0!</v>
          </cell>
          <cell r="EY92">
            <v>0</v>
          </cell>
          <cell r="EZ92">
            <v>0</v>
          </cell>
          <cell r="FA92" t="e">
            <v>#DIV/0!</v>
          </cell>
          <cell r="FC92" t="str">
            <v>305 PRESTATION FROID ET CLIMA</v>
          </cell>
          <cell r="FD92">
            <v>0</v>
          </cell>
          <cell r="FE92">
            <v>0</v>
          </cell>
          <cell r="FF92" t="e">
            <v>#DIV/0!</v>
          </cell>
          <cell r="FG92">
            <v>0</v>
          </cell>
          <cell r="FH92">
            <v>0</v>
          </cell>
          <cell r="FI92" t="e">
            <v>#DIV/0!</v>
          </cell>
          <cell r="FJ92">
            <v>0</v>
          </cell>
          <cell r="FK92">
            <v>0</v>
          </cell>
          <cell r="FL92" t="e">
            <v>#DIV/0!</v>
          </cell>
          <cell r="FM92">
            <v>0</v>
          </cell>
          <cell r="FN92">
            <v>0</v>
          </cell>
          <cell r="FO92" t="e">
            <v>#DIV/0!</v>
          </cell>
          <cell r="FP92">
            <v>0</v>
          </cell>
          <cell r="FQ92">
            <v>0</v>
          </cell>
          <cell r="FR92" t="e">
            <v>#DIV/0!</v>
          </cell>
        </row>
        <row r="93">
          <cell r="AZ93" t="str">
            <v>311 ATEL MECA</v>
          </cell>
          <cell r="BA93">
            <v>0</v>
          </cell>
          <cell r="BB93">
            <v>0</v>
          </cell>
          <cell r="BC93" t="e">
            <v>#DIV/0!</v>
          </cell>
          <cell r="BD93">
            <v>0</v>
          </cell>
          <cell r="BE93">
            <v>0</v>
          </cell>
          <cell r="BF93" t="e">
            <v>#DIV/0!</v>
          </cell>
          <cell r="BG93">
            <v>0</v>
          </cell>
          <cell r="BH93">
            <v>0</v>
          </cell>
          <cell r="BI93" t="e">
            <v>#DIV/0!</v>
          </cell>
          <cell r="BJ93">
            <v>0</v>
          </cell>
          <cell r="BK93">
            <v>0</v>
          </cell>
          <cell r="BL93" t="e">
            <v>#DIV/0!</v>
          </cell>
          <cell r="BN93" t="str">
            <v>311 ATEL MECA</v>
          </cell>
          <cell r="BO93">
            <v>0</v>
          </cell>
          <cell r="BP93">
            <v>0</v>
          </cell>
          <cell r="BQ93" t="e">
            <v>#DIV/0!</v>
          </cell>
          <cell r="BR93">
            <v>0</v>
          </cell>
          <cell r="BS93">
            <v>0</v>
          </cell>
          <cell r="BT93" t="e">
            <v>#DIV/0!</v>
          </cell>
          <cell r="BU93">
            <v>0</v>
          </cell>
          <cell r="BV93">
            <v>0</v>
          </cell>
          <cell r="BW93" t="e">
            <v>#DIV/0!</v>
          </cell>
          <cell r="BX93">
            <v>0</v>
          </cell>
          <cell r="BY93">
            <v>0</v>
          </cell>
          <cell r="BZ93" t="e">
            <v>#DIV/0!</v>
          </cell>
          <cell r="CA93">
            <v>0</v>
          </cell>
          <cell r="CB93">
            <v>0</v>
          </cell>
          <cell r="CC93" t="e">
            <v>#DIV/0!</v>
          </cell>
          <cell r="CE93" t="str">
            <v>311 ATEL MECA</v>
          </cell>
          <cell r="CF93">
            <v>0</v>
          </cell>
          <cell r="CG93">
            <v>0</v>
          </cell>
          <cell r="CH93" t="e">
            <v>#DIV/0!</v>
          </cell>
          <cell r="CI93">
            <v>0</v>
          </cell>
          <cell r="CJ93">
            <v>0</v>
          </cell>
          <cell r="CK93" t="e">
            <v>#DIV/0!</v>
          </cell>
          <cell r="CL93">
            <v>0</v>
          </cell>
          <cell r="CM93">
            <v>0</v>
          </cell>
          <cell r="CN93" t="e">
            <v>#DIV/0!</v>
          </cell>
          <cell r="CO93">
            <v>0</v>
          </cell>
          <cell r="CP93">
            <v>0</v>
          </cell>
          <cell r="CQ93" t="e">
            <v>#DIV/0!</v>
          </cell>
          <cell r="CR93">
            <v>0</v>
          </cell>
          <cell r="CS93">
            <v>0</v>
          </cell>
          <cell r="CT93" t="e">
            <v>#DIV/0!</v>
          </cell>
          <cell r="CV93" t="str">
            <v>311 ATEL MECA</v>
          </cell>
          <cell r="CW93">
            <v>0</v>
          </cell>
          <cell r="CX93">
            <v>0</v>
          </cell>
          <cell r="CY93" t="e">
            <v>#DIV/0!</v>
          </cell>
          <cell r="CZ93">
            <v>0</v>
          </cell>
          <cell r="DA93">
            <v>0</v>
          </cell>
          <cell r="DB93" t="e">
            <v>#DIV/0!</v>
          </cell>
          <cell r="DC93">
            <v>0</v>
          </cell>
          <cell r="DD93">
            <v>0</v>
          </cell>
          <cell r="DE93" t="e">
            <v>#DIV/0!</v>
          </cell>
          <cell r="DF93">
            <v>0</v>
          </cell>
          <cell r="DG93">
            <v>0</v>
          </cell>
          <cell r="DH93" t="e">
            <v>#DIV/0!</v>
          </cell>
          <cell r="DJ93" t="str">
            <v>311 ATEL MECA</v>
          </cell>
          <cell r="DK93">
            <v>0</v>
          </cell>
          <cell r="DL93">
            <v>0</v>
          </cell>
          <cell r="DM93" t="e">
            <v>#DIV/0!</v>
          </cell>
          <cell r="DN93">
            <v>0</v>
          </cell>
          <cell r="DO93">
            <v>0</v>
          </cell>
          <cell r="DP93" t="e">
            <v>#DIV/0!</v>
          </cell>
          <cell r="DQ93">
            <v>0</v>
          </cell>
          <cell r="DR93">
            <v>0</v>
          </cell>
          <cell r="DS93" t="e">
            <v>#DIV/0!</v>
          </cell>
          <cell r="DT93">
            <v>0</v>
          </cell>
          <cell r="DU93">
            <v>0</v>
          </cell>
          <cell r="DV93" t="e">
            <v>#DIV/0!</v>
          </cell>
          <cell r="DX93" t="str">
            <v>311 ATEL MECA</v>
          </cell>
          <cell r="DY93">
            <v>0</v>
          </cell>
          <cell r="DZ93">
            <v>0</v>
          </cell>
          <cell r="EA93" t="e">
            <v>#DIV/0!</v>
          </cell>
          <cell r="EB93">
            <v>0</v>
          </cell>
          <cell r="EC93">
            <v>0</v>
          </cell>
          <cell r="ED93" t="e">
            <v>#DIV/0!</v>
          </cell>
          <cell r="EE93">
            <v>0</v>
          </cell>
          <cell r="EF93">
            <v>0</v>
          </cell>
          <cell r="EG93" t="e">
            <v>#DIV/0!</v>
          </cell>
          <cell r="EH93">
            <v>0</v>
          </cell>
          <cell r="EI93">
            <v>0</v>
          </cell>
          <cell r="EJ93" t="e">
            <v>#DIV/0!</v>
          </cell>
          <cell r="EK93">
            <v>0</v>
          </cell>
          <cell r="EL93">
            <v>0</v>
          </cell>
          <cell r="EM93" t="e">
            <v>#DIV/0!</v>
          </cell>
          <cell r="EO93" t="str">
            <v>311 ATEL MECA</v>
          </cell>
          <cell r="EP93">
            <v>0</v>
          </cell>
          <cell r="EQ93">
            <v>0</v>
          </cell>
          <cell r="ER93" t="e">
            <v>#DIV/0!</v>
          </cell>
          <cell r="ES93">
            <v>0</v>
          </cell>
          <cell r="ET93">
            <v>0</v>
          </cell>
          <cell r="EU93" t="e">
            <v>#DIV/0!</v>
          </cell>
          <cell r="EV93">
            <v>0</v>
          </cell>
          <cell r="EW93">
            <v>0</v>
          </cell>
          <cell r="EX93" t="e">
            <v>#DIV/0!</v>
          </cell>
          <cell r="EY93">
            <v>0</v>
          </cell>
          <cell r="EZ93">
            <v>0</v>
          </cell>
          <cell r="FA93" t="e">
            <v>#DIV/0!</v>
          </cell>
          <cell r="FC93" t="str">
            <v>311 ATEL MECA</v>
          </cell>
          <cell r="FD93">
            <v>0</v>
          </cell>
          <cell r="FE93">
            <v>0</v>
          </cell>
          <cell r="FF93" t="e">
            <v>#DIV/0!</v>
          </cell>
          <cell r="FG93">
            <v>0</v>
          </cell>
          <cell r="FH93">
            <v>0</v>
          </cell>
          <cell r="FI93" t="e">
            <v>#DIV/0!</v>
          </cell>
          <cell r="FJ93">
            <v>0</v>
          </cell>
          <cell r="FK93">
            <v>0</v>
          </cell>
          <cell r="FL93" t="e">
            <v>#DIV/0!</v>
          </cell>
          <cell r="FM93">
            <v>0</v>
          </cell>
          <cell r="FN93">
            <v>0</v>
          </cell>
          <cell r="FO93" t="e">
            <v>#DIV/0!</v>
          </cell>
          <cell r="FP93">
            <v>0</v>
          </cell>
          <cell r="FQ93">
            <v>0</v>
          </cell>
          <cell r="FR93" t="e">
            <v>#DIV/0!</v>
          </cell>
        </row>
        <row r="94">
          <cell r="AZ94" t="str">
            <v>312 ATEL ELECT</v>
          </cell>
          <cell r="BA94">
            <v>0</v>
          </cell>
          <cell r="BB94">
            <v>0</v>
          </cell>
          <cell r="BC94" t="e">
            <v>#DIV/0!</v>
          </cell>
          <cell r="BD94">
            <v>0</v>
          </cell>
          <cell r="BE94">
            <v>0</v>
          </cell>
          <cell r="BF94" t="e">
            <v>#DIV/0!</v>
          </cell>
          <cell r="BG94">
            <v>0</v>
          </cell>
          <cell r="BH94">
            <v>0</v>
          </cell>
          <cell r="BI94" t="e">
            <v>#DIV/0!</v>
          </cell>
          <cell r="BJ94">
            <v>0</v>
          </cell>
          <cell r="BK94">
            <v>0</v>
          </cell>
          <cell r="BL94" t="e">
            <v>#DIV/0!</v>
          </cell>
          <cell r="BN94" t="str">
            <v>312 ATEL ELECT</v>
          </cell>
          <cell r="BO94">
            <v>0</v>
          </cell>
          <cell r="BP94">
            <v>0</v>
          </cell>
          <cell r="BQ94" t="e">
            <v>#DIV/0!</v>
          </cell>
          <cell r="BR94">
            <v>0</v>
          </cell>
          <cell r="BS94">
            <v>0</v>
          </cell>
          <cell r="BT94" t="e">
            <v>#DIV/0!</v>
          </cell>
          <cell r="BU94">
            <v>0</v>
          </cell>
          <cell r="BV94">
            <v>0</v>
          </cell>
          <cell r="BW94" t="e">
            <v>#DIV/0!</v>
          </cell>
          <cell r="BX94">
            <v>0</v>
          </cell>
          <cell r="BY94">
            <v>0</v>
          </cell>
          <cell r="BZ94" t="e">
            <v>#DIV/0!</v>
          </cell>
          <cell r="CA94">
            <v>0</v>
          </cell>
          <cell r="CB94">
            <v>0</v>
          </cell>
          <cell r="CC94" t="e">
            <v>#DIV/0!</v>
          </cell>
          <cell r="CE94" t="str">
            <v>312 ATEL ELECT</v>
          </cell>
          <cell r="CF94">
            <v>0</v>
          </cell>
          <cell r="CG94">
            <v>0</v>
          </cell>
          <cell r="CH94" t="e">
            <v>#DIV/0!</v>
          </cell>
          <cell r="CI94">
            <v>0</v>
          </cell>
          <cell r="CJ94">
            <v>0</v>
          </cell>
          <cell r="CK94" t="e">
            <v>#DIV/0!</v>
          </cell>
          <cell r="CL94">
            <v>0</v>
          </cell>
          <cell r="CM94">
            <v>0</v>
          </cell>
          <cell r="CN94" t="e">
            <v>#DIV/0!</v>
          </cell>
          <cell r="CO94">
            <v>0</v>
          </cell>
          <cell r="CP94">
            <v>0</v>
          </cell>
          <cell r="CQ94" t="e">
            <v>#DIV/0!</v>
          </cell>
          <cell r="CR94">
            <v>0</v>
          </cell>
          <cell r="CS94">
            <v>0</v>
          </cell>
          <cell r="CT94" t="e">
            <v>#DIV/0!</v>
          </cell>
          <cell r="CV94" t="str">
            <v>312 ATEL ELECT</v>
          </cell>
          <cell r="CW94">
            <v>0</v>
          </cell>
          <cell r="CX94">
            <v>0</v>
          </cell>
          <cell r="CY94" t="e">
            <v>#DIV/0!</v>
          </cell>
          <cell r="CZ94">
            <v>0</v>
          </cell>
          <cell r="DA94">
            <v>0</v>
          </cell>
          <cell r="DB94" t="e">
            <v>#DIV/0!</v>
          </cell>
          <cell r="DC94">
            <v>0</v>
          </cell>
          <cell r="DD94">
            <v>0</v>
          </cell>
          <cell r="DE94" t="e">
            <v>#DIV/0!</v>
          </cell>
          <cell r="DF94">
            <v>0</v>
          </cell>
          <cell r="DG94">
            <v>0</v>
          </cell>
          <cell r="DH94" t="e">
            <v>#DIV/0!</v>
          </cell>
          <cell r="DJ94" t="str">
            <v>312 ATEL ELECT</v>
          </cell>
          <cell r="DK94">
            <v>0</v>
          </cell>
          <cell r="DL94">
            <v>0</v>
          </cell>
          <cell r="DM94" t="e">
            <v>#DIV/0!</v>
          </cell>
          <cell r="DN94">
            <v>0</v>
          </cell>
          <cell r="DO94">
            <v>0</v>
          </cell>
          <cell r="DP94" t="e">
            <v>#DIV/0!</v>
          </cell>
          <cell r="DQ94">
            <v>0</v>
          </cell>
          <cell r="DR94">
            <v>0</v>
          </cell>
          <cell r="DS94" t="e">
            <v>#DIV/0!</v>
          </cell>
          <cell r="DT94">
            <v>0</v>
          </cell>
          <cell r="DU94">
            <v>0</v>
          </cell>
          <cell r="DV94" t="e">
            <v>#DIV/0!</v>
          </cell>
          <cell r="DX94" t="str">
            <v>312 ATEL ELECT</v>
          </cell>
          <cell r="DY94">
            <v>0</v>
          </cell>
          <cell r="DZ94">
            <v>0</v>
          </cell>
          <cell r="EA94" t="e">
            <v>#DIV/0!</v>
          </cell>
          <cell r="EB94">
            <v>0</v>
          </cell>
          <cell r="EC94">
            <v>0</v>
          </cell>
          <cell r="ED94" t="e">
            <v>#DIV/0!</v>
          </cell>
          <cell r="EE94">
            <v>0</v>
          </cell>
          <cell r="EF94">
            <v>0</v>
          </cell>
          <cell r="EG94" t="e">
            <v>#DIV/0!</v>
          </cell>
          <cell r="EH94">
            <v>0</v>
          </cell>
          <cell r="EI94">
            <v>0</v>
          </cell>
          <cell r="EJ94" t="e">
            <v>#DIV/0!</v>
          </cell>
          <cell r="EK94">
            <v>0</v>
          </cell>
          <cell r="EL94">
            <v>0</v>
          </cell>
          <cell r="EM94" t="e">
            <v>#DIV/0!</v>
          </cell>
          <cell r="EO94" t="str">
            <v>312 ATEL ELECT</v>
          </cell>
          <cell r="EP94">
            <v>0</v>
          </cell>
          <cell r="EQ94">
            <v>0</v>
          </cell>
          <cell r="ER94" t="e">
            <v>#DIV/0!</v>
          </cell>
          <cell r="ES94">
            <v>0</v>
          </cell>
          <cell r="ET94">
            <v>0</v>
          </cell>
          <cell r="EU94" t="e">
            <v>#DIV/0!</v>
          </cell>
          <cell r="EV94">
            <v>0</v>
          </cell>
          <cell r="EW94">
            <v>0</v>
          </cell>
          <cell r="EX94" t="e">
            <v>#DIV/0!</v>
          </cell>
          <cell r="EY94">
            <v>0</v>
          </cell>
          <cell r="EZ94">
            <v>0</v>
          </cell>
          <cell r="FA94" t="e">
            <v>#DIV/0!</v>
          </cell>
          <cell r="FC94" t="str">
            <v>312 ATEL ELECT</v>
          </cell>
          <cell r="FD94">
            <v>0</v>
          </cell>
          <cell r="FE94">
            <v>0</v>
          </cell>
          <cell r="FF94" t="e">
            <v>#DIV/0!</v>
          </cell>
          <cell r="FG94">
            <v>0</v>
          </cell>
          <cell r="FH94">
            <v>0</v>
          </cell>
          <cell r="FI94" t="e">
            <v>#DIV/0!</v>
          </cell>
          <cell r="FJ94">
            <v>0</v>
          </cell>
          <cell r="FK94">
            <v>0</v>
          </cell>
          <cell r="FL94" t="e">
            <v>#DIV/0!</v>
          </cell>
          <cell r="FM94">
            <v>0</v>
          </cell>
          <cell r="FN94">
            <v>0</v>
          </cell>
          <cell r="FO94" t="e">
            <v>#DIV/0!</v>
          </cell>
          <cell r="FP94">
            <v>0</v>
          </cell>
          <cell r="FQ94">
            <v>0</v>
          </cell>
          <cell r="FR94" t="e">
            <v>#DIV/0!</v>
          </cell>
        </row>
        <row r="95">
          <cell r="AZ95" t="str">
            <v>315 ATEL G.C.U</v>
          </cell>
          <cell r="BA95">
            <v>0</v>
          </cell>
          <cell r="BB95">
            <v>0</v>
          </cell>
          <cell r="BC95" t="e">
            <v>#DIV/0!</v>
          </cell>
          <cell r="BD95">
            <v>0</v>
          </cell>
          <cell r="BE95">
            <v>0</v>
          </cell>
          <cell r="BF95" t="e">
            <v>#DIV/0!</v>
          </cell>
          <cell r="BG95">
            <v>0</v>
          </cell>
          <cell r="BH95">
            <v>0</v>
          </cell>
          <cell r="BI95" t="e">
            <v>#DIV/0!</v>
          </cell>
          <cell r="BJ95">
            <v>0</v>
          </cell>
          <cell r="BK95">
            <v>0</v>
          </cell>
          <cell r="BL95" t="e">
            <v>#DIV/0!</v>
          </cell>
          <cell r="BN95" t="str">
            <v>315 ATEL G.C.U</v>
          </cell>
          <cell r="BO95">
            <v>0</v>
          </cell>
          <cell r="BP95">
            <v>0</v>
          </cell>
          <cell r="BQ95" t="e">
            <v>#DIV/0!</v>
          </cell>
          <cell r="BR95">
            <v>0</v>
          </cell>
          <cell r="BS95">
            <v>0</v>
          </cell>
          <cell r="BT95" t="e">
            <v>#DIV/0!</v>
          </cell>
          <cell r="BU95">
            <v>0</v>
          </cell>
          <cell r="BV95">
            <v>0</v>
          </cell>
          <cell r="BW95" t="e">
            <v>#DIV/0!</v>
          </cell>
          <cell r="BX95">
            <v>0</v>
          </cell>
          <cell r="BY95">
            <v>0</v>
          </cell>
          <cell r="BZ95" t="e">
            <v>#DIV/0!</v>
          </cell>
          <cell r="CA95">
            <v>0</v>
          </cell>
          <cell r="CB95">
            <v>0</v>
          </cell>
          <cell r="CC95" t="e">
            <v>#DIV/0!</v>
          </cell>
          <cell r="CE95" t="str">
            <v>315 ATEL G.C.U</v>
          </cell>
          <cell r="CF95">
            <v>0</v>
          </cell>
          <cell r="CG95">
            <v>0</v>
          </cell>
          <cell r="CH95" t="e">
            <v>#DIV/0!</v>
          </cell>
          <cell r="CI95">
            <v>0</v>
          </cell>
          <cell r="CJ95">
            <v>0</v>
          </cell>
          <cell r="CK95" t="e">
            <v>#DIV/0!</v>
          </cell>
          <cell r="CL95">
            <v>0</v>
          </cell>
          <cell r="CM95">
            <v>0</v>
          </cell>
          <cell r="CN95" t="e">
            <v>#DIV/0!</v>
          </cell>
          <cell r="CO95">
            <v>0</v>
          </cell>
          <cell r="CP95">
            <v>0</v>
          </cell>
          <cell r="CQ95" t="e">
            <v>#DIV/0!</v>
          </cell>
          <cell r="CR95">
            <v>0</v>
          </cell>
          <cell r="CS95">
            <v>0</v>
          </cell>
          <cell r="CT95" t="e">
            <v>#DIV/0!</v>
          </cell>
          <cell r="CV95" t="str">
            <v>315 ATEL G.C.U</v>
          </cell>
          <cell r="CW95">
            <v>0</v>
          </cell>
          <cell r="CX95">
            <v>0</v>
          </cell>
          <cell r="CY95" t="e">
            <v>#DIV/0!</v>
          </cell>
          <cell r="CZ95">
            <v>0</v>
          </cell>
          <cell r="DA95">
            <v>0</v>
          </cell>
          <cell r="DB95" t="e">
            <v>#DIV/0!</v>
          </cell>
          <cell r="DC95">
            <v>0</v>
          </cell>
          <cell r="DD95">
            <v>0</v>
          </cell>
          <cell r="DE95" t="e">
            <v>#DIV/0!</v>
          </cell>
          <cell r="DF95">
            <v>0</v>
          </cell>
          <cell r="DG95">
            <v>0</v>
          </cell>
          <cell r="DH95" t="e">
            <v>#DIV/0!</v>
          </cell>
          <cell r="DJ95" t="str">
            <v>315 ATEL G.C.U</v>
          </cell>
          <cell r="DK95">
            <v>4841</v>
          </cell>
          <cell r="DL95">
            <v>3480</v>
          </cell>
          <cell r="DM95">
            <v>71.885973972319775</v>
          </cell>
          <cell r="DN95">
            <v>0</v>
          </cell>
          <cell r="DO95">
            <v>0</v>
          </cell>
          <cell r="DP95" t="e">
            <v>#DIV/0!</v>
          </cell>
          <cell r="DQ95">
            <v>0</v>
          </cell>
          <cell r="DR95">
            <v>0</v>
          </cell>
          <cell r="DS95" t="e">
            <v>#DIV/0!</v>
          </cell>
          <cell r="DT95">
            <v>0</v>
          </cell>
          <cell r="DU95">
            <v>0</v>
          </cell>
          <cell r="DV95" t="e">
            <v>#DIV/0!</v>
          </cell>
          <cell r="DX95" t="str">
            <v>315 ATEL G.C.U</v>
          </cell>
          <cell r="DY95">
            <v>0</v>
          </cell>
          <cell r="DZ95">
            <v>0</v>
          </cell>
          <cell r="EA95" t="e">
            <v>#DIV/0!</v>
          </cell>
          <cell r="EB95">
            <v>0</v>
          </cell>
          <cell r="EC95">
            <v>0</v>
          </cell>
          <cell r="ED95" t="e">
            <v>#DIV/0!</v>
          </cell>
          <cell r="EE95">
            <v>0</v>
          </cell>
          <cell r="EF95">
            <v>0</v>
          </cell>
          <cell r="EG95" t="e">
            <v>#DIV/0!</v>
          </cell>
          <cell r="EH95">
            <v>2375</v>
          </cell>
          <cell r="EI95">
            <v>1716</v>
          </cell>
          <cell r="EJ95">
            <v>72.252631578947373</v>
          </cell>
          <cell r="EK95">
            <v>7216</v>
          </cell>
          <cell r="EL95">
            <v>5196</v>
          </cell>
          <cell r="EM95">
            <v>72.006651884700673</v>
          </cell>
          <cell r="EO95" t="str">
            <v>315 ATEL G.C.U</v>
          </cell>
          <cell r="EP95">
            <v>0</v>
          </cell>
          <cell r="EQ95">
            <v>0</v>
          </cell>
          <cell r="ER95" t="e">
            <v>#DIV/0!</v>
          </cell>
          <cell r="ES95">
            <v>0</v>
          </cell>
          <cell r="ET95">
            <v>0</v>
          </cell>
          <cell r="EU95" t="e">
            <v>#DIV/0!</v>
          </cell>
          <cell r="EV95">
            <v>0</v>
          </cell>
          <cell r="EW95">
            <v>0</v>
          </cell>
          <cell r="EX95" t="e">
            <v>#DIV/0!</v>
          </cell>
          <cell r="EY95">
            <v>0</v>
          </cell>
          <cell r="EZ95">
            <v>0</v>
          </cell>
          <cell r="FA95" t="e">
            <v>#DIV/0!</v>
          </cell>
          <cell r="FC95" t="str">
            <v>315 ATEL G.C.U</v>
          </cell>
          <cell r="FD95">
            <v>0</v>
          </cell>
          <cell r="FE95">
            <v>0</v>
          </cell>
          <cell r="FF95" t="e">
            <v>#DIV/0!</v>
          </cell>
          <cell r="FG95">
            <v>0</v>
          </cell>
          <cell r="FH95">
            <v>0</v>
          </cell>
          <cell r="FI95" t="e">
            <v>#DIV/0!</v>
          </cell>
          <cell r="FJ95">
            <v>0</v>
          </cell>
          <cell r="FK95">
            <v>0</v>
          </cell>
          <cell r="FL95" t="e">
            <v>#DIV/0!</v>
          </cell>
          <cell r="FM95">
            <v>5570</v>
          </cell>
          <cell r="FN95">
            <v>4176</v>
          </cell>
          <cell r="FO95">
            <v>74.973070017953319</v>
          </cell>
          <cell r="FP95">
            <v>5570</v>
          </cell>
          <cell r="FQ95">
            <v>4176</v>
          </cell>
          <cell r="FR95">
            <v>74.973070017953319</v>
          </cell>
        </row>
        <row r="96">
          <cell r="AZ96" t="str">
            <v>331 CAM  CHANT</v>
          </cell>
          <cell r="BA96">
            <v>0</v>
          </cell>
          <cell r="BB96">
            <v>0</v>
          </cell>
          <cell r="BC96" t="e">
            <v>#DIV/0!</v>
          </cell>
          <cell r="BD96">
            <v>0</v>
          </cell>
          <cell r="BE96">
            <v>0</v>
          </cell>
          <cell r="BF96" t="e">
            <v>#DIV/0!</v>
          </cell>
          <cell r="BG96">
            <v>0</v>
          </cell>
          <cell r="BH96">
            <v>0</v>
          </cell>
          <cell r="BI96" t="e">
            <v>#DIV/0!</v>
          </cell>
          <cell r="BJ96">
            <v>0</v>
          </cell>
          <cell r="BK96">
            <v>0</v>
          </cell>
          <cell r="BL96" t="e">
            <v>#DIV/0!</v>
          </cell>
          <cell r="BN96" t="str">
            <v>331 CAM  CHANT</v>
          </cell>
          <cell r="BO96">
            <v>0</v>
          </cell>
          <cell r="BP96">
            <v>0</v>
          </cell>
          <cell r="BQ96" t="e">
            <v>#DIV/0!</v>
          </cell>
          <cell r="BR96">
            <v>0</v>
          </cell>
          <cell r="BS96">
            <v>0</v>
          </cell>
          <cell r="BT96" t="e">
            <v>#DIV/0!</v>
          </cell>
          <cell r="BU96">
            <v>0</v>
          </cell>
          <cell r="BV96">
            <v>0</v>
          </cell>
          <cell r="BW96" t="e">
            <v>#DIV/0!</v>
          </cell>
          <cell r="BX96">
            <v>0</v>
          </cell>
          <cell r="BY96">
            <v>0</v>
          </cell>
          <cell r="BZ96" t="e">
            <v>#DIV/0!</v>
          </cell>
          <cell r="CA96">
            <v>0</v>
          </cell>
          <cell r="CB96">
            <v>0</v>
          </cell>
          <cell r="CC96" t="e">
            <v>#DIV/0!</v>
          </cell>
          <cell r="CE96" t="str">
            <v>331 CAM  CHANT</v>
          </cell>
          <cell r="CF96">
            <v>0</v>
          </cell>
          <cell r="CG96">
            <v>0</v>
          </cell>
          <cell r="CH96" t="e">
            <v>#DIV/0!</v>
          </cell>
          <cell r="CI96">
            <v>0</v>
          </cell>
          <cell r="CJ96">
            <v>0</v>
          </cell>
          <cell r="CK96" t="e">
            <v>#DIV/0!</v>
          </cell>
          <cell r="CL96">
            <v>0</v>
          </cell>
          <cell r="CM96">
            <v>0</v>
          </cell>
          <cell r="CN96" t="e">
            <v>#DIV/0!</v>
          </cell>
          <cell r="CO96">
            <v>0</v>
          </cell>
          <cell r="CP96">
            <v>0</v>
          </cell>
          <cell r="CQ96" t="e">
            <v>#DIV/0!</v>
          </cell>
          <cell r="CR96">
            <v>0</v>
          </cell>
          <cell r="CS96">
            <v>0</v>
          </cell>
          <cell r="CT96" t="e">
            <v>#DIV/0!</v>
          </cell>
          <cell r="CV96" t="str">
            <v>331 CAM  CHANT</v>
          </cell>
          <cell r="CW96">
            <v>0</v>
          </cell>
          <cell r="CX96">
            <v>0</v>
          </cell>
          <cell r="CY96" t="e">
            <v>#DIV/0!</v>
          </cell>
          <cell r="CZ96">
            <v>0</v>
          </cell>
          <cell r="DA96">
            <v>0</v>
          </cell>
          <cell r="DB96" t="e">
            <v>#DIV/0!</v>
          </cell>
          <cell r="DC96">
            <v>0</v>
          </cell>
          <cell r="DD96">
            <v>0</v>
          </cell>
          <cell r="DE96" t="e">
            <v>#DIV/0!</v>
          </cell>
          <cell r="DF96">
            <v>0</v>
          </cell>
          <cell r="DG96">
            <v>0</v>
          </cell>
          <cell r="DH96" t="e">
            <v>#DIV/0!</v>
          </cell>
          <cell r="DJ96" t="str">
            <v>331 CAM  CHANT</v>
          </cell>
          <cell r="DK96">
            <v>0</v>
          </cell>
          <cell r="DL96">
            <v>0</v>
          </cell>
          <cell r="DM96" t="e">
            <v>#DIV/0!</v>
          </cell>
          <cell r="DN96">
            <v>0</v>
          </cell>
          <cell r="DO96">
            <v>0</v>
          </cell>
          <cell r="DP96" t="e">
            <v>#DIV/0!</v>
          </cell>
          <cell r="DQ96">
            <v>0</v>
          </cell>
          <cell r="DR96">
            <v>0</v>
          </cell>
          <cell r="DS96" t="e">
            <v>#DIV/0!</v>
          </cell>
          <cell r="DT96">
            <v>0</v>
          </cell>
          <cell r="DU96">
            <v>0</v>
          </cell>
          <cell r="DV96" t="e">
            <v>#DIV/0!</v>
          </cell>
          <cell r="DX96" t="str">
            <v>331 CAM  CHANT</v>
          </cell>
          <cell r="DY96">
            <v>0</v>
          </cell>
          <cell r="DZ96">
            <v>0</v>
          </cell>
          <cell r="EA96" t="e">
            <v>#DIV/0!</v>
          </cell>
          <cell r="EB96">
            <v>0</v>
          </cell>
          <cell r="EC96">
            <v>0</v>
          </cell>
          <cell r="ED96" t="e">
            <v>#DIV/0!</v>
          </cell>
          <cell r="EE96">
            <v>0</v>
          </cell>
          <cell r="EF96">
            <v>0</v>
          </cell>
          <cell r="EG96" t="e">
            <v>#DIV/0!</v>
          </cell>
          <cell r="EH96">
            <v>0</v>
          </cell>
          <cell r="EI96">
            <v>0</v>
          </cell>
          <cell r="EJ96" t="e">
            <v>#DIV/0!</v>
          </cell>
          <cell r="EK96">
            <v>0</v>
          </cell>
          <cell r="EL96">
            <v>0</v>
          </cell>
          <cell r="EM96" t="e">
            <v>#DIV/0!</v>
          </cell>
          <cell r="EO96" t="str">
            <v>331 CAM  CHANT</v>
          </cell>
          <cell r="EP96">
            <v>0</v>
          </cell>
          <cell r="EQ96">
            <v>0</v>
          </cell>
          <cell r="ER96" t="e">
            <v>#DIV/0!</v>
          </cell>
          <cell r="ES96">
            <v>0</v>
          </cell>
          <cell r="ET96">
            <v>0</v>
          </cell>
          <cell r="EU96" t="e">
            <v>#DIV/0!</v>
          </cell>
          <cell r="EV96">
            <v>0</v>
          </cell>
          <cell r="EW96">
            <v>0</v>
          </cell>
          <cell r="EX96" t="e">
            <v>#DIV/0!</v>
          </cell>
          <cell r="EY96">
            <v>0</v>
          </cell>
          <cell r="EZ96">
            <v>0</v>
          </cell>
          <cell r="FA96" t="e">
            <v>#DIV/0!</v>
          </cell>
          <cell r="FC96" t="str">
            <v>331 CAM  CHANT</v>
          </cell>
          <cell r="FD96">
            <v>0</v>
          </cell>
          <cell r="FE96">
            <v>0</v>
          </cell>
          <cell r="FF96" t="e">
            <v>#DIV/0!</v>
          </cell>
          <cell r="FG96">
            <v>0</v>
          </cell>
          <cell r="FH96">
            <v>0</v>
          </cell>
          <cell r="FI96" t="e">
            <v>#DIV/0!</v>
          </cell>
          <cell r="FJ96">
            <v>0</v>
          </cell>
          <cell r="FK96">
            <v>0</v>
          </cell>
          <cell r="FL96" t="e">
            <v>#DIV/0!</v>
          </cell>
          <cell r="FM96">
            <v>55390</v>
          </cell>
          <cell r="FN96">
            <v>41544</v>
          </cell>
          <cell r="FO96">
            <v>75.00270807004874</v>
          </cell>
          <cell r="FP96">
            <v>55390</v>
          </cell>
          <cell r="FQ96">
            <v>41544</v>
          </cell>
          <cell r="FR96">
            <v>75.00270807004874</v>
          </cell>
        </row>
        <row r="97">
          <cell r="AZ97" t="str">
            <v>332 BULLS</v>
          </cell>
          <cell r="BA97">
            <v>0</v>
          </cell>
          <cell r="BB97">
            <v>0</v>
          </cell>
          <cell r="BC97" t="e">
            <v>#DIV/0!</v>
          </cell>
          <cell r="BD97">
            <v>0</v>
          </cell>
          <cell r="BE97">
            <v>0</v>
          </cell>
          <cell r="BF97" t="e">
            <v>#DIV/0!</v>
          </cell>
          <cell r="BG97">
            <v>0</v>
          </cell>
          <cell r="BH97">
            <v>0</v>
          </cell>
          <cell r="BI97" t="e">
            <v>#DIV/0!</v>
          </cell>
          <cell r="BJ97">
            <v>0</v>
          </cell>
          <cell r="BK97">
            <v>0</v>
          </cell>
          <cell r="BL97" t="e">
            <v>#DIV/0!</v>
          </cell>
          <cell r="BN97" t="str">
            <v>332 BULLS</v>
          </cell>
          <cell r="BO97">
            <v>0</v>
          </cell>
          <cell r="BP97">
            <v>0</v>
          </cell>
          <cell r="BQ97" t="e">
            <v>#DIV/0!</v>
          </cell>
          <cell r="BR97">
            <v>0</v>
          </cell>
          <cell r="BS97">
            <v>0</v>
          </cell>
          <cell r="BT97" t="e">
            <v>#DIV/0!</v>
          </cell>
          <cell r="BU97">
            <v>0</v>
          </cell>
          <cell r="BV97">
            <v>0</v>
          </cell>
          <cell r="BW97" t="e">
            <v>#DIV/0!</v>
          </cell>
          <cell r="BX97">
            <v>0</v>
          </cell>
          <cell r="BY97">
            <v>0</v>
          </cell>
          <cell r="BZ97" t="e">
            <v>#DIV/0!</v>
          </cell>
          <cell r="CA97">
            <v>0</v>
          </cell>
          <cell r="CB97">
            <v>0</v>
          </cell>
          <cell r="CC97" t="e">
            <v>#DIV/0!</v>
          </cell>
          <cell r="CE97" t="str">
            <v>332 BULLS</v>
          </cell>
          <cell r="CF97">
            <v>0</v>
          </cell>
          <cell r="CG97">
            <v>0</v>
          </cell>
          <cell r="CH97" t="e">
            <v>#DIV/0!</v>
          </cell>
          <cell r="CI97">
            <v>0</v>
          </cell>
          <cell r="CJ97">
            <v>0</v>
          </cell>
          <cell r="CK97" t="e">
            <v>#DIV/0!</v>
          </cell>
          <cell r="CL97">
            <v>0</v>
          </cell>
          <cell r="CM97">
            <v>0</v>
          </cell>
          <cell r="CN97" t="e">
            <v>#DIV/0!</v>
          </cell>
          <cell r="CO97">
            <v>0</v>
          </cell>
          <cell r="CP97">
            <v>0</v>
          </cell>
          <cell r="CQ97" t="e">
            <v>#DIV/0!</v>
          </cell>
          <cell r="CR97">
            <v>0</v>
          </cell>
          <cell r="CS97">
            <v>0</v>
          </cell>
          <cell r="CT97" t="e">
            <v>#DIV/0!</v>
          </cell>
          <cell r="CV97" t="str">
            <v>332 BULLS</v>
          </cell>
          <cell r="CW97">
            <v>0</v>
          </cell>
          <cell r="CX97">
            <v>0</v>
          </cell>
          <cell r="CY97" t="e">
            <v>#DIV/0!</v>
          </cell>
          <cell r="CZ97">
            <v>0</v>
          </cell>
          <cell r="DA97">
            <v>0</v>
          </cell>
          <cell r="DB97" t="e">
            <v>#DIV/0!</v>
          </cell>
          <cell r="DC97">
            <v>0</v>
          </cell>
          <cell r="DD97">
            <v>0</v>
          </cell>
          <cell r="DE97" t="e">
            <v>#DIV/0!</v>
          </cell>
          <cell r="DF97">
            <v>0</v>
          </cell>
          <cell r="DG97">
            <v>0</v>
          </cell>
          <cell r="DH97" t="e">
            <v>#DIV/0!</v>
          </cell>
          <cell r="DJ97" t="str">
            <v>332 BULLS</v>
          </cell>
          <cell r="DK97">
            <v>0</v>
          </cell>
          <cell r="DL97">
            <v>0</v>
          </cell>
          <cell r="DM97" t="e">
            <v>#DIV/0!</v>
          </cell>
          <cell r="DN97">
            <v>0</v>
          </cell>
          <cell r="DO97">
            <v>0</v>
          </cell>
          <cell r="DP97" t="e">
            <v>#DIV/0!</v>
          </cell>
          <cell r="DQ97">
            <v>0</v>
          </cell>
          <cell r="DR97">
            <v>0</v>
          </cell>
          <cell r="DS97" t="e">
            <v>#DIV/0!</v>
          </cell>
          <cell r="DT97">
            <v>0</v>
          </cell>
          <cell r="DU97">
            <v>0</v>
          </cell>
          <cell r="DV97" t="e">
            <v>#DIV/0!</v>
          </cell>
          <cell r="DX97" t="str">
            <v>332 BULLS</v>
          </cell>
          <cell r="DY97">
            <v>0</v>
          </cell>
          <cell r="DZ97">
            <v>0</v>
          </cell>
          <cell r="EA97" t="e">
            <v>#DIV/0!</v>
          </cell>
          <cell r="EB97">
            <v>0</v>
          </cell>
          <cell r="EC97">
            <v>0</v>
          </cell>
          <cell r="ED97" t="e">
            <v>#DIV/0!</v>
          </cell>
          <cell r="EE97">
            <v>0</v>
          </cell>
          <cell r="EF97">
            <v>0</v>
          </cell>
          <cell r="EG97" t="e">
            <v>#DIV/0!</v>
          </cell>
          <cell r="EH97">
            <v>0</v>
          </cell>
          <cell r="EI97">
            <v>0</v>
          </cell>
          <cell r="EJ97" t="e">
            <v>#DIV/0!</v>
          </cell>
          <cell r="EK97">
            <v>0</v>
          </cell>
          <cell r="EL97">
            <v>0</v>
          </cell>
          <cell r="EM97" t="e">
            <v>#DIV/0!</v>
          </cell>
          <cell r="EO97" t="str">
            <v>332 BULLS</v>
          </cell>
          <cell r="EP97">
            <v>0</v>
          </cell>
          <cell r="EQ97">
            <v>0</v>
          </cell>
          <cell r="ER97" t="e">
            <v>#DIV/0!</v>
          </cell>
          <cell r="ES97">
            <v>0</v>
          </cell>
          <cell r="ET97">
            <v>0</v>
          </cell>
          <cell r="EU97" t="e">
            <v>#DIV/0!</v>
          </cell>
          <cell r="EV97">
            <v>0</v>
          </cell>
          <cell r="EW97">
            <v>0</v>
          </cell>
          <cell r="EX97" t="e">
            <v>#DIV/0!</v>
          </cell>
          <cell r="EY97">
            <v>0</v>
          </cell>
          <cell r="EZ97">
            <v>0</v>
          </cell>
          <cell r="FA97" t="e">
            <v>#DIV/0!</v>
          </cell>
          <cell r="FC97" t="str">
            <v>332 BULLS</v>
          </cell>
          <cell r="FD97">
            <v>0</v>
          </cell>
          <cell r="FE97">
            <v>0</v>
          </cell>
          <cell r="FF97" t="e">
            <v>#DIV/0!</v>
          </cell>
          <cell r="FG97">
            <v>0</v>
          </cell>
          <cell r="FH97">
            <v>0</v>
          </cell>
          <cell r="FI97" t="e">
            <v>#DIV/0!</v>
          </cell>
          <cell r="FJ97">
            <v>0</v>
          </cell>
          <cell r="FK97">
            <v>0</v>
          </cell>
          <cell r="FL97" t="e">
            <v>#DIV/0!</v>
          </cell>
          <cell r="FM97">
            <v>0</v>
          </cell>
          <cell r="FN97">
            <v>0</v>
          </cell>
          <cell r="FO97" t="e">
            <v>#DIV/0!</v>
          </cell>
          <cell r="FP97">
            <v>0</v>
          </cell>
          <cell r="FQ97">
            <v>0</v>
          </cell>
          <cell r="FR97" t="e">
            <v>#DIV/0!</v>
          </cell>
        </row>
        <row r="98">
          <cell r="AZ98" t="str">
            <v>333 NIVELEUSES</v>
          </cell>
          <cell r="BA98">
            <v>0</v>
          </cell>
          <cell r="BB98">
            <v>0</v>
          </cell>
          <cell r="BC98" t="e">
            <v>#DIV/0!</v>
          </cell>
          <cell r="BD98">
            <v>0</v>
          </cell>
          <cell r="BE98">
            <v>0</v>
          </cell>
          <cell r="BF98" t="e">
            <v>#DIV/0!</v>
          </cell>
          <cell r="BG98">
            <v>0</v>
          </cell>
          <cell r="BH98">
            <v>0</v>
          </cell>
          <cell r="BI98" t="e">
            <v>#DIV/0!</v>
          </cell>
          <cell r="BJ98">
            <v>0</v>
          </cell>
          <cell r="BK98">
            <v>0</v>
          </cell>
          <cell r="BL98" t="e">
            <v>#DIV/0!</v>
          </cell>
          <cell r="BN98" t="str">
            <v>333 NIVELEUSES</v>
          </cell>
          <cell r="BO98">
            <v>0</v>
          </cell>
          <cell r="BP98">
            <v>0</v>
          </cell>
          <cell r="BQ98" t="e">
            <v>#DIV/0!</v>
          </cell>
          <cell r="BR98">
            <v>0</v>
          </cell>
          <cell r="BS98">
            <v>0</v>
          </cell>
          <cell r="BT98" t="e">
            <v>#DIV/0!</v>
          </cell>
          <cell r="BU98">
            <v>0</v>
          </cell>
          <cell r="BV98">
            <v>0</v>
          </cell>
          <cell r="BW98" t="e">
            <v>#DIV/0!</v>
          </cell>
          <cell r="BX98">
            <v>0</v>
          </cell>
          <cell r="BY98">
            <v>0</v>
          </cell>
          <cell r="BZ98" t="e">
            <v>#DIV/0!</v>
          </cell>
          <cell r="CA98">
            <v>0</v>
          </cell>
          <cell r="CB98">
            <v>0</v>
          </cell>
          <cell r="CC98" t="e">
            <v>#DIV/0!</v>
          </cell>
          <cell r="CE98" t="str">
            <v>333 NIVELEUSES</v>
          </cell>
          <cell r="CF98">
            <v>0</v>
          </cell>
          <cell r="CG98">
            <v>0</v>
          </cell>
          <cell r="CH98" t="e">
            <v>#DIV/0!</v>
          </cell>
          <cell r="CI98">
            <v>0</v>
          </cell>
          <cell r="CJ98">
            <v>0</v>
          </cell>
          <cell r="CK98" t="e">
            <v>#DIV/0!</v>
          </cell>
          <cell r="CL98">
            <v>0</v>
          </cell>
          <cell r="CM98">
            <v>0</v>
          </cell>
          <cell r="CN98" t="e">
            <v>#DIV/0!</v>
          </cell>
          <cell r="CO98">
            <v>0</v>
          </cell>
          <cell r="CP98">
            <v>0</v>
          </cell>
          <cell r="CQ98" t="e">
            <v>#DIV/0!</v>
          </cell>
          <cell r="CR98">
            <v>0</v>
          </cell>
          <cell r="CS98">
            <v>0</v>
          </cell>
          <cell r="CT98" t="e">
            <v>#DIV/0!</v>
          </cell>
          <cell r="CV98" t="str">
            <v>333 NIVELEUSES</v>
          </cell>
          <cell r="CW98">
            <v>0</v>
          </cell>
          <cell r="CX98">
            <v>0</v>
          </cell>
          <cell r="CY98" t="e">
            <v>#DIV/0!</v>
          </cell>
          <cell r="CZ98">
            <v>0</v>
          </cell>
          <cell r="DA98">
            <v>0</v>
          </cell>
          <cell r="DB98" t="e">
            <v>#DIV/0!</v>
          </cell>
          <cell r="DC98">
            <v>0</v>
          </cell>
          <cell r="DD98">
            <v>0</v>
          </cell>
          <cell r="DE98" t="e">
            <v>#DIV/0!</v>
          </cell>
          <cell r="DF98">
            <v>0</v>
          </cell>
          <cell r="DG98">
            <v>0</v>
          </cell>
          <cell r="DH98" t="e">
            <v>#DIV/0!</v>
          </cell>
          <cell r="DJ98" t="str">
            <v>333 NIVELEUSES</v>
          </cell>
          <cell r="DK98">
            <v>0</v>
          </cell>
          <cell r="DL98">
            <v>0</v>
          </cell>
          <cell r="DM98" t="e">
            <v>#DIV/0!</v>
          </cell>
          <cell r="DN98">
            <v>0</v>
          </cell>
          <cell r="DO98">
            <v>0</v>
          </cell>
          <cell r="DP98" t="e">
            <v>#DIV/0!</v>
          </cell>
          <cell r="DQ98">
            <v>0</v>
          </cell>
          <cell r="DR98">
            <v>0</v>
          </cell>
          <cell r="DS98" t="e">
            <v>#DIV/0!</v>
          </cell>
          <cell r="DT98">
            <v>0</v>
          </cell>
          <cell r="DU98">
            <v>0</v>
          </cell>
          <cell r="DV98" t="e">
            <v>#DIV/0!</v>
          </cell>
          <cell r="DX98" t="str">
            <v>333 NIVELEUSES</v>
          </cell>
          <cell r="DY98">
            <v>0</v>
          </cell>
          <cell r="DZ98">
            <v>0</v>
          </cell>
          <cell r="EA98" t="e">
            <v>#DIV/0!</v>
          </cell>
          <cell r="EB98">
            <v>0</v>
          </cell>
          <cell r="EC98">
            <v>0</v>
          </cell>
          <cell r="ED98" t="e">
            <v>#DIV/0!</v>
          </cell>
          <cell r="EE98">
            <v>0</v>
          </cell>
          <cell r="EF98">
            <v>0</v>
          </cell>
          <cell r="EG98" t="e">
            <v>#DIV/0!</v>
          </cell>
          <cell r="EH98">
            <v>0</v>
          </cell>
          <cell r="EI98">
            <v>0</v>
          </cell>
          <cell r="EJ98" t="e">
            <v>#DIV/0!</v>
          </cell>
          <cell r="EK98">
            <v>0</v>
          </cell>
          <cell r="EL98">
            <v>0</v>
          </cell>
          <cell r="EM98" t="e">
            <v>#DIV/0!</v>
          </cell>
          <cell r="EO98" t="str">
            <v>333 NIVELEUSES</v>
          </cell>
          <cell r="EP98">
            <v>0</v>
          </cell>
          <cell r="EQ98">
            <v>0</v>
          </cell>
          <cell r="ER98" t="e">
            <v>#DIV/0!</v>
          </cell>
          <cell r="ES98">
            <v>0</v>
          </cell>
          <cell r="ET98">
            <v>0</v>
          </cell>
          <cell r="EU98" t="e">
            <v>#DIV/0!</v>
          </cell>
          <cell r="EV98">
            <v>0</v>
          </cell>
          <cell r="EW98">
            <v>0</v>
          </cell>
          <cell r="EX98" t="e">
            <v>#DIV/0!</v>
          </cell>
          <cell r="EY98">
            <v>0</v>
          </cell>
          <cell r="EZ98">
            <v>0</v>
          </cell>
          <cell r="FA98" t="e">
            <v>#DIV/0!</v>
          </cell>
          <cell r="FC98" t="str">
            <v>333 NIVELEUSES</v>
          </cell>
          <cell r="FD98">
            <v>0</v>
          </cell>
          <cell r="FE98">
            <v>0</v>
          </cell>
          <cell r="FF98" t="e">
            <v>#DIV/0!</v>
          </cell>
          <cell r="FG98">
            <v>0</v>
          </cell>
          <cell r="FH98">
            <v>0</v>
          </cell>
          <cell r="FI98" t="e">
            <v>#DIV/0!</v>
          </cell>
          <cell r="FJ98">
            <v>0</v>
          </cell>
          <cell r="FK98">
            <v>0</v>
          </cell>
          <cell r="FL98" t="e">
            <v>#DIV/0!</v>
          </cell>
          <cell r="FM98">
            <v>0</v>
          </cell>
          <cell r="FN98">
            <v>0</v>
          </cell>
          <cell r="FO98" t="e">
            <v>#DIV/0!</v>
          </cell>
          <cell r="FP98">
            <v>0</v>
          </cell>
          <cell r="FQ98">
            <v>0</v>
          </cell>
          <cell r="FR98" t="e">
            <v>#DIV/0!</v>
          </cell>
        </row>
        <row r="99">
          <cell r="AZ99" t="str">
            <v>334 CHARGEUS</v>
          </cell>
          <cell r="BA99">
            <v>0</v>
          </cell>
          <cell r="BB99">
            <v>0</v>
          </cell>
          <cell r="BC99" t="e">
            <v>#DIV/0!</v>
          </cell>
          <cell r="BD99">
            <v>0</v>
          </cell>
          <cell r="BE99">
            <v>0</v>
          </cell>
          <cell r="BF99" t="e">
            <v>#DIV/0!</v>
          </cell>
          <cell r="BG99">
            <v>0</v>
          </cell>
          <cell r="BH99">
            <v>0</v>
          </cell>
          <cell r="BI99" t="e">
            <v>#DIV/0!</v>
          </cell>
          <cell r="BJ99">
            <v>0</v>
          </cell>
          <cell r="BK99">
            <v>0</v>
          </cell>
          <cell r="BL99" t="e">
            <v>#DIV/0!</v>
          </cell>
          <cell r="BN99" t="str">
            <v>334 CHARGEUS</v>
          </cell>
          <cell r="BO99">
            <v>0</v>
          </cell>
          <cell r="BP99">
            <v>0</v>
          </cell>
          <cell r="BQ99" t="e">
            <v>#DIV/0!</v>
          </cell>
          <cell r="BR99">
            <v>0</v>
          </cell>
          <cell r="BS99">
            <v>0</v>
          </cell>
          <cell r="BT99" t="e">
            <v>#DIV/0!</v>
          </cell>
          <cell r="BU99">
            <v>0</v>
          </cell>
          <cell r="BV99">
            <v>0</v>
          </cell>
          <cell r="BW99" t="e">
            <v>#DIV/0!</v>
          </cell>
          <cell r="BX99">
            <v>0</v>
          </cell>
          <cell r="BY99">
            <v>0</v>
          </cell>
          <cell r="BZ99" t="e">
            <v>#DIV/0!</v>
          </cell>
          <cell r="CA99">
            <v>0</v>
          </cell>
          <cell r="CB99">
            <v>0</v>
          </cell>
          <cell r="CC99" t="e">
            <v>#DIV/0!</v>
          </cell>
          <cell r="CE99" t="str">
            <v>334 CHARGEUS</v>
          </cell>
          <cell r="CF99">
            <v>0</v>
          </cell>
          <cell r="CG99">
            <v>0</v>
          </cell>
          <cell r="CH99" t="e">
            <v>#DIV/0!</v>
          </cell>
          <cell r="CI99">
            <v>0</v>
          </cell>
          <cell r="CJ99">
            <v>0</v>
          </cell>
          <cell r="CK99" t="e">
            <v>#DIV/0!</v>
          </cell>
          <cell r="CL99">
            <v>0</v>
          </cell>
          <cell r="CM99">
            <v>0</v>
          </cell>
          <cell r="CN99" t="e">
            <v>#DIV/0!</v>
          </cell>
          <cell r="CO99">
            <v>0</v>
          </cell>
          <cell r="CP99">
            <v>0</v>
          </cell>
          <cell r="CQ99" t="e">
            <v>#DIV/0!</v>
          </cell>
          <cell r="CR99">
            <v>0</v>
          </cell>
          <cell r="CS99">
            <v>0</v>
          </cell>
          <cell r="CT99" t="e">
            <v>#DIV/0!</v>
          </cell>
          <cell r="CV99" t="str">
            <v>334 CHARGEUS</v>
          </cell>
          <cell r="CW99">
            <v>0</v>
          </cell>
          <cell r="CX99">
            <v>0</v>
          </cell>
          <cell r="CY99" t="e">
            <v>#DIV/0!</v>
          </cell>
          <cell r="CZ99">
            <v>0</v>
          </cell>
          <cell r="DA99">
            <v>0</v>
          </cell>
          <cell r="DB99" t="e">
            <v>#DIV/0!</v>
          </cell>
          <cell r="DC99">
            <v>0</v>
          </cell>
          <cell r="DD99">
            <v>0</v>
          </cell>
          <cell r="DE99" t="e">
            <v>#DIV/0!</v>
          </cell>
          <cell r="DF99">
            <v>0</v>
          </cell>
          <cell r="DG99">
            <v>0</v>
          </cell>
          <cell r="DH99" t="e">
            <v>#DIV/0!</v>
          </cell>
          <cell r="DJ99" t="str">
            <v>334 CHARGEUS</v>
          </cell>
          <cell r="DK99">
            <v>0</v>
          </cell>
          <cell r="DL99">
            <v>0</v>
          </cell>
          <cell r="DM99" t="e">
            <v>#DIV/0!</v>
          </cell>
          <cell r="DN99">
            <v>0</v>
          </cell>
          <cell r="DO99">
            <v>0</v>
          </cell>
          <cell r="DP99" t="e">
            <v>#DIV/0!</v>
          </cell>
          <cell r="DQ99">
            <v>0</v>
          </cell>
          <cell r="DR99">
            <v>0</v>
          </cell>
          <cell r="DS99" t="e">
            <v>#DIV/0!</v>
          </cell>
          <cell r="DT99">
            <v>0</v>
          </cell>
          <cell r="DU99">
            <v>0</v>
          </cell>
          <cell r="DV99" t="e">
            <v>#DIV/0!</v>
          </cell>
          <cell r="DX99" t="str">
            <v>334 CHARGEUS</v>
          </cell>
          <cell r="DY99">
            <v>0</v>
          </cell>
          <cell r="DZ99">
            <v>0</v>
          </cell>
          <cell r="EA99" t="e">
            <v>#DIV/0!</v>
          </cell>
          <cell r="EB99">
            <v>0</v>
          </cell>
          <cell r="EC99">
            <v>0</v>
          </cell>
          <cell r="ED99" t="e">
            <v>#DIV/0!</v>
          </cell>
          <cell r="EE99">
            <v>0</v>
          </cell>
          <cell r="EF99">
            <v>0</v>
          </cell>
          <cell r="EG99" t="e">
            <v>#DIV/0!</v>
          </cell>
          <cell r="EH99">
            <v>0</v>
          </cell>
          <cell r="EI99">
            <v>0</v>
          </cell>
          <cell r="EJ99" t="e">
            <v>#DIV/0!</v>
          </cell>
          <cell r="EK99">
            <v>0</v>
          </cell>
          <cell r="EL99">
            <v>0</v>
          </cell>
          <cell r="EM99" t="e">
            <v>#DIV/0!</v>
          </cell>
          <cell r="EO99" t="str">
            <v>334 CHARGEUS</v>
          </cell>
          <cell r="EP99">
            <v>0</v>
          </cell>
          <cell r="EQ99">
            <v>0</v>
          </cell>
          <cell r="ER99" t="e">
            <v>#DIV/0!</v>
          </cell>
          <cell r="ES99">
            <v>0</v>
          </cell>
          <cell r="ET99">
            <v>0</v>
          </cell>
          <cell r="EU99" t="e">
            <v>#DIV/0!</v>
          </cell>
          <cell r="EV99">
            <v>0</v>
          </cell>
          <cell r="EW99">
            <v>0</v>
          </cell>
          <cell r="EX99" t="e">
            <v>#DIV/0!</v>
          </cell>
          <cell r="EY99">
            <v>0</v>
          </cell>
          <cell r="EZ99">
            <v>0</v>
          </cell>
          <cell r="FA99" t="e">
            <v>#DIV/0!</v>
          </cell>
          <cell r="FC99" t="str">
            <v>334 CHARGEUS</v>
          </cell>
          <cell r="FD99">
            <v>0</v>
          </cell>
          <cell r="FE99">
            <v>0</v>
          </cell>
          <cell r="FF99" t="e">
            <v>#DIV/0!</v>
          </cell>
          <cell r="FG99">
            <v>0</v>
          </cell>
          <cell r="FH99">
            <v>0</v>
          </cell>
          <cell r="FI99" t="e">
            <v>#DIV/0!</v>
          </cell>
          <cell r="FJ99">
            <v>0</v>
          </cell>
          <cell r="FK99">
            <v>0</v>
          </cell>
          <cell r="FL99" t="e">
            <v>#DIV/0!</v>
          </cell>
          <cell r="FM99">
            <v>0</v>
          </cell>
          <cell r="FN99">
            <v>0</v>
          </cell>
          <cell r="FO99" t="e">
            <v>#DIV/0!</v>
          </cell>
          <cell r="FP99">
            <v>0</v>
          </cell>
          <cell r="FQ99">
            <v>0</v>
          </cell>
          <cell r="FR99" t="e">
            <v>#DIV/0!</v>
          </cell>
        </row>
        <row r="100">
          <cell r="AZ100" t="str">
            <v>335 SONDEUSES</v>
          </cell>
          <cell r="BA100">
            <v>0</v>
          </cell>
          <cell r="BB100">
            <v>0</v>
          </cell>
          <cell r="BC100" t="e">
            <v>#DIV/0!</v>
          </cell>
          <cell r="BD100">
            <v>0</v>
          </cell>
          <cell r="BE100">
            <v>0</v>
          </cell>
          <cell r="BF100" t="e">
            <v>#DIV/0!</v>
          </cell>
          <cell r="BG100">
            <v>0</v>
          </cell>
          <cell r="BH100">
            <v>0</v>
          </cell>
          <cell r="BI100" t="e">
            <v>#DIV/0!</v>
          </cell>
          <cell r="BJ100">
            <v>0</v>
          </cell>
          <cell r="BK100">
            <v>0</v>
          </cell>
          <cell r="BL100" t="e">
            <v>#DIV/0!</v>
          </cell>
          <cell r="BN100" t="str">
            <v>335 SONDEUSES</v>
          </cell>
          <cell r="BO100">
            <v>0</v>
          </cell>
          <cell r="BP100">
            <v>0</v>
          </cell>
          <cell r="BQ100" t="e">
            <v>#DIV/0!</v>
          </cell>
          <cell r="BR100">
            <v>0</v>
          </cell>
          <cell r="BS100">
            <v>0</v>
          </cell>
          <cell r="BT100" t="e">
            <v>#DIV/0!</v>
          </cell>
          <cell r="BU100">
            <v>0</v>
          </cell>
          <cell r="BV100">
            <v>0</v>
          </cell>
          <cell r="BW100" t="e">
            <v>#DIV/0!</v>
          </cell>
          <cell r="BX100">
            <v>0</v>
          </cell>
          <cell r="BY100">
            <v>0</v>
          </cell>
          <cell r="BZ100" t="e">
            <v>#DIV/0!</v>
          </cell>
          <cell r="CA100">
            <v>0</v>
          </cell>
          <cell r="CB100">
            <v>0</v>
          </cell>
          <cell r="CC100" t="e">
            <v>#DIV/0!</v>
          </cell>
          <cell r="CE100" t="str">
            <v>335 SONDEUSES</v>
          </cell>
          <cell r="CF100">
            <v>0</v>
          </cell>
          <cell r="CG100">
            <v>0</v>
          </cell>
          <cell r="CH100" t="e">
            <v>#DIV/0!</v>
          </cell>
          <cell r="CI100">
            <v>0</v>
          </cell>
          <cell r="CJ100">
            <v>0</v>
          </cell>
          <cell r="CK100" t="e">
            <v>#DIV/0!</v>
          </cell>
          <cell r="CL100">
            <v>0</v>
          </cell>
          <cell r="CM100">
            <v>0</v>
          </cell>
          <cell r="CN100" t="e">
            <v>#DIV/0!</v>
          </cell>
          <cell r="CO100">
            <v>0</v>
          </cell>
          <cell r="CP100">
            <v>0</v>
          </cell>
          <cell r="CQ100" t="e">
            <v>#DIV/0!</v>
          </cell>
          <cell r="CR100">
            <v>0</v>
          </cell>
          <cell r="CS100">
            <v>0</v>
          </cell>
          <cell r="CT100" t="e">
            <v>#DIV/0!</v>
          </cell>
          <cell r="CV100" t="str">
            <v>335 SONDEUSES</v>
          </cell>
          <cell r="CW100">
            <v>0</v>
          </cell>
          <cell r="CX100">
            <v>0</v>
          </cell>
          <cell r="CY100" t="e">
            <v>#DIV/0!</v>
          </cell>
          <cell r="CZ100">
            <v>0</v>
          </cell>
          <cell r="DA100">
            <v>0</v>
          </cell>
          <cell r="DB100" t="e">
            <v>#DIV/0!</v>
          </cell>
          <cell r="DC100">
            <v>0</v>
          </cell>
          <cell r="DD100">
            <v>0</v>
          </cell>
          <cell r="DE100" t="e">
            <v>#DIV/0!</v>
          </cell>
          <cell r="DF100">
            <v>0</v>
          </cell>
          <cell r="DG100">
            <v>0</v>
          </cell>
          <cell r="DH100" t="e">
            <v>#DIV/0!</v>
          </cell>
          <cell r="DJ100" t="str">
            <v>335 SONDEUSES</v>
          </cell>
          <cell r="DK100">
            <v>0</v>
          </cell>
          <cell r="DL100">
            <v>0</v>
          </cell>
          <cell r="DM100" t="e">
            <v>#DIV/0!</v>
          </cell>
          <cell r="DN100">
            <v>0</v>
          </cell>
          <cell r="DO100">
            <v>0</v>
          </cell>
          <cell r="DP100" t="e">
            <v>#DIV/0!</v>
          </cell>
          <cell r="DQ100">
            <v>0</v>
          </cell>
          <cell r="DR100">
            <v>0</v>
          </cell>
          <cell r="DS100" t="e">
            <v>#DIV/0!</v>
          </cell>
          <cell r="DT100">
            <v>0</v>
          </cell>
          <cell r="DU100">
            <v>0</v>
          </cell>
          <cell r="DV100" t="e">
            <v>#DIV/0!</v>
          </cell>
          <cell r="DX100" t="str">
            <v>335 SONDEUSES</v>
          </cell>
          <cell r="DY100">
            <v>0</v>
          </cell>
          <cell r="DZ100">
            <v>0</v>
          </cell>
          <cell r="EA100" t="e">
            <v>#DIV/0!</v>
          </cell>
          <cell r="EB100">
            <v>0</v>
          </cell>
          <cell r="EC100">
            <v>0</v>
          </cell>
          <cell r="ED100" t="e">
            <v>#DIV/0!</v>
          </cell>
          <cell r="EE100">
            <v>0</v>
          </cell>
          <cell r="EF100">
            <v>0</v>
          </cell>
          <cell r="EG100" t="e">
            <v>#DIV/0!</v>
          </cell>
          <cell r="EH100">
            <v>0</v>
          </cell>
          <cell r="EI100">
            <v>0</v>
          </cell>
          <cell r="EJ100" t="e">
            <v>#DIV/0!</v>
          </cell>
          <cell r="EK100">
            <v>0</v>
          </cell>
          <cell r="EL100">
            <v>0</v>
          </cell>
          <cell r="EM100" t="e">
            <v>#DIV/0!</v>
          </cell>
          <cell r="EO100" t="str">
            <v>335 SONDEUSES</v>
          </cell>
          <cell r="EP100">
            <v>0</v>
          </cell>
          <cell r="EQ100">
            <v>0</v>
          </cell>
          <cell r="ER100" t="e">
            <v>#DIV/0!</v>
          </cell>
          <cell r="ES100">
            <v>0</v>
          </cell>
          <cell r="ET100">
            <v>0</v>
          </cell>
          <cell r="EU100" t="e">
            <v>#DIV/0!</v>
          </cell>
          <cell r="EV100">
            <v>0</v>
          </cell>
          <cell r="EW100">
            <v>0</v>
          </cell>
          <cell r="EX100" t="e">
            <v>#DIV/0!</v>
          </cell>
          <cell r="EY100">
            <v>0</v>
          </cell>
          <cell r="EZ100">
            <v>0</v>
          </cell>
          <cell r="FA100" t="e">
            <v>#DIV/0!</v>
          </cell>
          <cell r="FC100" t="str">
            <v>335 SONDEUSES</v>
          </cell>
          <cell r="FD100">
            <v>0</v>
          </cell>
          <cell r="FE100">
            <v>0</v>
          </cell>
          <cell r="FF100" t="e">
            <v>#DIV/0!</v>
          </cell>
          <cell r="FG100">
            <v>0</v>
          </cell>
          <cell r="FH100">
            <v>0</v>
          </cell>
          <cell r="FI100" t="e">
            <v>#DIV/0!</v>
          </cell>
          <cell r="FJ100">
            <v>0</v>
          </cell>
          <cell r="FK100">
            <v>0</v>
          </cell>
          <cell r="FL100" t="e">
            <v>#DIV/0!</v>
          </cell>
          <cell r="FM100">
            <v>0</v>
          </cell>
          <cell r="FN100">
            <v>0</v>
          </cell>
          <cell r="FO100" t="e">
            <v>#DIV/0!</v>
          </cell>
          <cell r="FP100">
            <v>0</v>
          </cell>
          <cell r="FQ100">
            <v>0</v>
          </cell>
          <cell r="FR100" t="e">
            <v>#DIV/0!</v>
          </cell>
        </row>
        <row r="101">
          <cell r="AZ101" t="str">
            <v>337 GAR.  (VEHI)</v>
          </cell>
          <cell r="BA101">
            <v>0</v>
          </cell>
          <cell r="BB101">
            <v>0</v>
          </cell>
          <cell r="BC101" t="e">
            <v>#DIV/0!</v>
          </cell>
          <cell r="BD101">
            <v>0</v>
          </cell>
          <cell r="BE101">
            <v>0</v>
          </cell>
          <cell r="BF101" t="e">
            <v>#DIV/0!</v>
          </cell>
          <cell r="BG101">
            <v>0</v>
          </cell>
          <cell r="BH101">
            <v>0</v>
          </cell>
          <cell r="BI101" t="e">
            <v>#DIV/0!</v>
          </cell>
          <cell r="BJ101">
            <v>0</v>
          </cell>
          <cell r="BK101">
            <v>0</v>
          </cell>
          <cell r="BL101" t="e">
            <v>#DIV/0!</v>
          </cell>
          <cell r="BN101" t="str">
            <v>337 GAR.  (VEHI)</v>
          </cell>
          <cell r="BO101">
            <v>0</v>
          </cell>
          <cell r="BP101">
            <v>0</v>
          </cell>
          <cell r="BQ101" t="e">
            <v>#DIV/0!</v>
          </cell>
          <cell r="BR101">
            <v>0</v>
          </cell>
          <cell r="BS101">
            <v>0</v>
          </cell>
          <cell r="BT101" t="e">
            <v>#DIV/0!</v>
          </cell>
          <cell r="BU101">
            <v>0</v>
          </cell>
          <cell r="BV101">
            <v>0</v>
          </cell>
          <cell r="BW101" t="e">
            <v>#DIV/0!</v>
          </cell>
          <cell r="BX101">
            <v>0</v>
          </cell>
          <cell r="BY101">
            <v>0</v>
          </cell>
          <cell r="BZ101" t="e">
            <v>#DIV/0!</v>
          </cell>
          <cell r="CA101">
            <v>0</v>
          </cell>
          <cell r="CB101">
            <v>0</v>
          </cell>
          <cell r="CC101" t="e">
            <v>#DIV/0!</v>
          </cell>
          <cell r="CE101" t="str">
            <v>337 GAR.  (VEHI)</v>
          </cell>
          <cell r="CF101">
            <v>0</v>
          </cell>
          <cell r="CG101">
            <v>0</v>
          </cell>
          <cell r="CH101" t="e">
            <v>#DIV/0!</v>
          </cell>
          <cell r="CI101">
            <v>0</v>
          </cell>
          <cell r="CJ101">
            <v>0</v>
          </cell>
          <cell r="CK101" t="e">
            <v>#DIV/0!</v>
          </cell>
          <cell r="CL101">
            <v>0</v>
          </cell>
          <cell r="CM101">
            <v>0</v>
          </cell>
          <cell r="CN101" t="e">
            <v>#DIV/0!</v>
          </cell>
          <cell r="CO101">
            <v>0</v>
          </cell>
          <cell r="CP101">
            <v>0</v>
          </cell>
          <cell r="CQ101" t="e">
            <v>#DIV/0!</v>
          </cell>
          <cell r="CR101">
            <v>0</v>
          </cell>
          <cell r="CS101">
            <v>0</v>
          </cell>
          <cell r="CT101" t="e">
            <v>#DIV/0!</v>
          </cell>
          <cell r="CV101" t="str">
            <v>337 GAR.  (VEHI)</v>
          </cell>
          <cell r="CW101">
            <v>0</v>
          </cell>
          <cell r="CX101">
            <v>0</v>
          </cell>
          <cell r="CY101" t="e">
            <v>#DIV/0!</v>
          </cell>
          <cell r="CZ101">
            <v>0</v>
          </cell>
          <cell r="DA101">
            <v>0</v>
          </cell>
          <cell r="DB101" t="e">
            <v>#DIV/0!</v>
          </cell>
          <cell r="DC101">
            <v>0</v>
          </cell>
          <cell r="DD101">
            <v>0</v>
          </cell>
          <cell r="DE101" t="e">
            <v>#DIV/0!</v>
          </cell>
          <cell r="DF101">
            <v>0</v>
          </cell>
          <cell r="DG101">
            <v>0</v>
          </cell>
          <cell r="DH101" t="e">
            <v>#DIV/0!</v>
          </cell>
          <cell r="DJ101" t="str">
            <v>337 GAR.  (VEHI)</v>
          </cell>
          <cell r="DK101">
            <v>0</v>
          </cell>
          <cell r="DL101">
            <v>0</v>
          </cell>
          <cell r="DM101" t="e">
            <v>#DIV/0!</v>
          </cell>
          <cell r="DN101">
            <v>0</v>
          </cell>
          <cell r="DO101">
            <v>0</v>
          </cell>
          <cell r="DP101" t="e">
            <v>#DIV/0!</v>
          </cell>
          <cell r="DQ101">
            <v>0</v>
          </cell>
          <cell r="DR101">
            <v>0</v>
          </cell>
          <cell r="DS101" t="e">
            <v>#DIV/0!</v>
          </cell>
          <cell r="DT101">
            <v>0</v>
          </cell>
          <cell r="DU101">
            <v>0</v>
          </cell>
          <cell r="DV101" t="e">
            <v>#DIV/0!</v>
          </cell>
          <cell r="DX101" t="str">
            <v>337 GAR.  (VEHI)</v>
          </cell>
          <cell r="DY101">
            <v>0</v>
          </cell>
          <cell r="DZ101">
            <v>0</v>
          </cell>
          <cell r="EA101" t="e">
            <v>#DIV/0!</v>
          </cell>
          <cell r="EB101">
            <v>0</v>
          </cell>
          <cell r="EC101">
            <v>0</v>
          </cell>
          <cell r="ED101" t="e">
            <v>#DIV/0!</v>
          </cell>
          <cell r="EE101">
            <v>0</v>
          </cell>
          <cell r="EF101">
            <v>0</v>
          </cell>
          <cell r="EG101" t="e">
            <v>#DIV/0!</v>
          </cell>
          <cell r="EH101">
            <v>0</v>
          </cell>
          <cell r="EI101">
            <v>0</v>
          </cell>
          <cell r="EJ101" t="e">
            <v>#DIV/0!</v>
          </cell>
          <cell r="EK101">
            <v>0</v>
          </cell>
          <cell r="EL101">
            <v>0</v>
          </cell>
          <cell r="EM101" t="e">
            <v>#DIV/0!</v>
          </cell>
          <cell r="EO101" t="str">
            <v>337 GAR.  (VEHI)</v>
          </cell>
          <cell r="EP101">
            <v>0</v>
          </cell>
          <cell r="EQ101">
            <v>0</v>
          </cell>
          <cell r="ER101" t="e">
            <v>#DIV/0!</v>
          </cell>
          <cell r="ES101">
            <v>0</v>
          </cell>
          <cell r="ET101">
            <v>0</v>
          </cell>
          <cell r="EU101" t="e">
            <v>#DIV/0!</v>
          </cell>
          <cell r="EV101">
            <v>0</v>
          </cell>
          <cell r="EW101">
            <v>0</v>
          </cell>
          <cell r="EX101" t="e">
            <v>#DIV/0!</v>
          </cell>
          <cell r="EY101">
            <v>0</v>
          </cell>
          <cell r="EZ101">
            <v>0</v>
          </cell>
          <cell r="FA101" t="e">
            <v>#DIV/0!</v>
          </cell>
          <cell r="FC101" t="str">
            <v>337 GAR.  (VEHI)</v>
          </cell>
          <cell r="FD101">
            <v>0</v>
          </cell>
          <cell r="FE101">
            <v>0</v>
          </cell>
          <cell r="FF101" t="e">
            <v>#DIV/0!</v>
          </cell>
          <cell r="FG101">
            <v>0</v>
          </cell>
          <cell r="FH101">
            <v>0</v>
          </cell>
          <cell r="FI101" t="e">
            <v>#DIV/0!</v>
          </cell>
          <cell r="FJ101">
            <v>0</v>
          </cell>
          <cell r="FK101">
            <v>0</v>
          </cell>
          <cell r="FL101" t="e">
            <v>#DIV/0!</v>
          </cell>
          <cell r="FM101">
            <v>0</v>
          </cell>
          <cell r="FN101">
            <v>0</v>
          </cell>
          <cell r="FO101" t="e">
            <v>#DIV/0!</v>
          </cell>
          <cell r="FP101">
            <v>0</v>
          </cell>
          <cell r="FQ101">
            <v>0</v>
          </cell>
          <cell r="FR101" t="e">
            <v>#DIV/0!</v>
          </cell>
        </row>
        <row r="102">
          <cell r="AZ102" t="str">
            <v>339 ENG. DIVERS</v>
          </cell>
          <cell r="BA102">
            <v>0</v>
          </cell>
          <cell r="BB102">
            <v>0</v>
          </cell>
          <cell r="BC102" t="e">
            <v>#DIV/0!</v>
          </cell>
          <cell r="BD102">
            <v>0</v>
          </cell>
          <cell r="BE102">
            <v>0</v>
          </cell>
          <cell r="BF102" t="e">
            <v>#DIV/0!</v>
          </cell>
          <cell r="BG102">
            <v>0</v>
          </cell>
          <cell r="BH102">
            <v>0</v>
          </cell>
          <cell r="BI102" t="e">
            <v>#DIV/0!</v>
          </cell>
          <cell r="BJ102">
            <v>0</v>
          </cell>
          <cell r="BK102">
            <v>0</v>
          </cell>
          <cell r="BL102" t="e">
            <v>#DIV/0!</v>
          </cell>
          <cell r="BN102" t="str">
            <v>339 ENG. DIVERS</v>
          </cell>
          <cell r="BO102">
            <v>0</v>
          </cell>
          <cell r="BP102">
            <v>0</v>
          </cell>
          <cell r="BQ102" t="e">
            <v>#DIV/0!</v>
          </cell>
          <cell r="BR102">
            <v>0</v>
          </cell>
          <cell r="BS102">
            <v>0</v>
          </cell>
          <cell r="BT102" t="e">
            <v>#DIV/0!</v>
          </cell>
          <cell r="BU102">
            <v>0</v>
          </cell>
          <cell r="BV102">
            <v>0</v>
          </cell>
          <cell r="BW102" t="e">
            <v>#DIV/0!</v>
          </cell>
          <cell r="BX102">
            <v>0</v>
          </cell>
          <cell r="BY102">
            <v>0</v>
          </cell>
          <cell r="BZ102" t="e">
            <v>#DIV/0!</v>
          </cell>
          <cell r="CA102">
            <v>0</v>
          </cell>
          <cell r="CB102">
            <v>0</v>
          </cell>
          <cell r="CC102" t="e">
            <v>#DIV/0!</v>
          </cell>
          <cell r="CE102" t="str">
            <v>339 ENG. DIVERS</v>
          </cell>
          <cell r="CF102">
            <v>0</v>
          </cell>
          <cell r="CG102">
            <v>0</v>
          </cell>
          <cell r="CH102" t="e">
            <v>#DIV/0!</v>
          </cell>
          <cell r="CI102">
            <v>0</v>
          </cell>
          <cell r="CJ102">
            <v>0</v>
          </cell>
          <cell r="CK102" t="e">
            <v>#DIV/0!</v>
          </cell>
          <cell r="CL102">
            <v>0</v>
          </cell>
          <cell r="CM102">
            <v>0</v>
          </cell>
          <cell r="CN102" t="e">
            <v>#DIV/0!</v>
          </cell>
          <cell r="CO102">
            <v>0</v>
          </cell>
          <cell r="CP102">
            <v>0</v>
          </cell>
          <cell r="CQ102" t="e">
            <v>#DIV/0!</v>
          </cell>
          <cell r="CR102">
            <v>0</v>
          </cell>
          <cell r="CS102">
            <v>0</v>
          </cell>
          <cell r="CT102" t="e">
            <v>#DIV/0!</v>
          </cell>
          <cell r="CV102" t="str">
            <v>339 ENG. DIVERS</v>
          </cell>
          <cell r="CW102">
            <v>0</v>
          </cell>
          <cell r="CX102">
            <v>0</v>
          </cell>
          <cell r="CY102" t="e">
            <v>#DIV/0!</v>
          </cell>
          <cell r="CZ102">
            <v>0</v>
          </cell>
          <cell r="DA102">
            <v>0</v>
          </cell>
          <cell r="DB102" t="e">
            <v>#DIV/0!</v>
          </cell>
          <cell r="DC102">
            <v>0</v>
          </cell>
          <cell r="DD102">
            <v>0</v>
          </cell>
          <cell r="DE102" t="e">
            <v>#DIV/0!</v>
          </cell>
          <cell r="DF102">
            <v>0</v>
          </cell>
          <cell r="DG102">
            <v>0</v>
          </cell>
          <cell r="DH102" t="e">
            <v>#DIV/0!</v>
          </cell>
          <cell r="DJ102" t="str">
            <v>339 ENG. DIVERS</v>
          </cell>
          <cell r="DK102">
            <v>0</v>
          </cell>
          <cell r="DL102">
            <v>0</v>
          </cell>
          <cell r="DM102" t="e">
            <v>#DIV/0!</v>
          </cell>
          <cell r="DN102">
            <v>0</v>
          </cell>
          <cell r="DO102">
            <v>0</v>
          </cell>
          <cell r="DP102" t="e">
            <v>#DIV/0!</v>
          </cell>
          <cell r="DQ102">
            <v>0</v>
          </cell>
          <cell r="DR102">
            <v>0</v>
          </cell>
          <cell r="DS102" t="e">
            <v>#DIV/0!</v>
          </cell>
          <cell r="DT102">
            <v>0</v>
          </cell>
          <cell r="DU102">
            <v>0</v>
          </cell>
          <cell r="DV102" t="e">
            <v>#DIV/0!</v>
          </cell>
          <cell r="DX102" t="str">
            <v>339 ENG. DIVERS</v>
          </cell>
          <cell r="DY102">
            <v>0</v>
          </cell>
          <cell r="DZ102">
            <v>0</v>
          </cell>
          <cell r="EA102" t="e">
            <v>#DIV/0!</v>
          </cell>
          <cell r="EB102">
            <v>0</v>
          </cell>
          <cell r="EC102">
            <v>0</v>
          </cell>
          <cell r="ED102" t="e">
            <v>#DIV/0!</v>
          </cell>
          <cell r="EE102">
            <v>0</v>
          </cell>
          <cell r="EF102">
            <v>0</v>
          </cell>
          <cell r="EG102" t="e">
            <v>#DIV/0!</v>
          </cell>
          <cell r="EH102">
            <v>0</v>
          </cell>
          <cell r="EI102">
            <v>0</v>
          </cell>
          <cell r="EJ102" t="e">
            <v>#DIV/0!</v>
          </cell>
          <cell r="EK102">
            <v>0</v>
          </cell>
          <cell r="EL102">
            <v>0</v>
          </cell>
          <cell r="EM102" t="e">
            <v>#DIV/0!</v>
          </cell>
          <cell r="EO102" t="str">
            <v>339 ENG. DIVERS</v>
          </cell>
          <cell r="EP102">
            <v>0</v>
          </cell>
          <cell r="EQ102">
            <v>0</v>
          </cell>
          <cell r="ER102" t="e">
            <v>#DIV/0!</v>
          </cell>
          <cell r="ES102">
            <v>0</v>
          </cell>
          <cell r="ET102">
            <v>0</v>
          </cell>
          <cell r="EU102" t="e">
            <v>#DIV/0!</v>
          </cell>
          <cell r="EV102">
            <v>0</v>
          </cell>
          <cell r="EW102">
            <v>0</v>
          </cell>
          <cell r="EX102" t="e">
            <v>#DIV/0!</v>
          </cell>
          <cell r="EY102">
            <v>0</v>
          </cell>
          <cell r="EZ102">
            <v>0</v>
          </cell>
          <cell r="FA102" t="e">
            <v>#DIV/0!</v>
          </cell>
          <cell r="FC102" t="str">
            <v>339 ENG. DIVERS</v>
          </cell>
          <cell r="FD102">
            <v>0</v>
          </cell>
          <cell r="FE102">
            <v>0</v>
          </cell>
          <cell r="FF102" t="e">
            <v>#DIV/0!</v>
          </cell>
          <cell r="FG102">
            <v>0</v>
          </cell>
          <cell r="FH102">
            <v>0</v>
          </cell>
          <cell r="FI102" t="e">
            <v>#DIV/0!</v>
          </cell>
          <cell r="FJ102">
            <v>0</v>
          </cell>
          <cell r="FK102">
            <v>0</v>
          </cell>
          <cell r="FL102" t="e">
            <v>#DIV/0!</v>
          </cell>
          <cell r="FM102">
            <v>0</v>
          </cell>
          <cell r="FN102">
            <v>0</v>
          </cell>
          <cell r="FO102" t="e">
            <v>#DIV/0!</v>
          </cell>
          <cell r="FP102">
            <v>0</v>
          </cell>
          <cell r="FQ102">
            <v>0</v>
          </cell>
          <cell r="FR102" t="e">
            <v>#DIV/0!</v>
          </cell>
        </row>
        <row r="103">
          <cell r="AZ103" t="str">
            <v>341 STAT. SERVI</v>
          </cell>
          <cell r="BA103">
            <v>0</v>
          </cell>
          <cell r="BB103">
            <v>0</v>
          </cell>
          <cell r="BC103" t="e">
            <v>#DIV/0!</v>
          </cell>
          <cell r="BD103">
            <v>0</v>
          </cell>
          <cell r="BE103">
            <v>0</v>
          </cell>
          <cell r="BF103" t="e">
            <v>#DIV/0!</v>
          </cell>
          <cell r="BG103">
            <v>0</v>
          </cell>
          <cell r="BH103">
            <v>0</v>
          </cell>
          <cell r="BI103" t="e">
            <v>#DIV/0!</v>
          </cell>
          <cell r="BJ103">
            <v>0</v>
          </cell>
          <cell r="BK103">
            <v>0</v>
          </cell>
          <cell r="BL103" t="e">
            <v>#DIV/0!</v>
          </cell>
          <cell r="BN103" t="str">
            <v>341 STAT. SERVI</v>
          </cell>
          <cell r="BO103">
            <v>0</v>
          </cell>
          <cell r="BP103">
            <v>0</v>
          </cell>
          <cell r="BQ103" t="e">
            <v>#DIV/0!</v>
          </cell>
          <cell r="BR103">
            <v>0</v>
          </cell>
          <cell r="BS103">
            <v>0</v>
          </cell>
          <cell r="BT103" t="e">
            <v>#DIV/0!</v>
          </cell>
          <cell r="BU103">
            <v>0</v>
          </cell>
          <cell r="BV103">
            <v>0</v>
          </cell>
          <cell r="BW103" t="e">
            <v>#DIV/0!</v>
          </cell>
          <cell r="BX103">
            <v>0</v>
          </cell>
          <cell r="BY103">
            <v>0</v>
          </cell>
          <cell r="BZ103" t="e">
            <v>#DIV/0!</v>
          </cell>
          <cell r="CA103">
            <v>0</v>
          </cell>
          <cell r="CB103">
            <v>0</v>
          </cell>
          <cell r="CC103" t="e">
            <v>#DIV/0!</v>
          </cell>
          <cell r="CE103" t="str">
            <v>341 STAT. SERVI</v>
          </cell>
          <cell r="CF103">
            <v>0</v>
          </cell>
          <cell r="CG103">
            <v>0</v>
          </cell>
          <cell r="CH103" t="e">
            <v>#DIV/0!</v>
          </cell>
          <cell r="CI103">
            <v>0</v>
          </cell>
          <cell r="CJ103">
            <v>0</v>
          </cell>
          <cell r="CK103" t="e">
            <v>#DIV/0!</v>
          </cell>
          <cell r="CL103">
            <v>0</v>
          </cell>
          <cell r="CM103">
            <v>0</v>
          </cell>
          <cell r="CN103" t="e">
            <v>#DIV/0!</v>
          </cell>
          <cell r="CO103">
            <v>0</v>
          </cell>
          <cell r="CP103">
            <v>0</v>
          </cell>
          <cell r="CQ103" t="e">
            <v>#DIV/0!</v>
          </cell>
          <cell r="CR103">
            <v>0</v>
          </cell>
          <cell r="CS103">
            <v>0</v>
          </cell>
          <cell r="CT103" t="e">
            <v>#DIV/0!</v>
          </cell>
          <cell r="CV103" t="str">
            <v>341 STAT. SERVI</v>
          </cell>
          <cell r="CW103">
            <v>0</v>
          </cell>
          <cell r="CX103">
            <v>0</v>
          </cell>
          <cell r="CY103" t="e">
            <v>#DIV/0!</v>
          </cell>
          <cell r="CZ103">
            <v>0</v>
          </cell>
          <cell r="DA103">
            <v>0</v>
          </cell>
          <cell r="DB103" t="e">
            <v>#DIV/0!</v>
          </cell>
          <cell r="DC103">
            <v>0</v>
          </cell>
          <cell r="DD103">
            <v>0</v>
          </cell>
          <cell r="DE103" t="e">
            <v>#DIV/0!</v>
          </cell>
          <cell r="DF103">
            <v>0</v>
          </cell>
          <cell r="DG103">
            <v>0</v>
          </cell>
          <cell r="DH103" t="e">
            <v>#DIV/0!</v>
          </cell>
          <cell r="DJ103" t="str">
            <v>341 STAT. SERVI</v>
          </cell>
          <cell r="DK103">
            <v>0</v>
          </cell>
          <cell r="DL103">
            <v>0</v>
          </cell>
          <cell r="DM103" t="e">
            <v>#DIV/0!</v>
          </cell>
          <cell r="DN103">
            <v>0</v>
          </cell>
          <cell r="DO103">
            <v>0</v>
          </cell>
          <cell r="DP103" t="e">
            <v>#DIV/0!</v>
          </cell>
          <cell r="DQ103">
            <v>0</v>
          </cell>
          <cell r="DR103">
            <v>0</v>
          </cell>
          <cell r="DS103" t="e">
            <v>#DIV/0!</v>
          </cell>
          <cell r="DT103">
            <v>0</v>
          </cell>
          <cell r="DU103">
            <v>0</v>
          </cell>
          <cell r="DV103" t="e">
            <v>#DIV/0!</v>
          </cell>
          <cell r="DX103" t="str">
            <v>341 STAT. SERVI</v>
          </cell>
          <cell r="DY103">
            <v>0</v>
          </cell>
          <cell r="DZ103">
            <v>0</v>
          </cell>
          <cell r="EA103" t="e">
            <v>#DIV/0!</v>
          </cell>
          <cell r="EB103">
            <v>0</v>
          </cell>
          <cell r="EC103">
            <v>0</v>
          </cell>
          <cell r="ED103" t="e">
            <v>#DIV/0!</v>
          </cell>
          <cell r="EE103">
            <v>0</v>
          </cell>
          <cell r="EF103">
            <v>0</v>
          </cell>
          <cell r="EG103" t="e">
            <v>#DIV/0!</v>
          </cell>
          <cell r="EH103">
            <v>0</v>
          </cell>
          <cell r="EI103">
            <v>0</v>
          </cell>
          <cell r="EJ103" t="e">
            <v>#DIV/0!</v>
          </cell>
          <cell r="EK103">
            <v>0</v>
          </cell>
          <cell r="EL103">
            <v>0</v>
          </cell>
          <cell r="EM103" t="e">
            <v>#DIV/0!</v>
          </cell>
          <cell r="EO103" t="str">
            <v>341 STAT. SERVI</v>
          </cell>
          <cell r="EP103">
            <v>0</v>
          </cell>
          <cell r="EQ103">
            <v>0</v>
          </cell>
          <cell r="ER103" t="e">
            <v>#DIV/0!</v>
          </cell>
          <cell r="ES103">
            <v>0</v>
          </cell>
          <cell r="ET103">
            <v>0</v>
          </cell>
          <cell r="EU103" t="e">
            <v>#DIV/0!</v>
          </cell>
          <cell r="EV103">
            <v>0</v>
          </cell>
          <cell r="EW103">
            <v>0</v>
          </cell>
          <cell r="EX103" t="e">
            <v>#DIV/0!</v>
          </cell>
          <cell r="EY103">
            <v>0</v>
          </cell>
          <cell r="EZ103">
            <v>0</v>
          </cell>
          <cell r="FA103" t="e">
            <v>#DIV/0!</v>
          </cell>
          <cell r="FC103" t="str">
            <v>341 STAT. SERVI</v>
          </cell>
          <cell r="FD103">
            <v>0</v>
          </cell>
          <cell r="FE103">
            <v>0</v>
          </cell>
          <cell r="FF103" t="e">
            <v>#DIV/0!</v>
          </cell>
          <cell r="FG103">
            <v>0</v>
          </cell>
          <cell r="FH103">
            <v>0</v>
          </cell>
          <cell r="FI103" t="e">
            <v>#DIV/0!</v>
          </cell>
          <cell r="FJ103">
            <v>0</v>
          </cell>
          <cell r="FK103">
            <v>0</v>
          </cell>
          <cell r="FL103" t="e">
            <v>#DIV/0!</v>
          </cell>
          <cell r="FM103">
            <v>0</v>
          </cell>
          <cell r="FN103">
            <v>0</v>
          </cell>
          <cell r="FO103" t="e">
            <v>#DIV/0!</v>
          </cell>
          <cell r="FP103">
            <v>0</v>
          </cell>
          <cell r="FQ103">
            <v>0</v>
          </cell>
          <cell r="FR103" t="e">
            <v>#DIV/0!</v>
          </cell>
        </row>
        <row r="104">
          <cell r="AZ104" t="str">
            <v>342 LABORAT.</v>
          </cell>
          <cell r="BA104">
            <v>0</v>
          </cell>
          <cell r="BB104">
            <v>0</v>
          </cell>
          <cell r="BC104" t="e">
            <v>#DIV/0!</v>
          </cell>
          <cell r="BD104">
            <v>0</v>
          </cell>
          <cell r="BE104">
            <v>0</v>
          </cell>
          <cell r="BF104" t="e">
            <v>#DIV/0!</v>
          </cell>
          <cell r="BG104">
            <v>0</v>
          </cell>
          <cell r="BH104">
            <v>0</v>
          </cell>
          <cell r="BI104" t="e">
            <v>#DIV/0!</v>
          </cell>
          <cell r="BJ104">
            <v>0</v>
          </cell>
          <cell r="BK104">
            <v>0</v>
          </cell>
          <cell r="BL104" t="e">
            <v>#DIV/0!</v>
          </cell>
          <cell r="BN104" t="str">
            <v>342 LABORAT.</v>
          </cell>
          <cell r="BO104">
            <v>0</v>
          </cell>
          <cell r="BP104">
            <v>0</v>
          </cell>
          <cell r="BQ104" t="e">
            <v>#DIV/0!</v>
          </cell>
          <cell r="BR104">
            <v>0</v>
          </cell>
          <cell r="BS104">
            <v>0</v>
          </cell>
          <cell r="BT104" t="e">
            <v>#DIV/0!</v>
          </cell>
          <cell r="BU104">
            <v>0</v>
          </cell>
          <cell r="BV104">
            <v>0</v>
          </cell>
          <cell r="BW104" t="e">
            <v>#DIV/0!</v>
          </cell>
          <cell r="BX104">
            <v>0</v>
          </cell>
          <cell r="BY104">
            <v>0</v>
          </cell>
          <cell r="BZ104" t="e">
            <v>#DIV/0!</v>
          </cell>
          <cell r="CA104">
            <v>0</v>
          </cell>
          <cell r="CB104">
            <v>0</v>
          </cell>
          <cell r="CC104" t="e">
            <v>#DIV/0!</v>
          </cell>
          <cell r="CE104" t="str">
            <v>342 LABORAT.</v>
          </cell>
          <cell r="CF104">
            <v>0</v>
          </cell>
          <cell r="CG104">
            <v>0</v>
          </cell>
          <cell r="CH104" t="e">
            <v>#DIV/0!</v>
          </cell>
          <cell r="CI104">
            <v>0</v>
          </cell>
          <cell r="CJ104">
            <v>0</v>
          </cell>
          <cell r="CK104" t="e">
            <v>#DIV/0!</v>
          </cell>
          <cell r="CL104">
            <v>0</v>
          </cell>
          <cell r="CM104">
            <v>0</v>
          </cell>
          <cell r="CN104" t="e">
            <v>#DIV/0!</v>
          </cell>
          <cell r="CO104">
            <v>0</v>
          </cell>
          <cell r="CP104">
            <v>0</v>
          </cell>
          <cell r="CQ104" t="e">
            <v>#DIV/0!</v>
          </cell>
          <cell r="CR104">
            <v>0</v>
          </cell>
          <cell r="CS104">
            <v>0</v>
          </cell>
          <cell r="CT104" t="e">
            <v>#DIV/0!</v>
          </cell>
          <cell r="CV104" t="str">
            <v>342 LABORAT.</v>
          </cell>
          <cell r="CW104">
            <v>0</v>
          </cell>
          <cell r="CX104">
            <v>0</v>
          </cell>
          <cell r="CY104" t="e">
            <v>#DIV/0!</v>
          </cell>
          <cell r="CZ104">
            <v>0</v>
          </cell>
          <cell r="DA104">
            <v>0</v>
          </cell>
          <cell r="DB104" t="e">
            <v>#DIV/0!</v>
          </cell>
          <cell r="DC104">
            <v>0</v>
          </cell>
          <cell r="DD104">
            <v>0</v>
          </cell>
          <cell r="DE104" t="e">
            <v>#DIV/0!</v>
          </cell>
          <cell r="DF104">
            <v>0</v>
          </cell>
          <cell r="DG104">
            <v>0</v>
          </cell>
          <cell r="DH104" t="e">
            <v>#DIV/0!</v>
          </cell>
          <cell r="DJ104" t="str">
            <v>342 LABORAT.</v>
          </cell>
          <cell r="DK104">
            <v>0</v>
          </cell>
          <cell r="DL104">
            <v>0</v>
          </cell>
          <cell r="DM104" t="e">
            <v>#DIV/0!</v>
          </cell>
          <cell r="DN104">
            <v>0</v>
          </cell>
          <cell r="DO104">
            <v>0</v>
          </cell>
          <cell r="DP104" t="e">
            <v>#DIV/0!</v>
          </cell>
          <cell r="DQ104">
            <v>0</v>
          </cell>
          <cell r="DR104">
            <v>0</v>
          </cell>
          <cell r="DS104" t="e">
            <v>#DIV/0!</v>
          </cell>
          <cell r="DT104">
            <v>0</v>
          </cell>
          <cell r="DU104">
            <v>0</v>
          </cell>
          <cell r="DV104" t="e">
            <v>#DIV/0!</v>
          </cell>
          <cell r="DX104" t="str">
            <v>342 LABORAT.</v>
          </cell>
          <cell r="DY104">
            <v>0</v>
          </cell>
          <cell r="DZ104">
            <v>0</v>
          </cell>
          <cell r="EA104" t="e">
            <v>#DIV/0!</v>
          </cell>
          <cell r="EB104">
            <v>0</v>
          </cell>
          <cell r="EC104">
            <v>0</v>
          </cell>
          <cell r="ED104" t="e">
            <v>#DIV/0!</v>
          </cell>
          <cell r="EE104">
            <v>0</v>
          </cell>
          <cell r="EF104">
            <v>0</v>
          </cell>
          <cell r="EG104" t="e">
            <v>#DIV/0!</v>
          </cell>
          <cell r="EH104">
            <v>5423</v>
          </cell>
          <cell r="EI104">
            <v>3900</v>
          </cell>
          <cell r="EJ104">
            <v>71.915913700903559</v>
          </cell>
          <cell r="EK104">
            <v>5423</v>
          </cell>
          <cell r="EL104">
            <v>3900</v>
          </cell>
          <cell r="EM104">
            <v>71.915913700903559</v>
          </cell>
          <cell r="EO104" t="str">
            <v>342 LABORAT.</v>
          </cell>
          <cell r="EP104">
            <v>0</v>
          </cell>
          <cell r="EQ104">
            <v>0</v>
          </cell>
          <cell r="ER104" t="e">
            <v>#DIV/0!</v>
          </cell>
          <cell r="ES104">
            <v>0</v>
          </cell>
          <cell r="ET104">
            <v>0</v>
          </cell>
          <cell r="EU104" t="e">
            <v>#DIV/0!</v>
          </cell>
          <cell r="EV104">
            <v>0</v>
          </cell>
          <cell r="EW104">
            <v>0</v>
          </cell>
          <cell r="EX104" t="e">
            <v>#DIV/0!</v>
          </cell>
          <cell r="EY104">
            <v>0</v>
          </cell>
          <cell r="EZ104">
            <v>0</v>
          </cell>
          <cell r="FA104" t="e">
            <v>#DIV/0!</v>
          </cell>
          <cell r="FC104" t="str">
            <v>342 LABORAT.</v>
          </cell>
          <cell r="FD104">
            <v>0</v>
          </cell>
          <cell r="FE104">
            <v>0</v>
          </cell>
          <cell r="FF104" t="e">
            <v>#DIV/0!</v>
          </cell>
          <cell r="FG104">
            <v>0</v>
          </cell>
          <cell r="FH104">
            <v>0</v>
          </cell>
          <cell r="FI104" t="e">
            <v>#DIV/0!</v>
          </cell>
          <cell r="FJ104">
            <v>0</v>
          </cell>
          <cell r="FK104">
            <v>0</v>
          </cell>
          <cell r="FL104" t="e">
            <v>#DIV/0!</v>
          </cell>
          <cell r="FM104">
            <v>161952</v>
          </cell>
          <cell r="FN104">
            <v>121464</v>
          </cell>
          <cell r="FO104">
            <v>75</v>
          </cell>
          <cell r="FP104">
            <v>161952</v>
          </cell>
          <cell r="FQ104">
            <v>121464</v>
          </cell>
          <cell r="FR104">
            <v>75</v>
          </cell>
        </row>
        <row r="105">
          <cell r="AZ105" t="str">
            <v>343 IMP MICR FIL</v>
          </cell>
          <cell r="BA105">
            <v>0</v>
          </cell>
          <cell r="BB105">
            <v>0</v>
          </cell>
          <cell r="BC105" t="e">
            <v>#DIV/0!</v>
          </cell>
          <cell r="BD105">
            <v>0</v>
          </cell>
          <cell r="BE105">
            <v>0</v>
          </cell>
          <cell r="BF105" t="e">
            <v>#DIV/0!</v>
          </cell>
          <cell r="BG105">
            <v>0</v>
          </cell>
          <cell r="BH105">
            <v>0</v>
          </cell>
          <cell r="BI105" t="e">
            <v>#DIV/0!</v>
          </cell>
          <cell r="BJ105">
            <v>0</v>
          </cell>
          <cell r="BK105">
            <v>0</v>
          </cell>
          <cell r="BL105" t="e">
            <v>#DIV/0!</v>
          </cell>
          <cell r="BN105" t="str">
            <v>343 IMP MICR FIL</v>
          </cell>
          <cell r="BO105">
            <v>0</v>
          </cell>
          <cell r="BP105">
            <v>0</v>
          </cell>
          <cell r="BQ105" t="e">
            <v>#DIV/0!</v>
          </cell>
          <cell r="BR105">
            <v>0</v>
          </cell>
          <cell r="BS105">
            <v>0</v>
          </cell>
          <cell r="BT105" t="e">
            <v>#DIV/0!</v>
          </cell>
          <cell r="BU105">
            <v>0</v>
          </cell>
          <cell r="BV105">
            <v>0</v>
          </cell>
          <cell r="BW105" t="e">
            <v>#DIV/0!</v>
          </cell>
          <cell r="BX105">
            <v>0</v>
          </cell>
          <cell r="BY105">
            <v>0</v>
          </cell>
          <cell r="BZ105" t="e">
            <v>#DIV/0!</v>
          </cell>
          <cell r="CA105">
            <v>0</v>
          </cell>
          <cell r="CB105">
            <v>0</v>
          </cell>
          <cell r="CC105" t="e">
            <v>#DIV/0!</v>
          </cell>
          <cell r="CE105" t="str">
            <v>343 IMP MICR FIL</v>
          </cell>
          <cell r="CF105">
            <v>0</v>
          </cell>
          <cell r="CG105">
            <v>0</v>
          </cell>
          <cell r="CH105" t="e">
            <v>#DIV/0!</v>
          </cell>
          <cell r="CI105">
            <v>0</v>
          </cell>
          <cell r="CJ105">
            <v>0</v>
          </cell>
          <cell r="CK105" t="e">
            <v>#DIV/0!</v>
          </cell>
          <cell r="CL105">
            <v>0</v>
          </cell>
          <cell r="CM105">
            <v>0</v>
          </cell>
          <cell r="CN105" t="e">
            <v>#DIV/0!</v>
          </cell>
          <cell r="CO105">
            <v>0</v>
          </cell>
          <cell r="CP105">
            <v>0</v>
          </cell>
          <cell r="CQ105" t="e">
            <v>#DIV/0!</v>
          </cell>
          <cell r="CR105">
            <v>0</v>
          </cell>
          <cell r="CS105">
            <v>0</v>
          </cell>
          <cell r="CT105" t="e">
            <v>#DIV/0!</v>
          </cell>
          <cell r="CV105" t="str">
            <v>343 IMP MICR FIL</v>
          </cell>
          <cell r="CW105">
            <v>0</v>
          </cell>
          <cell r="CX105">
            <v>0</v>
          </cell>
          <cell r="CY105" t="e">
            <v>#DIV/0!</v>
          </cell>
          <cell r="CZ105">
            <v>0</v>
          </cell>
          <cell r="DA105">
            <v>0</v>
          </cell>
          <cell r="DB105" t="e">
            <v>#DIV/0!</v>
          </cell>
          <cell r="DC105">
            <v>0</v>
          </cell>
          <cell r="DD105">
            <v>0</v>
          </cell>
          <cell r="DE105" t="e">
            <v>#DIV/0!</v>
          </cell>
          <cell r="DF105">
            <v>0</v>
          </cell>
          <cell r="DG105">
            <v>0</v>
          </cell>
          <cell r="DH105" t="e">
            <v>#DIV/0!</v>
          </cell>
          <cell r="DJ105" t="str">
            <v>343 IMP MICR FIL</v>
          </cell>
          <cell r="DK105">
            <v>0</v>
          </cell>
          <cell r="DL105">
            <v>0</v>
          </cell>
          <cell r="DM105" t="e">
            <v>#DIV/0!</v>
          </cell>
          <cell r="DN105">
            <v>0</v>
          </cell>
          <cell r="DO105">
            <v>0</v>
          </cell>
          <cell r="DP105" t="e">
            <v>#DIV/0!</v>
          </cell>
          <cell r="DQ105">
            <v>0</v>
          </cell>
          <cell r="DR105">
            <v>0</v>
          </cell>
          <cell r="DS105" t="e">
            <v>#DIV/0!</v>
          </cell>
          <cell r="DT105">
            <v>0</v>
          </cell>
          <cell r="DU105">
            <v>0</v>
          </cell>
          <cell r="DV105" t="e">
            <v>#DIV/0!</v>
          </cell>
          <cell r="DX105" t="str">
            <v>343 IMP MICR FIL</v>
          </cell>
          <cell r="DY105">
            <v>0</v>
          </cell>
          <cell r="DZ105">
            <v>0</v>
          </cell>
          <cell r="EA105" t="e">
            <v>#DIV/0!</v>
          </cell>
          <cell r="EB105">
            <v>0</v>
          </cell>
          <cell r="EC105">
            <v>0</v>
          </cell>
          <cell r="ED105" t="e">
            <v>#DIV/0!</v>
          </cell>
          <cell r="EE105">
            <v>0</v>
          </cell>
          <cell r="EF105">
            <v>0</v>
          </cell>
          <cell r="EG105" t="e">
            <v>#DIV/0!</v>
          </cell>
          <cell r="EH105">
            <v>0</v>
          </cell>
          <cell r="EI105">
            <v>0</v>
          </cell>
          <cell r="EJ105" t="e">
            <v>#DIV/0!</v>
          </cell>
          <cell r="EK105">
            <v>0</v>
          </cell>
          <cell r="EL105">
            <v>0</v>
          </cell>
          <cell r="EM105" t="e">
            <v>#DIV/0!</v>
          </cell>
          <cell r="EO105" t="str">
            <v>343 IMP MICR FIL</v>
          </cell>
          <cell r="EP105">
            <v>0</v>
          </cell>
          <cell r="EQ105">
            <v>0</v>
          </cell>
          <cell r="ER105" t="e">
            <v>#DIV/0!</v>
          </cell>
          <cell r="ES105">
            <v>0</v>
          </cell>
          <cell r="ET105">
            <v>0</v>
          </cell>
          <cell r="EU105" t="e">
            <v>#DIV/0!</v>
          </cell>
          <cell r="EV105">
            <v>0</v>
          </cell>
          <cell r="EW105">
            <v>0</v>
          </cell>
          <cell r="EX105" t="e">
            <v>#DIV/0!</v>
          </cell>
          <cell r="EY105">
            <v>0</v>
          </cell>
          <cell r="EZ105">
            <v>0</v>
          </cell>
          <cell r="FA105" t="e">
            <v>#DIV/0!</v>
          </cell>
          <cell r="FC105" t="str">
            <v>343 IMP MICR FIL</v>
          </cell>
          <cell r="FD105">
            <v>0</v>
          </cell>
          <cell r="FE105">
            <v>0</v>
          </cell>
          <cell r="FF105" t="e">
            <v>#DIV/0!</v>
          </cell>
          <cell r="FG105">
            <v>0</v>
          </cell>
          <cell r="FH105">
            <v>0</v>
          </cell>
          <cell r="FI105" t="e">
            <v>#DIV/0!</v>
          </cell>
          <cell r="FJ105">
            <v>0</v>
          </cell>
          <cell r="FK105">
            <v>0</v>
          </cell>
          <cell r="FL105" t="e">
            <v>#DIV/0!</v>
          </cell>
          <cell r="FM105">
            <v>0</v>
          </cell>
          <cell r="FN105">
            <v>0</v>
          </cell>
          <cell r="FO105" t="e">
            <v>#DIV/0!</v>
          </cell>
          <cell r="FP105">
            <v>0</v>
          </cell>
          <cell r="FQ105">
            <v>0</v>
          </cell>
          <cell r="FR105" t="e">
            <v>#DIV/0!</v>
          </cell>
        </row>
        <row r="106">
          <cell r="AZ106" t="str">
            <v>349 DIVERS</v>
          </cell>
          <cell r="BA106">
            <v>0</v>
          </cell>
          <cell r="BB106">
            <v>0</v>
          </cell>
          <cell r="BC106" t="e">
            <v>#DIV/0!</v>
          </cell>
          <cell r="BD106">
            <v>0</v>
          </cell>
          <cell r="BE106">
            <v>0</v>
          </cell>
          <cell r="BF106" t="e">
            <v>#DIV/0!</v>
          </cell>
          <cell r="BG106">
            <v>0</v>
          </cell>
          <cell r="BH106">
            <v>0</v>
          </cell>
          <cell r="BI106" t="e">
            <v>#DIV/0!</v>
          </cell>
          <cell r="BJ106">
            <v>0</v>
          </cell>
          <cell r="BK106">
            <v>0</v>
          </cell>
          <cell r="BL106" t="e">
            <v>#DIV/0!</v>
          </cell>
          <cell r="BN106" t="str">
            <v>349 DIVERS</v>
          </cell>
          <cell r="BO106">
            <v>0</v>
          </cell>
          <cell r="BP106">
            <v>0</v>
          </cell>
          <cell r="BQ106" t="e">
            <v>#DIV/0!</v>
          </cell>
          <cell r="BR106">
            <v>0</v>
          </cell>
          <cell r="BS106">
            <v>0</v>
          </cell>
          <cell r="BT106" t="e">
            <v>#DIV/0!</v>
          </cell>
          <cell r="BU106">
            <v>0</v>
          </cell>
          <cell r="BV106">
            <v>0</v>
          </cell>
          <cell r="BW106" t="e">
            <v>#DIV/0!</v>
          </cell>
          <cell r="BX106">
            <v>0</v>
          </cell>
          <cell r="BY106">
            <v>0</v>
          </cell>
          <cell r="BZ106" t="e">
            <v>#DIV/0!</v>
          </cell>
          <cell r="CA106">
            <v>0</v>
          </cell>
          <cell r="CB106">
            <v>0</v>
          </cell>
          <cell r="CC106" t="e">
            <v>#DIV/0!</v>
          </cell>
          <cell r="CE106" t="str">
            <v>349 DIVERS</v>
          </cell>
          <cell r="CF106">
            <v>0</v>
          </cell>
          <cell r="CG106">
            <v>0</v>
          </cell>
          <cell r="CH106" t="e">
            <v>#DIV/0!</v>
          </cell>
          <cell r="CI106">
            <v>0</v>
          </cell>
          <cell r="CJ106">
            <v>0</v>
          </cell>
          <cell r="CK106" t="e">
            <v>#DIV/0!</v>
          </cell>
          <cell r="CL106">
            <v>0</v>
          </cell>
          <cell r="CM106">
            <v>0</v>
          </cell>
          <cell r="CN106" t="e">
            <v>#DIV/0!</v>
          </cell>
          <cell r="CO106">
            <v>0</v>
          </cell>
          <cell r="CP106">
            <v>0</v>
          </cell>
          <cell r="CQ106" t="e">
            <v>#DIV/0!</v>
          </cell>
          <cell r="CR106">
            <v>0</v>
          </cell>
          <cell r="CS106">
            <v>0</v>
          </cell>
          <cell r="CT106" t="e">
            <v>#DIV/0!</v>
          </cell>
          <cell r="CV106" t="str">
            <v>349 DIVERS</v>
          </cell>
          <cell r="CW106">
            <v>0</v>
          </cell>
          <cell r="CX106">
            <v>0</v>
          </cell>
          <cell r="CY106" t="e">
            <v>#DIV/0!</v>
          </cell>
          <cell r="CZ106">
            <v>0</v>
          </cell>
          <cell r="DA106">
            <v>0</v>
          </cell>
          <cell r="DB106" t="e">
            <v>#DIV/0!</v>
          </cell>
          <cell r="DC106">
            <v>0</v>
          </cell>
          <cell r="DD106">
            <v>0</v>
          </cell>
          <cell r="DE106" t="e">
            <v>#DIV/0!</v>
          </cell>
          <cell r="DF106">
            <v>0</v>
          </cell>
          <cell r="DG106">
            <v>0</v>
          </cell>
          <cell r="DH106" t="e">
            <v>#DIV/0!</v>
          </cell>
          <cell r="DJ106" t="str">
            <v>349 DIVERS</v>
          </cell>
          <cell r="DK106">
            <v>0</v>
          </cell>
          <cell r="DL106">
            <v>0</v>
          </cell>
          <cell r="DM106" t="e">
            <v>#DIV/0!</v>
          </cell>
          <cell r="DN106">
            <v>0</v>
          </cell>
          <cell r="DO106">
            <v>0</v>
          </cell>
          <cell r="DP106" t="e">
            <v>#DIV/0!</v>
          </cell>
          <cell r="DQ106">
            <v>0</v>
          </cell>
          <cell r="DR106">
            <v>0</v>
          </cell>
          <cell r="DS106" t="e">
            <v>#DIV/0!</v>
          </cell>
          <cell r="DT106">
            <v>0</v>
          </cell>
          <cell r="DU106">
            <v>0</v>
          </cell>
          <cell r="DV106" t="e">
            <v>#DIV/0!</v>
          </cell>
          <cell r="DX106" t="str">
            <v>349 DIVERS</v>
          </cell>
          <cell r="DY106">
            <v>0</v>
          </cell>
          <cell r="DZ106">
            <v>0</v>
          </cell>
          <cell r="EA106" t="e">
            <v>#DIV/0!</v>
          </cell>
          <cell r="EB106">
            <v>0</v>
          </cell>
          <cell r="EC106">
            <v>0</v>
          </cell>
          <cell r="ED106" t="e">
            <v>#DIV/0!</v>
          </cell>
          <cell r="EE106">
            <v>0</v>
          </cell>
          <cell r="EF106">
            <v>0</v>
          </cell>
          <cell r="EG106" t="e">
            <v>#DIV/0!</v>
          </cell>
          <cell r="EH106">
            <v>0</v>
          </cell>
          <cell r="EI106">
            <v>0</v>
          </cell>
          <cell r="EJ106" t="e">
            <v>#DIV/0!</v>
          </cell>
          <cell r="EK106">
            <v>0</v>
          </cell>
          <cell r="EL106">
            <v>0</v>
          </cell>
          <cell r="EM106" t="e">
            <v>#DIV/0!</v>
          </cell>
          <cell r="EO106" t="str">
            <v>349 DIVERS</v>
          </cell>
          <cell r="EP106">
            <v>0</v>
          </cell>
          <cell r="EQ106">
            <v>0</v>
          </cell>
          <cell r="ER106" t="e">
            <v>#DIV/0!</v>
          </cell>
          <cell r="ES106">
            <v>0</v>
          </cell>
          <cell r="ET106">
            <v>0</v>
          </cell>
          <cell r="EU106" t="e">
            <v>#DIV/0!</v>
          </cell>
          <cell r="EV106">
            <v>0</v>
          </cell>
          <cell r="EW106">
            <v>0</v>
          </cell>
          <cell r="EX106" t="e">
            <v>#DIV/0!</v>
          </cell>
          <cell r="EY106">
            <v>0</v>
          </cell>
          <cell r="EZ106">
            <v>0</v>
          </cell>
          <cell r="FA106" t="e">
            <v>#DIV/0!</v>
          </cell>
          <cell r="FC106" t="str">
            <v>349 DIVERS</v>
          </cell>
          <cell r="FD106">
            <v>0</v>
          </cell>
          <cell r="FE106">
            <v>0</v>
          </cell>
          <cell r="FF106" t="e">
            <v>#DIV/0!</v>
          </cell>
          <cell r="FG106">
            <v>0</v>
          </cell>
          <cell r="FH106">
            <v>0</v>
          </cell>
          <cell r="FI106" t="e">
            <v>#DIV/0!</v>
          </cell>
          <cell r="FJ106">
            <v>0</v>
          </cell>
          <cell r="FK106">
            <v>0</v>
          </cell>
          <cell r="FL106" t="e">
            <v>#DIV/0!</v>
          </cell>
          <cell r="FM106">
            <v>0</v>
          </cell>
          <cell r="FN106">
            <v>0</v>
          </cell>
          <cell r="FO106" t="e">
            <v>#DIV/0!</v>
          </cell>
          <cell r="FP106">
            <v>0</v>
          </cell>
          <cell r="FQ106">
            <v>0</v>
          </cell>
          <cell r="FR106" t="e">
            <v>#DIV/0!</v>
          </cell>
        </row>
        <row r="107">
          <cell r="AZ107" t="str">
            <v>353 PR. AT.CHAU</v>
          </cell>
          <cell r="BA107">
            <v>0</v>
          </cell>
          <cell r="BB107">
            <v>0</v>
          </cell>
          <cell r="BC107" t="e">
            <v>#DIV/0!</v>
          </cell>
          <cell r="BD107">
            <v>0</v>
          </cell>
          <cell r="BE107">
            <v>0</v>
          </cell>
          <cell r="BF107" t="e">
            <v>#DIV/0!</v>
          </cell>
          <cell r="BG107">
            <v>0</v>
          </cell>
          <cell r="BH107">
            <v>0</v>
          </cell>
          <cell r="BI107" t="e">
            <v>#DIV/0!</v>
          </cell>
          <cell r="BJ107">
            <v>0</v>
          </cell>
          <cell r="BK107">
            <v>0</v>
          </cell>
          <cell r="BL107" t="e">
            <v>#DIV/0!</v>
          </cell>
          <cell r="BN107" t="str">
            <v>353 PR. AT.CHAU</v>
          </cell>
          <cell r="BO107">
            <v>0</v>
          </cell>
          <cell r="BP107">
            <v>0</v>
          </cell>
          <cell r="BQ107" t="e">
            <v>#DIV/0!</v>
          </cell>
          <cell r="BR107">
            <v>0</v>
          </cell>
          <cell r="BS107">
            <v>0</v>
          </cell>
          <cell r="BT107" t="e">
            <v>#DIV/0!</v>
          </cell>
          <cell r="BU107">
            <v>0</v>
          </cell>
          <cell r="BV107">
            <v>0</v>
          </cell>
          <cell r="BW107" t="e">
            <v>#DIV/0!</v>
          </cell>
          <cell r="BX107">
            <v>0</v>
          </cell>
          <cell r="BY107">
            <v>0</v>
          </cell>
          <cell r="BZ107" t="e">
            <v>#DIV/0!</v>
          </cell>
          <cell r="CA107">
            <v>0</v>
          </cell>
          <cell r="CB107">
            <v>0</v>
          </cell>
          <cell r="CC107" t="e">
            <v>#DIV/0!</v>
          </cell>
          <cell r="CE107" t="str">
            <v>353 PR. AT.CHAU</v>
          </cell>
          <cell r="CF107">
            <v>0</v>
          </cell>
          <cell r="CG107">
            <v>0</v>
          </cell>
          <cell r="CH107" t="e">
            <v>#DIV/0!</v>
          </cell>
          <cell r="CI107">
            <v>0</v>
          </cell>
          <cell r="CJ107">
            <v>0</v>
          </cell>
          <cell r="CK107" t="e">
            <v>#DIV/0!</v>
          </cell>
          <cell r="CL107">
            <v>0</v>
          </cell>
          <cell r="CM107">
            <v>0</v>
          </cell>
          <cell r="CN107" t="e">
            <v>#DIV/0!</v>
          </cell>
          <cell r="CO107">
            <v>0</v>
          </cell>
          <cell r="CP107">
            <v>0</v>
          </cell>
          <cell r="CQ107" t="e">
            <v>#DIV/0!</v>
          </cell>
          <cell r="CR107">
            <v>0</v>
          </cell>
          <cell r="CS107">
            <v>0</v>
          </cell>
          <cell r="CT107" t="e">
            <v>#DIV/0!</v>
          </cell>
          <cell r="CV107" t="str">
            <v>353 PR. AT.CHAU</v>
          </cell>
          <cell r="CW107">
            <v>0</v>
          </cell>
          <cell r="CX107">
            <v>0</v>
          </cell>
          <cell r="CY107" t="e">
            <v>#DIV/0!</v>
          </cell>
          <cell r="CZ107">
            <v>0</v>
          </cell>
          <cell r="DA107">
            <v>0</v>
          </cell>
          <cell r="DB107" t="e">
            <v>#DIV/0!</v>
          </cell>
          <cell r="DC107">
            <v>0</v>
          </cell>
          <cell r="DD107">
            <v>0</v>
          </cell>
          <cell r="DE107" t="e">
            <v>#DIV/0!</v>
          </cell>
          <cell r="DF107">
            <v>0</v>
          </cell>
          <cell r="DG107">
            <v>0</v>
          </cell>
          <cell r="DH107" t="e">
            <v>#DIV/0!</v>
          </cell>
          <cell r="DJ107" t="str">
            <v>353 PR. AT.CHAU</v>
          </cell>
          <cell r="DK107">
            <v>0</v>
          </cell>
          <cell r="DL107">
            <v>0</v>
          </cell>
          <cell r="DM107" t="e">
            <v>#DIV/0!</v>
          </cell>
          <cell r="DN107">
            <v>0</v>
          </cell>
          <cell r="DO107">
            <v>0</v>
          </cell>
          <cell r="DP107" t="e">
            <v>#DIV/0!</v>
          </cell>
          <cell r="DQ107">
            <v>0</v>
          </cell>
          <cell r="DR107">
            <v>0</v>
          </cell>
          <cell r="DS107" t="e">
            <v>#DIV/0!</v>
          </cell>
          <cell r="DT107">
            <v>0</v>
          </cell>
          <cell r="DU107">
            <v>0</v>
          </cell>
          <cell r="DV107" t="e">
            <v>#DIV/0!</v>
          </cell>
          <cell r="DX107" t="str">
            <v>353 PR. AT.CHAU</v>
          </cell>
          <cell r="DY107">
            <v>0</v>
          </cell>
          <cell r="DZ107">
            <v>0</v>
          </cell>
          <cell r="EA107" t="e">
            <v>#DIV/0!</v>
          </cell>
          <cell r="EB107">
            <v>0</v>
          </cell>
          <cell r="EC107">
            <v>0</v>
          </cell>
          <cell r="ED107" t="e">
            <v>#DIV/0!</v>
          </cell>
          <cell r="EE107">
            <v>0</v>
          </cell>
          <cell r="EF107">
            <v>0</v>
          </cell>
          <cell r="EG107" t="e">
            <v>#DIV/0!</v>
          </cell>
          <cell r="EH107">
            <v>0</v>
          </cell>
          <cell r="EI107">
            <v>0</v>
          </cell>
          <cell r="EJ107" t="e">
            <v>#DIV/0!</v>
          </cell>
          <cell r="EK107">
            <v>0</v>
          </cell>
          <cell r="EL107">
            <v>0</v>
          </cell>
          <cell r="EM107" t="e">
            <v>#DIV/0!</v>
          </cell>
          <cell r="EO107" t="str">
            <v>353 PR. AT.CHAU</v>
          </cell>
          <cell r="EP107">
            <v>0</v>
          </cell>
          <cell r="EQ107">
            <v>0</v>
          </cell>
          <cell r="ER107" t="e">
            <v>#DIV/0!</v>
          </cell>
          <cell r="ES107">
            <v>0</v>
          </cell>
          <cell r="ET107">
            <v>0</v>
          </cell>
          <cell r="EU107" t="e">
            <v>#DIV/0!</v>
          </cell>
          <cell r="EV107">
            <v>0</v>
          </cell>
          <cell r="EW107">
            <v>0</v>
          </cell>
          <cell r="EX107" t="e">
            <v>#DIV/0!</v>
          </cell>
          <cell r="EY107">
            <v>0</v>
          </cell>
          <cell r="EZ107">
            <v>0</v>
          </cell>
          <cell r="FA107" t="e">
            <v>#DIV/0!</v>
          </cell>
          <cell r="FC107" t="str">
            <v>353 PR. AT.CHAU</v>
          </cell>
          <cell r="FD107">
            <v>0</v>
          </cell>
          <cell r="FE107">
            <v>0</v>
          </cell>
          <cell r="FF107" t="e">
            <v>#DIV/0!</v>
          </cell>
          <cell r="FG107">
            <v>0</v>
          </cell>
          <cell r="FH107">
            <v>0</v>
          </cell>
          <cell r="FI107" t="e">
            <v>#DIV/0!</v>
          </cell>
          <cell r="FJ107">
            <v>0</v>
          </cell>
          <cell r="FK107">
            <v>0</v>
          </cell>
          <cell r="FL107" t="e">
            <v>#DIV/0!</v>
          </cell>
          <cell r="FM107">
            <v>0</v>
          </cell>
          <cell r="FN107">
            <v>0</v>
          </cell>
          <cell r="FO107" t="e">
            <v>#DIV/0!</v>
          </cell>
          <cell r="FP107">
            <v>0</v>
          </cell>
          <cell r="FQ107">
            <v>0</v>
          </cell>
          <cell r="FR107" t="e">
            <v>#DIV/0!</v>
          </cell>
        </row>
        <row r="108">
          <cell r="AZ108" t="str">
            <v>355 A. S/ENS.</v>
          </cell>
          <cell r="BA108">
            <v>0</v>
          </cell>
          <cell r="BB108">
            <v>0</v>
          </cell>
          <cell r="BC108" t="e">
            <v>#DIV/0!</v>
          </cell>
          <cell r="BD108">
            <v>0</v>
          </cell>
          <cell r="BE108">
            <v>0</v>
          </cell>
          <cell r="BF108" t="e">
            <v>#DIV/0!</v>
          </cell>
          <cell r="BG108">
            <v>0</v>
          </cell>
          <cell r="BH108">
            <v>0</v>
          </cell>
          <cell r="BI108" t="e">
            <v>#DIV/0!</v>
          </cell>
          <cell r="BJ108">
            <v>0</v>
          </cell>
          <cell r="BK108">
            <v>0</v>
          </cell>
          <cell r="BL108" t="e">
            <v>#DIV/0!</v>
          </cell>
          <cell r="BN108" t="str">
            <v>355 A. S/ENS.</v>
          </cell>
          <cell r="BO108">
            <v>0</v>
          </cell>
          <cell r="BP108">
            <v>0</v>
          </cell>
          <cell r="BQ108" t="e">
            <v>#DIV/0!</v>
          </cell>
          <cell r="BR108">
            <v>0</v>
          </cell>
          <cell r="BS108">
            <v>0</v>
          </cell>
          <cell r="BT108" t="e">
            <v>#DIV/0!</v>
          </cell>
          <cell r="BU108">
            <v>0</v>
          </cell>
          <cell r="BV108">
            <v>0</v>
          </cell>
          <cell r="BW108" t="e">
            <v>#DIV/0!</v>
          </cell>
          <cell r="BX108">
            <v>0</v>
          </cell>
          <cell r="BY108">
            <v>0</v>
          </cell>
          <cell r="BZ108" t="e">
            <v>#DIV/0!</v>
          </cell>
          <cell r="CA108">
            <v>0</v>
          </cell>
          <cell r="CB108">
            <v>0</v>
          </cell>
          <cell r="CC108" t="e">
            <v>#DIV/0!</v>
          </cell>
          <cell r="CE108" t="str">
            <v>355 A. S/ENS.</v>
          </cell>
          <cell r="CF108">
            <v>0</v>
          </cell>
          <cell r="CG108">
            <v>0</v>
          </cell>
          <cell r="CH108" t="e">
            <v>#DIV/0!</v>
          </cell>
          <cell r="CI108">
            <v>0</v>
          </cell>
          <cell r="CJ108">
            <v>0</v>
          </cell>
          <cell r="CK108" t="e">
            <v>#DIV/0!</v>
          </cell>
          <cell r="CL108">
            <v>0</v>
          </cell>
          <cell r="CM108">
            <v>0</v>
          </cell>
          <cell r="CN108" t="e">
            <v>#DIV/0!</v>
          </cell>
          <cell r="CO108">
            <v>0</v>
          </cell>
          <cell r="CP108">
            <v>0</v>
          </cell>
          <cell r="CQ108" t="e">
            <v>#DIV/0!</v>
          </cell>
          <cell r="CR108">
            <v>0</v>
          </cell>
          <cell r="CS108">
            <v>0</v>
          </cell>
          <cell r="CT108" t="e">
            <v>#DIV/0!</v>
          </cell>
          <cell r="CV108" t="str">
            <v>355 A. S/ENS.</v>
          </cell>
          <cell r="CW108">
            <v>0</v>
          </cell>
          <cell r="CX108">
            <v>0</v>
          </cell>
          <cell r="CY108" t="e">
            <v>#DIV/0!</v>
          </cell>
          <cell r="CZ108">
            <v>0</v>
          </cell>
          <cell r="DA108">
            <v>0</v>
          </cell>
          <cell r="DB108" t="e">
            <v>#DIV/0!</v>
          </cell>
          <cell r="DC108">
            <v>0</v>
          </cell>
          <cell r="DD108">
            <v>0</v>
          </cell>
          <cell r="DE108" t="e">
            <v>#DIV/0!</v>
          </cell>
          <cell r="DF108">
            <v>0</v>
          </cell>
          <cell r="DG108">
            <v>0</v>
          </cell>
          <cell r="DH108" t="e">
            <v>#DIV/0!</v>
          </cell>
          <cell r="DJ108" t="str">
            <v>355 A. S/ENS.</v>
          </cell>
          <cell r="DK108">
            <v>0</v>
          </cell>
          <cell r="DL108">
            <v>0</v>
          </cell>
          <cell r="DM108" t="e">
            <v>#DIV/0!</v>
          </cell>
          <cell r="DN108">
            <v>0</v>
          </cell>
          <cell r="DO108">
            <v>0</v>
          </cell>
          <cell r="DP108" t="e">
            <v>#DIV/0!</v>
          </cell>
          <cell r="DQ108">
            <v>0</v>
          </cell>
          <cell r="DR108">
            <v>0</v>
          </cell>
          <cell r="DS108" t="e">
            <v>#DIV/0!</v>
          </cell>
          <cell r="DT108">
            <v>0</v>
          </cell>
          <cell r="DU108">
            <v>0</v>
          </cell>
          <cell r="DV108" t="e">
            <v>#DIV/0!</v>
          </cell>
          <cell r="DX108" t="str">
            <v>355 A. S/ENS.</v>
          </cell>
          <cell r="DY108">
            <v>0</v>
          </cell>
          <cell r="DZ108">
            <v>0</v>
          </cell>
          <cell r="EA108" t="e">
            <v>#DIV/0!</v>
          </cell>
          <cell r="EB108">
            <v>0</v>
          </cell>
          <cell r="EC108">
            <v>0</v>
          </cell>
          <cell r="ED108" t="e">
            <v>#DIV/0!</v>
          </cell>
          <cell r="EE108">
            <v>0</v>
          </cell>
          <cell r="EF108">
            <v>0</v>
          </cell>
          <cell r="EG108" t="e">
            <v>#DIV/0!</v>
          </cell>
          <cell r="EH108">
            <v>0</v>
          </cell>
          <cell r="EI108">
            <v>0</v>
          </cell>
          <cell r="EJ108" t="e">
            <v>#DIV/0!</v>
          </cell>
          <cell r="EK108">
            <v>0</v>
          </cell>
          <cell r="EL108">
            <v>0</v>
          </cell>
          <cell r="EM108" t="e">
            <v>#DIV/0!</v>
          </cell>
          <cell r="EO108" t="str">
            <v>355 A. S/ENS.</v>
          </cell>
          <cell r="EP108">
            <v>0</v>
          </cell>
          <cell r="EQ108">
            <v>0</v>
          </cell>
          <cell r="ER108" t="e">
            <v>#DIV/0!</v>
          </cell>
          <cell r="ES108">
            <v>0</v>
          </cell>
          <cell r="ET108">
            <v>0</v>
          </cell>
          <cell r="EU108" t="e">
            <v>#DIV/0!</v>
          </cell>
          <cell r="EV108">
            <v>0</v>
          </cell>
          <cell r="EW108">
            <v>0</v>
          </cell>
          <cell r="EX108" t="e">
            <v>#DIV/0!</v>
          </cell>
          <cell r="EY108">
            <v>0</v>
          </cell>
          <cell r="EZ108">
            <v>0</v>
          </cell>
          <cell r="FA108" t="e">
            <v>#DIV/0!</v>
          </cell>
          <cell r="FC108" t="str">
            <v>355 A. S/ENS.</v>
          </cell>
          <cell r="FD108">
            <v>0</v>
          </cell>
          <cell r="FE108">
            <v>0</v>
          </cell>
          <cell r="FF108" t="e">
            <v>#DIV/0!</v>
          </cell>
          <cell r="FG108">
            <v>0</v>
          </cell>
          <cell r="FH108">
            <v>0</v>
          </cell>
          <cell r="FI108" t="e">
            <v>#DIV/0!</v>
          </cell>
          <cell r="FJ108">
            <v>0</v>
          </cell>
          <cell r="FK108">
            <v>0</v>
          </cell>
          <cell r="FL108" t="e">
            <v>#DIV/0!</v>
          </cell>
          <cell r="FM108">
            <v>0</v>
          </cell>
          <cell r="FN108">
            <v>0</v>
          </cell>
          <cell r="FO108" t="e">
            <v>#DIV/0!</v>
          </cell>
          <cell r="FP108">
            <v>0</v>
          </cell>
          <cell r="FQ108">
            <v>0</v>
          </cell>
          <cell r="FR108" t="e">
            <v>#DIV/0!</v>
          </cell>
        </row>
        <row r="109">
          <cell r="AZ109" t="str">
            <v>357 PR.M.OUTIL</v>
          </cell>
          <cell r="BA109">
            <v>0</v>
          </cell>
          <cell r="BB109">
            <v>0</v>
          </cell>
          <cell r="BC109" t="e">
            <v>#DIV/0!</v>
          </cell>
          <cell r="BD109">
            <v>0</v>
          </cell>
          <cell r="BE109">
            <v>0</v>
          </cell>
          <cell r="BF109" t="e">
            <v>#DIV/0!</v>
          </cell>
          <cell r="BG109">
            <v>0</v>
          </cell>
          <cell r="BH109">
            <v>0</v>
          </cell>
          <cell r="BI109" t="e">
            <v>#DIV/0!</v>
          </cell>
          <cell r="BJ109">
            <v>0</v>
          </cell>
          <cell r="BK109">
            <v>0</v>
          </cell>
          <cell r="BL109" t="e">
            <v>#DIV/0!</v>
          </cell>
          <cell r="BN109" t="str">
            <v>357 PR.M.OUTIL</v>
          </cell>
          <cell r="BO109">
            <v>0</v>
          </cell>
          <cell r="BP109">
            <v>0</v>
          </cell>
          <cell r="BQ109" t="e">
            <v>#DIV/0!</v>
          </cell>
          <cell r="BR109">
            <v>0</v>
          </cell>
          <cell r="BS109">
            <v>0</v>
          </cell>
          <cell r="BT109" t="e">
            <v>#DIV/0!</v>
          </cell>
          <cell r="BU109">
            <v>0</v>
          </cell>
          <cell r="BV109">
            <v>0</v>
          </cell>
          <cell r="BW109" t="e">
            <v>#DIV/0!</v>
          </cell>
          <cell r="BX109">
            <v>0</v>
          </cell>
          <cell r="BY109">
            <v>0</v>
          </cell>
          <cell r="BZ109" t="e">
            <v>#DIV/0!</v>
          </cell>
          <cell r="CA109">
            <v>0</v>
          </cell>
          <cell r="CB109">
            <v>0</v>
          </cell>
          <cell r="CC109" t="e">
            <v>#DIV/0!</v>
          </cell>
          <cell r="CE109" t="str">
            <v>357 PR.M.OUTIL</v>
          </cell>
          <cell r="CF109">
            <v>0</v>
          </cell>
          <cell r="CG109">
            <v>0</v>
          </cell>
          <cell r="CH109" t="e">
            <v>#DIV/0!</v>
          </cell>
          <cell r="CI109">
            <v>0</v>
          </cell>
          <cell r="CJ109">
            <v>0</v>
          </cell>
          <cell r="CK109" t="e">
            <v>#DIV/0!</v>
          </cell>
          <cell r="CL109">
            <v>0</v>
          </cell>
          <cell r="CM109">
            <v>0</v>
          </cell>
          <cell r="CN109" t="e">
            <v>#DIV/0!</v>
          </cell>
          <cell r="CO109">
            <v>0</v>
          </cell>
          <cell r="CP109">
            <v>0</v>
          </cell>
          <cell r="CQ109" t="e">
            <v>#DIV/0!</v>
          </cell>
          <cell r="CR109">
            <v>0</v>
          </cell>
          <cell r="CS109">
            <v>0</v>
          </cell>
          <cell r="CT109" t="e">
            <v>#DIV/0!</v>
          </cell>
          <cell r="CV109" t="str">
            <v>357 PR.M.OUTIL</v>
          </cell>
          <cell r="CW109">
            <v>0</v>
          </cell>
          <cell r="CX109">
            <v>0</v>
          </cell>
          <cell r="CY109" t="e">
            <v>#DIV/0!</v>
          </cell>
          <cell r="CZ109">
            <v>0</v>
          </cell>
          <cell r="DA109">
            <v>0</v>
          </cell>
          <cell r="DB109" t="e">
            <v>#DIV/0!</v>
          </cell>
          <cell r="DC109">
            <v>0</v>
          </cell>
          <cell r="DD109">
            <v>0</v>
          </cell>
          <cell r="DE109" t="e">
            <v>#DIV/0!</v>
          </cell>
          <cell r="DF109">
            <v>0</v>
          </cell>
          <cell r="DG109">
            <v>0</v>
          </cell>
          <cell r="DH109" t="e">
            <v>#DIV/0!</v>
          </cell>
          <cell r="DJ109" t="str">
            <v>357 PR.M.OUTIL</v>
          </cell>
          <cell r="DK109">
            <v>0</v>
          </cell>
          <cell r="DL109">
            <v>0</v>
          </cell>
          <cell r="DM109" t="e">
            <v>#DIV/0!</v>
          </cell>
          <cell r="DN109">
            <v>0</v>
          </cell>
          <cell r="DO109">
            <v>0</v>
          </cell>
          <cell r="DP109" t="e">
            <v>#DIV/0!</v>
          </cell>
          <cell r="DQ109">
            <v>0</v>
          </cell>
          <cell r="DR109">
            <v>0</v>
          </cell>
          <cell r="DS109" t="e">
            <v>#DIV/0!</v>
          </cell>
          <cell r="DT109">
            <v>0</v>
          </cell>
          <cell r="DU109">
            <v>0</v>
          </cell>
          <cell r="DV109" t="e">
            <v>#DIV/0!</v>
          </cell>
          <cell r="DX109" t="str">
            <v>357 PR.M.OUTIL</v>
          </cell>
          <cell r="DY109">
            <v>0</v>
          </cell>
          <cell r="DZ109">
            <v>0</v>
          </cell>
          <cell r="EA109" t="e">
            <v>#DIV/0!</v>
          </cell>
          <cell r="EB109">
            <v>0</v>
          </cell>
          <cell r="EC109">
            <v>0</v>
          </cell>
          <cell r="ED109" t="e">
            <v>#DIV/0!</v>
          </cell>
          <cell r="EE109">
            <v>0</v>
          </cell>
          <cell r="EF109">
            <v>0</v>
          </cell>
          <cell r="EG109" t="e">
            <v>#DIV/0!</v>
          </cell>
          <cell r="EH109">
            <v>0</v>
          </cell>
          <cell r="EI109">
            <v>0</v>
          </cell>
          <cell r="EJ109" t="e">
            <v>#DIV/0!</v>
          </cell>
          <cell r="EK109">
            <v>0</v>
          </cell>
          <cell r="EL109">
            <v>0</v>
          </cell>
          <cell r="EM109" t="e">
            <v>#DIV/0!</v>
          </cell>
          <cell r="EO109" t="str">
            <v>357 PR.M.OUTIL</v>
          </cell>
          <cell r="EP109">
            <v>0</v>
          </cell>
          <cell r="EQ109">
            <v>0</v>
          </cell>
          <cell r="ER109" t="e">
            <v>#DIV/0!</v>
          </cell>
          <cell r="ES109">
            <v>0</v>
          </cell>
          <cell r="ET109">
            <v>0</v>
          </cell>
          <cell r="EU109" t="e">
            <v>#DIV/0!</v>
          </cell>
          <cell r="EV109">
            <v>0</v>
          </cell>
          <cell r="EW109">
            <v>0</v>
          </cell>
          <cell r="EX109" t="e">
            <v>#DIV/0!</v>
          </cell>
          <cell r="EY109">
            <v>0</v>
          </cell>
          <cell r="EZ109">
            <v>0</v>
          </cell>
          <cell r="FA109" t="e">
            <v>#DIV/0!</v>
          </cell>
          <cell r="FC109" t="str">
            <v>357 PR.M.OUTIL</v>
          </cell>
          <cell r="FD109">
            <v>0</v>
          </cell>
          <cell r="FE109">
            <v>0</v>
          </cell>
          <cell r="FF109" t="e">
            <v>#DIV/0!</v>
          </cell>
          <cell r="FG109">
            <v>0</v>
          </cell>
          <cell r="FH109">
            <v>0</v>
          </cell>
          <cell r="FI109" t="e">
            <v>#DIV/0!</v>
          </cell>
          <cell r="FJ109">
            <v>0</v>
          </cell>
          <cell r="FK109">
            <v>0</v>
          </cell>
          <cell r="FL109" t="e">
            <v>#DIV/0!</v>
          </cell>
          <cell r="FM109">
            <v>0</v>
          </cell>
          <cell r="FN109">
            <v>0</v>
          </cell>
          <cell r="FO109" t="e">
            <v>#DIV/0!</v>
          </cell>
          <cell r="FP109">
            <v>0</v>
          </cell>
          <cell r="FQ109">
            <v>0</v>
          </cell>
          <cell r="FR109" t="e">
            <v>#DIV/0!</v>
          </cell>
        </row>
        <row r="110">
          <cell r="AZ110" t="str">
            <v>362 PREST.COND.</v>
          </cell>
          <cell r="BA110">
            <v>0</v>
          </cell>
          <cell r="BB110">
            <v>0</v>
          </cell>
          <cell r="BC110" t="e">
            <v>#DIV/0!</v>
          </cell>
          <cell r="BD110">
            <v>0</v>
          </cell>
          <cell r="BE110">
            <v>0</v>
          </cell>
          <cell r="BF110" t="e">
            <v>#DIV/0!</v>
          </cell>
          <cell r="BG110">
            <v>0</v>
          </cell>
          <cell r="BH110">
            <v>0</v>
          </cell>
          <cell r="BI110" t="e">
            <v>#DIV/0!</v>
          </cell>
          <cell r="BJ110">
            <v>0</v>
          </cell>
          <cell r="BK110">
            <v>0</v>
          </cell>
          <cell r="BL110" t="e">
            <v>#DIV/0!</v>
          </cell>
          <cell r="BN110" t="str">
            <v>362 PREST.COND.</v>
          </cell>
          <cell r="BO110">
            <v>0</v>
          </cell>
          <cell r="BP110">
            <v>0</v>
          </cell>
          <cell r="BQ110" t="e">
            <v>#DIV/0!</v>
          </cell>
          <cell r="BR110">
            <v>0</v>
          </cell>
          <cell r="BS110">
            <v>0</v>
          </cell>
          <cell r="BT110" t="e">
            <v>#DIV/0!</v>
          </cell>
          <cell r="BU110">
            <v>0</v>
          </cell>
          <cell r="BV110">
            <v>0</v>
          </cell>
          <cell r="BW110" t="e">
            <v>#DIV/0!</v>
          </cell>
          <cell r="BX110">
            <v>0</v>
          </cell>
          <cell r="BY110">
            <v>0</v>
          </cell>
          <cell r="BZ110" t="e">
            <v>#DIV/0!</v>
          </cell>
          <cell r="CA110">
            <v>0</v>
          </cell>
          <cell r="CB110">
            <v>0</v>
          </cell>
          <cell r="CC110" t="e">
            <v>#DIV/0!</v>
          </cell>
          <cell r="CE110" t="str">
            <v>362 PREST.COND.</v>
          </cell>
          <cell r="CF110">
            <v>0</v>
          </cell>
          <cell r="CG110">
            <v>0</v>
          </cell>
          <cell r="CH110" t="e">
            <v>#DIV/0!</v>
          </cell>
          <cell r="CI110">
            <v>0</v>
          </cell>
          <cell r="CJ110">
            <v>0</v>
          </cell>
          <cell r="CK110" t="e">
            <v>#DIV/0!</v>
          </cell>
          <cell r="CL110">
            <v>0</v>
          </cell>
          <cell r="CM110">
            <v>0</v>
          </cell>
          <cell r="CN110" t="e">
            <v>#DIV/0!</v>
          </cell>
          <cell r="CO110">
            <v>0</v>
          </cell>
          <cell r="CP110">
            <v>0</v>
          </cell>
          <cell r="CQ110" t="e">
            <v>#DIV/0!</v>
          </cell>
          <cell r="CR110">
            <v>0</v>
          </cell>
          <cell r="CS110">
            <v>0</v>
          </cell>
          <cell r="CT110" t="e">
            <v>#DIV/0!</v>
          </cell>
          <cell r="CV110" t="str">
            <v>362 PREST.COND.</v>
          </cell>
          <cell r="CW110">
            <v>0</v>
          </cell>
          <cell r="CX110">
            <v>0</v>
          </cell>
          <cell r="CY110" t="e">
            <v>#DIV/0!</v>
          </cell>
          <cell r="CZ110">
            <v>0</v>
          </cell>
          <cell r="DA110">
            <v>0</v>
          </cell>
          <cell r="DB110" t="e">
            <v>#DIV/0!</v>
          </cell>
          <cell r="DC110">
            <v>0</v>
          </cell>
          <cell r="DD110">
            <v>0</v>
          </cell>
          <cell r="DE110" t="e">
            <v>#DIV/0!</v>
          </cell>
          <cell r="DF110">
            <v>0</v>
          </cell>
          <cell r="DG110">
            <v>0</v>
          </cell>
          <cell r="DH110" t="e">
            <v>#DIV/0!</v>
          </cell>
          <cell r="DJ110" t="str">
            <v>362 PREST.COND.</v>
          </cell>
          <cell r="DK110">
            <v>0</v>
          </cell>
          <cell r="DL110">
            <v>0</v>
          </cell>
          <cell r="DM110" t="e">
            <v>#DIV/0!</v>
          </cell>
          <cell r="DN110">
            <v>0</v>
          </cell>
          <cell r="DO110">
            <v>0</v>
          </cell>
          <cell r="DP110" t="e">
            <v>#DIV/0!</v>
          </cell>
          <cell r="DQ110">
            <v>0</v>
          </cell>
          <cell r="DR110">
            <v>0</v>
          </cell>
          <cell r="DS110" t="e">
            <v>#DIV/0!</v>
          </cell>
          <cell r="DT110">
            <v>0</v>
          </cell>
          <cell r="DU110">
            <v>0</v>
          </cell>
          <cell r="DV110" t="e">
            <v>#DIV/0!</v>
          </cell>
          <cell r="DX110" t="str">
            <v>362 PREST.COND.</v>
          </cell>
          <cell r="DY110">
            <v>0</v>
          </cell>
          <cell r="DZ110">
            <v>0</v>
          </cell>
          <cell r="EA110" t="e">
            <v>#DIV/0!</v>
          </cell>
          <cell r="EB110">
            <v>0</v>
          </cell>
          <cell r="EC110">
            <v>0</v>
          </cell>
          <cell r="ED110" t="e">
            <v>#DIV/0!</v>
          </cell>
          <cell r="EE110">
            <v>0</v>
          </cell>
          <cell r="EF110">
            <v>0</v>
          </cell>
          <cell r="EG110" t="e">
            <v>#DIV/0!</v>
          </cell>
          <cell r="EH110">
            <v>0</v>
          </cell>
          <cell r="EI110">
            <v>0</v>
          </cell>
          <cell r="EJ110" t="e">
            <v>#DIV/0!</v>
          </cell>
          <cell r="EK110">
            <v>0</v>
          </cell>
          <cell r="EL110">
            <v>0</v>
          </cell>
          <cell r="EM110" t="e">
            <v>#DIV/0!</v>
          </cell>
          <cell r="EO110" t="str">
            <v>362 PREST.COND.</v>
          </cell>
          <cell r="EP110">
            <v>0</v>
          </cell>
          <cell r="EQ110">
            <v>0</v>
          </cell>
          <cell r="ER110" t="e">
            <v>#DIV/0!</v>
          </cell>
          <cell r="ES110">
            <v>0</v>
          </cell>
          <cell r="ET110">
            <v>0</v>
          </cell>
          <cell r="EU110" t="e">
            <v>#DIV/0!</v>
          </cell>
          <cell r="EV110">
            <v>0</v>
          </cell>
          <cell r="EW110">
            <v>0</v>
          </cell>
          <cell r="EX110" t="e">
            <v>#DIV/0!</v>
          </cell>
          <cell r="EY110">
            <v>0</v>
          </cell>
          <cell r="EZ110">
            <v>0</v>
          </cell>
          <cell r="FA110" t="e">
            <v>#DIV/0!</v>
          </cell>
          <cell r="FC110" t="str">
            <v>362 PREST.COND.</v>
          </cell>
          <cell r="FD110">
            <v>0</v>
          </cell>
          <cell r="FE110">
            <v>0</v>
          </cell>
          <cell r="FF110" t="e">
            <v>#DIV/0!</v>
          </cell>
          <cell r="FG110">
            <v>0</v>
          </cell>
          <cell r="FH110">
            <v>0</v>
          </cell>
          <cell r="FI110" t="e">
            <v>#DIV/0!</v>
          </cell>
          <cell r="FJ110">
            <v>0</v>
          </cell>
          <cell r="FK110">
            <v>0</v>
          </cell>
          <cell r="FL110" t="e">
            <v>#DIV/0!</v>
          </cell>
          <cell r="FM110">
            <v>0</v>
          </cell>
          <cell r="FN110">
            <v>0</v>
          </cell>
          <cell r="FO110" t="e">
            <v>#DIV/0!</v>
          </cell>
          <cell r="FP110">
            <v>0</v>
          </cell>
          <cell r="FQ110">
            <v>0</v>
          </cell>
          <cell r="FR110" t="e">
            <v>#DIV/0!</v>
          </cell>
        </row>
        <row r="111">
          <cell r="AZ111" t="str">
            <v>3* PREST. EXT.</v>
          </cell>
          <cell r="BA111">
            <v>0</v>
          </cell>
          <cell r="BB111">
            <v>0</v>
          </cell>
          <cell r="BC111" t="e">
            <v>#DIV/0!</v>
          </cell>
          <cell r="BD111">
            <v>0</v>
          </cell>
          <cell r="BE111">
            <v>0</v>
          </cell>
          <cell r="BF111" t="e">
            <v>#DIV/0!</v>
          </cell>
          <cell r="BG111">
            <v>0</v>
          </cell>
          <cell r="BH111">
            <v>0</v>
          </cell>
          <cell r="BI111" t="e">
            <v>#DIV/0!</v>
          </cell>
          <cell r="BJ111">
            <v>0</v>
          </cell>
          <cell r="BK111">
            <v>0</v>
          </cell>
          <cell r="BL111" t="e">
            <v>#DIV/0!</v>
          </cell>
          <cell r="BN111" t="str">
            <v>3* PREST. EXT.</v>
          </cell>
          <cell r="BO111">
            <v>0</v>
          </cell>
          <cell r="BP111">
            <v>0</v>
          </cell>
          <cell r="BQ111" t="e">
            <v>#DIV/0!</v>
          </cell>
          <cell r="BR111">
            <v>0</v>
          </cell>
          <cell r="BS111">
            <v>0</v>
          </cell>
          <cell r="BT111" t="e">
            <v>#DIV/0!</v>
          </cell>
          <cell r="BU111">
            <v>0</v>
          </cell>
          <cell r="BV111">
            <v>0</v>
          </cell>
          <cell r="BW111" t="e">
            <v>#DIV/0!</v>
          </cell>
          <cell r="BX111">
            <v>0</v>
          </cell>
          <cell r="BY111">
            <v>0</v>
          </cell>
          <cell r="BZ111" t="e">
            <v>#DIV/0!</v>
          </cell>
          <cell r="CA111">
            <v>0</v>
          </cell>
          <cell r="CB111">
            <v>0</v>
          </cell>
          <cell r="CC111" t="e">
            <v>#DIV/0!</v>
          </cell>
          <cell r="CE111" t="str">
            <v>3* PREST. EXT.</v>
          </cell>
          <cell r="CF111">
            <v>0</v>
          </cell>
          <cell r="CG111">
            <v>0</v>
          </cell>
          <cell r="CH111" t="e">
            <v>#DIV/0!</v>
          </cell>
          <cell r="CI111">
            <v>0</v>
          </cell>
          <cell r="CJ111">
            <v>0</v>
          </cell>
          <cell r="CK111" t="e">
            <v>#DIV/0!</v>
          </cell>
          <cell r="CL111">
            <v>0</v>
          </cell>
          <cell r="CM111">
            <v>0</v>
          </cell>
          <cell r="CN111" t="e">
            <v>#DIV/0!</v>
          </cell>
          <cell r="CO111">
            <v>0</v>
          </cell>
          <cell r="CP111">
            <v>0</v>
          </cell>
          <cell r="CQ111" t="e">
            <v>#DIV/0!</v>
          </cell>
          <cell r="CR111">
            <v>0</v>
          </cell>
          <cell r="CS111">
            <v>0</v>
          </cell>
          <cell r="CT111" t="e">
            <v>#DIV/0!</v>
          </cell>
          <cell r="CV111" t="str">
            <v>3* PREST. EXT.</v>
          </cell>
          <cell r="CW111">
            <v>0</v>
          </cell>
          <cell r="CX111">
            <v>0</v>
          </cell>
          <cell r="CY111" t="e">
            <v>#DIV/0!</v>
          </cell>
          <cell r="CZ111">
            <v>0</v>
          </cell>
          <cell r="DA111">
            <v>0</v>
          </cell>
          <cell r="DB111" t="e">
            <v>#DIV/0!</v>
          </cell>
          <cell r="DC111">
            <v>0</v>
          </cell>
          <cell r="DD111">
            <v>0</v>
          </cell>
          <cell r="DE111" t="e">
            <v>#DIV/0!</v>
          </cell>
          <cell r="DF111">
            <v>0</v>
          </cell>
          <cell r="DG111">
            <v>0</v>
          </cell>
          <cell r="DH111" t="e">
            <v>#DIV/0!</v>
          </cell>
          <cell r="DJ111" t="str">
            <v>3* PREST. EXT.</v>
          </cell>
          <cell r="DK111">
            <v>4841</v>
          </cell>
          <cell r="DL111">
            <v>3480</v>
          </cell>
          <cell r="DM111">
            <v>71.885973972319775</v>
          </cell>
          <cell r="DN111">
            <v>0</v>
          </cell>
          <cell r="DO111">
            <v>0</v>
          </cell>
          <cell r="DP111" t="e">
            <v>#DIV/0!</v>
          </cell>
          <cell r="DQ111">
            <v>0</v>
          </cell>
          <cell r="DR111">
            <v>0</v>
          </cell>
          <cell r="DS111" t="e">
            <v>#DIV/0!</v>
          </cell>
          <cell r="DT111">
            <v>0</v>
          </cell>
          <cell r="DU111">
            <v>0</v>
          </cell>
          <cell r="DV111" t="e">
            <v>#DIV/0!</v>
          </cell>
          <cell r="DX111" t="str">
            <v>3* PREST. EXT.</v>
          </cell>
          <cell r="DY111">
            <v>0</v>
          </cell>
          <cell r="DZ111">
            <v>0</v>
          </cell>
          <cell r="EA111" t="e">
            <v>#DIV/0!</v>
          </cell>
          <cell r="EB111">
            <v>0</v>
          </cell>
          <cell r="EC111">
            <v>0</v>
          </cell>
          <cell r="ED111" t="e">
            <v>#DIV/0!</v>
          </cell>
          <cell r="EE111">
            <v>0</v>
          </cell>
          <cell r="EF111">
            <v>0</v>
          </cell>
          <cell r="EG111" t="e">
            <v>#DIV/0!</v>
          </cell>
          <cell r="EH111">
            <v>9243</v>
          </cell>
          <cell r="EI111">
            <v>6660</v>
          </cell>
          <cell r="EJ111">
            <v>72.054527750730273</v>
          </cell>
          <cell r="EK111">
            <v>14084</v>
          </cell>
          <cell r="EL111">
            <v>10140</v>
          </cell>
          <cell r="EM111">
            <v>71.99659187730758</v>
          </cell>
          <cell r="EO111" t="str">
            <v>3* PREST. EXT.</v>
          </cell>
          <cell r="EP111">
            <v>0</v>
          </cell>
          <cell r="EQ111">
            <v>0</v>
          </cell>
          <cell r="ER111" t="e">
            <v>#DIV/0!</v>
          </cell>
          <cell r="ES111">
            <v>0</v>
          </cell>
          <cell r="ET111">
            <v>0</v>
          </cell>
          <cell r="EU111" t="e">
            <v>#DIV/0!</v>
          </cell>
          <cell r="EV111">
            <v>0</v>
          </cell>
          <cell r="EW111">
            <v>0</v>
          </cell>
          <cell r="EX111" t="e">
            <v>#DIV/0!</v>
          </cell>
          <cell r="EY111">
            <v>0</v>
          </cell>
          <cell r="EZ111">
            <v>0</v>
          </cell>
          <cell r="FA111" t="e">
            <v>#DIV/0!</v>
          </cell>
          <cell r="FC111" t="str">
            <v>3* PREST. EXT.</v>
          </cell>
          <cell r="FD111">
            <v>0</v>
          </cell>
          <cell r="FE111">
            <v>0</v>
          </cell>
          <cell r="FF111" t="e">
            <v>#DIV/0!</v>
          </cell>
          <cell r="FG111">
            <v>0</v>
          </cell>
          <cell r="FH111">
            <v>0</v>
          </cell>
          <cell r="FI111" t="e">
            <v>#DIV/0!</v>
          </cell>
          <cell r="FJ111">
            <v>0</v>
          </cell>
          <cell r="FK111">
            <v>0</v>
          </cell>
          <cell r="FL111" t="e">
            <v>#DIV/0!</v>
          </cell>
          <cell r="FM111">
            <v>245600</v>
          </cell>
          <cell r="FN111">
            <v>184200</v>
          </cell>
          <cell r="FO111">
            <v>75</v>
          </cell>
          <cell r="FP111">
            <v>245600</v>
          </cell>
          <cell r="FQ111">
            <v>184200</v>
          </cell>
          <cell r="FR111">
            <v>75</v>
          </cell>
        </row>
        <row r="112">
          <cell r="AZ112" t="str">
            <v>2* + 3* PREST.</v>
          </cell>
          <cell r="BA112">
            <v>0</v>
          </cell>
          <cell r="BB112">
            <v>0</v>
          </cell>
          <cell r="BC112" t="e">
            <v>#DIV/0!</v>
          </cell>
          <cell r="BD112">
            <v>544243</v>
          </cell>
          <cell r="BE112">
            <v>179604</v>
          </cell>
          <cell r="BF112">
            <v>33.00070005493869</v>
          </cell>
          <cell r="BG112">
            <v>313655</v>
          </cell>
          <cell r="BH112">
            <v>103500</v>
          </cell>
          <cell r="BI112">
            <v>32.998039246943293</v>
          </cell>
          <cell r="BJ112">
            <v>427008</v>
          </cell>
          <cell r="BK112">
            <v>140904</v>
          </cell>
          <cell r="BL112">
            <v>32.997976618705039</v>
          </cell>
          <cell r="BN112" t="str">
            <v>2* + 3* PREST.</v>
          </cell>
          <cell r="BO112">
            <v>317006</v>
          </cell>
          <cell r="BP112">
            <v>104616</v>
          </cell>
          <cell r="BQ112">
            <v>33.001268114799089</v>
          </cell>
          <cell r="BR112">
            <v>258584</v>
          </cell>
          <cell r="BS112">
            <v>85332</v>
          </cell>
          <cell r="BT112">
            <v>32.99972156049872</v>
          </cell>
          <cell r="BU112">
            <v>351256</v>
          </cell>
          <cell r="BV112">
            <v>115908</v>
          </cell>
          <cell r="BW112">
            <v>32.998155191655087</v>
          </cell>
          <cell r="BX112">
            <v>196790</v>
          </cell>
          <cell r="BY112">
            <v>64944</v>
          </cell>
          <cell r="BZ112">
            <v>33.001676914477365</v>
          </cell>
          <cell r="CA112">
            <v>2408542</v>
          </cell>
          <cell r="CB112">
            <v>794808</v>
          </cell>
          <cell r="CC112">
            <v>32.999549104811123</v>
          </cell>
          <cell r="CE112" t="str">
            <v>2* + 3* PREST.</v>
          </cell>
          <cell r="CF112">
            <v>1699639</v>
          </cell>
          <cell r="CG112">
            <v>1699644</v>
          </cell>
          <cell r="CH112">
            <v>100.00029418011707</v>
          </cell>
          <cell r="CI112">
            <v>2199143</v>
          </cell>
          <cell r="CJ112">
            <v>2199132</v>
          </cell>
          <cell r="CK112">
            <v>99.999499805151373</v>
          </cell>
          <cell r="CL112">
            <v>0</v>
          </cell>
          <cell r="CM112">
            <v>0</v>
          </cell>
          <cell r="CN112" t="e">
            <v>#DIV/0!</v>
          </cell>
          <cell r="CO112">
            <v>0</v>
          </cell>
          <cell r="CP112">
            <v>0</v>
          </cell>
          <cell r="CQ112" t="e">
            <v>#DIV/0!</v>
          </cell>
          <cell r="CR112">
            <v>3898782</v>
          </cell>
          <cell r="CS112">
            <v>3898776</v>
          </cell>
          <cell r="CT112">
            <v>99.999846105783803</v>
          </cell>
          <cell r="CV112" t="str">
            <v>2* + 3* PREST.</v>
          </cell>
          <cell r="CW112">
            <v>1393</v>
          </cell>
          <cell r="CX112">
            <v>1392</v>
          </cell>
          <cell r="CY112">
            <v>99.928212491026557</v>
          </cell>
          <cell r="CZ112">
            <v>493319</v>
          </cell>
          <cell r="DA112">
            <v>493320</v>
          </cell>
          <cell r="DB112">
            <v>100.0002027085922</v>
          </cell>
          <cell r="DC112">
            <v>0</v>
          </cell>
          <cell r="DD112">
            <v>0</v>
          </cell>
          <cell r="DE112" t="e">
            <v>#DIV/0!</v>
          </cell>
          <cell r="DF112">
            <v>494712</v>
          </cell>
          <cell r="DG112">
            <v>494712</v>
          </cell>
          <cell r="DH112">
            <v>100</v>
          </cell>
          <cell r="DJ112" t="str">
            <v>2* + 3* PREST.</v>
          </cell>
          <cell r="DK112">
            <v>270821</v>
          </cell>
          <cell r="DL112">
            <v>202968</v>
          </cell>
          <cell r="DM112">
            <v>74.945443669434795</v>
          </cell>
          <cell r="DN112">
            <v>0</v>
          </cell>
          <cell r="DO112">
            <v>0</v>
          </cell>
          <cell r="DP112" t="e">
            <v>#DIV/0!</v>
          </cell>
          <cell r="DQ112">
            <v>0</v>
          </cell>
          <cell r="DR112">
            <v>0</v>
          </cell>
          <cell r="DS112" t="e">
            <v>#DIV/0!</v>
          </cell>
          <cell r="DT112">
            <v>0</v>
          </cell>
          <cell r="DU112">
            <v>0</v>
          </cell>
          <cell r="DV112" t="e">
            <v>#DIV/0!</v>
          </cell>
          <cell r="DX112" t="str">
            <v>2* + 3* PREST.</v>
          </cell>
          <cell r="DY112">
            <v>0</v>
          </cell>
          <cell r="DZ112">
            <v>0</v>
          </cell>
          <cell r="EA112" t="e">
            <v>#DIV/0!</v>
          </cell>
          <cell r="EB112">
            <v>0</v>
          </cell>
          <cell r="EC112">
            <v>0</v>
          </cell>
          <cell r="ED112" t="e">
            <v>#DIV/0!</v>
          </cell>
          <cell r="EE112">
            <v>476099</v>
          </cell>
          <cell r="EF112">
            <v>357072</v>
          </cell>
          <cell r="EG112">
            <v>74.999527409215304</v>
          </cell>
          <cell r="EH112">
            <v>903617</v>
          </cell>
          <cell r="EI112">
            <v>677436</v>
          </cell>
          <cell r="EJ112">
            <v>74.969373086163714</v>
          </cell>
          <cell r="EK112">
            <v>1650537</v>
          </cell>
          <cell r="EL112">
            <v>1237476</v>
          </cell>
          <cell r="EM112">
            <v>74.974144778335784</v>
          </cell>
          <cell r="EO112" t="str">
            <v>2* + 3* PREST.</v>
          </cell>
          <cell r="EP112">
            <v>569088</v>
          </cell>
          <cell r="EQ112">
            <v>426828</v>
          </cell>
          <cell r="ER112">
            <v>75.002108636977056</v>
          </cell>
          <cell r="ES112">
            <v>0</v>
          </cell>
          <cell r="ET112">
            <v>0</v>
          </cell>
          <cell r="EU112" t="e">
            <v>#DIV/0!</v>
          </cell>
          <cell r="EV112">
            <v>48376</v>
          </cell>
          <cell r="EW112">
            <v>36288</v>
          </cell>
          <cell r="EX112">
            <v>75.012402844385647</v>
          </cell>
          <cell r="EY112">
            <v>1804</v>
          </cell>
          <cell r="EZ112">
            <v>1356</v>
          </cell>
          <cell r="FA112">
            <v>75.166297117516635</v>
          </cell>
          <cell r="FC112" t="str">
            <v>2* + 3* PREST.</v>
          </cell>
          <cell r="FD112">
            <v>0</v>
          </cell>
          <cell r="FE112">
            <v>0</v>
          </cell>
          <cell r="FF112" t="e">
            <v>#DIV/0!</v>
          </cell>
          <cell r="FG112">
            <v>0</v>
          </cell>
          <cell r="FH112">
            <v>0</v>
          </cell>
          <cell r="FI112" t="e">
            <v>#DIV/0!</v>
          </cell>
          <cell r="FJ112">
            <v>526537</v>
          </cell>
          <cell r="FK112">
            <v>394896</v>
          </cell>
          <cell r="FL112">
            <v>74.998718038808292</v>
          </cell>
          <cell r="FM112">
            <v>1102608</v>
          </cell>
          <cell r="FN112">
            <v>826944</v>
          </cell>
          <cell r="FO112">
            <v>74.99891167123765</v>
          </cell>
          <cell r="FP112">
            <v>2248413</v>
          </cell>
          <cell r="FQ112">
            <v>1686312</v>
          </cell>
          <cell r="FR112">
            <v>75.000100070583116</v>
          </cell>
        </row>
        <row r="114">
          <cell r="BL114" t="str">
            <v>-  3/32 -</v>
          </cell>
          <cell r="CC114" t="str">
            <v>-  7/32 -</v>
          </cell>
          <cell r="CT114" t="str">
            <v>-  11/32 -</v>
          </cell>
          <cell r="DH114" t="str">
            <v>-  15/32 -</v>
          </cell>
          <cell r="DV114" t="str">
            <v>-  19/32 -</v>
          </cell>
          <cell r="EM114" t="str">
            <v>-  23/32 -</v>
          </cell>
          <cell r="FA114" t="str">
            <v>-  27/32 -</v>
          </cell>
          <cell r="FR114" t="str">
            <v>-  31/32 -</v>
          </cell>
        </row>
        <row r="115">
          <cell r="AZ115" t="str">
            <v xml:space="preserve">BUDGET DE FONCTIONNEMENT ( MACHINES AM 50 ) &lt; Recette 8 &gt; </v>
          </cell>
          <cell r="BN115" t="str">
            <v xml:space="preserve">BUDGET DE FONCTIONNEMENT ( MACHINES AM 50 ) &lt; Recette 8 &gt; </v>
          </cell>
          <cell r="CE115" t="str">
            <v xml:space="preserve">BUDGET DE FONCTIONNEMENT ( TAILLES ) &lt; Recette 8 &gt; </v>
          </cell>
          <cell r="CV115" t="str">
            <v xml:space="preserve">BUDGET DE FONCTIONNEMENT ( MACHINES AM 50 ) &lt; Recette 8 &gt; </v>
          </cell>
          <cell r="DJ115" t="str">
            <v xml:space="preserve">BUDGET DE FONCTIONNEMENT ( FRAIS COMMUNS FOND ) &lt; Recette 8 &gt; </v>
          </cell>
          <cell r="DX115" t="str">
            <v xml:space="preserve">BUDGET DE FONCTIONNEMENT ( MACHINES AM 50 ) &lt; Recette 8 &gt; </v>
          </cell>
          <cell r="EO115" t="str">
            <v xml:space="preserve">BUDGET DE FONCTIONNEMENT ( FRAIS COMMUNS JOUR ) &lt; Recette 8 &gt; </v>
          </cell>
          <cell r="FC115" t="str">
            <v xml:space="preserve">BUDGET DE FONCTIONNEMENT ( MACHINES AM 50 ) &lt; Recette 8 &gt; </v>
          </cell>
        </row>
        <row r="116">
          <cell r="AZ116" t="str">
            <v xml:space="preserve"> PREVU 2003 / Réalisé Fin Décembre 2002</v>
          </cell>
          <cell r="BN116" t="str">
            <v xml:space="preserve"> PREVU 2003 / Réalisé Fin Décembre 2002</v>
          </cell>
          <cell r="CE116" t="str">
            <v xml:space="preserve"> PREVU 2003 / Réalisé Fin Décembre 2002</v>
          </cell>
          <cell r="CV116" t="str">
            <v xml:space="preserve"> PREVU 2003 / Réalisé Fin Décembre 2002</v>
          </cell>
          <cell r="DJ116" t="str">
            <v xml:space="preserve"> PREVU 2003 / Réalisé Fin Décembre 2002</v>
          </cell>
          <cell r="DX116" t="str">
            <v xml:space="preserve"> PREVU 2003 / Réalisé Fin Décembre 2002</v>
          </cell>
          <cell r="EO116" t="str">
            <v xml:space="preserve"> PREVU 2003 / Réalisé Fin Décembre 2002</v>
          </cell>
          <cell r="FC116" t="str">
            <v xml:space="preserve"> PREVU 2003 / Réalisé Fin Décembre 2002</v>
          </cell>
        </row>
        <row r="117">
          <cell r="AZ117" t="str">
            <v>S.A.</v>
          </cell>
          <cell r="BA117" t="str">
            <v>821 - F</v>
          </cell>
          <cell r="BD117" t="str">
            <v>822 - A</v>
          </cell>
          <cell r="BG117" t="str">
            <v>823 - I</v>
          </cell>
          <cell r="BJ117" t="str">
            <v>824 - M</v>
          </cell>
          <cell r="BN117" t="str">
            <v>S.A.</v>
          </cell>
          <cell r="BO117" t="str">
            <v>825 - V</v>
          </cell>
          <cell r="BR117" t="str">
            <v>827 - D</v>
          </cell>
          <cell r="BU117" t="str">
            <v>828 - C</v>
          </cell>
          <cell r="BX117">
            <v>829</v>
          </cell>
          <cell r="CA117" t="str">
            <v>TOT AM50 R8</v>
          </cell>
          <cell r="CE117" t="str">
            <v>S.A.</v>
          </cell>
          <cell r="CF117" t="str">
            <v>840 - J</v>
          </cell>
          <cell r="CI117" t="str">
            <v>841 - L</v>
          </cell>
          <cell r="CL117" t="str">
            <v>842 - I</v>
          </cell>
          <cell r="CO117">
            <v>849</v>
          </cell>
          <cell r="CR117" t="str">
            <v>T. TAILLES</v>
          </cell>
          <cell r="CV117" t="str">
            <v>S.A.</v>
          </cell>
          <cell r="CW117">
            <v>860</v>
          </cell>
          <cell r="CZ117">
            <v>861</v>
          </cell>
          <cell r="DC117">
            <v>969</v>
          </cell>
          <cell r="DF117" t="str">
            <v>T. EXHAURE</v>
          </cell>
          <cell r="DJ117" t="str">
            <v>S.A.</v>
          </cell>
          <cell r="DK117">
            <v>871</v>
          </cell>
          <cell r="DN117">
            <v>873</v>
          </cell>
          <cell r="DQ117">
            <v>874</v>
          </cell>
          <cell r="DT117">
            <v>875</v>
          </cell>
          <cell r="DX117" t="str">
            <v>S.A.</v>
          </cell>
          <cell r="DY117">
            <v>876</v>
          </cell>
          <cell r="EB117">
            <v>877</v>
          </cell>
          <cell r="EE117">
            <v>878</v>
          </cell>
          <cell r="EH117">
            <v>879</v>
          </cell>
          <cell r="EK117" t="str">
            <v>FCF R8</v>
          </cell>
          <cell r="EO117" t="str">
            <v>S.A.</v>
          </cell>
          <cell r="EP117">
            <v>882</v>
          </cell>
          <cell r="ES117">
            <v>883</v>
          </cell>
          <cell r="EV117">
            <v>884</v>
          </cell>
          <cell r="EY117">
            <v>885</v>
          </cell>
          <cell r="FC117" t="str">
            <v>S.A.</v>
          </cell>
          <cell r="FD117">
            <v>886</v>
          </cell>
          <cell r="FG117">
            <v>887</v>
          </cell>
          <cell r="FJ117">
            <v>888</v>
          </cell>
          <cell r="FM117">
            <v>889</v>
          </cell>
          <cell r="FP117" t="str">
            <v>F.G.J R8</v>
          </cell>
        </row>
        <row r="118">
          <cell r="BA118" t="str">
            <v>R</v>
          </cell>
          <cell r="BB118" t="str">
            <v>P</v>
          </cell>
          <cell r="BC118" t="str">
            <v>P/R</v>
          </cell>
          <cell r="BD118" t="str">
            <v>R</v>
          </cell>
          <cell r="BE118" t="str">
            <v>P</v>
          </cell>
          <cell r="BF118" t="str">
            <v>P/R</v>
          </cell>
          <cell r="BG118" t="str">
            <v>R</v>
          </cell>
          <cell r="BH118" t="str">
            <v>P</v>
          </cell>
          <cell r="BI118" t="str">
            <v>P/R</v>
          </cell>
          <cell r="BJ118" t="str">
            <v>R</v>
          </cell>
          <cell r="BK118" t="str">
            <v>P</v>
          </cell>
          <cell r="BL118" t="str">
            <v>P/R</v>
          </cell>
          <cell r="BO118" t="str">
            <v>R</v>
          </cell>
          <cell r="BP118" t="str">
            <v>P</v>
          </cell>
          <cell r="BQ118" t="str">
            <v>P/R</v>
          </cell>
          <cell r="BR118" t="str">
            <v>R</v>
          </cell>
          <cell r="BS118" t="str">
            <v>P</v>
          </cell>
          <cell r="BT118" t="str">
            <v>P/R</v>
          </cell>
          <cell r="BU118" t="str">
            <v>R</v>
          </cell>
          <cell r="BV118" t="str">
            <v>P</v>
          </cell>
          <cell r="BW118" t="str">
            <v>P/R</v>
          </cell>
          <cell r="BX118" t="str">
            <v>R</v>
          </cell>
          <cell r="BY118" t="str">
            <v>P</v>
          </cell>
          <cell r="BZ118" t="str">
            <v>P/R</v>
          </cell>
          <cell r="CA118" t="str">
            <v>R</v>
          </cell>
          <cell r="CB118" t="str">
            <v>P</v>
          </cell>
          <cell r="CC118" t="str">
            <v>P/R</v>
          </cell>
          <cell r="CF118" t="str">
            <v>R</v>
          </cell>
          <cell r="CG118" t="str">
            <v>P</v>
          </cell>
          <cell r="CH118" t="str">
            <v>P/R</v>
          </cell>
          <cell r="CI118" t="str">
            <v>R</v>
          </cell>
          <cell r="CJ118" t="str">
            <v>P</v>
          </cell>
          <cell r="CK118" t="str">
            <v>P/R</v>
          </cell>
          <cell r="CL118" t="str">
            <v>R</v>
          </cell>
          <cell r="CM118" t="str">
            <v>P</v>
          </cell>
          <cell r="CN118" t="str">
            <v>P/R</v>
          </cell>
          <cell r="CO118" t="str">
            <v>R</v>
          </cell>
          <cell r="CP118" t="str">
            <v>P</v>
          </cell>
          <cell r="CQ118" t="str">
            <v>P/R</v>
          </cell>
          <cell r="CR118" t="str">
            <v>R</v>
          </cell>
          <cell r="CS118" t="str">
            <v>P</v>
          </cell>
          <cell r="CT118" t="str">
            <v>P/R</v>
          </cell>
          <cell r="CW118" t="str">
            <v>R</v>
          </cell>
          <cell r="CX118" t="str">
            <v>P</v>
          </cell>
          <cell r="CY118" t="str">
            <v>P/R</v>
          </cell>
          <cell r="CZ118" t="str">
            <v>R</v>
          </cell>
          <cell r="DA118" t="str">
            <v>P</v>
          </cell>
          <cell r="DB118" t="str">
            <v>P/R</v>
          </cell>
          <cell r="DC118" t="str">
            <v>R</v>
          </cell>
          <cell r="DD118" t="str">
            <v>P</v>
          </cell>
          <cell r="DE118" t="str">
            <v>P/R</v>
          </cell>
          <cell r="DF118" t="str">
            <v>R</v>
          </cell>
          <cell r="DG118" t="str">
            <v>P</v>
          </cell>
          <cell r="DH118" t="str">
            <v>P/R</v>
          </cell>
          <cell r="DK118" t="str">
            <v>R</v>
          </cell>
          <cell r="DL118" t="str">
            <v>P</v>
          </cell>
          <cell r="DM118" t="str">
            <v>P/R</v>
          </cell>
          <cell r="DN118" t="str">
            <v>R</v>
          </cell>
          <cell r="DO118" t="str">
            <v>P</v>
          </cell>
          <cell r="DP118" t="str">
            <v>P/R</v>
          </cell>
          <cell r="DQ118" t="str">
            <v>R</v>
          </cell>
          <cell r="DR118" t="str">
            <v>P</v>
          </cell>
          <cell r="DS118" t="str">
            <v>P/R</v>
          </cell>
          <cell r="DT118" t="str">
            <v>R</v>
          </cell>
          <cell r="DU118" t="str">
            <v>P</v>
          </cell>
          <cell r="DV118" t="str">
            <v>P/R</v>
          </cell>
          <cell r="DY118" t="str">
            <v>R</v>
          </cell>
          <cell r="DZ118" t="str">
            <v>P</v>
          </cell>
          <cell r="EA118" t="str">
            <v>P/R</v>
          </cell>
          <cell r="EB118" t="str">
            <v>R</v>
          </cell>
          <cell r="EC118" t="str">
            <v>P</v>
          </cell>
          <cell r="ED118" t="str">
            <v>P/R</v>
          </cell>
          <cell r="EE118" t="str">
            <v>R</v>
          </cell>
          <cell r="EF118" t="str">
            <v>P</v>
          </cell>
          <cell r="EG118" t="str">
            <v>P/R</v>
          </cell>
          <cell r="EH118" t="str">
            <v>R</v>
          </cell>
          <cell r="EI118" t="str">
            <v>P</v>
          </cell>
          <cell r="EJ118" t="str">
            <v>P/R</v>
          </cell>
          <cell r="EK118" t="str">
            <v>R</v>
          </cell>
          <cell r="EL118" t="str">
            <v>P</v>
          </cell>
          <cell r="EM118" t="str">
            <v>P/R</v>
          </cell>
          <cell r="EP118" t="str">
            <v>R</v>
          </cell>
          <cell r="EQ118" t="str">
            <v>P</v>
          </cell>
          <cell r="ER118" t="str">
            <v>P/R</v>
          </cell>
          <cell r="ES118" t="str">
            <v>R</v>
          </cell>
          <cell r="ET118" t="str">
            <v>P</v>
          </cell>
          <cell r="EU118" t="str">
            <v>P/R</v>
          </cell>
          <cell r="EV118" t="str">
            <v>R</v>
          </cell>
          <cell r="EW118" t="str">
            <v>P</v>
          </cell>
          <cell r="EX118" t="str">
            <v>P/R</v>
          </cell>
          <cell r="EY118" t="str">
            <v>R</v>
          </cell>
          <cell r="EZ118" t="str">
            <v>P</v>
          </cell>
          <cell r="FA118" t="str">
            <v>P/R</v>
          </cell>
          <cell r="FD118" t="str">
            <v>R</v>
          </cell>
          <cell r="FE118" t="str">
            <v>P</v>
          </cell>
          <cell r="FF118" t="str">
            <v>P/R</v>
          </cell>
          <cell r="FG118" t="str">
            <v>R</v>
          </cell>
          <cell r="FH118" t="str">
            <v>P</v>
          </cell>
          <cell r="FI118" t="str">
            <v>P/R</v>
          </cell>
          <cell r="FJ118" t="str">
            <v>R</v>
          </cell>
          <cell r="FK118" t="str">
            <v>P</v>
          </cell>
          <cell r="FL118" t="str">
            <v>P/R</v>
          </cell>
          <cell r="FM118" t="str">
            <v>R</v>
          </cell>
          <cell r="FN118" t="str">
            <v>P</v>
          </cell>
          <cell r="FO118" t="str">
            <v>P/R</v>
          </cell>
          <cell r="FP118" t="str">
            <v>R</v>
          </cell>
          <cell r="FQ118" t="str">
            <v>P</v>
          </cell>
          <cell r="FR118" t="str">
            <v>P/R</v>
          </cell>
        </row>
        <row r="119">
          <cell r="AZ119" t="str">
            <v>400 BOIS</v>
          </cell>
          <cell r="BA119">
            <v>0</v>
          </cell>
          <cell r="BB119">
            <v>0</v>
          </cell>
          <cell r="BC119" t="e">
            <v>#DIV/0!</v>
          </cell>
          <cell r="BD119">
            <v>0</v>
          </cell>
          <cell r="BE119">
            <v>0</v>
          </cell>
          <cell r="BF119" t="e">
            <v>#DIV/0!</v>
          </cell>
          <cell r="BG119">
            <v>0</v>
          </cell>
          <cell r="BH119">
            <v>0</v>
          </cell>
          <cell r="BI119" t="e">
            <v>#DIV/0!</v>
          </cell>
          <cell r="BJ119">
            <v>0</v>
          </cell>
          <cell r="BK119">
            <v>0</v>
          </cell>
          <cell r="BL119" t="e">
            <v>#DIV/0!</v>
          </cell>
          <cell r="BN119" t="str">
            <v>400 BOIS</v>
          </cell>
          <cell r="BO119">
            <v>0</v>
          </cell>
          <cell r="BP119">
            <v>0</v>
          </cell>
          <cell r="BQ119" t="e">
            <v>#DIV/0!</v>
          </cell>
          <cell r="BR119">
            <v>0</v>
          </cell>
          <cell r="BS119">
            <v>0</v>
          </cell>
          <cell r="BT119" t="e">
            <v>#DIV/0!</v>
          </cell>
          <cell r="BU119">
            <v>0</v>
          </cell>
          <cell r="BV119">
            <v>0</v>
          </cell>
          <cell r="BW119" t="e">
            <v>#DIV/0!</v>
          </cell>
          <cell r="BX119">
            <v>0</v>
          </cell>
          <cell r="BY119">
            <v>0</v>
          </cell>
          <cell r="BZ119" t="e">
            <v>#DIV/0!</v>
          </cell>
          <cell r="CA119">
            <v>0</v>
          </cell>
          <cell r="CB119">
            <v>0</v>
          </cell>
          <cell r="CC119" t="e">
            <v>#DIV/0!</v>
          </cell>
          <cell r="CE119" t="str">
            <v>400 BOIS</v>
          </cell>
          <cell r="CF119">
            <v>891887</v>
          </cell>
          <cell r="CG119">
            <v>472704</v>
          </cell>
          <cell r="CH119">
            <v>53.000436153907394</v>
          </cell>
          <cell r="CI119">
            <v>660569</v>
          </cell>
          <cell r="CJ119">
            <v>350100</v>
          </cell>
          <cell r="CK119">
            <v>52.999762326115821</v>
          </cell>
          <cell r="CL119">
            <v>0</v>
          </cell>
          <cell r="CM119">
            <v>0</v>
          </cell>
          <cell r="CN119" t="e">
            <v>#DIV/0!</v>
          </cell>
          <cell r="CO119">
            <v>0</v>
          </cell>
          <cell r="CP119">
            <v>0</v>
          </cell>
          <cell r="CQ119" t="e">
            <v>#DIV/0!</v>
          </cell>
          <cell r="CR119">
            <v>1552456</v>
          </cell>
          <cell r="CS119">
            <v>822804</v>
          </cell>
          <cell r="CT119">
            <v>53.000149440628263</v>
          </cell>
          <cell r="CV119" t="str">
            <v>400 BOIS</v>
          </cell>
          <cell r="CW119">
            <v>0</v>
          </cell>
          <cell r="CX119">
            <v>0</v>
          </cell>
          <cell r="CY119" t="e">
            <v>#DIV/0!</v>
          </cell>
          <cell r="CZ119">
            <v>0</v>
          </cell>
          <cell r="DA119">
            <v>0</v>
          </cell>
          <cell r="DB119" t="e">
            <v>#DIV/0!</v>
          </cell>
          <cell r="DC119">
            <v>0</v>
          </cell>
          <cell r="DD119">
            <v>0</v>
          </cell>
          <cell r="DE119" t="e">
            <v>#DIV/0!</v>
          </cell>
          <cell r="DF119">
            <v>0</v>
          </cell>
          <cell r="DG119">
            <v>0</v>
          </cell>
          <cell r="DH119" t="e">
            <v>#DIV/0!</v>
          </cell>
          <cell r="DJ119" t="str">
            <v>400 BOIS</v>
          </cell>
          <cell r="DK119">
            <v>0</v>
          </cell>
          <cell r="DL119">
            <v>0</v>
          </cell>
          <cell r="DM119" t="e">
            <v>#DIV/0!</v>
          </cell>
          <cell r="DN119">
            <v>0</v>
          </cell>
          <cell r="DO119">
            <v>0</v>
          </cell>
          <cell r="DP119" t="e">
            <v>#DIV/0!</v>
          </cell>
          <cell r="DQ119">
            <v>0</v>
          </cell>
          <cell r="DR119">
            <v>0</v>
          </cell>
          <cell r="DS119" t="e">
            <v>#DIV/0!</v>
          </cell>
          <cell r="DT119">
            <v>0</v>
          </cell>
          <cell r="DU119">
            <v>0</v>
          </cell>
          <cell r="DV119" t="e">
            <v>#DIV/0!</v>
          </cell>
          <cell r="DX119" t="str">
            <v>400 BOIS</v>
          </cell>
          <cell r="DY119">
            <v>0</v>
          </cell>
          <cell r="DZ119">
            <v>0</v>
          </cell>
          <cell r="EA119" t="e">
            <v>#DIV/0!</v>
          </cell>
          <cell r="EB119">
            <v>0</v>
          </cell>
          <cell r="EC119">
            <v>0</v>
          </cell>
          <cell r="ED119" t="e">
            <v>#DIV/0!</v>
          </cell>
          <cell r="EE119">
            <v>0</v>
          </cell>
          <cell r="EF119">
            <v>0</v>
          </cell>
          <cell r="EG119" t="e">
            <v>#DIV/0!</v>
          </cell>
          <cell r="EH119">
            <v>0</v>
          </cell>
          <cell r="EI119">
            <v>0</v>
          </cell>
          <cell r="EJ119" t="e">
            <v>#DIV/0!</v>
          </cell>
          <cell r="EK119">
            <v>0</v>
          </cell>
          <cell r="EL119">
            <v>0</v>
          </cell>
          <cell r="EM119" t="e">
            <v>#DIV/0!</v>
          </cell>
          <cell r="EO119" t="str">
            <v>400 BOIS</v>
          </cell>
          <cell r="EP119">
            <v>0</v>
          </cell>
          <cell r="EQ119">
            <v>0</v>
          </cell>
          <cell r="ER119" t="e">
            <v>#DIV/0!</v>
          </cell>
          <cell r="ES119">
            <v>0</v>
          </cell>
          <cell r="ET119">
            <v>0</v>
          </cell>
          <cell r="EU119" t="e">
            <v>#DIV/0!</v>
          </cell>
          <cell r="EV119">
            <v>0</v>
          </cell>
          <cell r="EW119">
            <v>0</v>
          </cell>
          <cell r="EX119" t="e">
            <v>#DIV/0!</v>
          </cell>
          <cell r="EY119">
            <v>0</v>
          </cell>
          <cell r="EZ119">
            <v>0</v>
          </cell>
          <cell r="FA119" t="e">
            <v>#DIV/0!</v>
          </cell>
          <cell r="FC119" t="str">
            <v>400 BOIS</v>
          </cell>
          <cell r="FD119">
            <v>0</v>
          </cell>
          <cell r="FE119">
            <v>0</v>
          </cell>
          <cell r="FF119" t="e">
            <v>#DIV/0!</v>
          </cell>
          <cell r="FG119">
            <v>0</v>
          </cell>
          <cell r="FH119">
            <v>0</v>
          </cell>
          <cell r="FI119" t="e">
            <v>#DIV/0!</v>
          </cell>
          <cell r="FJ119">
            <v>0</v>
          </cell>
          <cell r="FK119">
            <v>0</v>
          </cell>
          <cell r="FL119" t="e">
            <v>#DIV/0!</v>
          </cell>
          <cell r="FM119">
            <v>0</v>
          </cell>
          <cell r="FN119">
            <v>0</v>
          </cell>
          <cell r="FO119" t="e">
            <v>#DIV/0!</v>
          </cell>
          <cell r="FP119">
            <v>0</v>
          </cell>
          <cell r="FQ119">
            <v>0</v>
          </cell>
          <cell r="FR119" t="e">
            <v>#DIV/0!</v>
          </cell>
        </row>
        <row r="120">
          <cell r="AZ120" t="str">
            <v>402 BANDES</v>
          </cell>
          <cell r="BA120">
            <v>0</v>
          </cell>
          <cell r="BB120">
            <v>0</v>
          </cell>
          <cell r="BC120" t="e">
            <v>#DIV/0!</v>
          </cell>
          <cell r="BD120">
            <v>0</v>
          </cell>
          <cell r="BE120">
            <v>0</v>
          </cell>
          <cell r="BF120" t="e">
            <v>#DIV/0!</v>
          </cell>
          <cell r="BG120">
            <v>0</v>
          </cell>
          <cell r="BH120">
            <v>0</v>
          </cell>
          <cell r="BI120" t="e">
            <v>#DIV/0!</v>
          </cell>
          <cell r="BJ120">
            <v>0</v>
          </cell>
          <cell r="BK120">
            <v>0</v>
          </cell>
          <cell r="BL120" t="e">
            <v>#DIV/0!</v>
          </cell>
          <cell r="BN120" t="str">
            <v>402 BANDES</v>
          </cell>
          <cell r="BO120">
            <v>0</v>
          </cell>
          <cell r="BP120">
            <v>0</v>
          </cell>
          <cell r="BQ120" t="e">
            <v>#DIV/0!</v>
          </cell>
          <cell r="BR120">
            <v>0</v>
          </cell>
          <cell r="BS120">
            <v>0</v>
          </cell>
          <cell r="BT120" t="e">
            <v>#DIV/0!</v>
          </cell>
          <cell r="BU120">
            <v>0</v>
          </cell>
          <cell r="BV120">
            <v>0</v>
          </cell>
          <cell r="BW120" t="e">
            <v>#DIV/0!</v>
          </cell>
          <cell r="BX120">
            <v>149083</v>
          </cell>
          <cell r="BY120">
            <v>0</v>
          </cell>
          <cell r="BZ120">
            <v>0</v>
          </cell>
          <cell r="CA120">
            <v>149083</v>
          </cell>
          <cell r="CB120">
            <v>0</v>
          </cell>
          <cell r="CC120">
            <v>0</v>
          </cell>
          <cell r="CE120" t="str">
            <v>402 BANDES</v>
          </cell>
          <cell r="CF120">
            <v>0</v>
          </cell>
          <cell r="CG120">
            <v>0</v>
          </cell>
          <cell r="CH120" t="e">
            <v>#DIV/0!</v>
          </cell>
          <cell r="CI120">
            <v>0</v>
          </cell>
          <cell r="CJ120">
            <v>0</v>
          </cell>
          <cell r="CK120" t="e">
            <v>#DIV/0!</v>
          </cell>
          <cell r="CL120">
            <v>0</v>
          </cell>
          <cell r="CM120">
            <v>0</v>
          </cell>
          <cell r="CN120" t="e">
            <v>#DIV/0!</v>
          </cell>
          <cell r="CO120">
            <v>0</v>
          </cell>
          <cell r="CP120">
            <v>0</v>
          </cell>
          <cell r="CQ120" t="e">
            <v>#DIV/0!</v>
          </cell>
          <cell r="CR120">
            <v>0</v>
          </cell>
          <cell r="CS120">
            <v>0</v>
          </cell>
          <cell r="CT120" t="e">
            <v>#DIV/0!</v>
          </cell>
          <cell r="CV120" t="str">
            <v>402 BANDES</v>
          </cell>
          <cell r="CW120">
            <v>0</v>
          </cell>
          <cell r="CX120">
            <v>0</v>
          </cell>
          <cell r="CY120" t="e">
            <v>#DIV/0!</v>
          </cell>
          <cell r="CZ120">
            <v>0</v>
          </cell>
          <cell r="DA120">
            <v>0</v>
          </cell>
          <cell r="DB120" t="e">
            <v>#DIV/0!</v>
          </cell>
          <cell r="DC120">
            <v>0</v>
          </cell>
          <cell r="DD120">
            <v>0</v>
          </cell>
          <cell r="DE120" t="e">
            <v>#DIV/0!</v>
          </cell>
          <cell r="DF120">
            <v>0</v>
          </cell>
          <cell r="DG120">
            <v>0</v>
          </cell>
          <cell r="DH120" t="e">
            <v>#DIV/0!</v>
          </cell>
          <cell r="DJ120" t="str">
            <v>402 BANDES</v>
          </cell>
          <cell r="DK120">
            <v>409655</v>
          </cell>
          <cell r="DL120">
            <v>409656</v>
          </cell>
          <cell r="DM120">
            <v>100.00024410784685</v>
          </cell>
          <cell r="DN120">
            <v>0</v>
          </cell>
          <cell r="DO120">
            <v>0</v>
          </cell>
          <cell r="DP120" t="e">
            <v>#DIV/0!</v>
          </cell>
          <cell r="DQ120">
            <v>0</v>
          </cell>
          <cell r="DR120">
            <v>0</v>
          </cell>
          <cell r="DS120" t="e">
            <v>#DIV/0!</v>
          </cell>
          <cell r="DT120">
            <v>0</v>
          </cell>
          <cell r="DU120">
            <v>0</v>
          </cell>
          <cell r="DV120" t="e">
            <v>#DIV/0!</v>
          </cell>
          <cell r="DX120" t="str">
            <v>402 BANDES</v>
          </cell>
          <cell r="DY120">
            <v>0</v>
          </cell>
          <cell r="DZ120">
            <v>0</v>
          </cell>
          <cell r="EA120" t="e">
            <v>#DIV/0!</v>
          </cell>
          <cell r="EB120">
            <v>0</v>
          </cell>
          <cell r="EC120">
            <v>0</v>
          </cell>
          <cell r="ED120" t="e">
            <v>#DIV/0!</v>
          </cell>
          <cell r="EE120">
            <v>0</v>
          </cell>
          <cell r="EF120">
            <v>0</v>
          </cell>
          <cell r="EG120" t="e">
            <v>#DIV/0!</v>
          </cell>
          <cell r="EH120">
            <v>0</v>
          </cell>
          <cell r="EI120">
            <v>0</v>
          </cell>
          <cell r="EJ120" t="e">
            <v>#DIV/0!</v>
          </cell>
          <cell r="EK120">
            <v>409655</v>
          </cell>
          <cell r="EL120">
            <v>409656</v>
          </cell>
          <cell r="EM120">
            <v>100.00024410784685</v>
          </cell>
          <cell r="EO120" t="str">
            <v>402 BANDES</v>
          </cell>
          <cell r="EP120">
            <v>0</v>
          </cell>
          <cell r="EQ120">
            <v>0</v>
          </cell>
          <cell r="ER120" t="e">
            <v>#DIV/0!</v>
          </cell>
          <cell r="ES120">
            <v>0</v>
          </cell>
          <cell r="ET120">
            <v>0</v>
          </cell>
          <cell r="EU120" t="e">
            <v>#DIV/0!</v>
          </cell>
          <cell r="EV120">
            <v>0</v>
          </cell>
          <cell r="EW120">
            <v>0</v>
          </cell>
          <cell r="EX120" t="e">
            <v>#DIV/0!</v>
          </cell>
          <cell r="EY120">
            <v>0</v>
          </cell>
          <cell r="EZ120">
            <v>0</v>
          </cell>
          <cell r="FA120" t="e">
            <v>#DIV/0!</v>
          </cell>
          <cell r="FC120" t="str">
            <v>402 BANDES</v>
          </cell>
          <cell r="FD120">
            <v>0</v>
          </cell>
          <cell r="FE120">
            <v>0</v>
          </cell>
          <cell r="FF120" t="e">
            <v>#DIV/0!</v>
          </cell>
          <cell r="FG120">
            <v>0</v>
          </cell>
          <cell r="FH120">
            <v>0</v>
          </cell>
          <cell r="FI120" t="e">
            <v>#DIV/0!</v>
          </cell>
          <cell r="FJ120">
            <v>0</v>
          </cell>
          <cell r="FK120">
            <v>0</v>
          </cell>
          <cell r="FL120" t="e">
            <v>#DIV/0!</v>
          </cell>
          <cell r="FM120">
            <v>0</v>
          </cell>
          <cell r="FN120">
            <v>0</v>
          </cell>
          <cell r="FO120" t="e">
            <v>#DIV/0!</v>
          </cell>
          <cell r="FP120">
            <v>0</v>
          </cell>
          <cell r="FQ120">
            <v>0</v>
          </cell>
          <cell r="FR120" t="e">
            <v>#DIV/0!</v>
          </cell>
        </row>
        <row r="121">
          <cell r="AZ121" t="str">
            <v>403 EXPLOSIF</v>
          </cell>
          <cell r="BA121">
            <v>0</v>
          </cell>
          <cell r="BB121">
            <v>0</v>
          </cell>
          <cell r="BC121" t="e">
            <v>#DIV/0!</v>
          </cell>
          <cell r="BD121">
            <v>0</v>
          </cell>
          <cell r="BE121">
            <v>0</v>
          </cell>
          <cell r="BF121" t="e">
            <v>#DIV/0!</v>
          </cell>
          <cell r="BG121">
            <v>0</v>
          </cell>
          <cell r="BH121">
            <v>0</v>
          </cell>
          <cell r="BI121" t="e">
            <v>#DIV/0!</v>
          </cell>
          <cell r="BJ121">
            <v>0</v>
          </cell>
          <cell r="BK121">
            <v>0</v>
          </cell>
          <cell r="BL121" t="e">
            <v>#DIV/0!</v>
          </cell>
          <cell r="BN121" t="str">
            <v>403 EXPLOSIF</v>
          </cell>
          <cell r="BO121">
            <v>0</v>
          </cell>
          <cell r="BP121">
            <v>0</v>
          </cell>
          <cell r="BQ121" t="e">
            <v>#DIV/0!</v>
          </cell>
          <cell r="BR121">
            <v>0</v>
          </cell>
          <cell r="BS121">
            <v>0</v>
          </cell>
          <cell r="BT121" t="e">
            <v>#DIV/0!</v>
          </cell>
          <cell r="BU121">
            <v>0</v>
          </cell>
          <cell r="BV121">
            <v>0</v>
          </cell>
          <cell r="BW121" t="e">
            <v>#DIV/0!</v>
          </cell>
          <cell r="BX121">
            <v>0</v>
          </cell>
          <cell r="BY121">
            <v>0</v>
          </cell>
          <cell r="BZ121" t="e">
            <v>#DIV/0!</v>
          </cell>
          <cell r="CA121">
            <v>0</v>
          </cell>
          <cell r="CB121">
            <v>0</v>
          </cell>
          <cell r="CC121" t="e">
            <v>#DIV/0!</v>
          </cell>
          <cell r="CE121" t="str">
            <v>403 EXPLOSIF</v>
          </cell>
          <cell r="CF121">
            <v>39619</v>
          </cell>
          <cell r="CG121">
            <v>28920</v>
          </cell>
          <cell r="CH121">
            <v>72.995280042403891</v>
          </cell>
          <cell r="CI121">
            <v>83165</v>
          </cell>
          <cell r="CJ121">
            <v>60708</v>
          </cell>
          <cell r="CK121">
            <v>72.99705404917934</v>
          </cell>
          <cell r="CL121">
            <v>0</v>
          </cell>
          <cell r="CM121">
            <v>0</v>
          </cell>
          <cell r="CN121" t="e">
            <v>#DIV/0!</v>
          </cell>
          <cell r="CO121">
            <v>0</v>
          </cell>
          <cell r="CP121">
            <v>0</v>
          </cell>
          <cell r="CQ121" t="e">
            <v>#DIV/0!</v>
          </cell>
          <cell r="CR121">
            <v>122784</v>
          </cell>
          <cell r="CS121">
            <v>89628</v>
          </cell>
          <cell r="CT121">
            <v>72.996481626270523</v>
          </cell>
          <cell r="CV121" t="str">
            <v>403 EXPLOSIF</v>
          </cell>
          <cell r="CW121">
            <v>0</v>
          </cell>
          <cell r="CX121">
            <v>0</v>
          </cell>
          <cell r="CY121" t="e">
            <v>#DIV/0!</v>
          </cell>
          <cell r="CZ121">
            <v>0</v>
          </cell>
          <cell r="DA121">
            <v>0</v>
          </cell>
          <cell r="DB121" t="e">
            <v>#DIV/0!</v>
          </cell>
          <cell r="DC121">
            <v>0</v>
          </cell>
          <cell r="DD121">
            <v>0</v>
          </cell>
          <cell r="DE121" t="e">
            <v>#DIV/0!</v>
          </cell>
          <cell r="DF121">
            <v>0</v>
          </cell>
          <cell r="DG121">
            <v>0</v>
          </cell>
          <cell r="DH121" t="e">
            <v>#DIV/0!</v>
          </cell>
          <cell r="DJ121" t="str">
            <v>403 EXPLOSIF</v>
          </cell>
          <cell r="DK121">
            <v>0</v>
          </cell>
          <cell r="DL121">
            <v>0</v>
          </cell>
          <cell r="DM121" t="e">
            <v>#DIV/0!</v>
          </cell>
          <cell r="DN121">
            <v>0</v>
          </cell>
          <cell r="DO121">
            <v>0</v>
          </cell>
          <cell r="DP121" t="e">
            <v>#DIV/0!</v>
          </cell>
          <cell r="DQ121">
            <v>0</v>
          </cell>
          <cell r="DR121">
            <v>0</v>
          </cell>
          <cell r="DS121" t="e">
            <v>#DIV/0!</v>
          </cell>
          <cell r="DT121">
            <v>0</v>
          </cell>
          <cell r="DU121">
            <v>0</v>
          </cell>
          <cell r="DV121" t="e">
            <v>#DIV/0!</v>
          </cell>
          <cell r="DX121" t="str">
            <v>403 EXPLOSIF</v>
          </cell>
          <cell r="DY121">
            <v>0</v>
          </cell>
          <cell r="DZ121">
            <v>0</v>
          </cell>
          <cell r="EA121" t="e">
            <v>#DIV/0!</v>
          </cell>
          <cell r="EB121">
            <v>0</v>
          </cell>
          <cell r="EC121">
            <v>0</v>
          </cell>
          <cell r="ED121" t="e">
            <v>#DIV/0!</v>
          </cell>
          <cell r="EE121">
            <v>0</v>
          </cell>
          <cell r="EF121">
            <v>0</v>
          </cell>
          <cell r="EG121" t="e">
            <v>#DIV/0!</v>
          </cell>
          <cell r="EH121">
            <v>0</v>
          </cell>
          <cell r="EI121">
            <v>0</v>
          </cell>
          <cell r="EJ121" t="e">
            <v>#DIV/0!</v>
          </cell>
          <cell r="EK121">
            <v>0</v>
          </cell>
          <cell r="EL121">
            <v>0</v>
          </cell>
          <cell r="EM121" t="e">
            <v>#DIV/0!</v>
          </cell>
          <cell r="EO121" t="str">
            <v>403 EXPLOSIF</v>
          </cell>
          <cell r="EP121">
            <v>0</v>
          </cell>
          <cell r="EQ121">
            <v>0</v>
          </cell>
          <cell r="ER121" t="e">
            <v>#DIV/0!</v>
          </cell>
          <cell r="ES121">
            <v>0</v>
          </cell>
          <cell r="ET121">
            <v>0</v>
          </cell>
          <cell r="EU121" t="e">
            <v>#DIV/0!</v>
          </cell>
          <cell r="EV121">
            <v>0</v>
          </cell>
          <cell r="EW121">
            <v>0</v>
          </cell>
          <cell r="EX121" t="e">
            <v>#DIV/0!</v>
          </cell>
          <cell r="EY121">
            <v>0</v>
          </cell>
          <cell r="EZ121">
            <v>0</v>
          </cell>
          <cell r="FA121" t="e">
            <v>#DIV/0!</v>
          </cell>
          <cell r="FC121" t="str">
            <v>403 EXPLOSIF</v>
          </cell>
          <cell r="FD121">
            <v>0</v>
          </cell>
          <cell r="FE121">
            <v>0</v>
          </cell>
          <cell r="FF121" t="e">
            <v>#DIV/0!</v>
          </cell>
          <cell r="FG121">
            <v>0</v>
          </cell>
          <cell r="FH121">
            <v>0</v>
          </cell>
          <cell r="FI121" t="e">
            <v>#DIV/0!</v>
          </cell>
          <cell r="FJ121">
            <v>0</v>
          </cell>
          <cell r="FK121">
            <v>0</v>
          </cell>
          <cell r="FL121" t="e">
            <v>#DIV/0!</v>
          </cell>
          <cell r="FM121">
            <v>0</v>
          </cell>
          <cell r="FN121">
            <v>0</v>
          </cell>
          <cell r="FO121" t="e">
            <v>#DIV/0!</v>
          </cell>
          <cell r="FP121">
            <v>0</v>
          </cell>
          <cell r="FQ121">
            <v>0</v>
          </cell>
          <cell r="FR121" t="e">
            <v>#DIV/0!</v>
          </cell>
        </row>
        <row r="122">
          <cell r="AZ122" t="str">
            <v>404 ESS. LEGERE</v>
          </cell>
          <cell r="BA122">
            <v>0</v>
          </cell>
          <cell r="BB122">
            <v>0</v>
          </cell>
          <cell r="BC122" t="e">
            <v>#DIV/0!</v>
          </cell>
          <cell r="BD122">
            <v>0</v>
          </cell>
          <cell r="BE122">
            <v>0</v>
          </cell>
          <cell r="BF122" t="e">
            <v>#DIV/0!</v>
          </cell>
          <cell r="BG122">
            <v>0</v>
          </cell>
          <cell r="BH122">
            <v>0</v>
          </cell>
          <cell r="BI122" t="e">
            <v>#DIV/0!</v>
          </cell>
          <cell r="BJ122">
            <v>0</v>
          </cell>
          <cell r="BK122">
            <v>0</v>
          </cell>
          <cell r="BL122" t="e">
            <v>#DIV/0!</v>
          </cell>
          <cell r="BN122" t="str">
            <v>404 ESS. LEGERE</v>
          </cell>
          <cell r="BO122">
            <v>0</v>
          </cell>
          <cell r="BP122">
            <v>0</v>
          </cell>
          <cell r="BQ122" t="e">
            <v>#DIV/0!</v>
          </cell>
          <cell r="BR122">
            <v>0</v>
          </cell>
          <cell r="BS122">
            <v>0</v>
          </cell>
          <cell r="BT122" t="e">
            <v>#DIV/0!</v>
          </cell>
          <cell r="BU122">
            <v>0</v>
          </cell>
          <cell r="BV122">
            <v>0</v>
          </cell>
          <cell r="BW122" t="e">
            <v>#DIV/0!</v>
          </cell>
          <cell r="BX122">
            <v>0</v>
          </cell>
          <cell r="BY122">
            <v>0</v>
          </cell>
          <cell r="BZ122" t="e">
            <v>#DIV/0!</v>
          </cell>
          <cell r="CA122">
            <v>0</v>
          </cell>
          <cell r="CB122">
            <v>0</v>
          </cell>
          <cell r="CC122" t="e">
            <v>#DIV/0!</v>
          </cell>
          <cell r="CE122" t="str">
            <v>404 ESS. LEGERE</v>
          </cell>
          <cell r="CF122">
            <v>0</v>
          </cell>
          <cell r="CG122">
            <v>0</v>
          </cell>
          <cell r="CH122" t="e">
            <v>#DIV/0!</v>
          </cell>
          <cell r="CI122">
            <v>0</v>
          </cell>
          <cell r="CJ122">
            <v>0</v>
          </cell>
          <cell r="CK122" t="e">
            <v>#DIV/0!</v>
          </cell>
          <cell r="CL122">
            <v>0</v>
          </cell>
          <cell r="CM122">
            <v>0</v>
          </cell>
          <cell r="CN122" t="e">
            <v>#DIV/0!</v>
          </cell>
          <cell r="CO122">
            <v>0</v>
          </cell>
          <cell r="CP122">
            <v>0</v>
          </cell>
          <cell r="CQ122" t="e">
            <v>#DIV/0!</v>
          </cell>
          <cell r="CR122">
            <v>0</v>
          </cell>
          <cell r="CS122">
            <v>0</v>
          </cell>
          <cell r="CT122" t="e">
            <v>#DIV/0!</v>
          </cell>
          <cell r="CV122" t="str">
            <v>404 ESS. LEGERE</v>
          </cell>
          <cell r="CW122">
            <v>0</v>
          </cell>
          <cell r="CX122">
            <v>0</v>
          </cell>
          <cell r="CY122" t="e">
            <v>#DIV/0!</v>
          </cell>
          <cell r="CZ122">
            <v>0</v>
          </cell>
          <cell r="DA122">
            <v>0</v>
          </cell>
          <cell r="DB122" t="e">
            <v>#DIV/0!</v>
          </cell>
          <cell r="DC122">
            <v>0</v>
          </cell>
          <cell r="DD122">
            <v>0</v>
          </cell>
          <cell r="DE122" t="e">
            <v>#DIV/0!</v>
          </cell>
          <cell r="DF122">
            <v>0</v>
          </cell>
          <cell r="DG122">
            <v>0</v>
          </cell>
          <cell r="DH122" t="e">
            <v>#DIV/0!</v>
          </cell>
          <cell r="DJ122" t="str">
            <v>404 ESS. LEGERE</v>
          </cell>
          <cell r="DK122">
            <v>0</v>
          </cell>
          <cell r="DL122">
            <v>0</v>
          </cell>
          <cell r="DM122" t="e">
            <v>#DIV/0!</v>
          </cell>
          <cell r="DN122">
            <v>0</v>
          </cell>
          <cell r="DO122">
            <v>0</v>
          </cell>
          <cell r="DP122" t="e">
            <v>#DIV/0!</v>
          </cell>
          <cell r="DQ122">
            <v>0</v>
          </cell>
          <cell r="DR122">
            <v>0</v>
          </cell>
          <cell r="DS122" t="e">
            <v>#DIV/0!</v>
          </cell>
          <cell r="DT122">
            <v>0</v>
          </cell>
          <cell r="DU122">
            <v>0</v>
          </cell>
          <cell r="DV122" t="e">
            <v>#DIV/0!</v>
          </cell>
          <cell r="DX122" t="str">
            <v>404 ESS. LEGERE</v>
          </cell>
          <cell r="DY122">
            <v>0</v>
          </cell>
          <cell r="DZ122">
            <v>0</v>
          </cell>
          <cell r="EA122" t="e">
            <v>#DIV/0!</v>
          </cell>
          <cell r="EB122">
            <v>0</v>
          </cell>
          <cell r="EC122">
            <v>0</v>
          </cell>
          <cell r="ED122" t="e">
            <v>#DIV/0!</v>
          </cell>
          <cell r="EE122">
            <v>0</v>
          </cell>
          <cell r="EF122">
            <v>0</v>
          </cell>
          <cell r="EG122" t="e">
            <v>#DIV/0!</v>
          </cell>
          <cell r="EH122">
            <v>0</v>
          </cell>
          <cell r="EI122">
            <v>0</v>
          </cell>
          <cell r="EJ122" t="e">
            <v>#DIV/0!</v>
          </cell>
          <cell r="EK122">
            <v>0</v>
          </cell>
          <cell r="EL122">
            <v>0</v>
          </cell>
          <cell r="EM122" t="e">
            <v>#DIV/0!</v>
          </cell>
          <cell r="EO122" t="str">
            <v>404 ESS. LEGERE</v>
          </cell>
          <cell r="EP122">
            <v>0</v>
          </cell>
          <cell r="EQ122">
            <v>0</v>
          </cell>
          <cell r="ER122" t="e">
            <v>#DIV/0!</v>
          </cell>
          <cell r="ES122">
            <v>0</v>
          </cell>
          <cell r="ET122">
            <v>0</v>
          </cell>
          <cell r="EU122" t="e">
            <v>#DIV/0!</v>
          </cell>
          <cell r="EV122">
            <v>0</v>
          </cell>
          <cell r="EW122">
            <v>0</v>
          </cell>
          <cell r="EX122" t="e">
            <v>#DIV/0!</v>
          </cell>
          <cell r="EY122">
            <v>0</v>
          </cell>
          <cell r="EZ122">
            <v>0</v>
          </cell>
          <cell r="FA122" t="e">
            <v>#DIV/0!</v>
          </cell>
          <cell r="FC122" t="str">
            <v>404 ESS. LEGERE</v>
          </cell>
          <cell r="FD122">
            <v>0</v>
          </cell>
          <cell r="FE122">
            <v>0</v>
          </cell>
          <cell r="FF122" t="e">
            <v>#DIV/0!</v>
          </cell>
          <cell r="FG122">
            <v>0</v>
          </cell>
          <cell r="FH122">
            <v>0</v>
          </cell>
          <cell r="FI122" t="e">
            <v>#DIV/0!</v>
          </cell>
          <cell r="FJ122">
            <v>0</v>
          </cell>
          <cell r="FK122">
            <v>0</v>
          </cell>
          <cell r="FL122" t="e">
            <v>#DIV/0!</v>
          </cell>
          <cell r="FM122">
            <v>0</v>
          </cell>
          <cell r="FN122">
            <v>0</v>
          </cell>
          <cell r="FO122" t="e">
            <v>#DIV/0!</v>
          </cell>
          <cell r="FP122">
            <v>0</v>
          </cell>
          <cell r="FQ122">
            <v>0</v>
          </cell>
          <cell r="FR122" t="e">
            <v>#DIV/0!</v>
          </cell>
        </row>
        <row r="123">
          <cell r="AZ123" t="str">
            <v>405 GASOIL</v>
          </cell>
          <cell r="BA123">
            <v>0</v>
          </cell>
          <cell r="BB123">
            <v>0</v>
          </cell>
          <cell r="BC123" t="e">
            <v>#DIV/0!</v>
          </cell>
          <cell r="BD123">
            <v>0</v>
          </cell>
          <cell r="BE123">
            <v>0</v>
          </cell>
          <cell r="BF123" t="e">
            <v>#DIV/0!</v>
          </cell>
          <cell r="BG123">
            <v>0</v>
          </cell>
          <cell r="BH123">
            <v>0</v>
          </cell>
          <cell r="BI123" t="e">
            <v>#DIV/0!</v>
          </cell>
          <cell r="BJ123">
            <v>0</v>
          </cell>
          <cell r="BK123">
            <v>0</v>
          </cell>
          <cell r="BL123" t="e">
            <v>#DIV/0!</v>
          </cell>
          <cell r="BN123" t="str">
            <v>405 GASOIL</v>
          </cell>
          <cell r="BO123">
            <v>0</v>
          </cell>
          <cell r="BP123">
            <v>0</v>
          </cell>
          <cell r="BQ123" t="e">
            <v>#DIV/0!</v>
          </cell>
          <cell r="BR123">
            <v>0</v>
          </cell>
          <cell r="BS123">
            <v>0</v>
          </cell>
          <cell r="BT123" t="e">
            <v>#DIV/0!</v>
          </cell>
          <cell r="BU123">
            <v>0</v>
          </cell>
          <cell r="BV123">
            <v>0</v>
          </cell>
          <cell r="BW123" t="e">
            <v>#DIV/0!</v>
          </cell>
          <cell r="BX123">
            <v>0</v>
          </cell>
          <cell r="BY123">
            <v>0</v>
          </cell>
          <cell r="BZ123" t="e">
            <v>#DIV/0!</v>
          </cell>
          <cell r="CA123">
            <v>0</v>
          </cell>
          <cell r="CB123">
            <v>0</v>
          </cell>
          <cell r="CC123" t="e">
            <v>#DIV/0!</v>
          </cell>
          <cell r="CE123" t="str">
            <v>405 GASOIL</v>
          </cell>
          <cell r="CF123">
            <v>0</v>
          </cell>
          <cell r="CG123">
            <v>0</v>
          </cell>
          <cell r="CH123" t="e">
            <v>#DIV/0!</v>
          </cell>
          <cell r="CI123">
            <v>0</v>
          </cell>
          <cell r="CJ123">
            <v>0</v>
          </cell>
          <cell r="CK123" t="e">
            <v>#DIV/0!</v>
          </cell>
          <cell r="CL123">
            <v>0</v>
          </cell>
          <cell r="CM123">
            <v>0</v>
          </cell>
          <cell r="CN123" t="e">
            <v>#DIV/0!</v>
          </cell>
          <cell r="CO123">
            <v>0</v>
          </cell>
          <cell r="CP123">
            <v>0</v>
          </cell>
          <cell r="CQ123" t="e">
            <v>#DIV/0!</v>
          </cell>
          <cell r="CR123">
            <v>0</v>
          </cell>
          <cell r="CS123">
            <v>0</v>
          </cell>
          <cell r="CT123" t="e">
            <v>#DIV/0!</v>
          </cell>
          <cell r="CV123" t="str">
            <v>405 GASOIL</v>
          </cell>
          <cell r="CW123">
            <v>0</v>
          </cell>
          <cell r="CX123">
            <v>0</v>
          </cell>
          <cell r="CY123" t="e">
            <v>#DIV/0!</v>
          </cell>
          <cell r="CZ123">
            <v>0</v>
          </cell>
          <cell r="DA123">
            <v>0</v>
          </cell>
          <cell r="DB123" t="e">
            <v>#DIV/0!</v>
          </cell>
          <cell r="DC123">
            <v>0</v>
          </cell>
          <cell r="DD123">
            <v>0</v>
          </cell>
          <cell r="DE123" t="e">
            <v>#DIV/0!</v>
          </cell>
          <cell r="DF123">
            <v>0</v>
          </cell>
          <cell r="DG123">
            <v>0</v>
          </cell>
          <cell r="DH123" t="e">
            <v>#DIV/0!</v>
          </cell>
          <cell r="DJ123" t="str">
            <v>405 GASOIL</v>
          </cell>
          <cell r="DK123">
            <v>0</v>
          </cell>
          <cell r="DL123">
            <v>0</v>
          </cell>
          <cell r="DM123" t="e">
            <v>#DIV/0!</v>
          </cell>
          <cell r="DN123">
            <v>0</v>
          </cell>
          <cell r="DO123">
            <v>0</v>
          </cell>
          <cell r="DP123" t="e">
            <v>#DIV/0!</v>
          </cell>
          <cell r="DQ123">
            <v>0</v>
          </cell>
          <cell r="DR123">
            <v>0</v>
          </cell>
          <cell r="DS123" t="e">
            <v>#DIV/0!</v>
          </cell>
          <cell r="DT123">
            <v>0</v>
          </cell>
          <cell r="DU123">
            <v>0</v>
          </cell>
          <cell r="DV123" t="e">
            <v>#DIV/0!</v>
          </cell>
          <cell r="DX123" t="str">
            <v>405 GASOIL</v>
          </cell>
          <cell r="DY123">
            <v>0</v>
          </cell>
          <cell r="DZ123">
            <v>0</v>
          </cell>
          <cell r="EA123" t="e">
            <v>#DIV/0!</v>
          </cell>
          <cell r="EB123">
            <v>0</v>
          </cell>
          <cell r="EC123">
            <v>0</v>
          </cell>
          <cell r="ED123" t="e">
            <v>#DIV/0!</v>
          </cell>
          <cell r="EE123">
            <v>828945</v>
          </cell>
          <cell r="EF123">
            <v>281844</v>
          </cell>
          <cell r="EG123">
            <v>34.000325715216327</v>
          </cell>
          <cell r="EH123">
            <v>0</v>
          </cell>
          <cell r="EI123">
            <v>0</v>
          </cell>
          <cell r="EJ123" t="e">
            <v>#DIV/0!</v>
          </cell>
          <cell r="EK123">
            <v>828945</v>
          </cell>
          <cell r="EL123">
            <v>281844</v>
          </cell>
          <cell r="EM123">
            <v>34.000325715216327</v>
          </cell>
          <cell r="EO123" t="str">
            <v>405 GASOIL</v>
          </cell>
          <cell r="EP123">
            <v>0</v>
          </cell>
          <cell r="EQ123">
            <v>0</v>
          </cell>
          <cell r="ER123" t="e">
            <v>#DIV/0!</v>
          </cell>
          <cell r="ES123">
            <v>0</v>
          </cell>
          <cell r="ET123">
            <v>0</v>
          </cell>
          <cell r="EU123" t="e">
            <v>#DIV/0!</v>
          </cell>
          <cell r="EV123">
            <v>0</v>
          </cell>
          <cell r="EW123">
            <v>0</v>
          </cell>
          <cell r="EX123" t="e">
            <v>#DIV/0!</v>
          </cell>
          <cell r="EY123">
            <v>0</v>
          </cell>
          <cell r="EZ123">
            <v>0</v>
          </cell>
          <cell r="FA123" t="e">
            <v>#DIV/0!</v>
          </cell>
          <cell r="FC123" t="str">
            <v>405 GASOIL</v>
          </cell>
          <cell r="FD123">
            <v>0</v>
          </cell>
          <cell r="FE123">
            <v>0</v>
          </cell>
          <cell r="FF123" t="e">
            <v>#DIV/0!</v>
          </cell>
          <cell r="FG123">
            <v>0</v>
          </cell>
          <cell r="FH123">
            <v>0</v>
          </cell>
          <cell r="FI123" t="e">
            <v>#DIV/0!</v>
          </cell>
          <cell r="FJ123">
            <v>0</v>
          </cell>
          <cell r="FK123">
            <v>0</v>
          </cell>
          <cell r="FL123" t="e">
            <v>#DIV/0!</v>
          </cell>
          <cell r="FM123">
            <v>79537</v>
          </cell>
          <cell r="FN123">
            <v>59652</v>
          </cell>
          <cell r="FO123">
            <v>74.999057042634249</v>
          </cell>
          <cell r="FP123">
            <v>79537</v>
          </cell>
          <cell r="FQ123">
            <v>59652</v>
          </cell>
          <cell r="FR123">
            <v>74.999057042634249</v>
          </cell>
        </row>
        <row r="124">
          <cell r="AZ124" t="str">
            <v>406 LUBRIF</v>
          </cell>
          <cell r="BA124">
            <v>0</v>
          </cell>
          <cell r="BB124">
            <v>0</v>
          </cell>
          <cell r="BC124" t="e">
            <v>#DIV/0!</v>
          </cell>
          <cell r="BD124">
            <v>4641</v>
          </cell>
          <cell r="BE124">
            <v>1392</v>
          </cell>
          <cell r="BF124">
            <v>29.993535875888817</v>
          </cell>
          <cell r="BG124">
            <v>1614</v>
          </cell>
          <cell r="BH124">
            <v>480</v>
          </cell>
          <cell r="BI124">
            <v>29.739776951672862</v>
          </cell>
          <cell r="BJ124">
            <v>1108</v>
          </cell>
          <cell r="BK124">
            <v>336</v>
          </cell>
          <cell r="BL124">
            <v>30.324909747292416</v>
          </cell>
          <cell r="BN124" t="str">
            <v>406 LUBRIF</v>
          </cell>
          <cell r="BO124">
            <v>3126</v>
          </cell>
          <cell r="BP124">
            <v>936</v>
          </cell>
          <cell r="BQ124">
            <v>29.942418426103647</v>
          </cell>
          <cell r="BR124">
            <v>2608</v>
          </cell>
          <cell r="BS124">
            <v>780</v>
          </cell>
          <cell r="BT124">
            <v>29.907975460122699</v>
          </cell>
          <cell r="BU124">
            <v>1756</v>
          </cell>
          <cell r="BV124">
            <v>528</v>
          </cell>
          <cell r="BW124">
            <v>30.068337129840543</v>
          </cell>
          <cell r="BX124">
            <v>170097</v>
          </cell>
          <cell r="BY124">
            <v>51024</v>
          </cell>
          <cell r="BZ124">
            <v>29.997001710788552</v>
          </cell>
          <cell r="CA124">
            <v>184950</v>
          </cell>
          <cell r="CB124">
            <v>55476</v>
          </cell>
          <cell r="CC124">
            <v>29.995133819951334</v>
          </cell>
          <cell r="CE124" t="str">
            <v>406 LUBRIF</v>
          </cell>
          <cell r="CF124">
            <v>97208</v>
          </cell>
          <cell r="CG124">
            <v>72912</v>
          </cell>
          <cell r="CH124">
            <v>75.00617233149535</v>
          </cell>
          <cell r="CI124">
            <v>127334</v>
          </cell>
          <cell r="CJ124">
            <v>95496</v>
          </cell>
          <cell r="CK124">
            <v>74.996465987089081</v>
          </cell>
          <cell r="CL124">
            <v>0</v>
          </cell>
          <cell r="CM124">
            <v>0</v>
          </cell>
          <cell r="CN124" t="e">
            <v>#DIV/0!</v>
          </cell>
          <cell r="CO124">
            <v>0</v>
          </cell>
          <cell r="CP124">
            <v>0</v>
          </cell>
          <cell r="CQ124" t="e">
            <v>#DIV/0!</v>
          </cell>
          <cell r="CR124">
            <v>224542</v>
          </cell>
          <cell r="CS124">
            <v>168408</v>
          </cell>
          <cell r="CT124">
            <v>75.000668026471658</v>
          </cell>
          <cell r="CV124" t="str">
            <v>406 LUBRIF</v>
          </cell>
          <cell r="CW124">
            <v>0</v>
          </cell>
          <cell r="CX124">
            <v>0</v>
          </cell>
          <cell r="CY124" t="e">
            <v>#DIV/0!</v>
          </cell>
          <cell r="CZ124">
            <v>2458</v>
          </cell>
          <cell r="DA124">
            <v>2460</v>
          </cell>
          <cell r="DB124">
            <v>100.08136696501219</v>
          </cell>
          <cell r="DC124">
            <v>0</v>
          </cell>
          <cell r="DD124">
            <v>0</v>
          </cell>
          <cell r="DE124" t="e">
            <v>#DIV/0!</v>
          </cell>
          <cell r="DF124">
            <v>2458</v>
          </cell>
          <cell r="DG124">
            <v>2460</v>
          </cell>
          <cell r="DH124">
            <v>100.08136696501219</v>
          </cell>
          <cell r="DJ124" t="str">
            <v>406 LUBRIF</v>
          </cell>
          <cell r="DK124">
            <v>17242</v>
          </cell>
          <cell r="DL124">
            <v>12936</v>
          </cell>
          <cell r="DM124">
            <v>75.026099060433822</v>
          </cell>
          <cell r="DN124">
            <v>0</v>
          </cell>
          <cell r="DO124">
            <v>0</v>
          </cell>
          <cell r="DP124" t="e">
            <v>#DIV/0!</v>
          </cell>
          <cell r="DQ124">
            <v>0</v>
          </cell>
          <cell r="DR124">
            <v>0</v>
          </cell>
          <cell r="DS124" t="e">
            <v>#DIV/0!</v>
          </cell>
          <cell r="DT124">
            <v>0</v>
          </cell>
          <cell r="DU124">
            <v>0</v>
          </cell>
          <cell r="DV124" t="e">
            <v>#DIV/0!</v>
          </cell>
          <cell r="DX124" t="str">
            <v>406 LUBRIF</v>
          </cell>
          <cell r="DY124">
            <v>0</v>
          </cell>
          <cell r="DZ124">
            <v>0</v>
          </cell>
          <cell r="EA124" t="e">
            <v>#DIV/0!</v>
          </cell>
          <cell r="EB124">
            <v>0</v>
          </cell>
          <cell r="EC124">
            <v>0</v>
          </cell>
          <cell r="ED124" t="e">
            <v>#DIV/0!</v>
          </cell>
          <cell r="EE124">
            <v>210919</v>
          </cell>
          <cell r="EF124">
            <v>158184</v>
          </cell>
          <cell r="EG124">
            <v>74.997510892807199</v>
          </cell>
          <cell r="EH124">
            <v>0</v>
          </cell>
          <cell r="EI124">
            <v>0</v>
          </cell>
          <cell r="EJ124" t="e">
            <v>#DIV/0!</v>
          </cell>
          <cell r="EK124">
            <v>228161</v>
          </cell>
          <cell r="EL124">
            <v>171120</v>
          </cell>
          <cell r="EM124">
            <v>74.999671284750676</v>
          </cell>
          <cell r="EO124" t="str">
            <v>406 LUBRIF</v>
          </cell>
          <cell r="EP124">
            <v>0</v>
          </cell>
          <cell r="EQ124">
            <v>0</v>
          </cell>
          <cell r="ER124" t="e">
            <v>#DIV/0!</v>
          </cell>
          <cell r="ES124">
            <v>0</v>
          </cell>
          <cell r="ET124">
            <v>0</v>
          </cell>
          <cell r="EU124" t="e">
            <v>#DIV/0!</v>
          </cell>
          <cell r="EV124">
            <v>21997</v>
          </cell>
          <cell r="EW124">
            <v>16056</v>
          </cell>
          <cell r="EX124">
            <v>72.991771605218887</v>
          </cell>
          <cell r="EY124">
            <v>0</v>
          </cell>
          <cell r="EZ124">
            <v>0</v>
          </cell>
          <cell r="FA124" t="e">
            <v>#DIV/0!</v>
          </cell>
          <cell r="FC124" t="str">
            <v>406 LUBRIF</v>
          </cell>
          <cell r="FD124">
            <v>0</v>
          </cell>
          <cell r="FE124">
            <v>0</v>
          </cell>
          <cell r="FF124" t="e">
            <v>#DIV/0!</v>
          </cell>
          <cell r="FG124">
            <v>0</v>
          </cell>
          <cell r="FH124">
            <v>0</v>
          </cell>
          <cell r="FI124" t="e">
            <v>#DIV/0!</v>
          </cell>
          <cell r="FJ124">
            <v>11317</v>
          </cell>
          <cell r="FK124">
            <v>8256</v>
          </cell>
          <cell r="FL124">
            <v>72.952195811610849</v>
          </cell>
          <cell r="FM124">
            <v>0</v>
          </cell>
          <cell r="FN124">
            <v>0</v>
          </cell>
          <cell r="FO124" t="e">
            <v>#DIV/0!</v>
          </cell>
          <cell r="FP124">
            <v>33314</v>
          </cell>
          <cell r="FQ124">
            <v>24312</v>
          </cell>
          <cell r="FR124">
            <v>72.978327429909356</v>
          </cell>
        </row>
        <row r="125">
          <cell r="AZ125" t="str">
            <v>407 F. BUREAU</v>
          </cell>
          <cell r="BA125">
            <v>0</v>
          </cell>
          <cell r="BB125">
            <v>0</v>
          </cell>
          <cell r="BC125" t="e">
            <v>#DIV/0!</v>
          </cell>
          <cell r="BD125">
            <v>0</v>
          </cell>
          <cell r="BE125">
            <v>0</v>
          </cell>
          <cell r="BF125" t="e">
            <v>#DIV/0!</v>
          </cell>
          <cell r="BG125">
            <v>0</v>
          </cell>
          <cell r="BH125">
            <v>0</v>
          </cell>
          <cell r="BI125" t="e">
            <v>#DIV/0!</v>
          </cell>
          <cell r="BJ125">
            <v>0</v>
          </cell>
          <cell r="BK125">
            <v>0</v>
          </cell>
          <cell r="BL125" t="e">
            <v>#DIV/0!</v>
          </cell>
          <cell r="BN125" t="str">
            <v>407 F. BUREAU</v>
          </cell>
          <cell r="BO125">
            <v>0</v>
          </cell>
          <cell r="BP125">
            <v>0</v>
          </cell>
          <cell r="BQ125" t="e">
            <v>#DIV/0!</v>
          </cell>
          <cell r="BR125">
            <v>0</v>
          </cell>
          <cell r="BS125">
            <v>0</v>
          </cell>
          <cell r="BT125" t="e">
            <v>#DIV/0!</v>
          </cell>
          <cell r="BU125">
            <v>0</v>
          </cell>
          <cell r="BV125">
            <v>0</v>
          </cell>
          <cell r="BW125" t="e">
            <v>#DIV/0!</v>
          </cell>
          <cell r="BX125">
            <v>0</v>
          </cell>
          <cell r="BY125">
            <v>0</v>
          </cell>
          <cell r="BZ125" t="e">
            <v>#DIV/0!</v>
          </cell>
          <cell r="CA125">
            <v>0</v>
          </cell>
          <cell r="CB125">
            <v>0</v>
          </cell>
          <cell r="CC125" t="e">
            <v>#DIV/0!</v>
          </cell>
          <cell r="CE125" t="str">
            <v>407 F. BUREAU</v>
          </cell>
          <cell r="CF125">
            <v>0</v>
          </cell>
          <cell r="CG125">
            <v>0</v>
          </cell>
          <cell r="CH125" t="e">
            <v>#DIV/0!</v>
          </cell>
          <cell r="CI125">
            <v>0</v>
          </cell>
          <cell r="CJ125">
            <v>0</v>
          </cell>
          <cell r="CK125" t="e">
            <v>#DIV/0!</v>
          </cell>
          <cell r="CL125">
            <v>0</v>
          </cell>
          <cell r="CM125">
            <v>0</v>
          </cell>
          <cell r="CN125" t="e">
            <v>#DIV/0!</v>
          </cell>
          <cell r="CO125">
            <v>0</v>
          </cell>
          <cell r="CP125">
            <v>0</v>
          </cell>
          <cell r="CQ125" t="e">
            <v>#DIV/0!</v>
          </cell>
          <cell r="CR125">
            <v>0</v>
          </cell>
          <cell r="CS125">
            <v>0</v>
          </cell>
          <cell r="CT125" t="e">
            <v>#DIV/0!</v>
          </cell>
          <cell r="CV125" t="str">
            <v>407 F. BUREAU</v>
          </cell>
          <cell r="CW125">
            <v>0</v>
          </cell>
          <cell r="CX125">
            <v>0</v>
          </cell>
          <cell r="CY125" t="e">
            <v>#DIV/0!</v>
          </cell>
          <cell r="CZ125">
            <v>0</v>
          </cell>
          <cell r="DA125">
            <v>0</v>
          </cell>
          <cell r="DB125" t="e">
            <v>#DIV/0!</v>
          </cell>
          <cell r="DC125">
            <v>0</v>
          </cell>
          <cell r="DD125">
            <v>0</v>
          </cell>
          <cell r="DE125" t="e">
            <v>#DIV/0!</v>
          </cell>
          <cell r="DF125">
            <v>0</v>
          </cell>
          <cell r="DG125">
            <v>0</v>
          </cell>
          <cell r="DH125" t="e">
            <v>#DIV/0!</v>
          </cell>
          <cell r="DJ125" t="str">
            <v>407 F. BUREAU</v>
          </cell>
          <cell r="DK125">
            <v>0</v>
          </cell>
          <cell r="DL125">
            <v>0</v>
          </cell>
          <cell r="DM125" t="e">
            <v>#DIV/0!</v>
          </cell>
          <cell r="DN125">
            <v>0</v>
          </cell>
          <cell r="DO125">
            <v>0</v>
          </cell>
          <cell r="DP125" t="e">
            <v>#DIV/0!</v>
          </cell>
          <cell r="DQ125">
            <v>0</v>
          </cell>
          <cell r="DR125">
            <v>0</v>
          </cell>
          <cell r="DS125" t="e">
            <v>#DIV/0!</v>
          </cell>
          <cell r="DT125">
            <v>0</v>
          </cell>
          <cell r="DU125">
            <v>0</v>
          </cell>
          <cell r="DV125" t="e">
            <v>#DIV/0!</v>
          </cell>
          <cell r="DX125" t="str">
            <v>407 F. BUREAU</v>
          </cell>
          <cell r="DY125">
            <v>0</v>
          </cell>
          <cell r="DZ125">
            <v>0</v>
          </cell>
          <cell r="EA125" t="e">
            <v>#DIV/0!</v>
          </cell>
          <cell r="EB125">
            <v>0</v>
          </cell>
          <cell r="EC125">
            <v>0</v>
          </cell>
          <cell r="ED125" t="e">
            <v>#DIV/0!</v>
          </cell>
          <cell r="EE125">
            <v>0</v>
          </cell>
          <cell r="EF125">
            <v>0</v>
          </cell>
          <cell r="EG125" t="e">
            <v>#DIV/0!</v>
          </cell>
          <cell r="EH125">
            <v>5083</v>
          </cell>
          <cell r="EI125">
            <v>5088</v>
          </cell>
          <cell r="EJ125">
            <v>100.09836710603975</v>
          </cell>
          <cell r="EK125">
            <v>5083</v>
          </cell>
          <cell r="EL125">
            <v>5088</v>
          </cell>
          <cell r="EM125">
            <v>100.09836710603975</v>
          </cell>
          <cell r="EO125" t="str">
            <v>407 F. BUREAU</v>
          </cell>
          <cell r="EP125">
            <v>0</v>
          </cell>
          <cell r="EQ125">
            <v>0</v>
          </cell>
          <cell r="ER125" t="e">
            <v>#DIV/0!</v>
          </cell>
          <cell r="ES125">
            <v>0</v>
          </cell>
          <cell r="ET125">
            <v>0</v>
          </cell>
          <cell r="EU125" t="e">
            <v>#DIV/0!</v>
          </cell>
          <cell r="EV125">
            <v>0</v>
          </cell>
          <cell r="EW125">
            <v>0</v>
          </cell>
          <cell r="EX125" t="e">
            <v>#DIV/0!</v>
          </cell>
          <cell r="EY125">
            <v>0</v>
          </cell>
          <cell r="EZ125">
            <v>0</v>
          </cell>
          <cell r="FA125" t="e">
            <v>#DIV/0!</v>
          </cell>
          <cell r="FC125" t="str">
            <v>407 F. BUREAU</v>
          </cell>
          <cell r="FD125">
            <v>0</v>
          </cell>
          <cell r="FE125">
            <v>0</v>
          </cell>
          <cell r="FF125" t="e">
            <v>#DIV/0!</v>
          </cell>
          <cell r="FG125">
            <v>0</v>
          </cell>
          <cell r="FH125">
            <v>0</v>
          </cell>
          <cell r="FI125" t="e">
            <v>#DIV/0!</v>
          </cell>
          <cell r="FJ125">
            <v>0</v>
          </cell>
          <cell r="FK125">
            <v>0</v>
          </cell>
          <cell r="FL125" t="e">
            <v>#DIV/0!</v>
          </cell>
          <cell r="FM125">
            <v>29252</v>
          </cell>
          <cell r="FN125">
            <v>29256</v>
          </cell>
          <cell r="FO125">
            <v>100.01367427868179</v>
          </cell>
          <cell r="FP125">
            <v>29252</v>
          </cell>
          <cell r="FQ125">
            <v>29256</v>
          </cell>
          <cell r="FR125">
            <v>100.01367427868179</v>
          </cell>
        </row>
        <row r="126">
          <cell r="AZ126" t="str">
            <v>408 ROULEAUX</v>
          </cell>
          <cell r="BA126">
            <v>0</v>
          </cell>
          <cell r="BB126">
            <v>0</v>
          </cell>
          <cell r="BC126" t="e">
            <v>#DIV/0!</v>
          </cell>
          <cell r="BD126">
            <v>0</v>
          </cell>
          <cell r="BE126">
            <v>0</v>
          </cell>
          <cell r="BF126" t="e">
            <v>#DIV/0!</v>
          </cell>
          <cell r="BG126">
            <v>0</v>
          </cell>
          <cell r="BH126">
            <v>0</v>
          </cell>
          <cell r="BI126" t="e">
            <v>#DIV/0!</v>
          </cell>
          <cell r="BJ126">
            <v>0</v>
          </cell>
          <cell r="BK126">
            <v>0</v>
          </cell>
          <cell r="BL126" t="e">
            <v>#DIV/0!</v>
          </cell>
          <cell r="BN126" t="str">
            <v>408 ROULEAUX</v>
          </cell>
          <cell r="BO126">
            <v>0</v>
          </cell>
          <cell r="BP126">
            <v>0</v>
          </cell>
          <cell r="BQ126" t="e">
            <v>#DIV/0!</v>
          </cell>
          <cell r="BR126">
            <v>0</v>
          </cell>
          <cell r="BS126">
            <v>0</v>
          </cell>
          <cell r="BT126" t="e">
            <v>#DIV/0!</v>
          </cell>
          <cell r="BU126">
            <v>0</v>
          </cell>
          <cell r="BV126">
            <v>0</v>
          </cell>
          <cell r="BW126" t="e">
            <v>#DIV/0!</v>
          </cell>
          <cell r="BX126">
            <v>202464</v>
          </cell>
          <cell r="BY126">
            <v>32400</v>
          </cell>
          <cell r="BZ126">
            <v>16.002844950213372</v>
          </cell>
          <cell r="CA126">
            <v>202464</v>
          </cell>
          <cell r="CB126">
            <v>32400</v>
          </cell>
          <cell r="CC126">
            <v>16.002844950213372</v>
          </cell>
          <cell r="CE126" t="str">
            <v>408 ROULEAUX</v>
          </cell>
          <cell r="CF126">
            <v>0</v>
          </cell>
          <cell r="CG126">
            <v>0</v>
          </cell>
          <cell r="CH126" t="e">
            <v>#DIV/0!</v>
          </cell>
          <cell r="CI126">
            <v>0</v>
          </cell>
          <cell r="CJ126">
            <v>0</v>
          </cell>
          <cell r="CK126" t="e">
            <v>#DIV/0!</v>
          </cell>
          <cell r="CL126">
            <v>0</v>
          </cell>
          <cell r="CM126">
            <v>0</v>
          </cell>
          <cell r="CN126" t="e">
            <v>#DIV/0!</v>
          </cell>
          <cell r="CO126">
            <v>0</v>
          </cell>
          <cell r="CP126">
            <v>0</v>
          </cell>
          <cell r="CQ126" t="e">
            <v>#DIV/0!</v>
          </cell>
          <cell r="CR126">
            <v>0</v>
          </cell>
          <cell r="CS126">
            <v>0</v>
          </cell>
          <cell r="CT126" t="e">
            <v>#DIV/0!</v>
          </cell>
          <cell r="CV126" t="str">
            <v>408 ROULEAUX</v>
          </cell>
          <cell r="CW126">
            <v>0</v>
          </cell>
          <cell r="CX126">
            <v>0</v>
          </cell>
          <cell r="CY126" t="e">
            <v>#DIV/0!</v>
          </cell>
          <cell r="CZ126">
            <v>0</v>
          </cell>
          <cell r="DA126">
            <v>0</v>
          </cell>
          <cell r="DB126" t="e">
            <v>#DIV/0!</v>
          </cell>
          <cell r="DC126">
            <v>0</v>
          </cell>
          <cell r="DD126">
            <v>0</v>
          </cell>
          <cell r="DE126" t="e">
            <v>#DIV/0!</v>
          </cell>
          <cell r="DF126">
            <v>0</v>
          </cell>
          <cell r="DG126">
            <v>0</v>
          </cell>
          <cell r="DH126" t="e">
            <v>#DIV/0!</v>
          </cell>
          <cell r="DJ126" t="str">
            <v>408 ROULEAUX</v>
          </cell>
          <cell r="DK126">
            <v>62756</v>
          </cell>
          <cell r="DL126">
            <v>43932</v>
          </cell>
          <cell r="DM126">
            <v>70.004461724775325</v>
          </cell>
          <cell r="DN126">
            <v>0</v>
          </cell>
          <cell r="DO126">
            <v>0</v>
          </cell>
          <cell r="DP126" t="e">
            <v>#DIV/0!</v>
          </cell>
          <cell r="DQ126">
            <v>0</v>
          </cell>
          <cell r="DR126">
            <v>0</v>
          </cell>
          <cell r="DS126" t="e">
            <v>#DIV/0!</v>
          </cell>
          <cell r="DT126">
            <v>0</v>
          </cell>
          <cell r="DU126">
            <v>0</v>
          </cell>
          <cell r="DV126" t="e">
            <v>#DIV/0!</v>
          </cell>
          <cell r="DX126" t="str">
            <v>408 ROULEAUX</v>
          </cell>
          <cell r="DY126">
            <v>0</v>
          </cell>
          <cell r="DZ126">
            <v>0</v>
          </cell>
          <cell r="EA126" t="e">
            <v>#DIV/0!</v>
          </cell>
          <cell r="EB126">
            <v>0</v>
          </cell>
          <cell r="EC126">
            <v>0</v>
          </cell>
          <cell r="ED126" t="e">
            <v>#DIV/0!</v>
          </cell>
          <cell r="EE126">
            <v>0</v>
          </cell>
          <cell r="EF126">
            <v>0</v>
          </cell>
          <cell r="EG126" t="e">
            <v>#DIV/0!</v>
          </cell>
          <cell r="EH126">
            <v>0</v>
          </cell>
          <cell r="EI126">
            <v>0</v>
          </cell>
          <cell r="EJ126" t="e">
            <v>#DIV/0!</v>
          </cell>
          <cell r="EK126">
            <v>62756</v>
          </cell>
          <cell r="EL126">
            <v>43932</v>
          </cell>
          <cell r="EM126">
            <v>70.004461724775325</v>
          </cell>
          <cell r="EO126" t="str">
            <v>408 ROULEAUX</v>
          </cell>
          <cell r="EP126">
            <v>0</v>
          </cell>
          <cell r="EQ126">
            <v>0</v>
          </cell>
          <cell r="ER126" t="e">
            <v>#DIV/0!</v>
          </cell>
          <cell r="ES126">
            <v>0</v>
          </cell>
          <cell r="ET126">
            <v>0</v>
          </cell>
          <cell r="EU126" t="e">
            <v>#DIV/0!</v>
          </cell>
          <cell r="EV126">
            <v>0</v>
          </cell>
          <cell r="EW126">
            <v>0</v>
          </cell>
          <cell r="EX126" t="e">
            <v>#DIV/0!</v>
          </cell>
          <cell r="EY126">
            <v>0</v>
          </cell>
          <cell r="EZ126">
            <v>0</v>
          </cell>
          <cell r="FA126" t="e">
            <v>#DIV/0!</v>
          </cell>
          <cell r="FC126" t="str">
            <v>408 ROULEAUX</v>
          </cell>
          <cell r="FD126">
            <v>0</v>
          </cell>
          <cell r="FE126">
            <v>0</v>
          </cell>
          <cell r="FF126" t="e">
            <v>#DIV/0!</v>
          </cell>
          <cell r="FG126">
            <v>0</v>
          </cell>
          <cell r="FH126">
            <v>0</v>
          </cell>
          <cell r="FI126" t="e">
            <v>#DIV/0!</v>
          </cell>
          <cell r="FJ126">
            <v>24167</v>
          </cell>
          <cell r="FK126">
            <v>18120</v>
          </cell>
          <cell r="FL126">
            <v>74.978276161708109</v>
          </cell>
          <cell r="FM126">
            <v>0</v>
          </cell>
          <cell r="FN126">
            <v>0</v>
          </cell>
          <cell r="FO126" t="e">
            <v>#DIV/0!</v>
          </cell>
          <cell r="FP126">
            <v>24167</v>
          </cell>
          <cell r="FQ126">
            <v>18120</v>
          </cell>
          <cell r="FR126">
            <v>74.978276161708109</v>
          </cell>
        </row>
        <row r="127">
          <cell r="AZ127" t="str">
            <v>409 A.  MARCH</v>
          </cell>
          <cell r="BA127">
            <v>0</v>
          </cell>
          <cell r="BB127">
            <v>0</v>
          </cell>
          <cell r="BC127" t="e">
            <v>#DIV/0!</v>
          </cell>
          <cell r="BD127">
            <v>104821</v>
          </cell>
          <cell r="BE127">
            <v>31452</v>
          </cell>
          <cell r="BF127">
            <v>30.005437841653865</v>
          </cell>
          <cell r="BG127">
            <v>129140</v>
          </cell>
          <cell r="BH127">
            <v>38748</v>
          </cell>
          <cell r="BI127">
            <v>30.004646120489394</v>
          </cell>
          <cell r="BJ127">
            <v>102505</v>
          </cell>
          <cell r="BK127">
            <v>30756</v>
          </cell>
          <cell r="BL127">
            <v>30.004390029754646</v>
          </cell>
          <cell r="BN127" t="str">
            <v>409 A.  MARCH</v>
          </cell>
          <cell r="BO127">
            <v>105287</v>
          </cell>
          <cell r="BP127">
            <v>31584</v>
          </cell>
          <cell r="BQ127">
            <v>29.998005451765174</v>
          </cell>
          <cell r="BR127">
            <v>95406</v>
          </cell>
          <cell r="BS127">
            <v>28620</v>
          </cell>
          <cell r="BT127">
            <v>29.9981133262059</v>
          </cell>
          <cell r="BU127">
            <v>115508</v>
          </cell>
          <cell r="BV127">
            <v>34656</v>
          </cell>
          <cell r="BW127">
            <v>30.00311666724383</v>
          </cell>
          <cell r="BX127">
            <v>109578</v>
          </cell>
          <cell r="BY127">
            <v>32868</v>
          </cell>
          <cell r="BZ127">
            <v>29.995072003504355</v>
          </cell>
          <cell r="CA127">
            <v>762245</v>
          </cell>
          <cell r="CB127">
            <v>228684</v>
          </cell>
          <cell r="CC127">
            <v>30.001377509855754</v>
          </cell>
          <cell r="CE127" t="str">
            <v>409 A.  MARCH</v>
          </cell>
          <cell r="CF127">
            <v>418045</v>
          </cell>
          <cell r="CG127">
            <v>255012</v>
          </cell>
          <cell r="CH127">
            <v>61.001088399574208</v>
          </cell>
          <cell r="CI127">
            <v>644553</v>
          </cell>
          <cell r="CJ127">
            <v>393180</v>
          </cell>
          <cell r="CK127">
            <v>61.000414240566712</v>
          </cell>
          <cell r="CL127">
            <v>0</v>
          </cell>
          <cell r="CM127">
            <v>0</v>
          </cell>
          <cell r="CN127" t="e">
            <v>#DIV/0!</v>
          </cell>
          <cell r="CO127">
            <v>0</v>
          </cell>
          <cell r="CP127">
            <v>0</v>
          </cell>
          <cell r="CQ127" t="e">
            <v>#DIV/0!</v>
          </cell>
          <cell r="CR127">
            <v>1062598</v>
          </cell>
          <cell r="CS127">
            <v>648192</v>
          </cell>
          <cell r="CT127">
            <v>61.000679466740948</v>
          </cell>
          <cell r="CV127" t="str">
            <v>409 A.  MARCH</v>
          </cell>
          <cell r="CW127">
            <v>0</v>
          </cell>
          <cell r="CX127">
            <v>0</v>
          </cell>
          <cell r="CY127" t="e">
            <v>#DIV/0!</v>
          </cell>
          <cell r="CZ127">
            <v>94712</v>
          </cell>
          <cell r="DA127">
            <v>94716</v>
          </cell>
          <cell r="DB127">
            <v>100.00422332967311</v>
          </cell>
          <cell r="DC127">
            <v>0</v>
          </cell>
          <cell r="DD127">
            <v>0</v>
          </cell>
          <cell r="DE127" t="e">
            <v>#DIV/0!</v>
          </cell>
          <cell r="DF127">
            <v>94712</v>
          </cell>
          <cell r="DG127">
            <v>94716</v>
          </cell>
          <cell r="DH127">
            <v>100.00422332967311</v>
          </cell>
          <cell r="DJ127" t="str">
            <v>409 A.  MARCH</v>
          </cell>
          <cell r="DK127">
            <v>336933</v>
          </cell>
          <cell r="DL127">
            <v>252696</v>
          </cell>
          <cell r="DM127">
            <v>74.998887019080939</v>
          </cell>
          <cell r="DN127">
            <v>0</v>
          </cell>
          <cell r="DO127">
            <v>0</v>
          </cell>
          <cell r="DP127" t="e">
            <v>#DIV/0!</v>
          </cell>
          <cell r="DQ127">
            <v>0</v>
          </cell>
          <cell r="DR127">
            <v>0</v>
          </cell>
          <cell r="DS127" t="e">
            <v>#DIV/0!</v>
          </cell>
          <cell r="DT127">
            <v>0</v>
          </cell>
          <cell r="DU127">
            <v>0</v>
          </cell>
          <cell r="DV127" t="e">
            <v>#DIV/0!</v>
          </cell>
          <cell r="DX127" t="str">
            <v>409 A.  MARCH</v>
          </cell>
          <cell r="DY127">
            <v>0</v>
          </cell>
          <cell r="DZ127">
            <v>0</v>
          </cell>
          <cell r="EA127" t="e">
            <v>#DIV/0!</v>
          </cell>
          <cell r="EB127">
            <v>0</v>
          </cell>
          <cell r="EC127">
            <v>0</v>
          </cell>
          <cell r="ED127" t="e">
            <v>#DIV/0!</v>
          </cell>
          <cell r="EE127">
            <v>129998</v>
          </cell>
          <cell r="EF127">
            <v>97500</v>
          </cell>
          <cell r="EG127">
            <v>75.0011538639056</v>
          </cell>
          <cell r="EH127">
            <v>113113</v>
          </cell>
          <cell r="EI127">
            <v>84840</v>
          </cell>
          <cell r="EJ127">
            <v>75.004641376322795</v>
          </cell>
          <cell r="EK127">
            <v>580044</v>
          </cell>
          <cell r="EL127">
            <v>435036</v>
          </cell>
          <cell r="EM127">
            <v>75.000517202143286</v>
          </cell>
          <cell r="EO127" t="str">
            <v>409 A.  MARCH</v>
          </cell>
          <cell r="EP127">
            <v>42943</v>
          </cell>
          <cell r="EQ127">
            <v>32208</v>
          </cell>
          <cell r="ER127">
            <v>75.001746501175987</v>
          </cell>
          <cell r="ES127">
            <v>0</v>
          </cell>
          <cell r="ET127">
            <v>0</v>
          </cell>
          <cell r="EU127" t="e">
            <v>#DIV/0!</v>
          </cell>
          <cell r="EV127">
            <v>9029</v>
          </cell>
          <cell r="EW127">
            <v>6768</v>
          </cell>
          <cell r="EX127">
            <v>74.95846716136893</v>
          </cell>
          <cell r="EY127">
            <v>2251</v>
          </cell>
          <cell r="EZ127">
            <v>1692</v>
          </cell>
          <cell r="FA127">
            <v>75.166592625499774</v>
          </cell>
          <cell r="FC127" t="str">
            <v>409 A.  MARCH</v>
          </cell>
          <cell r="FD127">
            <v>0</v>
          </cell>
          <cell r="FE127">
            <v>0</v>
          </cell>
          <cell r="FF127" t="e">
            <v>#DIV/0!</v>
          </cell>
          <cell r="FG127">
            <v>0</v>
          </cell>
          <cell r="FH127">
            <v>0</v>
          </cell>
          <cell r="FI127" t="e">
            <v>#DIV/0!</v>
          </cell>
          <cell r="FJ127">
            <v>102076</v>
          </cell>
          <cell r="FK127">
            <v>76560</v>
          </cell>
          <cell r="FL127">
            <v>75.002938986637403</v>
          </cell>
          <cell r="FM127">
            <v>26131</v>
          </cell>
          <cell r="FN127">
            <v>19596</v>
          </cell>
          <cell r="FO127">
            <v>74.991389537331145</v>
          </cell>
          <cell r="FP127">
            <v>182430</v>
          </cell>
          <cell r="FQ127">
            <v>136824</v>
          </cell>
          <cell r="FR127">
            <v>75.000822233185332</v>
          </cell>
        </row>
        <row r="128">
          <cell r="AZ128" t="str">
            <v>410 L.  D'USU BULLS</v>
          </cell>
          <cell r="BA128">
            <v>0</v>
          </cell>
          <cell r="BB128">
            <v>0</v>
          </cell>
          <cell r="BC128" t="e">
            <v>#DIV/0!</v>
          </cell>
          <cell r="BD128">
            <v>0</v>
          </cell>
          <cell r="BE128">
            <v>0</v>
          </cell>
          <cell r="BF128" t="e">
            <v>#DIV/0!</v>
          </cell>
          <cell r="BG128">
            <v>0</v>
          </cell>
          <cell r="BH128">
            <v>0</v>
          </cell>
          <cell r="BI128" t="e">
            <v>#DIV/0!</v>
          </cell>
          <cell r="BJ128">
            <v>0</v>
          </cell>
          <cell r="BK128">
            <v>0</v>
          </cell>
          <cell r="BL128" t="e">
            <v>#DIV/0!</v>
          </cell>
          <cell r="BN128" t="str">
            <v>410 L.  D'USU BULLS</v>
          </cell>
          <cell r="BO128">
            <v>0</v>
          </cell>
          <cell r="BP128">
            <v>0</v>
          </cell>
          <cell r="BQ128" t="e">
            <v>#DIV/0!</v>
          </cell>
          <cell r="BR128">
            <v>0</v>
          </cell>
          <cell r="BS128">
            <v>0</v>
          </cell>
          <cell r="BT128" t="e">
            <v>#DIV/0!</v>
          </cell>
          <cell r="BU128">
            <v>0</v>
          </cell>
          <cell r="BV128">
            <v>0</v>
          </cell>
          <cell r="BW128" t="e">
            <v>#DIV/0!</v>
          </cell>
          <cell r="BX128">
            <v>0</v>
          </cell>
          <cell r="BY128">
            <v>0</v>
          </cell>
          <cell r="BZ128" t="e">
            <v>#DIV/0!</v>
          </cell>
          <cell r="CA128">
            <v>0</v>
          </cell>
          <cell r="CB128">
            <v>0</v>
          </cell>
          <cell r="CC128" t="e">
            <v>#DIV/0!</v>
          </cell>
          <cell r="CE128" t="str">
            <v>410 L.  D'USU BULLS</v>
          </cell>
          <cell r="CF128">
            <v>0</v>
          </cell>
          <cell r="CG128">
            <v>0</v>
          </cell>
          <cell r="CH128" t="e">
            <v>#DIV/0!</v>
          </cell>
          <cell r="CI128">
            <v>0</v>
          </cell>
          <cell r="CJ128">
            <v>0</v>
          </cell>
          <cell r="CK128" t="e">
            <v>#DIV/0!</v>
          </cell>
          <cell r="CL128">
            <v>0</v>
          </cell>
          <cell r="CM128">
            <v>0</v>
          </cell>
          <cell r="CN128" t="e">
            <v>#DIV/0!</v>
          </cell>
          <cell r="CO128">
            <v>0</v>
          </cell>
          <cell r="CP128">
            <v>0</v>
          </cell>
          <cell r="CQ128" t="e">
            <v>#DIV/0!</v>
          </cell>
          <cell r="CR128">
            <v>0</v>
          </cell>
          <cell r="CS128">
            <v>0</v>
          </cell>
          <cell r="CT128" t="e">
            <v>#DIV/0!</v>
          </cell>
          <cell r="CV128" t="str">
            <v>410 L.  D'USU BULLS</v>
          </cell>
          <cell r="CW128">
            <v>0</v>
          </cell>
          <cell r="CX128">
            <v>0</v>
          </cell>
          <cell r="CY128" t="e">
            <v>#DIV/0!</v>
          </cell>
          <cell r="CZ128">
            <v>0</v>
          </cell>
          <cell r="DA128">
            <v>0</v>
          </cell>
          <cell r="DB128" t="e">
            <v>#DIV/0!</v>
          </cell>
          <cell r="DC128">
            <v>0</v>
          </cell>
          <cell r="DD128">
            <v>0</v>
          </cell>
          <cell r="DE128" t="e">
            <v>#DIV/0!</v>
          </cell>
          <cell r="DF128">
            <v>0</v>
          </cell>
          <cell r="DG128">
            <v>0</v>
          </cell>
          <cell r="DH128" t="e">
            <v>#DIV/0!</v>
          </cell>
          <cell r="DJ128" t="str">
            <v>410 L.  D'USU BULLS</v>
          </cell>
          <cell r="DK128">
            <v>0</v>
          </cell>
          <cell r="DL128">
            <v>0</v>
          </cell>
          <cell r="DM128" t="e">
            <v>#DIV/0!</v>
          </cell>
          <cell r="DN128">
            <v>0</v>
          </cell>
          <cell r="DO128">
            <v>0</v>
          </cell>
          <cell r="DP128" t="e">
            <v>#DIV/0!</v>
          </cell>
          <cell r="DQ128">
            <v>0</v>
          </cell>
          <cell r="DR128">
            <v>0</v>
          </cell>
          <cell r="DS128" t="e">
            <v>#DIV/0!</v>
          </cell>
          <cell r="DT128">
            <v>0</v>
          </cell>
          <cell r="DU128">
            <v>0</v>
          </cell>
          <cell r="DV128" t="e">
            <v>#DIV/0!</v>
          </cell>
          <cell r="DX128" t="str">
            <v>410 L.  D'USU BULLS</v>
          </cell>
          <cell r="DY128">
            <v>0</v>
          </cell>
          <cell r="DZ128">
            <v>0</v>
          </cell>
          <cell r="EA128" t="e">
            <v>#DIV/0!</v>
          </cell>
          <cell r="EB128">
            <v>0</v>
          </cell>
          <cell r="EC128">
            <v>0</v>
          </cell>
          <cell r="ED128" t="e">
            <v>#DIV/0!</v>
          </cell>
          <cell r="EE128">
            <v>0</v>
          </cell>
          <cell r="EF128">
            <v>0</v>
          </cell>
          <cell r="EG128" t="e">
            <v>#DIV/0!</v>
          </cell>
          <cell r="EH128">
            <v>0</v>
          </cell>
          <cell r="EI128">
            <v>0</v>
          </cell>
          <cell r="EJ128" t="e">
            <v>#DIV/0!</v>
          </cell>
          <cell r="EK128">
            <v>0</v>
          </cell>
          <cell r="EL128">
            <v>0</v>
          </cell>
          <cell r="EM128" t="e">
            <v>#DIV/0!</v>
          </cell>
          <cell r="EO128" t="str">
            <v>410 L.  D'USU BULLS</v>
          </cell>
          <cell r="EP128">
            <v>0</v>
          </cell>
          <cell r="EQ128">
            <v>0</v>
          </cell>
          <cell r="ER128" t="e">
            <v>#DIV/0!</v>
          </cell>
          <cell r="ES128">
            <v>0</v>
          </cell>
          <cell r="ET128">
            <v>0</v>
          </cell>
          <cell r="EU128" t="e">
            <v>#DIV/0!</v>
          </cell>
          <cell r="EV128">
            <v>0</v>
          </cell>
          <cell r="EW128">
            <v>0</v>
          </cell>
          <cell r="EX128" t="e">
            <v>#DIV/0!</v>
          </cell>
          <cell r="EY128">
            <v>0</v>
          </cell>
          <cell r="EZ128">
            <v>0</v>
          </cell>
          <cell r="FA128" t="e">
            <v>#DIV/0!</v>
          </cell>
          <cell r="FC128" t="str">
            <v>410 L.  D'USU BULLS</v>
          </cell>
          <cell r="FD128">
            <v>0</v>
          </cell>
          <cell r="FE128">
            <v>0</v>
          </cell>
          <cell r="FF128" t="e">
            <v>#DIV/0!</v>
          </cell>
          <cell r="FG128">
            <v>0</v>
          </cell>
          <cell r="FH128">
            <v>0</v>
          </cell>
          <cell r="FI128" t="e">
            <v>#DIV/0!</v>
          </cell>
          <cell r="FJ128">
            <v>0</v>
          </cell>
          <cell r="FK128">
            <v>0</v>
          </cell>
          <cell r="FL128" t="e">
            <v>#DIV/0!</v>
          </cell>
          <cell r="FM128">
            <v>0</v>
          </cell>
          <cell r="FN128">
            <v>0</v>
          </cell>
          <cell r="FO128" t="e">
            <v>#DIV/0!</v>
          </cell>
          <cell r="FP128">
            <v>0</v>
          </cell>
          <cell r="FQ128">
            <v>0</v>
          </cell>
          <cell r="FR128" t="e">
            <v>#DIV/0!</v>
          </cell>
        </row>
        <row r="129">
          <cell r="AZ129" t="str">
            <v>411 TIGES DRI.COL.</v>
          </cell>
          <cell r="BA129">
            <v>0</v>
          </cell>
          <cell r="BB129">
            <v>0</v>
          </cell>
          <cell r="BC129" t="e">
            <v>#DIV/0!</v>
          </cell>
          <cell r="BD129">
            <v>0</v>
          </cell>
          <cell r="BE129">
            <v>0</v>
          </cell>
          <cell r="BF129" t="e">
            <v>#DIV/0!</v>
          </cell>
          <cell r="BG129">
            <v>0</v>
          </cell>
          <cell r="BH129">
            <v>0</v>
          </cell>
          <cell r="BI129" t="e">
            <v>#DIV/0!</v>
          </cell>
          <cell r="BJ129">
            <v>0</v>
          </cell>
          <cell r="BK129">
            <v>0</v>
          </cell>
          <cell r="BL129" t="e">
            <v>#DIV/0!</v>
          </cell>
          <cell r="BN129" t="str">
            <v>411 TIGES DRI.COL.</v>
          </cell>
          <cell r="BO129">
            <v>0</v>
          </cell>
          <cell r="BP129">
            <v>0</v>
          </cell>
          <cell r="BQ129" t="e">
            <v>#DIV/0!</v>
          </cell>
          <cell r="BR129">
            <v>0</v>
          </cell>
          <cell r="BS129">
            <v>0</v>
          </cell>
          <cell r="BT129" t="e">
            <v>#DIV/0!</v>
          </cell>
          <cell r="BU129">
            <v>0</v>
          </cell>
          <cell r="BV129">
            <v>0</v>
          </cell>
          <cell r="BW129" t="e">
            <v>#DIV/0!</v>
          </cell>
          <cell r="BX129">
            <v>0</v>
          </cell>
          <cell r="BY129">
            <v>0</v>
          </cell>
          <cell r="BZ129" t="e">
            <v>#DIV/0!</v>
          </cell>
          <cell r="CA129">
            <v>0</v>
          </cell>
          <cell r="CB129">
            <v>0</v>
          </cell>
          <cell r="CC129" t="e">
            <v>#DIV/0!</v>
          </cell>
          <cell r="CE129" t="str">
            <v>411 TIGES DRI.COL.</v>
          </cell>
          <cell r="CF129">
            <v>0</v>
          </cell>
          <cell r="CG129">
            <v>0</v>
          </cell>
          <cell r="CH129" t="e">
            <v>#DIV/0!</v>
          </cell>
          <cell r="CI129">
            <v>0</v>
          </cell>
          <cell r="CJ129">
            <v>0</v>
          </cell>
          <cell r="CK129" t="e">
            <v>#DIV/0!</v>
          </cell>
          <cell r="CL129">
            <v>0</v>
          </cell>
          <cell r="CM129">
            <v>0</v>
          </cell>
          <cell r="CN129" t="e">
            <v>#DIV/0!</v>
          </cell>
          <cell r="CO129">
            <v>0</v>
          </cell>
          <cell r="CP129">
            <v>0</v>
          </cell>
          <cell r="CQ129" t="e">
            <v>#DIV/0!</v>
          </cell>
          <cell r="CR129">
            <v>0</v>
          </cell>
          <cell r="CS129">
            <v>0</v>
          </cell>
          <cell r="CT129" t="e">
            <v>#DIV/0!</v>
          </cell>
          <cell r="CV129" t="str">
            <v>411 TIGES DRI.COL.</v>
          </cell>
          <cell r="CW129">
            <v>0</v>
          </cell>
          <cell r="CX129">
            <v>0</v>
          </cell>
          <cell r="CY129" t="e">
            <v>#DIV/0!</v>
          </cell>
          <cell r="CZ129">
            <v>0</v>
          </cell>
          <cell r="DA129">
            <v>0</v>
          </cell>
          <cell r="DB129" t="e">
            <v>#DIV/0!</v>
          </cell>
          <cell r="DC129">
            <v>0</v>
          </cell>
          <cell r="DD129">
            <v>0</v>
          </cell>
          <cell r="DE129" t="e">
            <v>#DIV/0!</v>
          </cell>
          <cell r="DF129">
            <v>0</v>
          </cell>
          <cell r="DG129">
            <v>0</v>
          </cell>
          <cell r="DH129" t="e">
            <v>#DIV/0!</v>
          </cell>
          <cell r="DJ129" t="str">
            <v>411 TIGES DRI.COL.</v>
          </cell>
          <cell r="DK129">
            <v>0</v>
          </cell>
          <cell r="DL129">
            <v>0</v>
          </cell>
          <cell r="DM129" t="e">
            <v>#DIV/0!</v>
          </cell>
          <cell r="DN129">
            <v>0</v>
          </cell>
          <cell r="DO129">
            <v>0</v>
          </cell>
          <cell r="DP129" t="e">
            <v>#DIV/0!</v>
          </cell>
          <cell r="DQ129">
            <v>0</v>
          </cell>
          <cell r="DR129">
            <v>0</v>
          </cell>
          <cell r="DS129" t="e">
            <v>#DIV/0!</v>
          </cell>
          <cell r="DT129">
            <v>0</v>
          </cell>
          <cell r="DU129">
            <v>0</v>
          </cell>
          <cell r="DV129" t="e">
            <v>#DIV/0!</v>
          </cell>
          <cell r="DX129" t="str">
            <v>411 TIGES DRI.COL.</v>
          </cell>
          <cell r="DY129">
            <v>0</v>
          </cell>
          <cell r="DZ129">
            <v>0</v>
          </cell>
          <cell r="EA129" t="e">
            <v>#DIV/0!</v>
          </cell>
          <cell r="EB129">
            <v>0</v>
          </cell>
          <cell r="EC129">
            <v>0</v>
          </cell>
          <cell r="ED129" t="e">
            <v>#DIV/0!</v>
          </cell>
          <cell r="EE129">
            <v>0</v>
          </cell>
          <cell r="EF129">
            <v>0</v>
          </cell>
          <cell r="EG129" t="e">
            <v>#DIV/0!</v>
          </cell>
          <cell r="EH129">
            <v>0</v>
          </cell>
          <cell r="EI129">
            <v>0</v>
          </cell>
          <cell r="EJ129" t="e">
            <v>#DIV/0!</v>
          </cell>
          <cell r="EK129">
            <v>0</v>
          </cell>
          <cell r="EL129">
            <v>0</v>
          </cell>
          <cell r="EM129" t="e">
            <v>#DIV/0!</v>
          </cell>
          <cell r="EO129" t="str">
            <v>411 TIGES DRI.COL.</v>
          </cell>
          <cell r="EP129">
            <v>0</v>
          </cell>
          <cell r="EQ129">
            <v>0</v>
          </cell>
          <cell r="ER129" t="e">
            <v>#DIV/0!</v>
          </cell>
          <cell r="ES129">
            <v>0</v>
          </cell>
          <cell r="ET129">
            <v>0</v>
          </cell>
          <cell r="EU129" t="e">
            <v>#DIV/0!</v>
          </cell>
          <cell r="EV129">
            <v>0</v>
          </cell>
          <cell r="EW129">
            <v>0</v>
          </cell>
          <cell r="EX129" t="e">
            <v>#DIV/0!</v>
          </cell>
          <cell r="EY129">
            <v>0</v>
          </cell>
          <cell r="EZ129">
            <v>0</v>
          </cell>
          <cell r="FA129" t="e">
            <v>#DIV/0!</v>
          </cell>
          <cell r="FC129" t="str">
            <v>411 TIGES DRI.COL.</v>
          </cell>
          <cell r="FD129">
            <v>0</v>
          </cell>
          <cell r="FE129">
            <v>0</v>
          </cell>
          <cell r="FF129" t="e">
            <v>#DIV/0!</v>
          </cell>
          <cell r="FG129">
            <v>0</v>
          </cell>
          <cell r="FH129">
            <v>0</v>
          </cell>
          <cell r="FI129" t="e">
            <v>#DIV/0!</v>
          </cell>
          <cell r="FJ129">
            <v>0</v>
          </cell>
          <cell r="FK129">
            <v>0</v>
          </cell>
          <cell r="FL129" t="e">
            <v>#DIV/0!</v>
          </cell>
          <cell r="FM129">
            <v>0</v>
          </cell>
          <cell r="FN129">
            <v>0</v>
          </cell>
          <cell r="FO129" t="e">
            <v>#DIV/0!</v>
          </cell>
          <cell r="FP129">
            <v>0</v>
          </cell>
          <cell r="FQ129">
            <v>0</v>
          </cell>
          <cell r="FR129" t="e">
            <v>#DIV/0!</v>
          </cell>
        </row>
        <row r="130">
          <cell r="AZ130" t="str">
            <v>412 TRICON SOND</v>
          </cell>
          <cell r="BA130">
            <v>0</v>
          </cell>
          <cell r="BB130">
            <v>0</v>
          </cell>
          <cell r="BC130" t="e">
            <v>#DIV/0!</v>
          </cell>
          <cell r="BD130">
            <v>0</v>
          </cell>
          <cell r="BE130">
            <v>0</v>
          </cell>
          <cell r="BF130" t="e">
            <v>#DIV/0!</v>
          </cell>
          <cell r="BG130">
            <v>0</v>
          </cell>
          <cell r="BH130">
            <v>0</v>
          </cell>
          <cell r="BI130" t="e">
            <v>#DIV/0!</v>
          </cell>
          <cell r="BJ130">
            <v>0</v>
          </cell>
          <cell r="BK130">
            <v>0</v>
          </cell>
          <cell r="BL130" t="e">
            <v>#DIV/0!</v>
          </cell>
          <cell r="BN130" t="str">
            <v>412 TRICON SOND</v>
          </cell>
          <cell r="BO130">
            <v>0</v>
          </cell>
          <cell r="BP130">
            <v>0</v>
          </cell>
          <cell r="BQ130" t="e">
            <v>#DIV/0!</v>
          </cell>
          <cell r="BR130">
            <v>0</v>
          </cell>
          <cell r="BS130">
            <v>0</v>
          </cell>
          <cell r="BT130" t="e">
            <v>#DIV/0!</v>
          </cell>
          <cell r="BU130">
            <v>0</v>
          </cell>
          <cell r="BV130">
            <v>0</v>
          </cell>
          <cell r="BW130" t="e">
            <v>#DIV/0!</v>
          </cell>
          <cell r="BX130">
            <v>0</v>
          </cell>
          <cell r="BY130">
            <v>0</v>
          </cell>
          <cell r="BZ130" t="e">
            <v>#DIV/0!</v>
          </cell>
          <cell r="CA130">
            <v>0</v>
          </cell>
          <cell r="CB130">
            <v>0</v>
          </cell>
          <cell r="CC130" t="e">
            <v>#DIV/0!</v>
          </cell>
          <cell r="CE130" t="str">
            <v>412 TRICON SOND</v>
          </cell>
          <cell r="CF130">
            <v>0</v>
          </cell>
          <cell r="CG130">
            <v>0</v>
          </cell>
          <cell r="CH130" t="e">
            <v>#DIV/0!</v>
          </cell>
          <cell r="CI130">
            <v>0</v>
          </cell>
          <cell r="CJ130">
            <v>0</v>
          </cell>
          <cell r="CK130" t="e">
            <v>#DIV/0!</v>
          </cell>
          <cell r="CL130">
            <v>0</v>
          </cell>
          <cell r="CM130">
            <v>0</v>
          </cell>
          <cell r="CN130" t="e">
            <v>#DIV/0!</v>
          </cell>
          <cell r="CO130">
            <v>0</v>
          </cell>
          <cell r="CP130">
            <v>0</v>
          </cell>
          <cell r="CQ130" t="e">
            <v>#DIV/0!</v>
          </cell>
          <cell r="CR130">
            <v>0</v>
          </cell>
          <cell r="CS130">
            <v>0</v>
          </cell>
          <cell r="CT130" t="e">
            <v>#DIV/0!</v>
          </cell>
          <cell r="CV130" t="str">
            <v>412 TRICON SOND</v>
          </cell>
          <cell r="CW130">
            <v>0</v>
          </cell>
          <cell r="CX130">
            <v>0</v>
          </cell>
          <cell r="CY130" t="e">
            <v>#DIV/0!</v>
          </cell>
          <cell r="CZ130">
            <v>0</v>
          </cell>
          <cell r="DA130">
            <v>0</v>
          </cell>
          <cell r="DB130" t="e">
            <v>#DIV/0!</v>
          </cell>
          <cell r="DC130">
            <v>0</v>
          </cell>
          <cell r="DD130">
            <v>0</v>
          </cell>
          <cell r="DE130" t="e">
            <v>#DIV/0!</v>
          </cell>
          <cell r="DF130">
            <v>0</v>
          </cell>
          <cell r="DG130">
            <v>0</v>
          </cell>
          <cell r="DH130" t="e">
            <v>#DIV/0!</v>
          </cell>
          <cell r="DJ130" t="str">
            <v>412 TRICON SOND</v>
          </cell>
          <cell r="DK130">
            <v>0</v>
          </cell>
          <cell r="DL130">
            <v>0</v>
          </cell>
          <cell r="DM130" t="e">
            <v>#DIV/0!</v>
          </cell>
          <cell r="DN130">
            <v>0</v>
          </cell>
          <cell r="DO130">
            <v>0</v>
          </cell>
          <cell r="DP130" t="e">
            <v>#DIV/0!</v>
          </cell>
          <cell r="DQ130">
            <v>0</v>
          </cell>
          <cell r="DR130">
            <v>0</v>
          </cell>
          <cell r="DS130" t="e">
            <v>#DIV/0!</v>
          </cell>
          <cell r="DT130">
            <v>0</v>
          </cell>
          <cell r="DU130">
            <v>0</v>
          </cell>
          <cell r="DV130" t="e">
            <v>#DIV/0!</v>
          </cell>
          <cell r="DX130" t="str">
            <v>412 TRICON SOND</v>
          </cell>
          <cell r="DY130">
            <v>0</v>
          </cell>
          <cell r="DZ130">
            <v>0</v>
          </cell>
          <cell r="EA130" t="e">
            <v>#DIV/0!</v>
          </cell>
          <cell r="EB130">
            <v>0</v>
          </cell>
          <cell r="EC130">
            <v>0</v>
          </cell>
          <cell r="ED130" t="e">
            <v>#DIV/0!</v>
          </cell>
          <cell r="EE130">
            <v>0</v>
          </cell>
          <cell r="EF130">
            <v>0</v>
          </cell>
          <cell r="EG130" t="e">
            <v>#DIV/0!</v>
          </cell>
          <cell r="EH130">
            <v>0</v>
          </cell>
          <cell r="EI130">
            <v>0</v>
          </cell>
          <cell r="EJ130" t="e">
            <v>#DIV/0!</v>
          </cell>
          <cell r="EK130">
            <v>0</v>
          </cell>
          <cell r="EL130">
            <v>0</v>
          </cell>
          <cell r="EM130" t="e">
            <v>#DIV/0!</v>
          </cell>
          <cell r="EO130" t="str">
            <v>412 TRICON SOND</v>
          </cell>
          <cell r="EP130">
            <v>0</v>
          </cell>
          <cell r="EQ130">
            <v>0</v>
          </cell>
          <cell r="ER130" t="e">
            <v>#DIV/0!</v>
          </cell>
          <cell r="ES130">
            <v>0</v>
          </cell>
          <cell r="ET130">
            <v>0</v>
          </cell>
          <cell r="EU130" t="e">
            <v>#DIV/0!</v>
          </cell>
          <cell r="EV130">
            <v>0</v>
          </cell>
          <cell r="EW130">
            <v>0</v>
          </cell>
          <cell r="EX130" t="e">
            <v>#DIV/0!</v>
          </cell>
          <cell r="EY130">
            <v>0</v>
          </cell>
          <cell r="EZ130">
            <v>0</v>
          </cell>
          <cell r="FA130" t="e">
            <v>#DIV/0!</v>
          </cell>
          <cell r="FC130" t="str">
            <v>412 TRICON SOND</v>
          </cell>
          <cell r="FD130">
            <v>0</v>
          </cell>
          <cell r="FE130">
            <v>0</v>
          </cell>
          <cell r="FF130" t="e">
            <v>#DIV/0!</v>
          </cell>
          <cell r="FG130">
            <v>0</v>
          </cell>
          <cell r="FH130">
            <v>0</v>
          </cell>
          <cell r="FI130" t="e">
            <v>#DIV/0!</v>
          </cell>
          <cell r="FJ130">
            <v>0</v>
          </cell>
          <cell r="FK130">
            <v>0</v>
          </cell>
          <cell r="FL130" t="e">
            <v>#DIV/0!</v>
          </cell>
          <cell r="FM130">
            <v>0</v>
          </cell>
          <cell r="FN130">
            <v>0</v>
          </cell>
          <cell r="FO130" t="e">
            <v>#DIV/0!</v>
          </cell>
          <cell r="FP130">
            <v>0</v>
          </cell>
          <cell r="FQ130">
            <v>0</v>
          </cell>
          <cell r="FR130" t="e">
            <v>#DIV/0!</v>
          </cell>
        </row>
        <row r="131">
          <cell r="AZ131" t="str">
            <v>413 CABLE DRAG</v>
          </cell>
          <cell r="BA131">
            <v>0</v>
          </cell>
          <cell r="BB131">
            <v>0</v>
          </cell>
          <cell r="BC131" t="e">
            <v>#DIV/0!</v>
          </cell>
          <cell r="BD131">
            <v>0</v>
          </cell>
          <cell r="BE131">
            <v>0</v>
          </cell>
          <cell r="BF131" t="e">
            <v>#DIV/0!</v>
          </cell>
          <cell r="BG131">
            <v>0</v>
          </cell>
          <cell r="BH131">
            <v>0</v>
          </cell>
          <cell r="BI131" t="e">
            <v>#DIV/0!</v>
          </cell>
          <cell r="BJ131">
            <v>0</v>
          </cell>
          <cell r="BK131">
            <v>0</v>
          </cell>
          <cell r="BL131" t="e">
            <v>#DIV/0!</v>
          </cell>
          <cell r="BN131" t="str">
            <v>413 CABLE DRAG</v>
          </cell>
          <cell r="BO131">
            <v>0</v>
          </cell>
          <cell r="BP131">
            <v>0</v>
          </cell>
          <cell r="BQ131" t="e">
            <v>#DIV/0!</v>
          </cell>
          <cell r="BR131">
            <v>0</v>
          </cell>
          <cell r="BS131">
            <v>0</v>
          </cell>
          <cell r="BT131" t="e">
            <v>#DIV/0!</v>
          </cell>
          <cell r="BU131">
            <v>0</v>
          </cell>
          <cell r="BV131">
            <v>0</v>
          </cell>
          <cell r="BW131" t="e">
            <v>#DIV/0!</v>
          </cell>
          <cell r="BX131">
            <v>0</v>
          </cell>
          <cell r="BY131">
            <v>0</v>
          </cell>
          <cell r="BZ131" t="e">
            <v>#DIV/0!</v>
          </cell>
          <cell r="CA131">
            <v>0</v>
          </cell>
          <cell r="CB131">
            <v>0</v>
          </cell>
          <cell r="CC131" t="e">
            <v>#DIV/0!</v>
          </cell>
          <cell r="CE131" t="str">
            <v>413 CABLE DRAG</v>
          </cell>
          <cell r="CF131">
            <v>0</v>
          </cell>
          <cell r="CG131">
            <v>0</v>
          </cell>
          <cell r="CH131" t="e">
            <v>#DIV/0!</v>
          </cell>
          <cell r="CI131">
            <v>0</v>
          </cell>
          <cell r="CJ131">
            <v>0</v>
          </cell>
          <cell r="CK131" t="e">
            <v>#DIV/0!</v>
          </cell>
          <cell r="CL131">
            <v>0</v>
          </cell>
          <cell r="CM131">
            <v>0</v>
          </cell>
          <cell r="CN131" t="e">
            <v>#DIV/0!</v>
          </cell>
          <cell r="CO131">
            <v>0</v>
          </cell>
          <cell r="CP131">
            <v>0</v>
          </cell>
          <cell r="CQ131" t="e">
            <v>#DIV/0!</v>
          </cell>
          <cell r="CR131">
            <v>0</v>
          </cell>
          <cell r="CS131">
            <v>0</v>
          </cell>
          <cell r="CT131" t="e">
            <v>#DIV/0!</v>
          </cell>
          <cell r="CV131" t="str">
            <v>413 CABLE DRAG</v>
          </cell>
          <cell r="CW131">
            <v>0</v>
          </cell>
          <cell r="CX131">
            <v>0</v>
          </cell>
          <cell r="CY131" t="e">
            <v>#DIV/0!</v>
          </cell>
          <cell r="CZ131">
            <v>0</v>
          </cell>
          <cell r="DA131">
            <v>0</v>
          </cell>
          <cell r="DB131" t="e">
            <v>#DIV/0!</v>
          </cell>
          <cell r="DC131">
            <v>0</v>
          </cell>
          <cell r="DD131">
            <v>0</v>
          </cell>
          <cell r="DE131" t="e">
            <v>#DIV/0!</v>
          </cell>
          <cell r="DF131">
            <v>0</v>
          </cell>
          <cell r="DG131">
            <v>0</v>
          </cell>
          <cell r="DH131" t="e">
            <v>#DIV/0!</v>
          </cell>
          <cell r="DJ131" t="str">
            <v>413 CABLE DRAG</v>
          </cell>
          <cell r="DK131">
            <v>0</v>
          </cell>
          <cell r="DL131">
            <v>0</v>
          </cell>
          <cell r="DM131" t="e">
            <v>#DIV/0!</v>
          </cell>
          <cell r="DN131">
            <v>0</v>
          </cell>
          <cell r="DO131">
            <v>0</v>
          </cell>
          <cell r="DP131" t="e">
            <v>#DIV/0!</v>
          </cell>
          <cell r="DQ131">
            <v>0</v>
          </cell>
          <cell r="DR131">
            <v>0</v>
          </cell>
          <cell r="DS131" t="e">
            <v>#DIV/0!</v>
          </cell>
          <cell r="DT131">
            <v>0</v>
          </cell>
          <cell r="DU131">
            <v>0</v>
          </cell>
          <cell r="DV131" t="e">
            <v>#DIV/0!</v>
          </cell>
          <cell r="DX131" t="str">
            <v>413 CABLE DRAG</v>
          </cell>
          <cell r="DY131">
            <v>0</v>
          </cell>
          <cell r="DZ131">
            <v>0</v>
          </cell>
          <cell r="EA131" t="e">
            <v>#DIV/0!</v>
          </cell>
          <cell r="EB131">
            <v>0</v>
          </cell>
          <cell r="EC131">
            <v>0</v>
          </cell>
          <cell r="ED131" t="e">
            <v>#DIV/0!</v>
          </cell>
          <cell r="EE131">
            <v>0</v>
          </cell>
          <cell r="EF131">
            <v>0</v>
          </cell>
          <cell r="EG131" t="e">
            <v>#DIV/0!</v>
          </cell>
          <cell r="EH131">
            <v>0</v>
          </cell>
          <cell r="EI131">
            <v>0</v>
          </cell>
          <cell r="EJ131" t="e">
            <v>#DIV/0!</v>
          </cell>
          <cell r="EK131">
            <v>0</v>
          </cell>
          <cell r="EL131">
            <v>0</v>
          </cell>
          <cell r="EM131" t="e">
            <v>#DIV/0!</v>
          </cell>
          <cell r="EO131" t="str">
            <v>413 CABLE DRAG</v>
          </cell>
          <cell r="EP131">
            <v>0</v>
          </cell>
          <cell r="EQ131">
            <v>0</v>
          </cell>
          <cell r="ER131" t="e">
            <v>#DIV/0!</v>
          </cell>
          <cell r="ES131">
            <v>0</v>
          </cell>
          <cell r="ET131">
            <v>0</v>
          </cell>
          <cell r="EU131" t="e">
            <v>#DIV/0!</v>
          </cell>
          <cell r="EV131">
            <v>0</v>
          </cell>
          <cell r="EW131">
            <v>0</v>
          </cell>
          <cell r="EX131" t="e">
            <v>#DIV/0!</v>
          </cell>
          <cell r="EY131">
            <v>0</v>
          </cell>
          <cell r="EZ131">
            <v>0</v>
          </cell>
          <cell r="FA131" t="e">
            <v>#DIV/0!</v>
          </cell>
          <cell r="FC131" t="str">
            <v>413 CABLE DRAG</v>
          </cell>
          <cell r="FD131">
            <v>0</v>
          </cell>
          <cell r="FE131">
            <v>0</v>
          </cell>
          <cell r="FF131" t="e">
            <v>#DIV/0!</v>
          </cell>
          <cell r="FG131">
            <v>0</v>
          </cell>
          <cell r="FH131">
            <v>0</v>
          </cell>
          <cell r="FI131" t="e">
            <v>#DIV/0!</v>
          </cell>
          <cell r="FJ131">
            <v>0</v>
          </cell>
          <cell r="FK131">
            <v>0</v>
          </cell>
          <cell r="FL131" t="e">
            <v>#DIV/0!</v>
          </cell>
          <cell r="FM131">
            <v>0</v>
          </cell>
          <cell r="FN131">
            <v>0</v>
          </cell>
          <cell r="FO131" t="e">
            <v>#DIV/0!</v>
          </cell>
          <cell r="FP131">
            <v>0</v>
          </cell>
          <cell r="FQ131">
            <v>0</v>
          </cell>
          <cell r="FR131" t="e">
            <v>#DIV/0!</v>
          </cell>
        </row>
        <row r="132">
          <cell r="AZ132" t="str">
            <v>414 GOD.DEN DRAG</v>
          </cell>
          <cell r="BA132">
            <v>0</v>
          </cell>
          <cell r="BB132">
            <v>0</v>
          </cell>
          <cell r="BC132" t="e">
            <v>#DIV/0!</v>
          </cell>
          <cell r="BD132">
            <v>0</v>
          </cell>
          <cell r="BE132">
            <v>0</v>
          </cell>
          <cell r="BF132" t="e">
            <v>#DIV/0!</v>
          </cell>
          <cell r="BG132">
            <v>0</v>
          </cell>
          <cell r="BH132">
            <v>0</v>
          </cell>
          <cell r="BI132" t="e">
            <v>#DIV/0!</v>
          </cell>
          <cell r="BJ132">
            <v>0</v>
          </cell>
          <cell r="BK132">
            <v>0</v>
          </cell>
          <cell r="BL132" t="e">
            <v>#DIV/0!</v>
          </cell>
          <cell r="BN132" t="str">
            <v>414 GOD.DEN DRAG</v>
          </cell>
          <cell r="BO132">
            <v>0</v>
          </cell>
          <cell r="BP132">
            <v>0</v>
          </cell>
          <cell r="BQ132" t="e">
            <v>#DIV/0!</v>
          </cell>
          <cell r="BR132">
            <v>0</v>
          </cell>
          <cell r="BS132">
            <v>0</v>
          </cell>
          <cell r="BT132" t="e">
            <v>#DIV/0!</v>
          </cell>
          <cell r="BU132">
            <v>0</v>
          </cell>
          <cell r="BV132">
            <v>0</v>
          </cell>
          <cell r="BW132" t="e">
            <v>#DIV/0!</v>
          </cell>
          <cell r="BX132">
            <v>0</v>
          </cell>
          <cell r="BY132">
            <v>0</v>
          </cell>
          <cell r="BZ132" t="e">
            <v>#DIV/0!</v>
          </cell>
          <cell r="CA132">
            <v>0</v>
          </cell>
          <cell r="CB132">
            <v>0</v>
          </cell>
          <cell r="CC132" t="e">
            <v>#DIV/0!</v>
          </cell>
          <cell r="CE132" t="str">
            <v>414 GOD.DEN DRAG</v>
          </cell>
          <cell r="CF132">
            <v>0</v>
          </cell>
          <cell r="CG132">
            <v>0</v>
          </cell>
          <cell r="CH132" t="e">
            <v>#DIV/0!</v>
          </cell>
          <cell r="CI132">
            <v>0</v>
          </cell>
          <cell r="CJ132">
            <v>0</v>
          </cell>
          <cell r="CK132" t="e">
            <v>#DIV/0!</v>
          </cell>
          <cell r="CL132">
            <v>0</v>
          </cell>
          <cell r="CM132">
            <v>0</v>
          </cell>
          <cell r="CN132" t="e">
            <v>#DIV/0!</v>
          </cell>
          <cell r="CO132">
            <v>0</v>
          </cell>
          <cell r="CP132">
            <v>0</v>
          </cell>
          <cell r="CQ132" t="e">
            <v>#DIV/0!</v>
          </cell>
          <cell r="CR132">
            <v>0</v>
          </cell>
          <cell r="CS132">
            <v>0</v>
          </cell>
          <cell r="CT132" t="e">
            <v>#DIV/0!</v>
          </cell>
          <cell r="CV132" t="str">
            <v>414 GOD.DEN DRAG</v>
          </cell>
          <cell r="CW132">
            <v>0</v>
          </cell>
          <cell r="CX132">
            <v>0</v>
          </cell>
          <cell r="CY132" t="e">
            <v>#DIV/0!</v>
          </cell>
          <cell r="CZ132">
            <v>0</v>
          </cell>
          <cell r="DA132">
            <v>0</v>
          </cell>
          <cell r="DB132" t="e">
            <v>#DIV/0!</v>
          </cell>
          <cell r="DC132">
            <v>0</v>
          </cell>
          <cell r="DD132">
            <v>0</v>
          </cell>
          <cell r="DE132" t="e">
            <v>#DIV/0!</v>
          </cell>
          <cell r="DF132">
            <v>0</v>
          </cell>
          <cell r="DG132">
            <v>0</v>
          </cell>
          <cell r="DH132" t="e">
            <v>#DIV/0!</v>
          </cell>
          <cell r="DJ132" t="str">
            <v>414 GOD.DEN DRAG</v>
          </cell>
          <cell r="DK132">
            <v>0</v>
          </cell>
          <cell r="DL132">
            <v>0</v>
          </cell>
          <cell r="DM132" t="e">
            <v>#DIV/0!</v>
          </cell>
          <cell r="DN132">
            <v>0</v>
          </cell>
          <cell r="DO132">
            <v>0</v>
          </cell>
          <cell r="DP132" t="e">
            <v>#DIV/0!</v>
          </cell>
          <cell r="DQ132">
            <v>0</v>
          </cell>
          <cell r="DR132">
            <v>0</v>
          </cell>
          <cell r="DS132" t="e">
            <v>#DIV/0!</v>
          </cell>
          <cell r="DT132">
            <v>0</v>
          </cell>
          <cell r="DU132">
            <v>0</v>
          </cell>
          <cell r="DV132" t="e">
            <v>#DIV/0!</v>
          </cell>
          <cell r="DX132" t="str">
            <v>414 GOD.DEN DRAG</v>
          </cell>
          <cell r="DY132">
            <v>0</v>
          </cell>
          <cell r="DZ132">
            <v>0</v>
          </cell>
          <cell r="EA132" t="e">
            <v>#DIV/0!</v>
          </cell>
          <cell r="EB132">
            <v>0</v>
          </cell>
          <cell r="EC132">
            <v>0</v>
          </cell>
          <cell r="ED132" t="e">
            <v>#DIV/0!</v>
          </cell>
          <cell r="EE132">
            <v>0</v>
          </cell>
          <cell r="EF132">
            <v>0</v>
          </cell>
          <cell r="EG132" t="e">
            <v>#DIV/0!</v>
          </cell>
          <cell r="EH132">
            <v>0</v>
          </cell>
          <cell r="EI132">
            <v>0</v>
          </cell>
          <cell r="EJ132" t="e">
            <v>#DIV/0!</v>
          </cell>
          <cell r="EK132">
            <v>0</v>
          </cell>
          <cell r="EL132">
            <v>0</v>
          </cell>
          <cell r="EM132" t="e">
            <v>#DIV/0!</v>
          </cell>
          <cell r="EO132" t="str">
            <v>414 GOD.DEN DRAG</v>
          </cell>
          <cell r="EP132">
            <v>0</v>
          </cell>
          <cell r="EQ132">
            <v>0</v>
          </cell>
          <cell r="ER132" t="e">
            <v>#DIV/0!</v>
          </cell>
          <cell r="ES132">
            <v>0</v>
          </cell>
          <cell r="ET132">
            <v>0</v>
          </cell>
          <cell r="EU132" t="e">
            <v>#DIV/0!</v>
          </cell>
          <cell r="EV132">
            <v>0</v>
          </cell>
          <cell r="EW132">
            <v>0</v>
          </cell>
          <cell r="EX132" t="e">
            <v>#DIV/0!</v>
          </cell>
          <cell r="EY132">
            <v>0</v>
          </cell>
          <cell r="EZ132">
            <v>0</v>
          </cell>
          <cell r="FA132" t="e">
            <v>#DIV/0!</v>
          </cell>
          <cell r="FC132" t="str">
            <v>414 GOD.DEN DRAG</v>
          </cell>
          <cell r="FD132">
            <v>0</v>
          </cell>
          <cell r="FE132">
            <v>0</v>
          </cell>
          <cell r="FF132" t="e">
            <v>#DIV/0!</v>
          </cell>
          <cell r="FG132">
            <v>0</v>
          </cell>
          <cell r="FH132">
            <v>0</v>
          </cell>
          <cell r="FI132" t="e">
            <v>#DIV/0!</v>
          </cell>
          <cell r="FJ132">
            <v>0</v>
          </cell>
          <cell r="FK132">
            <v>0</v>
          </cell>
          <cell r="FL132" t="e">
            <v>#DIV/0!</v>
          </cell>
          <cell r="FM132">
            <v>0</v>
          </cell>
          <cell r="FN132">
            <v>0</v>
          </cell>
          <cell r="FO132" t="e">
            <v>#DIV/0!</v>
          </cell>
          <cell r="FP132">
            <v>0</v>
          </cell>
          <cell r="FQ132">
            <v>0</v>
          </cell>
          <cell r="FR132" t="e">
            <v>#DIV/0!</v>
          </cell>
        </row>
        <row r="133">
          <cell r="AZ133" t="str">
            <v>415 PNEUM.ENGIN.L.</v>
          </cell>
          <cell r="BA133">
            <v>0</v>
          </cell>
          <cell r="BB133">
            <v>0</v>
          </cell>
          <cell r="BC133" t="e">
            <v>#DIV/0!</v>
          </cell>
          <cell r="BD133">
            <v>0</v>
          </cell>
          <cell r="BE133">
            <v>0</v>
          </cell>
          <cell r="BF133" t="e">
            <v>#DIV/0!</v>
          </cell>
          <cell r="BG133">
            <v>0</v>
          </cell>
          <cell r="BH133">
            <v>0</v>
          </cell>
          <cell r="BI133" t="e">
            <v>#DIV/0!</v>
          </cell>
          <cell r="BJ133">
            <v>0</v>
          </cell>
          <cell r="BK133">
            <v>0</v>
          </cell>
          <cell r="BL133" t="e">
            <v>#DIV/0!</v>
          </cell>
          <cell r="BN133" t="str">
            <v>415 PNEUM.ENGIN.L.</v>
          </cell>
          <cell r="BO133">
            <v>0</v>
          </cell>
          <cell r="BP133">
            <v>0</v>
          </cell>
          <cell r="BQ133" t="e">
            <v>#DIV/0!</v>
          </cell>
          <cell r="BR133">
            <v>0</v>
          </cell>
          <cell r="BS133">
            <v>0</v>
          </cell>
          <cell r="BT133" t="e">
            <v>#DIV/0!</v>
          </cell>
          <cell r="BU133">
            <v>0</v>
          </cell>
          <cell r="BV133">
            <v>0</v>
          </cell>
          <cell r="BW133" t="e">
            <v>#DIV/0!</v>
          </cell>
          <cell r="BX133">
            <v>0</v>
          </cell>
          <cell r="BY133">
            <v>0</v>
          </cell>
          <cell r="BZ133" t="e">
            <v>#DIV/0!</v>
          </cell>
          <cell r="CA133">
            <v>0</v>
          </cell>
          <cell r="CB133">
            <v>0</v>
          </cell>
          <cell r="CC133" t="e">
            <v>#DIV/0!</v>
          </cell>
          <cell r="CE133" t="str">
            <v>415 PNEUM.ENGIN.L.</v>
          </cell>
          <cell r="CF133">
            <v>0</v>
          </cell>
          <cell r="CG133">
            <v>0</v>
          </cell>
          <cell r="CH133" t="e">
            <v>#DIV/0!</v>
          </cell>
          <cell r="CI133">
            <v>0</v>
          </cell>
          <cell r="CJ133">
            <v>0</v>
          </cell>
          <cell r="CK133" t="e">
            <v>#DIV/0!</v>
          </cell>
          <cell r="CL133">
            <v>0</v>
          </cell>
          <cell r="CM133">
            <v>0</v>
          </cell>
          <cell r="CN133" t="e">
            <v>#DIV/0!</v>
          </cell>
          <cell r="CO133">
            <v>0</v>
          </cell>
          <cell r="CP133">
            <v>0</v>
          </cell>
          <cell r="CQ133" t="e">
            <v>#DIV/0!</v>
          </cell>
          <cell r="CR133">
            <v>0</v>
          </cell>
          <cell r="CS133">
            <v>0</v>
          </cell>
          <cell r="CT133" t="e">
            <v>#DIV/0!</v>
          </cell>
          <cell r="CV133" t="str">
            <v>415 PNEUM.ENGIN.L.</v>
          </cell>
          <cell r="CW133">
            <v>0</v>
          </cell>
          <cell r="CX133">
            <v>0</v>
          </cell>
          <cell r="CY133" t="e">
            <v>#DIV/0!</v>
          </cell>
          <cell r="CZ133">
            <v>0</v>
          </cell>
          <cell r="DA133">
            <v>0</v>
          </cell>
          <cell r="DB133" t="e">
            <v>#DIV/0!</v>
          </cell>
          <cell r="DC133">
            <v>0</v>
          </cell>
          <cell r="DD133">
            <v>0</v>
          </cell>
          <cell r="DE133" t="e">
            <v>#DIV/0!</v>
          </cell>
          <cell r="DF133">
            <v>0</v>
          </cell>
          <cell r="DG133">
            <v>0</v>
          </cell>
          <cell r="DH133" t="e">
            <v>#DIV/0!</v>
          </cell>
          <cell r="DJ133" t="str">
            <v>415 PNEUM.ENGIN.L.</v>
          </cell>
          <cell r="DK133">
            <v>0</v>
          </cell>
          <cell r="DL133">
            <v>0</v>
          </cell>
          <cell r="DM133" t="e">
            <v>#DIV/0!</v>
          </cell>
          <cell r="DN133">
            <v>0</v>
          </cell>
          <cell r="DO133">
            <v>0</v>
          </cell>
          <cell r="DP133" t="e">
            <v>#DIV/0!</v>
          </cell>
          <cell r="DQ133">
            <v>0</v>
          </cell>
          <cell r="DR133">
            <v>0</v>
          </cell>
          <cell r="DS133" t="e">
            <v>#DIV/0!</v>
          </cell>
          <cell r="DT133">
            <v>0</v>
          </cell>
          <cell r="DU133">
            <v>0</v>
          </cell>
          <cell r="DV133" t="e">
            <v>#DIV/0!</v>
          </cell>
          <cell r="DX133" t="str">
            <v>415 PNEUM.ENGIN.L.</v>
          </cell>
          <cell r="DY133">
            <v>0</v>
          </cell>
          <cell r="DZ133">
            <v>0</v>
          </cell>
          <cell r="EA133" t="e">
            <v>#DIV/0!</v>
          </cell>
          <cell r="EB133">
            <v>0</v>
          </cell>
          <cell r="EC133">
            <v>0</v>
          </cell>
          <cell r="ED133" t="e">
            <v>#DIV/0!</v>
          </cell>
          <cell r="EE133">
            <v>75760</v>
          </cell>
          <cell r="EF133">
            <v>75756</v>
          </cell>
          <cell r="EG133">
            <v>99.994720168954601</v>
          </cell>
          <cell r="EH133">
            <v>0</v>
          </cell>
          <cell r="EI133">
            <v>0</v>
          </cell>
          <cell r="EJ133" t="e">
            <v>#DIV/0!</v>
          </cell>
          <cell r="EK133">
            <v>75760</v>
          </cell>
          <cell r="EL133">
            <v>75756</v>
          </cell>
          <cell r="EM133">
            <v>99.994720168954601</v>
          </cell>
          <cell r="EO133" t="str">
            <v>415 PNEUM.ENGIN.L.</v>
          </cell>
          <cell r="EP133">
            <v>0</v>
          </cell>
          <cell r="EQ133">
            <v>0</v>
          </cell>
          <cell r="ER133" t="e">
            <v>#DIV/0!</v>
          </cell>
          <cell r="ES133">
            <v>0</v>
          </cell>
          <cell r="ET133">
            <v>0</v>
          </cell>
          <cell r="EU133" t="e">
            <v>#DIV/0!</v>
          </cell>
          <cell r="EV133">
            <v>0</v>
          </cell>
          <cell r="EW133">
            <v>0</v>
          </cell>
          <cell r="EX133" t="e">
            <v>#DIV/0!</v>
          </cell>
          <cell r="EY133">
            <v>0</v>
          </cell>
          <cell r="EZ133">
            <v>0</v>
          </cell>
          <cell r="FA133" t="e">
            <v>#DIV/0!</v>
          </cell>
          <cell r="FC133" t="str">
            <v>415 PNEUM.ENGIN.L.</v>
          </cell>
          <cell r="FD133">
            <v>0</v>
          </cell>
          <cell r="FE133">
            <v>0</v>
          </cell>
          <cell r="FF133" t="e">
            <v>#DIV/0!</v>
          </cell>
          <cell r="FG133">
            <v>0</v>
          </cell>
          <cell r="FH133">
            <v>0</v>
          </cell>
          <cell r="FI133" t="e">
            <v>#DIV/0!</v>
          </cell>
          <cell r="FJ133">
            <v>0</v>
          </cell>
          <cell r="FK133">
            <v>0</v>
          </cell>
          <cell r="FL133" t="e">
            <v>#DIV/0!</v>
          </cell>
          <cell r="FM133">
            <v>11072</v>
          </cell>
          <cell r="FN133">
            <v>11076</v>
          </cell>
          <cell r="FO133">
            <v>100.03612716763006</v>
          </cell>
          <cell r="FP133">
            <v>11072</v>
          </cell>
          <cell r="FQ133">
            <v>11076</v>
          </cell>
          <cell r="FR133">
            <v>100.03612716763006</v>
          </cell>
        </row>
        <row r="134">
          <cell r="AZ134" t="str">
            <v>416 CABL ELECTRI</v>
          </cell>
          <cell r="BA134">
            <v>0</v>
          </cell>
          <cell r="BB134">
            <v>0</v>
          </cell>
          <cell r="BC134" t="e">
            <v>#DIV/0!</v>
          </cell>
          <cell r="BD134">
            <v>7194</v>
          </cell>
          <cell r="BE134">
            <v>0</v>
          </cell>
          <cell r="BF134">
            <v>0</v>
          </cell>
          <cell r="BG134">
            <v>1824</v>
          </cell>
          <cell r="BH134">
            <v>0</v>
          </cell>
          <cell r="BI134">
            <v>0</v>
          </cell>
          <cell r="BJ134">
            <v>679</v>
          </cell>
          <cell r="BK134">
            <v>0</v>
          </cell>
          <cell r="BL134">
            <v>0</v>
          </cell>
          <cell r="BN134" t="str">
            <v>416 CABL ELECTRI</v>
          </cell>
          <cell r="BO134">
            <v>526</v>
          </cell>
          <cell r="BP134">
            <v>0</v>
          </cell>
          <cell r="BQ134">
            <v>0</v>
          </cell>
          <cell r="BR134">
            <v>457</v>
          </cell>
          <cell r="BS134">
            <v>0</v>
          </cell>
          <cell r="BT134">
            <v>0</v>
          </cell>
          <cell r="BU134">
            <v>2096</v>
          </cell>
          <cell r="BV134">
            <v>0</v>
          </cell>
          <cell r="BW134">
            <v>0</v>
          </cell>
          <cell r="BX134">
            <v>691</v>
          </cell>
          <cell r="BY134">
            <v>0</v>
          </cell>
          <cell r="BZ134">
            <v>0</v>
          </cell>
          <cell r="CA134">
            <v>13467</v>
          </cell>
          <cell r="CB134">
            <v>0</v>
          </cell>
          <cell r="CC134">
            <v>0</v>
          </cell>
          <cell r="CE134" t="str">
            <v>416 CABL ELECTRI</v>
          </cell>
          <cell r="CF134">
            <v>4513</v>
          </cell>
          <cell r="CG134">
            <v>4512</v>
          </cell>
          <cell r="CH134">
            <v>99.977841790383337</v>
          </cell>
          <cell r="CI134">
            <v>5299</v>
          </cell>
          <cell r="CJ134">
            <v>5304</v>
          </cell>
          <cell r="CK134">
            <v>100.09435742592943</v>
          </cell>
          <cell r="CL134">
            <v>0</v>
          </cell>
          <cell r="CM134">
            <v>0</v>
          </cell>
          <cell r="CN134" t="e">
            <v>#DIV/0!</v>
          </cell>
          <cell r="CO134">
            <v>0</v>
          </cell>
          <cell r="CP134">
            <v>0</v>
          </cell>
          <cell r="CQ134" t="e">
            <v>#DIV/0!</v>
          </cell>
          <cell r="CR134">
            <v>9812</v>
          </cell>
          <cell r="CS134">
            <v>9816</v>
          </cell>
          <cell r="CT134">
            <v>100.04076640847941</v>
          </cell>
          <cell r="CV134" t="str">
            <v>416 CABL ELECTRI</v>
          </cell>
          <cell r="CW134">
            <v>0</v>
          </cell>
          <cell r="CX134">
            <v>0</v>
          </cell>
          <cell r="CY134" t="e">
            <v>#DIV/0!</v>
          </cell>
          <cell r="CZ134">
            <v>4072</v>
          </cell>
          <cell r="DA134">
            <v>4068</v>
          </cell>
          <cell r="DB134">
            <v>99.901768172888012</v>
          </cell>
          <cell r="DC134">
            <v>0</v>
          </cell>
          <cell r="DD134">
            <v>0</v>
          </cell>
          <cell r="DE134" t="e">
            <v>#DIV/0!</v>
          </cell>
          <cell r="DF134">
            <v>4072</v>
          </cell>
          <cell r="DG134">
            <v>4068</v>
          </cell>
          <cell r="DH134">
            <v>99.901768172888012</v>
          </cell>
          <cell r="DJ134" t="str">
            <v>416 CABL ELECTRI</v>
          </cell>
          <cell r="DK134">
            <v>716</v>
          </cell>
          <cell r="DL134">
            <v>720</v>
          </cell>
          <cell r="DM134">
            <v>100.55865921787711</v>
          </cell>
          <cell r="DN134">
            <v>0</v>
          </cell>
          <cell r="DO134">
            <v>0</v>
          </cell>
          <cell r="DP134" t="e">
            <v>#DIV/0!</v>
          </cell>
          <cell r="DQ134">
            <v>0</v>
          </cell>
          <cell r="DR134">
            <v>0</v>
          </cell>
          <cell r="DS134" t="e">
            <v>#DIV/0!</v>
          </cell>
          <cell r="DT134">
            <v>0</v>
          </cell>
          <cell r="DU134">
            <v>0</v>
          </cell>
          <cell r="DV134" t="e">
            <v>#DIV/0!</v>
          </cell>
          <cell r="DX134" t="str">
            <v>416 CABL ELECTRI</v>
          </cell>
          <cell r="DY134">
            <v>0</v>
          </cell>
          <cell r="DZ134">
            <v>0</v>
          </cell>
          <cell r="EA134" t="e">
            <v>#DIV/0!</v>
          </cell>
          <cell r="EB134">
            <v>0</v>
          </cell>
          <cell r="EC134">
            <v>0</v>
          </cell>
          <cell r="ED134" t="e">
            <v>#DIV/0!</v>
          </cell>
          <cell r="EE134">
            <v>0</v>
          </cell>
          <cell r="EF134">
            <v>0</v>
          </cell>
          <cell r="EG134" t="e">
            <v>#DIV/0!</v>
          </cell>
          <cell r="EH134">
            <v>18708</v>
          </cell>
          <cell r="EI134">
            <v>18708</v>
          </cell>
          <cell r="EJ134">
            <v>100</v>
          </cell>
          <cell r="EK134">
            <v>19424</v>
          </cell>
          <cell r="EL134">
            <v>19428</v>
          </cell>
          <cell r="EM134">
            <v>100.02059308072488</v>
          </cell>
          <cell r="EO134" t="str">
            <v>416 CABL ELECTRI</v>
          </cell>
          <cell r="EP134">
            <v>0</v>
          </cell>
          <cell r="EQ134">
            <v>0</v>
          </cell>
          <cell r="ER134" t="e">
            <v>#DIV/0!</v>
          </cell>
          <cell r="ES134">
            <v>0</v>
          </cell>
          <cell r="ET134">
            <v>0</v>
          </cell>
          <cell r="EU134" t="e">
            <v>#DIV/0!</v>
          </cell>
          <cell r="EV134">
            <v>0</v>
          </cell>
          <cell r="EW134">
            <v>0</v>
          </cell>
          <cell r="EX134" t="e">
            <v>#DIV/0!</v>
          </cell>
          <cell r="EY134">
            <v>0</v>
          </cell>
          <cell r="EZ134">
            <v>0</v>
          </cell>
          <cell r="FA134" t="e">
            <v>#DIV/0!</v>
          </cell>
          <cell r="FC134" t="str">
            <v>416 CABL ELECTRI</v>
          </cell>
          <cell r="FD134">
            <v>0</v>
          </cell>
          <cell r="FE134">
            <v>0</v>
          </cell>
          <cell r="FF134" t="e">
            <v>#DIV/0!</v>
          </cell>
          <cell r="FG134">
            <v>0</v>
          </cell>
          <cell r="FH134">
            <v>0</v>
          </cell>
          <cell r="FI134" t="e">
            <v>#DIV/0!</v>
          </cell>
          <cell r="FJ134">
            <v>1688</v>
          </cell>
          <cell r="FK134">
            <v>1692</v>
          </cell>
          <cell r="FL134">
            <v>100.23696682464455</v>
          </cell>
          <cell r="FM134">
            <v>0</v>
          </cell>
          <cell r="FN134">
            <v>0</v>
          </cell>
          <cell r="FO134" t="e">
            <v>#DIV/0!</v>
          </cell>
          <cell r="FP134">
            <v>1688</v>
          </cell>
          <cell r="FQ134">
            <v>1692</v>
          </cell>
          <cell r="FR134">
            <v>100.23696682464455</v>
          </cell>
        </row>
        <row r="135">
          <cell r="AZ135" t="str">
            <v>417 PIECE DE RECH</v>
          </cell>
          <cell r="BA135">
            <v>0</v>
          </cell>
          <cell r="BB135">
            <v>0</v>
          </cell>
          <cell r="BC135" t="e">
            <v>#DIV/0!</v>
          </cell>
          <cell r="BD135">
            <v>307844</v>
          </cell>
          <cell r="BE135">
            <v>92352</v>
          </cell>
          <cell r="BF135">
            <v>29.999610192175258</v>
          </cell>
          <cell r="BG135">
            <v>194247</v>
          </cell>
          <cell r="BH135">
            <v>58272</v>
          </cell>
          <cell r="BI135">
            <v>29.998918902222428</v>
          </cell>
          <cell r="BJ135">
            <v>335204</v>
          </cell>
          <cell r="BK135">
            <v>100560</v>
          </cell>
          <cell r="BL135">
            <v>29.999642009045235</v>
          </cell>
          <cell r="BN135" t="str">
            <v>417 PIECE DE RECH</v>
          </cell>
          <cell r="BO135">
            <v>219099</v>
          </cell>
          <cell r="BP135">
            <v>65724</v>
          </cell>
          <cell r="BQ135">
            <v>29.997398436323309</v>
          </cell>
          <cell r="BR135">
            <v>169471</v>
          </cell>
          <cell r="BS135">
            <v>50844</v>
          </cell>
          <cell r="BT135">
            <v>30.001593192935665</v>
          </cell>
          <cell r="BU135">
            <v>194610</v>
          </cell>
          <cell r="BV135">
            <v>58380</v>
          </cell>
          <cell r="BW135">
            <v>29.998458455372283</v>
          </cell>
          <cell r="BX135">
            <v>490379</v>
          </cell>
          <cell r="BY135">
            <v>147108</v>
          </cell>
          <cell r="BZ135">
            <v>29.998837633748593</v>
          </cell>
          <cell r="CA135">
            <v>1910854</v>
          </cell>
          <cell r="CB135">
            <v>573240</v>
          </cell>
          <cell r="CC135">
            <v>29.999152211524272</v>
          </cell>
          <cell r="CE135" t="str">
            <v>417 PIECE DE RECH</v>
          </cell>
          <cell r="CF135">
            <v>1657265</v>
          </cell>
          <cell r="CG135">
            <v>1242948</v>
          </cell>
          <cell r="CH135">
            <v>74.999954744714941</v>
          </cell>
          <cell r="CI135">
            <v>2485875</v>
          </cell>
          <cell r="CJ135">
            <v>1864404</v>
          </cell>
          <cell r="CK135">
            <v>74.999909488610655</v>
          </cell>
          <cell r="CL135">
            <v>0</v>
          </cell>
          <cell r="CM135">
            <v>0</v>
          </cell>
          <cell r="CN135" t="e">
            <v>#DIV/0!</v>
          </cell>
          <cell r="CO135">
            <v>0</v>
          </cell>
          <cell r="CP135">
            <v>0</v>
          </cell>
          <cell r="CQ135" t="e">
            <v>#DIV/0!</v>
          </cell>
          <cell r="CR135">
            <v>4143140</v>
          </cell>
          <cell r="CS135">
            <v>3107352</v>
          </cell>
          <cell r="CT135">
            <v>74.999927591150666</v>
          </cell>
          <cell r="CV135" t="str">
            <v>417 PIECE DE RECH</v>
          </cell>
          <cell r="CW135">
            <v>3746</v>
          </cell>
          <cell r="CX135">
            <v>3744</v>
          </cell>
          <cell r="CY135">
            <v>99.946609717031492</v>
          </cell>
          <cell r="CZ135">
            <v>324010</v>
          </cell>
          <cell r="DA135">
            <v>324012</v>
          </cell>
          <cell r="DB135">
            <v>100.00061726489923</v>
          </cell>
          <cell r="DC135">
            <v>0</v>
          </cell>
          <cell r="DD135">
            <v>0</v>
          </cell>
          <cell r="DE135" t="e">
            <v>#DIV/0!</v>
          </cell>
          <cell r="DF135">
            <v>327756</v>
          </cell>
          <cell r="DG135">
            <v>327756</v>
          </cell>
          <cell r="DH135">
            <v>100</v>
          </cell>
          <cell r="DJ135" t="str">
            <v>417 PIECE DE RECH</v>
          </cell>
          <cell r="DK135">
            <v>137555</v>
          </cell>
          <cell r="DL135">
            <v>103164</v>
          </cell>
          <cell r="DM135">
            <v>74.998364290647373</v>
          </cell>
          <cell r="DN135">
            <v>0</v>
          </cell>
          <cell r="DO135">
            <v>0</v>
          </cell>
          <cell r="DP135" t="e">
            <v>#DIV/0!</v>
          </cell>
          <cell r="DQ135">
            <v>0</v>
          </cell>
          <cell r="DR135">
            <v>0</v>
          </cell>
          <cell r="DS135" t="e">
            <v>#DIV/0!</v>
          </cell>
          <cell r="DT135">
            <v>0</v>
          </cell>
          <cell r="DU135">
            <v>0</v>
          </cell>
          <cell r="DV135" t="e">
            <v>#DIV/0!</v>
          </cell>
          <cell r="DX135" t="str">
            <v>417 PIECE DE RECH</v>
          </cell>
          <cell r="DY135">
            <v>0</v>
          </cell>
          <cell r="DZ135">
            <v>0</v>
          </cell>
          <cell r="EA135" t="e">
            <v>#DIV/0!</v>
          </cell>
          <cell r="EB135">
            <v>0</v>
          </cell>
          <cell r="EC135">
            <v>0</v>
          </cell>
          <cell r="ED135" t="e">
            <v>#DIV/0!</v>
          </cell>
          <cell r="EE135">
            <v>853629</v>
          </cell>
          <cell r="EF135">
            <v>640224</v>
          </cell>
          <cell r="EG135">
            <v>75.000263580548449</v>
          </cell>
          <cell r="EH135">
            <v>485120</v>
          </cell>
          <cell r="EI135">
            <v>363840</v>
          </cell>
          <cell r="EJ135">
            <v>75</v>
          </cell>
          <cell r="EK135">
            <v>1476304</v>
          </cell>
          <cell r="EL135">
            <v>1107228</v>
          </cell>
          <cell r="EM135">
            <v>75</v>
          </cell>
          <cell r="EO135" t="str">
            <v>417 PIECE DE RECH</v>
          </cell>
          <cell r="EP135">
            <v>21320</v>
          </cell>
          <cell r="EQ135">
            <v>15996</v>
          </cell>
          <cell r="ER135">
            <v>75.02814258911819</v>
          </cell>
          <cell r="ES135">
            <v>0</v>
          </cell>
          <cell r="ET135">
            <v>0</v>
          </cell>
          <cell r="EU135" t="e">
            <v>#DIV/0!</v>
          </cell>
          <cell r="EV135">
            <v>5677</v>
          </cell>
          <cell r="EW135">
            <v>4260</v>
          </cell>
          <cell r="EX135">
            <v>75.039633609300679</v>
          </cell>
          <cell r="EY135">
            <v>0</v>
          </cell>
          <cell r="EZ135">
            <v>0</v>
          </cell>
          <cell r="FA135" t="e">
            <v>#DIV/0!</v>
          </cell>
          <cell r="FC135" t="str">
            <v>417 PIECE DE RECH</v>
          </cell>
          <cell r="FD135">
            <v>0</v>
          </cell>
          <cell r="FE135">
            <v>0</v>
          </cell>
          <cell r="FF135" t="e">
            <v>#DIV/0!</v>
          </cell>
          <cell r="FG135">
            <v>0</v>
          </cell>
          <cell r="FH135">
            <v>0</v>
          </cell>
          <cell r="FI135" t="e">
            <v>#DIV/0!</v>
          </cell>
          <cell r="FJ135">
            <v>172236</v>
          </cell>
          <cell r="FK135">
            <v>129180</v>
          </cell>
          <cell r="FL135">
            <v>75.00174179614018</v>
          </cell>
          <cell r="FM135">
            <v>20868</v>
          </cell>
          <cell r="FN135">
            <v>15648</v>
          </cell>
          <cell r="FO135">
            <v>74.985623921794129</v>
          </cell>
          <cell r="FP135">
            <v>220101</v>
          </cell>
          <cell r="FQ135">
            <v>165084</v>
          </cell>
          <cell r="FR135">
            <v>75.003748279199087</v>
          </cell>
        </row>
        <row r="136">
          <cell r="AZ136" t="str">
            <v>418 PIECE D'AUTOS</v>
          </cell>
          <cell r="BA136">
            <v>0</v>
          </cell>
          <cell r="BB136">
            <v>0</v>
          </cell>
          <cell r="BC136" t="e">
            <v>#DIV/0!</v>
          </cell>
          <cell r="BD136">
            <v>0</v>
          </cell>
          <cell r="BE136">
            <v>0</v>
          </cell>
          <cell r="BF136" t="e">
            <v>#DIV/0!</v>
          </cell>
          <cell r="BG136">
            <v>0</v>
          </cell>
          <cell r="BH136">
            <v>0</v>
          </cell>
          <cell r="BI136" t="e">
            <v>#DIV/0!</v>
          </cell>
          <cell r="BJ136">
            <v>0</v>
          </cell>
          <cell r="BK136">
            <v>0</v>
          </cell>
          <cell r="BL136" t="e">
            <v>#DIV/0!</v>
          </cell>
          <cell r="BN136" t="str">
            <v>418 PIECE D'AUTOS</v>
          </cell>
          <cell r="BO136">
            <v>0</v>
          </cell>
          <cell r="BP136">
            <v>0</v>
          </cell>
          <cell r="BQ136" t="e">
            <v>#DIV/0!</v>
          </cell>
          <cell r="BR136">
            <v>0</v>
          </cell>
          <cell r="BS136">
            <v>0</v>
          </cell>
          <cell r="BT136" t="e">
            <v>#DIV/0!</v>
          </cell>
          <cell r="BU136">
            <v>0</v>
          </cell>
          <cell r="BV136">
            <v>0</v>
          </cell>
          <cell r="BW136" t="e">
            <v>#DIV/0!</v>
          </cell>
          <cell r="BX136">
            <v>0</v>
          </cell>
          <cell r="BY136">
            <v>0</v>
          </cell>
          <cell r="BZ136" t="e">
            <v>#DIV/0!</v>
          </cell>
          <cell r="CA136">
            <v>0</v>
          </cell>
          <cell r="CB136">
            <v>0</v>
          </cell>
          <cell r="CC136" t="e">
            <v>#DIV/0!</v>
          </cell>
          <cell r="CE136" t="str">
            <v>418 PIECE D'AUTOS</v>
          </cell>
          <cell r="CF136">
            <v>0</v>
          </cell>
          <cell r="CG136">
            <v>0</v>
          </cell>
          <cell r="CH136" t="e">
            <v>#DIV/0!</v>
          </cell>
          <cell r="CI136">
            <v>0</v>
          </cell>
          <cell r="CJ136">
            <v>0</v>
          </cell>
          <cell r="CK136" t="e">
            <v>#DIV/0!</v>
          </cell>
          <cell r="CL136">
            <v>0</v>
          </cell>
          <cell r="CM136">
            <v>0</v>
          </cell>
          <cell r="CN136" t="e">
            <v>#DIV/0!</v>
          </cell>
          <cell r="CO136">
            <v>0</v>
          </cell>
          <cell r="CP136">
            <v>0</v>
          </cell>
          <cell r="CQ136" t="e">
            <v>#DIV/0!</v>
          </cell>
          <cell r="CR136">
            <v>0</v>
          </cell>
          <cell r="CS136">
            <v>0</v>
          </cell>
          <cell r="CT136" t="e">
            <v>#DIV/0!</v>
          </cell>
          <cell r="CV136" t="str">
            <v>418 PIECE D'AUTOS</v>
          </cell>
          <cell r="CW136">
            <v>0</v>
          </cell>
          <cell r="CX136">
            <v>0</v>
          </cell>
          <cell r="CY136" t="e">
            <v>#DIV/0!</v>
          </cell>
          <cell r="CZ136">
            <v>0</v>
          </cell>
          <cell r="DA136">
            <v>0</v>
          </cell>
          <cell r="DB136" t="e">
            <v>#DIV/0!</v>
          </cell>
          <cell r="DC136">
            <v>0</v>
          </cell>
          <cell r="DD136">
            <v>0</v>
          </cell>
          <cell r="DE136" t="e">
            <v>#DIV/0!</v>
          </cell>
          <cell r="DF136">
            <v>0</v>
          </cell>
          <cell r="DG136">
            <v>0</v>
          </cell>
          <cell r="DH136" t="e">
            <v>#DIV/0!</v>
          </cell>
          <cell r="DJ136" t="str">
            <v>418 PIECE D'AUTOS</v>
          </cell>
          <cell r="DK136">
            <v>0</v>
          </cell>
          <cell r="DL136">
            <v>0</v>
          </cell>
          <cell r="DM136" t="e">
            <v>#DIV/0!</v>
          </cell>
          <cell r="DN136">
            <v>0</v>
          </cell>
          <cell r="DO136">
            <v>0</v>
          </cell>
          <cell r="DP136" t="e">
            <v>#DIV/0!</v>
          </cell>
          <cell r="DQ136">
            <v>0</v>
          </cell>
          <cell r="DR136">
            <v>0</v>
          </cell>
          <cell r="DS136" t="e">
            <v>#DIV/0!</v>
          </cell>
          <cell r="DT136">
            <v>0</v>
          </cell>
          <cell r="DU136">
            <v>0</v>
          </cell>
          <cell r="DV136" t="e">
            <v>#DIV/0!</v>
          </cell>
          <cell r="DX136" t="str">
            <v>418 PIECE D'AUTOS</v>
          </cell>
          <cell r="DY136">
            <v>0</v>
          </cell>
          <cell r="DZ136">
            <v>0</v>
          </cell>
          <cell r="EA136" t="e">
            <v>#DIV/0!</v>
          </cell>
          <cell r="EB136">
            <v>0</v>
          </cell>
          <cell r="EC136">
            <v>0</v>
          </cell>
          <cell r="ED136" t="e">
            <v>#DIV/0!</v>
          </cell>
          <cell r="EE136">
            <v>19785</v>
          </cell>
          <cell r="EF136">
            <v>19788</v>
          </cell>
          <cell r="EG136">
            <v>100.01516300227445</v>
          </cell>
          <cell r="EH136">
            <v>1313</v>
          </cell>
          <cell r="EI136">
            <v>1308</v>
          </cell>
          <cell r="EJ136">
            <v>99.619192688499609</v>
          </cell>
          <cell r="EK136">
            <v>21098</v>
          </cell>
          <cell r="EL136">
            <v>21096</v>
          </cell>
          <cell r="EM136">
            <v>99.990520428476643</v>
          </cell>
          <cell r="EO136" t="str">
            <v>418 PIECE D'AUTOS</v>
          </cell>
          <cell r="EP136">
            <v>0</v>
          </cell>
          <cell r="EQ136">
            <v>0</v>
          </cell>
          <cell r="ER136" t="e">
            <v>#DIV/0!</v>
          </cell>
          <cell r="ES136">
            <v>0</v>
          </cell>
          <cell r="ET136">
            <v>0</v>
          </cell>
          <cell r="EU136" t="e">
            <v>#DIV/0!</v>
          </cell>
          <cell r="EV136">
            <v>0</v>
          </cell>
          <cell r="EW136">
            <v>0</v>
          </cell>
          <cell r="EX136" t="e">
            <v>#DIV/0!</v>
          </cell>
          <cell r="EY136">
            <v>0</v>
          </cell>
          <cell r="EZ136">
            <v>0</v>
          </cell>
          <cell r="FA136" t="e">
            <v>#DIV/0!</v>
          </cell>
          <cell r="FC136" t="str">
            <v>418 PIECE D'AUTOS</v>
          </cell>
          <cell r="FD136">
            <v>0</v>
          </cell>
          <cell r="FE136">
            <v>0</v>
          </cell>
          <cell r="FF136" t="e">
            <v>#DIV/0!</v>
          </cell>
          <cell r="FG136">
            <v>0</v>
          </cell>
          <cell r="FH136">
            <v>0</v>
          </cell>
          <cell r="FI136" t="e">
            <v>#DIV/0!</v>
          </cell>
          <cell r="FJ136">
            <v>0</v>
          </cell>
          <cell r="FK136">
            <v>0</v>
          </cell>
          <cell r="FL136" t="e">
            <v>#DIV/0!</v>
          </cell>
          <cell r="FM136">
            <v>0</v>
          </cell>
          <cell r="FN136">
            <v>0</v>
          </cell>
          <cell r="FO136" t="e">
            <v>#DIV/0!</v>
          </cell>
          <cell r="FP136">
            <v>0</v>
          </cell>
          <cell r="FQ136">
            <v>0</v>
          </cell>
          <cell r="FR136" t="e">
            <v>#DIV/0!</v>
          </cell>
        </row>
        <row r="137">
          <cell r="AZ137" t="str">
            <v>419 PETIT OUTILLA</v>
          </cell>
          <cell r="BA137">
            <v>0</v>
          </cell>
          <cell r="BB137">
            <v>0</v>
          </cell>
          <cell r="BC137" t="e">
            <v>#DIV/0!</v>
          </cell>
          <cell r="BD137">
            <v>197</v>
          </cell>
          <cell r="BE137">
            <v>60</v>
          </cell>
          <cell r="BF137">
            <v>30.456852791878177</v>
          </cell>
          <cell r="BG137">
            <v>290</v>
          </cell>
          <cell r="BH137">
            <v>96</v>
          </cell>
          <cell r="BI137">
            <v>33.103448275862071</v>
          </cell>
          <cell r="BJ137">
            <v>857</v>
          </cell>
          <cell r="BK137">
            <v>288</v>
          </cell>
          <cell r="BL137">
            <v>33.605600933488915</v>
          </cell>
          <cell r="BN137" t="str">
            <v>419 PETIT OUTILLA</v>
          </cell>
          <cell r="BO137">
            <v>256</v>
          </cell>
          <cell r="BP137">
            <v>84</v>
          </cell>
          <cell r="BQ137">
            <v>32.8125</v>
          </cell>
          <cell r="BR137">
            <v>781</v>
          </cell>
          <cell r="BS137">
            <v>252</v>
          </cell>
          <cell r="BT137">
            <v>32.2663252240717</v>
          </cell>
          <cell r="BU137">
            <v>2646</v>
          </cell>
          <cell r="BV137">
            <v>876</v>
          </cell>
          <cell r="BW137">
            <v>33.106575963718818</v>
          </cell>
          <cell r="BX137">
            <v>0</v>
          </cell>
          <cell r="BY137">
            <v>0</v>
          </cell>
          <cell r="BZ137" t="e">
            <v>#DIV/0!</v>
          </cell>
          <cell r="CA137">
            <v>5027</v>
          </cell>
          <cell r="CB137">
            <v>1656</v>
          </cell>
          <cell r="CC137">
            <v>32.942112592003184</v>
          </cell>
          <cell r="CE137" t="str">
            <v>419 PETIT OUTILLA</v>
          </cell>
          <cell r="CF137">
            <v>1936</v>
          </cell>
          <cell r="CG137">
            <v>1932</v>
          </cell>
          <cell r="CH137">
            <v>99.793388429752056</v>
          </cell>
          <cell r="CI137">
            <v>3774</v>
          </cell>
          <cell r="CJ137">
            <v>3780</v>
          </cell>
          <cell r="CK137">
            <v>100.15898251192368</v>
          </cell>
          <cell r="CL137">
            <v>0</v>
          </cell>
          <cell r="CM137">
            <v>0</v>
          </cell>
          <cell r="CN137" t="e">
            <v>#DIV/0!</v>
          </cell>
          <cell r="CO137">
            <v>0</v>
          </cell>
          <cell r="CP137">
            <v>0</v>
          </cell>
          <cell r="CQ137" t="e">
            <v>#DIV/0!</v>
          </cell>
          <cell r="CR137">
            <v>5710</v>
          </cell>
          <cell r="CS137">
            <v>5712</v>
          </cell>
          <cell r="CT137">
            <v>100.03502626970229</v>
          </cell>
          <cell r="CV137" t="str">
            <v>419 PETIT OUTILLA</v>
          </cell>
          <cell r="CW137">
            <v>0</v>
          </cell>
          <cell r="CX137">
            <v>0</v>
          </cell>
          <cell r="CY137" t="e">
            <v>#DIV/0!</v>
          </cell>
          <cell r="CZ137">
            <v>0</v>
          </cell>
          <cell r="DA137">
            <v>0</v>
          </cell>
          <cell r="DB137" t="e">
            <v>#DIV/0!</v>
          </cell>
          <cell r="DC137">
            <v>0</v>
          </cell>
          <cell r="DD137">
            <v>0</v>
          </cell>
          <cell r="DE137" t="e">
            <v>#DIV/0!</v>
          </cell>
          <cell r="DF137">
            <v>0</v>
          </cell>
          <cell r="DG137">
            <v>0</v>
          </cell>
          <cell r="DH137" t="e">
            <v>#DIV/0!</v>
          </cell>
          <cell r="DJ137" t="str">
            <v>419 PETIT OUTILLA</v>
          </cell>
          <cell r="DK137">
            <v>6834</v>
          </cell>
          <cell r="DL137">
            <v>6840</v>
          </cell>
          <cell r="DM137">
            <v>100.08779631255487</v>
          </cell>
          <cell r="DN137">
            <v>0</v>
          </cell>
          <cell r="DO137">
            <v>0</v>
          </cell>
          <cell r="DP137" t="e">
            <v>#DIV/0!</v>
          </cell>
          <cell r="DQ137">
            <v>0</v>
          </cell>
          <cell r="DR137">
            <v>0</v>
          </cell>
          <cell r="DS137" t="e">
            <v>#DIV/0!</v>
          </cell>
          <cell r="DT137">
            <v>0</v>
          </cell>
          <cell r="DU137">
            <v>0</v>
          </cell>
          <cell r="DV137" t="e">
            <v>#DIV/0!</v>
          </cell>
          <cell r="DX137" t="str">
            <v>419 PETIT OUTILLA</v>
          </cell>
          <cell r="DY137">
            <v>0</v>
          </cell>
          <cell r="DZ137">
            <v>0</v>
          </cell>
          <cell r="EA137" t="e">
            <v>#DIV/0!</v>
          </cell>
          <cell r="EB137">
            <v>0</v>
          </cell>
          <cell r="EC137">
            <v>0</v>
          </cell>
          <cell r="ED137" t="e">
            <v>#DIV/0!</v>
          </cell>
          <cell r="EE137">
            <v>2318</v>
          </cell>
          <cell r="EF137">
            <v>2316</v>
          </cell>
          <cell r="EG137">
            <v>99.913718723037107</v>
          </cell>
          <cell r="EH137">
            <v>923</v>
          </cell>
          <cell r="EI137">
            <v>924</v>
          </cell>
          <cell r="EJ137">
            <v>100.10834236186348</v>
          </cell>
          <cell r="EK137">
            <v>10075</v>
          </cell>
          <cell r="EL137">
            <v>10080</v>
          </cell>
          <cell r="EM137">
            <v>100.04962779156328</v>
          </cell>
          <cell r="EO137" t="str">
            <v>419 PETIT OUTILLA</v>
          </cell>
          <cell r="EP137">
            <v>9850</v>
          </cell>
          <cell r="EQ137">
            <v>9852</v>
          </cell>
          <cell r="ER137">
            <v>100.02030456852793</v>
          </cell>
          <cell r="ES137">
            <v>0</v>
          </cell>
          <cell r="ET137">
            <v>0</v>
          </cell>
          <cell r="EU137" t="e">
            <v>#DIV/0!</v>
          </cell>
          <cell r="EV137">
            <v>0</v>
          </cell>
          <cell r="EW137">
            <v>0</v>
          </cell>
          <cell r="EX137" t="e">
            <v>#DIV/0!</v>
          </cell>
          <cell r="EY137">
            <v>0</v>
          </cell>
          <cell r="EZ137">
            <v>0</v>
          </cell>
          <cell r="FA137" t="e">
            <v>#DIV/0!</v>
          </cell>
          <cell r="FC137" t="str">
            <v>419 PETIT OUTILLA</v>
          </cell>
          <cell r="FD137">
            <v>0</v>
          </cell>
          <cell r="FE137">
            <v>0</v>
          </cell>
          <cell r="FF137" t="e">
            <v>#DIV/0!</v>
          </cell>
          <cell r="FG137">
            <v>0</v>
          </cell>
          <cell r="FH137">
            <v>0</v>
          </cell>
          <cell r="FI137" t="e">
            <v>#DIV/0!</v>
          </cell>
          <cell r="FJ137">
            <v>597</v>
          </cell>
          <cell r="FK137">
            <v>600</v>
          </cell>
          <cell r="FL137">
            <v>100.50251256281406</v>
          </cell>
          <cell r="FM137">
            <v>1106</v>
          </cell>
          <cell r="FN137">
            <v>1104</v>
          </cell>
          <cell r="FO137">
            <v>99.819168173598555</v>
          </cell>
          <cell r="FP137">
            <v>11553</v>
          </cell>
          <cell r="FQ137">
            <v>11556</v>
          </cell>
          <cell r="FR137">
            <v>100.02596728122566</v>
          </cell>
        </row>
        <row r="138">
          <cell r="AZ138" t="str">
            <v>420 PNEUMATI.V.L</v>
          </cell>
          <cell r="BA138">
            <v>0</v>
          </cell>
          <cell r="BB138">
            <v>0</v>
          </cell>
          <cell r="BC138" t="e">
            <v>#DIV/0!</v>
          </cell>
          <cell r="BD138">
            <v>0</v>
          </cell>
          <cell r="BE138">
            <v>0</v>
          </cell>
          <cell r="BF138" t="e">
            <v>#DIV/0!</v>
          </cell>
          <cell r="BG138">
            <v>0</v>
          </cell>
          <cell r="BH138">
            <v>0</v>
          </cell>
          <cell r="BI138" t="e">
            <v>#DIV/0!</v>
          </cell>
          <cell r="BJ138">
            <v>0</v>
          </cell>
          <cell r="BK138">
            <v>0</v>
          </cell>
          <cell r="BL138" t="e">
            <v>#DIV/0!</v>
          </cell>
          <cell r="BN138" t="str">
            <v>420 PNEUMATI.V.L</v>
          </cell>
          <cell r="BO138">
            <v>0</v>
          </cell>
          <cell r="BP138">
            <v>0</v>
          </cell>
          <cell r="BQ138" t="e">
            <v>#DIV/0!</v>
          </cell>
          <cell r="BR138">
            <v>0</v>
          </cell>
          <cell r="BS138">
            <v>0</v>
          </cell>
          <cell r="BT138" t="e">
            <v>#DIV/0!</v>
          </cell>
          <cell r="BU138">
            <v>0</v>
          </cell>
          <cell r="BV138">
            <v>0</v>
          </cell>
          <cell r="BW138" t="e">
            <v>#DIV/0!</v>
          </cell>
          <cell r="BX138">
            <v>0</v>
          </cell>
          <cell r="BY138">
            <v>0</v>
          </cell>
          <cell r="BZ138" t="e">
            <v>#DIV/0!</v>
          </cell>
          <cell r="CA138">
            <v>0</v>
          </cell>
          <cell r="CB138">
            <v>0</v>
          </cell>
          <cell r="CC138" t="e">
            <v>#DIV/0!</v>
          </cell>
          <cell r="CE138" t="str">
            <v>420 PNEUMATI.V.L</v>
          </cell>
          <cell r="CF138">
            <v>0</v>
          </cell>
          <cell r="CG138">
            <v>0</v>
          </cell>
          <cell r="CH138" t="e">
            <v>#DIV/0!</v>
          </cell>
          <cell r="CI138">
            <v>0</v>
          </cell>
          <cell r="CJ138">
            <v>0</v>
          </cell>
          <cell r="CK138" t="e">
            <v>#DIV/0!</v>
          </cell>
          <cell r="CL138">
            <v>0</v>
          </cell>
          <cell r="CM138">
            <v>0</v>
          </cell>
          <cell r="CN138" t="e">
            <v>#DIV/0!</v>
          </cell>
          <cell r="CO138">
            <v>0</v>
          </cell>
          <cell r="CP138">
            <v>0</v>
          </cell>
          <cell r="CQ138" t="e">
            <v>#DIV/0!</v>
          </cell>
          <cell r="CR138">
            <v>0</v>
          </cell>
          <cell r="CS138">
            <v>0</v>
          </cell>
          <cell r="CT138" t="e">
            <v>#DIV/0!</v>
          </cell>
          <cell r="CV138" t="str">
            <v>420 PNEUMATI.V.L</v>
          </cell>
          <cell r="CW138">
            <v>0</v>
          </cell>
          <cell r="CX138">
            <v>0</v>
          </cell>
          <cell r="CY138" t="e">
            <v>#DIV/0!</v>
          </cell>
          <cell r="CZ138">
            <v>0</v>
          </cell>
          <cell r="DA138">
            <v>0</v>
          </cell>
          <cell r="DB138" t="e">
            <v>#DIV/0!</v>
          </cell>
          <cell r="DC138">
            <v>0</v>
          </cell>
          <cell r="DD138">
            <v>0</v>
          </cell>
          <cell r="DE138" t="e">
            <v>#DIV/0!</v>
          </cell>
          <cell r="DF138">
            <v>0</v>
          </cell>
          <cell r="DG138">
            <v>0</v>
          </cell>
          <cell r="DH138" t="e">
            <v>#DIV/0!</v>
          </cell>
          <cell r="DJ138" t="str">
            <v>420 PNEUMATI.V.L</v>
          </cell>
          <cell r="DK138">
            <v>0</v>
          </cell>
          <cell r="DL138">
            <v>0</v>
          </cell>
          <cell r="DM138" t="e">
            <v>#DIV/0!</v>
          </cell>
          <cell r="DN138">
            <v>0</v>
          </cell>
          <cell r="DO138">
            <v>0</v>
          </cell>
          <cell r="DP138" t="e">
            <v>#DIV/0!</v>
          </cell>
          <cell r="DQ138">
            <v>0</v>
          </cell>
          <cell r="DR138">
            <v>0</v>
          </cell>
          <cell r="DS138" t="e">
            <v>#DIV/0!</v>
          </cell>
          <cell r="DT138">
            <v>0</v>
          </cell>
          <cell r="DU138">
            <v>0</v>
          </cell>
          <cell r="DV138" t="e">
            <v>#DIV/0!</v>
          </cell>
          <cell r="DX138" t="str">
            <v>420 PNEUMATI.V.L</v>
          </cell>
          <cell r="DY138">
            <v>0</v>
          </cell>
          <cell r="DZ138">
            <v>0</v>
          </cell>
          <cell r="EA138" t="e">
            <v>#DIV/0!</v>
          </cell>
          <cell r="EB138">
            <v>0</v>
          </cell>
          <cell r="EC138">
            <v>0</v>
          </cell>
          <cell r="ED138" t="e">
            <v>#DIV/0!</v>
          </cell>
          <cell r="EE138">
            <v>0</v>
          </cell>
          <cell r="EF138">
            <v>0</v>
          </cell>
          <cell r="EG138" t="e">
            <v>#DIV/0!</v>
          </cell>
          <cell r="EH138">
            <v>0</v>
          </cell>
          <cell r="EI138">
            <v>0</v>
          </cell>
          <cell r="EJ138" t="e">
            <v>#DIV/0!</v>
          </cell>
          <cell r="EK138">
            <v>0</v>
          </cell>
          <cell r="EL138">
            <v>0</v>
          </cell>
          <cell r="EM138" t="e">
            <v>#DIV/0!</v>
          </cell>
          <cell r="EO138" t="str">
            <v>420 PNEUMATI.V.L</v>
          </cell>
          <cell r="EP138">
            <v>0</v>
          </cell>
          <cell r="EQ138">
            <v>0</v>
          </cell>
          <cell r="ER138" t="e">
            <v>#DIV/0!</v>
          </cell>
          <cell r="ES138">
            <v>0</v>
          </cell>
          <cell r="ET138">
            <v>0</v>
          </cell>
          <cell r="EU138" t="e">
            <v>#DIV/0!</v>
          </cell>
          <cell r="EV138">
            <v>0</v>
          </cell>
          <cell r="EW138">
            <v>0</v>
          </cell>
          <cell r="EX138" t="e">
            <v>#DIV/0!</v>
          </cell>
          <cell r="EY138">
            <v>0</v>
          </cell>
          <cell r="EZ138">
            <v>0</v>
          </cell>
          <cell r="FA138" t="e">
            <v>#DIV/0!</v>
          </cell>
          <cell r="FC138" t="str">
            <v>420 PNEUMATI.V.L</v>
          </cell>
          <cell r="FD138">
            <v>0</v>
          </cell>
          <cell r="FE138">
            <v>0</v>
          </cell>
          <cell r="FF138" t="e">
            <v>#DIV/0!</v>
          </cell>
          <cell r="FG138">
            <v>0</v>
          </cell>
          <cell r="FH138">
            <v>0</v>
          </cell>
          <cell r="FI138" t="e">
            <v>#DIV/0!</v>
          </cell>
          <cell r="FJ138">
            <v>0</v>
          </cell>
          <cell r="FK138">
            <v>0</v>
          </cell>
          <cell r="FL138" t="e">
            <v>#DIV/0!</v>
          </cell>
          <cell r="FM138">
            <v>0</v>
          </cell>
          <cell r="FN138">
            <v>0</v>
          </cell>
          <cell r="FO138" t="e">
            <v>#DIV/0!</v>
          </cell>
          <cell r="FP138">
            <v>0</v>
          </cell>
          <cell r="FQ138">
            <v>0</v>
          </cell>
          <cell r="FR138" t="e">
            <v>#DIV/0!</v>
          </cell>
        </row>
        <row r="139">
          <cell r="AZ139" t="str">
            <v>421 PROD.PHARM.</v>
          </cell>
          <cell r="BA139">
            <v>0</v>
          </cell>
          <cell r="BB139">
            <v>0</v>
          </cell>
          <cell r="BC139" t="e">
            <v>#DIV/0!</v>
          </cell>
          <cell r="BD139">
            <v>0</v>
          </cell>
          <cell r="BE139">
            <v>0</v>
          </cell>
          <cell r="BF139" t="e">
            <v>#DIV/0!</v>
          </cell>
          <cell r="BG139">
            <v>0</v>
          </cell>
          <cell r="BH139">
            <v>0</v>
          </cell>
          <cell r="BI139" t="e">
            <v>#DIV/0!</v>
          </cell>
          <cell r="BJ139">
            <v>0</v>
          </cell>
          <cell r="BK139">
            <v>0</v>
          </cell>
          <cell r="BL139" t="e">
            <v>#DIV/0!</v>
          </cell>
          <cell r="BN139" t="str">
            <v>421 PROD.PHARM.</v>
          </cell>
          <cell r="BO139">
            <v>0</v>
          </cell>
          <cell r="BP139">
            <v>0</v>
          </cell>
          <cell r="BQ139" t="e">
            <v>#DIV/0!</v>
          </cell>
          <cell r="BR139">
            <v>0</v>
          </cell>
          <cell r="BS139">
            <v>0</v>
          </cell>
          <cell r="BT139" t="e">
            <v>#DIV/0!</v>
          </cell>
          <cell r="BU139">
            <v>0</v>
          </cell>
          <cell r="BV139">
            <v>0</v>
          </cell>
          <cell r="BW139" t="e">
            <v>#DIV/0!</v>
          </cell>
          <cell r="BX139">
            <v>0</v>
          </cell>
          <cell r="BY139">
            <v>0</v>
          </cell>
          <cell r="BZ139" t="e">
            <v>#DIV/0!</v>
          </cell>
          <cell r="CA139">
            <v>0</v>
          </cell>
          <cell r="CB139">
            <v>0</v>
          </cell>
          <cell r="CC139" t="e">
            <v>#DIV/0!</v>
          </cell>
          <cell r="CE139" t="str">
            <v>421 PROD.PHARM.</v>
          </cell>
          <cell r="CF139">
            <v>0</v>
          </cell>
          <cell r="CG139">
            <v>0</v>
          </cell>
          <cell r="CH139" t="e">
            <v>#DIV/0!</v>
          </cell>
          <cell r="CI139">
            <v>0</v>
          </cell>
          <cell r="CJ139">
            <v>0</v>
          </cell>
          <cell r="CK139" t="e">
            <v>#DIV/0!</v>
          </cell>
          <cell r="CL139">
            <v>0</v>
          </cell>
          <cell r="CM139">
            <v>0</v>
          </cell>
          <cell r="CN139" t="e">
            <v>#DIV/0!</v>
          </cell>
          <cell r="CO139">
            <v>0</v>
          </cell>
          <cell r="CP139">
            <v>0</v>
          </cell>
          <cell r="CQ139" t="e">
            <v>#DIV/0!</v>
          </cell>
          <cell r="CR139">
            <v>0</v>
          </cell>
          <cell r="CS139">
            <v>0</v>
          </cell>
          <cell r="CT139" t="e">
            <v>#DIV/0!</v>
          </cell>
          <cell r="CV139" t="str">
            <v>421 PROD.PHARM.</v>
          </cell>
          <cell r="CW139">
            <v>0</v>
          </cell>
          <cell r="CX139">
            <v>0</v>
          </cell>
          <cell r="CY139" t="e">
            <v>#DIV/0!</v>
          </cell>
          <cell r="CZ139">
            <v>0</v>
          </cell>
          <cell r="DA139">
            <v>0</v>
          </cell>
          <cell r="DB139" t="e">
            <v>#DIV/0!</v>
          </cell>
          <cell r="DC139">
            <v>0</v>
          </cell>
          <cell r="DD139">
            <v>0</v>
          </cell>
          <cell r="DE139" t="e">
            <v>#DIV/0!</v>
          </cell>
          <cell r="DF139">
            <v>0</v>
          </cell>
          <cell r="DG139">
            <v>0</v>
          </cell>
          <cell r="DH139" t="e">
            <v>#DIV/0!</v>
          </cell>
          <cell r="DJ139" t="str">
            <v>421 PROD.PHARM.</v>
          </cell>
          <cell r="DK139">
            <v>0</v>
          </cell>
          <cell r="DL139">
            <v>0</v>
          </cell>
          <cell r="DM139" t="e">
            <v>#DIV/0!</v>
          </cell>
          <cell r="DN139">
            <v>0</v>
          </cell>
          <cell r="DO139">
            <v>0</v>
          </cell>
          <cell r="DP139" t="e">
            <v>#DIV/0!</v>
          </cell>
          <cell r="DQ139">
            <v>0</v>
          </cell>
          <cell r="DR139">
            <v>0</v>
          </cell>
          <cell r="DS139" t="e">
            <v>#DIV/0!</v>
          </cell>
          <cell r="DT139">
            <v>0</v>
          </cell>
          <cell r="DU139">
            <v>0</v>
          </cell>
          <cell r="DV139" t="e">
            <v>#DIV/0!</v>
          </cell>
          <cell r="DX139" t="str">
            <v>421 PROD.PHARM.</v>
          </cell>
          <cell r="DY139">
            <v>0</v>
          </cell>
          <cell r="DZ139">
            <v>0</v>
          </cell>
          <cell r="EA139" t="e">
            <v>#DIV/0!</v>
          </cell>
          <cell r="EB139">
            <v>0</v>
          </cell>
          <cell r="EC139">
            <v>0</v>
          </cell>
          <cell r="ED139" t="e">
            <v>#DIV/0!</v>
          </cell>
          <cell r="EE139">
            <v>0</v>
          </cell>
          <cell r="EF139">
            <v>0</v>
          </cell>
          <cell r="EG139" t="e">
            <v>#DIV/0!</v>
          </cell>
          <cell r="EH139">
            <v>2755</v>
          </cell>
          <cell r="EI139">
            <v>2760</v>
          </cell>
          <cell r="EJ139">
            <v>100.18148820326678</v>
          </cell>
          <cell r="EK139">
            <v>2755</v>
          </cell>
          <cell r="EL139">
            <v>2760</v>
          </cell>
          <cell r="EM139">
            <v>100.18148820326678</v>
          </cell>
          <cell r="EO139" t="str">
            <v>421 PROD.PHARM.</v>
          </cell>
          <cell r="EP139">
            <v>0</v>
          </cell>
          <cell r="EQ139">
            <v>0</v>
          </cell>
          <cell r="ER139" t="e">
            <v>#DIV/0!</v>
          </cell>
          <cell r="ES139">
            <v>0</v>
          </cell>
          <cell r="ET139">
            <v>0</v>
          </cell>
          <cell r="EU139" t="e">
            <v>#DIV/0!</v>
          </cell>
          <cell r="EV139">
            <v>0</v>
          </cell>
          <cell r="EW139">
            <v>0</v>
          </cell>
          <cell r="EX139" t="e">
            <v>#DIV/0!</v>
          </cell>
          <cell r="EY139">
            <v>0</v>
          </cell>
          <cell r="EZ139">
            <v>0</v>
          </cell>
          <cell r="FA139" t="e">
            <v>#DIV/0!</v>
          </cell>
          <cell r="FC139" t="str">
            <v>421 PROD.PHARM.</v>
          </cell>
          <cell r="FD139">
            <v>0</v>
          </cell>
          <cell r="FE139">
            <v>0</v>
          </cell>
          <cell r="FF139" t="e">
            <v>#DIV/0!</v>
          </cell>
          <cell r="FG139">
            <v>0</v>
          </cell>
          <cell r="FH139">
            <v>0</v>
          </cell>
          <cell r="FI139" t="e">
            <v>#DIV/0!</v>
          </cell>
          <cell r="FJ139">
            <v>0</v>
          </cell>
          <cell r="FK139">
            <v>0</v>
          </cell>
          <cell r="FL139" t="e">
            <v>#DIV/0!</v>
          </cell>
          <cell r="FM139">
            <v>0</v>
          </cell>
          <cell r="FN139">
            <v>0</v>
          </cell>
          <cell r="FO139" t="e">
            <v>#DIV/0!</v>
          </cell>
          <cell r="FP139">
            <v>0</v>
          </cell>
          <cell r="FQ139">
            <v>0</v>
          </cell>
          <cell r="FR139" t="e">
            <v>#DIV/0!</v>
          </cell>
        </row>
        <row r="140">
          <cell r="AZ140" t="str">
            <v>422 SACH. EMBAL.</v>
          </cell>
          <cell r="BA140">
            <v>0</v>
          </cell>
          <cell r="BB140">
            <v>0</v>
          </cell>
          <cell r="BC140" t="e">
            <v>#DIV/0!</v>
          </cell>
          <cell r="BD140">
            <v>0</v>
          </cell>
          <cell r="BE140">
            <v>0</v>
          </cell>
          <cell r="BF140" t="e">
            <v>#DIV/0!</v>
          </cell>
          <cell r="BG140">
            <v>0</v>
          </cell>
          <cell r="BH140">
            <v>0</v>
          </cell>
          <cell r="BI140" t="e">
            <v>#DIV/0!</v>
          </cell>
          <cell r="BJ140">
            <v>0</v>
          </cell>
          <cell r="BK140">
            <v>0</v>
          </cell>
          <cell r="BL140" t="e">
            <v>#DIV/0!</v>
          </cell>
          <cell r="BN140" t="str">
            <v>422 SACH. EMBAL.</v>
          </cell>
          <cell r="BO140">
            <v>0</v>
          </cell>
          <cell r="BP140">
            <v>0</v>
          </cell>
          <cell r="BQ140" t="e">
            <v>#DIV/0!</v>
          </cell>
          <cell r="BR140">
            <v>0</v>
          </cell>
          <cell r="BS140">
            <v>0</v>
          </cell>
          <cell r="BT140" t="e">
            <v>#DIV/0!</v>
          </cell>
          <cell r="BU140">
            <v>0</v>
          </cell>
          <cell r="BV140">
            <v>0</v>
          </cell>
          <cell r="BW140" t="e">
            <v>#DIV/0!</v>
          </cell>
          <cell r="BX140">
            <v>0</v>
          </cell>
          <cell r="BY140">
            <v>0</v>
          </cell>
          <cell r="BZ140" t="e">
            <v>#DIV/0!</v>
          </cell>
          <cell r="CA140">
            <v>0</v>
          </cell>
          <cell r="CB140">
            <v>0</v>
          </cell>
          <cell r="CC140" t="e">
            <v>#DIV/0!</v>
          </cell>
          <cell r="CE140" t="str">
            <v>422 SACH. EMBAL.</v>
          </cell>
          <cell r="CF140">
            <v>0</v>
          </cell>
          <cell r="CG140">
            <v>0</v>
          </cell>
          <cell r="CH140" t="e">
            <v>#DIV/0!</v>
          </cell>
          <cell r="CI140">
            <v>0</v>
          </cell>
          <cell r="CJ140">
            <v>0</v>
          </cell>
          <cell r="CK140" t="e">
            <v>#DIV/0!</v>
          </cell>
          <cell r="CL140">
            <v>0</v>
          </cell>
          <cell r="CM140">
            <v>0</v>
          </cell>
          <cell r="CN140" t="e">
            <v>#DIV/0!</v>
          </cell>
          <cell r="CO140">
            <v>0</v>
          </cell>
          <cell r="CP140">
            <v>0</v>
          </cell>
          <cell r="CQ140" t="e">
            <v>#DIV/0!</v>
          </cell>
          <cell r="CR140">
            <v>0</v>
          </cell>
          <cell r="CS140">
            <v>0</v>
          </cell>
          <cell r="CT140" t="e">
            <v>#DIV/0!</v>
          </cell>
          <cell r="CV140" t="str">
            <v>422 SACH. EMBAL.</v>
          </cell>
          <cell r="CW140">
            <v>0</v>
          </cell>
          <cell r="CX140">
            <v>0</v>
          </cell>
          <cell r="CY140" t="e">
            <v>#DIV/0!</v>
          </cell>
          <cell r="CZ140">
            <v>0</v>
          </cell>
          <cell r="DA140">
            <v>0</v>
          </cell>
          <cell r="DB140" t="e">
            <v>#DIV/0!</v>
          </cell>
          <cell r="DC140">
            <v>0</v>
          </cell>
          <cell r="DD140">
            <v>0</v>
          </cell>
          <cell r="DE140" t="e">
            <v>#DIV/0!</v>
          </cell>
          <cell r="DF140">
            <v>0</v>
          </cell>
          <cell r="DG140">
            <v>0</v>
          </cell>
          <cell r="DH140" t="e">
            <v>#DIV/0!</v>
          </cell>
          <cell r="DJ140" t="str">
            <v>422 SACH. EMBAL.</v>
          </cell>
          <cell r="DK140">
            <v>0</v>
          </cell>
          <cell r="DL140">
            <v>0</v>
          </cell>
          <cell r="DM140" t="e">
            <v>#DIV/0!</v>
          </cell>
          <cell r="DN140">
            <v>0</v>
          </cell>
          <cell r="DO140">
            <v>0</v>
          </cell>
          <cell r="DP140" t="e">
            <v>#DIV/0!</v>
          </cell>
          <cell r="DQ140">
            <v>0</v>
          </cell>
          <cell r="DR140">
            <v>0</v>
          </cell>
          <cell r="DS140" t="e">
            <v>#DIV/0!</v>
          </cell>
          <cell r="DT140">
            <v>0</v>
          </cell>
          <cell r="DU140">
            <v>0</v>
          </cell>
          <cell r="DV140" t="e">
            <v>#DIV/0!</v>
          </cell>
          <cell r="DX140" t="str">
            <v>422 SACH. EMBAL.</v>
          </cell>
          <cell r="DY140">
            <v>0</v>
          </cell>
          <cell r="DZ140">
            <v>0</v>
          </cell>
          <cell r="EA140" t="e">
            <v>#DIV/0!</v>
          </cell>
          <cell r="EB140">
            <v>0</v>
          </cell>
          <cell r="EC140">
            <v>0</v>
          </cell>
          <cell r="ED140" t="e">
            <v>#DIV/0!</v>
          </cell>
          <cell r="EE140">
            <v>0</v>
          </cell>
          <cell r="EF140">
            <v>0</v>
          </cell>
          <cell r="EG140" t="e">
            <v>#DIV/0!</v>
          </cell>
          <cell r="EH140">
            <v>0</v>
          </cell>
          <cell r="EI140">
            <v>0</v>
          </cell>
          <cell r="EJ140" t="e">
            <v>#DIV/0!</v>
          </cell>
          <cell r="EK140">
            <v>0</v>
          </cell>
          <cell r="EL140">
            <v>0</v>
          </cell>
          <cell r="EM140" t="e">
            <v>#DIV/0!</v>
          </cell>
          <cell r="EO140" t="str">
            <v>422 SACH. EMBAL.</v>
          </cell>
          <cell r="EP140">
            <v>0</v>
          </cell>
          <cell r="EQ140">
            <v>0</v>
          </cell>
          <cell r="ER140" t="e">
            <v>#DIV/0!</v>
          </cell>
          <cell r="ES140">
            <v>0</v>
          </cell>
          <cell r="ET140">
            <v>0</v>
          </cell>
          <cell r="EU140" t="e">
            <v>#DIV/0!</v>
          </cell>
          <cell r="EV140">
            <v>0</v>
          </cell>
          <cell r="EW140">
            <v>0</v>
          </cell>
          <cell r="EX140" t="e">
            <v>#DIV/0!</v>
          </cell>
          <cell r="EY140">
            <v>0</v>
          </cell>
          <cell r="EZ140">
            <v>0</v>
          </cell>
          <cell r="FA140" t="e">
            <v>#DIV/0!</v>
          </cell>
          <cell r="FC140" t="str">
            <v>422 SACH. EMBAL.</v>
          </cell>
          <cell r="FD140">
            <v>0</v>
          </cell>
          <cell r="FE140">
            <v>0</v>
          </cell>
          <cell r="FF140" t="e">
            <v>#DIV/0!</v>
          </cell>
          <cell r="FG140">
            <v>0</v>
          </cell>
          <cell r="FH140">
            <v>0</v>
          </cell>
          <cell r="FI140" t="e">
            <v>#DIV/0!</v>
          </cell>
          <cell r="FJ140">
            <v>0</v>
          </cell>
          <cell r="FK140">
            <v>0</v>
          </cell>
          <cell r="FL140" t="e">
            <v>#DIV/0!</v>
          </cell>
          <cell r="FM140">
            <v>0</v>
          </cell>
          <cell r="FN140">
            <v>0</v>
          </cell>
          <cell r="FO140" t="e">
            <v>#DIV/0!</v>
          </cell>
          <cell r="FP140">
            <v>0</v>
          </cell>
          <cell r="FQ140">
            <v>0</v>
          </cell>
          <cell r="FR140" t="e">
            <v>#DIV/0!</v>
          </cell>
        </row>
        <row r="141">
          <cell r="AZ141" t="str">
            <v>423 PETIT MAT.MED</v>
          </cell>
          <cell r="BA141">
            <v>0</v>
          </cell>
          <cell r="BB141">
            <v>0</v>
          </cell>
          <cell r="BC141" t="e">
            <v>#DIV/0!</v>
          </cell>
          <cell r="BD141">
            <v>0</v>
          </cell>
          <cell r="BE141">
            <v>0</v>
          </cell>
          <cell r="BF141" t="e">
            <v>#DIV/0!</v>
          </cell>
          <cell r="BG141">
            <v>0</v>
          </cell>
          <cell r="BH141">
            <v>0</v>
          </cell>
          <cell r="BI141" t="e">
            <v>#DIV/0!</v>
          </cell>
          <cell r="BJ141">
            <v>0</v>
          </cell>
          <cell r="BK141">
            <v>0</v>
          </cell>
          <cell r="BL141" t="e">
            <v>#DIV/0!</v>
          </cell>
          <cell r="BN141" t="str">
            <v>423 PETIT MAT.MED</v>
          </cell>
          <cell r="BO141">
            <v>0</v>
          </cell>
          <cell r="BP141">
            <v>0</v>
          </cell>
          <cell r="BQ141" t="e">
            <v>#DIV/0!</v>
          </cell>
          <cell r="BR141">
            <v>0</v>
          </cell>
          <cell r="BS141">
            <v>0</v>
          </cell>
          <cell r="BT141" t="e">
            <v>#DIV/0!</v>
          </cell>
          <cell r="BU141">
            <v>0</v>
          </cell>
          <cell r="BV141">
            <v>0</v>
          </cell>
          <cell r="BW141" t="e">
            <v>#DIV/0!</v>
          </cell>
          <cell r="BX141">
            <v>0</v>
          </cell>
          <cell r="BY141">
            <v>0</v>
          </cell>
          <cell r="BZ141" t="e">
            <v>#DIV/0!</v>
          </cell>
          <cell r="CA141">
            <v>0</v>
          </cell>
          <cell r="CB141">
            <v>0</v>
          </cell>
          <cell r="CC141" t="e">
            <v>#DIV/0!</v>
          </cell>
          <cell r="CE141" t="str">
            <v>423 PETIT MAT.MED</v>
          </cell>
          <cell r="CF141">
            <v>0</v>
          </cell>
          <cell r="CG141">
            <v>0</v>
          </cell>
          <cell r="CH141" t="e">
            <v>#DIV/0!</v>
          </cell>
          <cell r="CI141">
            <v>0</v>
          </cell>
          <cell r="CJ141">
            <v>0</v>
          </cell>
          <cell r="CK141" t="e">
            <v>#DIV/0!</v>
          </cell>
          <cell r="CL141">
            <v>0</v>
          </cell>
          <cell r="CM141">
            <v>0</v>
          </cell>
          <cell r="CN141" t="e">
            <v>#DIV/0!</v>
          </cell>
          <cell r="CO141">
            <v>0</v>
          </cell>
          <cell r="CP141">
            <v>0</v>
          </cell>
          <cell r="CQ141" t="e">
            <v>#DIV/0!</v>
          </cell>
          <cell r="CR141">
            <v>0</v>
          </cell>
          <cell r="CS141">
            <v>0</v>
          </cell>
          <cell r="CT141" t="e">
            <v>#DIV/0!</v>
          </cell>
          <cell r="CV141" t="str">
            <v>423 PETIT MAT.MED</v>
          </cell>
          <cell r="CW141">
            <v>0</v>
          </cell>
          <cell r="CX141">
            <v>0</v>
          </cell>
          <cell r="CY141" t="e">
            <v>#DIV/0!</v>
          </cell>
          <cell r="CZ141">
            <v>0</v>
          </cell>
          <cell r="DA141">
            <v>0</v>
          </cell>
          <cell r="DB141" t="e">
            <v>#DIV/0!</v>
          </cell>
          <cell r="DC141">
            <v>0</v>
          </cell>
          <cell r="DD141">
            <v>0</v>
          </cell>
          <cell r="DE141" t="e">
            <v>#DIV/0!</v>
          </cell>
          <cell r="DF141">
            <v>0</v>
          </cell>
          <cell r="DG141">
            <v>0</v>
          </cell>
          <cell r="DH141" t="e">
            <v>#DIV/0!</v>
          </cell>
          <cell r="DJ141" t="str">
            <v>423 PETIT MAT.MED</v>
          </cell>
          <cell r="DK141">
            <v>0</v>
          </cell>
          <cell r="DL141">
            <v>0</v>
          </cell>
          <cell r="DM141" t="e">
            <v>#DIV/0!</v>
          </cell>
          <cell r="DN141">
            <v>0</v>
          </cell>
          <cell r="DO141">
            <v>0</v>
          </cell>
          <cell r="DP141" t="e">
            <v>#DIV/0!</v>
          </cell>
          <cell r="DQ141">
            <v>0</v>
          </cell>
          <cell r="DR141">
            <v>0</v>
          </cell>
          <cell r="DS141" t="e">
            <v>#DIV/0!</v>
          </cell>
          <cell r="DT141">
            <v>0</v>
          </cell>
          <cell r="DU141">
            <v>0</v>
          </cell>
          <cell r="DV141" t="e">
            <v>#DIV/0!</v>
          </cell>
          <cell r="DX141" t="str">
            <v>423 PETIT MAT.MED</v>
          </cell>
          <cell r="DY141">
            <v>0</v>
          </cell>
          <cell r="DZ141">
            <v>0</v>
          </cell>
          <cell r="EA141" t="e">
            <v>#DIV/0!</v>
          </cell>
          <cell r="EB141">
            <v>0</v>
          </cell>
          <cell r="EC141">
            <v>0</v>
          </cell>
          <cell r="ED141" t="e">
            <v>#DIV/0!</v>
          </cell>
          <cell r="EE141">
            <v>0</v>
          </cell>
          <cell r="EF141">
            <v>0</v>
          </cell>
          <cell r="EG141" t="e">
            <v>#DIV/0!</v>
          </cell>
          <cell r="EH141">
            <v>0</v>
          </cell>
          <cell r="EI141">
            <v>0</v>
          </cell>
          <cell r="EJ141" t="e">
            <v>#DIV/0!</v>
          </cell>
          <cell r="EK141">
            <v>0</v>
          </cell>
          <cell r="EL141">
            <v>0</v>
          </cell>
          <cell r="EM141" t="e">
            <v>#DIV/0!</v>
          </cell>
          <cell r="EO141" t="str">
            <v>423 PETIT MAT.MED</v>
          </cell>
          <cell r="EP141">
            <v>0</v>
          </cell>
          <cell r="EQ141">
            <v>0</v>
          </cell>
          <cell r="ER141" t="e">
            <v>#DIV/0!</v>
          </cell>
          <cell r="ES141">
            <v>0</v>
          </cell>
          <cell r="ET141">
            <v>0</v>
          </cell>
          <cell r="EU141" t="e">
            <v>#DIV/0!</v>
          </cell>
          <cell r="EV141">
            <v>0</v>
          </cell>
          <cell r="EW141">
            <v>0</v>
          </cell>
          <cell r="EX141" t="e">
            <v>#DIV/0!</v>
          </cell>
          <cell r="EY141">
            <v>0</v>
          </cell>
          <cell r="EZ141">
            <v>0</v>
          </cell>
          <cell r="FA141" t="e">
            <v>#DIV/0!</v>
          </cell>
          <cell r="FC141" t="str">
            <v>423 PETIT MAT.MED</v>
          </cell>
          <cell r="FD141">
            <v>0</v>
          </cell>
          <cell r="FE141">
            <v>0</v>
          </cell>
          <cell r="FF141" t="e">
            <v>#DIV/0!</v>
          </cell>
          <cell r="FG141">
            <v>0</v>
          </cell>
          <cell r="FH141">
            <v>0</v>
          </cell>
          <cell r="FI141" t="e">
            <v>#DIV/0!</v>
          </cell>
          <cell r="FJ141">
            <v>0</v>
          </cell>
          <cell r="FK141">
            <v>0</v>
          </cell>
          <cell r="FL141" t="e">
            <v>#DIV/0!</v>
          </cell>
          <cell r="FM141">
            <v>0</v>
          </cell>
          <cell r="FN141">
            <v>0</v>
          </cell>
          <cell r="FO141" t="e">
            <v>#DIV/0!</v>
          </cell>
          <cell r="FP141">
            <v>0</v>
          </cell>
          <cell r="FQ141">
            <v>0</v>
          </cell>
          <cell r="FR141" t="e">
            <v>#DIV/0!</v>
          </cell>
        </row>
        <row r="142">
          <cell r="AZ142" t="str">
            <v>424 ACIER GAZ INDUS</v>
          </cell>
          <cell r="BA142">
            <v>0</v>
          </cell>
          <cell r="BB142">
            <v>0</v>
          </cell>
          <cell r="BC142" t="e">
            <v>#DIV/0!</v>
          </cell>
          <cell r="BD142">
            <v>6464</v>
          </cell>
          <cell r="BE142">
            <v>2136</v>
          </cell>
          <cell r="BF142">
            <v>33.044554455445549</v>
          </cell>
          <cell r="BG142">
            <v>2656</v>
          </cell>
          <cell r="BH142">
            <v>876</v>
          </cell>
          <cell r="BI142">
            <v>32.981927710843372</v>
          </cell>
          <cell r="BJ142">
            <v>3113</v>
          </cell>
          <cell r="BK142">
            <v>1032</v>
          </cell>
          <cell r="BL142">
            <v>33.151300995823959</v>
          </cell>
          <cell r="BN142" t="str">
            <v>424 ACIER GAZ INDUS</v>
          </cell>
          <cell r="BO142">
            <v>2377</v>
          </cell>
          <cell r="BP142">
            <v>780</v>
          </cell>
          <cell r="BQ142">
            <v>32.814472023559112</v>
          </cell>
          <cell r="BR142">
            <v>2703</v>
          </cell>
          <cell r="BS142">
            <v>888</v>
          </cell>
          <cell r="BT142">
            <v>32.852386237513876</v>
          </cell>
          <cell r="BU142">
            <v>7560</v>
          </cell>
          <cell r="BV142">
            <v>2496</v>
          </cell>
          <cell r="BW142">
            <v>33.015873015873012</v>
          </cell>
          <cell r="BX142">
            <v>5185</v>
          </cell>
          <cell r="BY142">
            <v>1716</v>
          </cell>
          <cell r="BZ142">
            <v>33.095467695274834</v>
          </cell>
          <cell r="CA142">
            <v>30058</v>
          </cell>
          <cell r="CB142">
            <v>9924</v>
          </cell>
          <cell r="CC142">
            <v>33.016168740435162</v>
          </cell>
          <cell r="CE142" t="str">
            <v>424 ACIER GAZ INDUS</v>
          </cell>
          <cell r="CF142">
            <v>43007</v>
          </cell>
          <cell r="CG142">
            <v>43008</v>
          </cell>
          <cell r="CH142">
            <v>100.00232520287395</v>
          </cell>
          <cell r="CI142">
            <v>21431</v>
          </cell>
          <cell r="CJ142">
            <v>21432</v>
          </cell>
          <cell r="CK142">
            <v>100.00466613783772</v>
          </cell>
          <cell r="CL142">
            <v>0</v>
          </cell>
          <cell r="CM142">
            <v>0</v>
          </cell>
          <cell r="CN142" t="e">
            <v>#DIV/0!</v>
          </cell>
          <cell r="CO142">
            <v>0</v>
          </cell>
          <cell r="CP142">
            <v>0</v>
          </cell>
          <cell r="CQ142" t="e">
            <v>#DIV/0!</v>
          </cell>
          <cell r="CR142">
            <v>64438</v>
          </cell>
          <cell r="CS142">
            <v>64440</v>
          </cell>
          <cell r="CT142">
            <v>100.00310375865173</v>
          </cell>
          <cell r="CV142" t="str">
            <v>424 ACIER GAZ INDUS</v>
          </cell>
          <cell r="CW142">
            <v>0</v>
          </cell>
          <cell r="CX142">
            <v>0</v>
          </cell>
          <cell r="CY142" t="e">
            <v>#DIV/0!</v>
          </cell>
          <cell r="CZ142">
            <v>6565</v>
          </cell>
          <cell r="DA142">
            <v>6564</v>
          </cell>
          <cell r="DB142">
            <v>99.984767707539987</v>
          </cell>
          <cell r="DC142">
            <v>0</v>
          </cell>
          <cell r="DD142">
            <v>0</v>
          </cell>
          <cell r="DE142" t="e">
            <v>#DIV/0!</v>
          </cell>
          <cell r="DF142">
            <v>6565</v>
          </cell>
          <cell r="DG142">
            <v>6564</v>
          </cell>
          <cell r="DH142">
            <v>99.984767707539987</v>
          </cell>
          <cell r="DJ142" t="str">
            <v>424 ACIER GAZ INDUS</v>
          </cell>
          <cell r="DK142">
            <v>1304</v>
          </cell>
          <cell r="DL142">
            <v>936</v>
          </cell>
          <cell r="DM142">
            <v>71.779141104294482</v>
          </cell>
          <cell r="DN142">
            <v>0</v>
          </cell>
          <cell r="DO142">
            <v>0</v>
          </cell>
          <cell r="DP142" t="e">
            <v>#DIV/0!</v>
          </cell>
          <cell r="DQ142">
            <v>0</v>
          </cell>
          <cell r="DR142">
            <v>0</v>
          </cell>
          <cell r="DS142" t="e">
            <v>#DIV/0!</v>
          </cell>
          <cell r="DT142">
            <v>0</v>
          </cell>
          <cell r="DU142">
            <v>0</v>
          </cell>
          <cell r="DV142" t="e">
            <v>#DIV/0!</v>
          </cell>
          <cell r="DX142" t="str">
            <v>424 ACIER GAZ INDUS</v>
          </cell>
          <cell r="DY142">
            <v>0</v>
          </cell>
          <cell r="DZ142">
            <v>0</v>
          </cell>
          <cell r="EA142" t="e">
            <v>#DIV/0!</v>
          </cell>
          <cell r="EB142">
            <v>0</v>
          </cell>
          <cell r="EC142">
            <v>0</v>
          </cell>
          <cell r="ED142" t="e">
            <v>#DIV/0!</v>
          </cell>
          <cell r="EE142">
            <v>0</v>
          </cell>
          <cell r="EF142">
            <v>0</v>
          </cell>
          <cell r="EG142" t="e">
            <v>#DIV/0!</v>
          </cell>
          <cell r="EH142">
            <v>14977</v>
          </cell>
          <cell r="EI142">
            <v>10788</v>
          </cell>
          <cell r="EJ142">
            <v>72.030446684916868</v>
          </cell>
          <cell r="EK142">
            <v>16281</v>
          </cell>
          <cell r="EL142">
            <v>11724</v>
          </cell>
          <cell r="EM142">
            <v>72.010318776487935</v>
          </cell>
          <cell r="EO142" t="str">
            <v>424 ACIER GAZ INDUS</v>
          </cell>
          <cell r="EP142">
            <v>215021</v>
          </cell>
          <cell r="EQ142">
            <v>161268</v>
          </cell>
          <cell r="ER142">
            <v>75.001046409420482</v>
          </cell>
          <cell r="ES142">
            <v>0</v>
          </cell>
          <cell r="ET142">
            <v>0</v>
          </cell>
          <cell r="EU142" t="e">
            <v>#DIV/0!</v>
          </cell>
          <cell r="EV142">
            <v>0</v>
          </cell>
          <cell r="EW142">
            <v>0</v>
          </cell>
          <cell r="EX142" t="e">
            <v>#DIV/0!</v>
          </cell>
          <cell r="EY142">
            <v>0</v>
          </cell>
          <cell r="EZ142">
            <v>0</v>
          </cell>
          <cell r="FA142" t="e">
            <v>#DIV/0!</v>
          </cell>
          <cell r="FC142" t="str">
            <v>424 ACIER GAZ INDUS</v>
          </cell>
          <cell r="FD142">
            <v>0</v>
          </cell>
          <cell r="FE142">
            <v>0</v>
          </cell>
          <cell r="FF142" t="e">
            <v>#DIV/0!</v>
          </cell>
          <cell r="FG142">
            <v>0</v>
          </cell>
          <cell r="FH142">
            <v>0</v>
          </cell>
          <cell r="FI142" t="e">
            <v>#DIV/0!</v>
          </cell>
          <cell r="FJ142">
            <v>4663</v>
          </cell>
          <cell r="FK142">
            <v>3492</v>
          </cell>
          <cell r="FL142">
            <v>74.887411537636723</v>
          </cell>
          <cell r="FM142">
            <v>0</v>
          </cell>
          <cell r="FN142">
            <v>0</v>
          </cell>
          <cell r="FO142" t="e">
            <v>#DIV/0!</v>
          </cell>
          <cell r="FP142">
            <v>219684</v>
          </cell>
          <cell r="FQ142">
            <v>164760</v>
          </cell>
          <cell r="FR142">
            <v>74.998634402141263</v>
          </cell>
        </row>
        <row r="143">
          <cell r="AZ143" t="str">
            <v>425 HAB.P. SECURITE</v>
          </cell>
          <cell r="BA143">
            <v>0</v>
          </cell>
          <cell r="BB143">
            <v>0</v>
          </cell>
          <cell r="BC143" t="e">
            <v>#DIV/0!</v>
          </cell>
          <cell r="BD143">
            <v>17938</v>
          </cell>
          <cell r="BE143">
            <v>5916</v>
          </cell>
          <cell r="BF143">
            <v>32.980265358456904</v>
          </cell>
          <cell r="BG143">
            <v>17080</v>
          </cell>
          <cell r="BH143">
            <v>5640</v>
          </cell>
          <cell r="BI143">
            <v>33.021077283372364</v>
          </cell>
          <cell r="BJ143">
            <v>18811</v>
          </cell>
          <cell r="BK143">
            <v>6204</v>
          </cell>
          <cell r="BL143">
            <v>32.980702780288127</v>
          </cell>
          <cell r="BN143" t="str">
            <v>425 HAB.P. SECURITE</v>
          </cell>
          <cell r="BO143">
            <v>19332</v>
          </cell>
          <cell r="BP143">
            <v>6384</v>
          </cell>
          <cell r="BQ143">
            <v>33.02296710117939</v>
          </cell>
          <cell r="BR143">
            <v>19915</v>
          </cell>
          <cell r="BS143">
            <v>6576</v>
          </cell>
          <cell r="BT143">
            <v>33.020336429826763</v>
          </cell>
          <cell r="BU143">
            <v>18811</v>
          </cell>
          <cell r="BV143">
            <v>6204</v>
          </cell>
          <cell r="BW143">
            <v>32.980702780288127</v>
          </cell>
          <cell r="BX143">
            <v>13699</v>
          </cell>
          <cell r="BY143">
            <v>4524</v>
          </cell>
          <cell r="BZ143">
            <v>33.024308343674718</v>
          </cell>
          <cell r="CA143">
            <v>125586</v>
          </cell>
          <cell r="CB143">
            <v>41448</v>
          </cell>
          <cell r="CC143">
            <v>33.003678754001243</v>
          </cell>
          <cell r="CE143" t="str">
            <v>425 HAB.P. SECURITE</v>
          </cell>
          <cell r="CF143">
            <v>48059</v>
          </cell>
          <cell r="CG143">
            <v>36048</v>
          </cell>
          <cell r="CH143">
            <v>75.007802908924447</v>
          </cell>
          <cell r="CI143">
            <v>70027</v>
          </cell>
          <cell r="CJ143">
            <v>52524</v>
          </cell>
          <cell r="CK143">
            <v>75.005355077327323</v>
          </cell>
          <cell r="CL143">
            <v>0</v>
          </cell>
          <cell r="CM143">
            <v>0</v>
          </cell>
          <cell r="CN143" t="e">
            <v>#DIV/0!</v>
          </cell>
          <cell r="CO143">
            <v>0</v>
          </cell>
          <cell r="CP143">
            <v>0</v>
          </cell>
          <cell r="CQ143" t="e">
            <v>#DIV/0!</v>
          </cell>
          <cell r="CR143">
            <v>118086</v>
          </cell>
          <cell r="CS143">
            <v>88572</v>
          </cell>
          <cell r="CT143">
            <v>75.006351303287431</v>
          </cell>
          <cell r="CV143" t="str">
            <v>425 HAB.P. SECURITE</v>
          </cell>
          <cell r="CW143">
            <v>0</v>
          </cell>
          <cell r="CX143">
            <v>0</v>
          </cell>
          <cell r="CY143" t="e">
            <v>#DIV/0!</v>
          </cell>
          <cell r="CZ143">
            <v>25228</v>
          </cell>
          <cell r="DA143">
            <v>25224</v>
          </cell>
          <cell r="DB143">
            <v>99.984144601236721</v>
          </cell>
          <cell r="DC143">
            <v>0</v>
          </cell>
          <cell r="DD143">
            <v>0</v>
          </cell>
          <cell r="DE143" t="e">
            <v>#DIV/0!</v>
          </cell>
          <cell r="DF143">
            <v>25228</v>
          </cell>
          <cell r="DG143">
            <v>25224</v>
          </cell>
          <cell r="DH143">
            <v>99.984144601236721</v>
          </cell>
          <cell r="DJ143" t="str">
            <v>425 HAB.P. SECURITE</v>
          </cell>
          <cell r="DK143">
            <v>62451</v>
          </cell>
          <cell r="DL143">
            <v>31848</v>
          </cell>
          <cell r="DM143">
            <v>50.996781476677711</v>
          </cell>
          <cell r="DN143">
            <v>0</v>
          </cell>
          <cell r="DO143">
            <v>0</v>
          </cell>
          <cell r="DP143" t="e">
            <v>#DIV/0!</v>
          </cell>
          <cell r="DQ143">
            <v>0</v>
          </cell>
          <cell r="DR143">
            <v>0</v>
          </cell>
          <cell r="DS143" t="e">
            <v>#DIV/0!</v>
          </cell>
          <cell r="DT143">
            <v>0</v>
          </cell>
          <cell r="DU143">
            <v>0</v>
          </cell>
          <cell r="DV143" t="e">
            <v>#DIV/0!</v>
          </cell>
          <cell r="DX143" t="str">
            <v>425 HAB.P. SECURITE</v>
          </cell>
          <cell r="DY143">
            <v>0</v>
          </cell>
          <cell r="DZ143">
            <v>0</v>
          </cell>
          <cell r="EA143" t="e">
            <v>#DIV/0!</v>
          </cell>
          <cell r="EB143">
            <v>0</v>
          </cell>
          <cell r="EC143">
            <v>0</v>
          </cell>
          <cell r="ED143" t="e">
            <v>#DIV/0!</v>
          </cell>
          <cell r="EE143">
            <v>13494</v>
          </cell>
          <cell r="EF143">
            <v>6876</v>
          </cell>
          <cell r="EG143">
            <v>50.955980435749225</v>
          </cell>
          <cell r="EH143">
            <v>63568</v>
          </cell>
          <cell r="EI143">
            <v>32424</v>
          </cell>
          <cell r="EJ143">
            <v>51.006795872136919</v>
          </cell>
          <cell r="EK143">
            <v>139513</v>
          </cell>
          <cell r="EL143">
            <v>71148</v>
          </cell>
          <cell r="EM143">
            <v>50.997398091934087</v>
          </cell>
          <cell r="EO143" t="str">
            <v>425 HAB.P. SECURITE</v>
          </cell>
          <cell r="EP143">
            <v>24871</v>
          </cell>
          <cell r="EQ143">
            <v>18648</v>
          </cell>
          <cell r="ER143">
            <v>74.978891077962288</v>
          </cell>
          <cell r="ES143">
            <v>0</v>
          </cell>
          <cell r="ET143">
            <v>0</v>
          </cell>
          <cell r="EU143" t="e">
            <v>#DIV/0!</v>
          </cell>
          <cell r="EV143">
            <v>995</v>
          </cell>
          <cell r="EW143">
            <v>744</v>
          </cell>
          <cell r="EX143">
            <v>74.773869346733662</v>
          </cell>
          <cell r="EY143">
            <v>392</v>
          </cell>
          <cell r="EZ143">
            <v>300</v>
          </cell>
          <cell r="FA143">
            <v>76.530612244897952</v>
          </cell>
          <cell r="FC143" t="str">
            <v>425 HAB.P. SECURITE</v>
          </cell>
          <cell r="FD143">
            <v>0</v>
          </cell>
          <cell r="FE143">
            <v>0</v>
          </cell>
          <cell r="FF143" t="e">
            <v>#DIV/0!</v>
          </cell>
          <cell r="FG143">
            <v>0</v>
          </cell>
          <cell r="FH143">
            <v>0</v>
          </cell>
          <cell r="FI143" t="e">
            <v>#DIV/0!</v>
          </cell>
          <cell r="FJ143">
            <v>12531</v>
          </cell>
          <cell r="FK143">
            <v>9396</v>
          </cell>
          <cell r="FL143">
            <v>74.982044529566679</v>
          </cell>
          <cell r="FM143">
            <v>15673</v>
          </cell>
          <cell r="FN143">
            <v>11760</v>
          </cell>
          <cell r="FO143">
            <v>75.033497096918268</v>
          </cell>
          <cell r="FP143">
            <v>54462</v>
          </cell>
          <cell r="FQ143">
            <v>40848</v>
          </cell>
          <cell r="FR143">
            <v>75.002754213947341</v>
          </cell>
        </row>
        <row r="144">
          <cell r="AZ144" t="str">
            <v>426 MATERIAUX DE CONTRUCTION</v>
          </cell>
          <cell r="BA144">
            <v>0</v>
          </cell>
          <cell r="BB144">
            <v>0</v>
          </cell>
          <cell r="BC144" t="e">
            <v>#DIV/0!</v>
          </cell>
          <cell r="BD144">
            <v>0</v>
          </cell>
          <cell r="BE144">
            <v>0</v>
          </cell>
          <cell r="BF144" t="e">
            <v>#DIV/0!</v>
          </cell>
          <cell r="BG144">
            <v>0</v>
          </cell>
          <cell r="BH144">
            <v>0</v>
          </cell>
          <cell r="BI144" t="e">
            <v>#DIV/0!</v>
          </cell>
          <cell r="BJ144">
            <v>0</v>
          </cell>
          <cell r="BK144">
            <v>0</v>
          </cell>
          <cell r="BL144" t="e">
            <v>#DIV/0!</v>
          </cell>
          <cell r="BN144" t="str">
            <v>426 MATERIAUX DE CONTRUCTION</v>
          </cell>
          <cell r="BO144">
            <v>1156</v>
          </cell>
          <cell r="BP144">
            <v>384</v>
          </cell>
          <cell r="BR144">
            <v>0</v>
          </cell>
          <cell r="BS144">
            <v>0</v>
          </cell>
          <cell r="BU144">
            <v>0</v>
          </cell>
          <cell r="BV144">
            <v>0</v>
          </cell>
          <cell r="BW144" t="e">
            <v>#DIV/0!</v>
          </cell>
          <cell r="BX144">
            <v>0</v>
          </cell>
          <cell r="BY144">
            <v>0</v>
          </cell>
          <cell r="BZ144" t="e">
            <v>#DIV/0!</v>
          </cell>
          <cell r="CA144">
            <v>1156</v>
          </cell>
          <cell r="CB144">
            <v>384</v>
          </cell>
          <cell r="CC144">
            <v>33.217993079584772</v>
          </cell>
          <cell r="CE144" t="str">
            <v>426 MATERIAUX DE CONTRUCTION</v>
          </cell>
          <cell r="CF144">
            <v>1734</v>
          </cell>
          <cell r="CG144">
            <v>1296</v>
          </cell>
          <cell r="CH144">
            <v>74.740484429065745</v>
          </cell>
          <cell r="CI144">
            <v>331</v>
          </cell>
          <cell r="CJ144">
            <v>252</v>
          </cell>
          <cell r="CK144">
            <v>76.13293051359517</v>
          </cell>
          <cell r="CL144">
            <v>0</v>
          </cell>
          <cell r="CM144">
            <v>0</v>
          </cell>
          <cell r="CN144" t="e">
            <v>#DIV/0!</v>
          </cell>
          <cell r="CO144">
            <v>0</v>
          </cell>
          <cell r="CP144">
            <v>0</v>
          </cell>
          <cell r="CQ144" t="e">
            <v>#DIV/0!</v>
          </cell>
          <cell r="CR144">
            <v>2065</v>
          </cell>
          <cell r="CS144">
            <v>1548</v>
          </cell>
          <cell r="CT144">
            <v>74.963680387409198</v>
          </cell>
          <cell r="CV144" t="str">
            <v>426 MATERIAUX DE CONTRUCTION</v>
          </cell>
          <cell r="CW144">
            <v>0</v>
          </cell>
          <cell r="CX144">
            <v>0</v>
          </cell>
          <cell r="CY144" t="e">
            <v>#DIV/0!</v>
          </cell>
          <cell r="CZ144">
            <v>0</v>
          </cell>
          <cell r="DA144">
            <v>0</v>
          </cell>
          <cell r="DB144" t="e">
            <v>#DIV/0!</v>
          </cell>
          <cell r="DC144">
            <v>0</v>
          </cell>
          <cell r="DD144">
            <v>0</v>
          </cell>
          <cell r="DE144" t="e">
            <v>#DIV/0!</v>
          </cell>
          <cell r="DF144">
            <v>0</v>
          </cell>
          <cell r="DG144">
            <v>0</v>
          </cell>
          <cell r="DH144" t="e">
            <v>#DIV/0!</v>
          </cell>
          <cell r="DJ144" t="str">
            <v>426 MATERIAUX DE CONTRUCTION</v>
          </cell>
          <cell r="DK144">
            <v>1981</v>
          </cell>
          <cell r="DL144">
            <v>1980</v>
          </cell>
          <cell r="DM144">
            <v>99.949520444220084</v>
          </cell>
          <cell r="DN144">
            <v>0</v>
          </cell>
          <cell r="DO144">
            <v>0</v>
          </cell>
          <cell r="DP144" t="e">
            <v>#DIV/0!</v>
          </cell>
          <cell r="DQ144">
            <v>0</v>
          </cell>
          <cell r="DR144">
            <v>0</v>
          </cell>
          <cell r="DS144" t="e">
            <v>#DIV/0!</v>
          </cell>
          <cell r="DT144">
            <v>0</v>
          </cell>
          <cell r="DU144">
            <v>0</v>
          </cell>
          <cell r="DV144" t="e">
            <v>#DIV/0!</v>
          </cell>
          <cell r="DX144" t="str">
            <v>426 MATERIAUX DE CONTRUCTION</v>
          </cell>
          <cell r="DY144">
            <v>0</v>
          </cell>
          <cell r="DZ144">
            <v>0</v>
          </cell>
          <cell r="EA144" t="e">
            <v>#DIV/0!</v>
          </cell>
          <cell r="EB144">
            <v>0</v>
          </cell>
          <cell r="EC144">
            <v>0</v>
          </cell>
          <cell r="ED144" t="e">
            <v>#DIV/0!</v>
          </cell>
          <cell r="EE144">
            <v>0</v>
          </cell>
          <cell r="EF144">
            <v>0</v>
          </cell>
          <cell r="EG144" t="e">
            <v>#DIV/0!</v>
          </cell>
          <cell r="EH144">
            <v>1777</v>
          </cell>
          <cell r="EI144">
            <v>1776</v>
          </cell>
          <cell r="EJ144">
            <v>99.943725379853689</v>
          </cell>
          <cell r="EK144">
            <v>3758</v>
          </cell>
          <cell r="EL144">
            <v>3756</v>
          </cell>
          <cell r="EM144">
            <v>99.946780202235232</v>
          </cell>
          <cell r="EO144" t="str">
            <v>426 MATERIAUX DE CONTRUCTION</v>
          </cell>
          <cell r="EP144">
            <v>0</v>
          </cell>
          <cell r="EQ144">
            <v>0</v>
          </cell>
          <cell r="ER144" t="e">
            <v>#DIV/0!</v>
          </cell>
          <cell r="ES144">
            <v>0</v>
          </cell>
          <cell r="ET144">
            <v>0</v>
          </cell>
          <cell r="EU144" t="e">
            <v>#DIV/0!</v>
          </cell>
          <cell r="EV144">
            <v>0</v>
          </cell>
          <cell r="EW144">
            <v>0</v>
          </cell>
          <cell r="EX144" t="e">
            <v>#DIV/0!</v>
          </cell>
          <cell r="EY144">
            <v>0</v>
          </cell>
          <cell r="EZ144">
            <v>0</v>
          </cell>
          <cell r="FA144" t="e">
            <v>#DIV/0!</v>
          </cell>
          <cell r="FC144" t="str">
            <v>426 MATERIAUX DE CONTRUCTION</v>
          </cell>
          <cell r="FD144">
            <v>0</v>
          </cell>
          <cell r="FE144">
            <v>0</v>
          </cell>
          <cell r="FF144" t="e">
            <v>#DIV/0!</v>
          </cell>
          <cell r="FG144">
            <v>0</v>
          </cell>
          <cell r="FH144">
            <v>0</v>
          </cell>
          <cell r="FI144" t="e">
            <v>#DIV/0!</v>
          </cell>
          <cell r="FJ144">
            <v>0</v>
          </cell>
          <cell r="FK144">
            <v>0</v>
          </cell>
          <cell r="FL144" t="e">
            <v>#DIV/0!</v>
          </cell>
          <cell r="FM144">
            <v>15514</v>
          </cell>
          <cell r="FN144">
            <v>15516</v>
          </cell>
          <cell r="FO144">
            <v>100.01289158179709</v>
          </cell>
          <cell r="FP144">
            <v>15514</v>
          </cell>
          <cell r="FQ144">
            <v>15516</v>
          </cell>
          <cell r="FR144">
            <v>100.01289158179709</v>
          </cell>
        </row>
        <row r="145">
          <cell r="AZ145" t="str">
            <v>485 FOURN.ENTRET.</v>
          </cell>
          <cell r="BA145">
            <v>0</v>
          </cell>
          <cell r="BB145">
            <v>0</v>
          </cell>
          <cell r="BC145" t="e">
            <v>#DIV/0!</v>
          </cell>
          <cell r="BD145">
            <v>0</v>
          </cell>
          <cell r="BE145">
            <v>0</v>
          </cell>
          <cell r="BF145" t="e">
            <v>#DIV/0!</v>
          </cell>
          <cell r="BG145">
            <v>0</v>
          </cell>
          <cell r="BH145">
            <v>0</v>
          </cell>
          <cell r="BI145" t="e">
            <v>#DIV/0!</v>
          </cell>
          <cell r="BJ145">
            <v>0</v>
          </cell>
          <cell r="BK145">
            <v>0</v>
          </cell>
          <cell r="BL145" t="e">
            <v>#DIV/0!</v>
          </cell>
          <cell r="BN145" t="str">
            <v>485 FOURN.ENTRET.</v>
          </cell>
          <cell r="BO145">
            <v>0</v>
          </cell>
          <cell r="BP145">
            <v>0</v>
          </cell>
          <cell r="BQ145" t="e">
            <v>#DIV/0!</v>
          </cell>
          <cell r="BR145">
            <v>0</v>
          </cell>
          <cell r="BS145">
            <v>0</v>
          </cell>
          <cell r="BT145" t="e">
            <v>#DIV/0!</v>
          </cell>
          <cell r="BU145">
            <v>0</v>
          </cell>
          <cell r="BV145">
            <v>0</v>
          </cell>
          <cell r="BW145" t="e">
            <v>#DIV/0!</v>
          </cell>
          <cell r="BX145">
            <v>0</v>
          </cell>
          <cell r="BY145">
            <v>0</v>
          </cell>
          <cell r="BZ145" t="e">
            <v>#DIV/0!</v>
          </cell>
          <cell r="CA145">
            <v>0</v>
          </cell>
          <cell r="CB145">
            <v>0</v>
          </cell>
          <cell r="CC145" t="e">
            <v>#DIV/0!</v>
          </cell>
          <cell r="CE145" t="str">
            <v>485 FOURN.ENTRET.</v>
          </cell>
          <cell r="CF145">
            <v>0</v>
          </cell>
          <cell r="CG145">
            <v>0</v>
          </cell>
          <cell r="CH145" t="e">
            <v>#DIV/0!</v>
          </cell>
          <cell r="CI145">
            <v>6222</v>
          </cell>
          <cell r="CJ145">
            <v>6228</v>
          </cell>
          <cell r="CK145">
            <v>100.09643201542913</v>
          </cell>
          <cell r="CL145">
            <v>0</v>
          </cell>
          <cell r="CM145">
            <v>0</v>
          </cell>
          <cell r="CN145" t="e">
            <v>#DIV/0!</v>
          </cell>
          <cell r="CO145">
            <v>0</v>
          </cell>
          <cell r="CP145">
            <v>0</v>
          </cell>
          <cell r="CQ145" t="e">
            <v>#DIV/0!</v>
          </cell>
          <cell r="CR145">
            <v>6222</v>
          </cell>
          <cell r="CS145">
            <v>6228</v>
          </cell>
          <cell r="CT145">
            <v>100.09643201542913</v>
          </cell>
          <cell r="CV145" t="str">
            <v>485 FOURN.ENTRET.</v>
          </cell>
          <cell r="CW145">
            <v>0</v>
          </cell>
          <cell r="CX145">
            <v>0</v>
          </cell>
          <cell r="CY145" t="e">
            <v>#DIV/0!</v>
          </cell>
          <cell r="CZ145">
            <v>0</v>
          </cell>
          <cell r="DA145">
            <v>0</v>
          </cell>
          <cell r="DB145" t="e">
            <v>#DIV/0!</v>
          </cell>
          <cell r="DC145">
            <v>0</v>
          </cell>
          <cell r="DD145">
            <v>0</v>
          </cell>
          <cell r="DE145" t="e">
            <v>#DIV/0!</v>
          </cell>
          <cell r="DF145">
            <v>0</v>
          </cell>
          <cell r="DG145">
            <v>0</v>
          </cell>
          <cell r="DH145" t="e">
            <v>#DIV/0!</v>
          </cell>
          <cell r="DJ145" t="str">
            <v>485 FOURN.ENTRET.</v>
          </cell>
          <cell r="DK145">
            <v>0</v>
          </cell>
          <cell r="DL145">
            <v>0</v>
          </cell>
          <cell r="DM145" t="e">
            <v>#DIV/0!</v>
          </cell>
          <cell r="DN145">
            <v>0</v>
          </cell>
          <cell r="DO145">
            <v>0</v>
          </cell>
          <cell r="DP145" t="e">
            <v>#DIV/0!</v>
          </cell>
          <cell r="DQ145">
            <v>0</v>
          </cell>
          <cell r="DR145">
            <v>0</v>
          </cell>
          <cell r="DS145" t="e">
            <v>#DIV/0!</v>
          </cell>
          <cell r="DT145">
            <v>0</v>
          </cell>
          <cell r="DU145">
            <v>0</v>
          </cell>
          <cell r="DV145" t="e">
            <v>#DIV/0!</v>
          </cell>
          <cell r="DX145" t="str">
            <v>485 FOURN.ENTRET.</v>
          </cell>
          <cell r="DY145">
            <v>0</v>
          </cell>
          <cell r="DZ145">
            <v>0</v>
          </cell>
          <cell r="EA145" t="e">
            <v>#DIV/0!</v>
          </cell>
          <cell r="EB145">
            <v>0</v>
          </cell>
          <cell r="EC145">
            <v>0</v>
          </cell>
          <cell r="ED145" t="e">
            <v>#DIV/0!</v>
          </cell>
          <cell r="EE145">
            <v>4952</v>
          </cell>
          <cell r="EF145">
            <v>4956</v>
          </cell>
          <cell r="EG145">
            <v>100.08077544426494</v>
          </cell>
          <cell r="EH145">
            <v>395</v>
          </cell>
          <cell r="EI145">
            <v>396</v>
          </cell>
          <cell r="EJ145">
            <v>100.25316455696202</v>
          </cell>
          <cell r="EK145">
            <v>5347</v>
          </cell>
          <cell r="EL145">
            <v>5352</v>
          </cell>
          <cell r="EM145">
            <v>100.09351037965214</v>
          </cell>
          <cell r="EO145" t="str">
            <v>485 FOURN.ENTRET.</v>
          </cell>
          <cell r="EP145">
            <v>0</v>
          </cell>
          <cell r="EQ145">
            <v>0</v>
          </cell>
          <cell r="ER145" t="e">
            <v>#DIV/0!</v>
          </cell>
          <cell r="ES145">
            <v>0</v>
          </cell>
          <cell r="ET145">
            <v>0</v>
          </cell>
          <cell r="EU145" t="e">
            <v>#DIV/0!</v>
          </cell>
          <cell r="EV145">
            <v>0</v>
          </cell>
          <cell r="EW145">
            <v>0</v>
          </cell>
          <cell r="EX145" t="e">
            <v>#DIV/0!</v>
          </cell>
          <cell r="EY145">
            <v>0</v>
          </cell>
          <cell r="EZ145">
            <v>0</v>
          </cell>
          <cell r="FA145" t="e">
            <v>#DIV/0!</v>
          </cell>
          <cell r="FC145" t="str">
            <v>485 FOURN.ENTRET.</v>
          </cell>
          <cell r="FD145">
            <v>0</v>
          </cell>
          <cell r="FE145">
            <v>0</v>
          </cell>
          <cell r="FF145" t="e">
            <v>#DIV/0!</v>
          </cell>
          <cell r="FG145">
            <v>0</v>
          </cell>
          <cell r="FH145">
            <v>0</v>
          </cell>
          <cell r="FI145" t="e">
            <v>#DIV/0!</v>
          </cell>
          <cell r="FJ145">
            <v>1540</v>
          </cell>
          <cell r="FK145">
            <v>1536</v>
          </cell>
          <cell r="FL145">
            <v>99.740259740259745</v>
          </cell>
          <cell r="FM145">
            <v>0</v>
          </cell>
          <cell r="FN145">
            <v>0</v>
          </cell>
          <cell r="FO145" t="e">
            <v>#DIV/0!</v>
          </cell>
          <cell r="FP145">
            <v>1540</v>
          </cell>
          <cell r="FQ145">
            <v>1536</v>
          </cell>
          <cell r="FR145">
            <v>99.740259740259745</v>
          </cell>
        </row>
        <row r="146">
          <cell r="AZ146" t="str">
            <v>486 TR. ETU. AN. GT</v>
          </cell>
          <cell r="BA146">
            <v>0</v>
          </cell>
          <cell r="BB146">
            <v>0</v>
          </cell>
          <cell r="BC146" t="e">
            <v>#DIV/0!</v>
          </cell>
          <cell r="BD146">
            <v>0</v>
          </cell>
          <cell r="BE146">
            <v>0</v>
          </cell>
          <cell r="BF146" t="e">
            <v>#DIV/0!</v>
          </cell>
          <cell r="BG146">
            <v>0</v>
          </cell>
          <cell r="BH146">
            <v>0</v>
          </cell>
          <cell r="BI146" t="e">
            <v>#DIV/0!</v>
          </cell>
          <cell r="BJ146">
            <v>0</v>
          </cell>
          <cell r="BK146">
            <v>0</v>
          </cell>
          <cell r="BL146" t="e">
            <v>#DIV/0!</v>
          </cell>
          <cell r="BN146" t="str">
            <v>486 TR. ETU. AN. GT</v>
          </cell>
          <cell r="BO146">
            <v>0</v>
          </cell>
          <cell r="BP146">
            <v>0</v>
          </cell>
          <cell r="BQ146" t="e">
            <v>#DIV/0!</v>
          </cell>
          <cell r="BR146">
            <v>0</v>
          </cell>
          <cell r="BS146">
            <v>0</v>
          </cell>
          <cell r="BT146" t="e">
            <v>#DIV/0!</v>
          </cell>
          <cell r="BU146">
            <v>0</v>
          </cell>
          <cell r="BV146">
            <v>0</v>
          </cell>
          <cell r="BW146" t="e">
            <v>#DIV/0!</v>
          </cell>
          <cell r="BX146">
            <v>38000</v>
          </cell>
          <cell r="BY146">
            <v>0</v>
          </cell>
          <cell r="BZ146">
            <v>0</v>
          </cell>
          <cell r="CA146">
            <v>38000</v>
          </cell>
          <cell r="CB146">
            <v>0</v>
          </cell>
          <cell r="CC146">
            <v>0</v>
          </cell>
          <cell r="CE146" t="str">
            <v>486 TR. ETU. AN. GT</v>
          </cell>
          <cell r="CF146">
            <v>0</v>
          </cell>
          <cell r="CG146">
            <v>0</v>
          </cell>
          <cell r="CH146" t="e">
            <v>#DIV/0!</v>
          </cell>
          <cell r="CI146">
            <v>29070</v>
          </cell>
          <cell r="CJ146">
            <v>29076</v>
          </cell>
          <cell r="CK146">
            <v>100.02063983488132</v>
          </cell>
          <cell r="CL146">
            <v>0</v>
          </cell>
          <cell r="CM146">
            <v>0</v>
          </cell>
          <cell r="CN146" t="e">
            <v>#DIV/0!</v>
          </cell>
          <cell r="CO146">
            <v>0</v>
          </cell>
          <cell r="CP146">
            <v>0</v>
          </cell>
          <cell r="CQ146" t="e">
            <v>#DIV/0!</v>
          </cell>
          <cell r="CR146">
            <v>29070</v>
          </cell>
          <cell r="CS146">
            <v>29076</v>
          </cell>
          <cell r="CT146">
            <v>100.02063983488132</v>
          </cell>
          <cell r="CV146" t="str">
            <v>486 TR. ETU. AN. GT</v>
          </cell>
          <cell r="CW146">
            <v>0</v>
          </cell>
          <cell r="CX146">
            <v>0</v>
          </cell>
          <cell r="CY146" t="e">
            <v>#DIV/0!</v>
          </cell>
          <cell r="CZ146">
            <v>0</v>
          </cell>
          <cell r="DA146">
            <v>0</v>
          </cell>
          <cell r="DB146" t="e">
            <v>#DIV/0!</v>
          </cell>
          <cell r="DC146">
            <v>0</v>
          </cell>
          <cell r="DD146">
            <v>0</v>
          </cell>
          <cell r="DE146" t="e">
            <v>#DIV/0!</v>
          </cell>
          <cell r="DF146">
            <v>0</v>
          </cell>
          <cell r="DG146">
            <v>0</v>
          </cell>
          <cell r="DH146" t="e">
            <v>#DIV/0!</v>
          </cell>
          <cell r="DJ146" t="str">
            <v>486 TR. ETU. AN. GT</v>
          </cell>
          <cell r="DK146">
            <v>0</v>
          </cell>
          <cell r="DL146">
            <v>0</v>
          </cell>
          <cell r="DM146" t="e">
            <v>#DIV/0!</v>
          </cell>
          <cell r="DN146">
            <v>0</v>
          </cell>
          <cell r="DO146">
            <v>0</v>
          </cell>
          <cell r="DP146" t="e">
            <v>#DIV/0!</v>
          </cell>
          <cell r="DQ146">
            <v>0</v>
          </cell>
          <cell r="DR146">
            <v>0</v>
          </cell>
          <cell r="DS146" t="e">
            <v>#DIV/0!</v>
          </cell>
          <cell r="DT146">
            <v>0</v>
          </cell>
          <cell r="DU146">
            <v>0</v>
          </cell>
          <cell r="DV146" t="e">
            <v>#DIV/0!</v>
          </cell>
          <cell r="DX146" t="str">
            <v>486 TR. ETU. AN. GT</v>
          </cell>
          <cell r="DY146">
            <v>0</v>
          </cell>
          <cell r="DZ146">
            <v>0</v>
          </cell>
          <cell r="EA146" t="e">
            <v>#DIV/0!</v>
          </cell>
          <cell r="EB146">
            <v>0</v>
          </cell>
          <cell r="EC146">
            <v>0</v>
          </cell>
          <cell r="ED146" t="e">
            <v>#DIV/0!</v>
          </cell>
          <cell r="EE146">
            <v>0</v>
          </cell>
          <cell r="EF146">
            <v>0</v>
          </cell>
          <cell r="EG146" t="e">
            <v>#DIV/0!</v>
          </cell>
          <cell r="EH146">
            <v>4735</v>
          </cell>
          <cell r="EI146">
            <v>4740</v>
          </cell>
          <cell r="EJ146">
            <v>100.10559662090812</v>
          </cell>
          <cell r="EK146">
            <v>4735</v>
          </cell>
          <cell r="EL146">
            <v>4740</v>
          </cell>
          <cell r="EM146">
            <v>100.10559662090812</v>
          </cell>
          <cell r="EO146" t="str">
            <v>486 TR. ETU. AN. GT</v>
          </cell>
          <cell r="EP146">
            <v>0</v>
          </cell>
          <cell r="EQ146">
            <v>0</v>
          </cell>
          <cell r="ER146" t="e">
            <v>#DIV/0!</v>
          </cell>
          <cell r="ES146">
            <v>0</v>
          </cell>
          <cell r="ET146">
            <v>0</v>
          </cell>
          <cell r="EU146" t="e">
            <v>#DIV/0!</v>
          </cell>
          <cell r="EV146">
            <v>0</v>
          </cell>
          <cell r="EW146">
            <v>0</v>
          </cell>
          <cell r="EX146" t="e">
            <v>#DIV/0!</v>
          </cell>
          <cell r="EY146">
            <v>0</v>
          </cell>
          <cell r="EZ146">
            <v>0</v>
          </cell>
          <cell r="FA146" t="e">
            <v>#DIV/0!</v>
          </cell>
          <cell r="FC146" t="str">
            <v>486 TR. ETU. AN. GT</v>
          </cell>
          <cell r="FD146">
            <v>0</v>
          </cell>
          <cell r="FE146">
            <v>0</v>
          </cell>
          <cell r="FF146" t="e">
            <v>#DIV/0!</v>
          </cell>
          <cell r="FG146">
            <v>0</v>
          </cell>
          <cell r="FH146">
            <v>0</v>
          </cell>
          <cell r="FI146" t="e">
            <v>#DIV/0!</v>
          </cell>
          <cell r="FJ146">
            <v>0</v>
          </cell>
          <cell r="FK146">
            <v>0</v>
          </cell>
          <cell r="FL146" t="e">
            <v>#DIV/0!</v>
          </cell>
          <cell r="FM146">
            <v>0</v>
          </cell>
          <cell r="FN146">
            <v>0</v>
          </cell>
          <cell r="FO146" t="e">
            <v>#DIV/0!</v>
          </cell>
          <cell r="FP146">
            <v>0</v>
          </cell>
          <cell r="FQ146">
            <v>0</v>
          </cell>
          <cell r="FR146" t="e">
            <v>#DIV/0!</v>
          </cell>
        </row>
        <row r="147">
          <cell r="AZ147" t="str">
            <v>487 FONC. PUITS</v>
          </cell>
          <cell r="BA147">
            <v>0</v>
          </cell>
          <cell r="BB147">
            <v>0</v>
          </cell>
          <cell r="BC147" t="e">
            <v>#DIV/0!</v>
          </cell>
          <cell r="BD147">
            <v>0</v>
          </cell>
          <cell r="BE147">
            <v>0</v>
          </cell>
          <cell r="BF147" t="e">
            <v>#DIV/0!</v>
          </cell>
          <cell r="BG147">
            <v>0</v>
          </cell>
          <cell r="BH147">
            <v>0</v>
          </cell>
          <cell r="BI147" t="e">
            <v>#DIV/0!</v>
          </cell>
          <cell r="BJ147">
            <v>0</v>
          </cell>
          <cell r="BK147">
            <v>0</v>
          </cell>
          <cell r="BL147" t="e">
            <v>#DIV/0!</v>
          </cell>
          <cell r="BN147" t="str">
            <v>487 FONC. PUITS</v>
          </cell>
          <cell r="BO147">
            <v>0</v>
          </cell>
          <cell r="BP147">
            <v>0</v>
          </cell>
          <cell r="BQ147" t="e">
            <v>#DIV/0!</v>
          </cell>
          <cell r="BR147">
            <v>0</v>
          </cell>
          <cell r="BS147">
            <v>0</v>
          </cell>
          <cell r="BT147" t="e">
            <v>#DIV/0!</v>
          </cell>
          <cell r="BU147">
            <v>0</v>
          </cell>
          <cell r="BV147">
            <v>0</v>
          </cell>
          <cell r="BW147" t="e">
            <v>#DIV/0!</v>
          </cell>
          <cell r="BX147">
            <v>0</v>
          </cell>
          <cell r="BY147">
            <v>0</v>
          </cell>
          <cell r="BZ147" t="e">
            <v>#DIV/0!</v>
          </cell>
          <cell r="CA147">
            <v>0</v>
          </cell>
          <cell r="CB147">
            <v>0</v>
          </cell>
          <cell r="CC147" t="e">
            <v>#DIV/0!</v>
          </cell>
          <cell r="CE147" t="str">
            <v>487 FONC. PUITS</v>
          </cell>
          <cell r="CF147">
            <v>0</v>
          </cell>
          <cell r="CG147">
            <v>0</v>
          </cell>
          <cell r="CH147" t="e">
            <v>#DIV/0!</v>
          </cell>
          <cell r="CI147">
            <v>0</v>
          </cell>
          <cell r="CJ147">
            <v>0</v>
          </cell>
          <cell r="CK147" t="e">
            <v>#DIV/0!</v>
          </cell>
          <cell r="CL147">
            <v>0</v>
          </cell>
          <cell r="CM147">
            <v>0</v>
          </cell>
          <cell r="CN147" t="e">
            <v>#DIV/0!</v>
          </cell>
          <cell r="CO147">
            <v>0</v>
          </cell>
          <cell r="CP147">
            <v>0</v>
          </cell>
          <cell r="CQ147" t="e">
            <v>#DIV/0!</v>
          </cell>
          <cell r="CR147">
            <v>0</v>
          </cell>
          <cell r="CS147">
            <v>0</v>
          </cell>
          <cell r="CT147" t="e">
            <v>#DIV/0!</v>
          </cell>
          <cell r="CV147" t="str">
            <v>487 FONC. PUITS</v>
          </cell>
          <cell r="CW147">
            <v>0</v>
          </cell>
          <cell r="CX147">
            <v>0</v>
          </cell>
          <cell r="CY147" t="e">
            <v>#DIV/0!</v>
          </cell>
          <cell r="CZ147">
            <v>0</v>
          </cell>
          <cell r="DA147">
            <v>0</v>
          </cell>
          <cell r="DB147" t="e">
            <v>#DIV/0!</v>
          </cell>
          <cell r="DC147">
            <v>0</v>
          </cell>
          <cell r="DD147">
            <v>0</v>
          </cell>
          <cell r="DE147" t="e">
            <v>#DIV/0!</v>
          </cell>
          <cell r="DF147">
            <v>0</v>
          </cell>
          <cell r="DG147">
            <v>0</v>
          </cell>
          <cell r="DH147" t="e">
            <v>#DIV/0!</v>
          </cell>
          <cell r="DJ147" t="str">
            <v>487 FONC. PUITS</v>
          </cell>
          <cell r="DK147">
            <v>0</v>
          </cell>
          <cell r="DL147">
            <v>0</v>
          </cell>
          <cell r="DM147" t="e">
            <v>#DIV/0!</v>
          </cell>
          <cell r="DN147">
            <v>0</v>
          </cell>
          <cell r="DO147">
            <v>0</v>
          </cell>
          <cell r="DP147" t="e">
            <v>#DIV/0!</v>
          </cell>
          <cell r="DQ147">
            <v>0</v>
          </cell>
          <cell r="DR147">
            <v>0</v>
          </cell>
          <cell r="DS147" t="e">
            <v>#DIV/0!</v>
          </cell>
          <cell r="DT147">
            <v>0</v>
          </cell>
          <cell r="DU147">
            <v>0</v>
          </cell>
          <cell r="DV147" t="e">
            <v>#DIV/0!</v>
          </cell>
          <cell r="DX147" t="str">
            <v>487 FONC. PUITS</v>
          </cell>
          <cell r="DY147">
            <v>0</v>
          </cell>
          <cell r="DZ147">
            <v>0</v>
          </cell>
          <cell r="EA147" t="e">
            <v>#DIV/0!</v>
          </cell>
          <cell r="EB147">
            <v>0</v>
          </cell>
          <cell r="EC147">
            <v>0</v>
          </cell>
          <cell r="ED147" t="e">
            <v>#DIV/0!</v>
          </cell>
          <cell r="EE147">
            <v>0</v>
          </cell>
          <cell r="EF147">
            <v>0</v>
          </cell>
          <cell r="EG147" t="e">
            <v>#DIV/0!</v>
          </cell>
          <cell r="EH147">
            <v>2212968</v>
          </cell>
          <cell r="EI147">
            <v>3341580</v>
          </cell>
          <cell r="EJ147">
            <v>150.99992408385481</v>
          </cell>
          <cell r="EK147">
            <v>2212968</v>
          </cell>
          <cell r="EL147">
            <v>3341580</v>
          </cell>
          <cell r="EM147">
            <v>150.99992408385481</v>
          </cell>
          <cell r="EO147" t="str">
            <v>487 FONC. PUITS</v>
          </cell>
          <cell r="EP147">
            <v>0</v>
          </cell>
          <cell r="EQ147">
            <v>0</v>
          </cell>
          <cell r="ER147" t="e">
            <v>#DIV/0!</v>
          </cell>
          <cell r="ES147">
            <v>0</v>
          </cell>
          <cell r="ET147">
            <v>0</v>
          </cell>
          <cell r="EU147" t="e">
            <v>#DIV/0!</v>
          </cell>
          <cell r="EV147">
            <v>0</v>
          </cell>
          <cell r="EW147">
            <v>0</v>
          </cell>
          <cell r="EX147" t="e">
            <v>#DIV/0!</v>
          </cell>
          <cell r="EY147">
            <v>0</v>
          </cell>
          <cell r="EZ147">
            <v>0</v>
          </cell>
          <cell r="FA147" t="e">
            <v>#DIV/0!</v>
          </cell>
          <cell r="FC147" t="str">
            <v>487 FONC. PUITS</v>
          </cell>
          <cell r="FD147">
            <v>0</v>
          </cell>
          <cell r="FE147">
            <v>0</v>
          </cell>
          <cell r="FF147" t="e">
            <v>#DIV/0!</v>
          </cell>
          <cell r="FG147">
            <v>0</v>
          </cell>
          <cell r="FH147">
            <v>0</v>
          </cell>
          <cell r="FI147" t="e">
            <v>#DIV/0!</v>
          </cell>
          <cell r="FJ147">
            <v>0</v>
          </cell>
          <cell r="FK147">
            <v>0</v>
          </cell>
          <cell r="FL147" t="e">
            <v>#DIV/0!</v>
          </cell>
          <cell r="FM147">
            <v>0</v>
          </cell>
          <cell r="FN147">
            <v>0</v>
          </cell>
          <cell r="FO147" t="e">
            <v>#DIV/0!</v>
          </cell>
          <cell r="FP147">
            <v>0</v>
          </cell>
          <cell r="FQ147">
            <v>0</v>
          </cell>
          <cell r="FR147" t="e">
            <v>#DIV/0!</v>
          </cell>
        </row>
        <row r="148">
          <cell r="AZ148" t="str">
            <v>489 A. PREST.SCES</v>
          </cell>
          <cell r="BA148">
            <v>0</v>
          </cell>
          <cell r="BB148">
            <v>0</v>
          </cell>
          <cell r="BC148" t="e">
            <v>#DIV/0!</v>
          </cell>
          <cell r="BD148">
            <v>0</v>
          </cell>
          <cell r="BE148">
            <v>0</v>
          </cell>
          <cell r="BF148" t="e">
            <v>#DIV/0!</v>
          </cell>
          <cell r="BG148">
            <v>0</v>
          </cell>
          <cell r="BH148">
            <v>0</v>
          </cell>
          <cell r="BI148" t="e">
            <v>#DIV/0!</v>
          </cell>
          <cell r="BJ148">
            <v>0</v>
          </cell>
          <cell r="BK148">
            <v>0</v>
          </cell>
          <cell r="BL148" t="e">
            <v>#DIV/0!</v>
          </cell>
          <cell r="BN148" t="str">
            <v>489 A. PREST.SCES</v>
          </cell>
          <cell r="BO148">
            <v>0</v>
          </cell>
          <cell r="BP148">
            <v>0</v>
          </cell>
          <cell r="BQ148" t="e">
            <v>#DIV/0!</v>
          </cell>
          <cell r="BR148">
            <v>0</v>
          </cell>
          <cell r="BS148">
            <v>0</v>
          </cell>
          <cell r="BT148" t="e">
            <v>#DIV/0!</v>
          </cell>
          <cell r="BU148">
            <v>0</v>
          </cell>
          <cell r="BV148">
            <v>0</v>
          </cell>
          <cell r="BW148" t="e">
            <v>#DIV/0!</v>
          </cell>
          <cell r="BX148">
            <v>0</v>
          </cell>
          <cell r="BY148">
            <v>0</v>
          </cell>
          <cell r="BZ148" t="e">
            <v>#DIV/0!</v>
          </cell>
          <cell r="CA148">
            <v>0</v>
          </cell>
          <cell r="CB148">
            <v>0</v>
          </cell>
          <cell r="CC148" t="e">
            <v>#DIV/0!</v>
          </cell>
          <cell r="CE148" t="str">
            <v>489 A. PREST.SCES</v>
          </cell>
          <cell r="CF148">
            <v>0</v>
          </cell>
          <cell r="CG148">
            <v>0</v>
          </cell>
          <cell r="CH148" t="e">
            <v>#DIV/0!</v>
          </cell>
          <cell r="CI148">
            <v>0</v>
          </cell>
          <cell r="CJ148">
            <v>0</v>
          </cell>
          <cell r="CK148" t="e">
            <v>#DIV/0!</v>
          </cell>
          <cell r="CL148">
            <v>0</v>
          </cell>
          <cell r="CM148">
            <v>0</v>
          </cell>
          <cell r="CN148" t="e">
            <v>#DIV/0!</v>
          </cell>
          <cell r="CO148">
            <v>0</v>
          </cell>
          <cell r="CP148">
            <v>0</v>
          </cell>
          <cell r="CQ148" t="e">
            <v>#DIV/0!</v>
          </cell>
          <cell r="CR148">
            <v>0</v>
          </cell>
          <cell r="CS148">
            <v>0</v>
          </cell>
          <cell r="CT148" t="e">
            <v>#DIV/0!</v>
          </cell>
          <cell r="CV148" t="str">
            <v>489 A. PREST.SCES</v>
          </cell>
          <cell r="CW148">
            <v>0</v>
          </cell>
          <cell r="CX148">
            <v>0</v>
          </cell>
          <cell r="CY148" t="e">
            <v>#DIV/0!</v>
          </cell>
          <cell r="CZ148">
            <v>0</v>
          </cell>
          <cell r="DA148">
            <v>0</v>
          </cell>
          <cell r="DB148" t="e">
            <v>#DIV/0!</v>
          </cell>
          <cell r="DC148">
            <v>0</v>
          </cell>
          <cell r="DD148">
            <v>0</v>
          </cell>
          <cell r="DE148" t="e">
            <v>#DIV/0!</v>
          </cell>
          <cell r="DF148">
            <v>0</v>
          </cell>
          <cell r="DG148">
            <v>0</v>
          </cell>
          <cell r="DH148" t="e">
            <v>#DIV/0!</v>
          </cell>
          <cell r="DJ148" t="str">
            <v>489 A. PREST.SCES</v>
          </cell>
          <cell r="DK148">
            <v>0</v>
          </cell>
          <cell r="DL148">
            <v>0</v>
          </cell>
          <cell r="DM148" t="e">
            <v>#DIV/0!</v>
          </cell>
          <cell r="DN148">
            <v>0</v>
          </cell>
          <cell r="DO148">
            <v>0</v>
          </cell>
          <cell r="DP148" t="e">
            <v>#DIV/0!</v>
          </cell>
          <cell r="DQ148">
            <v>0</v>
          </cell>
          <cell r="DR148">
            <v>0</v>
          </cell>
          <cell r="DS148" t="e">
            <v>#DIV/0!</v>
          </cell>
          <cell r="DT148">
            <v>0</v>
          </cell>
          <cell r="DU148">
            <v>0</v>
          </cell>
          <cell r="DV148" t="e">
            <v>#DIV/0!</v>
          </cell>
          <cell r="DX148" t="str">
            <v>489 A. PREST.SCES</v>
          </cell>
          <cell r="DY148">
            <v>0</v>
          </cell>
          <cell r="DZ148">
            <v>0</v>
          </cell>
          <cell r="EA148" t="e">
            <v>#DIV/0!</v>
          </cell>
          <cell r="EB148">
            <v>0</v>
          </cell>
          <cell r="EC148">
            <v>0</v>
          </cell>
          <cell r="ED148" t="e">
            <v>#DIV/0!</v>
          </cell>
          <cell r="EE148">
            <v>0</v>
          </cell>
          <cell r="EF148">
            <v>0</v>
          </cell>
          <cell r="EG148" t="e">
            <v>#DIV/0!</v>
          </cell>
          <cell r="EH148">
            <v>0</v>
          </cell>
          <cell r="EI148">
            <v>0</v>
          </cell>
          <cell r="EJ148" t="e">
            <v>#DIV/0!</v>
          </cell>
          <cell r="EK148">
            <v>0</v>
          </cell>
          <cell r="EL148">
            <v>0</v>
          </cell>
          <cell r="EM148" t="e">
            <v>#DIV/0!</v>
          </cell>
          <cell r="EO148" t="str">
            <v>489 A. PREST.SCES</v>
          </cell>
          <cell r="EP148">
            <v>0</v>
          </cell>
          <cell r="EQ148">
            <v>0</v>
          </cell>
          <cell r="ER148" t="e">
            <v>#DIV/0!</v>
          </cell>
          <cell r="ES148">
            <v>0</v>
          </cell>
          <cell r="ET148">
            <v>0</v>
          </cell>
          <cell r="EU148" t="e">
            <v>#DIV/0!</v>
          </cell>
          <cell r="EV148">
            <v>0</v>
          </cell>
          <cell r="EW148">
            <v>0</v>
          </cell>
          <cell r="EX148" t="e">
            <v>#DIV/0!</v>
          </cell>
          <cell r="EY148">
            <v>0</v>
          </cell>
          <cell r="EZ148">
            <v>0</v>
          </cell>
          <cell r="FA148" t="e">
            <v>#DIV/0!</v>
          </cell>
          <cell r="FC148" t="str">
            <v>489 A. PREST.SCES</v>
          </cell>
          <cell r="FD148">
            <v>0</v>
          </cell>
          <cell r="FE148">
            <v>0</v>
          </cell>
          <cell r="FF148" t="e">
            <v>#DIV/0!</v>
          </cell>
          <cell r="FG148">
            <v>0</v>
          </cell>
          <cell r="FH148">
            <v>0</v>
          </cell>
          <cell r="FI148" t="e">
            <v>#DIV/0!</v>
          </cell>
          <cell r="FJ148">
            <v>0</v>
          </cell>
          <cell r="FK148">
            <v>0</v>
          </cell>
          <cell r="FL148" t="e">
            <v>#DIV/0!</v>
          </cell>
          <cell r="FM148">
            <v>0</v>
          </cell>
          <cell r="FN148">
            <v>0</v>
          </cell>
          <cell r="FO148" t="e">
            <v>#DIV/0!</v>
          </cell>
          <cell r="FP148">
            <v>0</v>
          </cell>
          <cell r="FQ148">
            <v>0</v>
          </cell>
          <cell r="FR148" t="e">
            <v>#DIV/0!</v>
          </cell>
        </row>
        <row r="149">
          <cell r="AZ149" t="str">
            <v>491 ELEC.  ONE</v>
          </cell>
          <cell r="BA149">
            <v>0</v>
          </cell>
          <cell r="BB149">
            <v>0</v>
          </cell>
          <cell r="BC149" t="e">
            <v>#DIV/0!</v>
          </cell>
          <cell r="BD149">
            <v>0</v>
          </cell>
          <cell r="BE149">
            <v>0</v>
          </cell>
          <cell r="BF149" t="e">
            <v>#DIV/0!</v>
          </cell>
          <cell r="BG149">
            <v>0</v>
          </cell>
          <cell r="BH149">
            <v>0</v>
          </cell>
          <cell r="BI149" t="e">
            <v>#DIV/0!</v>
          </cell>
          <cell r="BJ149">
            <v>0</v>
          </cell>
          <cell r="BK149">
            <v>0</v>
          </cell>
          <cell r="BL149" t="e">
            <v>#DIV/0!</v>
          </cell>
          <cell r="BN149" t="str">
            <v>491 ELEC.  ONE</v>
          </cell>
          <cell r="BO149">
            <v>0</v>
          </cell>
          <cell r="BP149">
            <v>0</v>
          </cell>
          <cell r="BQ149" t="e">
            <v>#DIV/0!</v>
          </cell>
          <cell r="BR149">
            <v>0</v>
          </cell>
          <cell r="BS149">
            <v>0</v>
          </cell>
          <cell r="BT149" t="e">
            <v>#DIV/0!</v>
          </cell>
          <cell r="BU149">
            <v>0</v>
          </cell>
          <cell r="BV149">
            <v>0</v>
          </cell>
          <cell r="BW149" t="e">
            <v>#DIV/0!</v>
          </cell>
          <cell r="BX149">
            <v>0</v>
          </cell>
          <cell r="BY149">
            <v>0</v>
          </cell>
          <cell r="BZ149" t="e">
            <v>#DIV/0!</v>
          </cell>
          <cell r="CA149">
            <v>0</v>
          </cell>
          <cell r="CB149">
            <v>0</v>
          </cell>
          <cell r="CC149" t="e">
            <v>#DIV/0!</v>
          </cell>
          <cell r="CE149" t="str">
            <v>491 ELEC.  ONE</v>
          </cell>
          <cell r="CF149">
            <v>0</v>
          </cell>
          <cell r="CG149">
            <v>0</v>
          </cell>
          <cell r="CH149" t="e">
            <v>#DIV/0!</v>
          </cell>
          <cell r="CI149">
            <v>0</v>
          </cell>
          <cell r="CJ149">
            <v>0</v>
          </cell>
          <cell r="CK149" t="e">
            <v>#DIV/0!</v>
          </cell>
          <cell r="CL149">
            <v>0</v>
          </cell>
          <cell r="CM149">
            <v>0</v>
          </cell>
          <cell r="CN149" t="e">
            <v>#DIV/0!</v>
          </cell>
          <cell r="CO149">
            <v>0</v>
          </cell>
          <cell r="CP149">
            <v>0</v>
          </cell>
          <cell r="CQ149" t="e">
            <v>#DIV/0!</v>
          </cell>
          <cell r="CR149">
            <v>0</v>
          </cell>
          <cell r="CS149">
            <v>0</v>
          </cell>
          <cell r="CT149" t="e">
            <v>#DIV/0!</v>
          </cell>
          <cell r="CV149" t="str">
            <v>491 ELEC.  ONE</v>
          </cell>
          <cell r="CW149">
            <v>0</v>
          </cell>
          <cell r="CX149">
            <v>0</v>
          </cell>
          <cell r="CY149" t="e">
            <v>#DIV/0!</v>
          </cell>
          <cell r="CZ149">
            <v>0</v>
          </cell>
          <cell r="DA149">
            <v>0</v>
          </cell>
          <cell r="DB149" t="e">
            <v>#DIV/0!</v>
          </cell>
          <cell r="DC149">
            <v>0</v>
          </cell>
          <cell r="DD149">
            <v>0</v>
          </cell>
          <cell r="DE149" t="e">
            <v>#DIV/0!</v>
          </cell>
          <cell r="DF149">
            <v>0</v>
          </cell>
          <cell r="DG149">
            <v>0</v>
          </cell>
          <cell r="DH149" t="e">
            <v>#DIV/0!</v>
          </cell>
          <cell r="DJ149" t="str">
            <v>491 ELEC.  ONE</v>
          </cell>
          <cell r="DK149">
            <v>0</v>
          </cell>
          <cell r="DL149">
            <v>0</v>
          </cell>
          <cell r="DM149" t="e">
            <v>#DIV/0!</v>
          </cell>
          <cell r="DN149">
            <v>0</v>
          </cell>
          <cell r="DO149">
            <v>0</v>
          </cell>
          <cell r="DP149" t="e">
            <v>#DIV/0!</v>
          </cell>
          <cell r="DQ149">
            <v>0</v>
          </cell>
          <cell r="DR149">
            <v>0</v>
          </cell>
          <cell r="DS149" t="e">
            <v>#DIV/0!</v>
          </cell>
          <cell r="DT149">
            <v>0</v>
          </cell>
          <cell r="DU149">
            <v>0</v>
          </cell>
          <cell r="DV149" t="e">
            <v>#DIV/0!</v>
          </cell>
          <cell r="DX149" t="str">
            <v>491 ELEC.  ONE</v>
          </cell>
          <cell r="DY149">
            <v>0</v>
          </cell>
          <cell r="DZ149">
            <v>0</v>
          </cell>
          <cell r="EA149" t="e">
            <v>#DIV/0!</v>
          </cell>
          <cell r="EB149">
            <v>0</v>
          </cell>
          <cell r="EC149">
            <v>0</v>
          </cell>
          <cell r="ED149" t="e">
            <v>#DIV/0!</v>
          </cell>
          <cell r="EE149">
            <v>0</v>
          </cell>
          <cell r="EF149">
            <v>0</v>
          </cell>
          <cell r="EG149" t="e">
            <v>#DIV/0!</v>
          </cell>
          <cell r="EH149">
            <v>0</v>
          </cell>
          <cell r="EI149">
            <v>0</v>
          </cell>
          <cell r="EJ149" t="e">
            <v>#DIV/0!</v>
          </cell>
          <cell r="EK149">
            <v>0</v>
          </cell>
          <cell r="EL149">
            <v>0</v>
          </cell>
          <cell r="EM149" t="e">
            <v>#DIV/0!</v>
          </cell>
          <cell r="EO149" t="str">
            <v>491 ELEC.  ONE</v>
          </cell>
          <cell r="EP149">
            <v>0</v>
          </cell>
          <cell r="EQ149">
            <v>0</v>
          </cell>
          <cell r="ER149" t="e">
            <v>#DIV/0!</v>
          </cell>
          <cell r="ES149">
            <v>0</v>
          </cell>
          <cell r="ET149">
            <v>0</v>
          </cell>
          <cell r="EU149" t="e">
            <v>#DIV/0!</v>
          </cell>
          <cell r="EV149">
            <v>0</v>
          </cell>
          <cell r="EW149">
            <v>0</v>
          </cell>
          <cell r="EX149" t="e">
            <v>#DIV/0!</v>
          </cell>
          <cell r="EY149">
            <v>0</v>
          </cell>
          <cell r="EZ149">
            <v>0</v>
          </cell>
          <cell r="FA149" t="e">
            <v>#DIV/0!</v>
          </cell>
          <cell r="FC149" t="str">
            <v>491 ELEC.  ONE</v>
          </cell>
          <cell r="FD149">
            <v>0</v>
          </cell>
          <cell r="FE149">
            <v>0</v>
          </cell>
          <cell r="FF149" t="e">
            <v>#DIV/0!</v>
          </cell>
          <cell r="FG149">
            <v>0</v>
          </cell>
          <cell r="FH149">
            <v>0</v>
          </cell>
          <cell r="FI149" t="e">
            <v>#DIV/0!</v>
          </cell>
          <cell r="FJ149">
            <v>0</v>
          </cell>
          <cell r="FK149">
            <v>0</v>
          </cell>
          <cell r="FL149" t="e">
            <v>#DIV/0!</v>
          </cell>
          <cell r="FM149">
            <v>0</v>
          </cell>
          <cell r="FN149">
            <v>0</v>
          </cell>
          <cell r="FO149" t="e">
            <v>#DIV/0!</v>
          </cell>
          <cell r="FP149">
            <v>0</v>
          </cell>
          <cell r="FQ149">
            <v>0</v>
          </cell>
          <cell r="FR149" t="e">
            <v>#DIV/0!</v>
          </cell>
        </row>
        <row r="150">
          <cell r="AZ150" t="str">
            <v>4* CONS MARCH.</v>
          </cell>
          <cell r="BA150">
            <v>0</v>
          </cell>
          <cell r="BB150">
            <v>0</v>
          </cell>
          <cell r="BC150" t="e">
            <v>#DIV/0!</v>
          </cell>
          <cell r="BD150">
            <v>449099</v>
          </cell>
          <cell r="BE150">
            <v>133308</v>
          </cell>
          <cell r="BF150">
            <v>29.683432828841749</v>
          </cell>
          <cell r="BG150">
            <v>346851</v>
          </cell>
          <cell r="BH150">
            <v>104112</v>
          </cell>
          <cell r="BI150">
            <v>30.01634707698695</v>
          </cell>
          <cell r="BJ150">
            <v>462277</v>
          </cell>
          <cell r="BK150">
            <v>139176</v>
          </cell>
          <cell r="BL150">
            <v>30.106624383216126</v>
          </cell>
          <cell r="BN150" t="str">
            <v>4* CONS MARCH.</v>
          </cell>
          <cell r="BO150">
            <v>351159</v>
          </cell>
          <cell r="BP150">
            <v>105876</v>
          </cell>
          <cell r="BQ150">
            <v>30.150444670362997</v>
          </cell>
          <cell r="BR150">
            <v>291341</v>
          </cell>
          <cell r="BS150">
            <v>87960</v>
          </cell>
          <cell r="BT150">
            <v>30.191425168445225</v>
          </cell>
          <cell r="BU150">
            <v>342987</v>
          </cell>
          <cell r="BV150">
            <v>103140</v>
          </cell>
          <cell r="BW150">
            <v>30.0711105668728</v>
          </cell>
          <cell r="BX150">
            <v>1179176</v>
          </cell>
          <cell r="BY150">
            <v>269640</v>
          </cell>
          <cell r="BZ150">
            <v>22.866815471142559</v>
          </cell>
          <cell r="CA150">
            <v>3422890</v>
          </cell>
          <cell r="CB150">
            <v>943212</v>
          </cell>
          <cell r="CC150">
            <v>27.556012609227874</v>
          </cell>
          <cell r="CE150" t="str">
            <v>4* CONS MARCH.</v>
          </cell>
          <cell r="CF150">
            <v>3203273</v>
          </cell>
          <cell r="CG150">
            <v>2159292</v>
          </cell>
          <cell r="CH150">
            <v>67.408928305517506</v>
          </cell>
          <cell r="CI150">
            <v>4137650</v>
          </cell>
          <cell r="CJ150">
            <v>2882484</v>
          </cell>
          <cell r="CK150">
            <v>69.664761398378303</v>
          </cell>
          <cell r="CL150">
            <v>0</v>
          </cell>
          <cell r="CM150">
            <v>0</v>
          </cell>
          <cell r="CN150" t="e">
            <v>#DIV/0!</v>
          </cell>
          <cell r="CO150">
            <v>0</v>
          </cell>
          <cell r="CP150">
            <v>0</v>
          </cell>
          <cell r="CQ150" t="e">
            <v>#DIV/0!</v>
          </cell>
          <cell r="CR150">
            <v>7340923</v>
          </cell>
          <cell r="CS150">
            <v>5041776</v>
          </cell>
          <cell r="CT150">
            <v>68.680409806777703</v>
          </cell>
          <cell r="CV150" t="str">
            <v>4* CONS MARCH.</v>
          </cell>
          <cell r="CW150">
            <v>3746</v>
          </cell>
          <cell r="CX150">
            <v>3744</v>
          </cell>
          <cell r="CY150">
            <v>99.946609717031492</v>
          </cell>
          <cell r="CZ150">
            <v>457045</v>
          </cell>
          <cell r="DA150">
            <v>457044</v>
          </cell>
          <cell r="DB150">
            <v>99.999781203163806</v>
          </cell>
          <cell r="DC150">
            <v>0</v>
          </cell>
          <cell r="DD150">
            <v>0</v>
          </cell>
          <cell r="DE150" t="e">
            <v>#DIV/0!</v>
          </cell>
          <cell r="DF150">
            <v>460791</v>
          </cell>
          <cell r="DG150">
            <v>460788</v>
          </cell>
          <cell r="DH150">
            <v>99.999348945617427</v>
          </cell>
          <cell r="DJ150" t="str">
            <v>4* CONS MARCH.</v>
          </cell>
          <cell r="DK150">
            <v>1037427</v>
          </cell>
          <cell r="DL150">
            <v>864708</v>
          </cell>
          <cell r="DM150">
            <v>83.351214109522886</v>
          </cell>
          <cell r="DN150">
            <v>0</v>
          </cell>
          <cell r="DO150">
            <v>0</v>
          </cell>
          <cell r="DP150" t="e">
            <v>#DIV/0!</v>
          </cell>
          <cell r="DQ150">
            <v>0</v>
          </cell>
          <cell r="DR150">
            <v>0</v>
          </cell>
          <cell r="DS150" t="e">
            <v>#DIV/0!</v>
          </cell>
          <cell r="DT150">
            <v>0</v>
          </cell>
          <cell r="DU150">
            <v>0</v>
          </cell>
          <cell r="DV150" t="e">
            <v>#DIV/0!</v>
          </cell>
          <cell r="DX150" t="str">
            <v>4* CONS MARCH.</v>
          </cell>
          <cell r="DY150">
            <v>0</v>
          </cell>
          <cell r="DZ150">
            <v>0</v>
          </cell>
          <cell r="EA150" t="e">
            <v>#DIV/0!</v>
          </cell>
          <cell r="EB150">
            <v>0</v>
          </cell>
          <cell r="EC150">
            <v>0</v>
          </cell>
          <cell r="ED150" t="e">
            <v>#DIV/0!</v>
          </cell>
          <cell r="EE150">
            <v>2139800</v>
          </cell>
          <cell r="EF150">
            <v>1287444</v>
          </cell>
          <cell r="EG150">
            <v>60.166557622207684</v>
          </cell>
          <cell r="EH150">
            <v>2925435</v>
          </cell>
          <cell r="EI150">
            <v>3869172</v>
          </cell>
          <cell r="EJ150">
            <v>132.2597152218388</v>
          </cell>
          <cell r="EK150">
            <v>6102662</v>
          </cell>
          <cell r="EL150">
            <v>6021324</v>
          </cell>
          <cell r="EM150">
            <v>98.667171801420423</v>
          </cell>
          <cell r="EO150" t="str">
            <v>4* CONS MARCH.</v>
          </cell>
          <cell r="EP150">
            <v>314005</v>
          </cell>
          <cell r="EQ150">
            <v>237972</v>
          </cell>
          <cell r="ER150">
            <v>75.786054362191678</v>
          </cell>
          <cell r="ES150">
            <v>0</v>
          </cell>
          <cell r="ET150">
            <v>0</v>
          </cell>
          <cell r="EU150" t="e">
            <v>#DIV/0!</v>
          </cell>
          <cell r="EV150">
            <v>37698</v>
          </cell>
          <cell r="EW150">
            <v>27828</v>
          </cell>
          <cell r="EX150">
            <v>73.818239694413506</v>
          </cell>
          <cell r="EY150">
            <v>2643</v>
          </cell>
          <cell r="EZ150">
            <v>1992</v>
          </cell>
          <cell r="FA150">
            <v>75.368898978433592</v>
          </cell>
          <cell r="FC150" t="str">
            <v>4* CONS MARCH.</v>
          </cell>
          <cell r="FD150">
            <v>0</v>
          </cell>
          <cell r="FE150">
            <v>0</v>
          </cell>
          <cell r="FF150" t="e">
            <v>#DIV/0!</v>
          </cell>
          <cell r="FG150">
            <v>0</v>
          </cell>
          <cell r="FH150">
            <v>0</v>
          </cell>
          <cell r="FI150" t="e">
            <v>#DIV/0!</v>
          </cell>
          <cell r="FJ150">
            <v>330815</v>
          </cell>
          <cell r="FK150">
            <v>248832</v>
          </cell>
          <cell r="FL150">
            <v>75.217871015522277</v>
          </cell>
          <cell r="FM150">
            <v>199153</v>
          </cell>
          <cell r="FN150">
            <v>163608</v>
          </cell>
          <cell r="FO150">
            <v>82.151913353050162</v>
          </cell>
          <cell r="FP150">
            <v>884314</v>
          </cell>
          <cell r="FQ150">
            <v>680232</v>
          </cell>
          <cell r="FR150">
            <v>76.921998294723366</v>
          </cell>
        </row>
        <row r="170">
          <cell r="BL170" t="str">
            <v>-  4/32 -</v>
          </cell>
          <cell r="CC170" t="str">
            <v>-  8/32 -</v>
          </cell>
          <cell r="CT170" t="str">
            <v>-  12/32 -</v>
          </cell>
          <cell r="DH170" t="str">
            <v>-  16/32 -</v>
          </cell>
          <cell r="DV170" t="str">
            <v>-  20/32 -</v>
          </cell>
          <cell r="EM170" t="str">
            <v>-  24/32 -</v>
          </cell>
          <cell r="FA170" t="str">
            <v>-  28/32 -</v>
          </cell>
          <cell r="FR170" t="str">
            <v>-  32/32 -</v>
          </cell>
        </row>
        <row r="171">
          <cell r="AZ171" t="str">
            <v xml:space="preserve">BUDGET DE FONCTIONNEMENT ( MACHINES AM 50 ) &lt; Recette 8 &gt; </v>
          </cell>
          <cell r="BN171" t="str">
            <v xml:space="preserve">BUDGET DE FONCTIONNEMENT ( MACHINES AM 50 ) &lt; Recette 8 &gt; </v>
          </cell>
          <cell r="CE171" t="str">
            <v xml:space="preserve">BUDGET DE FONCTIONNEMENT ( TAILLES ) &lt; Recette 8 &gt; </v>
          </cell>
          <cell r="CV171" t="str">
            <v xml:space="preserve">BUDGET DE FONCTIONNEMENT ( MACHINES AM 50 ) &lt; Recette 8 &gt; </v>
          </cell>
          <cell r="DJ171" t="str">
            <v xml:space="preserve">BUDGET DE FONCTIONNEMENT ( FRAIS COMMUNS FOND ) &lt; Recette 8 &gt; </v>
          </cell>
          <cell r="DX171" t="str">
            <v xml:space="preserve">BUDGET DE FONCTIONNEMENT ( MACHINES AM 50 ) &lt; Recette 8 &gt; </v>
          </cell>
          <cell r="EO171" t="str">
            <v xml:space="preserve">BUDGET DE FONCTIONNEMENT ( FRAIS COMMUNS JOUR ) &lt; Recette 8 &gt; </v>
          </cell>
          <cell r="FC171" t="str">
            <v xml:space="preserve">BUDGET DE FONCTIONNEMENT ( MACHINES AM 50 ) &lt; Recette 8 &gt; </v>
          </cell>
        </row>
        <row r="172">
          <cell r="AZ172" t="str">
            <v xml:space="preserve"> PREVU 2003 / Réalisé Fin Décembre 2002</v>
          </cell>
          <cell r="BN172" t="str">
            <v xml:space="preserve"> PREVU 2003 / Réalisé Fin Décembre 2002</v>
          </cell>
          <cell r="CE172" t="str">
            <v xml:space="preserve"> PREVU 2003 / Réalisé Fin Décembre 2002</v>
          </cell>
          <cell r="CV172" t="str">
            <v xml:space="preserve"> PREVU 2003 / Réalisé Fin Décembre 2002</v>
          </cell>
          <cell r="DJ172" t="str">
            <v xml:space="preserve"> PREVU 2003 / Réalisé Fin Décembre 2002</v>
          </cell>
          <cell r="DX172" t="str">
            <v xml:space="preserve"> PREVU 2003 / Réalisé Fin Décembre 2002</v>
          </cell>
          <cell r="EO172" t="str">
            <v xml:space="preserve"> PREVU 2003 / Réalisé Fin Décembre 2002</v>
          </cell>
          <cell r="FC172" t="str">
            <v xml:space="preserve"> PREVU 2003 / Réalisé Fin Décembre 2002</v>
          </cell>
        </row>
        <row r="173">
          <cell r="AZ173" t="str">
            <v>S.A.</v>
          </cell>
          <cell r="BA173" t="str">
            <v>821 - F</v>
          </cell>
          <cell r="BD173" t="str">
            <v>822 - A</v>
          </cell>
          <cell r="BG173" t="str">
            <v>823 - I</v>
          </cell>
          <cell r="BJ173" t="str">
            <v>824 - M</v>
          </cell>
          <cell r="BN173" t="str">
            <v>S.A.</v>
          </cell>
          <cell r="BO173" t="str">
            <v>825 - V</v>
          </cell>
          <cell r="BR173" t="str">
            <v>827 - D</v>
          </cell>
          <cell r="BU173" t="str">
            <v>828 - C</v>
          </cell>
          <cell r="BX173">
            <v>829</v>
          </cell>
          <cell r="CA173" t="str">
            <v>TOT AM50 R8</v>
          </cell>
          <cell r="CE173" t="str">
            <v>S.A.</v>
          </cell>
          <cell r="CF173" t="str">
            <v>840 - J</v>
          </cell>
          <cell r="CI173" t="str">
            <v>841 - L</v>
          </cell>
          <cell r="CL173" t="str">
            <v>842 - I</v>
          </cell>
          <cell r="CO173">
            <v>849</v>
          </cell>
          <cell r="CR173" t="str">
            <v>T. TAILLES</v>
          </cell>
          <cell r="CV173" t="str">
            <v>S.A.</v>
          </cell>
          <cell r="CW173">
            <v>860</v>
          </cell>
          <cell r="CZ173">
            <v>861</v>
          </cell>
          <cell r="DC173">
            <v>969</v>
          </cell>
          <cell r="DF173" t="str">
            <v>T. EXHAURE</v>
          </cell>
          <cell r="DJ173" t="str">
            <v>S.A.</v>
          </cell>
          <cell r="DK173">
            <v>871</v>
          </cell>
          <cell r="DN173">
            <v>873</v>
          </cell>
          <cell r="DQ173">
            <v>874</v>
          </cell>
          <cell r="DT173">
            <v>875</v>
          </cell>
          <cell r="DX173" t="str">
            <v>S.A.</v>
          </cell>
          <cell r="DY173">
            <v>876</v>
          </cell>
          <cell r="EB173">
            <v>877</v>
          </cell>
          <cell r="EE173">
            <v>878</v>
          </cell>
          <cell r="EH173">
            <v>879</v>
          </cell>
          <cell r="EK173" t="str">
            <v>FCF R8</v>
          </cell>
          <cell r="EO173" t="str">
            <v>S.A.</v>
          </cell>
          <cell r="EP173">
            <v>882</v>
          </cell>
          <cell r="ES173">
            <v>883</v>
          </cell>
          <cell r="EV173">
            <v>884</v>
          </cell>
          <cell r="EY173">
            <v>885</v>
          </cell>
          <cell r="FC173" t="str">
            <v>S.A.</v>
          </cell>
          <cell r="FD173">
            <v>886</v>
          </cell>
          <cell r="FG173">
            <v>887</v>
          </cell>
          <cell r="FJ173">
            <v>888</v>
          </cell>
          <cell r="FM173">
            <v>889</v>
          </cell>
          <cell r="FP173" t="str">
            <v>F.G.J R8</v>
          </cell>
        </row>
        <row r="174">
          <cell r="BA174" t="str">
            <v>R</v>
          </cell>
          <cell r="BB174" t="str">
            <v>P</v>
          </cell>
          <cell r="BC174" t="str">
            <v>P/R</v>
          </cell>
          <cell r="BD174" t="str">
            <v>R</v>
          </cell>
          <cell r="BE174" t="str">
            <v>P</v>
          </cell>
          <cell r="BF174" t="str">
            <v>P/R</v>
          </cell>
          <cell r="BG174" t="str">
            <v>R</v>
          </cell>
          <cell r="BH174" t="str">
            <v>P</v>
          </cell>
          <cell r="BI174" t="str">
            <v>P/R</v>
          </cell>
          <cell r="BJ174" t="str">
            <v>R</v>
          </cell>
          <cell r="BK174" t="str">
            <v>P</v>
          </cell>
          <cell r="BL174" t="str">
            <v>P/R</v>
          </cell>
          <cell r="BO174" t="str">
            <v>R</v>
          </cell>
          <cell r="BP174" t="str">
            <v>P</v>
          </cell>
          <cell r="BQ174" t="str">
            <v>P/R</v>
          </cell>
          <cell r="BR174" t="str">
            <v>R</v>
          </cell>
          <cell r="BS174" t="str">
            <v>P</v>
          </cell>
          <cell r="BT174" t="str">
            <v>P/R</v>
          </cell>
          <cell r="BU174" t="str">
            <v>R</v>
          </cell>
          <cell r="BV174" t="str">
            <v>P</v>
          </cell>
          <cell r="BW174" t="str">
            <v>P/R</v>
          </cell>
          <cell r="BX174" t="str">
            <v>R</v>
          </cell>
          <cell r="BY174" t="str">
            <v>P</v>
          </cell>
          <cell r="BZ174" t="str">
            <v>P/R</v>
          </cell>
          <cell r="CA174" t="str">
            <v>R</v>
          </cell>
          <cell r="CB174" t="str">
            <v>P</v>
          </cell>
          <cell r="CC174" t="str">
            <v>P/R</v>
          </cell>
          <cell r="CF174" t="str">
            <v>R</v>
          </cell>
          <cell r="CG174" t="str">
            <v>P</v>
          </cell>
          <cell r="CH174" t="str">
            <v>P/R</v>
          </cell>
          <cell r="CI174" t="str">
            <v>R</v>
          </cell>
          <cell r="CJ174" t="str">
            <v>P</v>
          </cell>
          <cell r="CK174" t="str">
            <v>P/R</v>
          </cell>
          <cell r="CL174" t="str">
            <v>R</v>
          </cell>
          <cell r="CM174" t="str">
            <v>P</v>
          </cell>
          <cell r="CN174" t="str">
            <v>P/R</v>
          </cell>
          <cell r="CO174" t="str">
            <v>R</v>
          </cell>
          <cell r="CP174" t="str">
            <v>P</v>
          </cell>
          <cell r="CQ174" t="str">
            <v>P/R</v>
          </cell>
          <cell r="CR174" t="str">
            <v>R</v>
          </cell>
          <cell r="CS174" t="str">
            <v>P</v>
          </cell>
          <cell r="CT174" t="str">
            <v>P/R</v>
          </cell>
          <cell r="CW174" t="str">
            <v>R</v>
          </cell>
          <cell r="CX174" t="str">
            <v>P</v>
          </cell>
          <cell r="CY174" t="str">
            <v>P/R</v>
          </cell>
          <cell r="CZ174" t="str">
            <v>R</v>
          </cell>
          <cell r="DA174" t="str">
            <v>P</v>
          </cell>
          <cell r="DB174" t="str">
            <v>P/R</v>
          </cell>
          <cell r="DC174" t="str">
            <v>R</v>
          </cell>
          <cell r="DD174" t="str">
            <v>P</v>
          </cell>
          <cell r="DE174" t="str">
            <v>P/R</v>
          </cell>
          <cell r="DF174" t="str">
            <v>R</v>
          </cell>
          <cell r="DG174" t="str">
            <v>P</v>
          </cell>
          <cell r="DH174" t="str">
            <v>P/R</v>
          </cell>
          <cell r="DK174" t="str">
            <v>R</v>
          </cell>
          <cell r="DL174" t="str">
            <v>P</v>
          </cell>
          <cell r="DM174" t="str">
            <v>P/R</v>
          </cell>
          <cell r="DN174" t="str">
            <v>R</v>
          </cell>
          <cell r="DO174" t="str">
            <v>P</v>
          </cell>
          <cell r="DP174" t="str">
            <v>P/R</v>
          </cell>
          <cell r="DQ174" t="str">
            <v>R</v>
          </cell>
          <cell r="DR174" t="str">
            <v>P</v>
          </cell>
          <cell r="DS174" t="str">
            <v>P/R</v>
          </cell>
          <cell r="DT174" t="str">
            <v>R</v>
          </cell>
          <cell r="DU174" t="str">
            <v>P</v>
          </cell>
          <cell r="DV174" t="str">
            <v>P/R</v>
          </cell>
          <cell r="DY174" t="str">
            <v>R</v>
          </cell>
          <cell r="DZ174" t="str">
            <v>P</v>
          </cell>
          <cell r="EA174" t="str">
            <v>P/R</v>
          </cell>
          <cell r="EB174" t="str">
            <v>R</v>
          </cell>
          <cell r="EC174" t="str">
            <v>P</v>
          </cell>
          <cell r="ED174" t="str">
            <v>P/R</v>
          </cell>
          <cell r="EE174" t="str">
            <v>R</v>
          </cell>
          <cell r="EF174" t="str">
            <v>P</v>
          </cell>
          <cell r="EG174" t="str">
            <v>P/R</v>
          </cell>
          <cell r="EH174" t="str">
            <v>R</v>
          </cell>
          <cell r="EI174" t="str">
            <v>P</v>
          </cell>
          <cell r="EJ174" t="str">
            <v>P/R</v>
          </cell>
          <cell r="EK174" t="str">
            <v>R</v>
          </cell>
          <cell r="EL174" t="str">
            <v>P</v>
          </cell>
          <cell r="EM174" t="str">
            <v>P/R</v>
          </cell>
          <cell r="EP174" t="str">
            <v>R</v>
          </cell>
          <cell r="EQ174" t="str">
            <v>P</v>
          </cell>
          <cell r="ER174" t="str">
            <v>P/R</v>
          </cell>
          <cell r="ES174" t="str">
            <v>R</v>
          </cell>
          <cell r="ET174" t="str">
            <v>P</v>
          </cell>
          <cell r="EU174" t="str">
            <v>P/R</v>
          </cell>
          <cell r="EV174" t="str">
            <v>R</v>
          </cell>
          <cell r="EW174" t="str">
            <v>P</v>
          </cell>
          <cell r="EX174" t="str">
            <v>P/R</v>
          </cell>
          <cell r="EY174" t="str">
            <v>R</v>
          </cell>
          <cell r="EZ174" t="str">
            <v>P</v>
          </cell>
          <cell r="FA174" t="str">
            <v>P/R</v>
          </cell>
          <cell r="FD174" t="str">
            <v>R</v>
          </cell>
          <cell r="FE174" t="str">
            <v>P</v>
          </cell>
          <cell r="FF174" t="str">
            <v>P/R</v>
          </cell>
          <cell r="FG174" t="str">
            <v>R</v>
          </cell>
          <cell r="FH174" t="str">
            <v>P</v>
          </cell>
          <cell r="FI174" t="str">
            <v>P/R</v>
          </cell>
          <cell r="FJ174" t="str">
            <v>R</v>
          </cell>
          <cell r="FK174" t="str">
            <v>P</v>
          </cell>
          <cell r="FL174" t="str">
            <v>P/R</v>
          </cell>
          <cell r="FM174" t="str">
            <v>R</v>
          </cell>
          <cell r="FN174" t="str">
            <v>P</v>
          </cell>
          <cell r="FO174" t="str">
            <v>P/R</v>
          </cell>
          <cell r="FP174" t="str">
            <v>R</v>
          </cell>
          <cell r="FQ174" t="str">
            <v>P</v>
          </cell>
          <cell r="FR174" t="str">
            <v>P/R</v>
          </cell>
        </row>
        <row r="175">
          <cell r="AZ175" t="str">
            <v>500 LOY (CONTRAT)</v>
          </cell>
          <cell r="BA175">
            <v>0</v>
          </cell>
          <cell r="BB175">
            <v>0</v>
          </cell>
          <cell r="BC175" t="e">
            <v>#DIV/0!</v>
          </cell>
          <cell r="BD175">
            <v>0</v>
          </cell>
          <cell r="BE175">
            <v>0</v>
          </cell>
          <cell r="BF175" t="e">
            <v>#DIV/0!</v>
          </cell>
          <cell r="BG175">
            <v>0</v>
          </cell>
          <cell r="BH175">
            <v>0</v>
          </cell>
          <cell r="BI175" t="e">
            <v>#DIV/0!</v>
          </cell>
          <cell r="BJ175">
            <v>0</v>
          </cell>
          <cell r="BK175">
            <v>0</v>
          </cell>
          <cell r="BL175" t="e">
            <v>#DIV/0!</v>
          </cell>
          <cell r="BN175" t="str">
            <v>500 LOY (CONTRAT)</v>
          </cell>
          <cell r="BO175">
            <v>0</v>
          </cell>
          <cell r="BP175">
            <v>0</v>
          </cell>
          <cell r="BQ175" t="e">
            <v>#DIV/0!</v>
          </cell>
          <cell r="BR175">
            <v>0</v>
          </cell>
          <cell r="BS175">
            <v>0</v>
          </cell>
          <cell r="BT175" t="e">
            <v>#DIV/0!</v>
          </cell>
          <cell r="BU175">
            <v>0</v>
          </cell>
          <cell r="BV175">
            <v>0</v>
          </cell>
          <cell r="BW175" t="e">
            <v>#DIV/0!</v>
          </cell>
          <cell r="BX175">
            <v>0</v>
          </cell>
          <cell r="BY175">
            <v>0</v>
          </cell>
          <cell r="BZ175" t="e">
            <v>#DIV/0!</v>
          </cell>
          <cell r="CA175">
            <v>0</v>
          </cell>
          <cell r="CB175">
            <v>0</v>
          </cell>
          <cell r="CC175" t="e">
            <v>#DIV/0!</v>
          </cell>
          <cell r="CE175" t="str">
            <v>500 LOY (CONTRAT)</v>
          </cell>
          <cell r="CF175">
            <v>0</v>
          </cell>
          <cell r="CG175">
            <v>0</v>
          </cell>
          <cell r="CH175" t="e">
            <v>#DIV/0!</v>
          </cell>
          <cell r="CI175">
            <v>0</v>
          </cell>
          <cell r="CJ175">
            <v>0</v>
          </cell>
          <cell r="CK175" t="e">
            <v>#DIV/0!</v>
          </cell>
          <cell r="CL175">
            <v>0</v>
          </cell>
          <cell r="CM175">
            <v>0</v>
          </cell>
          <cell r="CN175" t="e">
            <v>#DIV/0!</v>
          </cell>
          <cell r="CO175">
            <v>0</v>
          </cell>
          <cell r="CP175">
            <v>0</v>
          </cell>
          <cell r="CQ175" t="e">
            <v>#DIV/0!</v>
          </cell>
          <cell r="CR175">
            <v>0</v>
          </cell>
          <cell r="CS175">
            <v>0</v>
          </cell>
          <cell r="CT175" t="e">
            <v>#DIV/0!</v>
          </cell>
          <cell r="CV175" t="str">
            <v>500 LOY (CONTRAT)</v>
          </cell>
          <cell r="CW175">
            <v>0</v>
          </cell>
          <cell r="CX175">
            <v>0</v>
          </cell>
          <cell r="CY175" t="e">
            <v>#DIV/0!</v>
          </cell>
          <cell r="CZ175">
            <v>0</v>
          </cell>
          <cell r="DA175">
            <v>0</v>
          </cell>
          <cell r="DB175" t="e">
            <v>#DIV/0!</v>
          </cell>
          <cell r="DC175">
            <v>0</v>
          </cell>
          <cell r="DD175">
            <v>0</v>
          </cell>
          <cell r="DE175" t="e">
            <v>#DIV/0!</v>
          </cell>
          <cell r="DF175">
            <v>0</v>
          </cell>
          <cell r="DG175">
            <v>0</v>
          </cell>
          <cell r="DH175" t="e">
            <v>#DIV/0!</v>
          </cell>
          <cell r="DJ175" t="str">
            <v>500 LOY (CONTRAT)</v>
          </cell>
          <cell r="DK175">
            <v>0</v>
          </cell>
          <cell r="DL175">
            <v>0</v>
          </cell>
          <cell r="DM175" t="e">
            <v>#DIV/0!</v>
          </cell>
          <cell r="DN175">
            <v>0</v>
          </cell>
          <cell r="DO175">
            <v>0</v>
          </cell>
          <cell r="DP175" t="e">
            <v>#DIV/0!</v>
          </cell>
          <cell r="DQ175">
            <v>0</v>
          </cell>
          <cell r="DR175">
            <v>0</v>
          </cell>
          <cell r="DS175" t="e">
            <v>#DIV/0!</v>
          </cell>
          <cell r="DT175">
            <v>0</v>
          </cell>
          <cell r="DU175">
            <v>0</v>
          </cell>
          <cell r="DV175" t="e">
            <v>#DIV/0!</v>
          </cell>
          <cell r="DX175" t="str">
            <v>500 LOY (CONTRAT)</v>
          </cell>
          <cell r="DY175">
            <v>0</v>
          </cell>
          <cell r="DZ175">
            <v>0</v>
          </cell>
          <cell r="EA175" t="e">
            <v>#DIV/0!</v>
          </cell>
          <cell r="EB175">
            <v>0</v>
          </cell>
          <cell r="EC175">
            <v>0</v>
          </cell>
          <cell r="ED175" t="e">
            <v>#DIV/0!</v>
          </cell>
          <cell r="EE175">
            <v>0</v>
          </cell>
          <cell r="EF175">
            <v>0</v>
          </cell>
          <cell r="EG175" t="e">
            <v>#DIV/0!</v>
          </cell>
          <cell r="EH175">
            <v>0</v>
          </cell>
          <cell r="EI175">
            <v>0</v>
          </cell>
          <cell r="EJ175" t="e">
            <v>#DIV/0!</v>
          </cell>
          <cell r="EK175">
            <v>0</v>
          </cell>
          <cell r="EL175">
            <v>0</v>
          </cell>
          <cell r="EM175" t="e">
            <v>#DIV/0!</v>
          </cell>
          <cell r="EO175" t="str">
            <v>500 LOY (CONTRAT)</v>
          </cell>
          <cell r="EP175">
            <v>0</v>
          </cell>
          <cell r="EQ175">
            <v>0</v>
          </cell>
          <cell r="ER175" t="e">
            <v>#DIV/0!</v>
          </cell>
          <cell r="ES175">
            <v>0</v>
          </cell>
          <cell r="ET175">
            <v>0</v>
          </cell>
          <cell r="EU175" t="e">
            <v>#DIV/0!</v>
          </cell>
          <cell r="EV175">
            <v>0</v>
          </cell>
          <cell r="EW175">
            <v>0</v>
          </cell>
          <cell r="EX175" t="e">
            <v>#DIV/0!</v>
          </cell>
          <cell r="EY175">
            <v>0</v>
          </cell>
          <cell r="EZ175">
            <v>0</v>
          </cell>
          <cell r="FA175" t="e">
            <v>#DIV/0!</v>
          </cell>
          <cell r="FC175" t="str">
            <v>500 LOY (CONTRAT)</v>
          </cell>
          <cell r="FD175">
            <v>0</v>
          </cell>
          <cell r="FE175">
            <v>0</v>
          </cell>
          <cell r="FF175" t="e">
            <v>#DIV/0!</v>
          </cell>
          <cell r="FG175">
            <v>0</v>
          </cell>
          <cell r="FH175">
            <v>0</v>
          </cell>
          <cell r="FI175" t="e">
            <v>#DIV/0!</v>
          </cell>
          <cell r="FJ175">
            <v>0</v>
          </cell>
          <cell r="FK175">
            <v>0</v>
          </cell>
          <cell r="FL175" t="e">
            <v>#DIV/0!</v>
          </cell>
          <cell r="FM175">
            <v>0</v>
          </cell>
          <cell r="FN175">
            <v>0</v>
          </cell>
          <cell r="FO175" t="e">
            <v>#DIV/0!</v>
          </cell>
          <cell r="FP175">
            <v>0</v>
          </cell>
          <cell r="FQ175">
            <v>0</v>
          </cell>
          <cell r="FR175" t="e">
            <v>#DIV/0!</v>
          </cell>
        </row>
        <row r="176">
          <cell r="AZ176" t="str">
            <v>501 LOCA (OCCAS)</v>
          </cell>
          <cell r="BA176">
            <v>0</v>
          </cell>
          <cell r="BB176">
            <v>0</v>
          </cell>
          <cell r="BC176" t="e">
            <v>#DIV/0!</v>
          </cell>
          <cell r="BD176">
            <v>0</v>
          </cell>
          <cell r="BE176">
            <v>0</v>
          </cell>
          <cell r="BF176" t="e">
            <v>#DIV/0!</v>
          </cell>
          <cell r="BG176">
            <v>0</v>
          </cell>
          <cell r="BH176">
            <v>0</v>
          </cell>
          <cell r="BI176" t="e">
            <v>#DIV/0!</v>
          </cell>
          <cell r="BJ176">
            <v>0</v>
          </cell>
          <cell r="BK176">
            <v>0</v>
          </cell>
          <cell r="BL176" t="e">
            <v>#DIV/0!</v>
          </cell>
          <cell r="BN176" t="str">
            <v>501 LOCA (OCCAS)</v>
          </cell>
          <cell r="BO176">
            <v>0</v>
          </cell>
          <cell r="BP176">
            <v>0</v>
          </cell>
          <cell r="BQ176" t="e">
            <v>#DIV/0!</v>
          </cell>
          <cell r="BR176">
            <v>0</v>
          </cell>
          <cell r="BS176">
            <v>0</v>
          </cell>
          <cell r="BT176" t="e">
            <v>#DIV/0!</v>
          </cell>
          <cell r="BU176">
            <v>0</v>
          </cell>
          <cell r="BV176">
            <v>0</v>
          </cell>
          <cell r="BW176" t="e">
            <v>#DIV/0!</v>
          </cell>
          <cell r="BX176">
            <v>0</v>
          </cell>
          <cell r="BY176">
            <v>0</v>
          </cell>
          <cell r="BZ176" t="e">
            <v>#DIV/0!</v>
          </cell>
          <cell r="CA176">
            <v>0</v>
          </cell>
          <cell r="CB176">
            <v>0</v>
          </cell>
          <cell r="CC176" t="e">
            <v>#DIV/0!</v>
          </cell>
          <cell r="CE176" t="str">
            <v>501 LOCA (OCCAS)</v>
          </cell>
          <cell r="CF176">
            <v>0</v>
          </cell>
          <cell r="CG176">
            <v>0</v>
          </cell>
          <cell r="CH176" t="e">
            <v>#DIV/0!</v>
          </cell>
          <cell r="CI176">
            <v>0</v>
          </cell>
          <cell r="CJ176">
            <v>0</v>
          </cell>
          <cell r="CK176" t="e">
            <v>#DIV/0!</v>
          </cell>
          <cell r="CL176">
            <v>0</v>
          </cell>
          <cell r="CM176">
            <v>0</v>
          </cell>
          <cell r="CN176" t="e">
            <v>#DIV/0!</v>
          </cell>
          <cell r="CO176">
            <v>0</v>
          </cell>
          <cell r="CP176">
            <v>0</v>
          </cell>
          <cell r="CQ176" t="e">
            <v>#DIV/0!</v>
          </cell>
          <cell r="CR176">
            <v>0</v>
          </cell>
          <cell r="CS176">
            <v>0</v>
          </cell>
          <cell r="CT176" t="e">
            <v>#DIV/0!</v>
          </cell>
          <cell r="CV176" t="str">
            <v>501 LOCA (OCCAS)</v>
          </cell>
          <cell r="CW176">
            <v>0</v>
          </cell>
          <cell r="CX176">
            <v>0</v>
          </cell>
          <cell r="CY176" t="e">
            <v>#DIV/0!</v>
          </cell>
          <cell r="CZ176">
            <v>0</v>
          </cell>
          <cell r="DA176">
            <v>0</v>
          </cell>
          <cell r="DB176" t="e">
            <v>#DIV/0!</v>
          </cell>
          <cell r="DC176">
            <v>0</v>
          </cell>
          <cell r="DD176">
            <v>0</v>
          </cell>
          <cell r="DE176" t="e">
            <v>#DIV/0!</v>
          </cell>
          <cell r="DF176">
            <v>0</v>
          </cell>
          <cell r="DG176">
            <v>0</v>
          </cell>
          <cell r="DH176" t="e">
            <v>#DIV/0!</v>
          </cell>
          <cell r="DJ176" t="str">
            <v>501 LOCA (OCCAS)</v>
          </cell>
          <cell r="DK176">
            <v>0</v>
          </cell>
          <cell r="DL176">
            <v>0</v>
          </cell>
          <cell r="DM176" t="e">
            <v>#DIV/0!</v>
          </cell>
          <cell r="DN176">
            <v>0</v>
          </cell>
          <cell r="DO176">
            <v>0</v>
          </cell>
          <cell r="DP176" t="e">
            <v>#DIV/0!</v>
          </cell>
          <cell r="DQ176">
            <v>0</v>
          </cell>
          <cell r="DR176">
            <v>0</v>
          </cell>
          <cell r="DS176" t="e">
            <v>#DIV/0!</v>
          </cell>
          <cell r="DT176">
            <v>0</v>
          </cell>
          <cell r="DU176">
            <v>0</v>
          </cell>
          <cell r="DV176" t="e">
            <v>#DIV/0!</v>
          </cell>
          <cell r="DX176" t="str">
            <v>501 LOCA (OCCAS)</v>
          </cell>
          <cell r="DY176">
            <v>0</v>
          </cell>
          <cell r="DZ176">
            <v>0</v>
          </cell>
          <cell r="EA176" t="e">
            <v>#DIV/0!</v>
          </cell>
          <cell r="EB176">
            <v>0</v>
          </cell>
          <cell r="EC176">
            <v>0</v>
          </cell>
          <cell r="ED176" t="e">
            <v>#DIV/0!</v>
          </cell>
          <cell r="EE176">
            <v>0</v>
          </cell>
          <cell r="EF176">
            <v>0</v>
          </cell>
          <cell r="EG176" t="e">
            <v>#DIV/0!</v>
          </cell>
          <cell r="EH176">
            <v>0</v>
          </cell>
          <cell r="EI176">
            <v>0</v>
          </cell>
          <cell r="EJ176" t="e">
            <v>#DIV/0!</v>
          </cell>
          <cell r="EK176">
            <v>0</v>
          </cell>
          <cell r="EL176">
            <v>0</v>
          </cell>
          <cell r="EM176" t="e">
            <v>#DIV/0!</v>
          </cell>
          <cell r="EO176" t="str">
            <v>501 LOCA (OCCAS)</v>
          </cell>
          <cell r="EP176">
            <v>0</v>
          </cell>
          <cell r="EQ176">
            <v>0</v>
          </cell>
          <cell r="ER176" t="e">
            <v>#DIV/0!</v>
          </cell>
          <cell r="ES176">
            <v>0</v>
          </cell>
          <cell r="ET176">
            <v>0</v>
          </cell>
          <cell r="EU176" t="e">
            <v>#DIV/0!</v>
          </cell>
          <cell r="EV176">
            <v>0</v>
          </cell>
          <cell r="EW176">
            <v>0</v>
          </cell>
          <cell r="EX176" t="e">
            <v>#DIV/0!</v>
          </cell>
          <cell r="EY176">
            <v>0</v>
          </cell>
          <cell r="EZ176">
            <v>0</v>
          </cell>
          <cell r="FA176" t="e">
            <v>#DIV/0!</v>
          </cell>
          <cell r="FC176" t="str">
            <v>501 LOCA (OCCAS)</v>
          </cell>
          <cell r="FD176">
            <v>0</v>
          </cell>
          <cell r="FE176">
            <v>0</v>
          </cell>
          <cell r="FF176" t="e">
            <v>#DIV/0!</v>
          </cell>
          <cell r="FG176">
            <v>0</v>
          </cell>
          <cell r="FH176">
            <v>0</v>
          </cell>
          <cell r="FI176" t="e">
            <v>#DIV/0!</v>
          </cell>
          <cell r="FJ176">
            <v>0</v>
          </cell>
          <cell r="FK176">
            <v>0</v>
          </cell>
          <cell r="FL176" t="e">
            <v>#DIV/0!</v>
          </cell>
          <cell r="FM176">
            <v>0</v>
          </cell>
          <cell r="FN176">
            <v>0</v>
          </cell>
          <cell r="FO176" t="e">
            <v>#DIV/0!</v>
          </cell>
          <cell r="FP176">
            <v>0</v>
          </cell>
          <cell r="FQ176">
            <v>0</v>
          </cell>
          <cell r="FR176" t="e">
            <v>#DIV/0!</v>
          </cell>
        </row>
        <row r="177">
          <cell r="AZ177" t="str">
            <v>510 ENTRETIEN</v>
          </cell>
          <cell r="BA177">
            <v>0</v>
          </cell>
          <cell r="BB177">
            <v>0</v>
          </cell>
          <cell r="BC177" t="e">
            <v>#DIV/0!</v>
          </cell>
          <cell r="BD177">
            <v>0</v>
          </cell>
          <cell r="BE177">
            <v>0</v>
          </cell>
          <cell r="BF177" t="e">
            <v>#DIV/0!</v>
          </cell>
          <cell r="BG177">
            <v>26558</v>
          </cell>
          <cell r="BH177">
            <v>8760</v>
          </cell>
          <cell r="BI177">
            <v>32.984411476767825</v>
          </cell>
          <cell r="BJ177">
            <v>87490</v>
          </cell>
          <cell r="BK177">
            <v>28872</v>
          </cell>
          <cell r="BL177">
            <v>33.000342896331006</v>
          </cell>
          <cell r="BN177" t="str">
            <v>510 ENTRETIEN</v>
          </cell>
          <cell r="BO177">
            <v>22420</v>
          </cell>
          <cell r="BP177">
            <v>7404</v>
          </cell>
          <cell r="BQ177">
            <v>33.024085637823369</v>
          </cell>
          <cell r="BR177">
            <v>25700</v>
          </cell>
          <cell r="BS177">
            <v>8484</v>
          </cell>
          <cell r="BT177">
            <v>33.011673151750976</v>
          </cell>
          <cell r="BU177">
            <v>24000</v>
          </cell>
          <cell r="BV177">
            <v>7920</v>
          </cell>
          <cell r="BW177">
            <v>33</v>
          </cell>
          <cell r="BX177">
            <v>0</v>
          </cell>
          <cell r="BY177">
            <v>0</v>
          </cell>
          <cell r="BZ177" t="e">
            <v>#DIV/0!</v>
          </cell>
          <cell r="CA177">
            <v>186168</v>
          </cell>
          <cell r="CB177">
            <v>61440</v>
          </cell>
          <cell r="CC177">
            <v>33.002449400541444</v>
          </cell>
          <cell r="CE177" t="str">
            <v>510 ENTRETIEN</v>
          </cell>
          <cell r="CF177">
            <v>30380</v>
          </cell>
          <cell r="CG177">
            <v>11544</v>
          </cell>
          <cell r="CH177">
            <v>37.998683344305462</v>
          </cell>
          <cell r="CI177">
            <v>81373</v>
          </cell>
          <cell r="CJ177">
            <v>30924</v>
          </cell>
          <cell r="CK177">
            <v>38.002777334005138</v>
          </cell>
          <cell r="CL177">
            <v>0</v>
          </cell>
          <cell r="CM177">
            <v>0</v>
          </cell>
          <cell r="CN177" t="e">
            <v>#DIV/0!</v>
          </cell>
          <cell r="CO177">
            <v>0</v>
          </cell>
          <cell r="CP177">
            <v>0</v>
          </cell>
          <cell r="CQ177" t="e">
            <v>#DIV/0!</v>
          </cell>
          <cell r="CR177">
            <v>111753</v>
          </cell>
          <cell r="CS177">
            <v>42468</v>
          </cell>
          <cell r="CT177">
            <v>38.001664384848723</v>
          </cell>
          <cell r="CV177" t="str">
            <v>510 ENTRETIEN</v>
          </cell>
          <cell r="CW177">
            <v>0</v>
          </cell>
          <cell r="CX177">
            <v>0</v>
          </cell>
          <cell r="CY177" t="e">
            <v>#DIV/0!</v>
          </cell>
          <cell r="CZ177">
            <v>0</v>
          </cell>
          <cell r="DA177">
            <v>0</v>
          </cell>
          <cell r="DB177" t="e">
            <v>#DIV/0!</v>
          </cell>
          <cell r="DC177">
            <v>0</v>
          </cell>
          <cell r="DD177">
            <v>0</v>
          </cell>
          <cell r="DE177" t="e">
            <v>#DIV/0!</v>
          </cell>
          <cell r="DF177">
            <v>0</v>
          </cell>
          <cell r="DG177">
            <v>0</v>
          </cell>
          <cell r="DH177" t="e">
            <v>#DIV/0!</v>
          </cell>
          <cell r="DJ177" t="str">
            <v>510 ENTRETIEN</v>
          </cell>
          <cell r="DK177">
            <v>38219</v>
          </cell>
          <cell r="DL177">
            <v>28668</v>
          </cell>
          <cell r="DM177">
            <v>75.009811873675389</v>
          </cell>
          <cell r="DN177">
            <v>0</v>
          </cell>
          <cell r="DO177">
            <v>0</v>
          </cell>
          <cell r="DP177" t="e">
            <v>#DIV/0!</v>
          </cell>
          <cell r="DQ177">
            <v>0</v>
          </cell>
          <cell r="DR177">
            <v>0</v>
          </cell>
          <cell r="DS177" t="e">
            <v>#DIV/0!</v>
          </cell>
          <cell r="DT177">
            <v>0</v>
          </cell>
          <cell r="DU177">
            <v>0</v>
          </cell>
          <cell r="DV177" t="e">
            <v>#DIV/0!</v>
          </cell>
          <cell r="DX177" t="str">
            <v>510 ENTRETIEN</v>
          </cell>
          <cell r="DY177">
            <v>0</v>
          </cell>
          <cell r="DZ177">
            <v>0</v>
          </cell>
          <cell r="EA177" t="e">
            <v>#DIV/0!</v>
          </cell>
          <cell r="EB177">
            <v>0</v>
          </cell>
          <cell r="EC177">
            <v>0</v>
          </cell>
          <cell r="ED177" t="e">
            <v>#DIV/0!</v>
          </cell>
          <cell r="EE177">
            <v>42485</v>
          </cell>
          <cell r="EF177">
            <v>31860</v>
          </cell>
          <cell r="EG177">
            <v>74.991173355301882</v>
          </cell>
          <cell r="EH177">
            <v>12906</v>
          </cell>
          <cell r="EI177">
            <v>9684</v>
          </cell>
          <cell r="EJ177">
            <v>75.034867503486751</v>
          </cell>
          <cell r="EK177">
            <v>93610</v>
          </cell>
          <cell r="EL177">
            <v>70212</v>
          </cell>
          <cell r="EM177">
            <v>75.004807178720228</v>
          </cell>
          <cell r="EO177" t="str">
            <v>510 ENTRETIEN</v>
          </cell>
          <cell r="EP177">
            <v>2149</v>
          </cell>
          <cell r="EQ177">
            <v>2148</v>
          </cell>
          <cell r="ER177">
            <v>99.953466728711021</v>
          </cell>
          <cell r="ES177">
            <v>0</v>
          </cell>
          <cell r="ET177">
            <v>0</v>
          </cell>
          <cell r="EU177" t="e">
            <v>#DIV/0!</v>
          </cell>
          <cell r="EV177">
            <v>0</v>
          </cell>
          <cell r="EW177">
            <v>0</v>
          </cell>
          <cell r="EX177" t="e">
            <v>#DIV/0!</v>
          </cell>
          <cell r="EY177">
            <v>0</v>
          </cell>
          <cell r="EZ177">
            <v>0</v>
          </cell>
          <cell r="FA177" t="e">
            <v>#DIV/0!</v>
          </cell>
          <cell r="FC177" t="str">
            <v>510 ENTRETIEN</v>
          </cell>
          <cell r="FD177">
            <v>0</v>
          </cell>
          <cell r="FE177">
            <v>0</v>
          </cell>
          <cell r="FF177" t="e">
            <v>#DIV/0!</v>
          </cell>
          <cell r="FG177">
            <v>0</v>
          </cell>
          <cell r="FH177">
            <v>0</v>
          </cell>
          <cell r="FI177" t="e">
            <v>#DIV/0!</v>
          </cell>
          <cell r="FJ177">
            <v>0</v>
          </cell>
          <cell r="FK177">
            <v>0</v>
          </cell>
          <cell r="FL177" t="e">
            <v>#DIV/0!</v>
          </cell>
          <cell r="FM177">
            <v>16377</v>
          </cell>
          <cell r="FN177">
            <v>16380</v>
          </cell>
          <cell r="FO177">
            <v>100.01831837332844</v>
          </cell>
          <cell r="FP177">
            <v>18526</v>
          </cell>
          <cell r="FQ177">
            <v>18528</v>
          </cell>
          <cell r="FR177">
            <v>100.01079563856202</v>
          </cell>
        </row>
        <row r="178">
          <cell r="AZ178" t="str">
            <v>511 REPARATION</v>
          </cell>
          <cell r="BA178">
            <v>0</v>
          </cell>
          <cell r="BB178">
            <v>0</v>
          </cell>
          <cell r="BC178" t="e">
            <v>#DIV/0!</v>
          </cell>
          <cell r="BD178">
            <v>0</v>
          </cell>
          <cell r="BE178">
            <v>0</v>
          </cell>
          <cell r="BF178" t="e">
            <v>#DIV/0!</v>
          </cell>
          <cell r="BG178">
            <v>0</v>
          </cell>
          <cell r="BH178">
            <v>0</v>
          </cell>
          <cell r="BI178" t="e">
            <v>#DIV/0!</v>
          </cell>
          <cell r="BJ178">
            <v>0</v>
          </cell>
          <cell r="BK178">
            <v>0</v>
          </cell>
          <cell r="BL178" t="e">
            <v>#DIV/0!</v>
          </cell>
          <cell r="BN178" t="str">
            <v>511 REPARATION</v>
          </cell>
          <cell r="BO178">
            <v>0</v>
          </cell>
          <cell r="BP178">
            <v>0</v>
          </cell>
          <cell r="BQ178" t="e">
            <v>#DIV/0!</v>
          </cell>
          <cell r="BR178">
            <v>0</v>
          </cell>
          <cell r="BS178">
            <v>0</v>
          </cell>
          <cell r="BT178" t="e">
            <v>#DIV/0!</v>
          </cell>
          <cell r="BU178">
            <v>0</v>
          </cell>
          <cell r="BV178">
            <v>0</v>
          </cell>
          <cell r="BW178" t="e">
            <v>#DIV/0!</v>
          </cell>
          <cell r="BX178">
            <v>0</v>
          </cell>
          <cell r="BY178">
            <v>0</v>
          </cell>
          <cell r="BZ178" t="e">
            <v>#DIV/0!</v>
          </cell>
          <cell r="CA178">
            <v>0</v>
          </cell>
          <cell r="CB178">
            <v>0</v>
          </cell>
          <cell r="CC178" t="e">
            <v>#DIV/0!</v>
          </cell>
          <cell r="CE178" t="str">
            <v>511 REPARATION</v>
          </cell>
          <cell r="CF178">
            <v>0</v>
          </cell>
          <cell r="CG178">
            <v>0</v>
          </cell>
          <cell r="CH178" t="e">
            <v>#DIV/0!</v>
          </cell>
          <cell r="CI178">
            <v>0</v>
          </cell>
          <cell r="CJ178">
            <v>0</v>
          </cell>
          <cell r="CK178" t="e">
            <v>#DIV/0!</v>
          </cell>
          <cell r="CL178">
            <v>0</v>
          </cell>
          <cell r="CM178">
            <v>0</v>
          </cell>
          <cell r="CN178" t="e">
            <v>#DIV/0!</v>
          </cell>
          <cell r="CO178">
            <v>0</v>
          </cell>
          <cell r="CP178">
            <v>0</v>
          </cell>
          <cell r="CQ178" t="e">
            <v>#DIV/0!</v>
          </cell>
          <cell r="CR178">
            <v>0</v>
          </cell>
          <cell r="CS178">
            <v>0</v>
          </cell>
          <cell r="CT178" t="e">
            <v>#DIV/0!</v>
          </cell>
          <cell r="CV178" t="str">
            <v>511 REPARATION</v>
          </cell>
          <cell r="CW178">
            <v>0</v>
          </cell>
          <cell r="CX178">
            <v>0</v>
          </cell>
          <cell r="CY178" t="e">
            <v>#DIV/0!</v>
          </cell>
          <cell r="CZ178">
            <v>0</v>
          </cell>
          <cell r="DA178">
            <v>0</v>
          </cell>
          <cell r="DB178" t="e">
            <v>#DIV/0!</v>
          </cell>
          <cell r="DC178">
            <v>0</v>
          </cell>
          <cell r="DD178">
            <v>0</v>
          </cell>
          <cell r="DE178" t="e">
            <v>#DIV/0!</v>
          </cell>
          <cell r="DF178">
            <v>0</v>
          </cell>
          <cell r="DG178">
            <v>0</v>
          </cell>
          <cell r="DH178" t="e">
            <v>#DIV/0!</v>
          </cell>
          <cell r="DJ178" t="str">
            <v>511 REPARATION</v>
          </cell>
          <cell r="DK178">
            <v>0</v>
          </cell>
          <cell r="DL178">
            <v>0</v>
          </cell>
          <cell r="DM178" t="e">
            <v>#DIV/0!</v>
          </cell>
          <cell r="DN178">
            <v>0</v>
          </cell>
          <cell r="DO178">
            <v>0</v>
          </cell>
          <cell r="DP178" t="e">
            <v>#DIV/0!</v>
          </cell>
          <cell r="DQ178">
            <v>0</v>
          </cell>
          <cell r="DR178">
            <v>0</v>
          </cell>
          <cell r="DS178" t="e">
            <v>#DIV/0!</v>
          </cell>
          <cell r="DT178">
            <v>0</v>
          </cell>
          <cell r="DU178">
            <v>0</v>
          </cell>
          <cell r="DV178" t="e">
            <v>#DIV/0!</v>
          </cell>
          <cell r="DX178" t="str">
            <v>511 REPARATION</v>
          </cell>
          <cell r="DY178">
            <v>0</v>
          </cell>
          <cell r="DZ178">
            <v>0</v>
          </cell>
          <cell r="EA178" t="e">
            <v>#DIV/0!</v>
          </cell>
          <cell r="EB178">
            <v>0</v>
          </cell>
          <cell r="EC178">
            <v>0</v>
          </cell>
          <cell r="ED178" t="e">
            <v>#DIV/0!</v>
          </cell>
          <cell r="EE178">
            <v>0</v>
          </cell>
          <cell r="EF178">
            <v>0</v>
          </cell>
          <cell r="EG178" t="e">
            <v>#DIV/0!</v>
          </cell>
          <cell r="EH178">
            <v>0</v>
          </cell>
          <cell r="EI178">
            <v>0</v>
          </cell>
          <cell r="EJ178" t="e">
            <v>#DIV/0!</v>
          </cell>
          <cell r="EK178">
            <v>0</v>
          </cell>
          <cell r="EL178">
            <v>0</v>
          </cell>
          <cell r="EM178" t="e">
            <v>#DIV/0!</v>
          </cell>
          <cell r="EO178" t="str">
            <v>511 REPARATION</v>
          </cell>
          <cell r="EP178">
            <v>0</v>
          </cell>
          <cell r="EQ178">
            <v>0</v>
          </cell>
          <cell r="ER178" t="e">
            <v>#DIV/0!</v>
          </cell>
          <cell r="ES178">
            <v>0</v>
          </cell>
          <cell r="ET178">
            <v>0</v>
          </cell>
          <cell r="EU178" t="e">
            <v>#DIV/0!</v>
          </cell>
          <cell r="EV178">
            <v>0</v>
          </cell>
          <cell r="EW178">
            <v>0</v>
          </cell>
          <cell r="EX178" t="e">
            <v>#DIV/0!</v>
          </cell>
          <cell r="EY178">
            <v>0</v>
          </cell>
          <cell r="EZ178">
            <v>0</v>
          </cell>
          <cell r="FA178" t="e">
            <v>#DIV/0!</v>
          </cell>
          <cell r="FC178" t="str">
            <v>511 REPARATION</v>
          </cell>
          <cell r="FD178">
            <v>0</v>
          </cell>
          <cell r="FE178">
            <v>0</v>
          </cell>
          <cell r="FF178" t="e">
            <v>#DIV/0!</v>
          </cell>
          <cell r="FG178">
            <v>0</v>
          </cell>
          <cell r="FH178">
            <v>0</v>
          </cell>
          <cell r="FI178" t="e">
            <v>#DIV/0!</v>
          </cell>
          <cell r="FJ178">
            <v>0</v>
          </cell>
          <cell r="FK178">
            <v>0</v>
          </cell>
          <cell r="FL178" t="e">
            <v>#DIV/0!</v>
          </cell>
          <cell r="FM178">
            <v>0</v>
          </cell>
          <cell r="FN178">
            <v>0</v>
          </cell>
          <cell r="FO178" t="e">
            <v>#DIV/0!</v>
          </cell>
          <cell r="FP178">
            <v>0</v>
          </cell>
          <cell r="FQ178">
            <v>0</v>
          </cell>
          <cell r="FR178" t="e">
            <v>#DIV/0!</v>
          </cell>
        </row>
        <row r="179">
          <cell r="AZ179" t="str">
            <v>540 PRIM ASSU DIV</v>
          </cell>
          <cell r="BA179">
            <v>0</v>
          </cell>
          <cell r="BB179">
            <v>0</v>
          </cell>
          <cell r="BC179" t="e">
            <v>#DIV/0!</v>
          </cell>
          <cell r="BD179">
            <v>0</v>
          </cell>
          <cell r="BE179">
            <v>0</v>
          </cell>
          <cell r="BF179" t="e">
            <v>#DIV/0!</v>
          </cell>
          <cell r="BG179">
            <v>0</v>
          </cell>
          <cell r="BH179">
            <v>0</v>
          </cell>
          <cell r="BI179" t="e">
            <v>#DIV/0!</v>
          </cell>
          <cell r="BJ179">
            <v>0</v>
          </cell>
          <cell r="BK179">
            <v>0</v>
          </cell>
          <cell r="BL179" t="e">
            <v>#DIV/0!</v>
          </cell>
          <cell r="BN179" t="str">
            <v>540 PRIM ASSU DIV</v>
          </cell>
          <cell r="BO179">
            <v>0</v>
          </cell>
          <cell r="BP179">
            <v>0</v>
          </cell>
          <cell r="BQ179" t="e">
            <v>#DIV/0!</v>
          </cell>
          <cell r="BR179">
            <v>0</v>
          </cell>
          <cell r="BS179">
            <v>0</v>
          </cell>
          <cell r="BT179" t="e">
            <v>#DIV/0!</v>
          </cell>
          <cell r="BU179">
            <v>0</v>
          </cell>
          <cell r="BV179">
            <v>0</v>
          </cell>
          <cell r="BW179" t="e">
            <v>#DIV/0!</v>
          </cell>
          <cell r="BX179">
            <v>0</v>
          </cell>
          <cell r="BY179">
            <v>0</v>
          </cell>
          <cell r="BZ179" t="e">
            <v>#DIV/0!</v>
          </cell>
          <cell r="CA179">
            <v>0</v>
          </cell>
          <cell r="CB179">
            <v>0</v>
          </cell>
          <cell r="CC179" t="e">
            <v>#DIV/0!</v>
          </cell>
          <cell r="CE179" t="str">
            <v>540 PRIM ASSU DIV</v>
          </cell>
          <cell r="CF179">
            <v>0</v>
          </cell>
          <cell r="CG179">
            <v>0</v>
          </cell>
          <cell r="CH179" t="e">
            <v>#DIV/0!</v>
          </cell>
          <cell r="CI179">
            <v>0</v>
          </cell>
          <cell r="CJ179">
            <v>0</v>
          </cell>
          <cell r="CK179" t="e">
            <v>#DIV/0!</v>
          </cell>
          <cell r="CL179">
            <v>0</v>
          </cell>
          <cell r="CM179">
            <v>0</v>
          </cell>
          <cell r="CN179" t="e">
            <v>#DIV/0!</v>
          </cell>
          <cell r="CO179">
            <v>0</v>
          </cell>
          <cell r="CP179">
            <v>0</v>
          </cell>
          <cell r="CQ179" t="e">
            <v>#DIV/0!</v>
          </cell>
          <cell r="CR179">
            <v>0</v>
          </cell>
          <cell r="CS179">
            <v>0</v>
          </cell>
          <cell r="CT179" t="e">
            <v>#DIV/0!</v>
          </cell>
          <cell r="CV179" t="str">
            <v>540 PRIM ASSU DIV</v>
          </cell>
          <cell r="CW179">
            <v>0</v>
          </cell>
          <cell r="CX179">
            <v>0</v>
          </cell>
          <cell r="CY179" t="e">
            <v>#DIV/0!</v>
          </cell>
          <cell r="CZ179">
            <v>0</v>
          </cell>
          <cell r="DA179">
            <v>0</v>
          </cell>
          <cell r="DB179" t="e">
            <v>#DIV/0!</v>
          </cell>
          <cell r="DC179">
            <v>0</v>
          </cell>
          <cell r="DD179">
            <v>0</v>
          </cell>
          <cell r="DE179" t="e">
            <v>#DIV/0!</v>
          </cell>
          <cell r="DF179">
            <v>0</v>
          </cell>
          <cell r="DG179">
            <v>0</v>
          </cell>
          <cell r="DH179" t="e">
            <v>#DIV/0!</v>
          </cell>
          <cell r="DJ179" t="str">
            <v>540 PRIM ASSU DIV</v>
          </cell>
          <cell r="DK179">
            <v>0</v>
          </cell>
          <cell r="DL179">
            <v>0</v>
          </cell>
          <cell r="DM179" t="e">
            <v>#DIV/0!</v>
          </cell>
          <cell r="DN179">
            <v>0</v>
          </cell>
          <cell r="DO179">
            <v>0</v>
          </cell>
          <cell r="DP179" t="e">
            <v>#DIV/0!</v>
          </cell>
          <cell r="DQ179">
            <v>0</v>
          </cell>
          <cell r="DR179">
            <v>0</v>
          </cell>
          <cell r="DS179" t="e">
            <v>#DIV/0!</v>
          </cell>
          <cell r="DT179">
            <v>0</v>
          </cell>
          <cell r="DU179">
            <v>0</v>
          </cell>
          <cell r="DV179" t="e">
            <v>#DIV/0!</v>
          </cell>
          <cell r="DX179" t="str">
            <v>540 PRIM ASSU DIV</v>
          </cell>
          <cell r="DY179">
            <v>0</v>
          </cell>
          <cell r="DZ179">
            <v>0</v>
          </cell>
          <cell r="EA179" t="e">
            <v>#DIV/0!</v>
          </cell>
          <cell r="EB179">
            <v>0</v>
          </cell>
          <cell r="EC179">
            <v>0</v>
          </cell>
          <cell r="ED179" t="e">
            <v>#DIV/0!</v>
          </cell>
          <cell r="EE179">
            <v>0</v>
          </cell>
          <cell r="EF179">
            <v>0</v>
          </cell>
          <cell r="EG179" t="e">
            <v>#DIV/0!</v>
          </cell>
          <cell r="EH179">
            <v>0</v>
          </cell>
          <cell r="EI179">
            <v>0</v>
          </cell>
          <cell r="EJ179" t="e">
            <v>#DIV/0!</v>
          </cell>
          <cell r="EK179">
            <v>0</v>
          </cell>
          <cell r="EL179">
            <v>0</v>
          </cell>
          <cell r="EM179" t="e">
            <v>#DIV/0!</v>
          </cell>
          <cell r="EO179" t="str">
            <v>540 PRIM ASSU DIV</v>
          </cell>
          <cell r="EP179">
            <v>0</v>
          </cell>
          <cell r="EQ179">
            <v>0</v>
          </cell>
          <cell r="ER179" t="e">
            <v>#DIV/0!</v>
          </cell>
          <cell r="ES179">
            <v>0</v>
          </cell>
          <cell r="ET179">
            <v>0</v>
          </cell>
          <cell r="EU179" t="e">
            <v>#DIV/0!</v>
          </cell>
          <cell r="EV179">
            <v>0</v>
          </cell>
          <cell r="EW179">
            <v>0</v>
          </cell>
          <cell r="EX179" t="e">
            <v>#DIV/0!</v>
          </cell>
          <cell r="EY179">
            <v>0</v>
          </cell>
          <cell r="EZ179">
            <v>0</v>
          </cell>
          <cell r="FA179" t="e">
            <v>#DIV/0!</v>
          </cell>
          <cell r="FC179" t="str">
            <v>540 PRIM ASSU DIV</v>
          </cell>
          <cell r="FD179">
            <v>0</v>
          </cell>
          <cell r="FE179">
            <v>0</v>
          </cell>
          <cell r="FF179" t="e">
            <v>#DIV/0!</v>
          </cell>
          <cell r="FG179">
            <v>0</v>
          </cell>
          <cell r="FH179">
            <v>0</v>
          </cell>
          <cell r="FI179" t="e">
            <v>#DIV/0!</v>
          </cell>
          <cell r="FJ179">
            <v>0</v>
          </cell>
          <cell r="FK179">
            <v>0</v>
          </cell>
          <cell r="FL179" t="e">
            <v>#DIV/0!</v>
          </cell>
          <cell r="FM179">
            <v>0</v>
          </cell>
          <cell r="FN179">
            <v>0</v>
          </cell>
          <cell r="FO179" t="e">
            <v>#DIV/0!</v>
          </cell>
          <cell r="FP179">
            <v>0</v>
          </cell>
          <cell r="FQ179">
            <v>0</v>
          </cell>
          <cell r="FR179" t="e">
            <v>#DIV/0!</v>
          </cell>
        </row>
        <row r="180">
          <cell r="AZ180" t="str">
            <v>550 ETUD.ANALY.GT</v>
          </cell>
          <cell r="BA180">
            <v>0</v>
          </cell>
          <cell r="BB180">
            <v>0</v>
          </cell>
          <cell r="BC180" t="e">
            <v>#DIV/0!</v>
          </cell>
          <cell r="BD180">
            <v>0</v>
          </cell>
          <cell r="BE180">
            <v>0</v>
          </cell>
          <cell r="BF180" t="e">
            <v>#DIV/0!</v>
          </cell>
          <cell r="BG180">
            <v>0</v>
          </cell>
          <cell r="BH180">
            <v>0</v>
          </cell>
          <cell r="BI180" t="e">
            <v>#DIV/0!</v>
          </cell>
          <cell r="BJ180">
            <v>0</v>
          </cell>
          <cell r="BK180">
            <v>0</v>
          </cell>
          <cell r="BL180" t="e">
            <v>#DIV/0!</v>
          </cell>
          <cell r="BN180" t="str">
            <v>550 ETUD.ANALY.GT</v>
          </cell>
          <cell r="BO180">
            <v>0</v>
          </cell>
          <cell r="BP180">
            <v>0</v>
          </cell>
          <cell r="BQ180" t="e">
            <v>#DIV/0!</v>
          </cell>
          <cell r="BR180">
            <v>0</v>
          </cell>
          <cell r="BS180">
            <v>0</v>
          </cell>
          <cell r="BT180" t="e">
            <v>#DIV/0!</v>
          </cell>
          <cell r="BU180">
            <v>0</v>
          </cell>
          <cell r="BV180">
            <v>0</v>
          </cell>
          <cell r="BW180" t="e">
            <v>#DIV/0!</v>
          </cell>
          <cell r="BX180">
            <v>0</v>
          </cell>
          <cell r="BY180">
            <v>0</v>
          </cell>
          <cell r="BZ180" t="e">
            <v>#DIV/0!</v>
          </cell>
          <cell r="CA180">
            <v>0</v>
          </cell>
          <cell r="CB180">
            <v>0</v>
          </cell>
          <cell r="CC180" t="e">
            <v>#DIV/0!</v>
          </cell>
          <cell r="CE180" t="str">
            <v>550 ETUD.ANALY.GT</v>
          </cell>
          <cell r="CF180">
            <v>0</v>
          </cell>
          <cell r="CG180">
            <v>0</v>
          </cell>
          <cell r="CH180" t="e">
            <v>#DIV/0!</v>
          </cell>
          <cell r="CI180">
            <v>0</v>
          </cell>
          <cell r="CJ180">
            <v>0</v>
          </cell>
          <cell r="CK180" t="e">
            <v>#DIV/0!</v>
          </cell>
          <cell r="CL180">
            <v>0</v>
          </cell>
          <cell r="CM180">
            <v>0</v>
          </cell>
          <cell r="CN180" t="e">
            <v>#DIV/0!</v>
          </cell>
          <cell r="CO180">
            <v>0</v>
          </cell>
          <cell r="CP180">
            <v>0</v>
          </cell>
          <cell r="CQ180" t="e">
            <v>#DIV/0!</v>
          </cell>
          <cell r="CR180">
            <v>0</v>
          </cell>
          <cell r="CS180">
            <v>0</v>
          </cell>
          <cell r="CT180" t="e">
            <v>#DIV/0!</v>
          </cell>
          <cell r="CV180" t="str">
            <v>550 ETUD.ANALY.GT</v>
          </cell>
          <cell r="CW180">
            <v>0</v>
          </cell>
          <cell r="CX180">
            <v>0</v>
          </cell>
          <cell r="CY180" t="e">
            <v>#DIV/0!</v>
          </cell>
          <cell r="CZ180">
            <v>0</v>
          </cell>
          <cell r="DA180">
            <v>0</v>
          </cell>
          <cell r="DB180" t="e">
            <v>#DIV/0!</v>
          </cell>
          <cell r="DC180">
            <v>0</v>
          </cell>
          <cell r="DD180">
            <v>0</v>
          </cell>
          <cell r="DE180" t="e">
            <v>#DIV/0!</v>
          </cell>
          <cell r="DF180">
            <v>0</v>
          </cell>
          <cell r="DG180">
            <v>0</v>
          </cell>
          <cell r="DH180" t="e">
            <v>#DIV/0!</v>
          </cell>
          <cell r="DJ180" t="str">
            <v>550 ETUD.ANALY.GT</v>
          </cell>
          <cell r="DK180">
            <v>0</v>
          </cell>
          <cell r="DL180">
            <v>0</v>
          </cell>
          <cell r="DM180" t="e">
            <v>#DIV/0!</v>
          </cell>
          <cell r="DN180">
            <v>0</v>
          </cell>
          <cell r="DO180">
            <v>0</v>
          </cell>
          <cell r="DP180" t="e">
            <v>#DIV/0!</v>
          </cell>
          <cell r="DQ180">
            <v>0</v>
          </cell>
          <cell r="DR180">
            <v>0</v>
          </cell>
          <cell r="DS180" t="e">
            <v>#DIV/0!</v>
          </cell>
          <cell r="DT180">
            <v>0</v>
          </cell>
          <cell r="DU180">
            <v>0</v>
          </cell>
          <cell r="DV180" t="e">
            <v>#DIV/0!</v>
          </cell>
          <cell r="DX180" t="str">
            <v>550 ETUD.ANALY.GT</v>
          </cell>
          <cell r="DY180">
            <v>0</v>
          </cell>
          <cell r="DZ180">
            <v>0</v>
          </cell>
          <cell r="EA180" t="e">
            <v>#DIV/0!</v>
          </cell>
          <cell r="EB180">
            <v>0</v>
          </cell>
          <cell r="EC180">
            <v>0</v>
          </cell>
          <cell r="ED180" t="e">
            <v>#DIV/0!</v>
          </cell>
          <cell r="EE180">
            <v>0</v>
          </cell>
          <cell r="EF180">
            <v>0</v>
          </cell>
          <cell r="EG180" t="e">
            <v>#DIV/0!</v>
          </cell>
          <cell r="EH180">
            <v>0</v>
          </cell>
          <cell r="EI180">
            <v>0</v>
          </cell>
          <cell r="EJ180" t="e">
            <v>#DIV/0!</v>
          </cell>
          <cell r="EK180">
            <v>0</v>
          </cell>
          <cell r="EL180">
            <v>0</v>
          </cell>
          <cell r="EM180" t="e">
            <v>#DIV/0!</v>
          </cell>
          <cell r="EO180" t="str">
            <v>550 ETUD.ANALY.GT</v>
          </cell>
          <cell r="EP180">
            <v>0</v>
          </cell>
          <cell r="EQ180">
            <v>0</v>
          </cell>
          <cell r="ER180" t="e">
            <v>#DIV/0!</v>
          </cell>
          <cell r="ES180">
            <v>0</v>
          </cell>
          <cell r="ET180">
            <v>0</v>
          </cell>
          <cell r="EU180" t="e">
            <v>#DIV/0!</v>
          </cell>
          <cell r="EV180">
            <v>0</v>
          </cell>
          <cell r="EW180">
            <v>0</v>
          </cell>
          <cell r="EX180" t="e">
            <v>#DIV/0!</v>
          </cell>
          <cell r="EY180">
            <v>0</v>
          </cell>
          <cell r="EZ180">
            <v>0</v>
          </cell>
          <cell r="FA180" t="e">
            <v>#DIV/0!</v>
          </cell>
          <cell r="FC180" t="str">
            <v>550 ETUD.ANALY.GT</v>
          </cell>
          <cell r="FD180">
            <v>0</v>
          </cell>
          <cell r="FE180">
            <v>0</v>
          </cell>
          <cell r="FF180" t="e">
            <v>#DIV/0!</v>
          </cell>
          <cell r="FG180">
            <v>0</v>
          </cell>
          <cell r="FH180">
            <v>0</v>
          </cell>
          <cell r="FI180" t="e">
            <v>#DIV/0!</v>
          </cell>
          <cell r="FJ180">
            <v>0</v>
          </cell>
          <cell r="FK180">
            <v>0</v>
          </cell>
          <cell r="FL180" t="e">
            <v>#DIV/0!</v>
          </cell>
          <cell r="FM180">
            <v>0</v>
          </cell>
          <cell r="FN180">
            <v>0</v>
          </cell>
          <cell r="FO180" t="e">
            <v>#DIV/0!</v>
          </cell>
          <cell r="FP180">
            <v>0</v>
          </cell>
          <cell r="FQ180">
            <v>0</v>
          </cell>
          <cell r="FR180" t="e">
            <v>#DIV/0!</v>
          </cell>
        </row>
        <row r="181">
          <cell r="AZ181" t="str">
            <v xml:space="preserve">551 DOCUMENT </v>
          </cell>
          <cell r="BA181">
            <v>0</v>
          </cell>
          <cell r="BB181">
            <v>0</v>
          </cell>
          <cell r="BC181" t="e">
            <v>#DIV/0!</v>
          </cell>
          <cell r="BD181">
            <v>0</v>
          </cell>
          <cell r="BE181">
            <v>0</v>
          </cell>
          <cell r="BF181" t="e">
            <v>#DIV/0!</v>
          </cell>
          <cell r="BG181">
            <v>0</v>
          </cell>
          <cell r="BH181">
            <v>0</v>
          </cell>
          <cell r="BI181" t="e">
            <v>#DIV/0!</v>
          </cell>
          <cell r="BJ181">
            <v>0</v>
          </cell>
          <cell r="BK181">
            <v>0</v>
          </cell>
          <cell r="BL181" t="e">
            <v>#DIV/0!</v>
          </cell>
          <cell r="BN181" t="str">
            <v xml:space="preserve">551 DOCUMENT </v>
          </cell>
          <cell r="BO181">
            <v>0</v>
          </cell>
          <cell r="BP181">
            <v>0</v>
          </cell>
          <cell r="BQ181" t="e">
            <v>#DIV/0!</v>
          </cell>
          <cell r="BR181">
            <v>0</v>
          </cell>
          <cell r="BS181">
            <v>0</v>
          </cell>
          <cell r="BT181" t="e">
            <v>#DIV/0!</v>
          </cell>
          <cell r="BU181">
            <v>0</v>
          </cell>
          <cell r="BV181">
            <v>0</v>
          </cell>
          <cell r="BW181" t="e">
            <v>#DIV/0!</v>
          </cell>
          <cell r="BX181">
            <v>0</v>
          </cell>
          <cell r="BY181">
            <v>0</v>
          </cell>
          <cell r="BZ181" t="e">
            <v>#DIV/0!</v>
          </cell>
          <cell r="CA181">
            <v>0</v>
          </cell>
          <cell r="CB181">
            <v>0</v>
          </cell>
          <cell r="CC181" t="e">
            <v>#DIV/0!</v>
          </cell>
          <cell r="CE181" t="str">
            <v xml:space="preserve">551 DOCUMENT </v>
          </cell>
          <cell r="CF181">
            <v>0</v>
          </cell>
          <cell r="CG181">
            <v>0</v>
          </cell>
          <cell r="CH181" t="e">
            <v>#DIV/0!</v>
          </cell>
          <cell r="CI181">
            <v>0</v>
          </cell>
          <cell r="CJ181">
            <v>0</v>
          </cell>
          <cell r="CK181" t="e">
            <v>#DIV/0!</v>
          </cell>
          <cell r="CL181">
            <v>0</v>
          </cell>
          <cell r="CM181">
            <v>0</v>
          </cell>
          <cell r="CN181" t="e">
            <v>#DIV/0!</v>
          </cell>
          <cell r="CO181">
            <v>0</v>
          </cell>
          <cell r="CP181">
            <v>0</v>
          </cell>
          <cell r="CQ181" t="e">
            <v>#DIV/0!</v>
          </cell>
          <cell r="CR181">
            <v>0</v>
          </cell>
          <cell r="CS181">
            <v>0</v>
          </cell>
          <cell r="CT181" t="e">
            <v>#DIV/0!</v>
          </cell>
          <cell r="CV181" t="str">
            <v xml:space="preserve">551 DOCUMENT </v>
          </cell>
          <cell r="CW181">
            <v>0</v>
          </cell>
          <cell r="CX181">
            <v>0</v>
          </cell>
          <cell r="CY181" t="e">
            <v>#DIV/0!</v>
          </cell>
          <cell r="CZ181">
            <v>0</v>
          </cell>
          <cell r="DA181">
            <v>0</v>
          </cell>
          <cell r="DB181" t="e">
            <v>#DIV/0!</v>
          </cell>
          <cell r="DC181">
            <v>0</v>
          </cell>
          <cell r="DD181">
            <v>0</v>
          </cell>
          <cell r="DE181" t="e">
            <v>#DIV/0!</v>
          </cell>
          <cell r="DF181">
            <v>0</v>
          </cell>
          <cell r="DG181">
            <v>0</v>
          </cell>
          <cell r="DH181" t="e">
            <v>#DIV/0!</v>
          </cell>
          <cell r="DJ181" t="str">
            <v xml:space="preserve">551 DOCUMENT </v>
          </cell>
          <cell r="DK181">
            <v>0</v>
          </cell>
          <cell r="DL181">
            <v>0</v>
          </cell>
          <cell r="DM181" t="e">
            <v>#DIV/0!</v>
          </cell>
          <cell r="DN181">
            <v>0</v>
          </cell>
          <cell r="DO181">
            <v>0</v>
          </cell>
          <cell r="DP181" t="e">
            <v>#DIV/0!</v>
          </cell>
          <cell r="DQ181">
            <v>0</v>
          </cell>
          <cell r="DR181">
            <v>0</v>
          </cell>
          <cell r="DS181" t="e">
            <v>#DIV/0!</v>
          </cell>
          <cell r="DT181">
            <v>0</v>
          </cell>
          <cell r="DU181">
            <v>0</v>
          </cell>
          <cell r="DV181" t="e">
            <v>#DIV/0!</v>
          </cell>
          <cell r="DX181" t="str">
            <v xml:space="preserve">551 DOCUMENT </v>
          </cell>
          <cell r="DY181">
            <v>0</v>
          </cell>
          <cell r="DZ181">
            <v>0</v>
          </cell>
          <cell r="EA181" t="e">
            <v>#DIV/0!</v>
          </cell>
          <cell r="EB181">
            <v>0</v>
          </cell>
          <cell r="EC181">
            <v>0</v>
          </cell>
          <cell r="ED181" t="e">
            <v>#DIV/0!</v>
          </cell>
          <cell r="EE181">
            <v>0</v>
          </cell>
          <cell r="EF181">
            <v>0</v>
          </cell>
          <cell r="EG181" t="e">
            <v>#DIV/0!</v>
          </cell>
          <cell r="EH181">
            <v>0</v>
          </cell>
          <cell r="EI181">
            <v>0</v>
          </cell>
          <cell r="EJ181" t="e">
            <v>#DIV/0!</v>
          </cell>
          <cell r="EK181">
            <v>0</v>
          </cell>
          <cell r="EL181">
            <v>0</v>
          </cell>
          <cell r="EM181" t="e">
            <v>#DIV/0!</v>
          </cell>
          <cell r="EO181" t="str">
            <v xml:space="preserve">551 DOCUMENT </v>
          </cell>
          <cell r="EP181">
            <v>0</v>
          </cell>
          <cell r="EQ181">
            <v>0</v>
          </cell>
          <cell r="ER181" t="e">
            <v>#DIV/0!</v>
          </cell>
          <cell r="ES181">
            <v>0</v>
          </cell>
          <cell r="ET181">
            <v>0</v>
          </cell>
          <cell r="EU181" t="e">
            <v>#DIV/0!</v>
          </cell>
          <cell r="EV181">
            <v>0</v>
          </cell>
          <cell r="EW181">
            <v>0</v>
          </cell>
          <cell r="EX181" t="e">
            <v>#DIV/0!</v>
          </cell>
          <cell r="EY181">
            <v>0</v>
          </cell>
          <cell r="EZ181">
            <v>0</v>
          </cell>
          <cell r="FA181" t="e">
            <v>#DIV/0!</v>
          </cell>
          <cell r="FC181" t="str">
            <v xml:space="preserve">551 DOCUMENT </v>
          </cell>
          <cell r="FD181">
            <v>0</v>
          </cell>
          <cell r="FE181">
            <v>0</v>
          </cell>
          <cell r="FF181" t="e">
            <v>#DIV/0!</v>
          </cell>
          <cell r="FG181">
            <v>0</v>
          </cell>
          <cell r="FH181">
            <v>0</v>
          </cell>
          <cell r="FI181" t="e">
            <v>#DIV/0!</v>
          </cell>
          <cell r="FJ181">
            <v>0</v>
          </cell>
          <cell r="FK181">
            <v>0</v>
          </cell>
          <cell r="FL181" t="e">
            <v>#DIV/0!</v>
          </cell>
          <cell r="FM181">
            <v>0</v>
          </cell>
          <cell r="FN181">
            <v>0</v>
          </cell>
          <cell r="FO181" t="e">
            <v>#DIV/0!</v>
          </cell>
          <cell r="FP181">
            <v>0</v>
          </cell>
          <cell r="FQ181">
            <v>0</v>
          </cell>
          <cell r="FR181" t="e">
            <v>#DIV/0!</v>
          </cell>
        </row>
        <row r="182">
          <cell r="AZ182" t="str">
            <v>560 TR.PER.SOTREG</v>
          </cell>
          <cell r="BA182">
            <v>0</v>
          </cell>
          <cell r="BB182">
            <v>0</v>
          </cell>
          <cell r="BC182" t="e">
            <v>#DIV/0!</v>
          </cell>
          <cell r="BD182">
            <v>0</v>
          </cell>
          <cell r="BE182">
            <v>0</v>
          </cell>
          <cell r="BF182" t="e">
            <v>#DIV/0!</v>
          </cell>
          <cell r="BG182">
            <v>0</v>
          </cell>
          <cell r="BH182">
            <v>0</v>
          </cell>
          <cell r="BI182" t="e">
            <v>#DIV/0!</v>
          </cell>
          <cell r="BJ182">
            <v>0</v>
          </cell>
          <cell r="BK182">
            <v>0</v>
          </cell>
          <cell r="BL182" t="e">
            <v>#DIV/0!</v>
          </cell>
          <cell r="BN182" t="str">
            <v>560 TR.PER.SOTREG</v>
          </cell>
          <cell r="BO182">
            <v>0</v>
          </cell>
          <cell r="BP182">
            <v>0</v>
          </cell>
          <cell r="BQ182" t="e">
            <v>#DIV/0!</v>
          </cell>
          <cell r="BR182">
            <v>0</v>
          </cell>
          <cell r="BS182">
            <v>0</v>
          </cell>
          <cell r="BT182" t="e">
            <v>#DIV/0!</v>
          </cell>
          <cell r="BU182">
            <v>0</v>
          </cell>
          <cell r="BV182">
            <v>0</v>
          </cell>
          <cell r="BW182" t="e">
            <v>#DIV/0!</v>
          </cell>
          <cell r="BX182">
            <v>0</v>
          </cell>
          <cell r="BY182">
            <v>0</v>
          </cell>
          <cell r="BZ182" t="e">
            <v>#DIV/0!</v>
          </cell>
          <cell r="CA182">
            <v>0</v>
          </cell>
          <cell r="CB182">
            <v>0</v>
          </cell>
          <cell r="CC182" t="e">
            <v>#DIV/0!</v>
          </cell>
          <cell r="CE182" t="str">
            <v>560 TR.PER.SOTREG</v>
          </cell>
          <cell r="CF182">
            <v>0</v>
          </cell>
          <cell r="CG182">
            <v>0</v>
          </cell>
          <cell r="CH182" t="e">
            <v>#DIV/0!</v>
          </cell>
          <cell r="CI182">
            <v>0</v>
          </cell>
          <cell r="CJ182">
            <v>0</v>
          </cell>
          <cell r="CK182" t="e">
            <v>#DIV/0!</v>
          </cell>
          <cell r="CL182">
            <v>0</v>
          </cell>
          <cell r="CM182">
            <v>0</v>
          </cell>
          <cell r="CN182" t="e">
            <v>#DIV/0!</v>
          </cell>
          <cell r="CO182">
            <v>0</v>
          </cell>
          <cell r="CP182">
            <v>0</v>
          </cell>
          <cell r="CQ182" t="e">
            <v>#DIV/0!</v>
          </cell>
          <cell r="CR182">
            <v>0</v>
          </cell>
          <cell r="CS182">
            <v>0</v>
          </cell>
          <cell r="CT182" t="e">
            <v>#DIV/0!</v>
          </cell>
          <cell r="CV182" t="str">
            <v>560 TR.PER.SOTREG</v>
          </cell>
          <cell r="CW182">
            <v>0</v>
          </cell>
          <cell r="CX182">
            <v>0</v>
          </cell>
          <cell r="CY182" t="e">
            <v>#DIV/0!</v>
          </cell>
          <cell r="CZ182">
            <v>0</v>
          </cell>
          <cell r="DA182">
            <v>0</v>
          </cell>
          <cell r="DB182" t="e">
            <v>#DIV/0!</v>
          </cell>
          <cell r="DC182">
            <v>0</v>
          </cell>
          <cell r="DD182">
            <v>0</v>
          </cell>
          <cell r="DE182" t="e">
            <v>#DIV/0!</v>
          </cell>
          <cell r="DF182">
            <v>0</v>
          </cell>
          <cell r="DG182">
            <v>0</v>
          </cell>
          <cell r="DH182" t="e">
            <v>#DIV/0!</v>
          </cell>
          <cell r="DJ182" t="str">
            <v>560 TR.PER.SOTREG</v>
          </cell>
          <cell r="DK182">
            <v>0</v>
          </cell>
          <cell r="DL182">
            <v>0</v>
          </cell>
          <cell r="DM182" t="e">
            <v>#DIV/0!</v>
          </cell>
          <cell r="DN182">
            <v>0</v>
          </cell>
          <cell r="DO182">
            <v>0</v>
          </cell>
          <cell r="DP182" t="e">
            <v>#DIV/0!</v>
          </cell>
          <cell r="DQ182">
            <v>0</v>
          </cell>
          <cell r="DR182">
            <v>0</v>
          </cell>
          <cell r="DS182" t="e">
            <v>#DIV/0!</v>
          </cell>
          <cell r="DT182">
            <v>0</v>
          </cell>
          <cell r="DU182">
            <v>0</v>
          </cell>
          <cell r="DV182" t="e">
            <v>#DIV/0!</v>
          </cell>
          <cell r="DX182" t="str">
            <v>560 TR.PER.SOTREG</v>
          </cell>
          <cell r="DY182">
            <v>0</v>
          </cell>
          <cell r="DZ182">
            <v>0</v>
          </cell>
          <cell r="EA182" t="e">
            <v>#DIV/0!</v>
          </cell>
          <cell r="EB182">
            <v>0</v>
          </cell>
          <cell r="EC182">
            <v>0</v>
          </cell>
          <cell r="ED182" t="e">
            <v>#DIV/0!</v>
          </cell>
          <cell r="EE182">
            <v>0</v>
          </cell>
          <cell r="EF182">
            <v>0</v>
          </cell>
          <cell r="EG182" t="e">
            <v>#DIV/0!</v>
          </cell>
          <cell r="EH182">
            <v>3061557</v>
          </cell>
          <cell r="EI182">
            <v>2234940</v>
          </cell>
          <cell r="EJ182">
            <v>73.000110727972725</v>
          </cell>
          <cell r="EK182">
            <v>3061557</v>
          </cell>
          <cell r="EL182">
            <v>2234940</v>
          </cell>
          <cell r="EM182">
            <v>73.000110727972725</v>
          </cell>
          <cell r="EO182" t="str">
            <v>560 TR.PER.SOTREG</v>
          </cell>
          <cell r="EP182">
            <v>0</v>
          </cell>
          <cell r="EQ182">
            <v>0</v>
          </cell>
          <cell r="ER182" t="e">
            <v>#DIV/0!</v>
          </cell>
          <cell r="ES182">
            <v>0</v>
          </cell>
          <cell r="ET182">
            <v>0</v>
          </cell>
          <cell r="EU182" t="e">
            <v>#DIV/0!</v>
          </cell>
          <cell r="EV182">
            <v>0</v>
          </cell>
          <cell r="EW182">
            <v>0</v>
          </cell>
          <cell r="EX182" t="e">
            <v>#DIV/0!</v>
          </cell>
          <cell r="EY182">
            <v>0</v>
          </cell>
          <cell r="EZ182">
            <v>0</v>
          </cell>
          <cell r="FA182" t="e">
            <v>#DIV/0!</v>
          </cell>
          <cell r="FC182" t="str">
            <v>560 TR.PER.SOTREG</v>
          </cell>
          <cell r="FD182">
            <v>0</v>
          </cell>
          <cell r="FE182">
            <v>0</v>
          </cell>
          <cell r="FF182" t="e">
            <v>#DIV/0!</v>
          </cell>
          <cell r="FG182">
            <v>0</v>
          </cell>
          <cell r="FH182">
            <v>0</v>
          </cell>
          <cell r="FI182" t="e">
            <v>#DIV/0!</v>
          </cell>
          <cell r="FJ182">
            <v>0</v>
          </cell>
          <cell r="FK182">
            <v>0</v>
          </cell>
          <cell r="FL182" t="e">
            <v>#DIV/0!</v>
          </cell>
          <cell r="FM182">
            <v>0</v>
          </cell>
          <cell r="FN182">
            <v>0</v>
          </cell>
          <cell r="FO182" t="e">
            <v>#DIV/0!</v>
          </cell>
          <cell r="FP182">
            <v>0</v>
          </cell>
          <cell r="FQ182">
            <v>0</v>
          </cell>
          <cell r="FR182" t="e">
            <v>#DIV/0!</v>
          </cell>
        </row>
        <row r="183">
          <cell r="AZ183" t="str">
            <v>561 DEPLAC.PERS</v>
          </cell>
          <cell r="BA183">
            <v>0</v>
          </cell>
          <cell r="BB183">
            <v>0</v>
          </cell>
          <cell r="BC183" t="e">
            <v>#DIV/0!</v>
          </cell>
          <cell r="BD183">
            <v>1615</v>
          </cell>
          <cell r="BE183">
            <v>1620</v>
          </cell>
          <cell r="BF183">
            <v>100.30959752321982</v>
          </cell>
          <cell r="BG183">
            <v>1306</v>
          </cell>
          <cell r="BH183">
            <v>1308</v>
          </cell>
          <cell r="BI183">
            <v>100.15313935681469</v>
          </cell>
          <cell r="BJ183">
            <v>1073</v>
          </cell>
          <cell r="BK183">
            <v>1068</v>
          </cell>
          <cell r="BL183">
            <v>99.534016775396083</v>
          </cell>
          <cell r="BN183" t="str">
            <v>561 DEPLAC.PERS</v>
          </cell>
          <cell r="BO183">
            <v>1773</v>
          </cell>
          <cell r="BP183">
            <v>1776</v>
          </cell>
          <cell r="BQ183">
            <v>100.16920473773266</v>
          </cell>
          <cell r="BR183">
            <v>363</v>
          </cell>
          <cell r="BS183">
            <v>360</v>
          </cell>
          <cell r="BT183">
            <v>99.173553719008268</v>
          </cell>
          <cell r="BU183">
            <v>653</v>
          </cell>
          <cell r="BV183">
            <v>648</v>
          </cell>
          <cell r="BW183">
            <v>99.234303215926488</v>
          </cell>
          <cell r="BX183">
            <v>0</v>
          </cell>
          <cell r="BY183">
            <v>0</v>
          </cell>
          <cell r="BZ183" t="e">
            <v>#DIV/0!</v>
          </cell>
          <cell r="CA183">
            <v>6783</v>
          </cell>
          <cell r="CB183">
            <v>6780</v>
          </cell>
          <cell r="CC183">
            <v>99.955771782397179</v>
          </cell>
          <cell r="CE183" t="str">
            <v>561 DEPLAC.PERS</v>
          </cell>
          <cell r="CF183">
            <v>6334</v>
          </cell>
          <cell r="CG183">
            <v>6336</v>
          </cell>
          <cell r="CH183">
            <v>100.03157562361858</v>
          </cell>
          <cell r="CI183">
            <v>9160</v>
          </cell>
          <cell r="CJ183">
            <v>9156</v>
          </cell>
          <cell r="CK183">
            <v>99.956331877729255</v>
          </cell>
          <cell r="CL183">
            <v>0</v>
          </cell>
          <cell r="CM183">
            <v>0</v>
          </cell>
          <cell r="CN183" t="e">
            <v>#DIV/0!</v>
          </cell>
          <cell r="CO183">
            <v>0</v>
          </cell>
          <cell r="CP183">
            <v>0</v>
          </cell>
          <cell r="CQ183" t="e">
            <v>#DIV/0!</v>
          </cell>
          <cell r="CR183">
            <v>15494</v>
          </cell>
          <cell r="CS183">
            <v>15492</v>
          </cell>
          <cell r="CT183">
            <v>99.98709177746224</v>
          </cell>
          <cell r="CV183" t="str">
            <v>561 DEPLAC.PERS</v>
          </cell>
          <cell r="CW183">
            <v>70</v>
          </cell>
          <cell r="CX183">
            <v>72</v>
          </cell>
          <cell r="CY183">
            <v>102.85714285714285</v>
          </cell>
          <cell r="CZ183">
            <v>1796</v>
          </cell>
          <cell r="DA183">
            <v>1800</v>
          </cell>
          <cell r="DB183">
            <v>100.22271714922049</v>
          </cell>
          <cell r="DC183">
            <v>0</v>
          </cell>
          <cell r="DD183">
            <v>0</v>
          </cell>
          <cell r="DE183" t="e">
            <v>#DIV/0!</v>
          </cell>
          <cell r="DF183">
            <v>1866</v>
          </cell>
          <cell r="DG183">
            <v>1872</v>
          </cell>
          <cell r="DH183">
            <v>100.32154340836013</v>
          </cell>
          <cell r="DJ183" t="str">
            <v>561 DEPLAC.PERS</v>
          </cell>
          <cell r="DK183">
            <v>7430</v>
          </cell>
          <cell r="DL183">
            <v>7428</v>
          </cell>
          <cell r="DM183">
            <v>99.97308209959624</v>
          </cell>
          <cell r="DN183">
            <v>0</v>
          </cell>
          <cell r="DO183">
            <v>0</v>
          </cell>
          <cell r="DP183" t="e">
            <v>#DIV/0!</v>
          </cell>
          <cell r="DQ183">
            <v>0</v>
          </cell>
          <cell r="DR183">
            <v>0</v>
          </cell>
          <cell r="DS183" t="e">
            <v>#DIV/0!</v>
          </cell>
          <cell r="DT183">
            <v>0</v>
          </cell>
          <cell r="DU183">
            <v>0</v>
          </cell>
          <cell r="DV183" t="e">
            <v>#DIV/0!</v>
          </cell>
          <cell r="DX183" t="str">
            <v>561 DEPLAC.PERS</v>
          </cell>
          <cell r="DY183">
            <v>0</v>
          </cell>
          <cell r="DZ183">
            <v>0</v>
          </cell>
          <cell r="EA183" t="e">
            <v>#DIV/0!</v>
          </cell>
          <cell r="EB183">
            <v>0</v>
          </cell>
          <cell r="EC183">
            <v>0</v>
          </cell>
          <cell r="ED183" t="e">
            <v>#DIV/0!</v>
          </cell>
          <cell r="EE183">
            <v>943</v>
          </cell>
          <cell r="EF183">
            <v>948</v>
          </cell>
          <cell r="EG183">
            <v>100.53022269353129</v>
          </cell>
          <cell r="EH183">
            <v>3035</v>
          </cell>
          <cell r="EI183">
            <v>3036</v>
          </cell>
          <cell r="EJ183">
            <v>100.03294892915979</v>
          </cell>
          <cell r="EK183">
            <v>11408</v>
          </cell>
          <cell r="EL183">
            <v>11412</v>
          </cell>
          <cell r="EM183">
            <v>100.03506311360448</v>
          </cell>
          <cell r="EO183" t="str">
            <v>561 DEPLAC.PERS</v>
          </cell>
          <cell r="EP183">
            <v>2641</v>
          </cell>
          <cell r="EQ183">
            <v>2640</v>
          </cell>
          <cell r="ER183">
            <v>99.962135554714123</v>
          </cell>
          <cell r="ES183">
            <v>0</v>
          </cell>
          <cell r="ET183">
            <v>0</v>
          </cell>
          <cell r="EU183" t="e">
            <v>#DIV/0!</v>
          </cell>
          <cell r="EV183">
            <v>0</v>
          </cell>
          <cell r="EW183">
            <v>0</v>
          </cell>
          <cell r="EX183" t="e">
            <v>#DIV/0!</v>
          </cell>
          <cell r="EY183">
            <v>0</v>
          </cell>
          <cell r="EZ183">
            <v>0</v>
          </cell>
          <cell r="FA183" t="e">
            <v>#DIV/0!</v>
          </cell>
          <cell r="FC183" t="str">
            <v>561 DEPLAC.PERS</v>
          </cell>
          <cell r="FD183">
            <v>0</v>
          </cell>
          <cell r="FE183">
            <v>0</v>
          </cell>
          <cell r="FF183" t="e">
            <v>#DIV/0!</v>
          </cell>
          <cell r="FG183">
            <v>0</v>
          </cell>
          <cell r="FH183">
            <v>0</v>
          </cell>
          <cell r="FI183" t="e">
            <v>#DIV/0!</v>
          </cell>
          <cell r="FJ183">
            <v>3640</v>
          </cell>
          <cell r="FK183">
            <v>3636</v>
          </cell>
          <cell r="FL183">
            <v>99.890109890109898</v>
          </cell>
          <cell r="FM183">
            <v>37286</v>
          </cell>
          <cell r="FN183">
            <v>37284</v>
          </cell>
          <cell r="FO183">
            <v>99.994636056428689</v>
          </cell>
          <cell r="FP183">
            <v>43567</v>
          </cell>
          <cell r="FQ183">
            <v>43560</v>
          </cell>
          <cell r="FR183">
            <v>99.983932793169146</v>
          </cell>
        </row>
        <row r="184">
          <cell r="AZ184" t="str">
            <v>562 FR  DEMENAG.</v>
          </cell>
          <cell r="BA184">
            <v>0</v>
          </cell>
          <cell r="BB184">
            <v>0</v>
          </cell>
          <cell r="BC184" t="e">
            <v>#DIV/0!</v>
          </cell>
          <cell r="BD184">
            <v>0</v>
          </cell>
          <cell r="BE184">
            <v>0</v>
          </cell>
          <cell r="BF184" t="e">
            <v>#DIV/0!</v>
          </cell>
          <cell r="BG184">
            <v>0</v>
          </cell>
          <cell r="BH184">
            <v>0</v>
          </cell>
          <cell r="BI184" t="e">
            <v>#DIV/0!</v>
          </cell>
          <cell r="BJ184">
            <v>0</v>
          </cell>
          <cell r="BK184">
            <v>0</v>
          </cell>
          <cell r="BL184" t="e">
            <v>#DIV/0!</v>
          </cell>
          <cell r="BN184" t="str">
            <v>562 FR  DEMENAG.</v>
          </cell>
          <cell r="BO184">
            <v>0</v>
          </cell>
          <cell r="BP184">
            <v>0</v>
          </cell>
          <cell r="BQ184" t="e">
            <v>#DIV/0!</v>
          </cell>
          <cell r="BR184">
            <v>0</v>
          </cell>
          <cell r="BS184">
            <v>0</v>
          </cell>
          <cell r="BT184" t="e">
            <v>#DIV/0!</v>
          </cell>
          <cell r="BU184">
            <v>0</v>
          </cell>
          <cell r="BV184">
            <v>0</v>
          </cell>
          <cell r="BW184" t="e">
            <v>#DIV/0!</v>
          </cell>
          <cell r="BX184">
            <v>0</v>
          </cell>
          <cell r="BY184">
            <v>0</v>
          </cell>
          <cell r="BZ184" t="e">
            <v>#DIV/0!</v>
          </cell>
          <cell r="CA184">
            <v>0</v>
          </cell>
          <cell r="CB184">
            <v>0</v>
          </cell>
          <cell r="CC184" t="e">
            <v>#DIV/0!</v>
          </cell>
          <cell r="CE184" t="str">
            <v>562 FR  DEMENAG.</v>
          </cell>
          <cell r="CF184">
            <v>0</v>
          </cell>
          <cell r="CG184">
            <v>0</v>
          </cell>
          <cell r="CH184" t="e">
            <v>#DIV/0!</v>
          </cell>
          <cell r="CI184">
            <v>0</v>
          </cell>
          <cell r="CJ184">
            <v>0</v>
          </cell>
          <cell r="CK184" t="e">
            <v>#DIV/0!</v>
          </cell>
          <cell r="CL184">
            <v>0</v>
          </cell>
          <cell r="CM184">
            <v>0</v>
          </cell>
          <cell r="CN184" t="e">
            <v>#DIV/0!</v>
          </cell>
          <cell r="CO184">
            <v>0</v>
          </cell>
          <cell r="CP184">
            <v>0</v>
          </cell>
          <cell r="CQ184" t="e">
            <v>#DIV/0!</v>
          </cell>
          <cell r="CR184">
            <v>0</v>
          </cell>
          <cell r="CS184">
            <v>0</v>
          </cell>
          <cell r="CT184" t="e">
            <v>#DIV/0!</v>
          </cell>
          <cell r="CV184" t="str">
            <v>562 FR  DEMENAG.</v>
          </cell>
          <cell r="CW184">
            <v>0</v>
          </cell>
          <cell r="CX184">
            <v>0</v>
          </cell>
          <cell r="CY184" t="e">
            <v>#DIV/0!</v>
          </cell>
          <cell r="CZ184">
            <v>0</v>
          </cell>
          <cell r="DA184">
            <v>0</v>
          </cell>
          <cell r="DB184" t="e">
            <v>#DIV/0!</v>
          </cell>
          <cell r="DC184">
            <v>0</v>
          </cell>
          <cell r="DD184">
            <v>0</v>
          </cell>
          <cell r="DE184" t="e">
            <v>#DIV/0!</v>
          </cell>
          <cell r="DF184">
            <v>0</v>
          </cell>
          <cell r="DG184">
            <v>0</v>
          </cell>
          <cell r="DH184" t="e">
            <v>#DIV/0!</v>
          </cell>
          <cell r="DJ184" t="str">
            <v>562 FR  DEMENAG.</v>
          </cell>
          <cell r="DK184">
            <v>0</v>
          </cell>
          <cell r="DL184">
            <v>0</v>
          </cell>
          <cell r="DM184" t="e">
            <v>#DIV/0!</v>
          </cell>
          <cell r="DN184">
            <v>0</v>
          </cell>
          <cell r="DO184">
            <v>0</v>
          </cell>
          <cell r="DP184" t="e">
            <v>#DIV/0!</v>
          </cell>
          <cell r="DQ184">
            <v>0</v>
          </cell>
          <cell r="DR184">
            <v>0</v>
          </cell>
          <cell r="DS184" t="e">
            <v>#DIV/0!</v>
          </cell>
          <cell r="DT184">
            <v>0</v>
          </cell>
          <cell r="DU184">
            <v>0</v>
          </cell>
          <cell r="DV184" t="e">
            <v>#DIV/0!</v>
          </cell>
          <cell r="DX184" t="str">
            <v>562 FR  DEMENAG.</v>
          </cell>
          <cell r="DY184">
            <v>0</v>
          </cell>
          <cell r="DZ184">
            <v>0</v>
          </cell>
          <cell r="EA184" t="e">
            <v>#DIV/0!</v>
          </cell>
          <cell r="EB184">
            <v>0</v>
          </cell>
          <cell r="EC184">
            <v>0</v>
          </cell>
          <cell r="ED184" t="e">
            <v>#DIV/0!</v>
          </cell>
          <cell r="EE184">
            <v>0</v>
          </cell>
          <cell r="EF184">
            <v>0</v>
          </cell>
          <cell r="EG184" t="e">
            <v>#DIV/0!</v>
          </cell>
          <cell r="EH184">
            <v>0</v>
          </cell>
          <cell r="EI184">
            <v>0</v>
          </cell>
          <cell r="EJ184" t="e">
            <v>#DIV/0!</v>
          </cell>
          <cell r="EK184">
            <v>0</v>
          </cell>
          <cell r="EL184">
            <v>0</v>
          </cell>
          <cell r="EM184" t="e">
            <v>#DIV/0!</v>
          </cell>
          <cell r="EO184" t="str">
            <v>562 FR  DEMENAG.</v>
          </cell>
          <cell r="EP184">
            <v>0</v>
          </cell>
          <cell r="EQ184">
            <v>0</v>
          </cell>
          <cell r="ER184" t="e">
            <v>#DIV/0!</v>
          </cell>
          <cell r="ES184">
            <v>0</v>
          </cell>
          <cell r="ET184">
            <v>0</v>
          </cell>
          <cell r="EU184" t="e">
            <v>#DIV/0!</v>
          </cell>
          <cell r="EV184">
            <v>0</v>
          </cell>
          <cell r="EW184">
            <v>0</v>
          </cell>
          <cell r="EX184" t="e">
            <v>#DIV/0!</v>
          </cell>
          <cell r="EY184">
            <v>0</v>
          </cell>
          <cell r="EZ184">
            <v>0</v>
          </cell>
          <cell r="FA184" t="e">
            <v>#DIV/0!</v>
          </cell>
          <cell r="FC184" t="str">
            <v>562 FR  DEMENAG.</v>
          </cell>
          <cell r="FD184">
            <v>0</v>
          </cell>
          <cell r="FE184">
            <v>0</v>
          </cell>
          <cell r="FF184" t="e">
            <v>#DIV/0!</v>
          </cell>
          <cell r="FG184">
            <v>0</v>
          </cell>
          <cell r="FH184">
            <v>0</v>
          </cell>
          <cell r="FI184" t="e">
            <v>#DIV/0!</v>
          </cell>
          <cell r="FJ184">
            <v>0</v>
          </cell>
          <cell r="FK184">
            <v>0</v>
          </cell>
          <cell r="FL184" t="e">
            <v>#DIV/0!</v>
          </cell>
          <cell r="FM184">
            <v>0</v>
          </cell>
          <cell r="FN184">
            <v>0</v>
          </cell>
          <cell r="FO184" t="e">
            <v>#DIV/0!</v>
          </cell>
          <cell r="FP184">
            <v>0</v>
          </cell>
          <cell r="FQ184">
            <v>0</v>
          </cell>
          <cell r="FR184" t="e">
            <v>#DIV/0!</v>
          </cell>
        </row>
        <row r="185">
          <cell r="AZ185" t="str">
            <v>563 FR &amp; FR IMPORT.</v>
          </cell>
          <cell r="BA185">
            <v>0</v>
          </cell>
          <cell r="BB185">
            <v>0</v>
          </cell>
          <cell r="BC185" t="e">
            <v>#DIV/0!</v>
          </cell>
          <cell r="BD185">
            <v>0</v>
          </cell>
          <cell r="BE185">
            <v>0</v>
          </cell>
          <cell r="BF185" t="e">
            <v>#DIV/0!</v>
          </cell>
          <cell r="BG185">
            <v>0</v>
          </cell>
          <cell r="BH185">
            <v>0</v>
          </cell>
          <cell r="BI185" t="e">
            <v>#DIV/0!</v>
          </cell>
          <cell r="BJ185">
            <v>0</v>
          </cell>
          <cell r="BK185">
            <v>0</v>
          </cell>
          <cell r="BL185" t="e">
            <v>#DIV/0!</v>
          </cell>
          <cell r="BN185" t="str">
            <v>563 FR &amp; FR IMPORT.</v>
          </cell>
          <cell r="BO185">
            <v>0</v>
          </cell>
          <cell r="BP185">
            <v>0</v>
          </cell>
          <cell r="BQ185" t="e">
            <v>#DIV/0!</v>
          </cell>
          <cell r="BR185">
            <v>0</v>
          </cell>
          <cell r="BS185">
            <v>0</v>
          </cell>
          <cell r="BT185" t="e">
            <v>#DIV/0!</v>
          </cell>
          <cell r="BU185">
            <v>0</v>
          </cell>
          <cell r="BV185">
            <v>0</v>
          </cell>
          <cell r="BW185" t="e">
            <v>#DIV/0!</v>
          </cell>
          <cell r="BX185">
            <v>0</v>
          </cell>
          <cell r="BY185">
            <v>0</v>
          </cell>
          <cell r="BZ185" t="e">
            <v>#DIV/0!</v>
          </cell>
          <cell r="CA185">
            <v>0</v>
          </cell>
          <cell r="CB185">
            <v>0</v>
          </cell>
          <cell r="CC185" t="e">
            <v>#DIV/0!</v>
          </cell>
          <cell r="CE185" t="str">
            <v>563 FR &amp; FR IMPORT.</v>
          </cell>
          <cell r="CF185">
            <v>0</v>
          </cell>
          <cell r="CG185">
            <v>0</v>
          </cell>
          <cell r="CH185" t="e">
            <v>#DIV/0!</v>
          </cell>
          <cell r="CI185">
            <v>0</v>
          </cell>
          <cell r="CJ185">
            <v>0</v>
          </cell>
          <cell r="CK185" t="e">
            <v>#DIV/0!</v>
          </cell>
          <cell r="CL185">
            <v>0</v>
          </cell>
          <cell r="CM185">
            <v>0</v>
          </cell>
          <cell r="CN185" t="e">
            <v>#DIV/0!</v>
          </cell>
          <cell r="CO185">
            <v>0</v>
          </cell>
          <cell r="CP185">
            <v>0</v>
          </cell>
          <cell r="CQ185" t="e">
            <v>#DIV/0!</v>
          </cell>
          <cell r="CR185">
            <v>0</v>
          </cell>
          <cell r="CS185">
            <v>0</v>
          </cell>
          <cell r="CT185" t="e">
            <v>#DIV/0!</v>
          </cell>
          <cell r="CV185" t="str">
            <v>563 FR &amp; FR IMPORT.</v>
          </cell>
          <cell r="CW185">
            <v>0</v>
          </cell>
          <cell r="CX185">
            <v>0</v>
          </cell>
          <cell r="CY185" t="e">
            <v>#DIV/0!</v>
          </cell>
          <cell r="CZ185">
            <v>0</v>
          </cell>
          <cell r="DA185">
            <v>0</v>
          </cell>
          <cell r="DB185" t="e">
            <v>#DIV/0!</v>
          </cell>
          <cell r="DC185">
            <v>0</v>
          </cell>
          <cell r="DD185">
            <v>0</v>
          </cell>
          <cell r="DE185" t="e">
            <v>#DIV/0!</v>
          </cell>
          <cell r="DF185">
            <v>0</v>
          </cell>
          <cell r="DG185">
            <v>0</v>
          </cell>
          <cell r="DH185" t="e">
            <v>#DIV/0!</v>
          </cell>
          <cell r="DJ185" t="str">
            <v>563 FR &amp; FR IMPORT.</v>
          </cell>
          <cell r="DK185">
            <v>0</v>
          </cell>
          <cell r="DL185">
            <v>0</v>
          </cell>
          <cell r="DM185" t="e">
            <v>#DIV/0!</v>
          </cell>
          <cell r="DN185">
            <v>0</v>
          </cell>
          <cell r="DO185">
            <v>0</v>
          </cell>
          <cell r="DP185" t="e">
            <v>#DIV/0!</v>
          </cell>
          <cell r="DQ185">
            <v>0</v>
          </cell>
          <cell r="DR185">
            <v>0</v>
          </cell>
          <cell r="DS185" t="e">
            <v>#DIV/0!</v>
          </cell>
          <cell r="DT185">
            <v>0</v>
          </cell>
          <cell r="DU185">
            <v>0</v>
          </cell>
          <cell r="DV185" t="e">
            <v>#DIV/0!</v>
          </cell>
          <cell r="DX185" t="str">
            <v>563 FR &amp; FR IMPORT.</v>
          </cell>
          <cell r="DY185">
            <v>0</v>
          </cell>
          <cell r="DZ185">
            <v>0</v>
          </cell>
          <cell r="EA185" t="e">
            <v>#DIV/0!</v>
          </cell>
          <cell r="EB185">
            <v>0</v>
          </cell>
          <cell r="EC185">
            <v>0</v>
          </cell>
          <cell r="ED185" t="e">
            <v>#DIV/0!</v>
          </cell>
          <cell r="EE185">
            <v>0</v>
          </cell>
          <cell r="EF185">
            <v>0</v>
          </cell>
          <cell r="EG185" t="e">
            <v>#DIV/0!</v>
          </cell>
          <cell r="EH185">
            <v>0</v>
          </cell>
          <cell r="EI185">
            <v>0</v>
          </cell>
          <cell r="EJ185" t="e">
            <v>#DIV/0!</v>
          </cell>
          <cell r="EK185">
            <v>0</v>
          </cell>
          <cell r="EL185">
            <v>0</v>
          </cell>
          <cell r="EM185" t="e">
            <v>#DIV/0!</v>
          </cell>
          <cell r="EO185" t="str">
            <v>563 FR &amp; FR IMPORT.</v>
          </cell>
          <cell r="EP185">
            <v>0</v>
          </cell>
          <cell r="EQ185">
            <v>0</v>
          </cell>
          <cell r="ER185" t="e">
            <v>#DIV/0!</v>
          </cell>
          <cell r="ES185">
            <v>0</v>
          </cell>
          <cell r="ET185">
            <v>0</v>
          </cell>
          <cell r="EU185" t="e">
            <v>#DIV/0!</v>
          </cell>
          <cell r="EV185">
            <v>0</v>
          </cell>
          <cell r="EW185">
            <v>0</v>
          </cell>
          <cell r="EX185" t="e">
            <v>#DIV/0!</v>
          </cell>
          <cell r="EY185">
            <v>0</v>
          </cell>
          <cell r="EZ185">
            <v>0</v>
          </cell>
          <cell r="FA185" t="e">
            <v>#DIV/0!</v>
          </cell>
          <cell r="FC185" t="str">
            <v>563 FR &amp; FR IMPORT.</v>
          </cell>
          <cell r="FD185">
            <v>0</v>
          </cell>
          <cell r="FE185">
            <v>0</v>
          </cell>
          <cell r="FF185" t="e">
            <v>#DIV/0!</v>
          </cell>
          <cell r="FG185">
            <v>0</v>
          </cell>
          <cell r="FH185">
            <v>0</v>
          </cell>
          <cell r="FI185" t="e">
            <v>#DIV/0!</v>
          </cell>
          <cell r="FJ185">
            <v>0</v>
          </cell>
          <cell r="FK185">
            <v>0</v>
          </cell>
          <cell r="FL185" t="e">
            <v>#DIV/0!</v>
          </cell>
          <cell r="FM185">
            <v>0</v>
          </cell>
          <cell r="FN185">
            <v>0</v>
          </cell>
          <cell r="FO185" t="e">
            <v>#DIV/0!</v>
          </cell>
          <cell r="FP185">
            <v>0</v>
          </cell>
          <cell r="FQ185">
            <v>0</v>
          </cell>
          <cell r="FR185" t="e">
            <v>#DIV/0!</v>
          </cell>
        </row>
        <row r="186">
          <cell r="AZ186" t="str">
            <v>569 FR TRANSPORT</v>
          </cell>
          <cell r="BA186">
            <v>0</v>
          </cell>
          <cell r="BB186">
            <v>0</v>
          </cell>
          <cell r="BC186" t="e">
            <v>#DIV/0!</v>
          </cell>
          <cell r="BD186">
            <v>0</v>
          </cell>
          <cell r="BE186">
            <v>0</v>
          </cell>
          <cell r="BF186" t="e">
            <v>#DIV/0!</v>
          </cell>
          <cell r="BG186">
            <v>0</v>
          </cell>
          <cell r="BH186">
            <v>0</v>
          </cell>
          <cell r="BI186" t="e">
            <v>#DIV/0!</v>
          </cell>
          <cell r="BJ186">
            <v>0</v>
          </cell>
          <cell r="BK186">
            <v>0</v>
          </cell>
          <cell r="BL186" t="e">
            <v>#DIV/0!</v>
          </cell>
          <cell r="BN186" t="str">
            <v>569 FR TRANSPORT</v>
          </cell>
          <cell r="BO186">
            <v>0</v>
          </cell>
          <cell r="BP186">
            <v>0</v>
          </cell>
          <cell r="BQ186" t="e">
            <v>#DIV/0!</v>
          </cell>
          <cell r="BR186">
            <v>0</v>
          </cell>
          <cell r="BS186">
            <v>0</v>
          </cell>
          <cell r="BT186" t="e">
            <v>#DIV/0!</v>
          </cell>
          <cell r="BU186">
            <v>0</v>
          </cell>
          <cell r="BV186">
            <v>0</v>
          </cell>
          <cell r="BW186" t="e">
            <v>#DIV/0!</v>
          </cell>
          <cell r="BX186">
            <v>0</v>
          </cell>
          <cell r="BY186">
            <v>0</v>
          </cell>
          <cell r="BZ186" t="e">
            <v>#DIV/0!</v>
          </cell>
          <cell r="CA186">
            <v>0</v>
          </cell>
          <cell r="CB186">
            <v>0</v>
          </cell>
          <cell r="CC186" t="e">
            <v>#DIV/0!</v>
          </cell>
          <cell r="CE186" t="str">
            <v>569 FR TRANSPORT</v>
          </cell>
          <cell r="CF186">
            <v>0</v>
          </cell>
          <cell r="CG186">
            <v>0</v>
          </cell>
          <cell r="CH186" t="e">
            <v>#DIV/0!</v>
          </cell>
          <cell r="CI186">
            <v>0</v>
          </cell>
          <cell r="CJ186">
            <v>0</v>
          </cell>
          <cell r="CK186" t="e">
            <v>#DIV/0!</v>
          </cell>
          <cell r="CL186">
            <v>0</v>
          </cell>
          <cell r="CM186">
            <v>0</v>
          </cell>
          <cell r="CN186" t="e">
            <v>#DIV/0!</v>
          </cell>
          <cell r="CO186">
            <v>0</v>
          </cell>
          <cell r="CP186">
            <v>0</v>
          </cell>
          <cell r="CQ186" t="e">
            <v>#DIV/0!</v>
          </cell>
          <cell r="CR186">
            <v>0</v>
          </cell>
          <cell r="CS186">
            <v>0</v>
          </cell>
          <cell r="CT186" t="e">
            <v>#DIV/0!</v>
          </cell>
          <cell r="CV186" t="str">
            <v>569 FR TRANSPORT</v>
          </cell>
          <cell r="CW186">
            <v>0</v>
          </cell>
          <cell r="CX186">
            <v>0</v>
          </cell>
          <cell r="CY186" t="e">
            <v>#DIV/0!</v>
          </cell>
          <cell r="CZ186">
            <v>0</v>
          </cell>
          <cell r="DA186">
            <v>0</v>
          </cell>
          <cell r="DB186" t="e">
            <v>#DIV/0!</v>
          </cell>
          <cell r="DC186">
            <v>0</v>
          </cell>
          <cell r="DD186">
            <v>0</v>
          </cell>
          <cell r="DE186" t="e">
            <v>#DIV/0!</v>
          </cell>
          <cell r="DF186">
            <v>0</v>
          </cell>
          <cell r="DG186">
            <v>0</v>
          </cell>
          <cell r="DH186" t="e">
            <v>#DIV/0!</v>
          </cell>
          <cell r="DJ186" t="str">
            <v>569 FR TRANSPORT</v>
          </cell>
          <cell r="DK186">
            <v>0</v>
          </cell>
          <cell r="DL186">
            <v>0</v>
          </cell>
          <cell r="DM186" t="e">
            <v>#DIV/0!</v>
          </cell>
          <cell r="DN186">
            <v>0</v>
          </cell>
          <cell r="DO186">
            <v>0</v>
          </cell>
          <cell r="DP186" t="e">
            <v>#DIV/0!</v>
          </cell>
          <cell r="DQ186">
            <v>0</v>
          </cell>
          <cell r="DR186">
            <v>0</v>
          </cell>
          <cell r="DS186" t="e">
            <v>#DIV/0!</v>
          </cell>
          <cell r="DT186">
            <v>0</v>
          </cell>
          <cell r="DU186">
            <v>0</v>
          </cell>
          <cell r="DV186" t="e">
            <v>#DIV/0!</v>
          </cell>
          <cell r="DX186" t="str">
            <v>569 FR TRANSPORT</v>
          </cell>
          <cell r="DY186">
            <v>0</v>
          </cell>
          <cell r="DZ186">
            <v>0</v>
          </cell>
          <cell r="EA186" t="e">
            <v>#DIV/0!</v>
          </cell>
          <cell r="EB186">
            <v>0</v>
          </cell>
          <cell r="EC186">
            <v>0</v>
          </cell>
          <cell r="ED186" t="e">
            <v>#DIV/0!</v>
          </cell>
          <cell r="EE186">
            <v>0</v>
          </cell>
          <cell r="EF186">
            <v>0</v>
          </cell>
          <cell r="EG186" t="e">
            <v>#DIV/0!</v>
          </cell>
          <cell r="EH186">
            <v>0</v>
          </cell>
          <cell r="EI186">
            <v>0</v>
          </cell>
          <cell r="EJ186" t="e">
            <v>#DIV/0!</v>
          </cell>
          <cell r="EK186">
            <v>0</v>
          </cell>
          <cell r="EL186">
            <v>0</v>
          </cell>
          <cell r="EM186" t="e">
            <v>#DIV/0!</v>
          </cell>
          <cell r="EO186" t="str">
            <v>569 FR TRANSPORT</v>
          </cell>
          <cell r="EP186">
            <v>0</v>
          </cell>
          <cell r="EQ186">
            <v>0</v>
          </cell>
          <cell r="ER186" t="e">
            <v>#DIV/0!</v>
          </cell>
          <cell r="ES186">
            <v>0</v>
          </cell>
          <cell r="ET186">
            <v>0</v>
          </cell>
          <cell r="EU186" t="e">
            <v>#DIV/0!</v>
          </cell>
          <cell r="EV186">
            <v>0</v>
          </cell>
          <cell r="EW186">
            <v>0</v>
          </cell>
          <cell r="EX186" t="e">
            <v>#DIV/0!</v>
          </cell>
          <cell r="EY186">
            <v>0</v>
          </cell>
          <cell r="EZ186">
            <v>0</v>
          </cell>
          <cell r="FA186" t="e">
            <v>#DIV/0!</v>
          </cell>
          <cell r="FC186" t="str">
            <v>569 FR TRANSPORT</v>
          </cell>
          <cell r="FD186">
            <v>0</v>
          </cell>
          <cell r="FE186">
            <v>0</v>
          </cell>
          <cell r="FF186" t="e">
            <v>#DIV/0!</v>
          </cell>
          <cell r="FG186">
            <v>0</v>
          </cell>
          <cell r="FH186">
            <v>0</v>
          </cell>
          <cell r="FI186" t="e">
            <v>#DIV/0!</v>
          </cell>
          <cell r="FJ186">
            <v>0</v>
          </cell>
          <cell r="FK186">
            <v>0</v>
          </cell>
          <cell r="FL186" t="e">
            <v>#DIV/0!</v>
          </cell>
          <cell r="FM186">
            <v>0</v>
          </cell>
          <cell r="FN186">
            <v>0</v>
          </cell>
          <cell r="FO186" t="e">
            <v>#DIV/0!</v>
          </cell>
          <cell r="FP186">
            <v>0</v>
          </cell>
          <cell r="FQ186">
            <v>0</v>
          </cell>
          <cell r="FR186" t="e">
            <v>#DIV/0!</v>
          </cell>
        </row>
        <row r="187">
          <cell r="AZ187" t="str">
            <v>580 AFFRANCHISSE.</v>
          </cell>
          <cell r="BA187">
            <v>0</v>
          </cell>
          <cell r="BB187">
            <v>0</v>
          </cell>
          <cell r="BC187" t="e">
            <v>#DIV/0!</v>
          </cell>
          <cell r="BD187">
            <v>0</v>
          </cell>
          <cell r="BE187">
            <v>0</v>
          </cell>
          <cell r="BF187" t="e">
            <v>#DIV/0!</v>
          </cell>
          <cell r="BG187">
            <v>0</v>
          </cell>
          <cell r="BH187">
            <v>0</v>
          </cell>
          <cell r="BI187" t="e">
            <v>#DIV/0!</v>
          </cell>
          <cell r="BJ187">
            <v>0</v>
          </cell>
          <cell r="BK187">
            <v>0</v>
          </cell>
          <cell r="BL187" t="e">
            <v>#DIV/0!</v>
          </cell>
          <cell r="BN187" t="str">
            <v>580 AFFRANCHISSE.</v>
          </cell>
          <cell r="BO187">
            <v>0</v>
          </cell>
          <cell r="BP187">
            <v>0</v>
          </cell>
          <cell r="BQ187" t="e">
            <v>#DIV/0!</v>
          </cell>
          <cell r="BR187">
            <v>0</v>
          </cell>
          <cell r="BS187">
            <v>0</v>
          </cell>
          <cell r="BT187" t="e">
            <v>#DIV/0!</v>
          </cell>
          <cell r="BU187">
            <v>0</v>
          </cell>
          <cell r="BV187">
            <v>0</v>
          </cell>
          <cell r="BW187" t="e">
            <v>#DIV/0!</v>
          </cell>
          <cell r="BX187">
            <v>0</v>
          </cell>
          <cell r="BY187">
            <v>0</v>
          </cell>
          <cell r="BZ187" t="e">
            <v>#DIV/0!</v>
          </cell>
          <cell r="CA187">
            <v>0</v>
          </cell>
          <cell r="CB187">
            <v>0</v>
          </cell>
          <cell r="CC187" t="e">
            <v>#DIV/0!</v>
          </cell>
          <cell r="CE187" t="str">
            <v>580 AFFRANCHISSE.</v>
          </cell>
          <cell r="CF187">
            <v>0</v>
          </cell>
          <cell r="CG187">
            <v>0</v>
          </cell>
          <cell r="CH187" t="e">
            <v>#DIV/0!</v>
          </cell>
          <cell r="CI187">
            <v>0</v>
          </cell>
          <cell r="CJ187">
            <v>0</v>
          </cell>
          <cell r="CK187" t="e">
            <v>#DIV/0!</v>
          </cell>
          <cell r="CL187">
            <v>0</v>
          </cell>
          <cell r="CM187">
            <v>0</v>
          </cell>
          <cell r="CN187" t="e">
            <v>#DIV/0!</v>
          </cell>
          <cell r="CO187">
            <v>0</v>
          </cell>
          <cell r="CP187">
            <v>0</v>
          </cell>
          <cell r="CQ187" t="e">
            <v>#DIV/0!</v>
          </cell>
          <cell r="CR187">
            <v>0</v>
          </cell>
          <cell r="CS187">
            <v>0</v>
          </cell>
          <cell r="CT187" t="e">
            <v>#DIV/0!</v>
          </cell>
          <cell r="CV187" t="str">
            <v>580 AFFRANCHISSE.</v>
          </cell>
          <cell r="CW187">
            <v>0</v>
          </cell>
          <cell r="CX187">
            <v>0</v>
          </cell>
          <cell r="CY187" t="e">
            <v>#DIV/0!</v>
          </cell>
          <cell r="CZ187">
            <v>0</v>
          </cell>
          <cell r="DA187">
            <v>0</v>
          </cell>
          <cell r="DB187" t="e">
            <v>#DIV/0!</v>
          </cell>
          <cell r="DC187">
            <v>0</v>
          </cell>
          <cell r="DD187">
            <v>0</v>
          </cell>
          <cell r="DE187" t="e">
            <v>#DIV/0!</v>
          </cell>
          <cell r="DF187">
            <v>0</v>
          </cell>
          <cell r="DG187">
            <v>0</v>
          </cell>
          <cell r="DH187" t="e">
            <v>#DIV/0!</v>
          </cell>
          <cell r="DJ187" t="str">
            <v>580 AFFRANCHISSE.</v>
          </cell>
          <cell r="DK187">
            <v>0</v>
          </cell>
          <cell r="DL187">
            <v>0</v>
          </cell>
          <cell r="DM187" t="e">
            <v>#DIV/0!</v>
          </cell>
          <cell r="DN187">
            <v>0</v>
          </cell>
          <cell r="DO187">
            <v>0</v>
          </cell>
          <cell r="DP187" t="e">
            <v>#DIV/0!</v>
          </cell>
          <cell r="DQ187">
            <v>0</v>
          </cell>
          <cell r="DR187">
            <v>0</v>
          </cell>
          <cell r="DS187" t="e">
            <v>#DIV/0!</v>
          </cell>
          <cell r="DT187">
            <v>0</v>
          </cell>
          <cell r="DU187">
            <v>0</v>
          </cell>
          <cell r="DV187" t="e">
            <v>#DIV/0!</v>
          </cell>
          <cell r="DX187" t="str">
            <v>580 AFFRANCHISSE.</v>
          </cell>
          <cell r="DY187">
            <v>0</v>
          </cell>
          <cell r="DZ187">
            <v>0</v>
          </cell>
          <cell r="EA187" t="e">
            <v>#DIV/0!</v>
          </cell>
          <cell r="EB187">
            <v>0</v>
          </cell>
          <cell r="EC187">
            <v>0</v>
          </cell>
          <cell r="ED187" t="e">
            <v>#DIV/0!</v>
          </cell>
          <cell r="EE187">
            <v>0</v>
          </cell>
          <cell r="EF187">
            <v>0</v>
          </cell>
          <cell r="EG187" t="e">
            <v>#DIV/0!</v>
          </cell>
          <cell r="EH187">
            <v>0</v>
          </cell>
          <cell r="EI187">
            <v>0</v>
          </cell>
          <cell r="EJ187" t="e">
            <v>#DIV/0!</v>
          </cell>
          <cell r="EK187">
            <v>0</v>
          </cell>
          <cell r="EL187">
            <v>0</v>
          </cell>
          <cell r="EM187" t="e">
            <v>#DIV/0!</v>
          </cell>
          <cell r="EO187" t="str">
            <v>580 AFFRANCHISSE.</v>
          </cell>
          <cell r="EP187">
            <v>0</v>
          </cell>
          <cell r="EQ187">
            <v>0</v>
          </cell>
          <cell r="ER187" t="e">
            <v>#DIV/0!</v>
          </cell>
          <cell r="ES187">
            <v>0</v>
          </cell>
          <cell r="ET187">
            <v>0</v>
          </cell>
          <cell r="EU187" t="e">
            <v>#DIV/0!</v>
          </cell>
          <cell r="EV187">
            <v>0</v>
          </cell>
          <cell r="EW187">
            <v>0</v>
          </cell>
          <cell r="EX187" t="e">
            <v>#DIV/0!</v>
          </cell>
          <cell r="EY187">
            <v>0</v>
          </cell>
          <cell r="EZ187">
            <v>0</v>
          </cell>
          <cell r="FA187" t="e">
            <v>#DIV/0!</v>
          </cell>
          <cell r="FC187" t="str">
            <v>580 AFFRANCHISSE.</v>
          </cell>
          <cell r="FD187">
            <v>0</v>
          </cell>
          <cell r="FE187">
            <v>0</v>
          </cell>
          <cell r="FF187" t="e">
            <v>#DIV/0!</v>
          </cell>
          <cell r="FG187">
            <v>0</v>
          </cell>
          <cell r="FH187">
            <v>0</v>
          </cell>
          <cell r="FI187" t="e">
            <v>#DIV/0!</v>
          </cell>
          <cell r="FJ187">
            <v>0</v>
          </cell>
          <cell r="FK187">
            <v>0</v>
          </cell>
          <cell r="FL187" t="e">
            <v>#DIV/0!</v>
          </cell>
          <cell r="FM187">
            <v>0</v>
          </cell>
          <cell r="FN187">
            <v>0</v>
          </cell>
          <cell r="FO187" t="e">
            <v>#DIV/0!</v>
          </cell>
          <cell r="FP187">
            <v>0</v>
          </cell>
          <cell r="FQ187">
            <v>0</v>
          </cell>
          <cell r="FR187" t="e">
            <v>#DIV/0!</v>
          </cell>
        </row>
        <row r="188">
          <cell r="AZ188" t="str">
            <v>581 FR TELEPHONE</v>
          </cell>
          <cell r="BA188">
            <v>0</v>
          </cell>
          <cell r="BB188">
            <v>0</v>
          </cell>
          <cell r="BC188" t="e">
            <v>#DIV/0!</v>
          </cell>
          <cell r="BD188">
            <v>0</v>
          </cell>
          <cell r="BE188">
            <v>0</v>
          </cell>
          <cell r="BF188" t="e">
            <v>#DIV/0!</v>
          </cell>
          <cell r="BG188">
            <v>0</v>
          </cell>
          <cell r="BH188">
            <v>0</v>
          </cell>
          <cell r="BI188" t="e">
            <v>#DIV/0!</v>
          </cell>
          <cell r="BJ188">
            <v>0</v>
          </cell>
          <cell r="BK188">
            <v>0</v>
          </cell>
          <cell r="BL188" t="e">
            <v>#DIV/0!</v>
          </cell>
          <cell r="BN188" t="str">
            <v>581 FR TELEPHONE</v>
          </cell>
          <cell r="BO188">
            <v>0</v>
          </cell>
          <cell r="BP188">
            <v>0</v>
          </cell>
          <cell r="BQ188" t="e">
            <v>#DIV/0!</v>
          </cell>
          <cell r="BR188">
            <v>0</v>
          </cell>
          <cell r="BS188">
            <v>0</v>
          </cell>
          <cell r="BT188" t="e">
            <v>#DIV/0!</v>
          </cell>
          <cell r="BU188">
            <v>0</v>
          </cell>
          <cell r="BV188">
            <v>0</v>
          </cell>
          <cell r="BW188" t="e">
            <v>#DIV/0!</v>
          </cell>
          <cell r="BX188">
            <v>0</v>
          </cell>
          <cell r="BY188">
            <v>0</v>
          </cell>
          <cell r="BZ188" t="e">
            <v>#DIV/0!</v>
          </cell>
          <cell r="CA188">
            <v>0</v>
          </cell>
          <cell r="CB188">
            <v>0</v>
          </cell>
          <cell r="CC188" t="e">
            <v>#DIV/0!</v>
          </cell>
          <cell r="CE188" t="str">
            <v>581 FR TELEPHONE</v>
          </cell>
          <cell r="CF188">
            <v>0</v>
          </cell>
          <cell r="CG188">
            <v>0</v>
          </cell>
          <cell r="CH188" t="e">
            <v>#DIV/0!</v>
          </cell>
          <cell r="CI188">
            <v>0</v>
          </cell>
          <cell r="CJ188">
            <v>0</v>
          </cell>
          <cell r="CK188" t="e">
            <v>#DIV/0!</v>
          </cell>
          <cell r="CL188">
            <v>0</v>
          </cell>
          <cell r="CM188">
            <v>0</v>
          </cell>
          <cell r="CN188" t="e">
            <v>#DIV/0!</v>
          </cell>
          <cell r="CO188">
            <v>0</v>
          </cell>
          <cell r="CP188">
            <v>0</v>
          </cell>
          <cell r="CQ188" t="e">
            <v>#DIV/0!</v>
          </cell>
          <cell r="CR188">
            <v>0</v>
          </cell>
          <cell r="CS188">
            <v>0</v>
          </cell>
          <cell r="CT188" t="e">
            <v>#DIV/0!</v>
          </cell>
          <cell r="CV188" t="str">
            <v>581 FR TELEPHONE</v>
          </cell>
          <cell r="CW188">
            <v>0</v>
          </cell>
          <cell r="CX188">
            <v>0</v>
          </cell>
          <cell r="CY188" t="e">
            <v>#DIV/0!</v>
          </cell>
          <cell r="CZ188">
            <v>0</v>
          </cell>
          <cell r="DA188">
            <v>0</v>
          </cell>
          <cell r="DB188" t="e">
            <v>#DIV/0!</v>
          </cell>
          <cell r="DC188">
            <v>0</v>
          </cell>
          <cell r="DD188">
            <v>0</v>
          </cell>
          <cell r="DE188" t="e">
            <v>#DIV/0!</v>
          </cell>
          <cell r="DF188">
            <v>0</v>
          </cell>
          <cell r="DG188">
            <v>0</v>
          </cell>
          <cell r="DH188" t="e">
            <v>#DIV/0!</v>
          </cell>
          <cell r="DJ188" t="str">
            <v>581 FR TELEPHONE</v>
          </cell>
          <cell r="DK188">
            <v>0</v>
          </cell>
          <cell r="DL188">
            <v>0</v>
          </cell>
          <cell r="DM188" t="e">
            <v>#DIV/0!</v>
          </cell>
          <cell r="DN188">
            <v>0</v>
          </cell>
          <cell r="DO188">
            <v>0</v>
          </cell>
          <cell r="DP188" t="e">
            <v>#DIV/0!</v>
          </cell>
          <cell r="DQ188">
            <v>0</v>
          </cell>
          <cell r="DR188">
            <v>0</v>
          </cell>
          <cell r="DS188" t="e">
            <v>#DIV/0!</v>
          </cell>
          <cell r="DT188">
            <v>0</v>
          </cell>
          <cell r="DU188">
            <v>0</v>
          </cell>
          <cell r="DV188" t="e">
            <v>#DIV/0!</v>
          </cell>
          <cell r="DX188" t="str">
            <v>581 FR TELEPHONE</v>
          </cell>
          <cell r="DY188">
            <v>0</v>
          </cell>
          <cell r="DZ188">
            <v>0</v>
          </cell>
          <cell r="EA188" t="e">
            <v>#DIV/0!</v>
          </cell>
          <cell r="EB188">
            <v>0</v>
          </cell>
          <cell r="EC188">
            <v>0</v>
          </cell>
          <cell r="ED188" t="e">
            <v>#DIV/0!</v>
          </cell>
          <cell r="EE188">
            <v>0</v>
          </cell>
          <cell r="EF188">
            <v>0</v>
          </cell>
          <cell r="EG188" t="e">
            <v>#DIV/0!</v>
          </cell>
          <cell r="EH188">
            <v>0</v>
          </cell>
          <cell r="EI188">
            <v>0</v>
          </cell>
          <cell r="EJ188" t="e">
            <v>#DIV/0!</v>
          </cell>
          <cell r="EK188">
            <v>0</v>
          </cell>
          <cell r="EL188">
            <v>0</v>
          </cell>
          <cell r="EM188" t="e">
            <v>#DIV/0!</v>
          </cell>
          <cell r="EO188" t="str">
            <v>581 FR TELEPHONE</v>
          </cell>
          <cell r="EP188">
            <v>0</v>
          </cell>
          <cell r="EQ188">
            <v>0</v>
          </cell>
          <cell r="ER188" t="e">
            <v>#DIV/0!</v>
          </cell>
          <cell r="ES188">
            <v>0</v>
          </cell>
          <cell r="ET188">
            <v>0</v>
          </cell>
          <cell r="EU188" t="e">
            <v>#DIV/0!</v>
          </cell>
          <cell r="EV188">
            <v>0</v>
          </cell>
          <cell r="EW188">
            <v>0</v>
          </cell>
          <cell r="EX188" t="e">
            <v>#DIV/0!</v>
          </cell>
          <cell r="EY188">
            <v>0</v>
          </cell>
          <cell r="EZ188">
            <v>0</v>
          </cell>
          <cell r="FA188" t="e">
            <v>#DIV/0!</v>
          </cell>
          <cell r="FC188" t="str">
            <v>581 FR TELEPHONE</v>
          </cell>
          <cell r="FD188">
            <v>0</v>
          </cell>
          <cell r="FE188">
            <v>0</v>
          </cell>
          <cell r="FF188" t="e">
            <v>#DIV/0!</v>
          </cell>
          <cell r="FG188">
            <v>0</v>
          </cell>
          <cell r="FH188">
            <v>0</v>
          </cell>
          <cell r="FI188" t="e">
            <v>#DIV/0!</v>
          </cell>
          <cell r="FJ188">
            <v>0</v>
          </cell>
          <cell r="FK188">
            <v>0</v>
          </cell>
          <cell r="FL188" t="e">
            <v>#DIV/0!</v>
          </cell>
          <cell r="FM188">
            <v>0</v>
          </cell>
          <cell r="FN188">
            <v>0</v>
          </cell>
          <cell r="FO188" t="e">
            <v>#DIV/0!</v>
          </cell>
          <cell r="FP188">
            <v>0</v>
          </cell>
          <cell r="FQ188">
            <v>0</v>
          </cell>
          <cell r="FR188" t="e">
            <v>#DIV/0!</v>
          </cell>
        </row>
        <row r="189">
          <cell r="AZ189" t="str">
            <v>582 TELEX TELEGR</v>
          </cell>
          <cell r="BA189">
            <v>0</v>
          </cell>
          <cell r="BB189">
            <v>0</v>
          </cell>
          <cell r="BC189" t="e">
            <v>#DIV/0!</v>
          </cell>
          <cell r="BD189">
            <v>0</v>
          </cell>
          <cell r="BE189">
            <v>0</v>
          </cell>
          <cell r="BF189" t="e">
            <v>#DIV/0!</v>
          </cell>
          <cell r="BG189">
            <v>0</v>
          </cell>
          <cell r="BH189">
            <v>0</v>
          </cell>
          <cell r="BI189" t="e">
            <v>#DIV/0!</v>
          </cell>
          <cell r="BJ189">
            <v>0</v>
          </cell>
          <cell r="BK189">
            <v>0</v>
          </cell>
          <cell r="BL189" t="e">
            <v>#DIV/0!</v>
          </cell>
          <cell r="BN189" t="str">
            <v>582 TELEX TELEGR</v>
          </cell>
          <cell r="BO189">
            <v>0</v>
          </cell>
          <cell r="BP189">
            <v>0</v>
          </cell>
          <cell r="BQ189" t="e">
            <v>#DIV/0!</v>
          </cell>
          <cell r="BR189">
            <v>0</v>
          </cell>
          <cell r="BS189">
            <v>0</v>
          </cell>
          <cell r="BT189" t="e">
            <v>#DIV/0!</v>
          </cell>
          <cell r="BU189">
            <v>0</v>
          </cell>
          <cell r="BV189">
            <v>0</v>
          </cell>
          <cell r="BW189" t="e">
            <v>#DIV/0!</v>
          </cell>
          <cell r="BX189">
            <v>0</v>
          </cell>
          <cell r="BY189">
            <v>0</v>
          </cell>
          <cell r="BZ189" t="e">
            <v>#DIV/0!</v>
          </cell>
          <cell r="CA189">
            <v>0</v>
          </cell>
          <cell r="CB189">
            <v>0</v>
          </cell>
          <cell r="CC189" t="e">
            <v>#DIV/0!</v>
          </cell>
          <cell r="CE189" t="str">
            <v>582 TELEX TELEGR</v>
          </cell>
          <cell r="CF189">
            <v>0</v>
          </cell>
          <cell r="CG189">
            <v>0</v>
          </cell>
          <cell r="CH189" t="e">
            <v>#DIV/0!</v>
          </cell>
          <cell r="CI189">
            <v>0</v>
          </cell>
          <cell r="CJ189">
            <v>0</v>
          </cell>
          <cell r="CK189" t="e">
            <v>#DIV/0!</v>
          </cell>
          <cell r="CL189">
            <v>0</v>
          </cell>
          <cell r="CM189">
            <v>0</v>
          </cell>
          <cell r="CN189" t="e">
            <v>#DIV/0!</v>
          </cell>
          <cell r="CO189">
            <v>0</v>
          </cell>
          <cell r="CP189">
            <v>0</v>
          </cell>
          <cell r="CQ189" t="e">
            <v>#DIV/0!</v>
          </cell>
          <cell r="CR189">
            <v>0</v>
          </cell>
          <cell r="CS189">
            <v>0</v>
          </cell>
          <cell r="CT189" t="e">
            <v>#DIV/0!</v>
          </cell>
          <cell r="CV189" t="str">
            <v>582 TELEX TELEGR</v>
          </cell>
          <cell r="CW189">
            <v>0</v>
          </cell>
          <cell r="CX189">
            <v>0</v>
          </cell>
          <cell r="CY189" t="e">
            <v>#DIV/0!</v>
          </cell>
          <cell r="CZ189">
            <v>0</v>
          </cell>
          <cell r="DA189">
            <v>0</v>
          </cell>
          <cell r="DB189" t="e">
            <v>#DIV/0!</v>
          </cell>
          <cell r="DC189">
            <v>0</v>
          </cell>
          <cell r="DD189">
            <v>0</v>
          </cell>
          <cell r="DE189" t="e">
            <v>#DIV/0!</v>
          </cell>
          <cell r="DF189">
            <v>0</v>
          </cell>
          <cell r="DG189">
            <v>0</v>
          </cell>
          <cell r="DH189" t="e">
            <v>#DIV/0!</v>
          </cell>
          <cell r="DJ189" t="str">
            <v>582 TELEX TELEGR</v>
          </cell>
          <cell r="DK189">
            <v>0</v>
          </cell>
          <cell r="DL189">
            <v>0</v>
          </cell>
          <cell r="DM189" t="e">
            <v>#DIV/0!</v>
          </cell>
          <cell r="DN189">
            <v>0</v>
          </cell>
          <cell r="DO189">
            <v>0</v>
          </cell>
          <cell r="DP189" t="e">
            <v>#DIV/0!</v>
          </cell>
          <cell r="DQ189">
            <v>0</v>
          </cell>
          <cell r="DR189">
            <v>0</v>
          </cell>
          <cell r="DS189" t="e">
            <v>#DIV/0!</v>
          </cell>
          <cell r="DT189">
            <v>0</v>
          </cell>
          <cell r="DU189">
            <v>0</v>
          </cell>
          <cell r="DV189" t="e">
            <v>#DIV/0!</v>
          </cell>
          <cell r="DX189" t="str">
            <v>582 TELEX TELEGR</v>
          </cell>
          <cell r="DY189">
            <v>0</v>
          </cell>
          <cell r="DZ189">
            <v>0</v>
          </cell>
          <cell r="EA189" t="e">
            <v>#DIV/0!</v>
          </cell>
          <cell r="EB189">
            <v>0</v>
          </cell>
          <cell r="EC189">
            <v>0</v>
          </cell>
          <cell r="ED189" t="e">
            <v>#DIV/0!</v>
          </cell>
          <cell r="EE189">
            <v>0</v>
          </cell>
          <cell r="EF189">
            <v>0</v>
          </cell>
          <cell r="EG189" t="e">
            <v>#DIV/0!</v>
          </cell>
          <cell r="EH189">
            <v>0</v>
          </cell>
          <cell r="EI189">
            <v>0</v>
          </cell>
          <cell r="EJ189" t="e">
            <v>#DIV/0!</v>
          </cell>
          <cell r="EK189">
            <v>0</v>
          </cell>
          <cell r="EL189">
            <v>0</v>
          </cell>
          <cell r="EM189" t="e">
            <v>#DIV/0!</v>
          </cell>
          <cell r="EO189" t="str">
            <v>582 TELEX TELEGR</v>
          </cell>
          <cell r="EP189">
            <v>0</v>
          </cell>
          <cell r="EQ189">
            <v>0</v>
          </cell>
          <cell r="ER189" t="e">
            <v>#DIV/0!</v>
          </cell>
          <cell r="ES189">
            <v>0</v>
          </cell>
          <cell r="ET189">
            <v>0</v>
          </cell>
          <cell r="EU189" t="e">
            <v>#DIV/0!</v>
          </cell>
          <cell r="EV189">
            <v>0</v>
          </cell>
          <cell r="EW189">
            <v>0</v>
          </cell>
          <cell r="EX189" t="e">
            <v>#DIV/0!</v>
          </cell>
          <cell r="EY189">
            <v>0</v>
          </cell>
          <cell r="EZ189">
            <v>0</v>
          </cell>
          <cell r="FA189" t="e">
            <v>#DIV/0!</v>
          </cell>
          <cell r="FC189" t="str">
            <v>582 TELEX TELEGR</v>
          </cell>
          <cell r="FD189">
            <v>0</v>
          </cell>
          <cell r="FE189">
            <v>0</v>
          </cell>
          <cell r="FF189" t="e">
            <v>#DIV/0!</v>
          </cell>
          <cell r="FG189">
            <v>0</v>
          </cell>
          <cell r="FH189">
            <v>0</v>
          </cell>
          <cell r="FI189" t="e">
            <v>#DIV/0!</v>
          </cell>
          <cell r="FJ189">
            <v>0</v>
          </cell>
          <cell r="FK189">
            <v>0</v>
          </cell>
          <cell r="FL189" t="e">
            <v>#DIV/0!</v>
          </cell>
          <cell r="FM189">
            <v>0</v>
          </cell>
          <cell r="FN189">
            <v>0</v>
          </cell>
          <cell r="FO189" t="e">
            <v>#DIV/0!</v>
          </cell>
          <cell r="FP189">
            <v>0</v>
          </cell>
          <cell r="FQ189">
            <v>0</v>
          </cell>
          <cell r="FR189" t="e">
            <v>#DIV/0!</v>
          </cell>
        </row>
        <row r="190">
          <cell r="AZ190" t="str">
            <v>628 D. /MS IM/CONS</v>
          </cell>
          <cell r="BA190">
            <v>0</v>
          </cell>
          <cell r="BB190">
            <v>0</v>
          </cell>
          <cell r="BC190" t="e">
            <v>#DIV/0!</v>
          </cell>
          <cell r="BD190">
            <v>0</v>
          </cell>
          <cell r="BE190">
            <v>0</v>
          </cell>
          <cell r="BF190" t="e">
            <v>#DIV/0!</v>
          </cell>
          <cell r="BG190">
            <v>0</v>
          </cell>
          <cell r="BH190">
            <v>0</v>
          </cell>
          <cell r="BI190" t="e">
            <v>#DIV/0!</v>
          </cell>
          <cell r="BJ190">
            <v>0</v>
          </cell>
          <cell r="BK190">
            <v>0</v>
          </cell>
          <cell r="BL190" t="e">
            <v>#DIV/0!</v>
          </cell>
          <cell r="BN190" t="str">
            <v>628 D. /MS IM/CONS</v>
          </cell>
          <cell r="BO190">
            <v>0</v>
          </cell>
          <cell r="BP190">
            <v>0</v>
          </cell>
          <cell r="BQ190" t="e">
            <v>#DIV/0!</v>
          </cell>
          <cell r="BR190">
            <v>0</v>
          </cell>
          <cell r="BS190">
            <v>0</v>
          </cell>
          <cell r="BT190" t="e">
            <v>#DIV/0!</v>
          </cell>
          <cell r="BU190">
            <v>0</v>
          </cell>
          <cell r="BV190">
            <v>0</v>
          </cell>
          <cell r="BW190" t="e">
            <v>#DIV/0!</v>
          </cell>
          <cell r="BX190">
            <v>0</v>
          </cell>
          <cell r="BY190">
            <v>0</v>
          </cell>
          <cell r="BZ190" t="e">
            <v>#DIV/0!</v>
          </cell>
          <cell r="CA190">
            <v>0</v>
          </cell>
          <cell r="CB190">
            <v>0</v>
          </cell>
          <cell r="CC190" t="e">
            <v>#DIV/0!</v>
          </cell>
          <cell r="CE190" t="str">
            <v>628 D. /MS IM/CONS</v>
          </cell>
          <cell r="CF190">
            <v>0</v>
          </cell>
          <cell r="CG190">
            <v>0</v>
          </cell>
          <cell r="CH190" t="e">
            <v>#DIV/0!</v>
          </cell>
          <cell r="CI190">
            <v>0</v>
          </cell>
          <cell r="CJ190">
            <v>0</v>
          </cell>
          <cell r="CK190" t="e">
            <v>#DIV/0!</v>
          </cell>
          <cell r="CL190">
            <v>0</v>
          </cell>
          <cell r="CM190">
            <v>0</v>
          </cell>
          <cell r="CN190" t="e">
            <v>#DIV/0!</v>
          </cell>
          <cell r="CO190">
            <v>0</v>
          </cell>
          <cell r="CP190">
            <v>0</v>
          </cell>
          <cell r="CQ190" t="e">
            <v>#DIV/0!</v>
          </cell>
          <cell r="CR190">
            <v>0</v>
          </cell>
          <cell r="CS190">
            <v>0</v>
          </cell>
          <cell r="CT190" t="e">
            <v>#DIV/0!</v>
          </cell>
          <cell r="CV190" t="str">
            <v>628 D. /MS IM/CONS</v>
          </cell>
          <cell r="CW190">
            <v>0</v>
          </cell>
          <cell r="CX190">
            <v>0</v>
          </cell>
          <cell r="CY190" t="e">
            <v>#DIV/0!</v>
          </cell>
          <cell r="CZ190">
            <v>0</v>
          </cell>
          <cell r="DA190">
            <v>0</v>
          </cell>
          <cell r="DB190" t="e">
            <v>#DIV/0!</v>
          </cell>
          <cell r="DC190">
            <v>0</v>
          </cell>
          <cell r="DD190">
            <v>0</v>
          </cell>
          <cell r="DE190" t="e">
            <v>#DIV/0!</v>
          </cell>
          <cell r="DF190">
            <v>0</v>
          </cell>
          <cell r="DG190">
            <v>0</v>
          </cell>
          <cell r="DH190" t="e">
            <v>#DIV/0!</v>
          </cell>
          <cell r="DJ190" t="str">
            <v>628 D. /MS IM/CONS</v>
          </cell>
          <cell r="DK190">
            <v>0</v>
          </cell>
          <cell r="DL190">
            <v>0</v>
          </cell>
          <cell r="DM190" t="e">
            <v>#DIV/0!</v>
          </cell>
          <cell r="DN190">
            <v>0</v>
          </cell>
          <cell r="DO190">
            <v>0</v>
          </cell>
          <cell r="DP190" t="e">
            <v>#DIV/0!</v>
          </cell>
          <cell r="DQ190">
            <v>0</v>
          </cell>
          <cell r="DR190">
            <v>0</v>
          </cell>
          <cell r="DS190" t="e">
            <v>#DIV/0!</v>
          </cell>
          <cell r="DT190">
            <v>0</v>
          </cell>
          <cell r="DU190">
            <v>0</v>
          </cell>
          <cell r="DV190" t="e">
            <v>#DIV/0!</v>
          </cell>
          <cell r="DX190" t="str">
            <v>628 D. /MS IM/CONS</v>
          </cell>
          <cell r="DY190">
            <v>0</v>
          </cell>
          <cell r="DZ190">
            <v>0</v>
          </cell>
          <cell r="EA190" t="e">
            <v>#DIV/0!</v>
          </cell>
          <cell r="EB190">
            <v>0</v>
          </cell>
          <cell r="EC190">
            <v>0</v>
          </cell>
          <cell r="ED190" t="e">
            <v>#DIV/0!</v>
          </cell>
          <cell r="EE190">
            <v>0</v>
          </cell>
          <cell r="EF190">
            <v>0</v>
          </cell>
          <cell r="EG190" t="e">
            <v>#DIV/0!</v>
          </cell>
          <cell r="EH190">
            <v>0</v>
          </cell>
          <cell r="EI190">
            <v>0</v>
          </cell>
          <cell r="EJ190" t="e">
            <v>#DIV/0!</v>
          </cell>
          <cell r="EK190">
            <v>0</v>
          </cell>
          <cell r="EL190">
            <v>0</v>
          </cell>
          <cell r="EM190" t="e">
            <v>#DIV/0!</v>
          </cell>
          <cell r="EO190" t="str">
            <v>628 D. /MS IM/CONS</v>
          </cell>
          <cell r="EP190">
            <v>0</v>
          </cell>
          <cell r="EQ190">
            <v>0</v>
          </cell>
          <cell r="ER190" t="e">
            <v>#DIV/0!</v>
          </cell>
          <cell r="ES190">
            <v>0</v>
          </cell>
          <cell r="ET190">
            <v>0</v>
          </cell>
          <cell r="EU190" t="e">
            <v>#DIV/0!</v>
          </cell>
          <cell r="EV190">
            <v>0</v>
          </cell>
          <cell r="EW190">
            <v>0</v>
          </cell>
          <cell r="EX190" t="e">
            <v>#DIV/0!</v>
          </cell>
          <cell r="EY190">
            <v>0</v>
          </cell>
          <cell r="EZ190">
            <v>0</v>
          </cell>
          <cell r="FA190" t="e">
            <v>#DIV/0!</v>
          </cell>
          <cell r="FC190" t="str">
            <v>628 D. /MS IM/CONS</v>
          </cell>
          <cell r="FD190">
            <v>0</v>
          </cell>
          <cell r="FE190">
            <v>0</v>
          </cell>
          <cell r="FF190" t="e">
            <v>#DIV/0!</v>
          </cell>
          <cell r="FG190">
            <v>0</v>
          </cell>
          <cell r="FH190">
            <v>0</v>
          </cell>
          <cell r="FI190" t="e">
            <v>#DIV/0!</v>
          </cell>
          <cell r="FJ190">
            <v>0</v>
          </cell>
          <cell r="FK190">
            <v>0</v>
          </cell>
          <cell r="FL190" t="e">
            <v>#DIV/0!</v>
          </cell>
          <cell r="FM190">
            <v>0</v>
          </cell>
          <cell r="FN190">
            <v>0</v>
          </cell>
          <cell r="FO190" t="e">
            <v>#DIV/0!</v>
          </cell>
          <cell r="FP190">
            <v>0</v>
          </cell>
          <cell r="FQ190">
            <v>0</v>
          </cell>
          <cell r="FR190" t="e">
            <v>#DIV/0!</v>
          </cell>
        </row>
        <row r="191">
          <cell r="AZ191" t="str">
            <v>5*TR,SERV EXT</v>
          </cell>
          <cell r="BA191">
            <v>0</v>
          </cell>
          <cell r="BB191">
            <v>0</v>
          </cell>
          <cell r="BC191" t="e">
            <v>#DIV/0!</v>
          </cell>
          <cell r="BD191">
            <v>1615</v>
          </cell>
          <cell r="BE191">
            <v>1620</v>
          </cell>
          <cell r="BF191">
            <v>100.30959752321982</v>
          </cell>
          <cell r="BG191">
            <v>27864</v>
          </cell>
          <cell r="BH191">
            <v>10068</v>
          </cell>
          <cell r="BI191">
            <v>36.132644272179157</v>
          </cell>
          <cell r="BJ191">
            <v>88563</v>
          </cell>
          <cell r="BK191">
            <v>29940</v>
          </cell>
          <cell r="BL191">
            <v>33.806442871176451</v>
          </cell>
          <cell r="BN191" t="str">
            <v>5*TR,SERV EXT</v>
          </cell>
          <cell r="BO191">
            <v>24193</v>
          </cell>
          <cell r="BP191">
            <v>9180</v>
          </cell>
          <cell r="BQ191">
            <v>37.944860083495222</v>
          </cell>
          <cell r="BR191">
            <v>26063</v>
          </cell>
          <cell r="BS191">
            <v>8844</v>
          </cell>
          <cell r="BT191">
            <v>33.933161953727506</v>
          </cell>
          <cell r="BU191">
            <v>24653</v>
          </cell>
          <cell r="BV191">
            <v>8568</v>
          </cell>
          <cell r="BW191">
            <v>34.754390946335135</v>
          </cell>
          <cell r="BX191">
            <v>0</v>
          </cell>
          <cell r="BY191">
            <v>0</v>
          </cell>
          <cell r="BZ191" t="e">
            <v>#DIV/0!</v>
          </cell>
          <cell r="CA191">
            <v>192951</v>
          </cell>
          <cell r="CB191">
            <v>68220</v>
          </cell>
          <cell r="CC191">
            <v>35.356126685013294</v>
          </cell>
          <cell r="CE191" t="str">
            <v>5*TR,SERV EXT</v>
          </cell>
          <cell r="CF191">
            <v>36714</v>
          </cell>
          <cell r="CG191">
            <v>17880</v>
          </cell>
          <cell r="CH191">
            <v>48.700768099362641</v>
          </cell>
          <cell r="CI191">
            <v>90533</v>
          </cell>
          <cell r="CJ191">
            <v>40080</v>
          </cell>
          <cell r="CK191">
            <v>44.271149746501273</v>
          </cell>
          <cell r="CL191">
            <v>0</v>
          </cell>
          <cell r="CM191">
            <v>0</v>
          </cell>
          <cell r="CN191" t="e">
            <v>#DIV/0!</v>
          </cell>
          <cell r="CO191">
            <v>0</v>
          </cell>
          <cell r="CP191">
            <v>0</v>
          </cell>
          <cell r="CQ191" t="e">
            <v>#DIV/0!</v>
          </cell>
          <cell r="CR191">
            <v>127247</v>
          </cell>
          <cell r="CS191">
            <v>57960</v>
          </cell>
          <cell r="CT191">
            <v>45.549207446933913</v>
          </cell>
          <cell r="CV191" t="str">
            <v>5*TR,SERV EXT</v>
          </cell>
          <cell r="CW191">
            <v>70</v>
          </cell>
          <cell r="CX191">
            <v>72</v>
          </cell>
          <cell r="CY191">
            <v>102.85714285714285</v>
          </cell>
          <cell r="CZ191">
            <v>1796</v>
          </cell>
          <cell r="DA191">
            <v>1800</v>
          </cell>
          <cell r="DB191">
            <v>100.22271714922049</v>
          </cell>
          <cell r="DC191">
            <v>0</v>
          </cell>
          <cell r="DD191">
            <v>0</v>
          </cell>
          <cell r="DE191" t="e">
            <v>#DIV/0!</v>
          </cell>
          <cell r="DF191">
            <v>1866</v>
          </cell>
          <cell r="DG191">
            <v>1872</v>
          </cell>
          <cell r="DH191">
            <v>100.32154340836013</v>
          </cell>
          <cell r="DJ191" t="str">
            <v>5*TR,SERV EXT</v>
          </cell>
          <cell r="DK191">
            <v>45649</v>
          </cell>
          <cell r="DL191">
            <v>36096</v>
          </cell>
          <cell r="DM191">
            <v>79.072926022475855</v>
          </cell>
          <cell r="DN191">
            <v>0</v>
          </cell>
          <cell r="DO191">
            <v>0</v>
          </cell>
          <cell r="DP191" t="e">
            <v>#DIV/0!</v>
          </cell>
          <cell r="DQ191">
            <v>0</v>
          </cell>
          <cell r="DR191">
            <v>0</v>
          </cell>
          <cell r="DS191" t="e">
            <v>#DIV/0!</v>
          </cell>
          <cell r="DT191">
            <v>0</v>
          </cell>
          <cell r="DU191">
            <v>0</v>
          </cell>
          <cell r="DV191" t="e">
            <v>#DIV/0!</v>
          </cell>
          <cell r="DX191" t="str">
            <v>5*TR,SERV EXT</v>
          </cell>
          <cell r="DY191">
            <v>0</v>
          </cell>
          <cell r="DZ191">
            <v>0</v>
          </cell>
          <cell r="EA191" t="e">
            <v>#DIV/0!</v>
          </cell>
          <cell r="EB191">
            <v>0</v>
          </cell>
          <cell r="EC191">
            <v>0</v>
          </cell>
          <cell r="ED191" t="e">
            <v>#DIV/0!</v>
          </cell>
          <cell r="EE191">
            <v>43428</v>
          </cell>
          <cell r="EF191">
            <v>32808</v>
          </cell>
          <cell r="EG191">
            <v>75.5457308648798</v>
          </cell>
          <cell r="EH191">
            <v>3077498</v>
          </cell>
          <cell r="EI191">
            <v>2247660</v>
          </cell>
          <cell r="EJ191">
            <v>73.035303353568381</v>
          </cell>
          <cell r="EK191">
            <v>3166575</v>
          </cell>
          <cell r="EL191">
            <v>2316564</v>
          </cell>
          <cell r="EM191">
            <v>73.156770327562114</v>
          </cell>
          <cell r="EO191" t="str">
            <v>5*TR,SERV EXT</v>
          </cell>
          <cell r="EP191">
            <v>4790</v>
          </cell>
          <cell r="EQ191">
            <v>4788</v>
          </cell>
          <cell r="ER191">
            <v>99.958246346555327</v>
          </cell>
          <cell r="ES191">
            <v>0</v>
          </cell>
          <cell r="ET191">
            <v>0</v>
          </cell>
          <cell r="EU191" t="e">
            <v>#DIV/0!</v>
          </cell>
          <cell r="EV191">
            <v>0</v>
          </cell>
          <cell r="EW191">
            <v>0</v>
          </cell>
          <cell r="EX191" t="e">
            <v>#DIV/0!</v>
          </cell>
          <cell r="EY191">
            <v>0</v>
          </cell>
          <cell r="EZ191">
            <v>0</v>
          </cell>
          <cell r="FA191" t="e">
            <v>#DIV/0!</v>
          </cell>
          <cell r="FC191" t="str">
            <v>5*TR,SERV EXT</v>
          </cell>
          <cell r="FD191">
            <v>0</v>
          </cell>
          <cell r="FE191">
            <v>0</v>
          </cell>
          <cell r="FF191" t="e">
            <v>#DIV/0!</v>
          </cell>
          <cell r="FG191">
            <v>0</v>
          </cell>
          <cell r="FH191">
            <v>0</v>
          </cell>
          <cell r="FI191" t="e">
            <v>#DIV/0!</v>
          </cell>
          <cell r="FJ191">
            <v>3640</v>
          </cell>
          <cell r="FK191">
            <v>3636</v>
          </cell>
          <cell r="FL191">
            <v>99.890109890109898</v>
          </cell>
          <cell r="FM191">
            <v>53663</v>
          </cell>
          <cell r="FN191">
            <v>53664</v>
          </cell>
          <cell r="FO191">
            <v>100.00186348135587</v>
          </cell>
          <cell r="FP191">
            <v>62093</v>
          </cell>
          <cell r="FQ191">
            <v>62088</v>
          </cell>
          <cell r="FR191">
            <v>99.991947562527173</v>
          </cell>
        </row>
        <row r="192">
          <cell r="AZ192" t="str">
            <v>680 LOCATION</v>
          </cell>
          <cell r="BA192">
            <v>0</v>
          </cell>
          <cell r="BB192">
            <v>0</v>
          </cell>
          <cell r="BC192" t="e">
            <v>#DIV/0!</v>
          </cell>
          <cell r="BD192">
            <v>7416</v>
          </cell>
          <cell r="BE192">
            <v>3175.04916</v>
          </cell>
          <cell r="BF192">
            <v>42.813499999999998</v>
          </cell>
          <cell r="BG192">
            <v>1767</v>
          </cell>
          <cell r="BH192">
            <v>755.23014000000001</v>
          </cell>
          <cell r="BI192">
            <v>42.740811544991516</v>
          </cell>
          <cell r="BJ192">
            <v>2267</v>
          </cell>
          <cell r="BK192">
            <v>971.01017999999999</v>
          </cell>
          <cell r="BL192">
            <v>42.832385531539479</v>
          </cell>
          <cell r="BN192" t="str">
            <v>680 LOCATION</v>
          </cell>
          <cell r="BO192">
            <v>11586</v>
          </cell>
          <cell r="BP192">
            <v>4962.94092</v>
          </cell>
          <cell r="BQ192">
            <v>42.835671672708443</v>
          </cell>
          <cell r="BR192">
            <v>20822</v>
          </cell>
          <cell r="BS192">
            <v>8913.7706999999991</v>
          </cell>
          <cell r="BT192">
            <v>42.809387666890785</v>
          </cell>
          <cell r="BU192">
            <v>16979</v>
          </cell>
          <cell r="BV192">
            <v>7269.7322999999997</v>
          </cell>
          <cell r="BW192">
            <v>42.816021556039814</v>
          </cell>
          <cell r="BX192">
            <v>62670</v>
          </cell>
          <cell r="BY192">
            <v>26833.789259999998</v>
          </cell>
          <cell r="BZ192">
            <v>42.817598946864528</v>
          </cell>
          <cell r="CA192">
            <v>123507</v>
          </cell>
          <cell r="CB192">
            <v>52881.522660000002</v>
          </cell>
          <cell r="CC192">
            <v>42.816619835312977</v>
          </cell>
          <cell r="CE192" t="str">
            <v>680 LOCATION</v>
          </cell>
          <cell r="CF192">
            <v>442245</v>
          </cell>
          <cell r="CG192">
            <v>151472.45045999999</v>
          </cell>
          <cell r="CH192">
            <v>34.250799999999998</v>
          </cell>
          <cell r="CI192">
            <v>156488</v>
          </cell>
          <cell r="CJ192">
            <v>53600.78946</v>
          </cell>
          <cell r="CK192">
            <v>34.25233210214202</v>
          </cell>
          <cell r="CL192">
            <v>0</v>
          </cell>
          <cell r="CM192">
            <v>0</v>
          </cell>
          <cell r="CN192" t="e">
            <v>#DIV/0!</v>
          </cell>
          <cell r="CO192">
            <v>12780</v>
          </cell>
          <cell r="CP192">
            <v>4377.2522399999998</v>
          </cell>
          <cell r="CQ192">
            <v>34.250799999999998</v>
          </cell>
          <cell r="CR192">
            <v>611513</v>
          </cell>
          <cell r="CS192">
            <v>209450.49215999999</v>
          </cell>
          <cell r="CT192">
            <v>34.251192069506288</v>
          </cell>
          <cell r="CV192" t="str">
            <v>680 LOCATION</v>
          </cell>
          <cell r="CW192">
            <v>0</v>
          </cell>
          <cell r="CX192">
            <v>0</v>
          </cell>
          <cell r="CY192" t="e">
            <v>#DIV/0!</v>
          </cell>
          <cell r="CZ192">
            <v>1000607</v>
          </cell>
          <cell r="DA192">
            <v>299877.74177999998</v>
          </cell>
          <cell r="DB192">
            <v>29.969582641336707</v>
          </cell>
          <cell r="DC192">
            <v>0</v>
          </cell>
          <cell r="DD192">
            <v>0</v>
          </cell>
          <cell r="DE192" t="e">
            <v>#DIV/0!</v>
          </cell>
          <cell r="DF192">
            <v>1000607</v>
          </cell>
          <cell r="DG192">
            <v>299877.74177999998</v>
          </cell>
          <cell r="DH192">
            <v>29.969582641336707</v>
          </cell>
          <cell r="DJ192" t="str">
            <v>680 LOCATION</v>
          </cell>
          <cell r="DK192">
            <v>1781506</v>
          </cell>
          <cell r="DL192">
            <v>739842.96809999994</v>
          </cell>
          <cell r="DM192">
            <v>41.529075293599902</v>
          </cell>
          <cell r="DN192">
            <v>0</v>
          </cell>
          <cell r="DO192">
            <v>0</v>
          </cell>
          <cell r="DP192" t="e">
            <v>#DIV/0!</v>
          </cell>
          <cell r="DQ192">
            <v>0</v>
          </cell>
          <cell r="DR192">
            <v>0</v>
          </cell>
          <cell r="DS192" t="e">
            <v>#DIV/0!</v>
          </cell>
          <cell r="DT192">
            <v>0</v>
          </cell>
          <cell r="DU192">
            <v>0</v>
          </cell>
          <cell r="DV192" t="e">
            <v>#DIV/0!</v>
          </cell>
          <cell r="DX192" t="str">
            <v>680 LOCATION</v>
          </cell>
          <cell r="DY192">
            <v>0</v>
          </cell>
          <cell r="DZ192">
            <v>0</v>
          </cell>
          <cell r="EA192" t="e">
            <v>#DIV/0!</v>
          </cell>
          <cell r="EB192">
            <v>0</v>
          </cell>
          <cell r="EC192">
            <v>0</v>
          </cell>
          <cell r="ED192" t="e">
            <v>#DIV/0!</v>
          </cell>
          <cell r="EE192">
            <v>613562</v>
          </cell>
          <cell r="EF192">
            <v>254805.40151999998</v>
          </cell>
          <cell r="EG192">
            <v>41.528875895182551</v>
          </cell>
          <cell r="EH192">
            <v>1399045</v>
          </cell>
          <cell r="EI192">
            <v>581008.30817999993</v>
          </cell>
          <cell r="EJ192">
            <v>41.528922099003246</v>
          </cell>
          <cell r="EK192">
            <v>3794113</v>
          </cell>
          <cell r="EL192">
            <v>1575656.6777999997</v>
          </cell>
          <cell r="EM192">
            <v>41.528986558913758</v>
          </cell>
          <cell r="EO192" t="str">
            <v>680 LOCATION</v>
          </cell>
          <cell r="EP192">
            <v>91840</v>
          </cell>
          <cell r="EQ192">
            <v>38141.690880000002</v>
          </cell>
          <cell r="ER192">
            <v>41.530586759581887</v>
          </cell>
          <cell r="ES192">
            <v>0</v>
          </cell>
          <cell r="ET192">
            <v>0</v>
          </cell>
          <cell r="EU192" t="e">
            <v>#DIV/0!</v>
          </cell>
          <cell r="EV192">
            <v>81409</v>
          </cell>
          <cell r="EW192">
            <v>33810.677219999998</v>
          </cell>
          <cell r="EX192">
            <v>41.531866525814095</v>
          </cell>
          <cell r="EY192">
            <v>86919</v>
          </cell>
          <cell r="EZ192">
            <v>36096.918120000002</v>
          </cell>
          <cell r="FA192">
            <v>41.529375763642015</v>
          </cell>
          <cell r="FC192" t="str">
            <v>680 LOCATION</v>
          </cell>
          <cell r="FD192">
            <v>0</v>
          </cell>
          <cell r="FE192">
            <v>0</v>
          </cell>
          <cell r="FF192" t="e">
            <v>#DIV/0!</v>
          </cell>
          <cell r="FG192">
            <v>0</v>
          </cell>
          <cell r="FH192">
            <v>0</v>
          </cell>
          <cell r="FI192" t="e">
            <v>#DIV/0!</v>
          </cell>
          <cell r="FJ192">
            <v>3328031</v>
          </cell>
          <cell r="FK192">
            <v>1382101.9819199999</v>
          </cell>
          <cell r="FL192">
            <v>41.529119828511213</v>
          </cell>
          <cell r="FM192">
            <v>122660</v>
          </cell>
          <cell r="FN192">
            <v>50939.5023</v>
          </cell>
          <cell r="FO192">
            <v>41.529025191586499</v>
          </cell>
          <cell r="FP192">
            <v>3710859</v>
          </cell>
          <cell r="FQ192">
            <v>1541090.7704399999</v>
          </cell>
          <cell r="FR192">
            <v>41.529219257320207</v>
          </cell>
        </row>
        <row r="193">
          <cell r="AZ193" t="str">
            <v>6* *</v>
          </cell>
          <cell r="BA193">
            <v>0</v>
          </cell>
          <cell r="BB193">
            <v>0</v>
          </cell>
          <cell r="BC193" t="e">
            <v>#DIV/0!</v>
          </cell>
          <cell r="BD193">
            <v>7416</v>
          </cell>
          <cell r="BE193">
            <v>3175.04916</v>
          </cell>
          <cell r="BF193">
            <v>42.813499999999998</v>
          </cell>
          <cell r="BG193">
            <v>1767</v>
          </cell>
          <cell r="BH193">
            <v>755.23014000000001</v>
          </cell>
          <cell r="BI193">
            <v>42.740811544991516</v>
          </cell>
          <cell r="BJ193">
            <v>2267</v>
          </cell>
          <cell r="BK193">
            <v>971.01017999999999</v>
          </cell>
          <cell r="BL193">
            <v>42.832385531539479</v>
          </cell>
          <cell r="BN193" t="str">
            <v>6* *</v>
          </cell>
          <cell r="BO193">
            <v>11586</v>
          </cell>
          <cell r="BP193">
            <v>4962.94092</v>
          </cell>
          <cell r="BQ193">
            <v>42.835671672708443</v>
          </cell>
          <cell r="BR193">
            <v>20822</v>
          </cell>
          <cell r="BS193">
            <v>8913.7706999999991</v>
          </cell>
          <cell r="BT193">
            <v>42.809387666890785</v>
          </cell>
          <cell r="BU193">
            <v>16979</v>
          </cell>
          <cell r="BV193">
            <v>7269.7322999999997</v>
          </cell>
          <cell r="BW193">
            <v>42.816021556039814</v>
          </cell>
          <cell r="BX193">
            <v>62670</v>
          </cell>
          <cell r="BY193">
            <v>26833.789259999998</v>
          </cell>
          <cell r="BZ193">
            <v>42.817598946864528</v>
          </cell>
          <cell r="CA193">
            <v>123507</v>
          </cell>
          <cell r="CB193">
            <v>52881.522660000002</v>
          </cell>
          <cell r="CC193">
            <v>42.816619835312977</v>
          </cell>
          <cell r="CE193" t="str">
            <v>6* *</v>
          </cell>
          <cell r="CF193">
            <v>442245</v>
          </cell>
          <cell r="CG193">
            <v>151472.45045999999</v>
          </cell>
          <cell r="CH193">
            <v>34.250799999999998</v>
          </cell>
          <cell r="CI193">
            <v>156488</v>
          </cell>
          <cell r="CJ193">
            <v>53600.78946</v>
          </cell>
          <cell r="CK193">
            <v>34.25233210214202</v>
          </cell>
          <cell r="CL193">
            <v>0</v>
          </cell>
          <cell r="CM193">
            <v>0</v>
          </cell>
          <cell r="CN193" t="e">
            <v>#DIV/0!</v>
          </cell>
          <cell r="CO193">
            <v>12780</v>
          </cell>
          <cell r="CP193">
            <v>4377.2522399999998</v>
          </cell>
          <cell r="CQ193">
            <v>34.250799999999998</v>
          </cell>
          <cell r="CR193">
            <v>611513</v>
          </cell>
          <cell r="CS193">
            <v>209450.49215999999</v>
          </cell>
          <cell r="CT193">
            <v>34.251192069506288</v>
          </cell>
          <cell r="CV193" t="str">
            <v>6* *</v>
          </cell>
          <cell r="CW193">
            <v>0</v>
          </cell>
          <cell r="CX193">
            <v>0</v>
          </cell>
          <cell r="CY193" t="e">
            <v>#DIV/0!</v>
          </cell>
          <cell r="CZ193">
            <v>1000607</v>
          </cell>
          <cell r="DA193">
            <v>299877.74177999998</v>
          </cell>
          <cell r="DB193">
            <v>29.969582641336707</v>
          </cell>
          <cell r="DC193">
            <v>0</v>
          </cell>
          <cell r="DD193">
            <v>0</v>
          </cell>
          <cell r="DE193" t="e">
            <v>#DIV/0!</v>
          </cell>
          <cell r="DF193">
            <v>1000607</v>
          </cell>
          <cell r="DG193">
            <v>299877.74177999998</v>
          </cell>
          <cell r="DH193">
            <v>29.969582641336707</v>
          </cell>
          <cell r="DJ193" t="str">
            <v>6* *</v>
          </cell>
          <cell r="DK193">
            <v>1781506</v>
          </cell>
          <cell r="DL193">
            <v>739842.96809999994</v>
          </cell>
          <cell r="DM193">
            <v>41.529075293599902</v>
          </cell>
          <cell r="DN193">
            <v>0</v>
          </cell>
          <cell r="DO193">
            <v>0</v>
          </cell>
          <cell r="DP193" t="e">
            <v>#DIV/0!</v>
          </cell>
          <cell r="DQ193">
            <v>0</v>
          </cell>
          <cell r="DR193">
            <v>0</v>
          </cell>
          <cell r="DS193" t="e">
            <v>#DIV/0!</v>
          </cell>
          <cell r="DT193">
            <v>0</v>
          </cell>
          <cell r="DU193">
            <v>0</v>
          </cell>
          <cell r="DV193" t="e">
            <v>#DIV/0!</v>
          </cell>
          <cell r="DX193" t="str">
            <v>6* *</v>
          </cell>
          <cell r="DY193">
            <v>0</v>
          </cell>
          <cell r="DZ193">
            <v>0</v>
          </cell>
          <cell r="EA193" t="e">
            <v>#DIV/0!</v>
          </cell>
          <cell r="EB193">
            <v>0</v>
          </cell>
          <cell r="EC193">
            <v>0</v>
          </cell>
          <cell r="ED193" t="e">
            <v>#DIV/0!</v>
          </cell>
          <cell r="EE193">
            <v>613562</v>
          </cell>
          <cell r="EF193">
            <v>254805.40151999998</v>
          </cell>
          <cell r="EG193">
            <v>41.528875895182551</v>
          </cell>
          <cell r="EH193">
            <v>1399045</v>
          </cell>
          <cell r="EI193">
            <v>581008.30817999993</v>
          </cell>
          <cell r="EJ193">
            <v>41.528922099003246</v>
          </cell>
          <cell r="EK193">
            <v>3794113</v>
          </cell>
          <cell r="EL193">
            <v>1575656.6777999997</v>
          </cell>
          <cell r="EM193">
            <v>41.528986558913758</v>
          </cell>
          <cell r="EO193" t="str">
            <v>6* *</v>
          </cell>
          <cell r="EP193">
            <v>91840</v>
          </cell>
          <cell r="EQ193">
            <v>38141.690880000002</v>
          </cell>
          <cell r="ER193">
            <v>41.530586759581887</v>
          </cell>
          <cell r="ES193">
            <v>0</v>
          </cell>
          <cell r="ET193">
            <v>0</v>
          </cell>
          <cell r="EU193" t="e">
            <v>#DIV/0!</v>
          </cell>
          <cell r="EV193">
            <v>81409</v>
          </cell>
          <cell r="EW193">
            <v>33810.677219999998</v>
          </cell>
          <cell r="EX193">
            <v>41.531866525814095</v>
          </cell>
          <cell r="EY193">
            <v>86919</v>
          </cell>
          <cell r="EZ193">
            <v>36096.918120000002</v>
          </cell>
          <cell r="FA193">
            <v>41.529375763642015</v>
          </cell>
          <cell r="FC193" t="str">
            <v>6* *</v>
          </cell>
          <cell r="FD193">
            <v>0</v>
          </cell>
          <cell r="FE193">
            <v>0</v>
          </cell>
          <cell r="FF193" t="e">
            <v>#DIV/0!</v>
          </cell>
          <cell r="FG193">
            <v>0</v>
          </cell>
          <cell r="FH193">
            <v>0</v>
          </cell>
          <cell r="FI193" t="e">
            <v>#DIV/0!</v>
          </cell>
          <cell r="FJ193">
            <v>3328031</v>
          </cell>
          <cell r="FK193">
            <v>1382101.9819199999</v>
          </cell>
          <cell r="FL193">
            <v>41.529119828511213</v>
          </cell>
          <cell r="FM193">
            <v>122660</v>
          </cell>
          <cell r="FN193">
            <v>50939.5023</v>
          </cell>
          <cell r="FO193">
            <v>41.529025191586499</v>
          </cell>
          <cell r="FP193">
            <v>3710859</v>
          </cell>
          <cell r="FQ193">
            <v>1541090.7704399999</v>
          </cell>
          <cell r="FR193">
            <v>41.529219257320207</v>
          </cell>
        </row>
        <row r="194">
          <cell r="AZ194" t="str">
            <v>TOTAL DEP. BRUT</v>
          </cell>
          <cell r="BA194">
            <v>0</v>
          </cell>
          <cell r="BB194">
            <v>0</v>
          </cell>
          <cell r="BC194" t="e">
            <v>#DIV/0!</v>
          </cell>
          <cell r="BD194">
            <v>3103695</v>
          </cell>
          <cell r="BE194">
            <v>1487887.0491599999</v>
          </cell>
          <cell r="BF194">
            <v>47.939215971930224</v>
          </cell>
          <cell r="BG194">
            <v>2680825</v>
          </cell>
          <cell r="BH194">
            <v>1329935.2301400001</v>
          </cell>
          <cell r="BI194">
            <v>49.609177403970797</v>
          </cell>
          <cell r="BJ194">
            <v>2702885</v>
          </cell>
          <cell r="BK194">
            <v>1277495.01018</v>
          </cell>
          <cell r="BL194">
            <v>47.264127411266109</v>
          </cell>
          <cell r="BN194" t="str">
            <v>TOTAL DEP. BRUT</v>
          </cell>
          <cell r="BO194">
            <v>2713331</v>
          </cell>
          <cell r="BP194">
            <v>1348038.94092</v>
          </cell>
          <cell r="BQ194">
            <v>49.682067573768187</v>
          </cell>
          <cell r="BR194">
            <v>2116712</v>
          </cell>
          <cell r="BS194">
            <v>1041357.7707</v>
          </cell>
          <cell r="BT194">
            <v>49.196951247973267</v>
          </cell>
          <cell r="BU194">
            <v>2817013</v>
          </cell>
          <cell r="BV194">
            <v>1398633.7323</v>
          </cell>
          <cell r="BW194">
            <v>49.649530630494077</v>
          </cell>
          <cell r="BX194">
            <v>1438636</v>
          </cell>
          <cell r="BY194">
            <v>361417.78925999999</v>
          </cell>
          <cell r="BZ194">
            <v>25.122253944708739</v>
          </cell>
          <cell r="CA194">
            <v>17573097</v>
          </cell>
          <cell r="CB194">
            <v>8244765.5226600002</v>
          </cell>
          <cell r="CC194">
            <v>46.916974979765946</v>
          </cell>
          <cell r="CE194" t="str">
            <v>TOTAL DEP. BRUT</v>
          </cell>
          <cell r="CF194">
            <v>12468982</v>
          </cell>
          <cell r="CG194">
            <v>8779736.45046</v>
          </cell>
          <cell r="CH194">
            <v>70.412616286237323</v>
          </cell>
          <cell r="CI194">
            <v>16219123</v>
          </cell>
          <cell r="CJ194">
            <v>11726192.78946</v>
          </cell>
          <cell r="CK194">
            <v>72.298562563832832</v>
          </cell>
          <cell r="CL194">
            <v>0</v>
          </cell>
          <cell r="CM194">
            <v>0</v>
          </cell>
          <cell r="CN194" t="e">
            <v>#DIV/0!</v>
          </cell>
          <cell r="CO194">
            <v>12780</v>
          </cell>
          <cell r="CP194">
            <v>4377.2522399999998</v>
          </cell>
          <cell r="CQ194">
            <v>34.250799999999998</v>
          </cell>
          <cell r="CR194">
            <v>28700885</v>
          </cell>
          <cell r="CS194">
            <v>20510306.49216</v>
          </cell>
          <cell r="CT194">
            <v>71.462278923315424</v>
          </cell>
          <cell r="CV194" t="str">
            <v>TOTAL DEP. BRUT</v>
          </cell>
          <cell r="CW194">
            <v>140900</v>
          </cell>
          <cell r="CX194">
            <v>131412</v>
          </cell>
          <cell r="CY194">
            <v>93.266146202980835</v>
          </cell>
          <cell r="CZ194">
            <v>8290644</v>
          </cell>
          <cell r="DA194">
            <v>6766269.7417799998</v>
          </cell>
          <cell r="DB194">
            <v>81.613319083294371</v>
          </cell>
          <cell r="DC194">
            <v>0</v>
          </cell>
          <cell r="DD194">
            <v>0</v>
          </cell>
          <cell r="DE194" t="e">
            <v>#DIV/0!</v>
          </cell>
          <cell r="DF194">
            <v>8431544</v>
          </cell>
          <cell r="DG194">
            <v>6897681.7417799998</v>
          </cell>
          <cell r="DH194">
            <v>81.808050124390036</v>
          </cell>
          <cell r="DJ194" t="str">
            <v>TOTAL DEP. BRUT</v>
          </cell>
          <cell r="DK194">
            <v>13136942</v>
          </cell>
          <cell r="DL194">
            <v>11004654.9681</v>
          </cell>
          <cell r="DM194">
            <v>83.768771819956271</v>
          </cell>
          <cell r="DN194">
            <v>0</v>
          </cell>
          <cell r="DO194">
            <v>0</v>
          </cell>
          <cell r="DP194" t="e">
            <v>#DIV/0!</v>
          </cell>
          <cell r="DQ194">
            <v>0</v>
          </cell>
          <cell r="DR194">
            <v>0</v>
          </cell>
          <cell r="DS194" t="e">
            <v>#DIV/0!</v>
          </cell>
          <cell r="DT194">
            <v>0</v>
          </cell>
          <cell r="DU194">
            <v>0</v>
          </cell>
          <cell r="DV194" t="e">
            <v>#DIV/0!</v>
          </cell>
          <cell r="DX194" t="str">
            <v>TOTAL DEP. BRUT</v>
          </cell>
          <cell r="DY194">
            <v>0</v>
          </cell>
          <cell r="DZ194">
            <v>0</v>
          </cell>
          <cell r="EA194" t="e">
            <v>#DIV/0!</v>
          </cell>
          <cell r="EB194">
            <v>0</v>
          </cell>
          <cell r="EC194">
            <v>0</v>
          </cell>
          <cell r="ED194" t="e">
            <v>#DIV/0!</v>
          </cell>
          <cell r="EE194">
            <v>5454326</v>
          </cell>
          <cell r="EF194">
            <v>3960861.4015199998</v>
          </cell>
          <cell r="EG194">
            <v>72.618714054128773</v>
          </cell>
          <cell r="EH194">
            <v>10775473</v>
          </cell>
          <cell r="EI194">
            <v>9672256.3081800006</v>
          </cell>
          <cell r="EJ194">
            <v>89.761779442814259</v>
          </cell>
          <cell r="EK194">
            <v>29366741</v>
          </cell>
          <cell r="EL194">
            <v>24637772.6778</v>
          </cell>
          <cell r="EM194">
            <v>83.896856916468877</v>
          </cell>
          <cell r="EO194" t="str">
            <v>TOTAL DEP. BRUT</v>
          </cell>
          <cell r="EP194">
            <v>4995585</v>
          </cell>
          <cell r="EQ194">
            <v>4432313.6908799997</v>
          </cell>
          <cell r="ER194">
            <v>88.724617654989345</v>
          </cell>
          <cell r="ES194">
            <v>0</v>
          </cell>
          <cell r="ET194">
            <v>0</v>
          </cell>
          <cell r="EU194" t="e">
            <v>#DIV/0!</v>
          </cell>
          <cell r="EV194">
            <v>3568384</v>
          </cell>
          <cell r="EW194">
            <v>2872974.67722</v>
          </cell>
          <cell r="EX194">
            <v>80.511925768639244</v>
          </cell>
          <cell r="EY194">
            <v>354513</v>
          </cell>
          <cell r="EZ194">
            <v>284184.91811999999</v>
          </cell>
          <cell r="FA194">
            <v>80.162058406884938</v>
          </cell>
          <cell r="FC194" t="str">
            <v>TOTAL DEP. BRUT</v>
          </cell>
          <cell r="FD194">
            <v>0</v>
          </cell>
          <cell r="FE194">
            <v>0</v>
          </cell>
          <cell r="FF194" t="e">
            <v>#DIV/0!</v>
          </cell>
          <cell r="FG194">
            <v>0</v>
          </cell>
          <cell r="FH194">
            <v>0</v>
          </cell>
          <cell r="FI194" t="e">
            <v>#DIV/0!</v>
          </cell>
          <cell r="FJ194">
            <v>7776847</v>
          </cell>
          <cell r="FK194">
            <v>5172697.9819200002</v>
          </cell>
          <cell r="FL194">
            <v>66.51407674498418</v>
          </cell>
          <cell r="FM194">
            <v>5678106</v>
          </cell>
          <cell r="FN194">
            <v>5017391.5022999998</v>
          </cell>
          <cell r="FO194">
            <v>88.363822413671031</v>
          </cell>
          <cell r="FP194">
            <v>22373435</v>
          </cell>
          <cell r="FQ194">
            <v>17779562.770440001</v>
          </cell>
          <cell r="FR194">
            <v>79.467291323124954</v>
          </cell>
        </row>
        <row r="195">
          <cell r="AZ195" t="str">
            <v>721 EAU</v>
          </cell>
          <cell r="BA195">
            <v>0</v>
          </cell>
          <cell r="BB195">
            <v>0</v>
          </cell>
          <cell r="BC195" t="e">
            <v>#DIV/0!</v>
          </cell>
          <cell r="BD195">
            <v>0</v>
          </cell>
          <cell r="BE195">
            <v>0</v>
          </cell>
          <cell r="BF195" t="e">
            <v>#DIV/0!</v>
          </cell>
          <cell r="BG195">
            <v>0</v>
          </cell>
          <cell r="BH195">
            <v>0</v>
          </cell>
          <cell r="BI195" t="e">
            <v>#DIV/0!</v>
          </cell>
          <cell r="BJ195">
            <v>0</v>
          </cell>
          <cell r="BK195">
            <v>0</v>
          </cell>
          <cell r="BL195" t="e">
            <v>#DIV/0!</v>
          </cell>
          <cell r="BN195" t="str">
            <v>721 EAU</v>
          </cell>
          <cell r="BO195">
            <v>0</v>
          </cell>
          <cell r="BP195">
            <v>0</v>
          </cell>
          <cell r="BQ195" t="e">
            <v>#DIV/0!</v>
          </cell>
          <cell r="BR195">
            <v>0</v>
          </cell>
          <cell r="BS195">
            <v>0</v>
          </cell>
          <cell r="BT195" t="e">
            <v>#DIV/0!</v>
          </cell>
          <cell r="BU195">
            <v>0</v>
          </cell>
          <cell r="BV195">
            <v>0</v>
          </cell>
          <cell r="BW195" t="e">
            <v>#DIV/0!</v>
          </cell>
          <cell r="BX195">
            <v>0</v>
          </cell>
          <cell r="BY195">
            <v>0</v>
          </cell>
          <cell r="BZ195" t="e">
            <v>#DIV/0!</v>
          </cell>
          <cell r="CA195">
            <v>0</v>
          </cell>
          <cell r="CB195">
            <v>0</v>
          </cell>
          <cell r="CC195" t="e">
            <v>#DIV/0!</v>
          </cell>
          <cell r="CE195" t="str">
            <v>721 EAU</v>
          </cell>
          <cell r="CF195">
            <v>0</v>
          </cell>
          <cell r="CG195">
            <v>0</v>
          </cell>
          <cell r="CH195" t="e">
            <v>#DIV/0!</v>
          </cell>
          <cell r="CI195">
            <v>0</v>
          </cell>
          <cell r="CJ195">
            <v>0</v>
          </cell>
          <cell r="CK195" t="e">
            <v>#DIV/0!</v>
          </cell>
          <cell r="CL195">
            <v>0</v>
          </cell>
          <cell r="CM195">
            <v>0</v>
          </cell>
          <cell r="CN195" t="e">
            <v>#DIV/0!</v>
          </cell>
          <cell r="CO195">
            <v>0</v>
          </cell>
          <cell r="CP195">
            <v>0</v>
          </cell>
          <cell r="CQ195" t="e">
            <v>#DIV/0!</v>
          </cell>
          <cell r="CR195">
            <v>0</v>
          </cell>
          <cell r="CS195">
            <v>0</v>
          </cell>
          <cell r="CT195" t="e">
            <v>#DIV/0!</v>
          </cell>
          <cell r="CV195" t="str">
            <v>721 EAU</v>
          </cell>
          <cell r="CW195">
            <v>0</v>
          </cell>
          <cell r="CX195">
            <v>0</v>
          </cell>
          <cell r="CY195" t="e">
            <v>#DIV/0!</v>
          </cell>
          <cell r="CZ195">
            <v>0</v>
          </cell>
          <cell r="DA195">
            <v>0</v>
          </cell>
          <cell r="DB195" t="e">
            <v>#DIV/0!</v>
          </cell>
          <cell r="DC195">
            <v>0</v>
          </cell>
          <cell r="DD195">
            <v>0</v>
          </cell>
          <cell r="DE195" t="e">
            <v>#DIV/0!</v>
          </cell>
          <cell r="DF195">
            <v>0</v>
          </cell>
          <cell r="DG195">
            <v>0</v>
          </cell>
          <cell r="DH195" t="e">
            <v>#DIV/0!</v>
          </cell>
          <cell r="DJ195" t="str">
            <v>721 EAU</v>
          </cell>
          <cell r="DK195">
            <v>0</v>
          </cell>
          <cell r="DL195">
            <v>0</v>
          </cell>
          <cell r="DM195" t="e">
            <v>#DIV/0!</v>
          </cell>
          <cell r="DN195">
            <v>0</v>
          </cell>
          <cell r="DO195">
            <v>0</v>
          </cell>
          <cell r="DP195" t="e">
            <v>#DIV/0!</v>
          </cell>
          <cell r="DQ195">
            <v>0</v>
          </cell>
          <cell r="DR195">
            <v>0</v>
          </cell>
          <cell r="DS195" t="e">
            <v>#DIV/0!</v>
          </cell>
          <cell r="DT195">
            <v>0</v>
          </cell>
          <cell r="DU195">
            <v>0</v>
          </cell>
          <cell r="DV195" t="e">
            <v>#DIV/0!</v>
          </cell>
          <cell r="DX195" t="str">
            <v>721 EAU</v>
          </cell>
          <cell r="DY195">
            <v>0</v>
          </cell>
          <cell r="DZ195">
            <v>0</v>
          </cell>
          <cell r="EA195" t="e">
            <v>#DIV/0!</v>
          </cell>
          <cell r="EB195">
            <v>0</v>
          </cell>
          <cell r="EC195">
            <v>0</v>
          </cell>
          <cell r="ED195" t="e">
            <v>#DIV/0!</v>
          </cell>
          <cell r="EE195">
            <v>0</v>
          </cell>
          <cell r="EF195">
            <v>0</v>
          </cell>
          <cell r="EG195" t="e">
            <v>#DIV/0!</v>
          </cell>
          <cell r="EH195">
            <v>0</v>
          </cell>
          <cell r="EI195">
            <v>0</v>
          </cell>
          <cell r="EJ195" t="e">
            <v>#DIV/0!</v>
          </cell>
          <cell r="EK195">
            <v>0</v>
          </cell>
          <cell r="EL195">
            <v>0</v>
          </cell>
          <cell r="EM195" t="e">
            <v>#DIV/0!</v>
          </cell>
          <cell r="EO195" t="str">
            <v>721 EAU</v>
          </cell>
          <cell r="EP195">
            <v>0</v>
          </cell>
          <cell r="EQ195">
            <v>0</v>
          </cell>
          <cell r="ER195" t="e">
            <v>#DIV/0!</v>
          </cell>
          <cell r="ES195">
            <v>0</v>
          </cell>
          <cell r="ET195">
            <v>0</v>
          </cell>
          <cell r="EU195" t="e">
            <v>#DIV/0!</v>
          </cell>
          <cell r="EV195">
            <v>0</v>
          </cell>
          <cell r="EW195">
            <v>0</v>
          </cell>
          <cell r="EX195" t="e">
            <v>#DIV/0!</v>
          </cell>
          <cell r="EY195">
            <v>0</v>
          </cell>
          <cell r="EZ195">
            <v>0</v>
          </cell>
          <cell r="FA195" t="e">
            <v>#DIV/0!</v>
          </cell>
          <cell r="FC195" t="str">
            <v>721 EAU</v>
          </cell>
          <cell r="FD195">
            <v>0</v>
          </cell>
          <cell r="FE195">
            <v>0</v>
          </cell>
          <cell r="FF195" t="e">
            <v>#DIV/0!</v>
          </cell>
          <cell r="FG195">
            <v>0</v>
          </cell>
          <cell r="FH195">
            <v>0</v>
          </cell>
          <cell r="FI195" t="e">
            <v>#DIV/0!</v>
          </cell>
          <cell r="FJ195">
            <v>0</v>
          </cell>
          <cell r="FK195">
            <v>0</v>
          </cell>
          <cell r="FL195" t="e">
            <v>#DIV/0!</v>
          </cell>
          <cell r="FM195">
            <v>0</v>
          </cell>
          <cell r="FN195">
            <v>0</v>
          </cell>
          <cell r="FO195" t="e">
            <v>#DIV/0!</v>
          </cell>
          <cell r="FP195">
            <v>0</v>
          </cell>
          <cell r="FQ195">
            <v>0</v>
          </cell>
          <cell r="FR195" t="e">
            <v>#DIV/0!</v>
          </cell>
        </row>
        <row r="196">
          <cell r="AZ196" t="str">
            <v>722 ELECTRICITE</v>
          </cell>
          <cell r="BA196">
            <v>0</v>
          </cell>
          <cell r="BB196">
            <v>0</v>
          </cell>
          <cell r="BC196" t="e">
            <v>#DIV/0!</v>
          </cell>
          <cell r="BD196">
            <v>0</v>
          </cell>
          <cell r="BE196">
            <v>0</v>
          </cell>
          <cell r="BF196" t="e">
            <v>#DIV/0!</v>
          </cell>
          <cell r="BG196">
            <v>0</v>
          </cell>
          <cell r="BH196">
            <v>0</v>
          </cell>
          <cell r="BI196" t="e">
            <v>#DIV/0!</v>
          </cell>
          <cell r="BJ196">
            <v>0</v>
          </cell>
          <cell r="BK196">
            <v>0</v>
          </cell>
          <cell r="BL196" t="e">
            <v>#DIV/0!</v>
          </cell>
          <cell r="BN196" t="str">
            <v>722 ELECTRICITE</v>
          </cell>
          <cell r="BO196">
            <v>0</v>
          </cell>
          <cell r="BP196">
            <v>0</v>
          </cell>
          <cell r="BQ196" t="e">
            <v>#DIV/0!</v>
          </cell>
          <cell r="BR196">
            <v>0</v>
          </cell>
          <cell r="BS196">
            <v>0</v>
          </cell>
          <cell r="BT196" t="e">
            <v>#DIV/0!</v>
          </cell>
          <cell r="BU196">
            <v>0</v>
          </cell>
          <cell r="BV196">
            <v>0</v>
          </cell>
          <cell r="BW196" t="e">
            <v>#DIV/0!</v>
          </cell>
          <cell r="BX196">
            <v>0</v>
          </cell>
          <cell r="BY196">
            <v>0</v>
          </cell>
          <cell r="BZ196" t="e">
            <v>#DIV/0!</v>
          </cell>
          <cell r="CA196">
            <v>0</v>
          </cell>
          <cell r="CB196">
            <v>0</v>
          </cell>
          <cell r="CC196" t="e">
            <v>#DIV/0!</v>
          </cell>
          <cell r="CE196" t="str">
            <v>722 ELECTRICITE</v>
          </cell>
          <cell r="CF196">
            <v>0</v>
          </cell>
          <cell r="CG196">
            <v>0</v>
          </cell>
          <cell r="CH196" t="e">
            <v>#DIV/0!</v>
          </cell>
          <cell r="CI196">
            <v>0</v>
          </cell>
          <cell r="CJ196">
            <v>0</v>
          </cell>
          <cell r="CK196" t="e">
            <v>#DIV/0!</v>
          </cell>
          <cell r="CL196">
            <v>0</v>
          </cell>
          <cell r="CM196">
            <v>0</v>
          </cell>
          <cell r="CN196" t="e">
            <v>#DIV/0!</v>
          </cell>
          <cell r="CO196">
            <v>0</v>
          </cell>
          <cell r="CP196">
            <v>0</v>
          </cell>
          <cell r="CQ196" t="e">
            <v>#DIV/0!</v>
          </cell>
          <cell r="CR196">
            <v>0</v>
          </cell>
          <cell r="CS196">
            <v>0</v>
          </cell>
          <cell r="CT196" t="e">
            <v>#DIV/0!</v>
          </cell>
          <cell r="CV196" t="str">
            <v>722 ELECTRICITE</v>
          </cell>
          <cell r="CW196">
            <v>0</v>
          </cell>
          <cell r="CX196">
            <v>0</v>
          </cell>
          <cell r="CY196" t="e">
            <v>#DIV/0!</v>
          </cell>
          <cell r="CZ196">
            <v>0</v>
          </cell>
          <cell r="DA196">
            <v>0</v>
          </cell>
          <cell r="DB196" t="e">
            <v>#DIV/0!</v>
          </cell>
          <cell r="DC196">
            <v>0</v>
          </cell>
          <cell r="DD196">
            <v>0</v>
          </cell>
          <cell r="DE196" t="e">
            <v>#DIV/0!</v>
          </cell>
          <cell r="DF196">
            <v>0</v>
          </cell>
          <cell r="DG196">
            <v>0</v>
          </cell>
          <cell r="DH196" t="e">
            <v>#DIV/0!</v>
          </cell>
          <cell r="DJ196" t="str">
            <v>722 ELECTRICITE</v>
          </cell>
          <cell r="DK196">
            <v>0</v>
          </cell>
          <cell r="DL196">
            <v>0</v>
          </cell>
          <cell r="DM196" t="e">
            <v>#DIV/0!</v>
          </cell>
          <cell r="DN196">
            <v>0</v>
          </cell>
          <cell r="DO196">
            <v>0</v>
          </cell>
          <cell r="DP196" t="e">
            <v>#DIV/0!</v>
          </cell>
          <cell r="DQ196">
            <v>0</v>
          </cell>
          <cell r="DR196">
            <v>0</v>
          </cell>
          <cell r="DS196" t="e">
            <v>#DIV/0!</v>
          </cell>
          <cell r="DT196">
            <v>0</v>
          </cell>
          <cell r="DU196">
            <v>0</v>
          </cell>
          <cell r="DV196" t="e">
            <v>#DIV/0!</v>
          </cell>
          <cell r="DX196" t="str">
            <v>722 ELECTRICITE</v>
          </cell>
          <cell r="DY196">
            <v>0</v>
          </cell>
          <cell r="DZ196">
            <v>0</v>
          </cell>
          <cell r="EA196" t="e">
            <v>#DIV/0!</v>
          </cell>
          <cell r="EB196">
            <v>0</v>
          </cell>
          <cell r="EC196">
            <v>0</v>
          </cell>
          <cell r="ED196" t="e">
            <v>#DIV/0!</v>
          </cell>
          <cell r="EE196">
            <v>0</v>
          </cell>
          <cell r="EF196">
            <v>0</v>
          </cell>
          <cell r="EG196" t="e">
            <v>#DIV/0!</v>
          </cell>
          <cell r="EH196">
            <v>0</v>
          </cell>
          <cell r="EI196">
            <v>0</v>
          </cell>
          <cell r="EJ196" t="e">
            <v>#DIV/0!</v>
          </cell>
          <cell r="EK196">
            <v>0</v>
          </cell>
          <cell r="EL196">
            <v>0</v>
          </cell>
          <cell r="EM196" t="e">
            <v>#DIV/0!</v>
          </cell>
          <cell r="EO196" t="str">
            <v>722 ELECTRICITE</v>
          </cell>
          <cell r="EP196">
            <v>0</v>
          </cell>
          <cell r="EQ196">
            <v>0</v>
          </cell>
          <cell r="ER196" t="e">
            <v>#DIV/0!</v>
          </cell>
          <cell r="ES196">
            <v>0</v>
          </cell>
          <cell r="ET196">
            <v>0</v>
          </cell>
          <cell r="EU196" t="e">
            <v>#DIV/0!</v>
          </cell>
          <cell r="EV196">
            <v>0</v>
          </cell>
          <cell r="EW196">
            <v>0</v>
          </cell>
          <cell r="EX196" t="e">
            <v>#DIV/0!</v>
          </cell>
          <cell r="EY196">
            <v>0</v>
          </cell>
          <cell r="EZ196">
            <v>0</v>
          </cell>
          <cell r="FA196" t="e">
            <v>#DIV/0!</v>
          </cell>
          <cell r="FC196" t="str">
            <v>722 ELECTRICITE</v>
          </cell>
          <cell r="FD196">
            <v>0</v>
          </cell>
          <cell r="FE196">
            <v>0</v>
          </cell>
          <cell r="FF196" t="e">
            <v>#DIV/0!</v>
          </cell>
          <cell r="FG196">
            <v>0</v>
          </cell>
          <cell r="FH196">
            <v>0</v>
          </cell>
          <cell r="FI196" t="e">
            <v>#DIV/0!</v>
          </cell>
          <cell r="FJ196">
            <v>0</v>
          </cell>
          <cell r="FK196">
            <v>0</v>
          </cell>
          <cell r="FL196" t="e">
            <v>#DIV/0!</v>
          </cell>
          <cell r="FM196">
            <v>0</v>
          </cell>
          <cell r="FN196">
            <v>0</v>
          </cell>
          <cell r="FO196" t="e">
            <v>#DIV/0!</v>
          </cell>
          <cell r="FP196">
            <v>0</v>
          </cell>
          <cell r="FQ196">
            <v>0</v>
          </cell>
          <cell r="FR196" t="e">
            <v>#DIV/0!</v>
          </cell>
        </row>
        <row r="197">
          <cell r="AZ197" t="str">
            <v>723 A CESS PERS</v>
          </cell>
          <cell r="BA197">
            <v>0</v>
          </cell>
          <cell r="BB197">
            <v>0</v>
          </cell>
          <cell r="BC197" t="e">
            <v>#DIV/0!</v>
          </cell>
          <cell r="BD197">
            <v>0</v>
          </cell>
          <cell r="BE197">
            <v>0</v>
          </cell>
          <cell r="BF197" t="e">
            <v>#DIV/0!</v>
          </cell>
          <cell r="BG197">
            <v>0</v>
          </cell>
          <cell r="BH197">
            <v>0</v>
          </cell>
          <cell r="BI197" t="e">
            <v>#DIV/0!</v>
          </cell>
          <cell r="BJ197">
            <v>0</v>
          </cell>
          <cell r="BK197">
            <v>0</v>
          </cell>
          <cell r="BL197" t="e">
            <v>#DIV/0!</v>
          </cell>
          <cell r="BN197" t="str">
            <v>723 A CESS PERS</v>
          </cell>
          <cell r="BO197">
            <v>0</v>
          </cell>
          <cell r="BP197">
            <v>0</v>
          </cell>
          <cell r="BQ197" t="e">
            <v>#DIV/0!</v>
          </cell>
          <cell r="BR197">
            <v>0</v>
          </cell>
          <cell r="BS197">
            <v>0</v>
          </cell>
          <cell r="BT197" t="e">
            <v>#DIV/0!</v>
          </cell>
          <cell r="BU197">
            <v>0</v>
          </cell>
          <cell r="BV197">
            <v>0</v>
          </cell>
          <cell r="BW197" t="e">
            <v>#DIV/0!</v>
          </cell>
          <cell r="BX197">
            <v>0</v>
          </cell>
          <cell r="BY197">
            <v>0</v>
          </cell>
          <cell r="BZ197" t="e">
            <v>#DIV/0!</v>
          </cell>
          <cell r="CA197">
            <v>0</v>
          </cell>
          <cell r="CB197">
            <v>0</v>
          </cell>
          <cell r="CC197" t="e">
            <v>#DIV/0!</v>
          </cell>
          <cell r="CE197" t="str">
            <v>723 A CESS PERS</v>
          </cell>
          <cell r="CF197">
            <v>0</v>
          </cell>
          <cell r="CG197">
            <v>0</v>
          </cell>
          <cell r="CH197" t="e">
            <v>#DIV/0!</v>
          </cell>
          <cell r="CI197">
            <v>0</v>
          </cell>
          <cell r="CJ197">
            <v>0</v>
          </cell>
          <cell r="CK197" t="e">
            <v>#DIV/0!</v>
          </cell>
          <cell r="CL197">
            <v>0</v>
          </cell>
          <cell r="CM197">
            <v>0</v>
          </cell>
          <cell r="CN197" t="e">
            <v>#DIV/0!</v>
          </cell>
          <cell r="CO197">
            <v>0</v>
          </cell>
          <cell r="CP197">
            <v>0</v>
          </cell>
          <cell r="CQ197" t="e">
            <v>#DIV/0!</v>
          </cell>
          <cell r="CR197">
            <v>0</v>
          </cell>
          <cell r="CS197">
            <v>0</v>
          </cell>
          <cell r="CT197" t="e">
            <v>#DIV/0!</v>
          </cell>
          <cell r="CV197" t="str">
            <v>723 A CESS PERS</v>
          </cell>
          <cell r="CW197">
            <v>0</v>
          </cell>
          <cell r="CX197">
            <v>0</v>
          </cell>
          <cell r="CY197" t="e">
            <v>#DIV/0!</v>
          </cell>
          <cell r="CZ197">
            <v>0</v>
          </cell>
          <cell r="DA197">
            <v>0</v>
          </cell>
          <cell r="DB197" t="e">
            <v>#DIV/0!</v>
          </cell>
          <cell r="DC197">
            <v>0</v>
          </cell>
          <cell r="DD197">
            <v>0</v>
          </cell>
          <cell r="DE197" t="e">
            <v>#DIV/0!</v>
          </cell>
          <cell r="DF197">
            <v>0</v>
          </cell>
          <cell r="DG197">
            <v>0</v>
          </cell>
          <cell r="DH197" t="e">
            <v>#DIV/0!</v>
          </cell>
          <cell r="DJ197" t="str">
            <v>723 A CESS PERS</v>
          </cell>
          <cell r="DK197">
            <v>0</v>
          </cell>
          <cell r="DL197">
            <v>0</v>
          </cell>
          <cell r="DM197" t="e">
            <v>#DIV/0!</v>
          </cell>
          <cell r="DN197">
            <v>0</v>
          </cell>
          <cell r="DO197">
            <v>0</v>
          </cell>
          <cell r="DP197" t="e">
            <v>#DIV/0!</v>
          </cell>
          <cell r="DQ197">
            <v>0</v>
          </cell>
          <cell r="DR197">
            <v>0</v>
          </cell>
          <cell r="DS197" t="e">
            <v>#DIV/0!</v>
          </cell>
          <cell r="DT197">
            <v>0</v>
          </cell>
          <cell r="DU197">
            <v>0</v>
          </cell>
          <cell r="DV197" t="e">
            <v>#DIV/0!</v>
          </cell>
          <cell r="DX197" t="str">
            <v>723 A CESS PERS</v>
          </cell>
          <cell r="DY197">
            <v>0</v>
          </cell>
          <cell r="DZ197">
            <v>0</v>
          </cell>
          <cell r="EA197" t="e">
            <v>#DIV/0!</v>
          </cell>
          <cell r="EB197">
            <v>0</v>
          </cell>
          <cell r="EC197">
            <v>0</v>
          </cell>
          <cell r="ED197" t="e">
            <v>#DIV/0!</v>
          </cell>
          <cell r="EE197">
            <v>0</v>
          </cell>
          <cell r="EF197">
            <v>0</v>
          </cell>
          <cell r="EG197" t="e">
            <v>#DIV/0!</v>
          </cell>
          <cell r="EH197">
            <v>0</v>
          </cell>
          <cell r="EI197">
            <v>0</v>
          </cell>
          <cell r="EJ197" t="e">
            <v>#DIV/0!</v>
          </cell>
          <cell r="EK197">
            <v>0</v>
          </cell>
          <cell r="EL197">
            <v>0</v>
          </cell>
          <cell r="EM197" t="e">
            <v>#DIV/0!</v>
          </cell>
          <cell r="EO197" t="str">
            <v>723 A CESS PERS</v>
          </cell>
          <cell r="EP197">
            <v>0</v>
          </cell>
          <cell r="EQ197">
            <v>0</v>
          </cell>
          <cell r="ER197" t="e">
            <v>#DIV/0!</v>
          </cell>
          <cell r="ES197">
            <v>0</v>
          </cell>
          <cell r="ET197">
            <v>0</v>
          </cell>
          <cell r="EU197" t="e">
            <v>#DIV/0!</v>
          </cell>
          <cell r="EV197">
            <v>0</v>
          </cell>
          <cell r="EW197">
            <v>0</v>
          </cell>
          <cell r="EX197" t="e">
            <v>#DIV/0!</v>
          </cell>
          <cell r="EY197">
            <v>0</v>
          </cell>
          <cell r="EZ197">
            <v>0</v>
          </cell>
          <cell r="FA197" t="e">
            <v>#DIV/0!</v>
          </cell>
          <cell r="FC197" t="str">
            <v>723 A CESS PERS</v>
          </cell>
          <cell r="FD197">
            <v>0</v>
          </cell>
          <cell r="FE197">
            <v>0</v>
          </cell>
          <cell r="FF197" t="e">
            <v>#DIV/0!</v>
          </cell>
          <cell r="FG197">
            <v>0</v>
          </cell>
          <cell r="FH197">
            <v>0</v>
          </cell>
          <cell r="FI197" t="e">
            <v>#DIV/0!</v>
          </cell>
          <cell r="FJ197">
            <v>0</v>
          </cell>
          <cell r="FK197">
            <v>0</v>
          </cell>
          <cell r="FL197" t="e">
            <v>#DIV/0!</v>
          </cell>
          <cell r="FM197">
            <v>0</v>
          </cell>
          <cell r="FN197">
            <v>0</v>
          </cell>
          <cell r="FO197" t="e">
            <v>#DIV/0!</v>
          </cell>
          <cell r="FP197">
            <v>0</v>
          </cell>
          <cell r="FQ197">
            <v>0</v>
          </cell>
          <cell r="FR197" t="e">
            <v>#DIV/0!</v>
          </cell>
        </row>
        <row r="198">
          <cell r="AZ198" t="str">
            <v>724 C PREST.TIERS</v>
          </cell>
          <cell r="BA198">
            <v>0</v>
          </cell>
          <cell r="BB198">
            <v>0</v>
          </cell>
          <cell r="BC198" t="e">
            <v>#DIV/0!</v>
          </cell>
          <cell r="BD198">
            <v>0</v>
          </cell>
          <cell r="BE198">
            <v>0</v>
          </cell>
          <cell r="BF198" t="e">
            <v>#DIV/0!</v>
          </cell>
          <cell r="BG198">
            <v>0</v>
          </cell>
          <cell r="BH198">
            <v>0</v>
          </cell>
          <cell r="BI198" t="e">
            <v>#DIV/0!</v>
          </cell>
          <cell r="BJ198">
            <v>0</v>
          </cell>
          <cell r="BK198">
            <v>0</v>
          </cell>
          <cell r="BL198" t="e">
            <v>#DIV/0!</v>
          </cell>
          <cell r="BN198" t="str">
            <v>724 C PREST.TIERS</v>
          </cell>
          <cell r="BO198">
            <v>0</v>
          </cell>
          <cell r="BP198">
            <v>0</v>
          </cell>
          <cell r="BQ198" t="e">
            <v>#DIV/0!</v>
          </cell>
          <cell r="BR198">
            <v>0</v>
          </cell>
          <cell r="BS198">
            <v>0</v>
          </cell>
          <cell r="BT198" t="e">
            <v>#DIV/0!</v>
          </cell>
          <cell r="BU198">
            <v>0</v>
          </cell>
          <cell r="BV198">
            <v>0</v>
          </cell>
          <cell r="BW198" t="e">
            <v>#DIV/0!</v>
          </cell>
          <cell r="BX198">
            <v>0</v>
          </cell>
          <cell r="BY198">
            <v>0</v>
          </cell>
          <cell r="BZ198" t="e">
            <v>#DIV/0!</v>
          </cell>
          <cell r="CA198">
            <v>0</v>
          </cell>
          <cell r="CB198">
            <v>0</v>
          </cell>
          <cell r="CC198" t="e">
            <v>#DIV/0!</v>
          </cell>
          <cell r="CE198" t="str">
            <v>724 C PREST.TIERS</v>
          </cell>
          <cell r="CF198">
            <v>0</v>
          </cell>
          <cell r="CG198">
            <v>0</v>
          </cell>
          <cell r="CH198" t="e">
            <v>#DIV/0!</v>
          </cell>
          <cell r="CI198">
            <v>0</v>
          </cell>
          <cell r="CJ198">
            <v>0</v>
          </cell>
          <cell r="CK198" t="e">
            <v>#DIV/0!</v>
          </cell>
          <cell r="CL198">
            <v>0</v>
          </cell>
          <cell r="CM198">
            <v>0</v>
          </cell>
          <cell r="CN198" t="e">
            <v>#DIV/0!</v>
          </cell>
          <cell r="CO198">
            <v>0</v>
          </cell>
          <cell r="CP198">
            <v>0</v>
          </cell>
          <cell r="CQ198" t="e">
            <v>#DIV/0!</v>
          </cell>
          <cell r="CR198">
            <v>0</v>
          </cell>
          <cell r="CS198">
            <v>0</v>
          </cell>
          <cell r="CT198" t="e">
            <v>#DIV/0!</v>
          </cell>
          <cell r="CV198" t="str">
            <v>724 C PREST.TIERS</v>
          </cell>
          <cell r="CW198">
            <v>0</v>
          </cell>
          <cell r="CX198">
            <v>0</v>
          </cell>
          <cell r="CY198" t="e">
            <v>#DIV/0!</v>
          </cell>
          <cell r="CZ198">
            <v>0</v>
          </cell>
          <cell r="DA198">
            <v>0</v>
          </cell>
          <cell r="DB198" t="e">
            <v>#DIV/0!</v>
          </cell>
          <cell r="DC198">
            <v>0</v>
          </cell>
          <cell r="DD198">
            <v>0</v>
          </cell>
          <cell r="DE198" t="e">
            <v>#DIV/0!</v>
          </cell>
          <cell r="DF198">
            <v>0</v>
          </cell>
          <cell r="DG198">
            <v>0</v>
          </cell>
          <cell r="DH198" t="e">
            <v>#DIV/0!</v>
          </cell>
          <cell r="DJ198" t="str">
            <v>724 C PREST.TIERS</v>
          </cell>
          <cell r="DK198">
            <v>0</v>
          </cell>
          <cell r="DL198">
            <v>0</v>
          </cell>
          <cell r="DM198" t="e">
            <v>#DIV/0!</v>
          </cell>
          <cell r="DN198">
            <v>0</v>
          </cell>
          <cell r="DO198">
            <v>0</v>
          </cell>
          <cell r="DP198" t="e">
            <v>#DIV/0!</v>
          </cell>
          <cell r="DQ198">
            <v>0</v>
          </cell>
          <cell r="DR198">
            <v>0</v>
          </cell>
          <cell r="DS198" t="e">
            <v>#DIV/0!</v>
          </cell>
          <cell r="DT198">
            <v>0</v>
          </cell>
          <cell r="DU198">
            <v>0</v>
          </cell>
          <cell r="DV198" t="e">
            <v>#DIV/0!</v>
          </cell>
          <cell r="DX198" t="str">
            <v>724 C PREST.TIERS</v>
          </cell>
          <cell r="DY198">
            <v>0</v>
          </cell>
          <cell r="DZ198">
            <v>0</v>
          </cell>
          <cell r="EA198" t="e">
            <v>#DIV/0!</v>
          </cell>
          <cell r="EB198">
            <v>0</v>
          </cell>
          <cell r="EC198">
            <v>0</v>
          </cell>
          <cell r="ED198" t="e">
            <v>#DIV/0!</v>
          </cell>
          <cell r="EE198">
            <v>0</v>
          </cell>
          <cell r="EF198">
            <v>0</v>
          </cell>
          <cell r="EG198" t="e">
            <v>#DIV/0!</v>
          </cell>
          <cell r="EH198">
            <v>0</v>
          </cell>
          <cell r="EI198">
            <v>0</v>
          </cell>
          <cell r="EJ198" t="e">
            <v>#DIV/0!</v>
          </cell>
          <cell r="EK198">
            <v>0</v>
          </cell>
          <cell r="EL198">
            <v>0</v>
          </cell>
          <cell r="EM198" t="e">
            <v>#DIV/0!</v>
          </cell>
          <cell r="EO198" t="str">
            <v>724 C PREST.TIERS</v>
          </cell>
          <cell r="EP198">
            <v>0</v>
          </cell>
          <cell r="EQ198">
            <v>0</v>
          </cell>
          <cell r="ER198" t="e">
            <v>#DIV/0!</v>
          </cell>
          <cell r="ES198">
            <v>0</v>
          </cell>
          <cell r="ET198">
            <v>0</v>
          </cell>
          <cell r="EU198" t="e">
            <v>#DIV/0!</v>
          </cell>
          <cell r="EV198">
            <v>0</v>
          </cell>
          <cell r="EW198">
            <v>0</v>
          </cell>
          <cell r="EX198" t="e">
            <v>#DIV/0!</v>
          </cell>
          <cell r="EY198">
            <v>0</v>
          </cell>
          <cell r="EZ198">
            <v>0</v>
          </cell>
          <cell r="FA198" t="e">
            <v>#DIV/0!</v>
          </cell>
          <cell r="FC198" t="str">
            <v>724 C PREST.TIERS</v>
          </cell>
          <cell r="FD198">
            <v>0</v>
          </cell>
          <cell r="FE198">
            <v>0</v>
          </cell>
          <cell r="FF198" t="e">
            <v>#DIV/0!</v>
          </cell>
          <cell r="FG198">
            <v>0</v>
          </cell>
          <cell r="FH198">
            <v>0</v>
          </cell>
          <cell r="FI198" t="e">
            <v>#DIV/0!</v>
          </cell>
          <cell r="FJ198">
            <v>0</v>
          </cell>
          <cell r="FK198">
            <v>0</v>
          </cell>
          <cell r="FL198" t="e">
            <v>#DIV/0!</v>
          </cell>
          <cell r="FM198">
            <v>0</v>
          </cell>
          <cell r="FN198">
            <v>0</v>
          </cell>
          <cell r="FO198" t="e">
            <v>#DIV/0!</v>
          </cell>
          <cell r="FP198">
            <v>0</v>
          </cell>
          <cell r="FQ198">
            <v>0</v>
          </cell>
          <cell r="FR198" t="e">
            <v>#DIV/0!</v>
          </cell>
        </row>
        <row r="199">
          <cell r="AZ199" t="str">
            <v>730 PRODUIT ESE</v>
          </cell>
          <cell r="BA199">
            <v>0</v>
          </cell>
          <cell r="BB199">
            <v>0</v>
          </cell>
          <cell r="BC199" t="e">
            <v>#DIV/0!</v>
          </cell>
          <cell r="BD199">
            <v>0</v>
          </cell>
          <cell r="BE199">
            <v>0</v>
          </cell>
          <cell r="BF199" t="e">
            <v>#DIV/0!</v>
          </cell>
          <cell r="BG199">
            <v>0</v>
          </cell>
          <cell r="BH199">
            <v>0</v>
          </cell>
          <cell r="BI199" t="e">
            <v>#DIV/0!</v>
          </cell>
          <cell r="BJ199">
            <v>0</v>
          </cell>
          <cell r="BK199">
            <v>0</v>
          </cell>
          <cell r="BL199" t="e">
            <v>#DIV/0!</v>
          </cell>
          <cell r="BN199" t="str">
            <v>730 PRODUIT ESE</v>
          </cell>
          <cell r="BO199">
            <v>0</v>
          </cell>
          <cell r="BP199">
            <v>0</v>
          </cell>
          <cell r="BQ199" t="e">
            <v>#DIV/0!</v>
          </cell>
          <cell r="BR199">
            <v>0</v>
          </cell>
          <cell r="BS199">
            <v>0</v>
          </cell>
          <cell r="BT199" t="e">
            <v>#DIV/0!</v>
          </cell>
          <cell r="BU199">
            <v>0</v>
          </cell>
          <cell r="BV199">
            <v>0</v>
          </cell>
          <cell r="BW199" t="e">
            <v>#DIV/0!</v>
          </cell>
          <cell r="BX199">
            <v>0</v>
          </cell>
          <cell r="BY199">
            <v>0</v>
          </cell>
          <cell r="BZ199" t="e">
            <v>#DIV/0!</v>
          </cell>
          <cell r="CA199">
            <v>0</v>
          </cell>
          <cell r="CB199">
            <v>0</v>
          </cell>
          <cell r="CC199" t="e">
            <v>#DIV/0!</v>
          </cell>
          <cell r="CE199" t="str">
            <v>730 PRODUIT ESE</v>
          </cell>
          <cell r="CF199">
            <v>0</v>
          </cell>
          <cell r="CG199">
            <v>0</v>
          </cell>
          <cell r="CH199" t="e">
            <v>#DIV/0!</v>
          </cell>
          <cell r="CI199">
            <v>0</v>
          </cell>
          <cell r="CJ199">
            <v>0</v>
          </cell>
          <cell r="CK199" t="e">
            <v>#DIV/0!</v>
          </cell>
          <cell r="CL199">
            <v>0</v>
          </cell>
          <cell r="CM199">
            <v>0</v>
          </cell>
          <cell r="CN199" t="e">
            <v>#DIV/0!</v>
          </cell>
          <cell r="CO199">
            <v>0</v>
          </cell>
          <cell r="CP199">
            <v>0</v>
          </cell>
          <cell r="CQ199" t="e">
            <v>#DIV/0!</v>
          </cell>
          <cell r="CR199">
            <v>0</v>
          </cell>
          <cell r="CS199">
            <v>0</v>
          </cell>
          <cell r="CT199" t="e">
            <v>#DIV/0!</v>
          </cell>
          <cell r="CV199" t="str">
            <v>730 PRODUIT ESE</v>
          </cell>
          <cell r="CW199">
            <v>0</v>
          </cell>
          <cell r="CX199">
            <v>0</v>
          </cell>
          <cell r="CY199" t="e">
            <v>#DIV/0!</v>
          </cell>
          <cell r="CZ199">
            <v>0</v>
          </cell>
          <cell r="DA199">
            <v>0</v>
          </cell>
          <cell r="DB199" t="e">
            <v>#DIV/0!</v>
          </cell>
          <cell r="DC199">
            <v>0</v>
          </cell>
          <cell r="DD199">
            <v>0</v>
          </cell>
          <cell r="DE199" t="e">
            <v>#DIV/0!</v>
          </cell>
          <cell r="DF199">
            <v>0</v>
          </cell>
          <cell r="DG199">
            <v>0</v>
          </cell>
          <cell r="DH199" t="e">
            <v>#DIV/0!</v>
          </cell>
          <cell r="DJ199" t="str">
            <v>730 PRODUIT ESE</v>
          </cell>
          <cell r="DK199">
            <v>0</v>
          </cell>
          <cell r="DL199">
            <v>0</v>
          </cell>
          <cell r="DM199" t="e">
            <v>#DIV/0!</v>
          </cell>
          <cell r="DN199">
            <v>0</v>
          </cell>
          <cell r="DO199">
            <v>0</v>
          </cell>
          <cell r="DP199" t="e">
            <v>#DIV/0!</v>
          </cell>
          <cell r="DQ199">
            <v>0</v>
          </cell>
          <cell r="DR199">
            <v>0</v>
          </cell>
          <cell r="DS199" t="e">
            <v>#DIV/0!</v>
          </cell>
          <cell r="DT199">
            <v>0</v>
          </cell>
          <cell r="DU199">
            <v>0</v>
          </cell>
          <cell r="DV199" t="e">
            <v>#DIV/0!</v>
          </cell>
          <cell r="DX199" t="str">
            <v>730 PRODUIT ESE</v>
          </cell>
          <cell r="DY199">
            <v>0</v>
          </cell>
          <cell r="DZ199">
            <v>0</v>
          </cell>
          <cell r="EA199" t="e">
            <v>#DIV/0!</v>
          </cell>
          <cell r="EB199">
            <v>0</v>
          </cell>
          <cell r="EC199">
            <v>0</v>
          </cell>
          <cell r="ED199" t="e">
            <v>#DIV/0!</v>
          </cell>
          <cell r="EE199">
            <v>0</v>
          </cell>
          <cell r="EF199">
            <v>0</v>
          </cell>
          <cell r="EG199" t="e">
            <v>#DIV/0!</v>
          </cell>
          <cell r="EH199">
            <v>0</v>
          </cell>
          <cell r="EI199">
            <v>0</v>
          </cell>
          <cell r="EJ199" t="e">
            <v>#DIV/0!</v>
          </cell>
          <cell r="EK199">
            <v>0</v>
          </cell>
          <cell r="EL199">
            <v>0</v>
          </cell>
          <cell r="EM199" t="e">
            <v>#DIV/0!</v>
          </cell>
          <cell r="EO199" t="str">
            <v>730 PRODUIT ESE</v>
          </cell>
          <cell r="EP199">
            <v>0</v>
          </cell>
          <cell r="EQ199">
            <v>0</v>
          </cell>
          <cell r="ER199" t="e">
            <v>#DIV/0!</v>
          </cell>
          <cell r="ES199">
            <v>0</v>
          </cell>
          <cell r="ET199">
            <v>0</v>
          </cell>
          <cell r="EU199" t="e">
            <v>#DIV/0!</v>
          </cell>
          <cell r="EV199">
            <v>0</v>
          </cell>
          <cell r="EW199">
            <v>0</v>
          </cell>
          <cell r="EX199" t="e">
            <v>#DIV/0!</v>
          </cell>
          <cell r="EY199">
            <v>0</v>
          </cell>
          <cell r="EZ199">
            <v>0</v>
          </cell>
          <cell r="FA199" t="e">
            <v>#DIV/0!</v>
          </cell>
          <cell r="FC199" t="str">
            <v>730 PRODUIT ESE</v>
          </cell>
          <cell r="FD199">
            <v>0</v>
          </cell>
          <cell r="FE199">
            <v>0</v>
          </cell>
          <cell r="FF199" t="e">
            <v>#DIV/0!</v>
          </cell>
          <cell r="FG199">
            <v>0</v>
          </cell>
          <cell r="FH199">
            <v>0</v>
          </cell>
          <cell r="FI199" t="e">
            <v>#DIV/0!</v>
          </cell>
          <cell r="FJ199">
            <v>0</v>
          </cell>
          <cell r="FK199">
            <v>0</v>
          </cell>
          <cell r="FL199" t="e">
            <v>#DIV/0!</v>
          </cell>
          <cell r="FM199">
            <v>0</v>
          </cell>
          <cell r="FN199">
            <v>0</v>
          </cell>
          <cell r="FO199" t="e">
            <v>#DIV/0!</v>
          </cell>
          <cell r="FP199">
            <v>0</v>
          </cell>
          <cell r="FQ199">
            <v>0</v>
          </cell>
          <cell r="FR199" t="e">
            <v>#DIV/0!</v>
          </cell>
        </row>
        <row r="200">
          <cell r="AZ200" t="str">
            <v>751 IMMO PRODUIT</v>
          </cell>
          <cell r="BA200">
            <v>0</v>
          </cell>
          <cell r="BB200">
            <v>0</v>
          </cell>
          <cell r="BC200" t="e">
            <v>#DIV/0!</v>
          </cell>
          <cell r="BD200">
            <v>0</v>
          </cell>
          <cell r="BE200">
            <v>0</v>
          </cell>
          <cell r="BF200" t="e">
            <v>#DIV/0!</v>
          </cell>
          <cell r="BG200">
            <v>0</v>
          </cell>
          <cell r="BH200">
            <v>0</v>
          </cell>
          <cell r="BI200" t="e">
            <v>#DIV/0!</v>
          </cell>
          <cell r="BJ200">
            <v>0</v>
          </cell>
          <cell r="BK200">
            <v>0</v>
          </cell>
          <cell r="BL200" t="e">
            <v>#DIV/0!</v>
          </cell>
          <cell r="BN200" t="str">
            <v>751 IMMO PRODUIT</v>
          </cell>
          <cell r="BO200">
            <v>0</v>
          </cell>
          <cell r="BP200">
            <v>0</v>
          </cell>
          <cell r="BQ200" t="e">
            <v>#DIV/0!</v>
          </cell>
          <cell r="BR200">
            <v>0</v>
          </cell>
          <cell r="BS200">
            <v>0</v>
          </cell>
          <cell r="BT200" t="e">
            <v>#DIV/0!</v>
          </cell>
          <cell r="BU200">
            <v>0</v>
          </cell>
          <cell r="BV200">
            <v>0</v>
          </cell>
          <cell r="BW200" t="e">
            <v>#DIV/0!</v>
          </cell>
          <cell r="BX200">
            <v>0</v>
          </cell>
          <cell r="BY200">
            <v>0</v>
          </cell>
          <cell r="BZ200" t="e">
            <v>#DIV/0!</v>
          </cell>
          <cell r="CA200">
            <v>0</v>
          </cell>
          <cell r="CB200">
            <v>0</v>
          </cell>
          <cell r="CC200" t="e">
            <v>#DIV/0!</v>
          </cell>
          <cell r="CE200" t="str">
            <v>751 IMMO PRODUIT</v>
          </cell>
          <cell r="CF200">
            <v>0</v>
          </cell>
          <cell r="CG200">
            <v>0</v>
          </cell>
          <cell r="CH200" t="e">
            <v>#DIV/0!</v>
          </cell>
          <cell r="CI200">
            <v>0</v>
          </cell>
          <cell r="CJ200">
            <v>0</v>
          </cell>
          <cell r="CK200" t="e">
            <v>#DIV/0!</v>
          </cell>
          <cell r="CL200">
            <v>0</v>
          </cell>
          <cell r="CM200">
            <v>0</v>
          </cell>
          <cell r="CN200" t="e">
            <v>#DIV/0!</v>
          </cell>
          <cell r="CO200">
            <v>0</v>
          </cell>
          <cell r="CP200">
            <v>0</v>
          </cell>
          <cell r="CQ200" t="e">
            <v>#DIV/0!</v>
          </cell>
          <cell r="CR200">
            <v>0</v>
          </cell>
          <cell r="CS200">
            <v>0</v>
          </cell>
          <cell r="CT200" t="e">
            <v>#DIV/0!</v>
          </cell>
          <cell r="CV200" t="str">
            <v>751 IMMO PRODUIT</v>
          </cell>
          <cell r="CW200">
            <v>0</v>
          </cell>
          <cell r="CX200">
            <v>0</v>
          </cell>
          <cell r="CY200" t="e">
            <v>#DIV/0!</v>
          </cell>
          <cell r="CZ200">
            <v>0</v>
          </cell>
          <cell r="DA200">
            <v>0</v>
          </cell>
          <cell r="DB200" t="e">
            <v>#DIV/0!</v>
          </cell>
          <cell r="DC200">
            <v>0</v>
          </cell>
          <cell r="DD200">
            <v>0</v>
          </cell>
          <cell r="DE200" t="e">
            <v>#DIV/0!</v>
          </cell>
          <cell r="DF200">
            <v>0</v>
          </cell>
          <cell r="DG200">
            <v>0</v>
          </cell>
          <cell r="DH200" t="e">
            <v>#DIV/0!</v>
          </cell>
          <cell r="DJ200" t="str">
            <v>751 IMMO PRODUIT</v>
          </cell>
          <cell r="DK200">
            <v>0</v>
          </cell>
          <cell r="DL200">
            <v>0</v>
          </cell>
          <cell r="DM200" t="e">
            <v>#DIV/0!</v>
          </cell>
          <cell r="DN200">
            <v>0</v>
          </cell>
          <cell r="DO200">
            <v>0</v>
          </cell>
          <cell r="DP200" t="e">
            <v>#DIV/0!</v>
          </cell>
          <cell r="DQ200">
            <v>0</v>
          </cell>
          <cell r="DR200">
            <v>0</v>
          </cell>
          <cell r="DS200" t="e">
            <v>#DIV/0!</v>
          </cell>
          <cell r="DT200">
            <v>0</v>
          </cell>
          <cell r="DU200">
            <v>0</v>
          </cell>
          <cell r="DV200" t="e">
            <v>#DIV/0!</v>
          </cell>
          <cell r="DX200" t="str">
            <v>751 IMMO PRODUIT</v>
          </cell>
          <cell r="DY200">
            <v>0</v>
          </cell>
          <cell r="DZ200">
            <v>0</v>
          </cell>
          <cell r="EA200" t="e">
            <v>#DIV/0!</v>
          </cell>
          <cell r="EB200">
            <v>0</v>
          </cell>
          <cell r="EC200">
            <v>0</v>
          </cell>
          <cell r="ED200" t="e">
            <v>#DIV/0!</v>
          </cell>
          <cell r="EE200">
            <v>0</v>
          </cell>
          <cell r="EF200">
            <v>0</v>
          </cell>
          <cell r="EG200" t="e">
            <v>#DIV/0!</v>
          </cell>
          <cell r="EH200">
            <v>0</v>
          </cell>
          <cell r="EI200">
            <v>0</v>
          </cell>
          <cell r="EJ200" t="e">
            <v>#DIV/0!</v>
          </cell>
          <cell r="EK200">
            <v>0</v>
          </cell>
          <cell r="EL200">
            <v>0</v>
          </cell>
          <cell r="EM200" t="e">
            <v>#DIV/0!</v>
          </cell>
          <cell r="EO200" t="str">
            <v>751 IMMO PRODUIT</v>
          </cell>
          <cell r="EP200">
            <v>0</v>
          </cell>
          <cell r="EQ200">
            <v>0</v>
          </cell>
          <cell r="ER200" t="e">
            <v>#DIV/0!</v>
          </cell>
          <cell r="ES200">
            <v>0</v>
          </cell>
          <cell r="ET200">
            <v>0</v>
          </cell>
          <cell r="EU200" t="e">
            <v>#DIV/0!</v>
          </cell>
          <cell r="EV200">
            <v>0</v>
          </cell>
          <cell r="EW200">
            <v>0</v>
          </cell>
          <cell r="EX200" t="e">
            <v>#DIV/0!</v>
          </cell>
          <cell r="EY200">
            <v>0</v>
          </cell>
          <cell r="EZ200">
            <v>0</v>
          </cell>
          <cell r="FA200" t="e">
            <v>#DIV/0!</v>
          </cell>
          <cell r="FC200" t="str">
            <v>751 IMMO PRODUIT</v>
          </cell>
          <cell r="FD200">
            <v>0</v>
          </cell>
          <cell r="FE200">
            <v>0</v>
          </cell>
          <cell r="FF200" t="e">
            <v>#DIV/0!</v>
          </cell>
          <cell r="FG200">
            <v>0</v>
          </cell>
          <cell r="FH200">
            <v>0</v>
          </cell>
          <cell r="FI200" t="e">
            <v>#DIV/0!</v>
          </cell>
          <cell r="FJ200">
            <v>0</v>
          </cell>
          <cell r="FK200">
            <v>0</v>
          </cell>
          <cell r="FL200" t="e">
            <v>#DIV/0!</v>
          </cell>
          <cell r="FM200">
            <v>0</v>
          </cell>
          <cell r="FN200">
            <v>0</v>
          </cell>
          <cell r="FO200" t="e">
            <v>#DIV/0!</v>
          </cell>
          <cell r="FP200">
            <v>0</v>
          </cell>
          <cell r="FQ200">
            <v>0</v>
          </cell>
          <cell r="FR200" t="e">
            <v>#DIV/0!</v>
          </cell>
        </row>
        <row r="201">
          <cell r="AZ201" t="str">
            <v>7**</v>
          </cell>
          <cell r="BA201">
            <v>0</v>
          </cell>
          <cell r="BB201">
            <v>0</v>
          </cell>
          <cell r="BC201" t="e">
            <v>#DIV/0!</v>
          </cell>
          <cell r="BD201">
            <v>0</v>
          </cell>
          <cell r="BE201">
            <v>0</v>
          </cell>
          <cell r="BF201" t="e">
            <v>#DIV/0!</v>
          </cell>
          <cell r="BG201">
            <v>0</v>
          </cell>
          <cell r="BH201">
            <v>0</v>
          </cell>
          <cell r="BI201" t="e">
            <v>#DIV/0!</v>
          </cell>
          <cell r="BJ201">
            <v>0</v>
          </cell>
          <cell r="BK201">
            <v>0</v>
          </cell>
          <cell r="BL201" t="e">
            <v>#DIV/0!</v>
          </cell>
          <cell r="BN201" t="str">
            <v>7**</v>
          </cell>
          <cell r="BO201">
            <v>0</v>
          </cell>
          <cell r="BP201">
            <v>0</v>
          </cell>
          <cell r="BQ201" t="e">
            <v>#DIV/0!</v>
          </cell>
          <cell r="BR201">
            <v>0</v>
          </cell>
          <cell r="BS201">
            <v>0</v>
          </cell>
          <cell r="BT201" t="e">
            <v>#DIV/0!</v>
          </cell>
          <cell r="BU201">
            <v>0</v>
          </cell>
          <cell r="BV201">
            <v>0</v>
          </cell>
          <cell r="BW201" t="e">
            <v>#DIV/0!</v>
          </cell>
          <cell r="BX201">
            <v>0</v>
          </cell>
          <cell r="BY201">
            <v>0</v>
          </cell>
          <cell r="BZ201" t="e">
            <v>#DIV/0!</v>
          </cell>
          <cell r="CA201">
            <v>0</v>
          </cell>
          <cell r="CB201">
            <v>0</v>
          </cell>
          <cell r="CC201" t="e">
            <v>#DIV/0!</v>
          </cell>
          <cell r="CE201" t="str">
            <v>7**</v>
          </cell>
          <cell r="CF201">
            <v>0</v>
          </cell>
          <cell r="CG201">
            <v>0</v>
          </cell>
          <cell r="CH201" t="e">
            <v>#DIV/0!</v>
          </cell>
          <cell r="CI201">
            <v>0</v>
          </cell>
          <cell r="CJ201">
            <v>0</v>
          </cell>
          <cell r="CK201" t="e">
            <v>#DIV/0!</v>
          </cell>
          <cell r="CL201">
            <v>0</v>
          </cell>
          <cell r="CM201">
            <v>0</v>
          </cell>
          <cell r="CN201" t="e">
            <v>#DIV/0!</v>
          </cell>
          <cell r="CO201">
            <v>0</v>
          </cell>
          <cell r="CP201">
            <v>0</v>
          </cell>
          <cell r="CQ201" t="e">
            <v>#DIV/0!</v>
          </cell>
          <cell r="CR201">
            <v>0</v>
          </cell>
          <cell r="CS201">
            <v>0</v>
          </cell>
          <cell r="CT201" t="e">
            <v>#DIV/0!</v>
          </cell>
          <cell r="CV201" t="str">
            <v>7**</v>
          </cell>
          <cell r="CW201">
            <v>0</v>
          </cell>
          <cell r="CX201">
            <v>0</v>
          </cell>
          <cell r="CY201" t="e">
            <v>#DIV/0!</v>
          </cell>
          <cell r="CZ201">
            <v>0</v>
          </cell>
          <cell r="DA201">
            <v>0</v>
          </cell>
          <cell r="DB201" t="e">
            <v>#DIV/0!</v>
          </cell>
          <cell r="DC201">
            <v>0</v>
          </cell>
          <cell r="DD201">
            <v>0</v>
          </cell>
          <cell r="DE201" t="e">
            <v>#DIV/0!</v>
          </cell>
          <cell r="DF201">
            <v>0</v>
          </cell>
          <cell r="DG201">
            <v>0</v>
          </cell>
          <cell r="DH201" t="e">
            <v>#DIV/0!</v>
          </cell>
          <cell r="DJ201" t="str">
            <v>7**</v>
          </cell>
          <cell r="DK201">
            <v>0</v>
          </cell>
          <cell r="DL201">
            <v>0</v>
          </cell>
          <cell r="DM201" t="e">
            <v>#DIV/0!</v>
          </cell>
          <cell r="DN201">
            <v>0</v>
          </cell>
          <cell r="DO201">
            <v>0</v>
          </cell>
          <cell r="DP201" t="e">
            <v>#DIV/0!</v>
          </cell>
          <cell r="DQ201">
            <v>0</v>
          </cell>
          <cell r="DR201">
            <v>0</v>
          </cell>
          <cell r="DS201" t="e">
            <v>#DIV/0!</v>
          </cell>
          <cell r="DT201">
            <v>0</v>
          </cell>
          <cell r="DU201">
            <v>0</v>
          </cell>
          <cell r="DV201" t="e">
            <v>#DIV/0!</v>
          </cell>
          <cell r="DX201" t="str">
            <v>7**</v>
          </cell>
          <cell r="DY201">
            <v>0</v>
          </cell>
          <cell r="DZ201">
            <v>0</v>
          </cell>
          <cell r="EA201" t="e">
            <v>#DIV/0!</v>
          </cell>
          <cell r="EB201">
            <v>0</v>
          </cell>
          <cell r="EC201">
            <v>0</v>
          </cell>
          <cell r="ED201" t="e">
            <v>#DIV/0!</v>
          </cell>
          <cell r="EE201">
            <v>0</v>
          </cell>
          <cell r="EF201">
            <v>0</v>
          </cell>
          <cell r="EG201" t="e">
            <v>#DIV/0!</v>
          </cell>
          <cell r="EH201">
            <v>0</v>
          </cell>
          <cell r="EI201">
            <v>0</v>
          </cell>
          <cell r="EJ201" t="e">
            <v>#DIV/0!</v>
          </cell>
          <cell r="EK201">
            <v>0</v>
          </cell>
          <cell r="EL201">
            <v>0</v>
          </cell>
          <cell r="EM201" t="e">
            <v>#DIV/0!</v>
          </cell>
          <cell r="EO201" t="str">
            <v>7**</v>
          </cell>
          <cell r="EP201">
            <v>0</v>
          </cell>
          <cell r="EQ201">
            <v>0</v>
          </cell>
          <cell r="ER201" t="e">
            <v>#DIV/0!</v>
          </cell>
          <cell r="ES201">
            <v>0</v>
          </cell>
          <cell r="ET201">
            <v>0</v>
          </cell>
          <cell r="EU201" t="e">
            <v>#DIV/0!</v>
          </cell>
          <cell r="EV201">
            <v>0</v>
          </cell>
          <cell r="EW201">
            <v>0</v>
          </cell>
          <cell r="EX201" t="e">
            <v>#DIV/0!</v>
          </cell>
          <cell r="EY201">
            <v>0</v>
          </cell>
          <cell r="EZ201">
            <v>0</v>
          </cell>
          <cell r="FA201" t="e">
            <v>#DIV/0!</v>
          </cell>
          <cell r="FC201" t="str">
            <v>7**</v>
          </cell>
          <cell r="FD201">
            <v>0</v>
          </cell>
          <cell r="FE201">
            <v>0</v>
          </cell>
          <cell r="FF201" t="e">
            <v>#DIV/0!</v>
          </cell>
          <cell r="FG201">
            <v>0</v>
          </cell>
          <cell r="FH201">
            <v>0</v>
          </cell>
          <cell r="FI201" t="e">
            <v>#DIV/0!</v>
          </cell>
          <cell r="FJ201">
            <v>0</v>
          </cell>
          <cell r="FK201">
            <v>0</v>
          </cell>
          <cell r="FL201" t="e">
            <v>#DIV/0!</v>
          </cell>
          <cell r="FM201">
            <v>0</v>
          </cell>
          <cell r="FN201">
            <v>0</v>
          </cell>
          <cell r="FO201" t="e">
            <v>#DIV/0!</v>
          </cell>
          <cell r="FP201">
            <v>0</v>
          </cell>
          <cell r="FQ201">
            <v>0</v>
          </cell>
          <cell r="FR201" t="e">
            <v>#DIV/0!</v>
          </cell>
        </row>
        <row r="202">
          <cell r="AZ202" t="str">
            <v>800 RECE LIGNE 100</v>
          </cell>
          <cell r="BA202">
            <v>0</v>
          </cell>
          <cell r="BB202">
            <v>0</v>
          </cell>
          <cell r="BC202" t="e">
            <v>#DIV/0!</v>
          </cell>
          <cell r="BD202">
            <v>0</v>
          </cell>
          <cell r="BE202">
            <v>0</v>
          </cell>
          <cell r="BF202" t="e">
            <v>#DIV/0!</v>
          </cell>
          <cell r="BG202">
            <v>0</v>
          </cell>
          <cell r="BH202">
            <v>0</v>
          </cell>
          <cell r="BI202" t="e">
            <v>#DIV/0!</v>
          </cell>
          <cell r="BJ202">
            <v>0</v>
          </cell>
          <cell r="BK202">
            <v>0</v>
          </cell>
          <cell r="BL202" t="e">
            <v>#DIV/0!</v>
          </cell>
          <cell r="BN202" t="str">
            <v>800 RECE LIGNE 100</v>
          </cell>
          <cell r="BO202">
            <v>0</v>
          </cell>
          <cell r="BP202">
            <v>0</v>
          </cell>
          <cell r="BQ202" t="e">
            <v>#DIV/0!</v>
          </cell>
          <cell r="BR202">
            <v>0</v>
          </cell>
          <cell r="BS202">
            <v>0</v>
          </cell>
          <cell r="BT202" t="e">
            <v>#DIV/0!</v>
          </cell>
          <cell r="BU202">
            <v>0</v>
          </cell>
          <cell r="BV202">
            <v>0</v>
          </cell>
          <cell r="BW202" t="e">
            <v>#DIV/0!</v>
          </cell>
          <cell r="BX202">
            <v>0</v>
          </cell>
          <cell r="BY202">
            <v>0</v>
          </cell>
          <cell r="BZ202" t="e">
            <v>#DIV/0!</v>
          </cell>
          <cell r="CA202">
            <v>0</v>
          </cell>
          <cell r="CB202">
            <v>0</v>
          </cell>
          <cell r="CC202" t="e">
            <v>#DIV/0!</v>
          </cell>
          <cell r="CE202" t="str">
            <v>800 RECE LIGNE 100</v>
          </cell>
          <cell r="CF202">
            <v>0</v>
          </cell>
          <cell r="CG202">
            <v>0</v>
          </cell>
          <cell r="CH202" t="e">
            <v>#DIV/0!</v>
          </cell>
          <cell r="CI202">
            <v>0</v>
          </cell>
          <cell r="CJ202">
            <v>0</v>
          </cell>
          <cell r="CK202" t="e">
            <v>#DIV/0!</v>
          </cell>
          <cell r="CL202">
            <v>0</v>
          </cell>
          <cell r="CM202">
            <v>0</v>
          </cell>
          <cell r="CN202" t="e">
            <v>#DIV/0!</v>
          </cell>
          <cell r="CO202">
            <v>0</v>
          </cell>
          <cell r="CP202">
            <v>0</v>
          </cell>
          <cell r="CQ202" t="e">
            <v>#DIV/0!</v>
          </cell>
          <cell r="CR202">
            <v>0</v>
          </cell>
          <cell r="CS202">
            <v>0</v>
          </cell>
          <cell r="CT202" t="e">
            <v>#DIV/0!</v>
          </cell>
          <cell r="CV202" t="str">
            <v>800 RECE LIGNE 100</v>
          </cell>
          <cell r="CW202">
            <v>0</v>
          </cell>
          <cell r="CX202">
            <v>0</v>
          </cell>
          <cell r="CY202" t="e">
            <v>#DIV/0!</v>
          </cell>
          <cell r="CZ202">
            <v>0</v>
          </cell>
          <cell r="DA202">
            <v>0</v>
          </cell>
          <cell r="DB202" t="e">
            <v>#DIV/0!</v>
          </cell>
          <cell r="DC202">
            <v>0</v>
          </cell>
          <cell r="DD202">
            <v>0</v>
          </cell>
          <cell r="DE202" t="e">
            <v>#DIV/0!</v>
          </cell>
          <cell r="DF202">
            <v>0</v>
          </cell>
          <cell r="DG202">
            <v>0</v>
          </cell>
          <cell r="DH202" t="e">
            <v>#DIV/0!</v>
          </cell>
          <cell r="DJ202" t="str">
            <v>800 RECE LIGNE 100</v>
          </cell>
          <cell r="DK202">
            <v>0</v>
          </cell>
          <cell r="DL202">
            <v>0</v>
          </cell>
          <cell r="DM202" t="e">
            <v>#DIV/0!</v>
          </cell>
          <cell r="DN202">
            <v>0</v>
          </cell>
          <cell r="DO202">
            <v>0</v>
          </cell>
          <cell r="DP202" t="e">
            <v>#DIV/0!</v>
          </cell>
          <cell r="DQ202">
            <v>0</v>
          </cell>
          <cell r="DR202">
            <v>0</v>
          </cell>
          <cell r="DS202" t="e">
            <v>#DIV/0!</v>
          </cell>
          <cell r="DT202">
            <v>0</v>
          </cell>
          <cell r="DU202">
            <v>0</v>
          </cell>
          <cell r="DV202" t="e">
            <v>#DIV/0!</v>
          </cell>
          <cell r="DX202" t="str">
            <v>800 RECE LIGNE 100</v>
          </cell>
          <cell r="DY202">
            <v>0</v>
          </cell>
          <cell r="DZ202">
            <v>0</v>
          </cell>
          <cell r="EA202" t="e">
            <v>#DIV/0!</v>
          </cell>
          <cell r="EB202">
            <v>0</v>
          </cell>
          <cell r="EC202">
            <v>0</v>
          </cell>
          <cell r="ED202" t="e">
            <v>#DIV/0!</v>
          </cell>
          <cell r="EE202">
            <v>0</v>
          </cell>
          <cell r="EF202">
            <v>0</v>
          </cell>
          <cell r="EG202" t="e">
            <v>#DIV/0!</v>
          </cell>
          <cell r="EH202">
            <v>0</v>
          </cell>
          <cell r="EI202">
            <v>0</v>
          </cell>
          <cell r="EJ202" t="e">
            <v>#DIV/0!</v>
          </cell>
          <cell r="EK202">
            <v>0</v>
          </cell>
          <cell r="EL202">
            <v>0</v>
          </cell>
          <cell r="EM202" t="e">
            <v>#DIV/0!</v>
          </cell>
          <cell r="EO202" t="str">
            <v>800 RECE LIGNE 100</v>
          </cell>
          <cell r="EP202">
            <v>0</v>
          </cell>
          <cell r="EQ202">
            <v>0</v>
          </cell>
          <cell r="ER202" t="e">
            <v>#DIV/0!</v>
          </cell>
          <cell r="ES202">
            <v>0</v>
          </cell>
          <cell r="ET202">
            <v>0</v>
          </cell>
          <cell r="EU202" t="e">
            <v>#DIV/0!</v>
          </cell>
          <cell r="EV202">
            <v>0</v>
          </cell>
          <cell r="EW202">
            <v>0</v>
          </cell>
          <cell r="EX202" t="e">
            <v>#DIV/0!</v>
          </cell>
          <cell r="EY202">
            <v>0</v>
          </cell>
          <cell r="EZ202">
            <v>0</v>
          </cell>
          <cell r="FA202" t="e">
            <v>#DIV/0!</v>
          </cell>
          <cell r="FC202" t="str">
            <v>800 RECE LIGNE 100</v>
          </cell>
          <cell r="FD202">
            <v>0</v>
          </cell>
          <cell r="FE202">
            <v>0</v>
          </cell>
          <cell r="FF202" t="e">
            <v>#DIV/0!</v>
          </cell>
          <cell r="FG202">
            <v>0</v>
          </cell>
          <cell r="FH202">
            <v>0</v>
          </cell>
          <cell r="FI202" t="e">
            <v>#DIV/0!</v>
          </cell>
          <cell r="FJ202">
            <v>0</v>
          </cell>
          <cell r="FK202">
            <v>0</v>
          </cell>
          <cell r="FL202" t="e">
            <v>#DIV/0!</v>
          </cell>
          <cell r="FM202">
            <v>0</v>
          </cell>
          <cell r="FN202">
            <v>0</v>
          </cell>
          <cell r="FO202" t="e">
            <v>#DIV/0!</v>
          </cell>
          <cell r="FP202">
            <v>0</v>
          </cell>
          <cell r="FQ202">
            <v>0</v>
          </cell>
          <cell r="FR202" t="e">
            <v>#DIV/0!</v>
          </cell>
        </row>
        <row r="203">
          <cell r="AZ203" t="str">
            <v>802 RECE LIGNE 102</v>
          </cell>
          <cell r="BA203">
            <v>0</v>
          </cell>
          <cell r="BB203">
            <v>0</v>
          </cell>
          <cell r="BC203" t="e">
            <v>#DIV/0!</v>
          </cell>
          <cell r="BD203">
            <v>0</v>
          </cell>
          <cell r="BE203">
            <v>0</v>
          </cell>
          <cell r="BF203" t="e">
            <v>#DIV/0!</v>
          </cell>
          <cell r="BG203">
            <v>0</v>
          </cell>
          <cell r="BH203">
            <v>0</v>
          </cell>
          <cell r="BI203" t="e">
            <v>#DIV/0!</v>
          </cell>
          <cell r="BJ203">
            <v>0</v>
          </cell>
          <cell r="BK203">
            <v>0</v>
          </cell>
          <cell r="BL203" t="e">
            <v>#DIV/0!</v>
          </cell>
          <cell r="BN203" t="str">
            <v>802 RECE LIGNE 102</v>
          </cell>
          <cell r="BO203">
            <v>0</v>
          </cell>
          <cell r="BP203">
            <v>0</v>
          </cell>
          <cell r="BQ203" t="e">
            <v>#DIV/0!</v>
          </cell>
          <cell r="BR203">
            <v>0</v>
          </cell>
          <cell r="BS203">
            <v>0</v>
          </cell>
          <cell r="BT203" t="e">
            <v>#DIV/0!</v>
          </cell>
          <cell r="BU203">
            <v>0</v>
          </cell>
          <cell r="BV203">
            <v>0</v>
          </cell>
          <cell r="BW203" t="e">
            <v>#DIV/0!</v>
          </cell>
          <cell r="BX203">
            <v>0</v>
          </cell>
          <cell r="BY203">
            <v>0</v>
          </cell>
          <cell r="BZ203" t="e">
            <v>#DIV/0!</v>
          </cell>
          <cell r="CA203">
            <v>0</v>
          </cell>
          <cell r="CB203">
            <v>0</v>
          </cell>
          <cell r="CC203" t="e">
            <v>#DIV/0!</v>
          </cell>
          <cell r="CE203" t="str">
            <v>802 RECE LIGNE 102</v>
          </cell>
          <cell r="CF203">
            <v>0</v>
          </cell>
          <cell r="CG203">
            <v>0</v>
          </cell>
          <cell r="CH203" t="e">
            <v>#DIV/0!</v>
          </cell>
          <cell r="CI203">
            <v>0</v>
          </cell>
          <cell r="CJ203">
            <v>0</v>
          </cell>
          <cell r="CK203" t="e">
            <v>#DIV/0!</v>
          </cell>
          <cell r="CL203">
            <v>0</v>
          </cell>
          <cell r="CM203">
            <v>0</v>
          </cell>
          <cell r="CN203" t="e">
            <v>#DIV/0!</v>
          </cell>
          <cell r="CO203">
            <v>0</v>
          </cell>
          <cell r="CP203">
            <v>0</v>
          </cell>
          <cell r="CQ203" t="e">
            <v>#DIV/0!</v>
          </cell>
          <cell r="CR203">
            <v>0</v>
          </cell>
          <cell r="CS203">
            <v>0</v>
          </cell>
          <cell r="CT203" t="e">
            <v>#DIV/0!</v>
          </cell>
          <cell r="CV203" t="str">
            <v>802 RECE LIGNE 102</v>
          </cell>
          <cell r="CW203">
            <v>0</v>
          </cell>
          <cell r="CX203">
            <v>0</v>
          </cell>
          <cell r="CY203" t="e">
            <v>#DIV/0!</v>
          </cell>
          <cell r="CZ203">
            <v>0</v>
          </cell>
          <cell r="DA203">
            <v>0</v>
          </cell>
          <cell r="DB203" t="e">
            <v>#DIV/0!</v>
          </cell>
          <cell r="DC203">
            <v>0</v>
          </cell>
          <cell r="DD203">
            <v>0</v>
          </cell>
          <cell r="DE203" t="e">
            <v>#DIV/0!</v>
          </cell>
          <cell r="DF203">
            <v>0</v>
          </cell>
          <cell r="DG203">
            <v>0</v>
          </cell>
          <cell r="DH203" t="e">
            <v>#DIV/0!</v>
          </cell>
          <cell r="DJ203" t="str">
            <v>802 RECE LIGNE 102</v>
          </cell>
          <cell r="DK203">
            <v>0</v>
          </cell>
          <cell r="DL203">
            <v>0</v>
          </cell>
          <cell r="DM203" t="e">
            <v>#DIV/0!</v>
          </cell>
          <cell r="DN203">
            <v>0</v>
          </cell>
          <cell r="DO203">
            <v>0</v>
          </cell>
          <cell r="DP203" t="e">
            <v>#DIV/0!</v>
          </cell>
          <cell r="DQ203">
            <v>0</v>
          </cell>
          <cell r="DR203">
            <v>0</v>
          </cell>
          <cell r="DS203" t="e">
            <v>#DIV/0!</v>
          </cell>
          <cell r="DT203">
            <v>0</v>
          </cell>
          <cell r="DU203">
            <v>0</v>
          </cell>
          <cell r="DV203" t="e">
            <v>#DIV/0!</v>
          </cell>
          <cell r="DX203" t="str">
            <v>802 RECE LIGNE 102</v>
          </cell>
          <cell r="DY203">
            <v>0</v>
          </cell>
          <cell r="DZ203">
            <v>0</v>
          </cell>
          <cell r="EA203" t="e">
            <v>#DIV/0!</v>
          </cell>
          <cell r="EB203">
            <v>0</v>
          </cell>
          <cell r="EC203">
            <v>0</v>
          </cell>
          <cell r="ED203" t="e">
            <v>#DIV/0!</v>
          </cell>
          <cell r="EE203">
            <v>0</v>
          </cell>
          <cell r="EF203">
            <v>0</v>
          </cell>
          <cell r="EG203" t="e">
            <v>#DIV/0!</v>
          </cell>
          <cell r="EH203">
            <v>0</v>
          </cell>
          <cell r="EI203">
            <v>0</v>
          </cell>
          <cell r="EJ203" t="e">
            <v>#DIV/0!</v>
          </cell>
          <cell r="EK203">
            <v>0</v>
          </cell>
          <cell r="EL203">
            <v>0</v>
          </cell>
          <cell r="EM203" t="e">
            <v>#DIV/0!</v>
          </cell>
          <cell r="EO203" t="str">
            <v>802 RECE LIGNE 102</v>
          </cell>
          <cell r="EP203">
            <v>0</v>
          </cell>
          <cell r="EQ203">
            <v>0</v>
          </cell>
          <cell r="ER203" t="e">
            <v>#DIV/0!</v>
          </cell>
          <cell r="ES203">
            <v>0</v>
          </cell>
          <cell r="ET203">
            <v>0</v>
          </cell>
          <cell r="EU203" t="e">
            <v>#DIV/0!</v>
          </cell>
          <cell r="EV203">
            <v>0</v>
          </cell>
          <cell r="EW203">
            <v>0</v>
          </cell>
          <cell r="EX203" t="e">
            <v>#DIV/0!</v>
          </cell>
          <cell r="EY203">
            <v>0</v>
          </cell>
          <cell r="EZ203">
            <v>0</v>
          </cell>
          <cell r="FA203" t="e">
            <v>#DIV/0!</v>
          </cell>
          <cell r="FC203" t="str">
            <v>802 RECE LIGNE 102</v>
          </cell>
          <cell r="FD203">
            <v>0</v>
          </cell>
          <cell r="FE203">
            <v>0</v>
          </cell>
          <cell r="FF203" t="e">
            <v>#DIV/0!</v>
          </cell>
          <cell r="FG203">
            <v>0</v>
          </cell>
          <cell r="FH203">
            <v>0</v>
          </cell>
          <cell r="FI203" t="e">
            <v>#DIV/0!</v>
          </cell>
          <cell r="FJ203">
            <v>0</v>
          </cell>
          <cell r="FK203">
            <v>0</v>
          </cell>
          <cell r="FL203" t="e">
            <v>#DIV/0!</v>
          </cell>
          <cell r="FM203">
            <v>0</v>
          </cell>
          <cell r="FN203">
            <v>0</v>
          </cell>
          <cell r="FO203" t="e">
            <v>#DIV/0!</v>
          </cell>
          <cell r="FP203">
            <v>0</v>
          </cell>
          <cell r="FQ203">
            <v>0</v>
          </cell>
          <cell r="FR203" t="e">
            <v>#DIV/0!</v>
          </cell>
        </row>
        <row r="204">
          <cell r="AZ204" t="str">
            <v>803 RECE LIGNE 103</v>
          </cell>
          <cell r="BA204">
            <v>0</v>
          </cell>
          <cell r="BB204">
            <v>0</v>
          </cell>
          <cell r="BC204" t="e">
            <v>#DIV/0!</v>
          </cell>
          <cell r="BD204">
            <v>0</v>
          </cell>
          <cell r="BE204">
            <v>0</v>
          </cell>
          <cell r="BF204" t="e">
            <v>#DIV/0!</v>
          </cell>
          <cell r="BG204">
            <v>0</v>
          </cell>
          <cell r="BH204">
            <v>0</v>
          </cell>
          <cell r="BI204" t="e">
            <v>#DIV/0!</v>
          </cell>
          <cell r="BJ204">
            <v>0</v>
          </cell>
          <cell r="BK204">
            <v>0</v>
          </cell>
          <cell r="BL204" t="e">
            <v>#DIV/0!</v>
          </cell>
          <cell r="BN204" t="str">
            <v>803 RECE LIGNE 103</v>
          </cell>
          <cell r="BO204">
            <v>0</v>
          </cell>
          <cell r="BP204">
            <v>0</v>
          </cell>
          <cell r="BQ204" t="e">
            <v>#DIV/0!</v>
          </cell>
          <cell r="BR204">
            <v>0</v>
          </cell>
          <cell r="BS204">
            <v>0</v>
          </cell>
          <cell r="BT204" t="e">
            <v>#DIV/0!</v>
          </cell>
          <cell r="BU204">
            <v>0</v>
          </cell>
          <cell r="BV204">
            <v>0</v>
          </cell>
          <cell r="BW204" t="e">
            <v>#DIV/0!</v>
          </cell>
          <cell r="BX204">
            <v>0</v>
          </cell>
          <cell r="BY204">
            <v>0</v>
          </cell>
          <cell r="BZ204" t="e">
            <v>#DIV/0!</v>
          </cell>
          <cell r="CA204">
            <v>0</v>
          </cell>
          <cell r="CB204">
            <v>0</v>
          </cell>
          <cell r="CC204" t="e">
            <v>#DIV/0!</v>
          </cell>
          <cell r="CE204" t="str">
            <v>803 RECE LIGNE 103</v>
          </cell>
          <cell r="CF204">
            <v>0</v>
          </cell>
          <cell r="CG204">
            <v>0</v>
          </cell>
          <cell r="CH204" t="e">
            <v>#DIV/0!</v>
          </cell>
          <cell r="CI204">
            <v>0</v>
          </cell>
          <cell r="CJ204">
            <v>0</v>
          </cell>
          <cell r="CK204" t="e">
            <v>#DIV/0!</v>
          </cell>
          <cell r="CL204">
            <v>0</v>
          </cell>
          <cell r="CM204">
            <v>0</v>
          </cell>
          <cell r="CN204" t="e">
            <v>#DIV/0!</v>
          </cell>
          <cell r="CO204">
            <v>0</v>
          </cell>
          <cell r="CP204">
            <v>0</v>
          </cell>
          <cell r="CQ204" t="e">
            <v>#DIV/0!</v>
          </cell>
          <cell r="CR204">
            <v>0</v>
          </cell>
          <cell r="CS204">
            <v>0</v>
          </cell>
          <cell r="CT204" t="e">
            <v>#DIV/0!</v>
          </cell>
          <cell r="CV204" t="str">
            <v>803 RECE LIGNE 103</v>
          </cell>
          <cell r="CW204">
            <v>0</v>
          </cell>
          <cell r="CX204">
            <v>0</v>
          </cell>
          <cell r="CY204" t="e">
            <v>#DIV/0!</v>
          </cell>
          <cell r="CZ204">
            <v>0</v>
          </cell>
          <cell r="DA204">
            <v>0</v>
          </cell>
          <cell r="DB204" t="e">
            <v>#DIV/0!</v>
          </cell>
          <cell r="DC204">
            <v>0</v>
          </cell>
          <cell r="DD204">
            <v>0</v>
          </cell>
          <cell r="DE204" t="e">
            <v>#DIV/0!</v>
          </cell>
          <cell r="DF204">
            <v>0</v>
          </cell>
          <cell r="DG204">
            <v>0</v>
          </cell>
          <cell r="DH204" t="e">
            <v>#DIV/0!</v>
          </cell>
          <cell r="DJ204" t="str">
            <v>803 RECE LIGNE 103</v>
          </cell>
          <cell r="DK204">
            <v>0</v>
          </cell>
          <cell r="DL204">
            <v>0</v>
          </cell>
          <cell r="DM204" t="e">
            <v>#DIV/0!</v>
          </cell>
          <cell r="DN204">
            <v>0</v>
          </cell>
          <cell r="DO204">
            <v>0</v>
          </cell>
          <cell r="DP204" t="e">
            <v>#DIV/0!</v>
          </cell>
          <cell r="DQ204">
            <v>0</v>
          </cell>
          <cell r="DR204">
            <v>0</v>
          </cell>
          <cell r="DS204" t="e">
            <v>#DIV/0!</v>
          </cell>
          <cell r="DT204">
            <v>0</v>
          </cell>
          <cell r="DU204">
            <v>0</v>
          </cell>
          <cell r="DV204" t="e">
            <v>#DIV/0!</v>
          </cell>
          <cell r="DX204" t="str">
            <v>803 RECE LIGNE 103</v>
          </cell>
          <cell r="DY204">
            <v>0</v>
          </cell>
          <cell r="DZ204">
            <v>0</v>
          </cell>
          <cell r="EA204" t="e">
            <v>#DIV/0!</v>
          </cell>
          <cell r="EB204">
            <v>0</v>
          </cell>
          <cell r="EC204">
            <v>0</v>
          </cell>
          <cell r="ED204" t="e">
            <v>#DIV/0!</v>
          </cell>
          <cell r="EE204">
            <v>0</v>
          </cell>
          <cell r="EF204">
            <v>0</v>
          </cell>
          <cell r="EG204" t="e">
            <v>#DIV/0!</v>
          </cell>
          <cell r="EH204">
            <v>0</v>
          </cell>
          <cell r="EI204">
            <v>0</v>
          </cell>
          <cell r="EJ204" t="e">
            <v>#DIV/0!</v>
          </cell>
          <cell r="EK204">
            <v>0</v>
          </cell>
          <cell r="EL204">
            <v>0</v>
          </cell>
          <cell r="EM204" t="e">
            <v>#DIV/0!</v>
          </cell>
          <cell r="EO204" t="str">
            <v>803 RECE LIGNE 103</v>
          </cell>
          <cell r="EP204">
            <v>0</v>
          </cell>
          <cell r="EQ204">
            <v>0</v>
          </cell>
          <cell r="ER204" t="e">
            <v>#DIV/0!</v>
          </cell>
          <cell r="ES204">
            <v>0</v>
          </cell>
          <cell r="ET204">
            <v>0</v>
          </cell>
          <cell r="EU204" t="e">
            <v>#DIV/0!</v>
          </cell>
          <cell r="EV204">
            <v>0</v>
          </cell>
          <cell r="EW204">
            <v>0</v>
          </cell>
          <cell r="EX204" t="e">
            <v>#DIV/0!</v>
          </cell>
          <cell r="EY204">
            <v>0</v>
          </cell>
          <cell r="EZ204">
            <v>0</v>
          </cell>
          <cell r="FA204" t="e">
            <v>#DIV/0!</v>
          </cell>
          <cell r="FC204" t="str">
            <v>803 RECE LIGNE 103</v>
          </cell>
          <cell r="FD204">
            <v>0</v>
          </cell>
          <cell r="FE204">
            <v>0</v>
          </cell>
          <cell r="FF204" t="e">
            <v>#DIV/0!</v>
          </cell>
          <cell r="FG204">
            <v>0</v>
          </cell>
          <cell r="FH204">
            <v>0</v>
          </cell>
          <cell r="FI204" t="e">
            <v>#DIV/0!</v>
          </cell>
          <cell r="FJ204">
            <v>0</v>
          </cell>
          <cell r="FK204">
            <v>0</v>
          </cell>
          <cell r="FL204" t="e">
            <v>#DIV/0!</v>
          </cell>
          <cell r="FM204">
            <v>0</v>
          </cell>
          <cell r="FN204">
            <v>0</v>
          </cell>
          <cell r="FO204" t="e">
            <v>#DIV/0!</v>
          </cell>
          <cell r="FP204">
            <v>0</v>
          </cell>
          <cell r="FQ204">
            <v>0</v>
          </cell>
          <cell r="FR204" t="e">
            <v>#DIV/0!</v>
          </cell>
        </row>
        <row r="205">
          <cell r="AZ205" t="str">
            <v>806 RECE LIGNE 106</v>
          </cell>
          <cell r="BA205">
            <v>0</v>
          </cell>
          <cell r="BB205">
            <v>0</v>
          </cell>
          <cell r="BC205" t="e">
            <v>#DIV/0!</v>
          </cell>
          <cell r="BD205">
            <v>0</v>
          </cell>
          <cell r="BE205">
            <v>0</v>
          </cell>
          <cell r="BF205" t="e">
            <v>#DIV/0!</v>
          </cell>
          <cell r="BG205">
            <v>0</v>
          </cell>
          <cell r="BH205">
            <v>0</v>
          </cell>
          <cell r="BI205" t="e">
            <v>#DIV/0!</v>
          </cell>
          <cell r="BJ205">
            <v>0</v>
          </cell>
          <cell r="BK205">
            <v>0</v>
          </cell>
          <cell r="BL205" t="e">
            <v>#DIV/0!</v>
          </cell>
          <cell r="BN205" t="str">
            <v>806 RECE LIGNE 106</v>
          </cell>
          <cell r="BO205">
            <v>0</v>
          </cell>
          <cell r="BP205">
            <v>0</v>
          </cell>
          <cell r="BQ205" t="e">
            <v>#DIV/0!</v>
          </cell>
          <cell r="BR205">
            <v>0</v>
          </cell>
          <cell r="BS205">
            <v>0</v>
          </cell>
          <cell r="BT205" t="e">
            <v>#DIV/0!</v>
          </cell>
          <cell r="BU205">
            <v>0</v>
          </cell>
          <cell r="BV205">
            <v>0</v>
          </cell>
          <cell r="BW205" t="e">
            <v>#DIV/0!</v>
          </cell>
          <cell r="BX205">
            <v>0</v>
          </cell>
          <cell r="BY205">
            <v>0</v>
          </cell>
          <cell r="BZ205" t="e">
            <v>#DIV/0!</v>
          </cell>
          <cell r="CA205">
            <v>0</v>
          </cell>
          <cell r="CB205">
            <v>0</v>
          </cell>
          <cell r="CC205" t="e">
            <v>#DIV/0!</v>
          </cell>
          <cell r="CE205" t="str">
            <v>806 RECE LIGNE 106</v>
          </cell>
          <cell r="CF205">
            <v>0</v>
          </cell>
          <cell r="CG205">
            <v>0</v>
          </cell>
          <cell r="CH205" t="e">
            <v>#DIV/0!</v>
          </cell>
          <cell r="CI205">
            <v>0</v>
          </cell>
          <cell r="CJ205">
            <v>0</v>
          </cell>
          <cell r="CK205" t="e">
            <v>#DIV/0!</v>
          </cell>
          <cell r="CL205">
            <v>0</v>
          </cell>
          <cell r="CM205">
            <v>0</v>
          </cell>
          <cell r="CN205" t="e">
            <v>#DIV/0!</v>
          </cell>
          <cell r="CO205">
            <v>0</v>
          </cell>
          <cell r="CP205">
            <v>0</v>
          </cell>
          <cell r="CQ205" t="e">
            <v>#DIV/0!</v>
          </cell>
          <cell r="CR205">
            <v>0</v>
          </cell>
          <cell r="CS205">
            <v>0</v>
          </cell>
          <cell r="CT205" t="e">
            <v>#DIV/0!</v>
          </cell>
          <cell r="CV205" t="str">
            <v>806 RECE LIGNE 106</v>
          </cell>
          <cell r="CW205">
            <v>0</v>
          </cell>
          <cell r="CX205">
            <v>0</v>
          </cell>
          <cell r="CY205" t="e">
            <v>#DIV/0!</v>
          </cell>
          <cell r="CZ205">
            <v>0</v>
          </cell>
          <cell r="DA205">
            <v>0</v>
          </cell>
          <cell r="DB205" t="e">
            <v>#DIV/0!</v>
          </cell>
          <cell r="DC205">
            <v>0</v>
          </cell>
          <cell r="DD205">
            <v>0</v>
          </cell>
          <cell r="DE205" t="e">
            <v>#DIV/0!</v>
          </cell>
          <cell r="DF205">
            <v>0</v>
          </cell>
          <cell r="DG205">
            <v>0</v>
          </cell>
          <cell r="DH205" t="e">
            <v>#DIV/0!</v>
          </cell>
          <cell r="DJ205" t="str">
            <v>806 RECE LIGNE 106</v>
          </cell>
          <cell r="DK205">
            <v>0</v>
          </cell>
          <cell r="DL205">
            <v>0</v>
          </cell>
          <cell r="DM205" t="e">
            <v>#DIV/0!</v>
          </cell>
          <cell r="DN205">
            <v>0</v>
          </cell>
          <cell r="DO205">
            <v>0</v>
          </cell>
          <cell r="DP205" t="e">
            <v>#DIV/0!</v>
          </cell>
          <cell r="DQ205">
            <v>0</v>
          </cell>
          <cell r="DR205">
            <v>0</v>
          </cell>
          <cell r="DS205" t="e">
            <v>#DIV/0!</v>
          </cell>
          <cell r="DT205">
            <v>0</v>
          </cell>
          <cell r="DU205">
            <v>0</v>
          </cell>
          <cell r="DV205" t="e">
            <v>#DIV/0!</v>
          </cell>
          <cell r="DX205" t="str">
            <v>806 RECE LIGNE 106</v>
          </cell>
          <cell r="DY205">
            <v>0</v>
          </cell>
          <cell r="DZ205">
            <v>0</v>
          </cell>
          <cell r="EA205" t="e">
            <v>#DIV/0!</v>
          </cell>
          <cell r="EB205">
            <v>0</v>
          </cell>
          <cell r="EC205">
            <v>0</v>
          </cell>
          <cell r="ED205" t="e">
            <v>#DIV/0!</v>
          </cell>
          <cell r="EE205">
            <v>0</v>
          </cell>
          <cell r="EF205">
            <v>0</v>
          </cell>
          <cell r="EG205" t="e">
            <v>#DIV/0!</v>
          </cell>
          <cell r="EH205">
            <v>0</v>
          </cell>
          <cell r="EI205">
            <v>0</v>
          </cell>
          <cell r="EJ205" t="e">
            <v>#DIV/0!</v>
          </cell>
          <cell r="EK205">
            <v>0</v>
          </cell>
          <cell r="EL205">
            <v>0</v>
          </cell>
          <cell r="EM205" t="e">
            <v>#DIV/0!</v>
          </cell>
          <cell r="EO205" t="str">
            <v>806 RECE LIGNE 106</v>
          </cell>
          <cell r="EP205">
            <v>0</v>
          </cell>
          <cell r="EQ205">
            <v>0</v>
          </cell>
          <cell r="ER205" t="e">
            <v>#DIV/0!</v>
          </cell>
          <cell r="ES205">
            <v>0</v>
          </cell>
          <cell r="ET205">
            <v>0</v>
          </cell>
          <cell r="EU205" t="e">
            <v>#DIV/0!</v>
          </cell>
          <cell r="EV205">
            <v>0</v>
          </cell>
          <cell r="EW205">
            <v>0</v>
          </cell>
          <cell r="EX205" t="e">
            <v>#DIV/0!</v>
          </cell>
          <cell r="EY205">
            <v>0</v>
          </cell>
          <cell r="EZ205">
            <v>0</v>
          </cell>
          <cell r="FA205" t="e">
            <v>#DIV/0!</v>
          </cell>
          <cell r="FC205" t="str">
            <v>806 RECE LIGNE 106</v>
          </cell>
          <cell r="FD205">
            <v>0</v>
          </cell>
          <cell r="FE205">
            <v>0</v>
          </cell>
          <cell r="FF205" t="e">
            <v>#DIV/0!</v>
          </cell>
          <cell r="FG205">
            <v>0</v>
          </cell>
          <cell r="FH205">
            <v>0</v>
          </cell>
          <cell r="FI205" t="e">
            <v>#DIV/0!</v>
          </cell>
          <cell r="FJ205">
            <v>0</v>
          </cell>
          <cell r="FK205">
            <v>0</v>
          </cell>
          <cell r="FL205" t="e">
            <v>#DIV/0!</v>
          </cell>
          <cell r="FM205">
            <v>0</v>
          </cell>
          <cell r="FN205">
            <v>0</v>
          </cell>
          <cell r="FO205" t="e">
            <v>#DIV/0!</v>
          </cell>
          <cell r="FP205">
            <v>0</v>
          </cell>
          <cell r="FQ205">
            <v>0</v>
          </cell>
          <cell r="FR205" t="e">
            <v>#DIV/0!</v>
          </cell>
        </row>
        <row r="206">
          <cell r="AZ206" t="str">
            <v>807 REC LIGNE 107</v>
          </cell>
          <cell r="BA206">
            <v>0</v>
          </cell>
          <cell r="BB206">
            <v>0</v>
          </cell>
          <cell r="BC206" t="e">
            <v>#DIV/0!</v>
          </cell>
          <cell r="BD206">
            <v>0</v>
          </cell>
          <cell r="BE206">
            <v>0</v>
          </cell>
          <cell r="BF206" t="e">
            <v>#DIV/0!</v>
          </cell>
          <cell r="BG206">
            <v>0</v>
          </cell>
          <cell r="BH206">
            <v>0</v>
          </cell>
          <cell r="BI206" t="e">
            <v>#DIV/0!</v>
          </cell>
          <cell r="BJ206">
            <v>0</v>
          </cell>
          <cell r="BK206">
            <v>0</v>
          </cell>
          <cell r="BL206" t="e">
            <v>#DIV/0!</v>
          </cell>
          <cell r="BN206" t="str">
            <v>807 REC LIGNE 107</v>
          </cell>
          <cell r="BO206">
            <v>0</v>
          </cell>
          <cell r="BP206">
            <v>0</v>
          </cell>
          <cell r="BQ206" t="e">
            <v>#DIV/0!</v>
          </cell>
          <cell r="BR206">
            <v>0</v>
          </cell>
          <cell r="BS206">
            <v>0</v>
          </cell>
          <cell r="BT206" t="e">
            <v>#DIV/0!</v>
          </cell>
          <cell r="BU206">
            <v>0</v>
          </cell>
          <cell r="BV206">
            <v>0</v>
          </cell>
          <cell r="BW206" t="e">
            <v>#DIV/0!</v>
          </cell>
          <cell r="BX206">
            <v>0</v>
          </cell>
          <cell r="BY206">
            <v>0</v>
          </cell>
          <cell r="BZ206" t="e">
            <v>#DIV/0!</v>
          </cell>
          <cell r="CA206">
            <v>0</v>
          </cell>
          <cell r="CB206">
            <v>0</v>
          </cell>
          <cell r="CC206" t="e">
            <v>#DIV/0!</v>
          </cell>
          <cell r="CE206" t="str">
            <v>807 REC LIGNE 107</v>
          </cell>
          <cell r="CF206">
            <v>0</v>
          </cell>
          <cell r="CG206">
            <v>0</v>
          </cell>
          <cell r="CH206" t="e">
            <v>#DIV/0!</v>
          </cell>
          <cell r="CI206">
            <v>0</v>
          </cell>
          <cell r="CJ206">
            <v>0</v>
          </cell>
          <cell r="CK206" t="e">
            <v>#DIV/0!</v>
          </cell>
          <cell r="CL206">
            <v>0</v>
          </cell>
          <cell r="CM206">
            <v>0</v>
          </cell>
          <cell r="CN206" t="e">
            <v>#DIV/0!</v>
          </cell>
          <cell r="CO206">
            <v>0</v>
          </cell>
          <cell r="CP206">
            <v>0</v>
          </cell>
          <cell r="CQ206" t="e">
            <v>#DIV/0!</v>
          </cell>
          <cell r="CR206">
            <v>0</v>
          </cell>
          <cell r="CS206">
            <v>0</v>
          </cell>
          <cell r="CT206" t="e">
            <v>#DIV/0!</v>
          </cell>
          <cell r="CV206" t="str">
            <v>807 REC LIGNE 107</v>
          </cell>
          <cell r="CW206">
            <v>0</v>
          </cell>
          <cell r="CX206">
            <v>0</v>
          </cell>
          <cell r="CY206" t="e">
            <v>#DIV/0!</v>
          </cell>
          <cell r="CZ206">
            <v>0</v>
          </cell>
          <cell r="DA206">
            <v>0</v>
          </cell>
          <cell r="DB206" t="e">
            <v>#DIV/0!</v>
          </cell>
          <cell r="DC206">
            <v>0</v>
          </cell>
          <cell r="DD206">
            <v>0</v>
          </cell>
          <cell r="DE206" t="e">
            <v>#DIV/0!</v>
          </cell>
          <cell r="DF206">
            <v>0</v>
          </cell>
          <cell r="DG206">
            <v>0</v>
          </cell>
          <cell r="DH206" t="e">
            <v>#DIV/0!</v>
          </cell>
          <cell r="DJ206" t="str">
            <v>807 REC LIGNE 107</v>
          </cell>
          <cell r="DK206">
            <v>0</v>
          </cell>
          <cell r="DL206">
            <v>0</v>
          </cell>
          <cell r="DM206" t="e">
            <v>#DIV/0!</v>
          </cell>
          <cell r="DN206">
            <v>0</v>
          </cell>
          <cell r="DO206">
            <v>0</v>
          </cell>
          <cell r="DP206" t="e">
            <v>#DIV/0!</v>
          </cell>
          <cell r="DQ206">
            <v>0</v>
          </cell>
          <cell r="DR206">
            <v>0</v>
          </cell>
          <cell r="DS206" t="e">
            <v>#DIV/0!</v>
          </cell>
          <cell r="DT206">
            <v>0</v>
          </cell>
          <cell r="DU206">
            <v>0</v>
          </cell>
          <cell r="DV206" t="e">
            <v>#DIV/0!</v>
          </cell>
          <cell r="DX206" t="str">
            <v>807 REC LIGNE 107</v>
          </cell>
          <cell r="DY206">
            <v>0</v>
          </cell>
          <cell r="DZ206">
            <v>0</v>
          </cell>
          <cell r="EA206" t="e">
            <v>#DIV/0!</v>
          </cell>
          <cell r="EB206">
            <v>0</v>
          </cell>
          <cell r="EC206">
            <v>0</v>
          </cell>
          <cell r="ED206" t="e">
            <v>#DIV/0!</v>
          </cell>
          <cell r="EE206">
            <v>0</v>
          </cell>
          <cell r="EF206">
            <v>0</v>
          </cell>
          <cell r="EG206" t="e">
            <v>#DIV/0!</v>
          </cell>
          <cell r="EH206">
            <v>0</v>
          </cell>
          <cell r="EI206">
            <v>0</v>
          </cell>
          <cell r="EJ206" t="e">
            <v>#DIV/0!</v>
          </cell>
          <cell r="EK206">
            <v>0</v>
          </cell>
          <cell r="EL206">
            <v>0</v>
          </cell>
          <cell r="EM206" t="e">
            <v>#DIV/0!</v>
          </cell>
          <cell r="EO206" t="str">
            <v>807 REC LIGNE 107</v>
          </cell>
          <cell r="EP206">
            <v>0</v>
          </cell>
          <cell r="EQ206">
            <v>0</v>
          </cell>
          <cell r="ER206" t="e">
            <v>#DIV/0!</v>
          </cell>
          <cell r="ES206">
            <v>0</v>
          </cell>
          <cell r="ET206">
            <v>0</v>
          </cell>
          <cell r="EU206" t="e">
            <v>#DIV/0!</v>
          </cell>
          <cell r="EV206">
            <v>0</v>
          </cell>
          <cell r="EW206">
            <v>0</v>
          </cell>
          <cell r="EX206" t="e">
            <v>#DIV/0!</v>
          </cell>
          <cell r="EY206">
            <v>0</v>
          </cell>
          <cell r="EZ206">
            <v>0</v>
          </cell>
          <cell r="FA206" t="e">
            <v>#DIV/0!</v>
          </cell>
          <cell r="FC206" t="str">
            <v>807 REC LIGNE 107</v>
          </cell>
          <cell r="FD206">
            <v>0</v>
          </cell>
          <cell r="FE206">
            <v>0</v>
          </cell>
          <cell r="FF206" t="e">
            <v>#DIV/0!</v>
          </cell>
          <cell r="FG206">
            <v>0</v>
          </cell>
          <cell r="FH206">
            <v>0</v>
          </cell>
          <cell r="FI206" t="e">
            <v>#DIV/0!</v>
          </cell>
          <cell r="FJ206">
            <v>0</v>
          </cell>
          <cell r="FK206">
            <v>0</v>
          </cell>
          <cell r="FL206" t="e">
            <v>#DIV/0!</v>
          </cell>
          <cell r="FM206">
            <v>0</v>
          </cell>
          <cell r="FN206">
            <v>0</v>
          </cell>
          <cell r="FO206" t="e">
            <v>#DIV/0!</v>
          </cell>
          <cell r="FP206">
            <v>0</v>
          </cell>
          <cell r="FQ206">
            <v>0</v>
          </cell>
          <cell r="FR206" t="e">
            <v>#DIV/0!</v>
          </cell>
        </row>
        <row r="207">
          <cell r="AZ207" t="str">
            <v>820 REC LI 211_251</v>
          </cell>
          <cell r="BA207">
            <v>0</v>
          </cell>
          <cell r="BB207">
            <v>0</v>
          </cell>
          <cell r="BC207" t="e">
            <v>#DIV/0!</v>
          </cell>
          <cell r="BD207">
            <v>0</v>
          </cell>
          <cell r="BE207">
            <v>0</v>
          </cell>
          <cell r="BF207" t="e">
            <v>#DIV/0!</v>
          </cell>
          <cell r="BG207">
            <v>0</v>
          </cell>
          <cell r="BH207">
            <v>0</v>
          </cell>
          <cell r="BI207" t="e">
            <v>#DIV/0!</v>
          </cell>
          <cell r="BJ207">
            <v>0</v>
          </cell>
          <cell r="BK207">
            <v>0</v>
          </cell>
          <cell r="BL207" t="e">
            <v>#DIV/0!</v>
          </cell>
          <cell r="BN207" t="str">
            <v>820 REC LI 211_251</v>
          </cell>
          <cell r="BO207">
            <v>0</v>
          </cell>
          <cell r="BP207">
            <v>0</v>
          </cell>
          <cell r="BQ207" t="e">
            <v>#DIV/0!</v>
          </cell>
          <cell r="BR207">
            <v>0</v>
          </cell>
          <cell r="BS207">
            <v>0</v>
          </cell>
          <cell r="BT207" t="e">
            <v>#DIV/0!</v>
          </cell>
          <cell r="BU207">
            <v>0</v>
          </cell>
          <cell r="BV207">
            <v>0</v>
          </cell>
          <cell r="BW207" t="e">
            <v>#DIV/0!</v>
          </cell>
          <cell r="BX207">
            <v>0</v>
          </cell>
          <cell r="BY207">
            <v>0</v>
          </cell>
          <cell r="BZ207" t="e">
            <v>#DIV/0!</v>
          </cell>
          <cell r="CA207">
            <v>0</v>
          </cell>
          <cell r="CB207">
            <v>0</v>
          </cell>
          <cell r="CC207" t="e">
            <v>#DIV/0!</v>
          </cell>
          <cell r="CE207" t="str">
            <v>820 REC LI 211_251</v>
          </cell>
          <cell r="CF207">
            <v>0</v>
          </cell>
          <cell r="CG207">
            <v>0</v>
          </cell>
          <cell r="CH207" t="e">
            <v>#DIV/0!</v>
          </cell>
          <cell r="CI207">
            <v>0</v>
          </cell>
          <cell r="CJ207">
            <v>0</v>
          </cell>
          <cell r="CK207" t="e">
            <v>#DIV/0!</v>
          </cell>
          <cell r="CL207">
            <v>0</v>
          </cell>
          <cell r="CM207">
            <v>0</v>
          </cell>
          <cell r="CN207" t="e">
            <v>#DIV/0!</v>
          </cell>
          <cell r="CO207">
            <v>0</v>
          </cell>
          <cell r="CP207">
            <v>0</v>
          </cell>
          <cell r="CQ207" t="e">
            <v>#DIV/0!</v>
          </cell>
          <cell r="CR207">
            <v>0</v>
          </cell>
          <cell r="CS207">
            <v>0</v>
          </cell>
          <cell r="CT207" t="e">
            <v>#DIV/0!</v>
          </cell>
          <cell r="CV207" t="str">
            <v>820 REC LI 211_251</v>
          </cell>
          <cell r="CW207">
            <v>0</v>
          </cell>
          <cell r="CX207">
            <v>0</v>
          </cell>
          <cell r="CY207" t="e">
            <v>#DIV/0!</v>
          </cell>
          <cell r="CZ207">
            <v>0</v>
          </cell>
          <cell r="DA207">
            <v>0</v>
          </cell>
          <cell r="DB207" t="e">
            <v>#DIV/0!</v>
          </cell>
          <cell r="DC207">
            <v>0</v>
          </cell>
          <cell r="DD207">
            <v>0</v>
          </cell>
          <cell r="DE207" t="e">
            <v>#DIV/0!</v>
          </cell>
          <cell r="DF207">
            <v>0</v>
          </cell>
          <cell r="DG207">
            <v>0</v>
          </cell>
          <cell r="DH207" t="e">
            <v>#DIV/0!</v>
          </cell>
          <cell r="DJ207" t="str">
            <v>820 REC LI 211_251</v>
          </cell>
          <cell r="DK207">
            <v>0</v>
          </cell>
          <cell r="DL207">
            <v>0</v>
          </cell>
          <cell r="DM207" t="e">
            <v>#DIV/0!</v>
          </cell>
          <cell r="DN207">
            <v>0</v>
          </cell>
          <cell r="DO207">
            <v>0</v>
          </cell>
          <cell r="DP207" t="e">
            <v>#DIV/0!</v>
          </cell>
          <cell r="DQ207">
            <v>0</v>
          </cell>
          <cell r="DR207">
            <v>0</v>
          </cell>
          <cell r="DS207" t="e">
            <v>#DIV/0!</v>
          </cell>
          <cell r="DT207">
            <v>0</v>
          </cell>
          <cell r="DU207">
            <v>0</v>
          </cell>
          <cell r="DV207" t="e">
            <v>#DIV/0!</v>
          </cell>
          <cell r="DX207" t="str">
            <v>820 REC LI 211_251</v>
          </cell>
          <cell r="DY207">
            <v>0</v>
          </cell>
          <cell r="DZ207">
            <v>0</v>
          </cell>
          <cell r="EA207" t="e">
            <v>#DIV/0!</v>
          </cell>
          <cell r="EB207">
            <v>0</v>
          </cell>
          <cell r="EC207">
            <v>0</v>
          </cell>
          <cell r="ED207" t="e">
            <v>#DIV/0!</v>
          </cell>
          <cell r="EE207">
            <v>0</v>
          </cell>
          <cell r="EF207">
            <v>0</v>
          </cell>
          <cell r="EG207" t="e">
            <v>#DIV/0!</v>
          </cell>
          <cell r="EH207">
            <v>0</v>
          </cell>
          <cell r="EI207">
            <v>0</v>
          </cell>
          <cell r="EJ207" t="e">
            <v>#DIV/0!</v>
          </cell>
          <cell r="EK207">
            <v>0</v>
          </cell>
          <cell r="EL207">
            <v>0</v>
          </cell>
          <cell r="EM207" t="e">
            <v>#DIV/0!</v>
          </cell>
          <cell r="EO207" t="str">
            <v>820 REC LI 211_251</v>
          </cell>
          <cell r="EP207">
            <v>0</v>
          </cell>
          <cell r="EQ207">
            <v>0</v>
          </cell>
          <cell r="ER207" t="e">
            <v>#DIV/0!</v>
          </cell>
          <cell r="ES207">
            <v>0</v>
          </cell>
          <cell r="ET207">
            <v>0</v>
          </cell>
          <cell r="EU207" t="e">
            <v>#DIV/0!</v>
          </cell>
          <cell r="EV207">
            <v>0</v>
          </cell>
          <cell r="EW207">
            <v>0</v>
          </cell>
          <cell r="EX207" t="e">
            <v>#DIV/0!</v>
          </cell>
          <cell r="EY207">
            <v>0</v>
          </cell>
          <cell r="EZ207">
            <v>0</v>
          </cell>
          <cell r="FA207" t="e">
            <v>#DIV/0!</v>
          </cell>
          <cell r="FC207" t="str">
            <v>820 REC LI 211_251</v>
          </cell>
          <cell r="FD207">
            <v>0</v>
          </cell>
          <cell r="FE207">
            <v>0</v>
          </cell>
          <cell r="FF207" t="e">
            <v>#DIV/0!</v>
          </cell>
          <cell r="FG207">
            <v>0</v>
          </cell>
          <cell r="FH207">
            <v>0</v>
          </cell>
          <cell r="FI207" t="e">
            <v>#DIV/0!</v>
          </cell>
          <cell r="FJ207">
            <v>0</v>
          </cell>
          <cell r="FK207">
            <v>0</v>
          </cell>
          <cell r="FL207" t="e">
            <v>#DIV/0!</v>
          </cell>
          <cell r="FM207">
            <v>0</v>
          </cell>
          <cell r="FN207">
            <v>0</v>
          </cell>
          <cell r="FO207" t="e">
            <v>#DIV/0!</v>
          </cell>
          <cell r="FP207">
            <v>0</v>
          </cell>
          <cell r="FQ207">
            <v>0</v>
          </cell>
          <cell r="FR207" t="e">
            <v>#DIV/0!</v>
          </cell>
        </row>
        <row r="208">
          <cell r="AZ208" t="str">
            <v>830 REC LI 311_351</v>
          </cell>
          <cell r="BA208">
            <v>0</v>
          </cell>
          <cell r="BB208">
            <v>0</v>
          </cell>
          <cell r="BC208" t="e">
            <v>#DIV/0!</v>
          </cell>
          <cell r="BD208">
            <v>0</v>
          </cell>
          <cell r="BE208">
            <v>0</v>
          </cell>
          <cell r="BF208" t="e">
            <v>#DIV/0!</v>
          </cell>
          <cell r="BG208">
            <v>0</v>
          </cell>
          <cell r="BH208">
            <v>0</v>
          </cell>
          <cell r="BI208" t="e">
            <v>#DIV/0!</v>
          </cell>
          <cell r="BJ208">
            <v>0</v>
          </cell>
          <cell r="BK208">
            <v>0</v>
          </cell>
          <cell r="BL208" t="e">
            <v>#DIV/0!</v>
          </cell>
          <cell r="BN208" t="str">
            <v>830 REC LI 311_351</v>
          </cell>
          <cell r="BO208">
            <v>0</v>
          </cell>
          <cell r="BP208">
            <v>0</v>
          </cell>
          <cell r="BQ208" t="e">
            <v>#DIV/0!</v>
          </cell>
          <cell r="BR208">
            <v>0</v>
          </cell>
          <cell r="BS208">
            <v>0</v>
          </cell>
          <cell r="BT208" t="e">
            <v>#DIV/0!</v>
          </cell>
          <cell r="BU208">
            <v>0</v>
          </cell>
          <cell r="BV208">
            <v>0</v>
          </cell>
          <cell r="BW208" t="e">
            <v>#DIV/0!</v>
          </cell>
          <cell r="BX208">
            <v>0</v>
          </cell>
          <cell r="BY208">
            <v>0</v>
          </cell>
          <cell r="BZ208" t="e">
            <v>#DIV/0!</v>
          </cell>
          <cell r="CA208">
            <v>0</v>
          </cell>
          <cell r="CB208">
            <v>0</v>
          </cell>
          <cell r="CC208" t="e">
            <v>#DIV/0!</v>
          </cell>
          <cell r="CE208" t="str">
            <v>830 REC LI 311_351</v>
          </cell>
          <cell r="CF208">
            <v>0</v>
          </cell>
          <cell r="CG208">
            <v>0</v>
          </cell>
          <cell r="CH208" t="e">
            <v>#DIV/0!</v>
          </cell>
          <cell r="CI208">
            <v>0</v>
          </cell>
          <cell r="CJ208">
            <v>0</v>
          </cell>
          <cell r="CK208" t="e">
            <v>#DIV/0!</v>
          </cell>
          <cell r="CL208">
            <v>0</v>
          </cell>
          <cell r="CM208">
            <v>0</v>
          </cell>
          <cell r="CN208" t="e">
            <v>#DIV/0!</v>
          </cell>
          <cell r="CO208">
            <v>0</v>
          </cell>
          <cell r="CP208">
            <v>0</v>
          </cell>
          <cell r="CQ208" t="e">
            <v>#DIV/0!</v>
          </cell>
          <cell r="CR208">
            <v>0</v>
          </cell>
          <cell r="CS208">
            <v>0</v>
          </cell>
          <cell r="CT208" t="e">
            <v>#DIV/0!</v>
          </cell>
          <cell r="CV208" t="str">
            <v>830 REC LI 311_351</v>
          </cell>
          <cell r="CW208">
            <v>0</v>
          </cell>
          <cell r="CX208">
            <v>0</v>
          </cell>
          <cell r="CY208" t="e">
            <v>#DIV/0!</v>
          </cell>
          <cell r="CZ208">
            <v>0</v>
          </cell>
          <cell r="DA208">
            <v>0</v>
          </cell>
          <cell r="DB208" t="e">
            <v>#DIV/0!</v>
          </cell>
          <cell r="DC208">
            <v>0</v>
          </cell>
          <cell r="DD208">
            <v>0</v>
          </cell>
          <cell r="DE208" t="e">
            <v>#DIV/0!</v>
          </cell>
          <cell r="DF208">
            <v>0</v>
          </cell>
          <cell r="DG208">
            <v>0</v>
          </cell>
          <cell r="DH208" t="e">
            <v>#DIV/0!</v>
          </cell>
          <cell r="DJ208" t="str">
            <v>830 REC LI 311_351</v>
          </cell>
          <cell r="DK208">
            <v>0</v>
          </cell>
          <cell r="DL208">
            <v>0</v>
          </cell>
          <cell r="DM208" t="e">
            <v>#DIV/0!</v>
          </cell>
          <cell r="DN208">
            <v>0</v>
          </cell>
          <cell r="DO208">
            <v>0</v>
          </cell>
          <cell r="DP208" t="e">
            <v>#DIV/0!</v>
          </cell>
          <cell r="DQ208">
            <v>0</v>
          </cell>
          <cell r="DR208">
            <v>0</v>
          </cell>
          <cell r="DS208" t="e">
            <v>#DIV/0!</v>
          </cell>
          <cell r="DT208">
            <v>0</v>
          </cell>
          <cell r="DU208">
            <v>0</v>
          </cell>
          <cell r="DV208" t="e">
            <v>#DIV/0!</v>
          </cell>
          <cell r="DX208" t="str">
            <v>830 REC LI 311_351</v>
          </cell>
          <cell r="DY208">
            <v>0</v>
          </cell>
          <cell r="DZ208">
            <v>0</v>
          </cell>
          <cell r="EA208" t="e">
            <v>#DIV/0!</v>
          </cell>
          <cell r="EB208">
            <v>0</v>
          </cell>
          <cell r="EC208">
            <v>0</v>
          </cell>
          <cell r="ED208" t="e">
            <v>#DIV/0!</v>
          </cell>
          <cell r="EE208">
            <v>0</v>
          </cell>
          <cell r="EF208">
            <v>0</v>
          </cell>
          <cell r="EG208" t="e">
            <v>#DIV/0!</v>
          </cell>
          <cell r="EH208">
            <v>0</v>
          </cell>
          <cell r="EI208">
            <v>0</v>
          </cell>
          <cell r="EJ208" t="e">
            <v>#DIV/0!</v>
          </cell>
          <cell r="EK208">
            <v>0</v>
          </cell>
          <cell r="EL208">
            <v>0</v>
          </cell>
          <cell r="EM208" t="e">
            <v>#DIV/0!</v>
          </cell>
          <cell r="EO208" t="str">
            <v>830 REC LI 311_351</v>
          </cell>
          <cell r="EP208">
            <v>0</v>
          </cell>
          <cell r="EQ208">
            <v>0</v>
          </cell>
          <cell r="ER208" t="e">
            <v>#DIV/0!</v>
          </cell>
          <cell r="ES208">
            <v>0</v>
          </cell>
          <cell r="ET208">
            <v>0</v>
          </cell>
          <cell r="EU208" t="e">
            <v>#DIV/0!</v>
          </cell>
          <cell r="EV208">
            <v>0</v>
          </cell>
          <cell r="EW208">
            <v>0</v>
          </cell>
          <cell r="EX208" t="e">
            <v>#DIV/0!</v>
          </cell>
          <cell r="EY208">
            <v>0</v>
          </cell>
          <cell r="EZ208">
            <v>0</v>
          </cell>
          <cell r="FA208" t="e">
            <v>#DIV/0!</v>
          </cell>
          <cell r="FC208" t="str">
            <v>830 REC LI 311_351</v>
          </cell>
          <cell r="FD208">
            <v>0</v>
          </cell>
          <cell r="FE208">
            <v>0</v>
          </cell>
          <cell r="FF208" t="e">
            <v>#DIV/0!</v>
          </cell>
          <cell r="FG208">
            <v>0</v>
          </cell>
          <cell r="FH208">
            <v>0</v>
          </cell>
          <cell r="FI208" t="e">
            <v>#DIV/0!</v>
          </cell>
          <cell r="FJ208">
            <v>0</v>
          </cell>
          <cell r="FK208">
            <v>0</v>
          </cell>
          <cell r="FL208" t="e">
            <v>#DIV/0!</v>
          </cell>
          <cell r="FM208">
            <v>0</v>
          </cell>
          <cell r="FN208">
            <v>0</v>
          </cell>
          <cell r="FO208" t="e">
            <v>#DIV/0!</v>
          </cell>
          <cell r="FP208">
            <v>0</v>
          </cell>
          <cell r="FQ208">
            <v>0</v>
          </cell>
          <cell r="FR208" t="e">
            <v>#DIV/0!</v>
          </cell>
        </row>
        <row r="209">
          <cell r="AZ209" t="str">
            <v>8**</v>
          </cell>
          <cell r="BA209">
            <v>0</v>
          </cell>
          <cell r="BB209">
            <v>0</v>
          </cell>
          <cell r="BC209" t="e">
            <v>#DIV/0!</v>
          </cell>
          <cell r="BD209">
            <v>0</v>
          </cell>
          <cell r="BE209">
            <v>0</v>
          </cell>
          <cell r="BF209" t="e">
            <v>#DIV/0!</v>
          </cell>
          <cell r="BG209">
            <v>0</v>
          </cell>
          <cell r="BH209">
            <v>0</v>
          </cell>
          <cell r="BI209" t="e">
            <v>#DIV/0!</v>
          </cell>
          <cell r="BJ209">
            <v>0</v>
          </cell>
          <cell r="BK209">
            <v>0</v>
          </cell>
          <cell r="BL209" t="e">
            <v>#DIV/0!</v>
          </cell>
          <cell r="BN209" t="str">
            <v>8**</v>
          </cell>
          <cell r="BO209">
            <v>0</v>
          </cell>
          <cell r="BP209">
            <v>0</v>
          </cell>
          <cell r="BQ209" t="e">
            <v>#DIV/0!</v>
          </cell>
          <cell r="BR209">
            <v>0</v>
          </cell>
          <cell r="BS209">
            <v>0</v>
          </cell>
          <cell r="BT209" t="e">
            <v>#DIV/0!</v>
          </cell>
          <cell r="BU209">
            <v>0</v>
          </cell>
          <cell r="BV209">
            <v>0</v>
          </cell>
          <cell r="BW209" t="e">
            <v>#DIV/0!</v>
          </cell>
          <cell r="BX209">
            <v>0</v>
          </cell>
          <cell r="BY209">
            <v>0</v>
          </cell>
          <cell r="BZ209" t="e">
            <v>#DIV/0!</v>
          </cell>
          <cell r="CA209">
            <v>0</v>
          </cell>
          <cell r="CB209">
            <v>0</v>
          </cell>
          <cell r="CC209" t="e">
            <v>#DIV/0!</v>
          </cell>
          <cell r="CE209" t="str">
            <v>8**</v>
          </cell>
          <cell r="CF209">
            <v>0</v>
          </cell>
          <cell r="CG209">
            <v>0</v>
          </cell>
          <cell r="CH209" t="e">
            <v>#DIV/0!</v>
          </cell>
          <cell r="CI209">
            <v>0</v>
          </cell>
          <cell r="CJ209">
            <v>0</v>
          </cell>
          <cell r="CK209" t="e">
            <v>#DIV/0!</v>
          </cell>
          <cell r="CL209">
            <v>0</v>
          </cell>
          <cell r="CM209">
            <v>0</v>
          </cell>
          <cell r="CN209" t="e">
            <v>#DIV/0!</v>
          </cell>
          <cell r="CO209">
            <v>0</v>
          </cell>
          <cell r="CP209">
            <v>0</v>
          </cell>
          <cell r="CQ209" t="e">
            <v>#DIV/0!</v>
          </cell>
          <cell r="CR209">
            <v>0</v>
          </cell>
          <cell r="CS209">
            <v>0</v>
          </cell>
          <cell r="CT209" t="e">
            <v>#DIV/0!</v>
          </cell>
          <cell r="CV209" t="str">
            <v>8**</v>
          </cell>
          <cell r="CW209">
            <v>0</v>
          </cell>
          <cell r="CX209">
            <v>0</v>
          </cell>
          <cell r="CY209" t="e">
            <v>#DIV/0!</v>
          </cell>
          <cell r="CZ209">
            <v>0</v>
          </cell>
          <cell r="DA209">
            <v>0</v>
          </cell>
          <cell r="DB209" t="e">
            <v>#DIV/0!</v>
          </cell>
          <cell r="DC209">
            <v>0</v>
          </cell>
          <cell r="DD209">
            <v>0</v>
          </cell>
          <cell r="DE209" t="e">
            <v>#DIV/0!</v>
          </cell>
          <cell r="DF209">
            <v>0</v>
          </cell>
          <cell r="DG209">
            <v>0</v>
          </cell>
          <cell r="DH209" t="e">
            <v>#DIV/0!</v>
          </cell>
          <cell r="DJ209" t="str">
            <v>8**</v>
          </cell>
          <cell r="DK209">
            <v>0</v>
          </cell>
          <cell r="DL209">
            <v>0</v>
          </cell>
          <cell r="DM209" t="e">
            <v>#DIV/0!</v>
          </cell>
          <cell r="DN209">
            <v>0</v>
          </cell>
          <cell r="DO209">
            <v>0</v>
          </cell>
          <cell r="DP209" t="e">
            <v>#DIV/0!</v>
          </cell>
          <cell r="DQ209">
            <v>0</v>
          </cell>
          <cell r="DR209">
            <v>0</v>
          </cell>
          <cell r="DS209" t="e">
            <v>#DIV/0!</v>
          </cell>
          <cell r="DT209">
            <v>0</v>
          </cell>
          <cell r="DU209">
            <v>0</v>
          </cell>
          <cell r="DV209" t="e">
            <v>#DIV/0!</v>
          </cell>
          <cell r="DX209" t="str">
            <v>8**</v>
          </cell>
          <cell r="DY209">
            <v>0</v>
          </cell>
          <cell r="DZ209">
            <v>0</v>
          </cell>
          <cell r="EA209" t="e">
            <v>#DIV/0!</v>
          </cell>
          <cell r="EB209">
            <v>0</v>
          </cell>
          <cell r="EC209">
            <v>0</v>
          </cell>
          <cell r="ED209" t="e">
            <v>#DIV/0!</v>
          </cell>
          <cell r="EE209">
            <v>0</v>
          </cell>
          <cell r="EF209">
            <v>0</v>
          </cell>
          <cell r="EG209" t="e">
            <v>#DIV/0!</v>
          </cell>
          <cell r="EH209">
            <v>0</v>
          </cell>
          <cell r="EI209">
            <v>0</v>
          </cell>
          <cell r="EJ209" t="e">
            <v>#DIV/0!</v>
          </cell>
          <cell r="EK209">
            <v>0</v>
          </cell>
          <cell r="EL209">
            <v>0</v>
          </cell>
          <cell r="EM209" t="e">
            <v>#DIV/0!</v>
          </cell>
          <cell r="EO209" t="str">
            <v>8**</v>
          </cell>
          <cell r="EP209">
            <v>0</v>
          </cell>
          <cell r="EQ209">
            <v>0</v>
          </cell>
          <cell r="ER209" t="e">
            <v>#DIV/0!</v>
          </cell>
          <cell r="ES209">
            <v>0</v>
          </cell>
          <cell r="ET209">
            <v>0</v>
          </cell>
          <cell r="EU209" t="e">
            <v>#DIV/0!</v>
          </cell>
          <cell r="EV209">
            <v>0</v>
          </cell>
          <cell r="EW209">
            <v>0</v>
          </cell>
          <cell r="EX209" t="e">
            <v>#DIV/0!</v>
          </cell>
          <cell r="EY209">
            <v>0</v>
          </cell>
          <cell r="EZ209">
            <v>0</v>
          </cell>
          <cell r="FA209" t="e">
            <v>#DIV/0!</v>
          </cell>
          <cell r="FC209" t="str">
            <v>8**</v>
          </cell>
          <cell r="FD209">
            <v>0</v>
          </cell>
          <cell r="FE209">
            <v>0</v>
          </cell>
          <cell r="FF209" t="e">
            <v>#DIV/0!</v>
          </cell>
          <cell r="FG209">
            <v>0</v>
          </cell>
          <cell r="FH209">
            <v>0</v>
          </cell>
          <cell r="FI209" t="e">
            <v>#DIV/0!</v>
          </cell>
          <cell r="FJ209">
            <v>0</v>
          </cell>
          <cell r="FK209">
            <v>0</v>
          </cell>
          <cell r="FL209" t="e">
            <v>#DIV/0!</v>
          </cell>
          <cell r="FM209">
            <v>0</v>
          </cell>
          <cell r="FN209">
            <v>0</v>
          </cell>
          <cell r="FO209" t="e">
            <v>#DIV/0!</v>
          </cell>
          <cell r="FP209">
            <v>0</v>
          </cell>
          <cell r="FQ209">
            <v>0</v>
          </cell>
          <cell r="FR209" t="e">
            <v>#DIV/0!</v>
          </cell>
        </row>
        <row r="210">
          <cell r="AZ210" t="str">
            <v xml:space="preserve">7** 8** T. RTTES </v>
          </cell>
          <cell r="BA210">
            <v>0</v>
          </cell>
          <cell r="BB210">
            <v>0</v>
          </cell>
          <cell r="BC210" t="e">
            <v>#DIV/0!</v>
          </cell>
          <cell r="BD210">
            <v>0</v>
          </cell>
          <cell r="BE210">
            <v>0</v>
          </cell>
          <cell r="BF210" t="e">
            <v>#DIV/0!</v>
          </cell>
          <cell r="BG210">
            <v>0</v>
          </cell>
          <cell r="BH210">
            <v>0</v>
          </cell>
          <cell r="BI210" t="e">
            <v>#DIV/0!</v>
          </cell>
          <cell r="BJ210">
            <v>0</v>
          </cell>
          <cell r="BK210">
            <v>0</v>
          </cell>
          <cell r="BL210" t="e">
            <v>#DIV/0!</v>
          </cell>
          <cell r="BN210" t="str">
            <v xml:space="preserve">7** 8** T. RTTES </v>
          </cell>
          <cell r="BO210">
            <v>0</v>
          </cell>
          <cell r="BP210">
            <v>0</v>
          </cell>
          <cell r="BQ210" t="e">
            <v>#DIV/0!</v>
          </cell>
          <cell r="BR210">
            <v>0</v>
          </cell>
          <cell r="BS210">
            <v>0</v>
          </cell>
          <cell r="BT210" t="e">
            <v>#DIV/0!</v>
          </cell>
          <cell r="BU210">
            <v>0</v>
          </cell>
          <cell r="BV210">
            <v>0</v>
          </cell>
          <cell r="BW210" t="e">
            <v>#DIV/0!</v>
          </cell>
          <cell r="BX210">
            <v>0</v>
          </cell>
          <cell r="BY210">
            <v>0</v>
          </cell>
          <cell r="BZ210" t="e">
            <v>#DIV/0!</v>
          </cell>
          <cell r="CA210">
            <v>0</v>
          </cell>
          <cell r="CB210">
            <v>0</v>
          </cell>
          <cell r="CC210" t="e">
            <v>#DIV/0!</v>
          </cell>
          <cell r="CE210" t="str">
            <v xml:space="preserve">7** 8** T. RTTES </v>
          </cell>
          <cell r="CF210">
            <v>0</v>
          </cell>
          <cell r="CG210">
            <v>0</v>
          </cell>
          <cell r="CH210" t="e">
            <v>#DIV/0!</v>
          </cell>
          <cell r="CI210">
            <v>0</v>
          </cell>
          <cell r="CJ210">
            <v>0</v>
          </cell>
          <cell r="CK210" t="e">
            <v>#DIV/0!</v>
          </cell>
          <cell r="CL210">
            <v>0</v>
          </cell>
          <cell r="CM210">
            <v>0</v>
          </cell>
          <cell r="CN210" t="e">
            <v>#DIV/0!</v>
          </cell>
          <cell r="CO210">
            <v>0</v>
          </cell>
          <cell r="CP210">
            <v>0</v>
          </cell>
          <cell r="CQ210" t="e">
            <v>#DIV/0!</v>
          </cell>
          <cell r="CR210">
            <v>0</v>
          </cell>
          <cell r="CS210">
            <v>0</v>
          </cell>
          <cell r="CT210" t="e">
            <v>#DIV/0!</v>
          </cell>
          <cell r="CV210" t="str">
            <v xml:space="preserve">7** 8** T. RTTES </v>
          </cell>
          <cell r="CW210">
            <v>0</v>
          </cell>
          <cell r="CX210">
            <v>0</v>
          </cell>
          <cell r="CY210" t="e">
            <v>#DIV/0!</v>
          </cell>
          <cell r="CZ210">
            <v>0</v>
          </cell>
          <cell r="DA210">
            <v>0</v>
          </cell>
          <cell r="DB210" t="e">
            <v>#DIV/0!</v>
          </cell>
          <cell r="DC210">
            <v>0</v>
          </cell>
          <cell r="DD210">
            <v>0</v>
          </cell>
          <cell r="DE210" t="e">
            <v>#DIV/0!</v>
          </cell>
          <cell r="DF210">
            <v>0</v>
          </cell>
          <cell r="DG210">
            <v>0</v>
          </cell>
          <cell r="DH210" t="e">
            <v>#DIV/0!</v>
          </cell>
          <cell r="DJ210" t="str">
            <v xml:space="preserve">7** 8** T. RTTES </v>
          </cell>
          <cell r="DK210">
            <v>0</v>
          </cell>
          <cell r="DL210">
            <v>0</v>
          </cell>
          <cell r="DM210" t="e">
            <v>#DIV/0!</v>
          </cell>
          <cell r="DN210">
            <v>0</v>
          </cell>
          <cell r="DO210">
            <v>0</v>
          </cell>
          <cell r="DP210" t="e">
            <v>#DIV/0!</v>
          </cell>
          <cell r="DQ210">
            <v>0</v>
          </cell>
          <cell r="DR210">
            <v>0</v>
          </cell>
          <cell r="DS210" t="e">
            <v>#DIV/0!</v>
          </cell>
          <cell r="DT210">
            <v>0</v>
          </cell>
          <cell r="DU210">
            <v>0</v>
          </cell>
          <cell r="DV210" t="e">
            <v>#DIV/0!</v>
          </cell>
          <cell r="DX210" t="str">
            <v xml:space="preserve">7** 8** T. RTTES </v>
          </cell>
          <cell r="DY210">
            <v>0</v>
          </cell>
          <cell r="DZ210">
            <v>0</v>
          </cell>
          <cell r="EA210" t="e">
            <v>#DIV/0!</v>
          </cell>
          <cell r="EB210">
            <v>0</v>
          </cell>
          <cell r="EC210">
            <v>0</v>
          </cell>
          <cell r="ED210" t="e">
            <v>#DIV/0!</v>
          </cell>
          <cell r="EE210">
            <v>0</v>
          </cell>
          <cell r="EF210">
            <v>0</v>
          </cell>
          <cell r="EG210" t="e">
            <v>#DIV/0!</v>
          </cell>
          <cell r="EH210">
            <v>0</v>
          </cell>
          <cell r="EI210">
            <v>0</v>
          </cell>
          <cell r="EJ210" t="e">
            <v>#DIV/0!</v>
          </cell>
          <cell r="EK210">
            <v>0</v>
          </cell>
          <cell r="EL210">
            <v>0</v>
          </cell>
          <cell r="EM210" t="e">
            <v>#DIV/0!</v>
          </cell>
          <cell r="EO210" t="str">
            <v xml:space="preserve">7** 8** T. RTTES </v>
          </cell>
          <cell r="EP210">
            <v>0</v>
          </cell>
          <cell r="EQ210">
            <v>0</v>
          </cell>
          <cell r="ER210" t="e">
            <v>#DIV/0!</v>
          </cell>
          <cell r="ES210">
            <v>0</v>
          </cell>
          <cell r="ET210">
            <v>0</v>
          </cell>
          <cell r="EU210" t="e">
            <v>#DIV/0!</v>
          </cell>
          <cell r="EV210">
            <v>0</v>
          </cell>
          <cell r="EW210">
            <v>0</v>
          </cell>
          <cell r="EX210" t="e">
            <v>#DIV/0!</v>
          </cell>
          <cell r="EY210">
            <v>0</v>
          </cell>
          <cell r="EZ210">
            <v>0</v>
          </cell>
          <cell r="FA210" t="e">
            <v>#DIV/0!</v>
          </cell>
          <cell r="FC210" t="str">
            <v xml:space="preserve">7** 8** T. RTTES </v>
          </cell>
          <cell r="FD210">
            <v>0</v>
          </cell>
          <cell r="FE210">
            <v>0</v>
          </cell>
          <cell r="FF210" t="e">
            <v>#DIV/0!</v>
          </cell>
          <cell r="FG210">
            <v>0</v>
          </cell>
          <cell r="FH210">
            <v>0</v>
          </cell>
          <cell r="FI210" t="e">
            <v>#DIV/0!</v>
          </cell>
          <cell r="FJ210">
            <v>0</v>
          </cell>
          <cell r="FK210">
            <v>0</v>
          </cell>
          <cell r="FL210" t="e">
            <v>#DIV/0!</v>
          </cell>
          <cell r="FM210">
            <v>0</v>
          </cell>
          <cell r="FN210">
            <v>0</v>
          </cell>
          <cell r="FO210" t="e">
            <v>#DIV/0!</v>
          </cell>
          <cell r="FP210">
            <v>0</v>
          </cell>
          <cell r="FQ210">
            <v>0</v>
          </cell>
          <cell r="FR210" t="e">
            <v>#DIV/0!</v>
          </cell>
        </row>
        <row r="211">
          <cell r="AZ211" t="str">
            <v>TOTAL NET</v>
          </cell>
          <cell r="BA211">
            <v>0</v>
          </cell>
          <cell r="BB211">
            <v>0</v>
          </cell>
          <cell r="BC211" t="e">
            <v>#DIV/0!</v>
          </cell>
          <cell r="BD211">
            <v>3103695</v>
          </cell>
          <cell r="BE211">
            <v>1487887.0491599999</v>
          </cell>
          <cell r="BF211">
            <v>47.939215971930224</v>
          </cell>
          <cell r="BG211">
            <v>2680825</v>
          </cell>
          <cell r="BH211">
            <v>1329935.2301400001</v>
          </cell>
          <cell r="BI211">
            <v>49.609177403970797</v>
          </cell>
          <cell r="BJ211">
            <v>2702885</v>
          </cell>
          <cell r="BK211">
            <v>1277495.01018</v>
          </cell>
          <cell r="BL211">
            <v>47.264127411266109</v>
          </cell>
          <cell r="BN211" t="str">
            <v>TOTAL NET</v>
          </cell>
          <cell r="BO211">
            <v>2713331</v>
          </cell>
          <cell r="BP211">
            <v>1348038.94092</v>
          </cell>
          <cell r="BQ211">
            <v>49.682067573768187</v>
          </cell>
          <cell r="BR211">
            <v>2116712</v>
          </cell>
          <cell r="BS211">
            <v>1041357.7707</v>
          </cell>
          <cell r="BT211">
            <v>49.196951247973267</v>
          </cell>
          <cell r="BU211">
            <v>2817013</v>
          </cell>
          <cell r="BV211">
            <v>1398633.7323</v>
          </cell>
          <cell r="BW211">
            <v>49.649530630494077</v>
          </cell>
          <cell r="BX211">
            <v>1438636</v>
          </cell>
          <cell r="BY211">
            <v>361417.78925999999</v>
          </cell>
          <cell r="BZ211">
            <v>25.122253944708739</v>
          </cell>
          <cell r="CA211">
            <v>17573097</v>
          </cell>
          <cell r="CB211">
            <v>8244765.5226600002</v>
          </cell>
          <cell r="CC211">
            <v>46.916974979765946</v>
          </cell>
          <cell r="CE211" t="str">
            <v>TOTAL NET</v>
          </cell>
          <cell r="CF211">
            <v>12468982</v>
          </cell>
          <cell r="CG211">
            <v>8779736.45046</v>
          </cell>
          <cell r="CH211">
            <v>70.412616286237323</v>
          </cell>
          <cell r="CI211">
            <v>16219123</v>
          </cell>
          <cell r="CJ211">
            <v>11726192.78946</v>
          </cell>
          <cell r="CK211">
            <v>72.298562563832832</v>
          </cell>
          <cell r="CL211">
            <v>0</v>
          </cell>
          <cell r="CM211">
            <v>0</v>
          </cell>
          <cell r="CN211" t="e">
            <v>#DIV/0!</v>
          </cell>
          <cell r="CO211">
            <v>12780</v>
          </cell>
          <cell r="CP211">
            <v>4377.2522399999998</v>
          </cell>
          <cell r="CQ211">
            <v>34.250799999999998</v>
          </cell>
          <cell r="CR211">
            <v>28700885</v>
          </cell>
          <cell r="CS211">
            <v>20510306.49216</v>
          </cell>
          <cell r="CT211">
            <v>71.462278923315424</v>
          </cell>
          <cell r="CV211" t="str">
            <v>TOTAL NET</v>
          </cell>
          <cell r="CW211">
            <v>140900</v>
          </cell>
          <cell r="CX211">
            <v>131412</v>
          </cell>
          <cell r="CY211">
            <v>93.266146202980835</v>
          </cell>
          <cell r="CZ211">
            <v>8290644</v>
          </cell>
          <cell r="DA211">
            <v>6766269.7417799998</v>
          </cell>
          <cell r="DB211">
            <v>81.613319083294371</v>
          </cell>
          <cell r="DC211">
            <v>0</v>
          </cell>
          <cell r="DD211">
            <v>0</v>
          </cell>
          <cell r="DE211" t="e">
            <v>#DIV/0!</v>
          </cell>
          <cell r="DF211">
            <v>8431544</v>
          </cell>
          <cell r="DG211">
            <v>6897681.7417799998</v>
          </cell>
          <cell r="DH211">
            <v>81.808050124390036</v>
          </cell>
          <cell r="DJ211" t="str">
            <v>TOTAL NET</v>
          </cell>
          <cell r="DK211">
            <v>13136942</v>
          </cell>
          <cell r="DL211">
            <v>11004654.9681</v>
          </cell>
          <cell r="DM211">
            <v>83.768771819956271</v>
          </cell>
          <cell r="DN211">
            <v>0</v>
          </cell>
          <cell r="DO211">
            <v>0</v>
          </cell>
          <cell r="DP211" t="e">
            <v>#DIV/0!</v>
          </cell>
          <cell r="DQ211">
            <v>0</v>
          </cell>
          <cell r="DR211">
            <v>0</v>
          </cell>
          <cell r="DS211" t="e">
            <v>#DIV/0!</v>
          </cell>
          <cell r="DT211">
            <v>0</v>
          </cell>
          <cell r="DU211">
            <v>0</v>
          </cell>
          <cell r="DV211" t="e">
            <v>#DIV/0!</v>
          </cell>
          <cell r="DX211" t="str">
            <v>TOTAL NET</v>
          </cell>
          <cell r="DY211">
            <v>0</v>
          </cell>
          <cell r="DZ211">
            <v>0</v>
          </cell>
          <cell r="EA211" t="e">
            <v>#DIV/0!</v>
          </cell>
          <cell r="EB211">
            <v>0</v>
          </cell>
          <cell r="EC211">
            <v>0</v>
          </cell>
          <cell r="ED211" t="e">
            <v>#DIV/0!</v>
          </cell>
          <cell r="EE211">
            <v>5454326</v>
          </cell>
          <cell r="EF211">
            <v>3960861.4015199998</v>
          </cell>
          <cell r="EG211">
            <v>72.618714054128773</v>
          </cell>
          <cell r="EH211">
            <v>10775473</v>
          </cell>
          <cell r="EI211">
            <v>9672256.3081800006</v>
          </cell>
          <cell r="EJ211">
            <v>89.761779442814259</v>
          </cell>
          <cell r="EK211">
            <v>29366741</v>
          </cell>
          <cell r="EL211">
            <v>24637772.6778</v>
          </cell>
          <cell r="EM211">
            <v>83.896856916468877</v>
          </cell>
          <cell r="EO211" t="str">
            <v>TOTAL NET</v>
          </cell>
          <cell r="EP211">
            <v>4995585</v>
          </cell>
          <cell r="EQ211">
            <v>4432313.6908799997</v>
          </cell>
          <cell r="ER211">
            <v>88.724617654989345</v>
          </cell>
          <cell r="ES211">
            <v>0</v>
          </cell>
          <cell r="ET211">
            <v>0</v>
          </cell>
          <cell r="EU211" t="e">
            <v>#DIV/0!</v>
          </cell>
          <cell r="EV211">
            <v>3568384</v>
          </cell>
          <cell r="EW211">
            <v>2872974.67722</v>
          </cell>
          <cell r="EX211">
            <v>80.511925768639244</v>
          </cell>
          <cell r="EY211">
            <v>354513</v>
          </cell>
          <cell r="EZ211">
            <v>284184.91811999999</v>
          </cell>
          <cell r="FA211">
            <v>80.162058406884938</v>
          </cell>
          <cell r="FC211" t="str">
            <v>TOTAL NET</v>
          </cell>
          <cell r="FD211">
            <v>0</v>
          </cell>
          <cell r="FE211">
            <v>0</v>
          </cell>
          <cell r="FF211" t="e">
            <v>#DIV/0!</v>
          </cell>
          <cell r="FG211">
            <v>0</v>
          </cell>
          <cell r="FH211">
            <v>0</v>
          </cell>
          <cell r="FI211" t="e">
            <v>#DIV/0!</v>
          </cell>
          <cell r="FJ211">
            <v>7776847</v>
          </cell>
          <cell r="FK211">
            <v>5172697.9819200002</v>
          </cell>
          <cell r="FL211">
            <v>66.51407674498418</v>
          </cell>
          <cell r="FM211">
            <v>5678106</v>
          </cell>
          <cell r="FN211">
            <v>5017391.5022999998</v>
          </cell>
          <cell r="FO211">
            <v>88.363822413671031</v>
          </cell>
          <cell r="FP211">
            <v>22373435</v>
          </cell>
          <cell r="FQ211">
            <v>17779562.770440001</v>
          </cell>
          <cell r="FR211">
            <v>79.467291323124954</v>
          </cell>
        </row>
        <row r="212">
          <cell r="AZ212" t="str">
            <v>COUT</v>
          </cell>
          <cell r="BA212" t="e">
            <v>#DIV/0!</v>
          </cell>
          <cell r="BB212" t="e">
            <v>#DIV/0!</v>
          </cell>
          <cell r="BC212" t="e">
            <v>#DIV/0!</v>
          </cell>
          <cell r="BD212">
            <v>92.650377623212634</v>
          </cell>
          <cell r="BE212">
            <v>44.636611474799992</v>
          </cell>
          <cell r="BF212">
            <v>48.177473875310717</v>
          </cell>
          <cell r="BG212">
            <v>79.495448210420193</v>
          </cell>
          <cell r="BH212" t="e">
            <v>#DIV/0!</v>
          </cell>
          <cell r="BI212" t="e">
            <v>#DIV/0!</v>
          </cell>
          <cell r="BJ212">
            <v>98.760779011984795</v>
          </cell>
          <cell r="BK212" t="e">
            <v>#DIV/0!</v>
          </cell>
          <cell r="BL212" t="e">
            <v>#DIV/0!</v>
          </cell>
          <cell r="BN212" t="str">
            <v>COUT</v>
          </cell>
          <cell r="BO212">
            <v>77.450717894556561</v>
          </cell>
          <cell r="BP212">
            <v>40.441168227599995</v>
          </cell>
          <cell r="BQ212">
            <v>52.215356199354609</v>
          </cell>
          <cell r="BR212">
            <v>65.492326732673263</v>
          </cell>
          <cell r="BS212" t="e">
            <v>#DIV/0!</v>
          </cell>
          <cell r="BT212" t="e">
            <v>#DIV/0!</v>
          </cell>
          <cell r="BU212">
            <v>67.058964959055416</v>
          </cell>
          <cell r="BV212">
            <v>41.959011968999995</v>
          </cell>
          <cell r="BW212">
            <v>62.570324481773845</v>
          </cell>
          <cell r="BX212">
            <v>7.0538315575800068</v>
          </cell>
          <cell r="BY212">
            <v>3.6141778925999999</v>
          </cell>
          <cell r="BZ212">
            <v>51.237088142772912</v>
          </cell>
          <cell r="CA212">
            <v>86.163328446538628</v>
          </cell>
          <cell r="CB212">
            <v>82.447655226600006</v>
          </cell>
          <cell r="CC212">
            <v>95.687639640982454</v>
          </cell>
          <cell r="CE212" t="str">
            <v>COUT</v>
          </cell>
          <cell r="CF212">
            <v>134.4176234058838</v>
          </cell>
          <cell r="CG212" t="e">
            <v>#DIV/0!</v>
          </cell>
          <cell r="CH212" t="e">
            <v>#DIV/0!</v>
          </cell>
          <cell r="CI212">
            <v>120.9885718548357</v>
          </cell>
          <cell r="CJ212">
            <v>46.904771157839996</v>
          </cell>
          <cell r="CK212">
            <v>38.76793521797844</v>
          </cell>
          <cell r="CL212" t="e">
            <v>#DIV/0!</v>
          </cell>
          <cell r="CM212" t="e">
            <v>#DIV/0!</v>
          </cell>
          <cell r="CO212">
            <v>5.6344734544877394E-2</v>
          </cell>
          <cell r="CP212">
            <v>1.7509008959999999E-2</v>
          </cell>
          <cell r="CQ212">
            <v>31.074791817599994</v>
          </cell>
          <cell r="CR212">
            <v>126.53706936839228</v>
          </cell>
          <cell r="CS212">
            <v>82.041225968640006</v>
          </cell>
          <cell r="CT212">
            <v>64.835724723314243</v>
          </cell>
          <cell r="CV212" t="str">
            <v>COUT</v>
          </cell>
          <cell r="CW212">
            <v>0.32708946094078267</v>
          </cell>
          <cell r="CX212">
            <v>0.37546285714285715</v>
          </cell>
          <cell r="CY212">
            <v>114.789041524891</v>
          </cell>
          <cell r="CZ212">
            <v>19.246148167579374</v>
          </cell>
          <cell r="DA212">
            <v>19.332199262228571</v>
          </cell>
          <cell r="DB212">
            <v>100.44710813769038</v>
          </cell>
          <cell r="DC212">
            <v>0</v>
          </cell>
          <cell r="DD212">
            <v>0</v>
          </cell>
          <cell r="DE212" t="e">
            <v>#DIV/0!</v>
          </cell>
          <cell r="DF212">
            <v>19.573237628520157</v>
          </cell>
          <cell r="DG212">
            <v>19.707662119371427</v>
          </cell>
          <cell r="DH212">
            <v>100.68677698295248</v>
          </cell>
          <cell r="DJ212" t="str">
            <v>COUT</v>
          </cell>
          <cell r="DK212">
            <v>9.6041510703006203</v>
          </cell>
          <cell r="DL212">
            <v>3.9302339171785716</v>
          </cell>
          <cell r="DM212">
            <v>40.922241730788926</v>
          </cell>
          <cell r="DN212">
            <v>0</v>
          </cell>
          <cell r="DO212">
            <v>0</v>
          </cell>
          <cell r="DP212" t="e">
            <v>#DIV/0!</v>
          </cell>
          <cell r="DQ212">
            <v>0</v>
          </cell>
          <cell r="DR212">
            <v>0</v>
          </cell>
          <cell r="DS212" t="e">
            <v>#DIV/0!</v>
          </cell>
          <cell r="DT212">
            <v>0</v>
          </cell>
          <cell r="DU212">
            <v>0</v>
          </cell>
          <cell r="DV212" t="e">
            <v>#DIV/0!</v>
          </cell>
          <cell r="DX212" t="str">
            <v>COUT</v>
          </cell>
          <cell r="DY212">
            <v>0</v>
          </cell>
          <cell r="DZ212">
            <v>0</v>
          </cell>
          <cell r="EA212" t="e">
            <v>#DIV/0!</v>
          </cell>
          <cell r="EB212">
            <v>0</v>
          </cell>
          <cell r="EC212">
            <v>0</v>
          </cell>
          <cell r="ED212" t="e">
            <v>#DIV/0!</v>
          </cell>
          <cell r="EE212">
            <v>12.661834997411606</v>
          </cell>
          <cell r="EF212">
            <v>11.316746861485713</v>
          </cell>
          <cell r="EG212">
            <v>89.376830955379987</v>
          </cell>
          <cell r="EH212">
            <v>25.014504293484443</v>
          </cell>
          <cell r="EI212">
            <v>27.63501802337143</v>
          </cell>
          <cell r="EJ212">
            <v>110.47597705371901</v>
          </cell>
          <cell r="EK212">
            <v>68.172828128300779</v>
          </cell>
          <cell r="EL212">
            <v>70.393636222285707</v>
          </cell>
          <cell r="EM212">
            <v>103.25761473442965</v>
          </cell>
          <cell r="EO212" t="str">
            <v>COUT</v>
          </cell>
          <cell r="EP212">
            <v>11.596899962624979</v>
          </cell>
          <cell r="EQ212">
            <v>12.663753402514285</v>
          </cell>
          <cell r="ER212">
            <v>109.19947092177746</v>
          </cell>
          <cell r="ES212">
            <v>0</v>
          </cell>
          <cell r="ET212">
            <v>0</v>
          </cell>
          <cell r="EU212" t="e">
            <v>#DIV/0!</v>
          </cell>
          <cell r="EV212">
            <v>8.2837530091533971</v>
          </cell>
          <cell r="EW212">
            <v>8.2084990777714282</v>
          </cell>
          <cell r="EX212">
            <v>99.091547861231319</v>
          </cell>
          <cell r="EY212">
            <v>0.82297704802341853</v>
          </cell>
          <cell r="EZ212">
            <v>0.81195690891428562</v>
          </cell>
          <cell r="FA212">
            <v>98.66094210821548</v>
          </cell>
          <cell r="FC212" t="str">
            <v>COUT</v>
          </cell>
          <cell r="FD212">
            <v>0</v>
          </cell>
          <cell r="FE212">
            <v>0</v>
          </cell>
          <cell r="FF212" t="e">
            <v>#DIV/0!</v>
          </cell>
          <cell r="FG212">
            <v>0</v>
          </cell>
          <cell r="FH212">
            <v>0</v>
          </cell>
          <cell r="FI212" t="e">
            <v>#DIV/0!</v>
          </cell>
          <cell r="FJ212">
            <v>18.053404492895265</v>
          </cell>
          <cell r="FK212">
            <v>14.779137091200001</v>
          </cell>
          <cell r="FL212">
            <v>81.863435215314553</v>
          </cell>
          <cell r="FM212">
            <v>13.181324561423873</v>
          </cell>
          <cell r="FN212">
            <v>14.335404292285714</v>
          </cell>
          <cell r="FO212">
            <v>108.75541547804188</v>
          </cell>
          <cell r="FP212">
            <v>51.938359074120932</v>
          </cell>
          <cell r="FQ212">
            <v>50.798750772685715</v>
          </cell>
          <cell r="FR212">
            <v>97.8058446170606</v>
          </cell>
        </row>
      </sheetData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AIS 2006"/>
      <sheetName val="ENGAGEMENTS PREVISIONNELS"/>
      <sheetName val="PAIEMENTS PREVISIONNELS"/>
      <sheetName val="CROISE ECHEANCIERS"/>
      <sheetName val="ASSISTANCE AUX CP"/>
      <sheetName val="DELAIS 12-07"/>
      <sheetName val="DELAIS 11-07"/>
      <sheetName val="DELAIS 10-07"/>
      <sheetName val="DELAIS 09-07"/>
      <sheetName val="DELAIS 08-07"/>
      <sheetName val="DELAIS 07-07"/>
      <sheetName val="DELAIS 06-07"/>
      <sheetName val="DELAIS 05-07"/>
      <sheetName val="DELAIS 04-07"/>
      <sheetName val="DELAIS 03-07"/>
      <sheetName val="DELAIS 02-07 "/>
      <sheetName val="DELAIS 01-07"/>
      <sheetName val="NON CONFORMITES"/>
      <sheetName val="PARITE 07"/>
      <sheetName val="EVOLUTION DU NBRE DE DOSSIERS"/>
      <sheetName val="CUMMUL AE"/>
      <sheetName val="EVOLUTION INDICATEURS"/>
      <sheetName val="INDICATEURS DE PERFORMANCE"/>
      <sheetName val="FORMULATION SITUATION TRAITEM."/>
      <sheetName val="ENGAGEMENTS 2007"/>
      <sheetName val="RECAP 2007"/>
      <sheetName val="CORRESPONDANCE"/>
      <sheetName val="Base de saisie"/>
      <sheetName val="CONTROLE"/>
      <sheetName val="BASE REPORTING"/>
      <sheetName val="TAUX AVANCEMENT &amp; ECHEANCES"/>
      <sheetName val="LIENS UTILES"/>
      <sheetName val="CROISE DETAIL AE ANTERIEURS"/>
      <sheetName val="DETAIL DES AE ANTERIEURS"/>
      <sheetName val="AE ANTERIEURS PAR ENTITES ET EX"/>
      <sheetName val="ACTIVITE "/>
      <sheetName val="REPORTING"/>
      <sheetName val="CROISE 07"/>
      <sheetName val="TB_07"/>
      <sheetName val="SYNTHESE BUDGET"/>
      <sheetName val="CROISE ENGAGEMENT 07"/>
      <sheetName val="ANALYSE  AUTORISATIONS &amp; ENGAGE"/>
      <sheetName val="COMPARAISON  05 - 06 - 07"/>
      <sheetName val="ANNEXE 5"/>
      <sheetName val="ANNEXE 6"/>
      <sheetName val="ANNEXE 7"/>
      <sheetName val="ANNEXE-8"/>
      <sheetName val="ANNEXE 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cart SA"/>
      <sheetName val="ecart SA (2)"/>
      <sheetName val="ecart Essai mat"/>
      <sheetName val="Courbe Bascule SA"/>
      <sheetName val="Essai Mat12-00"/>
      <sheetName val="Essai Mat02-01"/>
      <sheetName val="Wagons"/>
      <sheetName val="ECART DIS"/>
      <sheetName val="Feuil1"/>
      <sheetName val="Feuil2"/>
      <sheetName val="Feuil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QUE"/>
      <sheetName val="PRODUCTION"/>
      <sheetName val="RATIOS"/>
      <sheetName val="GASOIL"/>
      <sheetName val="ENERGIE ELEC"/>
      <sheetName val="BANDE "/>
      <sheetName val="bois "/>
      <sheetName val="effectif"/>
      <sheetName val="salaire moyen"/>
      <sheetName val="ETAT SOTREG"/>
      <sheetName val="ESG social"/>
      <sheetName val="TF social"/>
      <sheetName val="K451.XLS"/>
      <sheetName val="INPUT.XLS"/>
      <sheetName val="Amrt B2017"/>
      <sheetName val="Courbe Bascule SA"/>
    </sheetNames>
    <sheetDataSet>
      <sheetData sheetId="0" refreshError="1"/>
      <sheetData sheetId="1" refreshError="1"/>
      <sheetData sheetId="2" refreshError="1"/>
      <sheetData sheetId="3" refreshError="1">
        <row r="55">
          <cell r="Z55" t="str">
            <v>TOTAL</v>
          </cell>
          <cell r="AA55" t="e">
            <v>#REF!</v>
          </cell>
          <cell r="AC55" t="e">
            <v>#REF!</v>
          </cell>
          <cell r="AE55" t="e">
            <v>#REF!</v>
          </cell>
          <cell r="AG55" t="e">
            <v>#REF!</v>
          </cell>
          <cell r="AI55" t="e">
            <v>#REF!</v>
          </cell>
        </row>
        <row r="56">
          <cell r="Y56" t="str">
            <v>ENERG</v>
          </cell>
          <cell r="Z56" t="str">
            <v>Y1</v>
          </cell>
          <cell r="AA56">
            <v>0</v>
          </cell>
          <cell r="AC56" t="e">
            <v>#REF!</v>
          </cell>
          <cell r="AE56" t="e">
            <v>#REF!</v>
          </cell>
          <cell r="AI56" t="e">
            <v>#REF!</v>
          </cell>
        </row>
        <row r="57">
          <cell r="Z57" t="str">
            <v>Y2</v>
          </cell>
          <cell r="AA57" t="e">
            <v>#REF!</v>
          </cell>
          <cell r="AC57" t="e">
            <v>#REF!</v>
          </cell>
          <cell r="AE57" t="e">
            <v>#REF!</v>
          </cell>
          <cell r="AG57" t="e">
            <v>#REF!</v>
          </cell>
          <cell r="AI57" t="e">
            <v>#REF!</v>
          </cell>
        </row>
        <row r="61">
          <cell r="Z61" t="str">
            <v>TOTAL</v>
          </cell>
          <cell r="AA61">
            <v>2.1375999999999999</v>
          </cell>
          <cell r="AC61" t="e">
            <v>#REF!</v>
          </cell>
          <cell r="AE61" t="e">
            <v>#REF!</v>
          </cell>
          <cell r="AG61" t="e">
            <v>#REF!</v>
          </cell>
          <cell r="AI61" t="e">
            <v>#REF!</v>
          </cell>
        </row>
        <row r="62">
          <cell r="Y62" t="str">
            <v>BANDE</v>
          </cell>
          <cell r="Z62" t="str">
            <v>Y1</v>
          </cell>
          <cell r="AA62">
            <v>0</v>
          </cell>
          <cell r="AC62" t="e">
            <v>#REF!</v>
          </cell>
          <cell r="AE62" t="e">
            <v>#REF!</v>
          </cell>
          <cell r="AI62" t="e">
            <v>#REF!</v>
          </cell>
        </row>
        <row r="63">
          <cell r="Z63" t="str">
            <v>Y2</v>
          </cell>
          <cell r="AA63">
            <v>2.1375999999999999</v>
          </cell>
          <cell r="AC63" t="e">
            <v>#REF!</v>
          </cell>
          <cell r="AE63" t="e">
            <v>#REF!</v>
          </cell>
          <cell r="AG63" t="e">
            <v>#REF!</v>
          </cell>
          <cell r="AI63" t="e">
            <v>#REF!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IVIE DES VENTES2002"/>
      <sheetName val="CPC"/>
      <sheetName val="bases_données_Net"/>
      <sheetName val="base_données_Cumul"/>
      <sheetName val="Calcul_Net"/>
      <sheetName val="FOB"/>
      <sheetName val="Calcul_Cumul"/>
      <sheetName val="ETAT RECAPITULATIF PAGE 1 "/>
      <sheetName val="STOCKAGE DU  PHOSPAGES 2 -3"/>
      <sheetName val="BROYAGE PHOSPHATE 4-5"/>
      <sheetName val="SOUFRE 6-7"/>
      <sheetName val="ACIDE SULFURIQUE 8-9"/>
      <sheetName val="ACIDE 29% 10-11"/>
      <sheetName val="ACIDE 54 % NCL 12-13"/>
      <sheetName val="ACIDE 54 % CL 14-15"/>
      <sheetName val="PRIX ACHAT 16-17"/>
      <sheetName val="ETAT COMPARATIF page 18"/>
      <sheetName val="bases_don_N"/>
      <sheetName val="base_don_C"/>
      <sheetName val="FOB ET BASES GRAPHIQUE"/>
      <sheetName val="SUIVI FACTURES PR "/>
      <sheetName val="DONNEES PR GRAPH"/>
      <sheetName val="Graph1"/>
      <sheetName val="Graph2"/>
      <sheetName val="Graph3"/>
      <sheetName val="Graph4"/>
      <sheetName val="Graph5"/>
      <sheetName val="Graph6"/>
      <sheetName val="Graph7"/>
      <sheetName val="SYNTHESE ET VENTES PAR MOIS"/>
      <sheetName val="INPUT"/>
      <sheetName val="ETAT RECAPUTULATIF"/>
      <sheetName val="STOCKAGE DU PHOS"/>
      <sheetName val="BROYAG DU PHOSPHATE"/>
      <sheetName val="SOUFRE"/>
      <sheetName val="ACIDE SULFURIQUE"/>
      <sheetName val="ACIDE 29%"/>
      <sheetName val="ACIDE 54% NC"/>
      <sheetName val="ACIDE 54% CL"/>
      <sheetName val="PRIXACHAT"/>
      <sheetName val="ETAT COMPARATI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oupage OCP  Netphos"/>
      <sheetName val="Lignes PR Netphos"/>
      <sheetName val="Natures"/>
      <sheetName val="Saisie BF 2003 canevas"/>
      <sheetName val="BF R9 Net"/>
      <sheetName val="BF R8 Net "/>
      <sheetName val="BF R6 Net "/>
      <sheetName val="BF GRX Net"/>
      <sheetName val="BF Sces Prest Net "/>
      <sheetName val="BF R 5 &amp; 7"/>
      <sheetName val="Saisie BF 2003"/>
      <sheetName val="decoupage_OCP__Netphos"/>
      <sheetName val="Lignes_PR_Netphos"/>
      <sheetName val="Saisie_BF_2003_canevas"/>
      <sheetName val="BF_R9_Net"/>
      <sheetName val="BF_R8_Net_"/>
      <sheetName val="BF_R6_Net_"/>
      <sheetName val="BF_GRX_Net"/>
      <sheetName val="BF_Sces_Prest_Net_"/>
      <sheetName val="BF_R_5_&amp;_7"/>
      <sheetName val="Saisie_BF_2003"/>
      <sheetName val="decoupage_OCP__Netphos1"/>
      <sheetName val="Lignes_PR_Netphos1"/>
      <sheetName val="Saisie_BF_2003_canevas1"/>
      <sheetName val="BF_R9_Net1"/>
      <sheetName val="BF_R8_Net_1"/>
      <sheetName val="BF_R6_Net_1"/>
      <sheetName val="BF_GRX_Net1"/>
      <sheetName val="BF_Sces_Prest_Net_1"/>
      <sheetName val="BF_R_5_&amp;_71"/>
      <sheetName val="Saisie_BF_20031"/>
      <sheetName val="Saisie BUDGET 03 NETPHOS Stat"/>
      <sheetName val="ALAOUI"/>
      <sheetName val="Courbe Bascule SA"/>
      <sheetName val="Fevrier 02"/>
      <sheetName val="O TV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7">
          <cell r="B7" t="str">
            <v>N°</v>
          </cell>
          <cell r="C7" t="str">
            <v xml:space="preserve">Anc.
LPR </v>
          </cell>
          <cell r="D7" t="str">
            <v xml:space="preserve">Netph.
LPR </v>
          </cell>
          <cell r="E7" t="str">
            <v>Description</v>
          </cell>
          <cell r="F7">
            <v>65132</v>
          </cell>
          <cell r="G7">
            <v>65134</v>
          </cell>
          <cell r="H7">
            <v>65258</v>
          </cell>
          <cell r="I7">
            <v>65767</v>
          </cell>
          <cell r="J7">
            <v>65771</v>
          </cell>
          <cell r="K7">
            <v>65772</v>
          </cell>
          <cell r="L7" t="str">
            <v>Total</v>
          </cell>
          <cell r="M7" t="str">
            <v>Total</v>
          </cell>
          <cell r="N7">
            <v>65000</v>
          </cell>
          <cell r="O7">
            <v>65004</v>
          </cell>
          <cell r="P7" t="str">
            <v>Total</v>
          </cell>
          <cell r="Q7" t="str">
            <v>Total</v>
          </cell>
          <cell r="R7" t="str">
            <v>Total</v>
          </cell>
          <cell r="S7" t="str">
            <v>---</v>
          </cell>
          <cell r="V7" t="str">
            <v>Total</v>
          </cell>
          <cell r="W7" t="str">
            <v>---</v>
          </cell>
          <cell r="X7" t="str">
            <v>---</v>
          </cell>
          <cell r="Y7" t="str">
            <v>---</v>
          </cell>
          <cell r="Z7" t="str">
            <v>---</v>
          </cell>
          <cell r="AA7" t="str">
            <v>---</v>
          </cell>
          <cell r="AB7" t="str">
            <v>---</v>
          </cell>
          <cell r="AC7" t="str">
            <v>---</v>
          </cell>
          <cell r="AD7" t="str">
            <v>---</v>
          </cell>
          <cell r="AE7" t="str">
            <v>---</v>
          </cell>
          <cell r="AF7" t="str">
            <v>---</v>
          </cell>
          <cell r="AG7" t="str">
            <v>---</v>
          </cell>
          <cell r="AH7" t="str">
            <v>---</v>
          </cell>
          <cell r="AI7" t="str">
            <v>TOTAL
Recette 9</v>
          </cell>
        </row>
        <row r="8">
          <cell r="B8">
            <v>1</v>
          </cell>
          <cell r="C8" t="str">
            <v>010</v>
          </cell>
          <cell r="D8" t="str">
            <v>1100</v>
          </cell>
          <cell r="E8" t="str">
            <v>Salaires et appointements, Personnel tâcheron</v>
          </cell>
          <cell r="F8">
            <v>807972</v>
          </cell>
          <cell r="G8">
            <v>885192</v>
          </cell>
          <cell r="H8">
            <v>845316</v>
          </cell>
          <cell r="I8">
            <v>810048</v>
          </cell>
          <cell r="J8">
            <v>831216</v>
          </cell>
          <cell r="K8">
            <v>858804</v>
          </cell>
          <cell r="L8">
            <v>5038548</v>
          </cell>
          <cell r="M8">
            <v>460344</v>
          </cell>
          <cell r="N8">
            <v>4634136</v>
          </cell>
          <cell r="O8">
            <v>5068572</v>
          </cell>
          <cell r="P8">
            <v>9702708</v>
          </cell>
          <cell r="R8">
            <v>2773920</v>
          </cell>
          <cell r="V8">
            <v>0</v>
          </cell>
          <cell r="W8">
            <v>4704</v>
          </cell>
          <cell r="Z8">
            <v>2976</v>
          </cell>
          <cell r="AC8">
            <v>2604</v>
          </cell>
          <cell r="AG8">
            <v>9420</v>
          </cell>
          <cell r="AH8">
            <v>9468</v>
          </cell>
          <cell r="AI8">
            <v>18004692</v>
          </cell>
        </row>
        <row r="9">
          <cell r="B9">
            <v>1</v>
          </cell>
          <cell r="C9" t="str">
            <v>011</v>
          </cell>
          <cell r="D9" t="str">
            <v>1200</v>
          </cell>
          <cell r="E9" t="str">
            <v>Frais médicaux et pharmaceutiques exterieurs, prises en charge tach.</v>
          </cell>
          <cell r="F9">
            <v>297540</v>
          </cell>
          <cell r="G9">
            <v>376548</v>
          </cell>
          <cell r="H9">
            <v>328740</v>
          </cell>
          <cell r="I9">
            <v>338604</v>
          </cell>
          <cell r="J9">
            <v>316716</v>
          </cell>
          <cell r="K9">
            <v>382980</v>
          </cell>
          <cell r="L9">
            <v>2041128</v>
          </cell>
          <cell r="M9">
            <v>168384</v>
          </cell>
          <cell r="N9">
            <v>1610964</v>
          </cell>
          <cell r="O9">
            <v>1904460</v>
          </cell>
          <cell r="P9">
            <v>3515424</v>
          </cell>
          <cell r="R9">
            <v>702924</v>
          </cell>
          <cell r="V9">
            <v>0</v>
          </cell>
          <cell r="W9">
            <v>35880</v>
          </cell>
          <cell r="Z9">
            <v>20256</v>
          </cell>
          <cell r="AC9">
            <v>18456</v>
          </cell>
          <cell r="AG9">
            <v>86544</v>
          </cell>
          <cell r="AH9">
            <v>69684</v>
          </cell>
          <cell r="AI9">
            <v>6658680</v>
          </cell>
        </row>
        <row r="10">
          <cell r="B10">
            <v>2</v>
          </cell>
          <cell r="C10" t="str">
            <v>011</v>
          </cell>
          <cell r="D10" t="str">
            <v>1210</v>
          </cell>
          <cell r="E10" t="str">
            <v>Salaires des congés payés, Maladie, Maternité, Accidents, Personnel OET</v>
          </cell>
          <cell r="F10">
            <v>0</v>
          </cell>
          <cell r="L10">
            <v>0</v>
          </cell>
          <cell r="P10">
            <v>0</v>
          </cell>
          <cell r="V10">
            <v>0</v>
          </cell>
          <cell r="AI10">
            <v>0</v>
          </cell>
        </row>
        <row r="11">
          <cell r="B11">
            <v>3</v>
          </cell>
          <cell r="C11" t="str">
            <v>011</v>
          </cell>
          <cell r="D11" t="str">
            <v>1220</v>
          </cell>
          <cell r="E11" t="str">
            <v>Indemnités d'éloignement et de transport, Personnel OET</v>
          </cell>
          <cell r="F11">
            <v>0</v>
          </cell>
          <cell r="L11">
            <v>0</v>
          </cell>
          <cell r="P11">
            <v>0</v>
          </cell>
          <cell r="V11">
            <v>0</v>
          </cell>
          <cell r="AI11">
            <v>0</v>
          </cell>
        </row>
        <row r="12">
          <cell r="B12">
            <v>4</v>
          </cell>
          <cell r="C12" t="str">
            <v>011</v>
          </cell>
          <cell r="D12" t="str">
            <v>1230</v>
          </cell>
          <cell r="E12" t="str">
            <v>Indemnité forfaitaire de congé, Personnel OET</v>
          </cell>
          <cell r="F12">
            <v>0</v>
          </cell>
          <cell r="L12">
            <v>0</v>
          </cell>
          <cell r="P12">
            <v>0</v>
          </cell>
          <cell r="V12">
            <v>0</v>
          </cell>
          <cell r="AI12">
            <v>0</v>
          </cell>
        </row>
        <row r="13">
          <cell r="B13">
            <v>5</v>
          </cell>
          <cell r="C13" t="str">
            <v>011</v>
          </cell>
          <cell r="D13" t="str">
            <v>1240</v>
          </cell>
          <cell r="E13" t="str">
            <v>Indemnité de logement, Personnel tâcherons</v>
          </cell>
          <cell r="F13">
            <v>0</v>
          </cell>
          <cell r="L13">
            <v>0</v>
          </cell>
          <cell r="P13">
            <v>0</v>
          </cell>
          <cell r="V13">
            <v>0</v>
          </cell>
          <cell r="AI13">
            <v>0</v>
          </cell>
        </row>
        <row r="14">
          <cell r="B14">
            <v>6</v>
          </cell>
          <cell r="C14" t="str">
            <v>011</v>
          </cell>
          <cell r="D14" t="str">
            <v>1250</v>
          </cell>
          <cell r="E14" t="str">
            <v>Aide au logement, Personnel OET</v>
          </cell>
          <cell r="F14">
            <v>0</v>
          </cell>
          <cell r="L14">
            <v>0</v>
          </cell>
          <cell r="P14">
            <v>0</v>
          </cell>
          <cell r="V14">
            <v>0</v>
          </cell>
          <cell r="AI14">
            <v>0</v>
          </cell>
        </row>
        <row r="15">
          <cell r="B15">
            <v>7</v>
          </cell>
          <cell r="C15" t="str">
            <v>011</v>
          </cell>
          <cell r="D15" t="str">
            <v>1270</v>
          </cell>
          <cell r="E15" t="str">
            <v>Prime de responsabilité, de rendement et d'asseduite, Personnel OET</v>
          </cell>
          <cell r="F15">
            <v>0</v>
          </cell>
          <cell r="L15">
            <v>0</v>
          </cell>
          <cell r="P15">
            <v>0</v>
          </cell>
          <cell r="V15">
            <v>0</v>
          </cell>
          <cell r="AI15">
            <v>0</v>
          </cell>
        </row>
        <row r="16">
          <cell r="B16">
            <v>8</v>
          </cell>
          <cell r="C16" t="str">
            <v>011</v>
          </cell>
          <cell r="D16" t="str">
            <v>1280</v>
          </cell>
          <cell r="E16" t="str">
            <v>Charges fami. mariage, naiss.,decès, a. f... tâcherons</v>
          </cell>
          <cell r="F16">
            <v>0</v>
          </cell>
          <cell r="L16">
            <v>0</v>
          </cell>
          <cell r="P16">
            <v>0</v>
          </cell>
          <cell r="V16">
            <v>0</v>
          </cell>
          <cell r="AI16">
            <v>0</v>
          </cell>
        </row>
        <row r="17">
          <cell r="B17">
            <v>9</v>
          </cell>
          <cell r="C17" t="str">
            <v>011</v>
          </cell>
          <cell r="D17" t="str">
            <v>1290</v>
          </cell>
          <cell r="E17" t="str">
            <v>Autres avantages et indemnités diverses, Scolarité, Mecque etc..,  Personnel OET</v>
          </cell>
          <cell r="F17">
            <v>0</v>
          </cell>
          <cell r="L17">
            <v>0</v>
          </cell>
          <cell r="P17">
            <v>0</v>
          </cell>
          <cell r="V17">
            <v>0</v>
          </cell>
          <cell r="AI17">
            <v>0</v>
          </cell>
        </row>
        <row r="18">
          <cell r="B18">
            <v>1</v>
          </cell>
          <cell r="C18" t="str">
            <v>012</v>
          </cell>
          <cell r="D18" t="str">
            <v>1103</v>
          </cell>
          <cell r="E18" t="str">
            <v>Salaires et appointements personnel OEB</v>
          </cell>
          <cell r="F18">
            <v>0</v>
          </cell>
          <cell r="L18">
            <v>0</v>
          </cell>
          <cell r="P18">
            <v>0</v>
          </cell>
          <cell r="V18">
            <v>0</v>
          </cell>
          <cell r="AH18">
            <v>78408</v>
          </cell>
          <cell r="AI18">
            <v>78408</v>
          </cell>
        </row>
        <row r="19">
          <cell r="B19">
            <v>1</v>
          </cell>
          <cell r="C19" t="str">
            <v>013</v>
          </cell>
          <cell r="D19" t="str">
            <v>1203</v>
          </cell>
          <cell r="E19" t="str">
            <v>Frais médicaux et pharmaceutiques exterieurs, prises en charge OEF</v>
          </cell>
          <cell r="F19">
            <v>0</v>
          </cell>
          <cell r="L19">
            <v>0</v>
          </cell>
          <cell r="P19">
            <v>0</v>
          </cell>
          <cell r="V19">
            <v>0</v>
          </cell>
          <cell r="AH19">
            <v>57120</v>
          </cell>
          <cell r="AI19">
            <v>57120</v>
          </cell>
        </row>
        <row r="20">
          <cell r="B20">
            <v>2</v>
          </cell>
          <cell r="C20" t="str">
            <v>013</v>
          </cell>
          <cell r="D20" t="str">
            <v>1213</v>
          </cell>
          <cell r="E20" t="str">
            <v>Salaires des congés payés, Maladie, Maternité, Accidents, Personnel OEF</v>
          </cell>
          <cell r="F20">
            <v>0</v>
          </cell>
          <cell r="L20">
            <v>0</v>
          </cell>
          <cell r="P20">
            <v>0</v>
          </cell>
          <cell r="V20">
            <v>0</v>
          </cell>
          <cell r="AI20">
            <v>0</v>
          </cell>
        </row>
        <row r="21">
          <cell r="B21">
            <v>3</v>
          </cell>
          <cell r="C21" t="str">
            <v>013</v>
          </cell>
          <cell r="D21" t="str">
            <v>1223</v>
          </cell>
          <cell r="E21" t="str">
            <v>Indemnités d'éloignement et de transport, Personnel OEF</v>
          </cell>
          <cell r="F21">
            <v>0</v>
          </cell>
          <cell r="L21">
            <v>0</v>
          </cell>
          <cell r="P21">
            <v>0</v>
          </cell>
          <cell r="V21">
            <v>0</v>
          </cell>
          <cell r="AI21">
            <v>0</v>
          </cell>
        </row>
        <row r="22">
          <cell r="B22">
            <v>4</v>
          </cell>
          <cell r="C22" t="str">
            <v>013</v>
          </cell>
          <cell r="D22" t="str">
            <v>1233</v>
          </cell>
          <cell r="E22" t="str">
            <v>Indemnité forfaitaire de congé, Personnel OEF</v>
          </cell>
          <cell r="F22">
            <v>0</v>
          </cell>
          <cell r="L22">
            <v>0</v>
          </cell>
          <cell r="P22">
            <v>0</v>
          </cell>
          <cell r="V22">
            <v>0</v>
          </cell>
          <cell r="AI22">
            <v>0</v>
          </cell>
        </row>
        <row r="23">
          <cell r="B23">
            <v>5</v>
          </cell>
          <cell r="C23" t="str">
            <v>013</v>
          </cell>
          <cell r="D23" t="str">
            <v>1243</v>
          </cell>
          <cell r="E23" t="str">
            <v>Indemnité de logement, Personnel OEF</v>
          </cell>
          <cell r="F23">
            <v>0</v>
          </cell>
          <cell r="L23">
            <v>0</v>
          </cell>
          <cell r="P23">
            <v>0</v>
          </cell>
          <cell r="V23">
            <v>0</v>
          </cell>
          <cell r="AI23">
            <v>0</v>
          </cell>
        </row>
        <row r="24">
          <cell r="B24">
            <v>6</v>
          </cell>
          <cell r="C24" t="str">
            <v>013</v>
          </cell>
          <cell r="D24" t="str">
            <v>1253</v>
          </cell>
          <cell r="E24" t="str">
            <v>Aide au logement, Personnel OEF</v>
          </cell>
          <cell r="F24">
            <v>0</v>
          </cell>
          <cell r="L24">
            <v>0</v>
          </cell>
          <cell r="P24">
            <v>0</v>
          </cell>
          <cell r="V24">
            <v>0</v>
          </cell>
          <cell r="AI24">
            <v>0</v>
          </cell>
        </row>
        <row r="25">
          <cell r="B25">
            <v>7</v>
          </cell>
          <cell r="C25" t="str">
            <v>013</v>
          </cell>
          <cell r="D25" t="str">
            <v>1273</v>
          </cell>
          <cell r="E25" t="str">
            <v>Prime de responsabilité, de rendement et d'asséduité, Personnel OEF</v>
          </cell>
          <cell r="F25">
            <v>0</v>
          </cell>
          <cell r="L25">
            <v>0</v>
          </cell>
          <cell r="P25">
            <v>0</v>
          </cell>
          <cell r="V25">
            <v>0</v>
          </cell>
          <cell r="AI25">
            <v>0</v>
          </cell>
        </row>
        <row r="26">
          <cell r="B26">
            <v>8</v>
          </cell>
          <cell r="C26" t="str">
            <v>013</v>
          </cell>
          <cell r="D26" t="str">
            <v>1283</v>
          </cell>
          <cell r="E26" t="str">
            <v>Charges familiales, Mariages, Naissances, Décès, a. f... OEF</v>
          </cell>
          <cell r="F26">
            <v>0</v>
          </cell>
          <cell r="L26">
            <v>0</v>
          </cell>
          <cell r="P26">
            <v>0</v>
          </cell>
          <cell r="V26">
            <v>0</v>
          </cell>
          <cell r="AI26">
            <v>0</v>
          </cell>
        </row>
        <row r="27">
          <cell r="B27">
            <v>9</v>
          </cell>
          <cell r="C27" t="str">
            <v>013</v>
          </cell>
          <cell r="D27" t="str">
            <v>1293</v>
          </cell>
          <cell r="E27" t="str">
            <v>Autres avantages et indemnités diverses, Scolarité, Mecque etc.., Personnel OEF</v>
          </cell>
          <cell r="F27">
            <v>0</v>
          </cell>
          <cell r="L27">
            <v>0</v>
          </cell>
          <cell r="P27">
            <v>0</v>
          </cell>
          <cell r="V27">
            <v>0</v>
          </cell>
          <cell r="AI27">
            <v>0</v>
          </cell>
        </row>
        <row r="28">
          <cell r="B28">
            <v>1</v>
          </cell>
          <cell r="C28" t="str">
            <v>014</v>
          </cell>
          <cell r="D28" t="str">
            <v>1102</v>
          </cell>
          <cell r="E28" t="str">
            <v>Salaires et appointements personnel OEJ</v>
          </cell>
          <cell r="F28">
            <v>0</v>
          </cell>
          <cell r="G28">
            <v>12660</v>
          </cell>
          <cell r="L28">
            <v>12660</v>
          </cell>
          <cell r="M28">
            <v>780</v>
          </cell>
          <cell r="P28">
            <v>0</v>
          </cell>
          <cell r="V28">
            <v>0</v>
          </cell>
          <cell r="X28">
            <v>33060</v>
          </cell>
          <cell r="Y28">
            <v>92808</v>
          </cell>
          <cell r="Z28">
            <v>62280</v>
          </cell>
          <cell r="AA28">
            <v>691068</v>
          </cell>
          <cell r="AB28">
            <v>364476</v>
          </cell>
          <cell r="AC28">
            <v>225012</v>
          </cell>
          <cell r="AD28">
            <v>172440</v>
          </cell>
          <cell r="AE28">
            <v>132252</v>
          </cell>
          <cell r="AF28">
            <v>179280</v>
          </cell>
          <cell r="AG28">
            <v>282840</v>
          </cell>
          <cell r="AH28">
            <v>373764</v>
          </cell>
          <cell r="AI28">
            <v>2622720</v>
          </cell>
        </row>
        <row r="29">
          <cell r="B29">
            <v>1</v>
          </cell>
          <cell r="C29" t="str">
            <v>015</v>
          </cell>
          <cell r="D29" t="str">
            <v>1202</v>
          </cell>
          <cell r="E29" t="str">
            <v>Frais médicaux et pharmaceutiques exterieurs, prises en charge OEJ</v>
          </cell>
          <cell r="F29">
            <v>0</v>
          </cell>
          <cell r="G29">
            <v>5868</v>
          </cell>
          <cell r="L29">
            <v>5868</v>
          </cell>
          <cell r="P29">
            <v>0</v>
          </cell>
          <cell r="V29">
            <v>0</v>
          </cell>
          <cell r="X29">
            <v>24792</v>
          </cell>
          <cell r="Y29">
            <v>79572</v>
          </cell>
          <cell r="Z29">
            <v>53280</v>
          </cell>
          <cell r="AA29">
            <v>545892</v>
          </cell>
          <cell r="AB29">
            <v>287856</v>
          </cell>
          <cell r="AC29">
            <v>189588</v>
          </cell>
          <cell r="AD29">
            <v>139296</v>
          </cell>
          <cell r="AE29">
            <v>109188</v>
          </cell>
          <cell r="AF29">
            <v>144360</v>
          </cell>
          <cell r="AG29">
            <v>227556</v>
          </cell>
          <cell r="AH29">
            <v>336108</v>
          </cell>
          <cell r="AI29">
            <v>2143356</v>
          </cell>
        </row>
        <row r="30">
          <cell r="B30">
            <v>2</v>
          </cell>
          <cell r="C30" t="str">
            <v>015</v>
          </cell>
          <cell r="D30" t="str">
            <v>1212</v>
          </cell>
          <cell r="E30" t="str">
            <v>Salaires des congés payés, Maladie, Maternité, Accidents, Personnel OEJ</v>
          </cell>
          <cell r="F30">
            <v>0</v>
          </cell>
          <cell r="L30">
            <v>0</v>
          </cell>
          <cell r="P30">
            <v>0</v>
          </cell>
          <cell r="V30">
            <v>0</v>
          </cell>
          <cell r="AI30">
            <v>0</v>
          </cell>
        </row>
        <row r="31">
          <cell r="B31">
            <v>3</v>
          </cell>
          <cell r="C31" t="str">
            <v>015</v>
          </cell>
          <cell r="D31" t="str">
            <v>1222</v>
          </cell>
          <cell r="E31" t="str">
            <v>Indemnités d'éloignement et de transport, Personnel OEJ</v>
          </cell>
          <cell r="F31">
            <v>0</v>
          </cell>
          <cell r="L31">
            <v>0</v>
          </cell>
          <cell r="P31">
            <v>0</v>
          </cell>
          <cell r="V31">
            <v>0</v>
          </cell>
          <cell r="AI31">
            <v>0</v>
          </cell>
        </row>
        <row r="32">
          <cell r="B32">
            <v>4</v>
          </cell>
          <cell r="C32" t="str">
            <v>015</v>
          </cell>
          <cell r="D32" t="str">
            <v>1232</v>
          </cell>
          <cell r="E32" t="str">
            <v>Indemnité forfaitaire de congé, Personnel OEJ</v>
          </cell>
          <cell r="F32">
            <v>0</v>
          </cell>
          <cell r="L32">
            <v>0</v>
          </cell>
          <cell r="P32">
            <v>0</v>
          </cell>
          <cell r="V32">
            <v>0</v>
          </cell>
          <cell r="AI32">
            <v>0</v>
          </cell>
        </row>
        <row r="33">
          <cell r="B33">
            <v>5</v>
          </cell>
          <cell r="C33" t="str">
            <v>015</v>
          </cell>
          <cell r="D33" t="str">
            <v>1242</v>
          </cell>
          <cell r="E33" t="str">
            <v>Indemnité de logement, Personnel OEJ</v>
          </cell>
          <cell r="F33">
            <v>0</v>
          </cell>
          <cell r="L33">
            <v>0</v>
          </cell>
          <cell r="P33">
            <v>0</v>
          </cell>
          <cell r="V33">
            <v>0</v>
          </cell>
          <cell r="AI33">
            <v>0</v>
          </cell>
        </row>
        <row r="34">
          <cell r="B34">
            <v>6</v>
          </cell>
          <cell r="C34" t="str">
            <v>015</v>
          </cell>
          <cell r="D34" t="str">
            <v>1252</v>
          </cell>
          <cell r="E34" t="str">
            <v>Aide au logement, Personnel OEJ</v>
          </cell>
          <cell r="F34">
            <v>0</v>
          </cell>
          <cell r="L34">
            <v>0</v>
          </cell>
          <cell r="P34">
            <v>0</v>
          </cell>
          <cell r="V34">
            <v>0</v>
          </cell>
          <cell r="AI34">
            <v>0</v>
          </cell>
        </row>
        <row r="35">
          <cell r="B35">
            <v>7</v>
          </cell>
          <cell r="C35" t="str">
            <v>015</v>
          </cell>
          <cell r="D35" t="str">
            <v>1272</v>
          </cell>
          <cell r="E35" t="str">
            <v>Prime de responsabilité, de rendement et d'asséduité, Personnel OEJ</v>
          </cell>
          <cell r="F35">
            <v>0</v>
          </cell>
          <cell r="L35">
            <v>0</v>
          </cell>
          <cell r="P35">
            <v>0</v>
          </cell>
          <cell r="V35">
            <v>0</v>
          </cell>
          <cell r="AI35">
            <v>0</v>
          </cell>
        </row>
        <row r="36">
          <cell r="B36">
            <v>8</v>
          </cell>
          <cell r="C36" t="str">
            <v>015</v>
          </cell>
          <cell r="D36" t="str">
            <v>1282</v>
          </cell>
          <cell r="E36" t="str">
            <v>Charges fami. mariage, naiss.,decès, a. f... OEJ</v>
          </cell>
          <cell r="F36">
            <v>0</v>
          </cell>
          <cell r="L36">
            <v>0</v>
          </cell>
          <cell r="P36">
            <v>0</v>
          </cell>
          <cell r="V36">
            <v>0</v>
          </cell>
          <cell r="AI36">
            <v>0</v>
          </cell>
        </row>
        <row r="37">
          <cell r="B37">
            <v>9</v>
          </cell>
          <cell r="C37" t="str">
            <v>015</v>
          </cell>
          <cell r="D37" t="str">
            <v>1292</v>
          </cell>
          <cell r="E37" t="str">
            <v>Autres avantages et indemnités diverses, Scolarité, Mecque etc.., Personnel OEJ</v>
          </cell>
          <cell r="F37">
            <v>0</v>
          </cell>
          <cell r="L37">
            <v>0</v>
          </cell>
          <cell r="P37">
            <v>0</v>
          </cell>
          <cell r="V37">
            <v>0</v>
          </cell>
          <cell r="AI37">
            <v>0</v>
          </cell>
        </row>
        <row r="38">
          <cell r="B38">
            <v>1</v>
          </cell>
          <cell r="C38" t="str">
            <v>016</v>
          </cell>
          <cell r="D38" t="str">
            <v>1101</v>
          </cell>
          <cell r="E38" t="str">
            <v>Salaires et appointements personnel OEF</v>
          </cell>
          <cell r="F38">
            <v>146388</v>
          </cell>
          <cell r="G38">
            <v>199008</v>
          </cell>
          <cell r="H38">
            <v>141336</v>
          </cell>
          <cell r="I38">
            <v>184848</v>
          </cell>
          <cell r="J38">
            <v>178656</v>
          </cell>
          <cell r="K38">
            <v>238656</v>
          </cell>
          <cell r="L38">
            <v>1088892</v>
          </cell>
          <cell r="M38">
            <v>275916</v>
          </cell>
          <cell r="N38">
            <v>305940</v>
          </cell>
          <cell r="O38">
            <v>352332</v>
          </cell>
          <cell r="P38">
            <v>658272</v>
          </cell>
          <cell r="R38">
            <v>538920</v>
          </cell>
          <cell r="S38">
            <v>1294908</v>
          </cell>
          <cell r="V38">
            <v>0</v>
          </cell>
          <cell r="W38">
            <v>320880</v>
          </cell>
          <cell r="X38">
            <v>117192</v>
          </cell>
          <cell r="Y38">
            <v>707796</v>
          </cell>
          <cell r="Z38">
            <v>187092</v>
          </cell>
          <cell r="AA38">
            <v>30756</v>
          </cell>
          <cell r="AB38">
            <v>154152</v>
          </cell>
          <cell r="AC38">
            <v>86280</v>
          </cell>
          <cell r="AD38">
            <v>54816</v>
          </cell>
          <cell r="AE38">
            <v>142332</v>
          </cell>
          <cell r="AF38">
            <v>34164</v>
          </cell>
          <cell r="AG38">
            <v>665928</v>
          </cell>
          <cell r="AH38">
            <v>371448</v>
          </cell>
          <cell r="AI38">
            <v>6729744</v>
          </cell>
        </row>
        <row r="39">
          <cell r="B39">
            <v>1</v>
          </cell>
          <cell r="C39" t="str">
            <v>017</v>
          </cell>
          <cell r="D39" t="str">
            <v>1201</v>
          </cell>
          <cell r="E39" t="str">
            <v>Frais médicaux et pharmaceutiques exterieurs, prises en charge OEB</v>
          </cell>
          <cell r="F39">
            <v>276396</v>
          </cell>
          <cell r="G39">
            <v>293076</v>
          </cell>
          <cell r="H39">
            <v>282456</v>
          </cell>
          <cell r="I39">
            <v>257256</v>
          </cell>
          <cell r="J39">
            <v>276408</v>
          </cell>
          <cell r="K39">
            <v>316692</v>
          </cell>
          <cell r="L39">
            <v>1702284</v>
          </cell>
          <cell r="M39">
            <v>262128</v>
          </cell>
          <cell r="N39">
            <v>900384</v>
          </cell>
          <cell r="O39">
            <v>1054464</v>
          </cell>
          <cell r="P39">
            <v>1954848</v>
          </cell>
          <cell r="R39">
            <v>1201224</v>
          </cell>
          <cell r="S39">
            <v>977220</v>
          </cell>
          <cell r="V39">
            <v>0</v>
          </cell>
          <cell r="W39">
            <v>245560</v>
          </cell>
          <cell r="X39">
            <v>90612</v>
          </cell>
          <cell r="Y39">
            <v>562548</v>
          </cell>
          <cell r="Z39">
            <v>135000</v>
          </cell>
          <cell r="AA39">
            <v>34896</v>
          </cell>
          <cell r="AB39">
            <v>109188</v>
          </cell>
          <cell r="AC39">
            <v>54180</v>
          </cell>
          <cell r="AD39">
            <v>46188</v>
          </cell>
          <cell r="AE39">
            <v>98208</v>
          </cell>
          <cell r="AF39">
            <v>30468</v>
          </cell>
          <cell r="AG39">
            <v>408936</v>
          </cell>
          <cell r="AH39">
            <v>247200</v>
          </cell>
          <cell r="AI39">
            <v>8160688</v>
          </cell>
        </row>
        <row r="40">
          <cell r="B40">
            <v>2</v>
          </cell>
          <cell r="C40" t="str">
            <v>017</v>
          </cell>
          <cell r="D40" t="str">
            <v>1211</v>
          </cell>
          <cell r="E40" t="str">
            <v>Salaires des congés payés, Maladie, Maternité, Accidents, Personnel OEB</v>
          </cell>
          <cell r="F40">
            <v>0</v>
          </cell>
          <cell r="L40">
            <v>0</v>
          </cell>
          <cell r="P40">
            <v>0</v>
          </cell>
          <cell r="V40">
            <v>0</v>
          </cell>
          <cell r="AI40">
            <v>0</v>
          </cell>
        </row>
        <row r="41">
          <cell r="B41">
            <v>3</v>
          </cell>
          <cell r="C41" t="str">
            <v>017</v>
          </cell>
          <cell r="D41" t="str">
            <v>1221</v>
          </cell>
          <cell r="E41" t="str">
            <v>Indemnités d'éloignement et de transport, Personnel OEB</v>
          </cell>
          <cell r="F41">
            <v>0</v>
          </cell>
          <cell r="L41">
            <v>0</v>
          </cell>
          <cell r="P41">
            <v>0</v>
          </cell>
          <cell r="V41">
            <v>0</v>
          </cell>
          <cell r="AI41">
            <v>0</v>
          </cell>
        </row>
        <row r="42">
          <cell r="B42">
            <v>4</v>
          </cell>
          <cell r="C42" t="str">
            <v>017</v>
          </cell>
          <cell r="D42" t="str">
            <v>1231</v>
          </cell>
          <cell r="E42" t="str">
            <v>Indemnité forfaitaire de congé, Personnel OEB</v>
          </cell>
          <cell r="F42">
            <v>0</v>
          </cell>
          <cell r="L42">
            <v>0</v>
          </cell>
          <cell r="P42">
            <v>0</v>
          </cell>
          <cell r="V42">
            <v>0</v>
          </cell>
          <cell r="AI42">
            <v>0</v>
          </cell>
        </row>
        <row r="43">
          <cell r="B43">
            <v>5</v>
          </cell>
          <cell r="C43" t="str">
            <v>017</v>
          </cell>
          <cell r="D43" t="str">
            <v>1241</v>
          </cell>
          <cell r="E43" t="str">
            <v>Indemnité de logement, Personnel OEB</v>
          </cell>
          <cell r="F43">
            <v>0</v>
          </cell>
          <cell r="L43">
            <v>0</v>
          </cell>
          <cell r="P43">
            <v>0</v>
          </cell>
          <cell r="V43">
            <v>0</v>
          </cell>
          <cell r="AI43">
            <v>0</v>
          </cell>
        </row>
        <row r="44">
          <cell r="B44">
            <v>6</v>
          </cell>
          <cell r="C44" t="str">
            <v>017</v>
          </cell>
          <cell r="D44" t="str">
            <v>1251</v>
          </cell>
          <cell r="E44" t="str">
            <v>Aide au logement, Personnel OEB</v>
          </cell>
          <cell r="F44">
            <v>0</v>
          </cell>
          <cell r="L44">
            <v>0</v>
          </cell>
          <cell r="P44">
            <v>0</v>
          </cell>
          <cell r="V44">
            <v>0</v>
          </cell>
          <cell r="AI44">
            <v>0</v>
          </cell>
        </row>
        <row r="45">
          <cell r="B45">
            <v>7</v>
          </cell>
          <cell r="C45" t="str">
            <v>017</v>
          </cell>
          <cell r="D45" t="str">
            <v>1271</v>
          </cell>
          <cell r="E45" t="str">
            <v>Prime de responsabilité, de rendement et d'asséduité, Personnel OEB</v>
          </cell>
          <cell r="F45">
            <v>0</v>
          </cell>
          <cell r="L45">
            <v>0</v>
          </cell>
          <cell r="P45">
            <v>0</v>
          </cell>
          <cell r="V45">
            <v>0</v>
          </cell>
          <cell r="AI45">
            <v>0</v>
          </cell>
        </row>
        <row r="46">
          <cell r="B46">
            <v>8</v>
          </cell>
          <cell r="C46" t="str">
            <v>017</v>
          </cell>
          <cell r="D46" t="str">
            <v>1281</v>
          </cell>
          <cell r="E46" t="str">
            <v>Charges familiales, Mariages, Naissances, Décès, a. f... OEB</v>
          </cell>
          <cell r="F46">
            <v>0</v>
          </cell>
          <cell r="L46">
            <v>0</v>
          </cell>
          <cell r="P46">
            <v>0</v>
          </cell>
          <cell r="V46">
            <v>0</v>
          </cell>
          <cell r="AI46">
            <v>0</v>
          </cell>
        </row>
        <row r="47">
          <cell r="B47">
            <v>9</v>
          </cell>
          <cell r="C47" t="str">
            <v>017</v>
          </cell>
          <cell r="D47" t="str">
            <v>1291</v>
          </cell>
          <cell r="E47" t="str">
            <v>Autres avantages et indemnités diverses scolarité, voy mecque etc., Personnel OEB</v>
          </cell>
          <cell r="F47">
            <v>0</v>
          </cell>
          <cell r="L47">
            <v>0</v>
          </cell>
          <cell r="P47">
            <v>0</v>
          </cell>
          <cell r="V47">
            <v>0</v>
          </cell>
          <cell r="AI47">
            <v>0</v>
          </cell>
        </row>
        <row r="48">
          <cell r="B48">
            <v>1</v>
          </cell>
          <cell r="C48" t="str">
            <v>018</v>
          </cell>
          <cell r="D48" t="str">
            <v>1104</v>
          </cell>
          <cell r="E48" t="str">
            <v>Salaires et appointements personnel appoints</v>
          </cell>
          <cell r="F48">
            <v>0</v>
          </cell>
          <cell r="L48">
            <v>0</v>
          </cell>
          <cell r="P48">
            <v>0</v>
          </cell>
          <cell r="V48">
            <v>0</v>
          </cell>
          <cell r="AI48">
            <v>0</v>
          </cell>
        </row>
        <row r="49">
          <cell r="B49">
            <v>1</v>
          </cell>
          <cell r="C49" t="str">
            <v>019</v>
          </cell>
          <cell r="D49" t="str">
            <v>1204</v>
          </cell>
          <cell r="E49" t="str">
            <v>Frais médicaux et pharmaceutiques exterieurs, prises en charge appts</v>
          </cell>
          <cell r="F49">
            <v>0</v>
          </cell>
          <cell r="L49">
            <v>0</v>
          </cell>
          <cell r="P49">
            <v>0</v>
          </cell>
          <cell r="V49">
            <v>0</v>
          </cell>
          <cell r="AI49">
            <v>0</v>
          </cell>
        </row>
        <row r="50">
          <cell r="B50">
            <v>2</v>
          </cell>
          <cell r="C50" t="str">
            <v>019</v>
          </cell>
          <cell r="D50" t="str">
            <v>1214</v>
          </cell>
          <cell r="E50" t="str">
            <v>Salaires des congés payés, Maladie, Maternité, Accidents app.</v>
          </cell>
          <cell r="F50">
            <v>0</v>
          </cell>
          <cell r="L50">
            <v>0</v>
          </cell>
          <cell r="P50">
            <v>0</v>
          </cell>
          <cell r="V50">
            <v>0</v>
          </cell>
          <cell r="AI50">
            <v>0</v>
          </cell>
        </row>
        <row r="51">
          <cell r="B51">
            <v>3</v>
          </cell>
          <cell r="C51" t="str">
            <v>019</v>
          </cell>
          <cell r="D51" t="str">
            <v>1224</v>
          </cell>
          <cell r="E51" t="str">
            <v>Indemnités d'éloignement et de transport, Personnel appoints</v>
          </cell>
          <cell r="F51">
            <v>0</v>
          </cell>
          <cell r="L51">
            <v>0</v>
          </cell>
          <cell r="P51">
            <v>0</v>
          </cell>
          <cell r="V51">
            <v>0</v>
          </cell>
          <cell r="AI51">
            <v>0</v>
          </cell>
        </row>
        <row r="52">
          <cell r="B52">
            <v>4</v>
          </cell>
          <cell r="C52" t="str">
            <v>019</v>
          </cell>
          <cell r="D52" t="str">
            <v>1234</v>
          </cell>
          <cell r="E52" t="str">
            <v>Iindemnité forfaitaire de congé, Personnel appoints</v>
          </cell>
          <cell r="F52">
            <v>0</v>
          </cell>
          <cell r="L52">
            <v>0</v>
          </cell>
          <cell r="P52">
            <v>0</v>
          </cell>
          <cell r="V52">
            <v>0</v>
          </cell>
          <cell r="AI52">
            <v>0</v>
          </cell>
        </row>
        <row r="53">
          <cell r="B53">
            <v>5</v>
          </cell>
          <cell r="C53" t="str">
            <v>019</v>
          </cell>
          <cell r="D53" t="str">
            <v>1244</v>
          </cell>
          <cell r="E53" t="str">
            <v>Indemnité de logement, Personnel appoints</v>
          </cell>
          <cell r="F53">
            <v>0</v>
          </cell>
          <cell r="L53">
            <v>0</v>
          </cell>
          <cell r="P53">
            <v>0</v>
          </cell>
          <cell r="V53">
            <v>0</v>
          </cell>
          <cell r="AI53">
            <v>0</v>
          </cell>
        </row>
        <row r="54">
          <cell r="B54">
            <v>6</v>
          </cell>
          <cell r="C54" t="str">
            <v>019</v>
          </cell>
          <cell r="D54" t="str">
            <v>1254</v>
          </cell>
          <cell r="E54" t="str">
            <v>Aide au logement, Personnel appoints</v>
          </cell>
          <cell r="F54">
            <v>0</v>
          </cell>
          <cell r="L54">
            <v>0</v>
          </cell>
          <cell r="P54">
            <v>0</v>
          </cell>
          <cell r="V54">
            <v>0</v>
          </cell>
          <cell r="AI54">
            <v>0</v>
          </cell>
        </row>
        <row r="55">
          <cell r="B55">
            <v>7</v>
          </cell>
          <cell r="C55" t="str">
            <v>019</v>
          </cell>
          <cell r="D55" t="str">
            <v>1274</v>
          </cell>
          <cell r="E55" t="str">
            <v>Prime de responsabilité, de rendement et d'asséduité, Personnel appoints</v>
          </cell>
          <cell r="F55">
            <v>0</v>
          </cell>
          <cell r="L55">
            <v>0</v>
          </cell>
          <cell r="P55">
            <v>0</v>
          </cell>
          <cell r="V55">
            <v>0</v>
          </cell>
          <cell r="AI55">
            <v>0</v>
          </cell>
        </row>
        <row r="56">
          <cell r="B56">
            <v>8</v>
          </cell>
          <cell r="C56" t="str">
            <v>019</v>
          </cell>
          <cell r="D56" t="str">
            <v>1284</v>
          </cell>
          <cell r="E56" t="str">
            <v>Charges fami. mariage, naiss.,decès, a. f... appoints</v>
          </cell>
          <cell r="F56">
            <v>0</v>
          </cell>
          <cell r="L56">
            <v>0</v>
          </cell>
          <cell r="P56">
            <v>0</v>
          </cell>
          <cell r="V56">
            <v>0</v>
          </cell>
          <cell r="AI56">
            <v>0</v>
          </cell>
        </row>
        <row r="57">
          <cell r="B57">
            <v>9</v>
          </cell>
          <cell r="C57" t="str">
            <v>019</v>
          </cell>
          <cell r="D57" t="str">
            <v>1294</v>
          </cell>
          <cell r="E57" t="str">
            <v>Autres avan. et indemnités diverses scolarité, voy mecque etc., Personnel app.</v>
          </cell>
          <cell r="F57">
            <v>0</v>
          </cell>
          <cell r="L57">
            <v>0</v>
          </cell>
          <cell r="P57">
            <v>0</v>
          </cell>
          <cell r="V57">
            <v>0</v>
          </cell>
          <cell r="AI57">
            <v>0</v>
          </cell>
        </row>
        <row r="58">
          <cell r="B58">
            <v>1</v>
          </cell>
          <cell r="C58" t="str">
            <v>020</v>
          </cell>
          <cell r="D58" t="str">
            <v>1105</v>
          </cell>
          <cell r="E58" t="str">
            <v>Salaires et appointements personnel OEM</v>
          </cell>
          <cell r="F58">
            <v>0</v>
          </cell>
          <cell r="G58">
            <v>199008</v>
          </cell>
          <cell r="L58">
            <v>199008</v>
          </cell>
          <cell r="P58">
            <v>0</v>
          </cell>
          <cell r="V58">
            <v>0</v>
          </cell>
          <cell r="AI58">
            <v>199008</v>
          </cell>
        </row>
        <row r="59">
          <cell r="B59">
            <v>1</v>
          </cell>
          <cell r="C59" t="str">
            <v>021</v>
          </cell>
          <cell r="D59" t="str">
            <v>1205</v>
          </cell>
          <cell r="E59" t="str">
            <v>Frais médicaux et pharmaceutiques, exterieurs prises en chargeOEM</v>
          </cell>
          <cell r="F59">
            <v>0</v>
          </cell>
          <cell r="L59">
            <v>0</v>
          </cell>
          <cell r="P59">
            <v>0</v>
          </cell>
          <cell r="V59">
            <v>0</v>
          </cell>
          <cell r="AI59">
            <v>0</v>
          </cell>
        </row>
        <row r="60">
          <cell r="B60">
            <v>2</v>
          </cell>
          <cell r="C60" t="str">
            <v>021</v>
          </cell>
          <cell r="D60" t="str">
            <v>1215</v>
          </cell>
          <cell r="E60" t="str">
            <v>Salaires des congés payés, Maladie, Maternité, Accidents, Personnel OEM</v>
          </cell>
          <cell r="F60">
            <v>0</v>
          </cell>
          <cell r="L60">
            <v>0</v>
          </cell>
          <cell r="P60">
            <v>0</v>
          </cell>
          <cell r="V60">
            <v>0</v>
          </cell>
          <cell r="AI60">
            <v>0</v>
          </cell>
        </row>
        <row r="61">
          <cell r="B61">
            <v>3</v>
          </cell>
          <cell r="C61" t="str">
            <v>021</v>
          </cell>
          <cell r="D61" t="str">
            <v>1225</v>
          </cell>
          <cell r="E61" t="str">
            <v>Indemnités d'éloignement et de transport, Personnel OEM</v>
          </cell>
          <cell r="F61">
            <v>0</v>
          </cell>
          <cell r="L61">
            <v>0</v>
          </cell>
          <cell r="P61">
            <v>0</v>
          </cell>
          <cell r="V61">
            <v>0</v>
          </cell>
          <cell r="AI61">
            <v>0</v>
          </cell>
        </row>
        <row r="62">
          <cell r="B62">
            <v>4</v>
          </cell>
          <cell r="C62" t="str">
            <v>021</v>
          </cell>
          <cell r="D62" t="str">
            <v>1235</v>
          </cell>
          <cell r="E62" t="str">
            <v>Indemnité forfaitaire de congé, Personnel OEM</v>
          </cell>
          <cell r="F62">
            <v>0</v>
          </cell>
          <cell r="L62">
            <v>0</v>
          </cell>
          <cell r="P62">
            <v>0</v>
          </cell>
          <cell r="V62">
            <v>0</v>
          </cell>
          <cell r="AI62">
            <v>0</v>
          </cell>
        </row>
        <row r="63">
          <cell r="B63">
            <v>5</v>
          </cell>
          <cell r="C63" t="str">
            <v>021</v>
          </cell>
          <cell r="D63" t="str">
            <v>1245</v>
          </cell>
          <cell r="E63" t="str">
            <v>Indemnité de logement, Personnel OEM</v>
          </cell>
          <cell r="F63">
            <v>0</v>
          </cell>
          <cell r="L63">
            <v>0</v>
          </cell>
          <cell r="P63">
            <v>0</v>
          </cell>
          <cell r="V63">
            <v>0</v>
          </cell>
          <cell r="AI63">
            <v>0</v>
          </cell>
        </row>
        <row r="64">
          <cell r="B64">
            <v>6</v>
          </cell>
          <cell r="C64" t="str">
            <v>021</v>
          </cell>
          <cell r="D64" t="str">
            <v>1255</v>
          </cell>
          <cell r="E64" t="str">
            <v>Aide au logement, Personnel OEM</v>
          </cell>
          <cell r="F64">
            <v>0</v>
          </cell>
          <cell r="L64">
            <v>0</v>
          </cell>
          <cell r="P64">
            <v>0</v>
          </cell>
          <cell r="V64">
            <v>0</v>
          </cell>
          <cell r="AI64">
            <v>0</v>
          </cell>
        </row>
        <row r="65">
          <cell r="B65">
            <v>7</v>
          </cell>
          <cell r="C65" t="str">
            <v>021</v>
          </cell>
          <cell r="D65" t="str">
            <v>1275</v>
          </cell>
          <cell r="E65" t="str">
            <v>Prime de responsabilité, de rendement et d'asséduité, Personnel OEM</v>
          </cell>
          <cell r="F65">
            <v>0</v>
          </cell>
          <cell r="L65">
            <v>0</v>
          </cell>
          <cell r="P65">
            <v>0</v>
          </cell>
          <cell r="V65">
            <v>0</v>
          </cell>
          <cell r="AI65">
            <v>0</v>
          </cell>
        </row>
        <row r="66">
          <cell r="B66">
            <v>8</v>
          </cell>
          <cell r="C66" t="str">
            <v>021</v>
          </cell>
          <cell r="D66" t="str">
            <v>1285</v>
          </cell>
          <cell r="E66" t="str">
            <v>Charges fami. mariage, naiss.,decès, a. f... OEM</v>
          </cell>
          <cell r="F66">
            <v>0</v>
          </cell>
          <cell r="L66">
            <v>0</v>
          </cell>
          <cell r="P66">
            <v>0</v>
          </cell>
          <cell r="V66">
            <v>0</v>
          </cell>
          <cell r="AI66">
            <v>0</v>
          </cell>
        </row>
        <row r="67">
          <cell r="B67">
            <v>9</v>
          </cell>
          <cell r="C67" t="str">
            <v>021</v>
          </cell>
          <cell r="D67" t="str">
            <v>1295</v>
          </cell>
          <cell r="E67" t="str">
            <v>Autres avantages et indemnités diverses scolarité, voy mecque etc., Personnel OEM</v>
          </cell>
          <cell r="F67">
            <v>0</v>
          </cell>
          <cell r="L67">
            <v>0</v>
          </cell>
          <cell r="P67">
            <v>0</v>
          </cell>
          <cell r="V67">
            <v>0</v>
          </cell>
          <cell r="AI67">
            <v>0</v>
          </cell>
        </row>
        <row r="68">
          <cell r="B68">
            <v>1</v>
          </cell>
          <cell r="C68" t="str">
            <v>022</v>
          </cell>
          <cell r="D68" t="str">
            <v>1106</v>
          </cell>
          <cell r="E68" t="str">
            <v>Salaires et appointements personnel TAMCA</v>
          </cell>
          <cell r="F68">
            <v>0</v>
          </cell>
          <cell r="G68">
            <v>92592</v>
          </cell>
          <cell r="H68">
            <v>49500</v>
          </cell>
          <cell r="I68">
            <v>12612</v>
          </cell>
          <cell r="J68">
            <v>36960</v>
          </cell>
          <cell r="K68">
            <v>49764</v>
          </cell>
          <cell r="L68">
            <v>241428</v>
          </cell>
          <cell r="M68">
            <v>45228</v>
          </cell>
          <cell r="N68">
            <v>544800</v>
          </cell>
          <cell r="O68">
            <v>494100</v>
          </cell>
          <cell r="P68">
            <v>1038900</v>
          </cell>
          <cell r="R68">
            <v>77784</v>
          </cell>
          <cell r="S68">
            <v>396204</v>
          </cell>
          <cell r="V68">
            <v>0</v>
          </cell>
          <cell r="W68">
            <v>65580</v>
          </cell>
          <cell r="Y68">
            <v>125568</v>
          </cell>
          <cell r="Z68">
            <v>128832</v>
          </cell>
          <cell r="AA68">
            <v>169620</v>
          </cell>
          <cell r="AB68">
            <v>66264</v>
          </cell>
          <cell r="AE68">
            <v>58368</v>
          </cell>
          <cell r="AF68">
            <v>69084</v>
          </cell>
          <cell r="AG68">
            <v>166380</v>
          </cell>
          <cell r="AI68">
            <v>2649240</v>
          </cell>
        </row>
        <row r="69">
          <cell r="B69">
            <v>1</v>
          </cell>
          <cell r="C69" t="str">
            <v>023</v>
          </cell>
          <cell r="D69" t="str">
            <v>1206</v>
          </cell>
          <cell r="E69" t="str">
            <v>Frais médicaux et pharmaceutiques, exterieurs prises en charge TAMCA</v>
          </cell>
          <cell r="F69">
            <v>0</v>
          </cell>
          <cell r="G69">
            <v>25704</v>
          </cell>
          <cell r="H69">
            <v>7044</v>
          </cell>
          <cell r="I69">
            <v>5400</v>
          </cell>
          <cell r="J69">
            <v>4056</v>
          </cell>
          <cell r="K69">
            <v>6288</v>
          </cell>
          <cell r="L69">
            <v>48492</v>
          </cell>
          <cell r="M69">
            <v>5400</v>
          </cell>
          <cell r="N69">
            <v>216168</v>
          </cell>
          <cell r="O69">
            <v>171144</v>
          </cell>
          <cell r="P69">
            <v>387312</v>
          </cell>
          <cell r="R69">
            <v>15108</v>
          </cell>
          <cell r="S69">
            <v>111228</v>
          </cell>
          <cell r="V69">
            <v>0</v>
          </cell>
          <cell r="W69">
            <v>20028</v>
          </cell>
          <cell r="Y69">
            <v>35472</v>
          </cell>
          <cell r="Z69">
            <v>49358</v>
          </cell>
          <cell r="AA69">
            <v>32760</v>
          </cell>
          <cell r="AB69">
            <v>31140</v>
          </cell>
          <cell r="AE69">
            <v>28056</v>
          </cell>
          <cell r="AF69">
            <v>23112</v>
          </cell>
          <cell r="AG69">
            <v>58692</v>
          </cell>
          <cell r="AI69">
            <v>846158</v>
          </cell>
        </row>
        <row r="70">
          <cell r="B70">
            <v>2</v>
          </cell>
          <cell r="C70" t="str">
            <v>023</v>
          </cell>
          <cell r="D70" t="str">
            <v>1216</v>
          </cell>
          <cell r="E70" t="str">
            <v>Salaires des congés payés, Maladie, Maternité, Accidents, Personnel TAMCA</v>
          </cell>
          <cell r="F70">
            <v>0</v>
          </cell>
          <cell r="L70">
            <v>0</v>
          </cell>
          <cell r="P70">
            <v>0</v>
          </cell>
          <cell r="V70">
            <v>0</v>
          </cell>
          <cell r="AI70">
            <v>0</v>
          </cell>
        </row>
        <row r="71">
          <cell r="B71">
            <v>3</v>
          </cell>
          <cell r="C71" t="str">
            <v>023</v>
          </cell>
          <cell r="D71" t="str">
            <v>1226</v>
          </cell>
          <cell r="E71" t="str">
            <v>Indemnités d'éloignement et de transport, Personnel TAMCA</v>
          </cell>
          <cell r="F71">
            <v>0</v>
          </cell>
          <cell r="L71">
            <v>0</v>
          </cell>
          <cell r="P71">
            <v>0</v>
          </cell>
          <cell r="V71">
            <v>0</v>
          </cell>
          <cell r="AI71">
            <v>0</v>
          </cell>
        </row>
        <row r="72">
          <cell r="B72">
            <v>4</v>
          </cell>
          <cell r="C72" t="str">
            <v>023</v>
          </cell>
          <cell r="D72" t="str">
            <v>1236</v>
          </cell>
          <cell r="E72" t="str">
            <v>Indemnité forfaitaire de congé, Personnel TAMCA</v>
          </cell>
          <cell r="F72">
            <v>0</v>
          </cell>
          <cell r="L72">
            <v>0</v>
          </cell>
          <cell r="P72">
            <v>0</v>
          </cell>
          <cell r="V72">
            <v>0</v>
          </cell>
          <cell r="AI72">
            <v>0</v>
          </cell>
        </row>
        <row r="73">
          <cell r="B73">
            <v>5</v>
          </cell>
          <cell r="C73" t="str">
            <v>023</v>
          </cell>
          <cell r="D73" t="str">
            <v>1246</v>
          </cell>
          <cell r="E73" t="str">
            <v>Indemnité de logement, Personnel TAMCA</v>
          </cell>
          <cell r="F73">
            <v>0</v>
          </cell>
          <cell r="L73">
            <v>0</v>
          </cell>
          <cell r="P73">
            <v>0</v>
          </cell>
          <cell r="V73">
            <v>0</v>
          </cell>
          <cell r="AI73">
            <v>0</v>
          </cell>
        </row>
        <row r="74">
          <cell r="B74">
            <v>6</v>
          </cell>
          <cell r="C74" t="str">
            <v>023</v>
          </cell>
          <cell r="D74" t="str">
            <v>1256</v>
          </cell>
          <cell r="E74" t="str">
            <v>Aide au logement, Personnel TAMCA</v>
          </cell>
          <cell r="F74">
            <v>0</v>
          </cell>
          <cell r="L74">
            <v>0</v>
          </cell>
          <cell r="P74">
            <v>0</v>
          </cell>
          <cell r="V74">
            <v>0</v>
          </cell>
          <cell r="AI74">
            <v>0</v>
          </cell>
        </row>
        <row r="75">
          <cell r="B75">
            <v>7</v>
          </cell>
          <cell r="C75" t="str">
            <v>023</v>
          </cell>
          <cell r="D75" t="str">
            <v>1276</v>
          </cell>
          <cell r="E75" t="str">
            <v>Prime de responsabilité, de rendement et d'asséduité, Personnel TAMCA</v>
          </cell>
          <cell r="F75">
            <v>0</v>
          </cell>
          <cell r="L75">
            <v>0</v>
          </cell>
          <cell r="P75">
            <v>0</v>
          </cell>
          <cell r="V75">
            <v>0</v>
          </cell>
          <cell r="AI75">
            <v>0</v>
          </cell>
        </row>
        <row r="76">
          <cell r="B76">
            <v>8</v>
          </cell>
          <cell r="C76" t="str">
            <v>023</v>
          </cell>
          <cell r="D76" t="str">
            <v>1286</v>
          </cell>
          <cell r="E76" t="str">
            <v>Charges fami. mariage, naiss.,decès, a. f... TAMCA</v>
          </cell>
          <cell r="F76">
            <v>0</v>
          </cell>
          <cell r="L76">
            <v>0</v>
          </cell>
          <cell r="P76">
            <v>0</v>
          </cell>
          <cell r="V76">
            <v>0</v>
          </cell>
          <cell r="AI76">
            <v>0</v>
          </cell>
        </row>
        <row r="77">
          <cell r="B77">
            <v>9</v>
          </cell>
          <cell r="C77" t="str">
            <v>023</v>
          </cell>
          <cell r="D77" t="str">
            <v>1296</v>
          </cell>
          <cell r="E77" t="str">
            <v>Autres avantages et indemnites diverses, Scolarité, Mecque etc.., Personnel TAMCA</v>
          </cell>
          <cell r="F77">
            <v>0</v>
          </cell>
          <cell r="L77">
            <v>0</v>
          </cell>
          <cell r="P77">
            <v>0</v>
          </cell>
          <cell r="V77">
            <v>0</v>
          </cell>
          <cell r="AI77">
            <v>0</v>
          </cell>
        </row>
        <row r="78">
          <cell r="B78">
            <v>1</v>
          </cell>
          <cell r="C78" t="str">
            <v>030</v>
          </cell>
          <cell r="D78" t="str">
            <v>1749</v>
          </cell>
          <cell r="E78" t="str">
            <v>Bourses et frais de formation personnel OE à l'OCP</v>
          </cell>
          <cell r="F78">
            <v>0</v>
          </cell>
          <cell r="L78">
            <v>0</v>
          </cell>
          <cell r="P78">
            <v>0</v>
          </cell>
          <cell r="V78">
            <v>0</v>
          </cell>
          <cell r="AI78">
            <v>0</v>
          </cell>
        </row>
        <row r="79">
          <cell r="B79">
            <v>1</v>
          </cell>
          <cell r="C79" t="str">
            <v>031</v>
          </cell>
          <cell r="D79" t="str">
            <v>1759</v>
          </cell>
          <cell r="E79" t="str">
            <v>Bourses et frais de formation personnel TAMCA à l'OCP</v>
          </cell>
          <cell r="F79">
            <v>0</v>
          </cell>
          <cell r="L79">
            <v>0</v>
          </cell>
          <cell r="P79">
            <v>0</v>
          </cell>
          <cell r="V79">
            <v>0</v>
          </cell>
          <cell r="AI79">
            <v>0</v>
          </cell>
        </row>
        <row r="80">
          <cell r="B80">
            <v>1</v>
          </cell>
          <cell r="C80" t="str">
            <v>032</v>
          </cell>
          <cell r="D80" t="str">
            <v>1769</v>
          </cell>
          <cell r="E80" t="str">
            <v>Bourses et frais de formation à l'exterieur, Personnel OE</v>
          </cell>
          <cell r="F80">
            <v>0</v>
          </cell>
          <cell r="L80">
            <v>0</v>
          </cell>
          <cell r="P80">
            <v>0</v>
          </cell>
          <cell r="V80">
            <v>0</v>
          </cell>
          <cell r="AI80">
            <v>0</v>
          </cell>
        </row>
        <row r="81">
          <cell r="B81">
            <v>1</v>
          </cell>
          <cell r="C81" t="str">
            <v>033</v>
          </cell>
          <cell r="D81" t="str">
            <v>1779</v>
          </cell>
          <cell r="E81" t="str">
            <v>Bourses et frais de formation personnel TAMCA à l'exterieur</v>
          </cell>
          <cell r="F81">
            <v>0</v>
          </cell>
          <cell r="L81">
            <v>0</v>
          </cell>
          <cell r="P81">
            <v>0</v>
          </cell>
          <cell r="V81">
            <v>0</v>
          </cell>
          <cell r="AI81">
            <v>0</v>
          </cell>
        </row>
        <row r="82">
          <cell r="B82">
            <v>1</v>
          </cell>
          <cell r="C82" t="str">
            <v>035</v>
          </cell>
          <cell r="D82" t="str">
            <v>1320</v>
          </cell>
          <cell r="E82" t="str">
            <v>Part patronale OS 824 OET</v>
          </cell>
          <cell r="F82">
            <v>22272</v>
          </cell>
          <cell r="G82">
            <v>14258</v>
          </cell>
          <cell r="H82">
            <v>7920</v>
          </cell>
          <cell r="I82">
            <v>20172</v>
          </cell>
          <cell r="J82">
            <v>16932</v>
          </cell>
          <cell r="K82">
            <v>11448</v>
          </cell>
          <cell r="L82">
            <v>93002</v>
          </cell>
          <cell r="M82">
            <v>19236</v>
          </cell>
          <cell r="N82">
            <v>101328</v>
          </cell>
          <cell r="O82">
            <v>102816</v>
          </cell>
          <cell r="P82">
            <v>204144</v>
          </cell>
          <cell r="R82">
            <v>78720</v>
          </cell>
          <cell r="S82">
            <v>30324</v>
          </cell>
          <cell r="V82">
            <v>0</v>
          </cell>
          <cell r="W82">
            <v>15048</v>
          </cell>
          <cell r="X82">
            <v>4068</v>
          </cell>
          <cell r="Y82">
            <v>47460</v>
          </cell>
          <cell r="Z82">
            <v>13776</v>
          </cell>
          <cell r="AA82">
            <v>41796</v>
          </cell>
          <cell r="AB82">
            <v>36960</v>
          </cell>
          <cell r="AC82">
            <v>2568</v>
          </cell>
          <cell r="AD82">
            <v>12324</v>
          </cell>
          <cell r="AE82">
            <v>3584</v>
          </cell>
          <cell r="AF82">
            <v>324</v>
          </cell>
          <cell r="AG82">
            <v>44976</v>
          </cell>
          <cell r="AH82">
            <v>59784</v>
          </cell>
          <cell r="AI82">
            <v>708094</v>
          </cell>
        </row>
        <row r="83">
          <cell r="B83">
            <v>2</v>
          </cell>
          <cell r="C83" t="str">
            <v>035</v>
          </cell>
          <cell r="D83" t="str">
            <v>1321</v>
          </cell>
          <cell r="E83" t="str">
            <v>Part patronale OS 824 OEB</v>
          </cell>
          <cell r="F83">
            <v>0</v>
          </cell>
          <cell r="L83">
            <v>0</v>
          </cell>
          <cell r="P83">
            <v>0</v>
          </cell>
          <cell r="V83">
            <v>0</v>
          </cell>
          <cell r="AI83">
            <v>0</v>
          </cell>
        </row>
        <row r="84">
          <cell r="B84">
            <v>3</v>
          </cell>
          <cell r="C84" t="str">
            <v>035</v>
          </cell>
          <cell r="D84" t="str">
            <v>1322</v>
          </cell>
          <cell r="E84" t="str">
            <v>Part patronale OS 824 OEJ</v>
          </cell>
          <cell r="F84">
            <v>0</v>
          </cell>
          <cell r="L84">
            <v>0</v>
          </cell>
          <cell r="P84">
            <v>0</v>
          </cell>
          <cell r="V84">
            <v>0</v>
          </cell>
          <cell r="AI84">
            <v>0</v>
          </cell>
        </row>
        <row r="85">
          <cell r="B85">
            <v>4</v>
          </cell>
          <cell r="C85" t="str">
            <v>035</v>
          </cell>
          <cell r="D85" t="str">
            <v>1323</v>
          </cell>
          <cell r="E85" t="str">
            <v>Part patronale OS 824 OEF</v>
          </cell>
          <cell r="F85">
            <v>0</v>
          </cell>
          <cell r="L85">
            <v>0</v>
          </cell>
          <cell r="P85">
            <v>0</v>
          </cell>
          <cell r="V85">
            <v>0</v>
          </cell>
          <cell r="AI85">
            <v>0</v>
          </cell>
        </row>
        <row r="86">
          <cell r="B86">
            <v>5</v>
          </cell>
          <cell r="C86" t="str">
            <v>035</v>
          </cell>
          <cell r="D86" t="str">
            <v>1324</v>
          </cell>
          <cell r="E86" t="str">
            <v>Part patronale OS 824 appoints</v>
          </cell>
          <cell r="F86">
            <v>0</v>
          </cell>
          <cell r="L86">
            <v>0</v>
          </cell>
          <cell r="P86">
            <v>0</v>
          </cell>
          <cell r="V86">
            <v>0</v>
          </cell>
          <cell r="AI86">
            <v>0</v>
          </cell>
        </row>
        <row r="87">
          <cell r="B87">
            <v>6</v>
          </cell>
          <cell r="C87" t="str">
            <v>035</v>
          </cell>
          <cell r="D87" t="str">
            <v>1325</v>
          </cell>
          <cell r="E87" t="str">
            <v>Part patronale OS 824, Personnel OEM</v>
          </cell>
          <cell r="F87">
            <v>0</v>
          </cell>
          <cell r="L87">
            <v>0</v>
          </cell>
          <cell r="P87">
            <v>0</v>
          </cell>
          <cell r="V87">
            <v>0</v>
          </cell>
          <cell r="AI87">
            <v>0</v>
          </cell>
        </row>
        <row r="88">
          <cell r="B88">
            <v>1</v>
          </cell>
          <cell r="C88" t="str">
            <v>036</v>
          </cell>
          <cell r="D88" t="str">
            <v>1330</v>
          </cell>
          <cell r="E88" t="str">
            <v>Part patronale Recore OS 824, Personnel OET</v>
          </cell>
          <cell r="F88">
            <v>11976</v>
          </cell>
          <cell r="G88">
            <v>5208</v>
          </cell>
          <cell r="H88">
            <v>6132</v>
          </cell>
          <cell r="I88">
            <v>8520</v>
          </cell>
          <cell r="J88">
            <v>13740</v>
          </cell>
          <cell r="K88">
            <v>9984</v>
          </cell>
          <cell r="L88">
            <v>55560</v>
          </cell>
          <cell r="M88">
            <v>10656</v>
          </cell>
          <cell r="N88">
            <v>96240</v>
          </cell>
          <cell r="O88">
            <v>38004</v>
          </cell>
          <cell r="P88">
            <v>134244</v>
          </cell>
          <cell r="R88">
            <v>39108</v>
          </cell>
          <cell r="S88">
            <v>11040</v>
          </cell>
          <cell r="V88">
            <v>0</v>
          </cell>
          <cell r="W88">
            <v>13092</v>
          </cell>
          <cell r="X88">
            <v>252</v>
          </cell>
          <cell r="Y88">
            <v>10632</v>
          </cell>
          <cell r="Z88">
            <v>14700</v>
          </cell>
          <cell r="AA88">
            <v>10044</v>
          </cell>
          <cell r="AB88">
            <v>20952</v>
          </cell>
          <cell r="AC88">
            <v>420</v>
          </cell>
          <cell r="AD88">
            <v>2004</v>
          </cell>
          <cell r="AE88">
            <v>384</v>
          </cell>
          <cell r="AF88">
            <v>36</v>
          </cell>
          <cell r="AG88">
            <v>13848</v>
          </cell>
          <cell r="AH88">
            <v>29352</v>
          </cell>
          <cell r="AI88">
            <v>366324</v>
          </cell>
        </row>
        <row r="89">
          <cell r="B89">
            <v>2</v>
          </cell>
          <cell r="C89" t="str">
            <v>036</v>
          </cell>
          <cell r="D89" t="str">
            <v>1331</v>
          </cell>
          <cell r="E89" t="str">
            <v>Part patronale Recore OS 824, Personnel OEB</v>
          </cell>
          <cell r="F89">
            <v>0</v>
          </cell>
          <cell r="L89">
            <v>0</v>
          </cell>
          <cell r="P89">
            <v>0</v>
          </cell>
          <cell r="V89">
            <v>0</v>
          </cell>
          <cell r="AI89">
            <v>0</v>
          </cell>
        </row>
        <row r="90">
          <cell r="B90">
            <v>3</v>
          </cell>
          <cell r="C90" t="str">
            <v>036</v>
          </cell>
          <cell r="D90" t="str">
            <v>1332</v>
          </cell>
          <cell r="E90" t="str">
            <v>Part patronale Recore OS 824, Personnel OEJ</v>
          </cell>
          <cell r="F90">
            <v>0</v>
          </cell>
          <cell r="L90">
            <v>0</v>
          </cell>
          <cell r="P90">
            <v>0</v>
          </cell>
          <cell r="V90">
            <v>0</v>
          </cell>
          <cell r="AI90">
            <v>0</v>
          </cell>
        </row>
        <row r="91">
          <cell r="B91">
            <v>4</v>
          </cell>
          <cell r="C91" t="str">
            <v>036</v>
          </cell>
          <cell r="D91" t="str">
            <v>1333</v>
          </cell>
          <cell r="E91" t="str">
            <v>Part patronale Recore OS 824, Personnel OEF</v>
          </cell>
          <cell r="F91">
            <v>0</v>
          </cell>
          <cell r="L91">
            <v>0</v>
          </cell>
          <cell r="P91">
            <v>0</v>
          </cell>
          <cell r="V91">
            <v>0</v>
          </cell>
          <cell r="AI91">
            <v>0</v>
          </cell>
        </row>
        <row r="92">
          <cell r="B92">
            <v>5</v>
          </cell>
          <cell r="C92" t="str">
            <v>036</v>
          </cell>
          <cell r="D92" t="str">
            <v>1334</v>
          </cell>
          <cell r="E92" t="str">
            <v>Part patronale Recore OS 824, Personnel appoints</v>
          </cell>
          <cell r="F92">
            <v>0</v>
          </cell>
          <cell r="L92">
            <v>0</v>
          </cell>
          <cell r="P92">
            <v>0</v>
          </cell>
          <cell r="V92">
            <v>0</v>
          </cell>
          <cell r="AI92">
            <v>0</v>
          </cell>
        </row>
        <row r="93">
          <cell r="B93">
            <v>6</v>
          </cell>
          <cell r="C93" t="str">
            <v>036</v>
          </cell>
          <cell r="D93" t="str">
            <v>1335</v>
          </cell>
          <cell r="E93" t="str">
            <v>Part patronale Recore OS 824, Personnel OEM</v>
          </cell>
          <cell r="F93">
            <v>0</v>
          </cell>
          <cell r="L93">
            <v>0</v>
          </cell>
          <cell r="P93">
            <v>0</v>
          </cell>
          <cell r="V93">
            <v>0</v>
          </cell>
          <cell r="AI93">
            <v>0</v>
          </cell>
        </row>
        <row r="94">
          <cell r="B94">
            <v>1</v>
          </cell>
          <cell r="C94" t="str">
            <v>037</v>
          </cell>
          <cell r="D94" t="str">
            <v>1340</v>
          </cell>
          <cell r="E94" t="str">
            <v>Part patronale RCAR régime de base, Personnel OET</v>
          </cell>
          <cell r="F94">
            <v>0</v>
          </cell>
          <cell r="L94">
            <v>0</v>
          </cell>
          <cell r="M94">
            <v>3612</v>
          </cell>
          <cell r="P94">
            <v>0</v>
          </cell>
          <cell r="R94">
            <v>684</v>
          </cell>
          <cell r="V94">
            <v>0</v>
          </cell>
          <cell r="AI94">
            <v>4296</v>
          </cell>
        </row>
        <row r="95">
          <cell r="B95">
            <v>2</v>
          </cell>
          <cell r="C95" t="str">
            <v>037</v>
          </cell>
          <cell r="D95" t="str">
            <v>1341</v>
          </cell>
          <cell r="E95" t="str">
            <v>Part patronale RCAR régime de base, Personnel OEB</v>
          </cell>
          <cell r="F95">
            <v>0</v>
          </cell>
          <cell r="L95">
            <v>0</v>
          </cell>
          <cell r="P95">
            <v>0</v>
          </cell>
          <cell r="V95">
            <v>0</v>
          </cell>
          <cell r="AI95">
            <v>0</v>
          </cell>
        </row>
        <row r="96">
          <cell r="B96">
            <v>3</v>
          </cell>
          <cell r="C96" t="str">
            <v>037</v>
          </cell>
          <cell r="D96" t="str">
            <v>1342</v>
          </cell>
          <cell r="E96" t="str">
            <v>Part patronale RCAR régime de base, Personnel OEJ</v>
          </cell>
          <cell r="F96">
            <v>0</v>
          </cell>
          <cell r="L96">
            <v>0</v>
          </cell>
          <cell r="P96">
            <v>0</v>
          </cell>
          <cell r="V96">
            <v>0</v>
          </cell>
          <cell r="AI96">
            <v>0</v>
          </cell>
        </row>
        <row r="97">
          <cell r="B97">
            <v>4</v>
          </cell>
          <cell r="C97" t="str">
            <v>037</v>
          </cell>
          <cell r="D97" t="str">
            <v>1343</v>
          </cell>
          <cell r="E97" t="str">
            <v>Part patronale RCAR régime de base, Personnel OEF</v>
          </cell>
          <cell r="F97">
            <v>0</v>
          </cell>
          <cell r="L97">
            <v>0</v>
          </cell>
          <cell r="P97">
            <v>0</v>
          </cell>
          <cell r="V97">
            <v>0</v>
          </cell>
          <cell r="AI97">
            <v>0</v>
          </cell>
        </row>
        <row r="98">
          <cell r="B98">
            <v>5</v>
          </cell>
          <cell r="C98" t="str">
            <v>037</v>
          </cell>
          <cell r="D98" t="str">
            <v>1344</v>
          </cell>
          <cell r="E98" t="str">
            <v>Part patronale RCAR régime de base, Personnel appoints</v>
          </cell>
          <cell r="F98">
            <v>0</v>
          </cell>
          <cell r="L98">
            <v>0</v>
          </cell>
          <cell r="P98">
            <v>0</v>
          </cell>
          <cell r="V98">
            <v>0</v>
          </cell>
          <cell r="AI98">
            <v>0</v>
          </cell>
        </row>
        <row r="99">
          <cell r="B99">
            <v>6</v>
          </cell>
          <cell r="C99" t="str">
            <v>037</v>
          </cell>
          <cell r="D99" t="str">
            <v>1345</v>
          </cell>
          <cell r="E99" t="str">
            <v>Part patronale RCAR régime de base, Personnel OEM</v>
          </cell>
          <cell r="F99">
            <v>0</v>
          </cell>
          <cell r="L99">
            <v>0</v>
          </cell>
          <cell r="P99">
            <v>0</v>
          </cell>
          <cell r="V99">
            <v>0</v>
          </cell>
          <cell r="AI99">
            <v>0</v>
          </cell>
        </row>
        <row r="100">
          <cell r="B100">
            <v>1</v>
          </cell>
          <cell r="C100" t="str">
            <v>038</v>
          </cell>
          <cell r="D100" t="str">
            <v>1350</v>
          </cell>
          <cell r="E100" t="str">
            <v>Part patronale RCAR régime complementaire, Personnel OET</v>
          </cell>
          <cell r="F100">
            <v>0</v>
          </cell>
          <cell r="L100">
            <v>0</v>
          </cell>
          <cell r="P100">
            <v>0</v>
          </cell>
          <cell r="R100">
            <v>144</v>
          </cell>
          <cell r="V100">
            <v>0</v>
          </cell>
          <cell r="AI100">
            <v>144</v>
          </cell>
        </row>
        <row r="101">
          <cell r="B101">
            <v>2</v>
          </cell>
          <cell r="C101" t="str">
            <v>038</v>
          </cell>
          <cell r="D101" t="str">
            <v>1351</v>
          </cell>
          <cell r="E101" t="str">
            <v>Part patronale RCAR régime complementaire, Personnel OEB</v>
          </cell>
          <cell r="F101">
            <v>0</v>
          </cell>
          <cell r="L101">
            <v>0</v>
          </cell>
          <cell r="P101">
            <v>0</v>
          </cell>
          <cell r="V101">
            <v>0</v>
          </cell>
          <cell r="AI101">
            <v>0</v>
          </cell>
        </row>
        <row r="102">
          <cell r="B102">
            <v>3</v>
          </cell>
          <cell r="C102" t="str">
            <v>038</v>
          </cell>
          <cell r="D102" t="str">
            <v>1352</v>
          </cell>
          <cell r="E102" t="str">
            <v>Part patronale RCAR régime complementaire, Personnel OEJ</v>
          </cell>
          <cell r="F102">
            <v>0</v>
          </cell>
          <cell r="L102">
            <v>0</v>
          </cell>
          <cell r="P102">
            <v>0</v>
          </cell>
          <cell r="V102">
            <v>0</v>
          </cell>
          <cell r="AI102">
            <v>0</v>
          </cell>
        </row>
        <row r="103">
          <cell r="B103">
            <v>4</v>
          </cell>
          <cell r="C103" t="str">
            <v>038</v>
          </cell>
          <cell r="D103" t="str">
            <v>1353</v>
          </cell>
          <cell r="E103" t="str">
            <v>Part patronale RCAR régime complémentaire, Personnel OEF</v>
          </cell>
          <cell r="F103">
            <v>0</v>
          </cell>
          <cell r="L103">
            <v>0</v>
          </cell>
          <cell r="P103">
            <v>0</v>
          </cell>
          <cell r="V103">
            <v>0</v>
          </cell>
          <cell r="AI103">
            <v>0</v>
          </cell>
        </row>
        <row r="104">
          <cell r="B104">
            <v>5</v>
          </cell>
          <cell r="C104" t="str">
            <v>038</v>
          </cell>
          <cell r="D104" t="str">
            <v>1354</v>
          </cell>
          <cell r="E104" t="str">
            <v>Part patronale RCAR régime complémentaire, Personnel appoints</v>
          </cell>
          <cell r="F104">
            <v>0</v>
          </cell>
          <cell r="L104">
            <v>0</v>
          </cell>
          <cell r="P104">
            <v>0</v>
          </cell>
          <cell r="V104">
            <v>0</v>
          </cell>
          <cell r="AI104">
            <v>0</v>
          </cell>
        </row>
        <row r="105">
          <cell r="B105">
            <v>6</v>
          </cell>
          <cell r="C105" t="str">
            <v>038</v>
          </cell>
          <cell r="D105" t="str">
            <v>1355</v>
          </cell>
          <cell r="E105" t="str">
            <v>Part patronale RCAR regime complementaire, Personnel OEM</v>
          </cell>
          <cell r="F105">
            <v>0</v>
          </cell>
          <cell r="L105">
            <v>0</v>
          </cell>
          <cell r="P105">
            <v>0</v>
          </cell>
          <cell r="V105">
            <v>0</v>
          </cell>
          <cell r="AI105">
            <v>0</v>
          </cell>
        </row>
        <row r="106">
          <cell r="B106">
            <v>7</v>
          </cell>
          <cell r="C106" t="str">
            <v>038</v>
          </cell>
          <cell r="D106" t="str">
            <v>1356</v>
          </cell>
          <cell r="E106" t="str">
            <v>Part patronale, RCAR régime complémentaire, Personnel TAMCA</v>
          </cell>
          <cell r="F106">
            <v>0</v>
          </cell>
          <cell r="L106">
            <v>0</v>
          </cell>
          <cell r="P106">
            <v>0</v>
          </cell>
          <cell r="V106">
            <v>0</v>
          </cell>
          <cell r="AI106">
            <v>0</v>
          </cell>
        </row>
        <row r="107">
          <cell r="B107">
            <v>8</v>
          </cell>
          <cell r="C107" t="str">
            <v>038</v>
          </cell>
          <cell r="D107" t="str">
            <v>1358</v>
          </cell>
          <cell r="E107" t="str">
            <v>Part patronale RCAR regime complementaire, Personnel HC</v>
          </cell>
          <cell r="F107">
            <v>0</v>
          </cell>
          <cell r="L107">
            <v>0</v>
          </cell>
          <cell r="P107">
            <v>0</v>
          </cell>
          <cell r="V107">
            <v>0</v>
          </cell>
          <cell r="AI107">
            <v>0</v>
          </cell>
        </row>
        <row r="108">
          <cell r="B108">
            <v>1</v>
          </cell>
          <cell r="C108" t="str">
            <v>039</v>
          </cell>
          <cell r="D108" t="str">
            <v>1430</v>
          </cell>
          <cell r="E108" t="str">
            <v>Part patronale sur primes RCAR, Personnel permanent OET</v>
          </cell>
          <cell r="F108">
            <v>0</v>
          </cell>
          <cell r="L108">
            <v>0</v>
          </cell>
          <cell r="P108">
            <v>0</v>
          </cell>
          <cell r="V108">
            <v>0</v>
          </cell>
          <cell r="AI108">
            <v>0</v>
          </cell>
        </row>
        <row r="109">
          <cell r="B109">
            <v>2</v>
          </cell>
          <cell r="C109" t="str">
            <v>039</v>
          </cell>
          <cell r="D109" t="str">
            <v>1431</v>
          </cell>
          <cell r="E109" t="str">
            <v>Part patronale sur primes RCAR, Personnel permanent OEB</v>
          </cell>
          <cell r="F109">
            <v>0</v>
          </cell>
          <cell r="L109">
            <v>0</v>
          </cell>
          <cell r="P109">
            <v>0</v>
          </cell>
          <cell r="V109">
            <v>0</v>
          </cell>
          <cell r="AI109">
            <v>0</v>
          </cell>
        </row>
        <row r="110">
          <cell r="B110">
            <v>3</v>
          </cell>
          <cell r="C110" t="str">
            <v>039</v>
          </cell>
          <cell r="D110" t="str">
            <v>1432</v>
          </cell>
          <cell r="E110" t="str">
            <v>Part patronale sur primes RCAR, Personnel permanent OEJ</v>
          </cell>
          <cell r="F110">
            <v>0</v>
          </cell>
          <cell r="L110">
            <v>0</v>
          </cell>
          <cell r="P110">
            <v>0</v>
          </cell>
          <cell r="V110">
            <v>0</v>
          </cell>
          <cell r="AI110">
            <v>0</v>
          </cell>
        </row>
        <row r="111">
          <cell r="B111">
            <v>4</v>
          </cell>
          <cell r="C111" t="str">
            <v>039</v>
          </cell>
          <cell r="D111" t="str">
            <v>1433</v>
          </cell>
          <cell r="E111" t="str">
            <v>Part patronale sur primes RCAR, Personnel permanent OEF</v>
          </cell>
          <cell r="F111">
            <v>0</v>
          </cell>
          <cell r="L111">
            <v>0</v>
          </cell>
          <cell r="P111">
            <v>0</v>
          </cell>
          <cell r="V111">
            <v>0</v>
          </cell>
          <cell r="AI111">
            <v>0</v>
          </cell>
        </row>
        <row r="112">
          <cell r="B112">
            <v>5</v>
          </cell>
          <cell r="C112" t="str">
            <v>039</v>
          </cell>
          <cell r="D112" t="str">
            <v>1434</v>
          </cell>
          <cell r="E112" t="str">
            <v>Part patronale sur primes RCAR, Personnel permanent appoints</v>
          </cell>
          <cell r="F112">
            <v>0</v>
          </cell>
          <cell r="L112">
            <v>0</v>
          </cell>
          <cell r="P112">
            <v>0</v>
          </cell>
          <cell r="V112">
            <v>0</v>
          </cell>
          <cell r="AI112">
            <v>0</v>
          </cell>
        </row>
        <row r="113">
          <cell r="B113">
            <v>6</v>
          </cell>
          <cell r="C113" t="str">
            <v>039</v>
          </cell>
          <cell r="D113" t="str">
            <v>1435</v>
          </cell>
          <cell r="E113" t="str">
            <v>Part patronale sur primes RCAR, Personnel permanent OEM</v>
          </cell>
          <cell r="F113">
            <v>0</v>
          </cell>
          <cell r="L113">
            <v>0</v>
          </cell>
          <cell r="P113">
            <v>0</v>
          </cell>
          <cell r="V113">
            <v>0</v>
          </cell>
          <cell r="AI113">
            <v>0</v>
          </cell>
        </row>
        <row r="114">
          <cell r="B114">
            <v>7</v>
          </cell>
          <cell r="C114" t="str">
            <v>039</v>
          </cell>
          <cell r="D114" t="str">
            <v>1436</v>
          </cell>
          <cell r="E114" t="str">
            <v>Part patronale sur primes RCAR, Personnel permanent TAMCA</v>
          </cell>
          <cell r="F114">
            <v>0</v>
          </cell>
          <cell r="L114">
            <v>0</v>
          </cell>
          <cell r="P114">
            <v>0</v>
          </cell>
          <cell r="V114">
            <v>0</v>
          </cell>
          <cell r="AI114">
            <v>0</v>
          </cell>
        </row>
        <row r="115">
          <cell r="B115">
            <v>8</v>
          </cell>
          <cell r="C115" t="str">
            <v>039</v>
          </cell>
          <cell r="D115" t="str">
            <v>1438</v>
          </cell>
          <cell r="E115" t="str">
            <v>Part patronale sur primes de fin RCAR, Personnel permanent HC</v>
          </cell>
          <cell r="F115">
            <v>0</v>
          </cell>
          <cell r="L115">
            <v>0</v>
          </cell>
          <cell r="P115">
            <v>0</v>
          </cell>
          <cell r="V115">
            <v>0</v>
          </cell>
          <cell r="AI115">
            <v>0</v>
          </cell>
        </row>
        <row r="116">
          <cell r="B116">
            <v>1</v>
          </cell>
          <cell r="C116" t="str">
            <v>040</v>
          </cell>
          <cell r="D116" t="str">
            <v>1108</v>
          </cell>
          <cell r="E116" t="str">
            <v>Salaires et appointements, Personnel Hors Cadre</v>
          </cell>
          <cell r="F116">
            <v>0</v>
          </cell>
          <cell r="L116">
            <v>0</v>
          </cell>
          <cell r="P116">
            <v>0</v>
          </cell>
          <cell r="V116">
            <v>0</v>
          </cell>
          <cell r="Z116">
            <v>493740</v>
          </cell>
          <cell r="AH116">
            <v>28164</v>
          </cell>
          <cell r="AI116">
            <v>521904</v>
          </cell>
        </row>
        <row r="117">
          <cell r="B117">
            <v>1</v>
          </cell>
          <cell r="C117" t="str">
            <v>041</v>
          </cell>
          <cell r="D117" t="str">
            <v>1208</v>
          </cell>
          <cell r="E117" t="str">
            <v>Frais médicaux et pharmaceutiques exterieurs, prises en charge, Personnel HC</v>
          </cell>
          <cell r="F117">
            <v>0</v>
          </cell>
          <cell r="L117">
            <v>0</v>
          </cell>
          <cell r="P117">
            <v>0</v>
          </cell>
          <cell r="V117">
            <v>0</v>
          </cell>
          <cell r="Z117">
            <v>498960</v>
          </cell>
          <cell r="AH117">
            <v>28260</v>
          </cell>
          <cell r="AI117">
            <v>527220</v>
          </cell>
        </row>
        <row r="118">
          <cell r="B118">
            <v>2</v>
          </cell>
          <cell r="C118" t="str">
            <v>041</v>
          </cell>
          <cell r="D118" t="str">
            <v>1218</v>
          </cell>
          <cell r="E118" t="str">
            <v>Salaires des congés payés, Maladie, Maternité, Accidents, Personnel Hors Cadre</v>
          </cell>
          <cell r="F118">
            <v>0</v>
          </cell>
          <cell r="L118">
            <v>0</v>
          </cell>
          <cell r="P118">
            <v>0</v>
          </cell>
          <cell r="V118">
            <v>0</v>
          </cell>
          <cell r="AI118">
            <v>0</v>
          </cell>
        </row>
        <row r="119">
          <cell r="B119">
            <v>3</v>
          </cell>
          <cell r="C119" t="str">
            <v>041</v>
          </cell>
          <cell r="D119" t="str">
            <v>1228</v>
          </cell>
          <cell r="E119" t="str">
            <v>Indemnités d'éloignement et de transport, Personnel HC</v>
          </cell>
          <cell r="F119">
            <v>0</v>
          </cell>
          <cell r="L119">
            <v>0</v>
          </cell>
          <cell r="P119">
            <v>0</v>
          </cell>
          <cell r="V119">
            <v>0</v>
          </cell>
          <cell r="AI119">
            <v>0</v>
          </cell>
        </row>
        <row r="120">
          <cell r="B120">
            <v>4</v>
          </cell>
          <cell r="C120" t="str">
            <v>041</v>
          </cell>
          <cell r="D120" t="str">
            <v>1238</v>
          </cell>
          <cell r="E120" t="str">
            <v>Indemnité forfaitaire de congé, Paersonnel HC</v>
          </cell>
          <cell r="F120">
            <v>0</v>
          </cell>
          <cell r="L120">
            <v>0</v>
          </cell>
          <cell r="P120">
            <v>0</v>
          </cell>
          <cell r="V120">
            <v>0</v>
          </cell>
          <cell r="AI120">
            <v>0</v>
          </cell>
        </row>
        <row r="121">
          <cell r="B121">
            <v>5</v>
          </cell>
          <cell r="C121" t="str">
            <v>041</v>
          </cell>
          <cell r="D121" t="str">
            <v>1248</v>
          </cell>
          <cell r="E121" t="str">
            <v>Indemnité de logement, Personnel HC</v>
          </cell>
          <cell r="F121">
            <v>0</v>
          </cell>
          <cell r="L121">
            <v>0</v>
          </cell>
          <cell r="P121">
            <v>0</v>
          </cell>
          <cell r="V121">
            <v>0</v>
          </cell>
          <cell r="AI121">
            <v>0</v>
          </cell>
        </row>
        <row r="122">
          <cell r="B122">
            <v>6</v>
          </cell>
          <cell r="C122" t="str">
            <v>041</v>
          </cell>
          <cell r="D122" t="str">
            <v>1258</v>
          </cell>
          <cell r="E122" t="str">
            <v>Aide au logement, Personnel HC</v>
          </cell>
          <cell r="F122">
            <v>0</v>
          </cell>
          <cell r="L122">
            <v>0</v>
          </cell>
          <cell r="P122">
            <v>0</v>
          </cell>
          <cell r="V122">
            <v>0</v>
          </cell>
          <cell r="AI122">
            <v>0</v>
          </cell>
        </row>
        <row r="123">
          <cell r="B123">
            <v>7</v>
          </cell>
          <cell r="C123" t="str">
            <v>041</v>
          </cell>
          <cell r="D123" t="str">
            <v>1268</v>
          </cell>
          <cell r="E123" t="str">
            <v>Prime à la construction prêts hypothécaires, Personnel HC</v>
          </cell>
          <cell r="F123">
            <v>0</v>
          </cell>
          <cell r="L123">
            <v>0</v>
          </cell>
          <cell r="P123">
            <v>0</v>
          </cell>
          <cell r="V123">
            <v>0</v>
          </cell>
          <cell r="AI123">
            <v>0</v>
          </cell>
        </row>
        <row r="124">
          <cell r="B124">
            <v>8</v>
          </cell>
          <cell r="C124" t="str">
            <v>041</v>
          </cell>
          <cell r="D124" t="str">
            <v>1278</v>
          </cell>
          <cell r="E124" t="str">
            <v>Prime de responsabilité, de rendement et d'asséduité, Personnel HC</v>
          </cell>
          <cell r="F124">
            <v>0</v>
          </cell>
          <cell r="L124">
            <v>0</v>
          </cell>
          <cell r="P124">
            <v>0</v>
          </cell>
          <cell r="V124">
            <v>0</v>
          </cell>
          <cell r="AI124">
            <v>0</v>
          </cell>
        </row>
        <row r="125">
          <cell r="B125">
            <v>9</v>
          </cell>
          <cell r="C125" t="str">
            <v>041</v>
          </cell>
          <cell r="D125" t="str">
            <v>1288</v>
          </cell>
          <cell r="E125" t="str">
            <v>Charges fami. mariage, naiss.,decès, a. f... PHC</v>
          </cell>
          <cell r="F125">
            <v>0</v>
          </cell>
          <cell r="L125">
            <v>0</v>
          </cell>
          <cell r="P125">
            <v>0</v>
          </cell>
          <cell r="V125">
            <v>0</v>
          </cell>
          <cell r="AI125">
            <v>0</v>
          </cell>
        </row>
        <row r="126">
          <cell r="B126">
            <v>10</v>
          </cell>
          <cell r="C126" t="str">
            <v>041</v>
          </cell>
          <cell r="D126" t="str">
            <v>1298</v>
          </cell>
          <cell r="E126" t="str">
            <v>Autres avantages et indemnités diverses, Scolarité, Mecque etc.., Personnel Hors Cadre</v>
          </cell>
          <cell r="F126">
            <v>0</v>
          </cell>
          <cell r="L126">
            <v>0</v>
          </cell>
          <cell r="P126">
            <v>0</v>
          </cell>
          <cell r="V126">
            <v>0</v>
          </cell>
          <cell r="AI126">
            <v>0</v>
          </cell>
        </row>
        <row r="127">
          <cell r="B127">
            <v>1</v>
          </cell>
          <cell r="C127" t="str">
            <v>045</v>
          </cell>
          <cell r="D127" t="str">
            <v>1328</v>
          </cell>
          <cell r="E127" t="str">
            <v>Part patronale OS 824 PHC</v>
          </cell>
          <cell r="F127">
            <v>0</v>
          </cell>
          <cell r="L127">
            <v>0</v>
          </cell>
          <cell r="P127">
            <v>0</v>
          </cell>
          <cell r="V127">
            <v>0</v>
          </cell>
          <cell r="Z127">
            <v>91884</v>
          </cell>
          <cell r="AH127">
            <v>5964</v>
          </cell>
          <cell r="AI127">
            <v>97848</v>
          </cell>
        </row>
        <row r="128">
          <cell r="B128">
            <v>1</v>
          </cell>
          <cell r="C128" t="str">
            <v>046</v>
          </cell>
          <cell r="D128" t="str">
            <v>1338</v>
          </cell>
          <cell r="E128" t="str">
            <v>Part patronale Recore OS 824, Personnel Hors Cadre</v>
          </cell>
          <cell r="F128">
            <v>0</v>
          </cell>
          <cell r="L128">
            <v>0</v>
          </cell>
          <cell r="P128">
            <v>0</v>
          </cell>
          <cell r="V128">
            <v>0</v>
          </cell>
          <cell r="Z128">
            <v>10536</v>
          </cell>
          <cell r="AI128">
            <v>10536</v>
          </cell>
        </row>
        <row r="129">
          <cell r="B129">
            <v>1</v>
          </cell>
          <cell r="C129" t="str">
            <v>047</v>
          </cell>
          <cell r="D129" t="str">
            <v>1348</v>
          </cell>
          <cell r="E129" t="str">
            <v>Part patronale RCAR régime de base, Personnel Hors Cadre</v>
          </cell>
          <cell r="F129">
            <v>0</v>
          </cell>
          <cell r="L129">
            <v>0</v>
          </cell>
          <cell r="P129">
            <v>0</v>
          </cell>
          <cell r="V129">
            <v>0</v>
          </cell>
          <cell r="AI129">
            <v>0</v>
          </cell>
        </row>
        <row r="130">
          <cell r="B130">
            <v>1</v>
          </cell>
          <cell r="C130" t="str">
            <v>049</v>
          </cell>
          <cell r="D130" t="str">
            <v>1420</v>
          </cell>
          <cell r="E130" t="str">
            <v>Part patronale sur primes de fin d'année OS 824, Personnel permanent OET</v>
          </cell>
          <cell r="F130">
            <v>5544</v>
          </cell>
          <cell r="G130">
            <v>3672</v>
          </cell>
          <cell r="H130">
            <v>3924</v>
          </cell>
          <cell r="I130">
            <v>5604</v>
          </cell>
          <cell r="J130">
            <v>6792</v>
          </cell>
          <cell r="K130">
            <v>4608</v>
          </cell>
          <cell r="L130">
            <v>30144</v>
          </cell>
          <cell r="M130">
            <v>3372</v>
          </cell>
          <cell r="N130">
            <v>41268</v>
          </cell>
          <cell r="O130">
            <v>34164</v>
          </cell>
          <cell r="P130">
            <v>75432</v>
          </cell>
          <cell r="R130">
            <v>20268</v>
          </cell>
          <cell r="S130">
            <v>16500</v>
          </cell>
          <cell r="V130">
            <v>0</v>
          </cell>
          <cell r="W130">
            <v>3084</v>
          </cell>
          <cell r="X130">
            <v>528</v>
          </cell>
          <cell r="Y130">
            <v>14916</v>
          </cell>
          <cell r="Z130">
            <v>49764</v>
          </cell>
          <cell r="AA130">
            <v>15336</v>
          </cell>
          <cell r="AB130">
            <v>14340</v>
          </cell>
          <cell r="AC130">
            <v>624</v>
          </cell>
          <cell r="AD130">
            <v>3060</v>
          </cell>
          <cell r="AE130">
            <v>3240</v>
          </cell>
          <cell r="AF130">
            <v>132</v>
          </cell>
          <cell r="AG130">
            <v>12324</v>
          </cell>
          <cell r="AH130">
            <v>16680</v>
          </cell>
          <cell r="AI130">
            <v>279744</v>
          </cell>
        </row>
        <row r="131">
          <cell r="B131">
            <v>2</v>
          </cell>
          <cell r="C131" t="str">
            <v>049</v>
          </cell>
          <cell r="D131" t="str">
            <v>1421</v>
          </cell>
          <cell r="E131" t="str">
            <v>Part patronale sur primes de fin d'année OS 824, Personnel permanent OEB</v>
          </cell>
          <cell r="F131">
            <v>0</v>
          </cell>
          <cell r="L131">
            <v>0</v>
          </cell>
          <cell r="P131">
            <v>0</v>
          </cell>
          <cell r="V131">
            <v>0</v>
          </cell>
          <cell r="AI131">
            <v>0</v>
          </cell>
        </row>
        <row r="132">
          <cell r="B132">
            <v>3</v>
          </cell>
          <cell r="C132" t="str">
            <v>049</v>
          </cell>
          <cell r="D132" t="str">
            <v>1422</v>
          </cell>
          <cell r="E132" t="str">
            <v>Part patronale sur primes de fin d'année OS 824, Personnel permanent OEJ</v>
          </cell>
          <cell r="F132">
            <v>0</v>
          </cell>
          <cell r="L132">
            <v>0</v>
          </cell>
          <cell r="P132">
            <v>0</v>
          </cell>
          <cell r="V132">
            <v>0</v>
          </cell>
          <cell r="AI132">
            <v>0</v>
          </cell>
        </row>
        <row r="133">
          <cell r="B133">
            <v>4</v>
          </cell>
          <cell r="C133" t="str">
            <v>049</v>
          </cell>
          <cell r="D133" t="str">
            <v>1423</v>
          </cell>
          <cell r="E133" t="str">
            <v>Part patronale sur primes de fin d'année OS 824, Personnel permanent OEF</v>
          </cell>
          <cell r="F133">
            <v>0</v>
          </cell>
          <cell r="L133">
            <v>0</v>
          </cell>
          <cell r="P133">
            <v>0</v>
          </cell>
          <cell r="V133">
            <v>0</v>
          </cell>
          <cell r="AI133">
            <v>0</v>
          </cell>
        </row>
        <row r="134">
          <cell r="B134">
            <v>5</v>
          </cell>
          <cell r="C134" t="str">
            <v>049</v>
          </cell>
          <cell r="D134" t="str">
            <v>1424</v>
          </cell>
          <cell r="E134" t="str">
            <v>Part patronale sur primes fin d'année OS 824, Personnel permanent appoints</v>
          </cell>
          <cell r="F134">
            <v>0</v>
          </cell>
          <cell r="L134">
            <v>0</v>
          </cell>
          <cell r="P134">
            <v>0</v>
          </cell>
          <cell r="V134">
            <v>0</v>
          </cell>
          <cell r="AI134">
            <v>0</v>
          </cell>
        </row>
        <row r="135">
          <cell r="B135">
            <v>6</v>
          </cell>
          <cell r="C135" t="str">
            <v>049</v>
          </cell>
          <cell r="D135" t="str">
            <v>1425</v>
          </cell>
          <cell r="E135" t="str">
            <v>Part patronale sur primes de fin d'année OS 824, Personnel permanent OEM</v>
          </cell>
          <cell r="F135">
            <v>0</v>
          </cell>
          <cell r="L135">
            <v>0</v>
          </cell>
          <cell r="P135">
            <v>0</v>
          </cell>
          <cell r="V135">
            <v>0</v>
          </cell>
          <cell r="AI135">
            <v>0</v>
          </cell>
        </row>
        <row r="136">
          <cell r="B136">
            <v>7</v>
          </cell>
          <cell r="C136" t="str">
            <v>049</v>
          </cell>
          <cell r="D136" t="str">
            <v>1426</v>
          </cell>
          <cell r="E136" t="str">
            <v>Part patronale sur primes de fin d'année OS 824, Personnel permanent TAMCA</v>
          </cell>
          <cell r="F136">
            <v>0</v>
          </cell>
          <cell r="L136">
            <v>0</v>
          </cell>
          <cell r="P136">
            <v>0</v>
          </cell>
          <cell r="V136">
            <v>0</v>
          </cell>
          <cell r="AI136">
            <v>0</v>
          </cell>
        </row>
        <row r="137">
          <cell r="B137">
            <v>8</v>
          </cell>
          <cell r="C137" t="str">
            <v>049</v>
          </cell>
          <cell r="D137" t="str">
            <v>1428</v>
          </cell>
          <cell r="E137" t="str">
            <v>Part patronale sur primes de fin d'année OS 824, Personnel permanent HC</v>
          </cell>
          <cell r="F137">
            <v>0</v>
          </cell>
          <cell r="L137">
            <v>0</v>
          </cell>
          <cell r="P137">
            <v>0</v>
          </cell>
          <cell r="V137">
            <v>0</v>
          </cell>
          <cell r="AI137">
            <v>0</v>
          </cell>
        </row>
        <row r="138">
          <cell r="B138">
            <v>1</v>
          </cell>
          <cell r="C138" t="str">
            <v>051</v>
          </cell>
          <cell r="D138" t="str">
            <v>1111</v>
          </cell>
          <cell r="E138" t="str">
            <v>Heures supplémentaires, Personnel OEB</v>
          </cell>
          <cell r="F138">
            <v>0</v>
          </cell>
          <cell r="L138">
            <v>0</v>
          </cell>
          <cell r="P138">
            <v>0</v>
          </cell>
          <cell r="V138">
            <v>0</v>
          </cell>
          <cell r="AH138">
            <v>14100</v>
          </cell>
          <cell r="AI138">
            <v>14100</v>
          </cell>
        </row>
        <row r="139">
          <cell r="B139">
            <v>1</v>
          </cell>
          <cell r="C139" t="str">
            <v>052</v>
          </cell>
          <cell r="D139" t="str">
            <v>1112</v>
          </cell>
          <cell r="E139" t="str">
            <v>Heures supplémentaires, Personnel OEJ</v>
          </cell>
          <cell r="F139">
            <v>0</v>
          </cell>
          <cell r="L139">
            <v>0</v>
          </cell>
          <cell r="M139">
            <v>684</v>
          </cell>
          <cell r="P139">
            <v>0</v>
          </cell>
          <cell r="V139">
            <v>0</v>
          </cell>
          <cell r="X139">
            <v>9396</v>
          </cell>
          <cell r="Y139">
            <v>19236</v>
          </cell>
          <cell r="Z139">
            <v>11172</v>
          </cell>
          <cell r="AA139">
            <v>108576</v>
          </cell>
          <cell r="AB139">
            <v>80282</v>
          </cell>
          <cell r="AC139">
            <v>79524</v>
          </cell>
          <cell r="AD139">
            <v>7176</v>
          </cell>
          <cell r="AE139">
            <v>16824</v>
          </cell>
          <cell r="AF139">
            <v>30996</v>
          </cell>
          <cell r="AG139">
            <v>47808</v>
          </cell>
          <cell r="AH139">
            <v>106440</v>
          </cell>
          <cell r="AI139">
            <v>518114</v>
          </cell>
        </row>
        <row r="140">
          <cell r="B140">
            <v>1</v>
          </cell>
          <cell r="C140" t="str">
            <v>053</v>
          </cell>
          <cell r="D140" t="str">
            <v>1113</v>
          </cell>
          <cell r="E140" t="str">
            <v>Heures supplementaires, Personnel OEF</v>
          </cell>
          <cell r="F140">
            <v>22812</v>
          </cell>
          <cell r="G140">
            <v>37404</v>
          </cell>
          <cell r="H140">
            <v>24504</v>
          </cell>
          <cell r="I140">
            <v>29844</v>
          </cell>
          <cell r="J140">
            <v>28824</v>
          </cell>
          <cell r="K140">
            <v>34812</v>
          </cell>
          <cell r="L140">
            <v>178200</v>
          </cell>
          <cell r="M140">
            <v>51180</v>
          </cell>
          <cell r="N140">
            <v>54948</v>
          </cell>
          <cell r="O140">
            <v>89220</v>
          </cell>
          <cell r="P140">
            <v>144168</v>
          </cell>
          <cell r="R140">
            <v>98244</v>
          </cell>
          <cell r="S140">
            <v>132408</v>
          </cell>
          <cell r="V140">
            <v>0</v>
          </cell>
          <cell r="W140">
            <v>32352</v>
          </cell>
          <cell r="X140">
            <v>30648</v>
          </cell>
          <cell r="Y140">
            <v>98184</v>
          </cell>
          <cell r="Z140">
            <v>18204</v>
          </cell>
          <cell r="AA140">
            <v>5592</v>
          </cell>
          <cell r="AB140">
            <v>31812</v>
          </cell>
          <cell r="AC140">
            <v>21876</v>
          </cell>
          <cell r="AD140">
            <v>1872</v>
          </cell>
          <cell r="AE140">
            <v>19080</v>
          </cell>
          <cell r="AF140">
            <v>9480</v>
          </cell>
          <cell r="AG140">
            <v>99096</v>
          </cell>
          <cell r="AH140">
            <v>91872</v>
          </cell>
          <cell r="AI140">
            <v>1064268</v>
          </cell>
        </row>
        <row r="141">
          <cell r="B141">
            <v>1</v>
          </cell>
          <cell r="C141" t="str">
            <v>054</v>
          </cell>
          <cell r="D141" t="str">
            <v>1114</v>
          </cell>
          <cell r="E141" t="str">
            <v>Heures supplémentaires des appoints</v>
          </cell>
          <cell r="F141">
            <v>0</v>
          </cell>
          <cell r="L141">
            <v>0</v>
          </cell>
          <cell r="P141">
            <v>0</v>
          </cell>
          <cell r="V141">
            <v>0</v>
          </cell>
          <cell r="AI141">
            <v>0</v>
          </cell>
        </row>
        <row r="142">
          <cell r="B142">
            <v>1</v>
          </cell>
          <cell r="C142" t="str">
            <v>055</v>
          </cell>
          <cell r="D142" t="str">
            <v>1115</v>
          </cell>
          <cell r="E142" t="str">
            <v>Heures supplementaires, Personnel OEM</v>
          </cell>
          <cell r="F142">
            <v>0</v>
          </cell>
          <cell r="L142">
            <v>0</v>
          </cell>
          <cell r="P142">
            <v>0</v>
          </cell>
          <cell r="V142">
            <v>0</v>
          </cell>
          <cell r="AI142">
            <v>0</v>
          </cell>
        </row>
        <row r="143">
          <cell r="B143">
            <v>1</v>
          </cell>
          <cell r="C143" t="str">
            <v>056</v>
          </cell>
          <cell r="D143" t="str">
            <v>1116</v>
          </cell>
          <cell r="E143" t="str">
            <v>Heures supplementaires, Personnel TAMCA</v>
          </cell>
          <cell r="F143">
            <v>0</v>
          </cell>
          <cell r="G143">
            <v>19428</v>
          </cell>
          <cell r="H143">
            <v>9828</v>
          </cell>
          <cell r="I143">
            <v>2736</v>
          </cell>
          <cell r="J143">
            <v>7608</v>
          </cell>
          <cell r="K143">
            <v>13932</v>
          </cell>
          <cell r="L143">
            <v>53532</v>
          </cell>
          <cell r="M143">
            <v>10668</v>
          </cell>
          <cell r="N143">
            <v>90732</v>
          </cell>
          <cell r="O143">
            <v>94440</v>
          </cell>
          <cell r="P143">
            <v>185172</v>
          </cell>
          <cell r="R143">
            <v>17496</v>
          </cell>
          <cell r="S143">
            <v>71784</v>
          </cell>
          <cell r="V143">
            <v>0</v>
          </cell>
          <cell r="W143">
            <v>3912</v>
          </cell>
          <cell r="Y143">
            <v>12636</v>
          </cell>
          <cell r="Z143">
            <v>23160</v>
          </cell>
          <cell r="AA143">
            <v>18660</v>
          </cell>
          <cell r="AB143">
            <v>12132</v>
          </cell>
          <cell r="AE143">
            <v>6360</v>
          </cell>
          <cell r="AF143">
            <v>5544</v>
          </cell>
          <cell r="AG143">
            <v>20040</v>
          </cell>
          <cell r="AI143">
            <v>441096</v>
          </cell>
        </row>
        <row r="144">
          <cell r="B144">
            <v>1</v>
          </cell>
          <cell r="C144" t="str">
            <v>060</v>
          </cell>
          <cell r="D144" t="str">
            <v>1120</v>
          </cell>
          <cell r="E144" t="str">
            <v>Primes annuelles, Personnel tâcherons</v>
          </cell>
          <cell r="F144">
            <v>140856</v>
          </cell>
          <cell r="G144">
            <v>161148</v>
          </cell>
          <cell r="H144">
            <v>151872</v>
          </cell>
          <cell r="I144">
            <v>143004</v>
          </cell>
          <cell r="J144">
            <v>144780</v>
          </cell>
          <cell r="K144">
            <v>170736</v>
          </cell>
          <cell r="L144">
            <v>912396</v>
          </cell>
          <cell r="M144">
            <v>75516</v>
          </cell>
          <cell r="N144">
            <v>867036</v>
          </cell>
          <cell r="O144">
            <v>978744</v>
          </cell>
          <cell r="P144">
            <v>1845780</v>
          </cell>
          <cell r="R144">
            <v>336300</v>
          </cell>
          <cell r="V144">
            <v>0</v>
          </cell>
          <cell r="W144">
            <v>21084</v>
          </cell>
          <cell r="Y144">
            <v>1548</v>
          </cell>
          <cell r="Z144">
            <v>9348</v>
          </cell>
          <cell r="AB144">
            <v>1404</v>
          </cell>
          <cell r="AC144">
            <v>9252</v>
          </cell>
          <cell r="AE144">
            <v>2136</v>
          </cell>
          <cell r="AG144">
            <v>42360</v>
          </cell>
          <cell r="AH144">
            <v>43056</v>
          </cell>
          <cell r="AI144">
            <v>3300180</v>
          </cell>
        </row>
        <row r="145">
          <cell r="B145">
            <v>1</v>
          </cell>
          <cell r="C145" t="str">
            <v>061</v>
          </cell>
          <cell r="D145" t="str">
            <v>1121</v>
          </cell>
          <cell r="E145" t="str">
            <v>Primes annuelles personnel OEB</v>
          </cell>
          <cell r="F145">
            <v>0</v>
          </cell>
          <cell r="L145">
            <v>0</v>
          </cell>
          <cell r="P145">
            <v>0</v>
          </cell>
          <cell r="V145">
            <v>0</v>
          </cell>
          <cell r="AH145">
            <v>18960</v>
          </cell>
          <cell r="AI145">
            <v>18960</v>
          </cell>
        </row>
        <row r="146">
          <cell r="B146">
            <v>1</v>
          </cell>
          <cell r="C146" t="str">
            <v>062</v>
          </cell>
          <cell r="D146" t="str">
            <v>1122</v>
          </cell>
          <cell r="E146" t="str">
            <v>Primes annuelles personnel OEJ</v>
          </cell>
          <cell r="F146">
            <v>0</v>
          </cell>
          <cell r="L146">
            <v>0</v>
          </cell>
          <cell r="P146">
            <v>0</v>
          </cell>
          <cell r="V146">
            <v>0</v>
          </cell>
          <cell r="X146">
            <v>11196</v>
          </cell>
          <cell r="Y146">
            <v>25488</v>
          </cell>
          <cell r="Z146">
            <v>23292</v>
          </cell>
          <cell r="AA146">
            <v>185520</v>
          </cell>
          <cell r="AB146">
            <v>98004</v>
          </cell>
          <cell r="AC146">
            <v>83976</v>
          </cell>
          <cell r="AD146">
            <v>52920</v>
          </cell>
          <cell r="AE146">
            <v>38316</v>
          </cell>
          <cell r="AF146">
            <v>52308</v>
          </cell>
          <cell r="AG146">
            <v>90636</v>
          </cell>
          <cell r="AH146">
            <v>123720</v>
          </cell>
          <cell r="AI146">
            <v>785376</v>
          </cell>
        </row>
        <row r="147">
          <cell r="B147">
            <v>1</v>
          </cell>
          <cell r="C147" t="str">
            <v>063</v>
          </cell>
          <cell r="D147" t="str">
            <v>1123</v>
          </cell>
          <cell r="E147" t="str">
            <v>Primes annuelles personnel OEF</v>
          </cell>
          <cell r="F147">
            <v>84600</v>
          </cell>
          <cell r="G147">
            <v>83544</v>
          </cell>
          <cell r="H147">
            <v>74700</v>
          </cell>
          <cell r="I147">
            <v>82368</v>
          </cell>
          <cell r="J147">
            <v>71052</v>
          </cell>
          <cell r="K147">
            <v>87432</v>
          </cell>
          <cell r="L147">
            <v>483696</v>
          </cell>
          <cell r="M147">
            <v>82452</v>
          </cell>
          <cell r="N147">
            <v>322368</v>
          </cell>
          <cell r="O147">
            <v>398820</v>
          </cell>
          <cell r="P147">
            <v>721188</v>
          </cell>
          <cell r="R147">
            <v>457236</v>
          </cell>
          <cell r="S147">
            <v>330192</v>
          </cell>
          <cell r="V147">
            <v>0</v>
          </cell>
          <cell r="W147">
            <v>71700</v>
          </cell>
          <cell r="X147">
            <v>26832</v>
          </cell>
          <cell r="Y147">
            <v>209976</v>
          </cell>
          <cell r="Z147">
            <v>52224</v>
          </cell>
          <cell r="AA147">
            <v>9984</v>
          </cell>
          <cell r="AB147">
            <v>45228</v>
          </cell>
          <cell r="AC147">
            <v>19800</v>
          </cell>
          <cell r="AD147">
            <v>12444</v>
          </cell>
          <cell r="AE147">
            <v>36840</v>
          </cell>
          <cell r="AF147">
            <v>12024</v>
          </cell>
          <cell r="AG147">
            <v>166344</v>
          </cell>
          <cell r="AH147">
            <v>100476</v>
          </cell>
          <cell r="AI147">
            <v>2838636</v>
          </cell>
        </row>
        <row r="148">
          <cell r="B148">
            <v>1</v>
          </cell>
          <cell r="C148" t="str">
            <v>064</v>
          </cell>
          <cell r="D148" t="str">
            <v>1125</v>
          </cell>
          <cell r="E148" t="str">
            <v>Primes annuelles personnel OEM</v>
          </cell>
          <cell r="F148">
            <v>0</v>
          </cell>
          <cell r="L148">
            <v>0</v>
          </cell>
          <cell r="P148">
            <v>0</v>
          </cell>
          <cell r="V148">
            <v>0</v>
          </cell>
          <cell r="AI148">
            <v>0</v>
          </cell>
        </row>
        <row r="149">
          <cell r="B149">
            <v>1</v>
          </cell>
          <cell r="C149" t="str">
            <v>065</v>
          </cell>
          <cell r="D149" t="str">
            <v>1126</v>
          </cell>
          <cell r="E149" t="str">
            <v>Primes annuelles personnel TAMCA</v>
          </cell>
          <cell r="F149">
            <v>0</v>
          </cell>
          <cell r="G149">
            <v>22092</v>
          </cell>
          <cell r="H149">
            <v>10296</v>
          </cell>
          <cell r="I149">
            <v>3972</v>
          </cell>
          <cell r="J149">
            <v>10080</v>
          </cell>
          <cell r="K149">
            <v>14820</v>
          </cell>
          <cell r="L149">
            <v>61260</v>
          </cell>
          <cell r="M149">
            <v>15336</v>
          </cell>
          <cell r="N149">
            <v>128892</v>
          </cell>
          <cell r="O149">
            <v>116352</v>
          </cell>
          <cell r="P149">
            <v>245244</v>
          </cell>
          <cell r="R149">
            <v>19068</v>
          </cell>
          <cell r="S149">
            <v>91152</v>
          </cell>
          <cell r="V149">
            <v>0</v>
          </cell>
          <cell r="W149">
            <v>18144</v>
          </cell>
          <cell r="Y149">
            <v>30708</v>
          </cell>
          <cell r="Z149">
            <v>38376</v>
          </cell>
          <cell r="AA149">
            <v>45432</v>
          </cell>
          <cell r="AB149">
            <v>18648</v>
          </cell>
          <cell r="AE149">
            <v>15144</v>
          </cell>
          <cell r="AF149">
            <v>19512</v>
          </cell>
          <cell r="AG149">
            <v>39972</v>
          </cell>
          <cell r="AI149">
            <v>657996</v>
          </cell>
        </row>
        <row r="150">
          <cell r="B150">
            <v>1</v>
          </cell>
          <cell r="C150" t="str">
            <v>066</v>
          </cell>
          <cell r="D150" t="str">
            <v>1600</v>
          </cell>
          <cell r="E150" t="str">
            <v>Part patronale mutuelle et prestation personnel permanent OET</v>
          </cell>
          <cell r="F150">
            <v>0</v>
          </cell>
          <cell r="L150">
            <v>0</v>
          </cell>
          <cell r="P150">
            <v>0</v>
          </cell>
          <cell r="V150">
            <v>0</v>
          </cell>
          <cell r="AI150">
            <v>0</v>
          </cell>
        </row>
        <row r="151">
          <cell r="B151">
            <v>2</v>
          </cell>
          <cell r="C151" t="str">
            <v>066</v>
          </cell>
          <cell r="D151" t="str">
            <v>1601</v>
          </cell>
          <cell r="E151" t="str">
            <v>Part patronale mutuelle et prestation personnel permanent OEB</v>
          </cell>
          <cell r="F151">
            <v>0</v>
          </cell>
          <cell r="L151">
            <v>0</v>
          </cell>
          <cell r="P151">
            <v>0</v>
          </cell>
          <cell r="V151">
            <v>0</v>
          </cell>
          <cell r="AI151">
            <v>0</v>
          </cell>
        </row>
        <row r="152">
          <cell r="B152">
            <v>3</v>
          </cell>
          <cell r="C152" t="str">
            <v>066</v>
          </cell>
          <cell r="D152" t="str">
            <v>1602</v>
          </cell>
          <cell r="E152" t="str">
            <v>Part patronale mutuelle et prestation personnel permanent OEJ</v>
          </cell>
          <cell r="F152">
            <v>0</v>
          </cell>
          <cell r="L152">
            <v>0</v>
          </cell>
          <cell r="P152">
            <v>0</v>
          </cell>
          <cell r="V152">
            <v>0</v>
          </cell>
          <cell r="AI152">
            <v>0</v>
          </cell>
        </row>
        <row r="153">
          <cell r="B153">
            <v>4</v>
          </cell>
          <cell r="C153" t="str">
            <v>066</v>
          </cell>
          <cell r="D153" t="str">
            <v>1603</v>
          </cell>
          <cell r="E153" t="str">
            <v>Part patronale mutuelle et prestation personnel permanent OEF</v>
          </cell>
          <cell r="F153">
            <v>0</v>
          </cell>
          <cell r="L153">
            <v>0</v>
          </cell>
          <cell r="P153">
            <v>0</v>
          </cell>
          <cell r="V153">
            <v>0</v>
          </cell>
          <cell r="AI153">
            <v>0</v>
          </cell>
        </row>
        <row r="154">
          <cell r="B154">
            <v>5</v>
          </cell>
          <cell r="C154" t="str">
            <v>066</v>
          </cell>
          <cell r="D154" t="str">
            <v>1604</v>
          </cell>
          <cell r="E154" t="str">
            <v>Part patronale mutuelle et prestation personnel permanent appoints</v>
          </cell>
          <cell r="F154">
            <v>0</v>
          </cell>
          <cell r="L154">
            <v>0</v>
          </cell>
          <cell r="P154">
            <v>0</v>
          </cell>
          <cell r="V154">
            <v>0</v>
          </cell>
          <cell r="AI154">
            <v>0</v>
          </cell>
        </row>
        <row r="155">
          <cell r="B155">
            <v>6</v>
          </cell>
          <cell r="C155" t="str">
            <v>066</v>
          </cell>
          <cell r="D155" t="str">
            <v>1605</v>
          </cell>
          <cell r="E155" t="str">
            <v>Part patronale mutuelle et prestation personnel permanent OEM</v>
          </cell>
          <cell r="F155">
            <v>0</v>
          </cell>
          <cell r="L155">
            <v>0</v>
          </cell>
          <cell r="P155">
            <v>0</v>
          </cell>
          <cell r="V155">
            <v>0</v>
          </cell>
          <cell r="AI155">
            <v>0</v>
          </cell>
        </row>
        <row r="156">
          <cell r="B156">
            <v>7</v>
          </cell>
          <cell r="C156" t="str">
            <v>066</v>
          </cell>
          <cell r="D156" t="str">
            <v>1606</v>
          </cell>
          <cell r="E156" t="str">
            <v>Part patronale mutuelle et prestation personnel permanent TAMCA</v>
          </cell>
          <cell r="F156">
            <v>0</v>
          </cell>
          <cell r="L156">
            <v>0</v>
          </cell>
          <cell r="P156">
            <v>0</v>
          </cell>
          <cell r="V156">
            <v>0</v>
          </cell>
          <cell r="AI156">
            <v>0</v>
          </cell>
        </row>
        <row r="157">
          <cell r="B157">
            <v>8</v>
          </cell>
          <cell r="C157" t="str">
            <v>066</v>
          </cell>
          <cell r="D157" t="str">
            <v>1608</v>
          </cell>
          <cell r="E157" t="str">
            <v>Part patronale mutuelle et prestation, Personnel permanent HC</v>
          </cell>
          <cell r="F157">
            <v>0</v>
          </cell>
          <cell r="L157">
            <v>0</v>
          </cell>
          <cell r="P157">
            <v>0</v>
          </cell>
          <cell r="V157">
            <v>0</v>
          </cell>
          <cell r="AI157">
            <v>0</v>
          </cell>
        </row>
        <row r="158">
          <cell r="B158">
            <v>1</v>
          </cell>
          <cell r="C158" t="str">
            <v>067</v>
          </cell>
          <cell r="D158" t="str">
            <v>1610</v>
          </cell>
          <cell r="E158" t="str">
            <v>Part patronale mutuelle accident de travail, Personnel OET</v>
          </cell>
          <cell r="F158">
            <v>0</v>
          </cell>
          <cell r="L158">
            <v>0</v>
          </cell>
          <cell r="P158">
            <v>0</v>
          </cell>
          <cell r="V158">
            <v>0</v>
          </cell>
          <cell r="AI158">
            <v>0</v>
          </cell>
        </row>
        <row r="159">
          <cell r="B159">
            <v>2</v>
          </cell>
          <cell r="C159" t="str">
            <v>067</v>
          </cell>
          <cell r="D159" t="str">
            <v>1611</v>
          </cell>
          <cell r="E159" t="str">
            <v>Part patronale mutuelle accident de travail, Personnel OEB</v>
          </cell>
          <cell r="F159">
            <v>0</v>
          </cell>
          <cell r="L159">
            <v>0</v>
          </cell>
          <cell r="P159">
            <v>0</v>
          </cell>
          <cell r="V159">
            <v>0</v>
          </cell>
          <cell r="AI159">
            <v>0</v>
          </cell>
        </row>
        <row r="160">
          <cell r="B160">
            <v>3</v>
          </cell>
          <cell r="C160" t="str">
            <v>067</v>
          </cell>
          <cell r="D160" t="str">
            <v>1612</v>
          </cell>
          <cell r="E160" t="str">
            <v>Part patronale mutuelle accident de travail, Personnel OEJ</v>
          </cell>
          <cell r="F160">
            <v>0</v>
          </cell>
          <cell r="L160">
            <v>0</v>
          </cell>
          <cell r="P160">
            <v>0</v>
          </cell>
          <cell r="V160">
            <v>0</v>
          </cell>
          <cell r="AI160">
            <v>0</v>
          </cell>
        </row>
        <row r="161">
          <cell r="B161">
            <v>4</v>
          </cell>
          <cell r="C161" t="str">
            <v>067</v>
          </cell>
          <cell r="D161" t="str">
            <v>1613</v>
          </cell>
          <cell r="E161" t="str">
            <v>Part patronale mutuelle accident de travail, personnel OEF</v>
          </cell>
          <cell r="F161">
            <v>0</v>
          </cell>
          <cell r="L161">
            <v>0</v>
          </cell>
          <cell r="P161">
            <v>0</v>
          </cell>
          <cell r="V161">
            <v>0</v>
          </cell>
          <cell r="AI161">
            <v>0</v>
          </cell>
        </row>
        <row r="162">
          <cell r="B162">
            <v>5</v>
          </cell>
          <cell r="C162" t="str">
            <v>067</v>
          </cell>
          <cell r="D162" t="str">
            <v>1614</v>
          </cell>
          <cell r="E162" t="str">
            <v>Part patronale mutuelle accident de travail, Personnel appoints</v>
          </cell>
          <cell r="F162">
            <v>0</v>
          </cell>
          <cell r="L162">
            <v>0</v>
          </cell>
          <cell r="P162">
            <v>0</v>
          </cell>
          <cell r="V162">
            <v>0</v>
          </cell>
          <cell r="AI162">
            <v>0</v>
          </cell>
        </row>
        <row r="163">
          <cell r="B163">
            <v>6</v>
          </cell>
          <cell r="C163" t="str">
            <v>067</v>
          </cell>
          <cell r="D163" t="str">
            <v>1615</v>
          </cell>
          <cell r="E163" t="str">
            <v>Part patronale mutuelle accident de travail, Personnel OEM</v>
          </cell>
          <cell r="F163">
            <v>0</v>
          </cell>
          <cell r="L163">
            <v>0</v>
          </cell>
          <cell r="P163">
            <v>0</v>
          </cell>
          <cell r="V163">
            <v>0</v>
          </cell>
          <cell r="AI163">
            <v>0</v>
          </cell>
        </row>
        <row r="164">
          <cell r="B164">
            <v>7</v>
          </cell>
          <cell r="C164" t="str">
            <v>067</v>
          </cell>
          <cell r="D164" t="str">
            <v>1616</v>
          </cell>
          <cell r="E164" t="str">
            <v>Part patronale mutuelle accident de travail, Personnel TAMCA</v>
          </cell>
          <cell r="F164">
            <v>0</v>
          </cell>
          <cell r="L164">
            <v>0</v>
          </cell>
          <cell r="P164">
            <v>0</v>
          </cell>
          <cell r="V164">
            <v>0</v>
          </cell>
          <cell r="AI164">
            <v>0</v>
          </cell>
        </row>
        <row r="165">
          <cell r="B165">
            <v>8</v>
          </cell>
          <cell r="C165" t="str">
            <v>067</v>
          </cell>
          <cell r="D165" t="str">
            <v>1618</v>
          </cell>
          <cell r="E165" t="str">
            <v>Part patronale mutuelle accident de travail PHC</v>
          </cell>
          <cell r="F165">
            <v>0</v>
          </cell>
          <cell r="L165">
            <v>0</v>
          </cell>
          <cell r="P165">
            <v>0</v>
          </cell>
          <cell r="V165">
            <v>0</v>
          </cell>
          <cell r="AI165">
            <v>0</v>
          </cell>
        </row>
        <row r="166">
          <cell r="B166">
            <v>1</v>
          </cell>
          <cell r="C166" t="str">
            <v>068</v>
          </cell>
          <cell r="D166" t="str">
            <v>1620</v>
          </cell>
          <cell r="E166" t="str">
            <v>Part patronale mutuelle décés invalidité, Personnel permanent OET</v>
          </cell>
          <cell r="F166">
            <v>0</v>
          </cell>
          <cell r="L166">
            <v>0</v>
          </cell>
          <cell r="P166">
            <v>0</v>
          </cell>
          <cell r="V166">
            <v>0</v>
          </cell>
          <cell r="Z166">
            <v>1896</v>
          </cell>
          <cell r="AH166">
            <v>120</v>
          </cell>
          <cell r="AI166">
            <v>2016</v>
          </cell>
        </row>
        <row r="167">
          <cell r="B167">
            <v>2</v>
          </cell>
          <cell r="C167" t="str">
            <v>068</v>
          </cell>
          <cell r="D167" t="str">
            <v>1621</v>
          </cell>
          <cell r="E167" t="str">
            <v>Part patronale mutuelle décés invalidité, Personnel permanent OEB</v>
          </cell>
          <cell r="F167">
            <v>0</v>
          </cell>
          <cell r="L167">
            <v>0</v>
          </cell>
          <cell r="P167">
            <v>0</v>
          </cell>
          <cell r="V167">
            <v>0</v>
          </cell>
          <cell r="AI167">
            <v>0</v>
          </cell>
        </row>
        <row r="168">
          <cell r="B168">
            <v>3</v>
          </cell>
          <cell r="C168" t="str">
            <v>068</v>
          </cell>
          <cell r="D168" t="str">
            <v>1622</v>
          </cell>
          <cell r="E168" t="str">
            <v>Part patronale mutuelle décés invalidité, Personnel permanent OEJ</v>
          </cell>
          <cell r="F168">
            <v>0</v>
          </cell>
          <cell r="L168">
            <v>0</v>
          </cell>
          <cell r="P168">
            <v>0</v>
          </cell>
          <cell r="V168">
            <v>0</v>
          </cell>
          <cell r="AI168">
            <v>0</v>
          </cell>
        </row>
        <row r="169">
          <cell r="B169">
            <v>4</v>
          </cell>
          <cell r="C169" t="str">
            <v>068</v>
          </cell>
          <cell r="D169" t="str">
            <v>1623</v>
          </cell>
          <cell r="E169" t="str">
            <v>Part patronale mutuelle décés invalidité, Personnel permanent OEF</v>
          </cell>
          <cell r="F169">
            <v>0</v>
          </cell>
          <cell r="L169">
            <v>0</v>
          </cell>
          <cell r="P169">
            <v>0</v>
          </cell>
          <cell r="V169">
            <v>0</v>
          </cell>
          <cell r="AI169">
            <v>0</v>
          </cell>
        </row>
        <row r="170">
          <cell r="B170">
            <v>5</v>
          </cell>
          <cell r="C170" t="str">
            <v>068</v>
          </cell>
          <cell r="D170" t="str">
            <v>1624</v>
          </cell>
          <cell r="E170" t="str">
            <v>Part patronale mutuelle décés invalidité, Personnel permanent appoints</v>
          </cell>
          <cell r="F170">
            <v>0</v>
          </cell>
          <cell r="L170">
            <v>0</v>
          </cell>
          <cell r="P170">
            <v>0</v>
          </cell>
          <cell r="V170">
            <v>0</v>
          </cell>
          <cell r="AI170">
            <v>0</v>
          </cell>
        </row>
        <row r="171">
          <cell r="B171">
            <v>6</v>
          </cell>
          <cell r="C171" t="str">
            <v>068</v>
          </cell>
          <cell r="D171" t="str">
            <v>1625</v>
          </cell>
          <cell r="E171" t="str">
            <v>Part patronale mutuelle décés invalidité, Personnel permanent OEM</v>
          </cell>
          <cell r="F171">
            <v>0</v>
          </cell>
          <cell r="L171">
            <v>0</v>
          </cell>
          <cell r="P171">
            <v>0</v>
          </cell>
          <cell r="V171">
            <v>0</v>
          </cell>
          <cell r="AI171">
            <v>0</v>
          </cell>
        </row>
        <row r="172">
          <cell r="B172">
            <v>7</v>
          </cell>
          <cell r="C172" t="str">
            <v>068</v>
          </cell>
          <cell r="D172" t="str">
            <v>1626</v>
          </cell>
          <cell r="E172" t="str">
            <v>Part patronale mutuelle décés invalidité, Personnel permanent TAMCA</v>
          </cell>
          <cell r="F172">
            <v>0</v>
          </cell>
          <cell r="L172">
            <v>0</v>
          </cell>
          <cell r="P172">
            <v>0</v>
          </cell>
          <cell r="V172">
            <v>0</v>
          </cell>
          <cell r="AI172">
            <v>0</v>
          </cell>
        </row>
        <row r="173">
          <cell r="B173">
            <v>8</v>
          </cell>
          <cell r="C173" t="str">
            <v>068</v>
          </cell>
          <cell r="D173" t="str">
            <v>1628</v>
          </cell>
          <cell r="E173" t="str">
            <v>Part patronale mutuelle décés invalidité, Personnel permanent HC</v>
          </cell>
          <cell r="F173">
            <v>0</v>
          </cell>
          <cell r="L173">
            <v>0</v>
          </cell>
          <cell r="P173">
            <v>0</v>
          </cell>
          <cell r="V173">
            <v>0</v>
          </cell>
          <cell r="AI173">
            <v>0</v>
          </cell>
        </row>
        <row r="174">
          <cell r="B174">
            <v>1</v>
          </cell>
          <cell r="C174" t="str">
            <v>069</v>
          </cell>
          <cell r="D174" t="str">
            <v>1630</v>
          </cell>
          <cell r="E174" t="str">
            <v>P.P. mutuelle décés invalidité personnel retraité OET</v>
          </cell>
          <cell r="F174">
            <v>0</v>
          </cell>
          <cell r="L174">
            <v>0</v>
          </cell>
          <cell r="P174">
            <v>0</v>
          </cell>
          <cell r="V174">
            <v>0</v>
          </cell>
          <cell r="AI174">
            <v>0</v>
          </cell>
        </row>
        <row r="175">
          <cell r="B175">
            <v>2</v>
          </cell>
          <cell r="C175" t="str">
            <v>069</v>
          </cell>
          <cell r="D175" t="str">
            <v>1631</v>
          </cell>
          <cell r="E175" t="str">
            <v>P.P. mutuelle décés invalidité personnel retraité OEB</v>
          </cell>
          <cell r="F175">
            <v>0</v>
          </cell>
          <cell r="L175">
            <v>0</v>
          </cell>
          <cell r="P175">
            <v>0</v>
          </cell>
          <cell r="V175">
            <v>0</v>
          </cell>
          <cell r="AI175">
            <v>0</v>
          </cell>
        </row>
        <row r="176">
          <cell r="B176">
            <v>3</v>
          </cell>
          <cell r="C176" t="str">
            <v>069</v>
          </cell>
          <cell r="D176" t="str">
            <v>1632</v>
          </cell>
          <cell r="E176" t="str">
            <v>P.P. mutuelle décés invalidité personnel retraité OEJ</v>
          </cell>
          <cell r="F176">
            <v>0</v>
          </cell>
          <cell r="L176">
            <v>0</v>
          </cell>
          <cell r="P176">
            <v>0</v>
          </cell>
          <cell r="V176">
            <v>0</v>
          </cell>
          <cell r="AI176">
            <v>0</v>
          </cell>
        </row>
        <row r="177">
          <cell r="B177">
            <v>4</v>
          </cell>
          <cell r="C177" t="str">
            <v>069</v>
          </cell>
          <cell r="D177" t="str">
            <v>1633</v>
          </cell>
          <cell r="E177" t="str">
            <v>P.P. mutuelle décés invalidité personnel retraité OEF</v>
          </cell>
          <cell r="F177">
            <v>0</v>
          </cell>
          <cell r="L177">
            <v>0</v>
          </cell>
          <cell r="P177">
            <v>0</v>
          </cell>
          <cell r="V177">
            <v>0</v>
          </cell>
          <cell r="AI177">
            <v>0</v>
          </cell>
        </row>
        <row r="178">
          <cell r="B178">
            <v>5</v>
          </cell>
          <cell r="C178" t="str">
            <v>069</v>
          </cell>
          <cell r="D178" t="str">
            <v>1634</v>
          </cell>
          <cell r="E178" t="str">
            <v>P.P. mutuelle décés invalidité personnel retraité appoints</v>
          </cell>
          <cell r="F178">
            <v>0</v>
          </cell>
          <cell r="L178">
            <v>0</v>
          </cell>
          <cell r="P178">
            <v>0</v>
          </cell>
          <cell r="V178">
            <v>0</v>
          </cell>
          <cell r="AI178">
            <v>0</v>
          </cell>
        </row>
        <row r="179">
          <cell r="B179">
            <v>6</v>
          </cell>
          <cell r="C179" t="str">
            <v>069</v>
          </cell>
          <cell r="D179" t="str">
            <v>1635</v>
          </cell>
          <cell r="E179" t="str">
            <v>P.P. mutuelle décés invalidité personnel retraité OEM</v>
          </cell>
          <cell r="F179">
            <v>0</v>
          </cell>
          <cell r="L179">
            <v>0</v>
          </cell>
          <cell r="P179">
            <v>0</v>
          </cell>
          <cell r="V179">
            <v>0</v>
          </cell>
          <cell r="AI179">
            <v>0</v>
          </cell>
        </row>
        <row r="180">
          <cell r="B180">
            <v>7</v>
          </cell>
          <cell r="C180" t="str">
            <v>069</v>
          </cell>
          <cell r="D180" t="str">
            <v>1636</v>
          </cell>
          <cell r="E180" t="str">
            <v>P.P. mutuelle décés invalidité personnel retraité TAMCA</v>
          </cell>
          <cell r="F180">
            <v>0</v>
          </cell>
          <cell r="L180">
            <v>0</v>
          </cell>
          <cell r="P180">
            <v>0</v>
          </cell>
          <cell r="V180">
            <v>0</v>
          </cell>
          <cell r="AI180">
            <v>0</v>
          </cell>
        </row>
        <row r="181">
          <cell r="B181">
            <v>8</v>
          </cell>
          <cell r="C181" t="str">
            <v>069</v>
          </cell>
          <cell r="D181" t="str">
            <v>1638</v>
          </cell>
          <cell r="E181" t="str">
            <v>P.P. mutuelle décés invalidité personnel retraité HC</v>
          </cell>
          <cell r="F181">
            <v>0</v>
          </cell>
          <cell r="L181">
            <v>0</v>
          </cell>
          <cell r="P181">
            <v>0</v>
          </cell>
          <cell r="V181">
            <v>0</v>
          </cell>
          <cell r="AI181">
            <v>0</v>
          </cell>
        </row>
        <row r="182">
          <cell r="B182">
            <v>1</v>
          </cell>
          <cell r="C182" t="str">
            <v>070</v>
          </cell>
          <cell r="D182" t="str">
            <v>1300</v>
          </cell>
          <cell r="E182" t="str">
            <v>Part patronale retraite OS 800, Personnel permanent OET</v>
          </cell>
          <cell r="F182">
            <v>75636</v>
          </cell>
          <cell r="G182">
            <v>90372</v>
          </cell>
          <cell r="H182">
            <v>82428</v>
          </cell>
          <cell r="I182">
            <v>75384</v>
          </cell>
          <cell r="J182">
            <v>80688</v>
          </cell>
          <cell r="K182">
            <v>100656</v>
          </cell>
          <cell r="L182">
            <v>505164</v>
          </cell>
          <cell r="M182">
            <v>43128</v>
          </cell>
          <cell r="N182">
            <v>366612</v>
          </cell>
          <cell r="O182">
            <v>465684</v>
          </cell>
          <cell r="P182">
            <v>832296</v>
          </cell>
          <cell r="R182">
            <v>171516</v>
          </cell>
          <cell r="V182">
            <v>0</v>
          </cell>
          <cell r="W182">
            <v>13368</v>
          </cell>
          <cell r="Z182">
            <v>780</v>
          </cell>
          <cell r="AB182">
            <v>540</v>
          </cell>
          <cell r="AC182">
            <v>4968</v>
          </cell>
          <cell r="AE182">
            <v>2196</v>
          </cell>
          <cell r="AG182">
            <v>25284</v>
          </cell>
          <cell r="AH182">
            <v>18708</v>
          </cell>
          <cell r="AI182">
            <v>1617948</v>
          </cell>
        </row>
        <row r="183">
          <cell r="B183">
            <v>1</v>
          </cell>
          <cell r="C183" t="str">
            <v>071</v>
          </cell>
          <cell r="D183" t="str">
            <v>1301</v>
          </cell>
          <cell r="E183" t="str">
            <v>Part patronale retraite OS 800, Personnel permanent OEB</v>
          </cell>
          <cell r="F183">
            <v>0</v>
          </cell>
          <cell r="L183">
            <v>0</v>
          </cell>
          <cell r="P183">
            <v>0</v>
          </cell>
          <cell r="V183">
            <v>0</v>
          </cell>
          <cell r="AH183">
            <v>7716</v>
          </cell>
          <cell r="AI183">
            <v>7716</v>
          </cell>
        </row>
        <row r="184">
          <cell r="B184">
            <v>1</v>
          </cell>
          <cell r="C184" t="str">
            <v>072</v>
          </cell>
          <cell r="D184" t="str">
            <v>1302</v>
          </cell>
          <cell r="E184" t="str">
            <v>Part patronale retraite OS 800, Personnel permanent OEJ</v>
          </cell>
          <cell r="F184">
            <v>0</v>
          </cell>
          <cell r="G184">
            <v>1080</v>
          </cell>
          <cell r="L184">
            <v>1080</v>
          </cell>
          <cell r="P184">
            <v>0</v>
          </cell>
          <cell r="V184">
            <v>0</v>
          </cell>
          <cell r="X184">
            <v>5460</v>
          </cell>
          <cell r="Y184">
            <v>18696</v>
          </cell>
          <cell r="Z184">
            <v>7212</v>
          </cell>
          <cell r="AA184">
            <v>99792</v>
          </cell>
          <cell r="AB184">
            <v>56376</v>
          </cell>
          <cell r="AC184">
            <v>47256</v>
          </cell>
          <cell r="AD184">
            <v>25800</v>
          </cell>
          <cell r="AE184">
            <v>25584</v>
          </cell>
          <cell r="AF184">
            <v>38772</v>
          </cell>
          <cell r="AG184">
            <v>50448</v>
          </cell>
          <cell r="AH184">
            <v>63828</v>
          </cell>
          <cell r="AI184">
            <v>440304</v>
          </cell>
        </row>
        <row r="185">
          <cell r="B185">
            <v>1</v>
          </cell>
          <cell r="C185" t="str">
            <v>073</v>
          </cell>
          <cell r="D185" t="str">
            <v>1303</v>
          </cell>
          <cell r="E185" t="str">
            <v>Part patronale retraite OS 800, Personnel permanent OEF</v>
          </cell>
          <cell r="F185">
            <v>52032</v>
          </cell>
          <cell r="G185">
            <v>62064</v>
          </cell>
          <cell r="H185">
            <v>53784</v>
          </cell>
          <cell r="I185">
            <v>57528</v>
          </cell>
          <cell r="J185">
            <v>54852</v>
          </cell>
          <cell r="K185">
            <v>67332</v>
          </cell>
          <cell r="L185">
            <v>347592</v>
          </cell>
          <cell r="M185">
            <v>60876</v>
          </cell>
          <cell r="N185">
            <v>146772</v>
          </cell>
          <cell r="O185">
            <v>173806</v>
          </cell>
          <cell r="P185">
            <v>320578</v>
          </cell>
          <cell r="R185">
            <v>256044</v>
          </cell>
          <cell r="S185">
            <v>221412</v>
          </cell>
          <cell r="V185">
            <v>0</v>
          </cell>
          <cell r="W185">
            <v>39000</v>
          </cell>
          <cell r="X185">
            <v>21324</v>
          </cell>
          <cell r="Y185">
            <v>99324</v>
          </cell>
          <cell r="Z185">
            <v>30060</v>
          </cell>
          <cell r="AA185">
            <v>5712</v>
          </cell>
          <cell r="AB185">
            <v>13668</v>
          </cell>
          <cell r="AC185">
            <v>12360</v>
          </cell>
          <cell r="AD185">
            <v>12336</v>
          </cell>
          <cell r="AE185">
            <v>28580</v>
          </cell>
          <cell r="AF185">
            <v>7224</v>
          </cell>
          <cell r="AG185">
            <v>81420</v>
          </cell>
          <cell r="AH185">
            <v>49380</v>
          </cell>
          <cell r="AI185">
            <v>1606890</v>
          </cell>
        </row>
        <row r="186">
          <cell r="B186">
            <v>1</v>
          </cell>
          <cell r="C186" t="str">
            <v>074</v>
          </cell>
          <cell r="D186" t="str">
            <v>1304</v>
          </cell>
          <cell r="E186" t="str">
            <v>Part patronale retraite OS 800, Personnel permanent appoints</v>
          </cell>
          <cell r="F186">
            <v>0</v>
          </cell>
          <cell r="L186">
            <v>0</v>
          </cell>
          <cell r="P186">
            <v>0</v>
          </cell>
          <cell r="V186">
            <v>0</v>
          </cell>
          <cell r="AI186">
            <v>0</v>
          </cell>
        </row>
        <row r="187">
          <cell r="B187">
            <v>1</v>
          </cell>
          <cell r="C187" t="str">
            <v>075</v>
          </cell>
          <cell r="D187" t="str">
            <v>1306</v>
          </cell>
          <cell r="E187" t="str">
            <v>Part patronale retraite OS 800, Personnel permanent TAMCA</v>
          </cell>
          <cell r="F187">
            <v>0</v>
          </cell>
          <cell r="G187">
            <v>17112</v>
          </cell>
          <cell r="H187">
            <v>1224</v>
          </cell>
          <cell r="I187">
            <v>2460</v>
          </cell>
          <cell r="K187">
            <v>1224</v>
          </cell>
          <cell r="L187">
            <v>22020</v>
          </cell>
          <cell r="N187">
            <v>71100</v>
          </cell>
          <cell r="O187">
            <v>59220</v>
          </cell>
          <cell r="P187">
            <v>130320</v>
          </cell>
          <cell r="R187">
            <v>14712</v>
          </cell>
          <cell r="S187">
            <v>28656</v>
          </cell>
          <cell r="V187">
            <v>0</v>
          </cell>
          <cell r="W187">
            <v>11304</v>
          </cell>
          <cell r="Y187">
            <v>4212</v>
          </cell>
          <cell r="Z187">
            <v>7812</v>
          </cell>
          <cell r="AA187">
            <v>18780</v>
          </cell>
          <cell r="AF187">
            <v>12912</v>
          </cell>
          <cell r="AG187">
            <v>20532</v>
          </cell>
          <cell r="AI187">
            <v>271260</v>
          </cell>
        </row>
        <row r="188">
          <cell r="B188">
            <v>1</v>
          </cell>
          <cell r="C188" t="str">
            <v>076</v>
          </cell>
          <cell r="D188" t="str">
            <v>1305</v>
          </cell>
          <cell r="E188" t="str">
            <v>Part patronale retraite OS 800, Personnel permanent OEM</v>
          </cell>
          <cell r="F188">
            <v>0</v>
          </cell>
          <cell r="L188">
            <v>0</v>
          </cell>
          <cell r="P188">
            <v>0</v>
          </cell>
          <cell r="V188">
            <v>0</v>
          </cell>
          <cell r="AI188">
            <v>0</v>
          </cell>
        </row>
        <row r="189">
          <cell r="B189">
            <v>1</v>
          </cell>
          <cell r="C189" t="str">
            <v>077</v>
          </cell>
          <cell r="D189" t="str">
            <v>1308</v>
          </cell>
          <cell r="E189" t="str">
            <v>Part patronale retraite OS 800, Personnel permanent HC</v>
          </cell>
          <cell r="F189">
            <v>0</v>
          </cell>
          <cell r="L189">
            <v>0</v>
          </cell>
          <cell r="P189">
            <v>0</v>
          </cell>
          <cell r="V189">
            <v>0</v>
          </cell>
          <cell r="AI189">
            <v>0</v>
          </cell>
        </row>
        <row r="190">
          <cell r="B190">
            <v>1</v>
          </cell>
          <cell r="C190" t="str">
            <v>079</v>
          </cell>
          <cell r="D190" t="str">
            <v>1410</v>
          </cell>
          <cell r="E190" t="str">
            <v>Part patronale sur primes de fin d'année OS 800, Personnel permanent OET</v>
          </cell>
          <cell r="F190">
            <v>34584</v>
          </cell>
          <cell r="G190">
            <v>43716</v>
          </cell>
          <cell r="H190">
            <v>38136</v>
          </cell>
          <cell r="I190">
            <v>35220</v>
          </cell>
          <cell r="J190">
            <v>33492</v>
          </cell>
          <cell r="K190">
            <v>43860</v>
          </cell>
          <cell r="L190">
            <v>229008</v>
          </cell>
          <cell r="M190">
            <v>24024</v>
          </cell>
          <cell r="N190">
            <v>193872</v>
          </cell>
          <cell r="O190">
            <v>231576</v>
          </cell>
          <cell r="P190">
            <v>425448</v>
          </cell>
          <cell r="R190">
            <v>124368</v>
          </cell>
          <cell r="S190">
            <v>58848</v>
          </cell>
          <cell r="V190">
            <v>0</v>
          </cell>
          <cell r="W190">
            <v>16680</v>
          </cell>
          <cell r="X190">
            <v>6216</v>
          </cell>
          <cell r="Y190">
            <v>33204</v>
          </cell>
          <cell r="Z190">
            <v>13512</v>
          </cell>
          <cell r="AA190">
            <v>28080</v>
          </cell>
          <cell r="AB190">
            <v>15312</v>
          </cell>
          <cell r="AC190">
            <v>19368</v>
          </cell>
          <cell r="AD190">
            <v>8664</v>
          </cell>
          <cell r="AE190">
            <v>13260</v>
          </cell>
          <cell r="AF190">
            <v>14688</v>
          </cell>
          <cell r="AG190">
            <v>48288</v>
          </cell>
          <cell r="AH190">
            <v>37452</v>
          </cell>
          <cell r="AI190">
            <v>1116420</v>
          </cell>
        </row>
        <row r="191">
          <cell r="B191">
            <v>2</v>
          </cell>
          <cell r="C191" t="str">
            <v>079</v>
          </cell>
          <cell r="D191" t="str">
            <v>1411</v>
          </cell>
          <cell r="E191" t="str">
            <v>Part patronale sur primes de fin d'année OS 800, Personnel permanent OEB</v>
          </cell>
          <cell r="F191">
            <v>0</v>
          </cell>
          <cell r="L191">
            <v>0</v>
          </cell>
          <cell r="P191">
            <v>0</v>
          </cell>
          <cell r="V191">
            <v>0</v>
          </cell>
          <cell r="AI191">
            <v>0</v>
          </cell>
        </row>
        <row r="192">
          <cell r="B192">
            <v>3</v>
          </cell>
          <cell r="C192" t="str">
            <v>079</v>
          </cell>
          <cell r="D192" t="str">
            <v>1412</v>
          </cell>
          <cell r="E192" t="str">
            <v>Part patronale sur primes de fin d'année OS 800, Personnel permanent OEJ</v>
          </cell>
          <cell r="F192">
            <v>0</v>
          </cell>
          <cell r="L192">
            <v>0</v>
          </cell>
          <cell r="P192">
            <v>0</v>
          </cell>
          <cell r="V192">
            <v>0</v>
          </cell>
          <cell r="AI192">
            <v>0</v>
          </cell>
        </row>
        <row r="193">
          <cell r="B193">
            <v>4</v>
          </cell>
          <cell r="C193" t="str">
            <v>079</v>
          </cell>
          <cell r="D193" t="str">
            <v>1413</v>
          </cell>
          <cell r="E193" t="str">
            <v>Part patronale sur primes de fin d'année OS 800, Personnel permanent OEF</v>
          </cell>
          <cell r="F193">
            <v>0</v>
          </cell>
          <cell r="L193">
            <v>0</v>
          </cell>
          <cell r="P193">
            <v>0</v>
          </cell>
          <cell r="V193">
            <v>0</v>
          </cell>
          <cell r="AI193">
            <v>0</v>
          </cell>
        </row>
        <row r="194">
          <cell r="B194">
            <v>5</v>
          </cell>
          <cell r="C194" t="str">
            <v>079</v>
          </cell>
          <cell r="D194" t="str">
            <v>1414</v>
          </cell>
          <cell r="E194" t="str">
            <v>Part patronale sur primes de fin d'année OS 800, Personnel permanent appoints</v>
          </cell>
          <cell r="F194">
            <v>0</v>
          </cell>
          <cell r="L194">
            <v>0</v>
          </cell>
          <cell r="P194">
            <v>0</v>
          </cell>
          <cell r="V194">
            <v>0</v>
          </cell>
          <cell r="AI194">
            <v>0</v>
          </cell>
        </row>
        <row r="195">
          <cell r="B195">
            <v>6</v>
          </cell>
          <cell r="C195" t="str">
            <v>079</v>
          </cell>
          <cell r="D195" t="str">
            <v>1415</v>
          </cell>
          <cell r="E195" t="str">
            <v>Part patronale sur primes de fin d'année OS 800, Personnel permanent OEM</v>
          </cell>
          <cell r="F195">
            <v>0</v>
          </cell>
          <cell r="L195">
            <v>0</v>
          </cell>
          <cell r="P195">
            <v>0</v>
          </cell>
          <cell r="V195">
            <v>0</v>
          </cell>
          <cell r="AI195">
            <v>0</v>
          </cell>
        </row>
        <row r="196">
          <cell r="B196">
            <v>7</v>
          </cell>
          <cell r="C196" t="str">
            <v>079</v>
          </cell>
          <cell r="D196" t="str">
            <v>1416</v>
          </cell>
          <cell r="E196" t="str">
            <v>Part patronale sur primes de fin d'année OS 800, Personnel permanent TAMCA</v>
          </cell>
          <cell r="F196">
            <v>0</v>
          </cell>
          <cell r="L196">
            <v>0</v>
          </cell>
          <cell r="P196">
            <v>0</v>
          </cell>
          <cell r="V196">
            <v>0</v>
          </cell>
          <cell r="AI196">
            <v>0</v>
          </cell>
        </row>
        <row r="197">
          <cell r="B197">
            <v>8</v>
          </cell>
          <cell r="C197" t="str">
            <v>079</v>
          </cell>
          <cell r="D197" t="str">
            <v>1418</v>
          </cell>
          <cell r="E197" t="str">
            <v>Part patronale sur primes de fin d'année OS 800, Personnel permanent HC</v>
          </cell>
          <cell r="F197">
            <v>0</v>
          </cell>
          <cell r="L197">
            <v>0</v>
          </cell>
          <cell r="P197">
            <v>0</v>
          </cell>
          <cell r="V197">
            <v>0</v>
          </cell>
          <cell r="AI197">
            <v>0</v>
          </cell>
        </row>
        <row r="198">
          <cell r="B198">
            <v>1</v>
          </cell>
          <cell r="C198" t="str">
            <v>085</v>
          </cell>
          <cell r="D198" t="str">
            <v>1326</v>
          </cell>
          <cell r="E198" t="str">
            <v>Part patronale OS 824 TAMCA</v>
          </cell>
          <cell r="F198">
            <v>0</v>
          </cell>
          <cell r="H198">
            <v>7992</v>
          </cell>
          <cell r="J198">
            <v>6924</v>
          </cell>
          <cell r="K198">
            <v>8244</v>
          </cell>
          <cell r="L198">
            <v>23160</v>
          </cell>
          <cell r="M198">
            <v>8880</v>
          </cell>
          <cell r="N198">
            <v>36420</v>
          </cell>
          <cell r="O198">
            <v>35712</v>
          </cell>
          <cell r="P198">
            <v>72132</v>
          </cell>
          <cell r="S198">
            <v>47928</v>
          </cell>
          <cell r="V198">
            <v>0</v>
          </cell>
          <cell r="W198">
            <v>936</v>
          </cell>
          <cell r="Y198">
            <v>21504</v>
          </cell>
          <cell r="Z198">
            <v>17712</v>
          </cell>
          <cell r="AA198">
            <v>12696</v>
          </cell>
          <cell r="AB198">
            <v>13680</v>
          </cell>
          <cell r="AE198">
            <v>12072</v>
          </cell>
          <cell r="AG198">
            <v>11484</v>
          </cell>
          <cell r="AI198">
            <v>242184</v>
          </cell>
        </row>
        <row r="199">
          <cell r="B199">
            <v>1</v>
          </cell>
          <cell r="C199" t="str">
            <v>086</v>
          </cell>
          <cell r="D199" t="str">
            <v>1336</v>
          </cell>
          <cell r="E199" t="str">
            <v>Part patronale Recore OS 824, Personnel TAMCA</v>
          </cell>
          <cell r="F199">
            <v>0</v>
          </cell>
          <cell r="H199">
            <v>504</v>
          </cell>
          <cell r="J199">
            <v>912</v>
          </cell>
          <cell r="K199">
            <v>1152</v>
          </cell>
          <cell r="L199">
            <v>2568</v>
          </cell>
          <cell r="M199">
            <v>6000</v>
          </cell>
          <cell r="N199">
            <v>4092</v>
          </cell>
          <cell r="O199">
            <v>3612</v>
          </cell>
          <cell r="P199">
            <v>7704</v>
          </cell>
          <cell r="S199">
            <v>6840</v>
          </cell>
          <cell r="V199">
            <v>0</v>
          </cell>
          <cell r="W199">
            <v>192</v>
          </cell>
          <cell r="Y199">
            <v>13332</v>
          </cell>
          <cell r="Z199">
            <v>12120</v>
          </cell>
          <cell r="AA199">
            <v>1008</v>
          </cell>
          <cell r="AB199">
            <v>2832</v>
          </cell>
          <cell r="AE199">
            <v>1416</v>
          </cell>
          <cell r="AG199">
            <v>2304</v>
          </cell>
          <cell r="AI199">
            <v>56316</v>
          </cell>
        </row>
        <row r="200">
          <cell r="B200">
            <v>1</v>
          </cell>
          <cell r="C200" t="str">
            <v>087</v>
          </cell>
          <cell r="D200" t="str">
            <v>1346</v>
          </cell>
          <cell r="E200" t="str">
            <v>Part patronale RCAR régime de base, Personnel TAMCA</v>
          </cell>
          <cell r="F200">
            <v>0</v>
          </cell>
          <cell r="L200">
            <v>0</v>
          </cell>
          <cell r="P200">
            <v>0</v>
          </cell>
          <cell r="V200">
            <v>0</v>
          </cell>
          <cell r="AI200">
            <v>0</v>
          </cell>
        </row>
        <row r="201">
          <cell r="B201">
            <v>1</v>
          </cell>
          <cell r="C201">
            <v>100</v>
          </cell>
          <cell r="D201" t="str">
            <v>2100</v>
          </cell>
          <cell r="E201" t="str">
            <v>Fournitures internes, Electricité SA Fact.à SA Fact.même DIV</v>
          </cell>
          <cell r="F201">
            <v>0</v>
          </cell>
          <cell r="L201">
            <v>0</v>
          </cell>
          <cell r="P201">
            <v>0</v>
          </cell>
          <cell r="V201">
            <v>0</v>
          </cell>
          <cell r="AI201">
            <v>0</v>
          </cell>
        </row>
        <row r="202">
          <cell r="B202">
            <v>1</v>
          </cell>
          <cell r="C202">
            <v>101</v>
          </cell>
          <cell r="D202" t="str">
            <v>2101</v>
          </cell>
          <cell r="E202" t="str">
            <v>Fournitures internes, Electricité SA Fact. À SA Fact.autres DIV</v>
          </cell>
          <cell r="F202">
            <v>0</v>
          </cell>
          <cell r="L202">
            <v>0</v>
          </cell>
          <cell r="P202">
            <v>0</v>
          </cell>
          <cell r="V202">
            <v>0</v>
          </cell>
          <cell r="AI202">
            <v>0</v>
          </cell>
        </row>
        <row r="203">
          <cell r="B203">
            <v>1</v>
          </cell>
          <cell r="C203">
            <v>102</v>
          </cell>
          <cell r="D203" t="str">
            <v>2102</v>
          </cell>
          <cell r="E203" t="str">
            <v>Fournitures internes, Electricite (SA FACT à SA Consommation même DIV)</v>
          </cell>
          <cell r="F203">
            <v>29676</v>
          </cell>
          <cell r="G203">
            <v>40368</v>
          </cell>
          <cell r="H203">
            <v>37068</v>
          </cell>
          <cell r="I203">
            <v>33372</v>
          </cell>
          <cell r="J203">
            <v>32064</v>
          </cell>
          <cell r="K203">
            <v>44712</v>
          </cell>
          <cell r="L203">
            <v>217260</v>
          </cell>
          <cell r="N203">
            <v>362640</v>
          </cell>
          <cell r="O203">
            <v>428796</v>
          </cell>
          <cell r="P203">
            <v>791436</v>
          </cell>
          <cell r="R203">
            <v>602208</v>
          </cell>
          <cell r="S203">
            <v>6389352</v>
          </cell>
          <cell r="V203">
            <v>0</v>
          </cell>
          <cell r="AA203">
            <v>478716</v>
          </cell>
          <cell r="AC203">
            <v>3403368</v>
          </cell>
          <cell r="AG203">
            <v>2698128</v>
          </cell>
          <cell r="AH203">
            <v>219576</v>
          </cell>
          <cell r="AI203">
            <v>14800044</v>
          </cell>
        </row>
        <row r="204">
          <cell r="B204">
            <v>1</v>
          </cell>
          <cell r="C204">
            <v>103</v>
          </cell>
          <cell r="D204" t="str">
            <v>2103</v>
          </cell>
          <cell r="E204" t="str">
            <v>Fournitures internes, Electricité (SA Fact.à SA Consommation autres DIV)</v>
          </cell>
          <cell r="F204">
            <v>0</v>
          </cell>
          <cell r="L204">
            <v>0</v>
          </cell>
          <cell r="P204">
            <v>0</v>
          </cell>
          <cell r="V204">
            <v>0</v>
          </cell>
          <cell r="AI204">
            <v>0</v>
          </cell>
        </row>
        <row r="205">
          <cell r="B205">
            <v>1</v>
          </cell>
          <cell r="C205">
            <v>104</v>
          </cell>
          <cell r="D205" t="str">
            <v>2104</v>
          </cell>
          <cell r="E205" t="str">
            <v>Fournitures internes, Eau OCP ( SA Fact.à SA Fact. Même DIV)</v>
          </cell>
          <cell r="F205">
            <v>0</v>
          </cell>
          <cell r="L205">
            <v>0</v>
          </cell>
          <cell r="P205">
            <v>0</v>
          </cell>
          <cell r="V205">
            <v>0</v>
          </cell>
          <cell r="AI205">
            <v>0</v>
          </cell>
        </row>
        <row r="206">
          <cell r="B206">
            <v>1</v>
          </cell>
          <cell r="C206">
            <v>105</v>
          </cell>
          <cell r="D206" t="str">
            <v>2105</v>
          </cell>
          <cell r="E206" t="str">
            <v>Fournitures internes, Eau OCP ( SA Fact.à SA Fact. autres DIV)</v>
          </cell>
          <cell r="F206">
            <v>0</v>
          </cell>
          <cell r="L206">
            <v>0</v>
          </cell>
          <cell r="P206">
            <v>0</v>
          </cell>
          <cell r="V206">
            <v>0</v>
          </cell>
          <cell r="AI206">
            <v>0</v>
          </cell>
        </row>
        <row r="207">
          <cell r="B207">
            <v>1</v>
          </cell>
          <cell r="C207">
            <v>106</v>
          </cell>
          <cell r="D207" t="str">
            <v>2106</v>
          </cell>
          <cell r="E207" t="str">
            <v>Fournitures internes, Eau OCP (SA Fact.à SA Consommation même DIV)</v>
          </cell>
          <cell r="F207">
            <v>0</v>
          </cell>
          <cell r="L207">
            <v>0</v>
          </cell>
          <cell r="P207">
            <v>0</v>
          </cell>
          <cell r="V207">
            <v>0</v>
          </cell>
          <cell r="AH207">
            <v>219972</v>
          </cell>
          <cell r="AI207">
            <v>219972</v>
          </cell>
        </row>
        <row r="208">
          <cell r="B208">
            <v>1</v>
          </cell>
          <cell r="C208">
            <v>107</v>
          </cell>
          <cell r="D208" t="str">
            <v>2107</v>
          </cell>
          <cell r="E208" t="str">
            <v>Fournitures internes, Eau OCP ( SA Fact.à SA Consommation autres DIV)</v>
          </cell>
          <cell r="F208">
            <v>0</v>
          </cell>
          <cell r="L208">
            <v>0</v>
          </cell>
          <cell r="P208">
            <v>0</v>
          </cell>
          <cell r="V208">
            <v>0</v>
          </cell>
          <cell r="AI208">
            <v>0</v>
          </cell>
        </row>
        <row r="209">
          <cell r="B209">
            <v>1</v>
          </cell>
          <cell r="C209">
            <v>200</v>
          </cell>
          <cell r="D209" t="str">
            <v>2200</v>
          </cell>
          <cell r="E209" t="str">
            <v>Prestations même division, Jardinages et pépinières</v>
          </cell>
          <cell r="F209">
            <v>0</v>
          </cell>
          <cell r="L209">
            <v>0</v>
          </cell>
          <cell r="P209">
            <v>0</v>
          </cell>
          <cell r="V209">
            <v>0</v>
          </cell>
          <cell r="AI209">
            <v>0</v>
          </cell>
        </row>
        <row r="210">
          <cell r="B210">
            <v>1</v>
          </cell>
          <cell r="C210">
            <v>201</v>
          </cell>
          <cell r="D210" t="str">
            <v>2201</v>
          </cell>
          <cell r="E210" t="str">
            <v>Prestations même division, Nettoyage</v>
          </cell>
          <cell r="F210">
            <v>0</v>
          </cell>
          <cell r="L210">
            <v>0</v>
          </cell>
          <cell r="P210">
            <v>0</v>
          </cell>
          <cell r="V210">
            <v>0</v>
          </cell>
          <cell r="AI210">
            <v>0</v>
          </cell>
        </row>
        <row r="211">
          <cell r="B211">
            <v>1</v>
          </cell>
          <cell r="C211">
            <v>202</v>
          </cell>
          <cell r="D211" t="str">
            <v>2202</v>
          </cell>
          <cell r="E211" t="str">
            <v>Prestations même division, Menuiserie</v>
          </cell>
          <cell r="F211">
            <v>0</v>
          </cell>
          <cell r="L211">
            <v>0</v>
          </cell>
          <cell r="P211">
            <v>0</v>
          </cell>
          <cell r="V211">
            <v>0</v>
          </cell>
          <cell r="AI211">
            <v>0</v>
          </cell>
        </row>
        <row r="212">
          <cell r="B212">
            <v>1</v>
          </cell>
          <cell r="C212">
            <v>203</v>
          </cell>
          <cell r="D212" t="str">
            <v>2203</v>
          </cell>
          <cell r="E212" t="str">
            <v>Prestations même division, Peinture et vitrerie</v>
          </cell>
          <cell r="F212">
            <v>0</v>
          </cell>
          <cell r="L212">
            <v>0</v>
          </cell>
          <cell r="P212">
            <v>0</v>
          </cell>
          <cell r="V212">
            <v>0</v>
          </cell>
          <cell r="AI212">
            <v>0</v>
          </cell>
        </row>
        <row r="213">
          <cell r="B213">
            <v>1</v>
          </cell>
          <cell r="C213">
            <v>204</v>
          </cell>
          <cell r="D213" t="str">
            <v>2204</v>
          </cell>
          <cell r="E213" t="str">
            <v>Prestations même division, Plomberie</v>
          </cell>
          <cell r="F213">
            <v>0</v>
          </cell>
          <cell r="L213">
            <v>0</v>
          </cell>
          <cell r="P213">
            <v>0</v>
          </cell>
          <cell r="V213">
            <v>0</v>
          </cell>
          <cell r="AI213">
            <v>0</v>
          </cell>
        </row>
        <row r="214">
          <cell r="B214">
            <v>1</v>
          </cell>
          <cell r="C214">
            <v>205</v>
          </cell>
          <cell r="D214" t="str">
            <v>2205</v>
          </cell>
          <cell r="E214" t="str">
            <v>Prestations même division, Froid et climatisation</v>
          </cell>
          <cell r="F214">
            <v>0</v>
          </cell>
          <cell r="L214">
            <v>0</v>
          </cell>
          <cell r="P214">
            <v>0</v>
          </cell>
          <cell r="V214">
            <v>0</v>
          </cell>
          <cell r="AI214">
            <v>0</v>
          </cell>
        </row>
        <row r="215">
          <cell r="B215">
            <v>1</v>
          </cell>
          <cell r="C215">
            <v>207</v>
          </cell>
          <cell r="D215" t="str">
            <v>2207</v>
          </cell>
          <cell r="E215" t="str">
            <v>Prestations même division, Agencement mobilier</v>
          </cell>
          <cell r="F215">
            <v>0</v>
          </cell>
          <cell r="L215">
            <v>0</v>
          </cell>
          <cell r="P215">
            <v>0</v>
          </cell>
          <cell r="V215">
            <v>0</v>
          </cell>
          <cell r="AI215">
            <v>0</v>
          </cell>
        </row>
        <row r="216">
          <cell r="B216">
            <v>1</v>
          </cell>
          <cell r="C216">
            <v>208</v>
          </cell>
          <cell r="D216" t="str">
            <v>2208</v>
          </cell>
          <cell r="E216" t="str">
            <v>Prestations même division, Ateliers téléphoniques</v>
          </cell>
          <cell r="F216">
            <v>0</v>
          </cell>
          <cell r="L216">
            <v>0</v>
          </cell>
          <cell r="P216">
            <v>0</v>
          </cell>
          <cell r="V216">
            <v>0</v>
          </cell>
          <cell r="AI216">
            <v>0</v>
          </cell>
        </row>
        <row r="217">
          <cell r="B217">
            <v>1</v>
          </cell>
          <cell r="C217">
            <v>210</v>
          </cell>
          <cell r="D217" t="str">
            <v>2210</v>
          </cell>
          <cell r="E217" t="str">
            <v>Prestations même division, Ateliers électroniques</v>
          </cell>
          <cell r="F217">
            <v>0</v>
          </cell>
          <cell r="L217">
            <v>0</v>
          </cell>
          <cell r="P217">
            <v>0</v>
          </cell>
          <cell r="V217">
            <v>0</v>
          </cell>
          <cell r="AI217">
            <v>0</v>
          </cell>
        </row>
        <row r="218">
          <cell r="B218">
            <v>1</v>
          </cell>
          <cell r="C218">
            <v>211</v>
          </cell>
          <cell r="D218" t="str">
            <v>2211</v>
          </cell>
          <cell r="E218" t="str">
            <v>Prestations même division, Ateliers mécaniques</v>
          </cell>
          <cell r="F218">
            <v>178008</v>
          </cell>
          <cell r="G218">
            <v>143172</v>
          </cell>
          <cell r="H218">
            <v>92100</v>
          </cell>
          <cell r="I218">
            <v>140604</v>
          </cell>
          <cell r="J218">
            <v>174756</v>
          </cell>
          <cell r="K218">
            <v>189036</v>
          </cell>
          <cell r="L218">
            <v>917676</v>
          </cell>
          <cell r="M218">
            <v>352740</v>
          </cell>
          <cell r="N218">
            <v>1017576</v>
          </cell>
          <cell r="O218">
            <v>833388</v>
          </cell>
          <cell r="P218">
            <v>1850964</v>
          </cell>
          <cell r="R218">
            <v>67272</v>
          </cell>
          <cell r="S218">
            <v>55536</v>
          </cell>
          <cell r="V218">
            <v>0</v>
          </cell>
          <cell r="Y218">
            <v>595668</v>
          </cell>
          <cell r="Z218">
            <v>105960</v>
          </cell>
          <cell r="AA218">
            <v>5676</v>
          </cell>
          <cell r="AD218">
            <v>17808</v>
          </cell>
          <cell r="AG218">
            <v>114984</v>
          </cell>
          <cell r="AH218">
            <v>5868</v>
          </cell>
          <cell r="AI218">
            <v>4090152</v>
          </cell>
        </row>
        <row r="219">
          <cell r="B219">
            <v>2</v>
          </cell>
          <cell r="C219">
            <v>211</v>
          </cell>
          <cell r="D219" t="str">
            <v>2258</v>
          </cell>
          <cell r="E219" t="str">
            <v>Prestations même division, Ateliers hydrauliques</v>
          </cell>
          <cell r="F219">
            <v>0</v>
          </cell>
          <cell r="L219">
            <v>0</v>
          </cell>
          <cell r="P219">
            <v>0</v>
          </cell>
          <cell r="V219">
            <v>0</v>
          </cell>
          <cell r="AI219">
            <v>0</v>
          </cell>
        </row>
        <row r="220">
          <cell r="B220">
            <v>3</v>
          </cell>
          <cell r="C220">
            <v>211</v>
          </cell>
          <cell r="D220" t="str">
            <v>2259</v>
          </cell>
          <cell r="E220" t="str">
            <v>Prestations même division, Ateliers centraux, contrôle qualité</v>
          </cell>
          <cell r="F220">
            <v>0</v>
          </cell>
          <cell r="L220">
            <v>0</v>
          </cell>
          <cell r="P220">
            <v>0</v>
          </cell>
          <cell r="V220">
            <v>0</v>
          </cell>
          <cell r="AI220">
            <v>0</v>
          </cell>
        </row>
        <row r="221">
          <cell r="B221">
            <v>1</v>
          </cell>
          <cell r="C221">
            <v>212</v>
          </cell>
          <cell r="D221" t="str">
            <v>2212</v>
          </cell>
          <cell r="E221" t="str">
            <v>Prestations même division, Ateliers éléctriques</v>
          </cell>
          <cell r="F221">
            <v>47004</v>
          </cell>
          <cell r="G221">
            <v>26088</v>
          </cell>
          <cell r="H221">
            <v>59496</v>
          </cell>
          <cell r="I221">
            <v>53460</v>
          </cell>
          <cell r="J221">
            <v>52572</v>
          </cell>
          <cell r="K221">
            <v>39672</v>
          </cell>
          <cell r="L221">
            <v>278292</v>
          </cell>
          <cell r="M221">
            <v>205524</v>
          </cell>
          <cell r="N221">
            <v>783948</v>
          </cell>
          <cell r="O221">
            <v>814260</v>
          </cell>
          <cell r="P221">
            <v>1598208</v>
          </cell>
          <cell r="R221">
            <v>115392</v>
          </cell>
          <cell r="S221">
            <v>325884</v>
          </cell>
          <cell r="V221">
            <v>0</v>
          </cell>
          <cell r="Z221">
            <v>226548</v>
          </cell>
          <cell r="AA221">
            <v>46752</v>
          </cell>
          <cell r="AC221">
            <v>36864</v>
          </cell>
          <cell r="AG221">
            <v>142992</v>
          </cell>
          <cell r="AH221">
            <v>12900</v>
          </cell>
          <cell r="AI221">
            <v>2989356</v>
          </cell>
        </row>
        <row r="222">
          <cell r="B222">
            <v>1</v>
          </cell>
          <cell r="C222">
            <v>213</v>
          </cell>
          <cell r="D222" t="str">
            <v>2213</v>
          </cell>
          <cell r="E222" t="str">
            <v>Prestations même division, Ateliers draglines</v>
          </cell>
          <cell r="F222">
            <v>0</v>
          </cell>
          <cell r="L222">
            <v>0</v>
          </cell>
          <cell r="P222">
            <v>0</v>
          </cell>
          <cell r="V222">
            <v>0</v>
          </cell>
          <cell r="AI222">
            <v>0</v>
          </cell>
        </row>
        <row r="223">
          <cell r="B223">
            <v>1</v>
          </cell>
          <cell r="C223">
            <v>214</v>
          </cell>
          <cell r="D223" t="str">
            <v>2214</v>
          </cell>
          <cell r="E223" t="str">
            <v>Prestations même division, Ateliers des eaux</v>
          </cell>
          <cell r="F223">
            <v>0</v>
          </cell>
          <cell r="L223">
            <v>0</v>
          </cell>
          <cell r="P223">
            <v>0</v>
          </cell>
          <cell r="V223">
            <v>0</v>
          </cell>
          <cell r="AI223">
            <v>0</v>
          </cell>
        </row>
        <row r="224">
          <cell r="B224">
            <v>1</v>
          </cell>
          <cell r="C224">
            <v>215</v>
          </cell>
          <cell r="D224" t="str">
            <v>2215</v>
          </cell>
          <cell r="E224" t="str">
            <v>Prestations même division, Génie civil</v>
          </cell>
          <cell r="F224">
            <v>0</v>
          </cell>
          <cell r="L224">
            <v>0</v>
          </cell>
          <cell r="P224">
            <v>0</v>
          </cell>
          <cell r="V224">
            <v>0</v>
          </cell>
          <cell r="AI224">
            <v>0</v>
          </cell>
        </row>
        <row r="225">
          <cell r="B225">
            <v>1</v>
          </cell>
          <cell r="C225">
            <v>216</v>
          </cell>
          <cell r="D225" t="str">
            <v>2216</v>
          </cell>
          <cell r="E225" t="str">
            <v>Prestations même division, Géologie</v>
          </cell>
          <cell r="F225">
            <v>0</v>
          </cell>
          <cell r="L225">
            <v>0</v>
          </cell>
          <cell r="P225">
            <v>0</v>
          </cell>
          <cell r="V225">
            <v>0</v>
          </cell>
          <cell r="AI225">
            <v>0</v>
          </cell>
        </row>
        <row r="226">
          <cell r="B226">
            <v>1</v>
          </cell>
          <cell r="C226">
            <v>217</v>
          </cell>
          <cell r="D226" t="str">
            <v>2217</v>
          </cell>
          <cell r="E226" t="str">
            <v>Prestations même division, Ateliers pneumatiques</v>
          </cell>
          <cell r="F226">
            <v>0</v>
          </cell>
          <cell r="L226">
            <v>0</v>
          </cell>
          <cell r="P226">
            <v>0</v>
          </cell>
          <cell r="V226">
            <v>0</v>
          </cell>
          <cell r="AI226">
            <v>0</v>
          </cell>
        </row>
        <row r="227">
          <cell r="B227">
            <v>1</v>
          </cell>
          <cell r="C227">
            <v>218</v>
          </cell>
          <cell r="D227" t="str">
            <v>2218</v>
          </cell>
          <cell r="E227" t="str">
            <v>Prestations même division, Ateliers chaudronnerie lourde</v>
          </cell>
          <cell r="F227">
            <v>0</v>
          </cell>
          <cell r="L227">
            <v>0</v>
          </cell>
          <cell r="P227">
            <v>0</v>
          </cell>
          <cell r="V227">
            <v>0</v>
          </cell>
          <cell r="AI227">
            <v>0</v>
          </cell>
        </row>
        <row r="228">
          <cell r="B228">
            <v>1</v>
          </cell>
          <cell r="C228">
            <v>219</v>
          </cell>
          <cell r="D228" t="str">
            <v>2219</v>
          </cell>
          <cell r="E228" t="str">
            <v>Prestations même division, Ateliers des engins divers</v>
          </cell>
          <cell r="F228">
            <v>0</v>
          </cell>
          <cell r="L228">
            <v>0</v>
          </cell>
          <cell r="P228">
            <v>0</v>
          </cell>
          <cell r="V228">
            <v>0</v>
          </cell>
          <cell r="AI228">
            <v>0</v>
          </cell>
        </row>
        <row r="229">
          <cell r="B229">
            <v>1</v>
          </cell>
          <cell r="C229">
            <v>220</v>
          </cell>
          <cell r="D229" t="str">
            <v>2220</v>
          </cell>
          <cell r="E229" t="str">
            <v>Prestations même division, Trémies épierrage</v>
          </cell>
          <cell r="F229">
            <v>0</v>
          </cell>
          <cell r="L229">
            <v>0</v>
          </cell>
          <cell r="P229">
            <v>0</v>
          </cell>
          <cell r="V229">
            <v>0</v>
          </cell>
          <cell r="AI229">
            <v>0</v>
          </cell>
        </row>
        <row r="230">
          <cell r="B230">
            <v>1</v>
          </cell>
          <cell r="C230">
            <v>221</v>
          </cell>
          <cell r="D230" t="str">
            <v>2221</v>
          </cell>
          <cell r="E230" t="str">
            <v>Prestations même division, Stacker de mise en stock de l'épierré</v>
          </cell>
          <cell r="F230">
            <v>0</v>
          </cell>
          <cell r="L230">
            <v>0</v>
          </cell>
          <cell r="P230">
            <v>0</v>
          </cell>
          <cell r="V230">
            <v>0</v>
          </cell>
          <cell r="AI230">
            <v>0</v>
          </cell>
        </row>
        <row r="231">
          <cell r="B231">
            <v>1</v>
          </cell>
          <cell r="C231">
            <v>222</v>
          </cell>
          <cell r="D231" t="str">
            <v>2222</v>
          </cell>
          <cell r="E231" t="str">
            <v>Prestations même division, Roue-pelle, Reprise de l'épierré</v>
          </cell>
          <cell r="F231">
            <v>0</v>
          </cell>
          <cell r="L231">
            <v>0</v>
          </cell>
          <cell r="P231">
            <v>0</v>
          </cell>
          <cell r="V231">
            <v>0</v>
          </cell>
          <cell r="AI231">
            <v>0</v>
          </cell>
        </row>
        <row r="232">
          <cell r="B232">
            <v>1</v>
          </cell>
          <cell r="C232">
            <v>223</v>
          </cell>
          <cell r="D232" t="str">
            <v>2223</v>
          </cell>
          <cell r="E232" t="str">
            <v>Prestations même division, Liaison T1+T2/T13 OCP</v>
          </cell>
          <cell r="F232">
            <v>0</v>
          </cell>
          <cell r="L232">
            <v>0</v>
          </cell>
          <cell r="P232">
            <v>0</v>
          </cell>
          <cell r="V232">
            <v>0</v>
          </cell>
          <cell r="AI232">
            <v>0</v>
          </cell>
        </row>
        <row r="233">
          <cell r="B233">
            <v>1</v>
          </cell>
          <cell r="C233">
            <v>224</v>
          </cell>
          <cell r="D233" t="str">
            <v>2224</v>
          </cell>
          <cell r="E233" t="str">
            <v>Prestations même division, Stacker</v>
          </cell>
          <cell r="F233">
            <v>0</v>
          </cell>
          <cell r="L233">
            <v>0</v>
          </cell>
          <cell r="P233">
            <v>0</v>
          </cell>
          <cell r="V233">
            <v>0</v>
          </cell>
          <cell r="AI233">
            <v>0</v>
          </cell>
        </row>
        <row r="234">
          <cell r="B234">
            <v>1</v>
          </cell>
          <cell r="C234">
            <v>225</v>
          </cell>
          <cell r="D234" t="str">
            <v>2225</v>
          </cell>
          <cell r="E234" t="str">
            <v>Prestations même division, Station de criblage</v>
          </cell>
          <cell r="F234">
            <v>0</v>
          </cell>
          <cell r="L234">
            <v>0</v>
          </cell>
          <cell r="P234">
            <v>0</v>
          </cell>
          <cell r="V234">
            <v>0</v>
          </cell>
          <cell r="AI234">
            <v>0</v>
          </cell>
        </row>
        <row r="235">
          <cell r="B235">
            <v>1</v>
          </cell>
          <cell r="C235">
            <v>226</v>
          </cell>
          <cell r="D235" t="str">
            <v>2226</v>
          </cell>
          <cell r="E235" t="str">
            <v>Prestations même division, Roue-pelle, Reprise du criblé</v>
          </cell>
          <cell r="F235">
            <v>0</v>
          </cell>
          <cell r="L235">
            <v>0</v>
          </cell>
          <cell r="P235">
            <v>0</v>
          </cell>
          <cell r="V235">
            <v>0</v>
          </cell>
          <cell r="AI235">
            <v>0</v>
          </cell>
        </row>
        <row r="236">
          <cell r="B236">
            <v>1</v>
          </cell>
          <cell r="C236">
            <v>227</v>
          </cell>
          <cell r="D236" t="str">
            <v>2227</v>
          </cell>
          <cell r="E236" t="str">
            <v>Prestations même division, Station de chargement</v>
          </cell>
          <cell r="F236">
            <v>0</v>
          </cell>
          <cell r="L236">
            <v>0</v>
          </cell>
          <cell r="P236">
            <v>0</v>
          </cell>
          <cell r="V236">
            <v>0</v>
          </cell>
          <cell r="AI236">
            <v>0</v>
          </cell>
        </row>
        <row r="237">
          <cell r="B237">
            <v>1</v>
          </cell>
          <cell r="C237">
            <v>228</v>
          </cell>
          <cell r="D237" t="str">
            <v>2228</v>
          </cell>
          <cell r="E237" t="str">
            <v>Prestations même division, Locotracteurs</v>
          </cell>
          <cell r="F237">
            <v>0</v>
          </cell>
          <cell r="L237">
            <v>0</v>
          </cell>
          <cell r="P237">
            <v>0</v>
          </cell>
          <cell r="V237">
            <v>0</v>
          </cell>
          <cell r="AI237">
            <v>0</v>
          </cell>
        </row>
        <row r="238">
          <cell r="B238">
            <v>1</v>
          </cell>
          <cell r="C238">
            <v>230</v>
          </cell>
          <cell r="D238" t="str">
            <v>2230</v>
          </cell>
          <cell r="E238" t="str">
            <v>Prestations même division, Draglines et pelles</v>
          </cell>
          <cell r="F238">
            <v>0</v>
          </cell>
          <cell r="L238">
            <v>0</v>
          </cell>
          <cell r="P238">
            <v>0</v>
          </cell>
          <cell r="V238">
            <v>0</v>
          </cell>
          <cell r="AI238">
            <v>0</v>
          </cell>
        </row>
        <row r="239">
          <cell r="B239">
            <v>1</v>
          </cell>
          <cell r="C239">
            <v>231</v>
          </cell>
          <cell r="D239" t="str">
            <v>2231</v>
          </cell>
          <cell r="E239" t="str">
            <v>Prestations même division, Camions de chantiers</v>
          </cell>
          <cell r="F239">
            <v>0</v>
          </cell>
          <cell r="L239">
            <v>0</v>
          </cell>
          <cell r="P239">
            <v>0</v>
          </cell>
          <cell r="V239">
            <v>0</v>
          </cell>
          <cell r="AH239">
            <v>556800</v>
          </cell>
          <cell r="AI239">
            <v>556800</v>
          </cell>
        </row>
        <row r="240">
          <cell r="B240">
            <v>1</v>
          </cell>
          <cell r="C240">
            <v>232</v>
          </cell>
          <cell r="D240" t="str">
            <v>2232</v>
          </cell>
          <cell r="E240" t="str">
            <v>Prestations même division, Bulldozers</v>
          </cell>
          <cell r="F240">
            <v>0</v>
          </cell>
          <cell r="L240">
            <v>0</v>
          </cell>
          <cell r="P240">
            <v>0</v>
          </cell>
          <cell r="V240">
            <v>0</v>
          </cell>
          <cell r="AI240">
            <v>0</v>
          </cell>
        </row>
        <row r="241">
          <cell r="B241">
            <v>1</v>
          </cell>
          <cell r="C241">
            <v>233</v>
          </cell>
          <cell r="D241" t="str">
            <v>2233</v>
          </cell>
          <cell r="E241" t="str">
            <v>Prestations même division, Niveleuses</v>
          </cell>
          <cell r="F241">
            <v>0</v>
          </cell>
          <cell r="L241">
            <v>0</v>
          </cell>
          <cell r="P241">
            <v>0</v>
          </cell>
          <cell r="V241">
            <v>0</v>
          </cell>
          <cell r="AG241">
            <v>8124</v>
          </cell>
          <cell r="AI241">
            <v>8124</v>
          </cell>
        </row>
        <row r="242">
          <cell r="B242">
            <v>1</v>
          </cell>
          <cell r="C242">
            <v>234</v>
          </cell>
          <cell r="D242" t="str">
            <v>2234</v>
          </cell>
          <cell r="E242" t="str">
            <v>Prestations même division, Chargeuses</v>
          </cell>
          <cell r="F242">
            <v>0</v>
          </cell>
          <cell r="L242">
            <v>0</v>
          </cell>
          <cell r="P242">
            <v>0</v>
          </cell>
          <cell r="V242">
            <v>0</v>
          </cell>
          <cell r="AI242">
            <v>0</v>
          </cell>
        </row>
        <row r="243">
          <cell r="B243">
            <v>1</v>
          </cell>
          <cell r="C243">
            <v>235</v>
          </cell>
          <cell r="D243" t="str">
            <v>2235</v>
          </cell>
          <cell r="E243" t="str">
            <v>Prestations même division, Sondeuses</v>
          </cell>
          <cell r="F243">
            <v>0</v>
          </cell>
          <cell r="L243">
            <v>0</v>
          </cell>
          <cell r="P243">
            <v>0</v>
          </cell>
          <cell r="V243">
            <v>0</v>
          </cell>
          <cell r="AI243">
            <v>0</v>
          </cell>
        </row>
        <row r="244">
          <cell r="B244">
            <v>1</v>
          </cell>
          <cell r="C244">
            <v>236</v>
          </cell>
          <cell r="D244" t="str">
            <v>2236</v>
          </cell>
          <cell r="E244" t="str">
            <v>Prestations même division, Motoscrapers</v>
          </cell>
          <cell r="F244">
            <v>0</v>
          </cell>
          <cell r="L244">
            <v>0</v>
          </cell>
          <cell r="P244">
            <v>0</v>
          </cell>
          <cell r="V244">
            <v>0</v>
          </cell>
          <cell r="AI244">
            <v>0</v>
          </cell>
        </row>
        <row r="245">
          <cell r="B245">
            <v>1</v>
          </cell>
          <cell r="C245">
            <v>237</v>
          </cell>
          <cell r="D245" t="str">
            <v>2237</v>
          </cell>
          <cell r="E245" t="str">
            <v>Prestations même division, Garage véhicules</v>
          </cell>
          <cell r="F245">
            <v>0</v>
          </cell>
          <cell r="L245">
            <v>0</v>
          </cell>
          <cell r="P245">
            <v>0</v>
          </cell>
          <cell r="V245">
            <v>0</v>
          </cell>
          <cell r="Z245">
            <v>121596</v>
          </cell>
          <cell r="AH245">
            <v>740808</v>
          </cell>
          <cell r="AI245">
            <v>862404</v>
          </cell>
        </row>
        <row r="246">
          <cell r="B246">
            <v>1</v>
          </cell>
          <cell r="C246">
            <v>239</v>
          </cell>
          <cell r="D246" t="str">
            <v>2239</v>
          </cell>
          <cell r="E246" t="str">
            <v>Prestations même division, Locations véhicules et engins divers</v>
          </cell>
          <cell r="F246">
            <v>0</v>
          </cell>
          <cell r="I246">
            <v>780</v>
          </cell>
          <cell r="L246">
            <v>780</v>
          </cell>
          <cell r="N246">
            <v>5340</v>
          </cell>
          <cell r="P246">
            <v>5340</v>
          </cell>
          <cell r="V246">
            <v>0</v>
          </cell>
          <cell r="AH246">
            <v>22212</v>
          </cell>
          <cell r="AI246">
            <v>28332</v>
          </cell>
        </row>
        <row r="247">
          <cell r="B247">
            <v>1</v>
          </cell>
          <cell r="C247">
            <v>240</v>
          </cell>
          <cell r="D247" t="str">
            <v>2240</v>
          </cell>
          <cell r="E247" t="str">
            <v>Prestations même division, Matériel &amp; administration des réseaux</v>
          </cell>
          <cell r="F247">
            <v>0</v>
          </cell>
          <cell r="L247">
            <v>0</v>
          </cell>
          <cell r="P247">
            <v>0</v>
          </cell>
          <cell r="V247">
            <v>0</v>
          </cell>
          <cell r="AI247">
            <v>0</v>
          </cell>
        </row>
        <row r="248">
          <cell r="B248">
            <v>1</v>
          </cell>
          <cell r="C248">
            <v>241</v>
          </cell>
          <cell r="D248" t="str">
            <v>2241</v>
          </cell>
          <cell r="E248" t="str">
            <v>Prestations même division, Station service</v>
          </cell>
          <cell r="F248">
            <v>0</v>
          </cell>
          <cell r="L248">
            <v>0</v>
          </cell>
          <cell r="P248">
            <v>0</v>
          </cell>
          <cell r="V248">
            <v>0</v>
          </cell>
          <cell r="Z248">
            <v>612</v>
          </cell>
          <cell r="AI248">
            <v>612</v>
          </cell>
        </row>
        <row r="249">
          <cell r="B249">
            <v>1</v>
          </cell>
          <cell r="C249">
            <v>242</v>
          </cell>
          <cell r="D249" t="str">
            <v>2242</v>
          </cell>
          <cell r="E249" t="str">
            <v>Prestations même division, Laboratoire</v>
          </cell>
          <cell r="F249">
            <v>0</v>
          </cell>
          <cell r="L249">
            <v>0</v>
          </cell>
          <cell r="P249">
            <v>0</v>
          </cell>
          <cell r="V249">
            <v>0</v>
          </cell>
          <cell r="AI249">
            <v>0</v>
          </cell>
        </row>
        <row r="250">
          <cell r="B250">
            <v>1</v>
          </cell>
          <cell r="C250">
            <v>243</v>
          </cell>
          <cell r="D250" t="str">
            <v>2243</v>
          </cell>
          <cell r="E250" t="str">
            <v>Prestations même division, Imprimerie et micro-film</v>
          </cell>
          <cell r="F250">
            <v>0</v>
          </cell>
          <cell r="L250">
            <v>0</v>
          </cell>
          <cell r="P250">
            <v>0</v>
          </cell>
          <cell r="V250">
            <v>0</v>
          </cell>
          <cell r="AI250">
            <v>0</v>
          </cell>
        </row>
        <row r="251">
          <cell r="B251">
            <v>1</v>
          </cell>
          <cell r="C251">
            <v>244</v>
          </cell>
          <cell r="D251" t="str">
            <v>2244</v>
          </cell>
          <cell r="E251" t="str">
            <v>Prestations même division, Production informatique service ordinateur</v>
          </cell>
          <cell r="F251">
            <v>0</v>
          </cell>
          <cell r="L251">
            <v>0</v>
          </cell>
          <cell r="P251">
            <v>0</v>
          </cell>
          <cell r="V251">
            <v>0</v>
          </cell>
          <cell r="AI251">
            <v>0</v>
          </cell>
        </row>
        <row r="252">
          <cell r="B252">
            <v>1</v>
          </cell>
          <cell r="C252">
            <v>245</v>
          </cell>
          <cell r="D252" t="str">
            <v>2245</v>
          </cell>
          <cell r="E252" t="str">
            <v>Prestations même division, Télécommunications</v>
          </cell>
          <cell r="F252">
            <v>0</v>
          </cell>
          <cell r="L252">
            <v>0</v>
          </cell>
          <cell r="P252">
            <v>0</v>
          </cell>
          <cell r="V252">
            <v>0</v>
          </cell>
          <cell r="Z252">
            <v>26040</v>
          </cell>
          <cell r="AA252">
            <v>8484</v>
          </cell>
          <cell r="AD252">
            <v>1488</v>
          </cell>
          <cell r="AG252">
            <v>12012</v>
          </cell>
          <cell r="AH252">
            <v>23172</v>
          </cell>
          <cell r="AI252">
            <v>71196</v>
          </cell>
        </row>
        <row r="253">
          <cell r="B253">
            <v>1</v>
          </cell>
          <cell r="C253">
            <v>246</v>
          </cell>
          <cell r="D253" t="str">
            <v>2246</v>
          </cell>
          <cell r="E253" t="str">
            <v>Prestations même division, SA à répartir par pourcentage fixe (Ex surcode 0009)</v>
          </cell>
          <cell r="F253">
            <v>0</v>
          </cell>
          <cell r="L253">
            <v>0</v>
          </cell>
          <cell r="P253">
            <v>0</v>
          </cell>
          <cell r="V253">
            <v>0</v>
          </cell>
          <cell r="AI253">
            <v>0</v>
          </cell>
        </row>
        <row r="254">
          <cell r="B254">
            <v>1</v>
          </cell>
          <cell r="C254">
            <v>247</v>
          </cell>
          <cell r="D254" t="str">
            <v>2247</v>
          </cell>
          <cell r="E254" t="str">
            <v>Prestations même division, Bureautiques et maintenance</v>
          </cell>
          <cell r="F254">
            <v>0</v>
          </cell>
          <cell r="L254">
            <v>0</v>
          </cell>
          <cell r="P254">
            <v>0</v>
          </cell>
          <cell r="V254">
            <v>0</v>
          </cell>
          <cell r="AI254">
            <v>0</v>
          </cell>
        </row>
        <row r="255">
          <cell r="B255">
            <v>1</v>
          </cell>
          <cell r="C255">
            <v>248</v>
          </cell>
          <cell r="D255" t="str">
            <v>2248</v>
          </cell>
          <cell r="E255" t="str">
            <v>Prestations même division, Etudes diverses et développements informatiques</v>
          </cell>
          <cell r="F255">
            <v>0</v>
          </cell>
          <cell r="L255">
            <v>0</v>
          </cell>
          <cell r="P255">
            <v>0</v>
          </cell>
          <cell r="V255">
            <v>0</v>
          </cell>
          <cell r="AI255">
            <v>0</v>
          </cell>
        </row>
        <row r="256">
          <cell r="B256">
            <v>1</v>
          </cell>
          <cell r="C256">
            <v>249</v>
          </cell>
          <cell r="D256" t="str">
            <v>2249</v>
          </cell>
          <cell r="E256" t="str">
            <v>Prestations même division diverses</v>
          </cell>
          <cell r="F256">
            <v>0</v>
          </cell>
          <cell r="L256">
            <v>0</v>
          </cell>
          <cell r="P256">
            <v>0</v>
          </cell>
          <cell r="V256">
            <v>0</v>
          </cell>
          <cell r="AI256">
            <v>0</v>
          </cell>
        </row>
        <row r="257">
          <cell r="B257">
            <v>1</v>
          </cell>
          <cell r="C257">
            <v>250</v>
          </cell>
          <cell r="D257" t="str">
            <v>2250</v>
          </cell>
          <cell r="E257" t="str">
            <v>Prestations même division, Ateliers vulcanisation</v>
          </cell>
          <cell r="F257">
            <v>0</v>
          </cell>
          <cell r="L257">
            <v>0</v>
          </cell>
          <cell r="P257">
            <v>0</v>
          </cell>
          <cell r="V257">
            <v>0</v>
          </cell>
          <cell r="AI257">
            <v>0</v>
          </cell>
        </row>
        <row r="258">
          <cell r="B258">
            <v>1</v>
          </cell>
          <cell r="C258">
            <v>251</v>
          </cell>
          <cell r="D258" t="str">
            <v>2251</v>
          </cell>
          <cell r="E258" t="str">
            <v>Prestations même division, Ateliers de régulation</v>
          </cell>
          <cell r="F258">
            <v>0</v>
          </cell>
          <cell r="L258">
            <v>0</v>
          </cell>
          <cell r="P258">
            <v>0</v>
          </cell>
          <cell r="V258">
            <v>0</v>
          </cell>
          <cell r="AI258">
            <v>0</v>
          </cell>
        </row>
        <row r="259">
          <cell r="B259">
            <v>1</v>
          </cell>
          <cell r="C259">
            <v>252</v>
          </cell>
          <cell r="D259" t="str">
            <v>2252</v>
          </cell>
          <cell r="E259" t="str">
            <v>Prestations même division, Ateliers électriques draglines</v>
          </cell>
          <cell r="F259">
            <v>0</v>
          </cell>
          <cell r="L259">
            <v>0</v>
          </cell>
          <cell r="P259">
            <v>0</v>
          </cell>
          <cell r="V259">
            <v>0</v>
          </cell>
          <cell r="AI259">
            <v>0</v>
          </cell>
        </row>
        <row r="260">
          <cell r="B260">
            <v>1</v>
          </cell>
          <cell r="C260">
            <v>253</v>
          </cell>
          <cell r="D260" t="str">
            <v>2253</v>
          </cell>
          <cell r="E260" t="str">
            <v>Prestations même division, Ateliers chaudronnerie entretien</v>
          </cell>
          <cell r="F260">
            <v>0</v>
          </cell>
          <cell r="L260">
            <v>0</v>
          </cell>
          <cell r="P260">
            <v>0</v>
          </cell>
          <cell r="V260">
            <v>0</v>
          </cell>
          <cell r="AI260">
            <v>0</v>
          </cell>
        </row>
        <row r="261">
          <cell r="B261">
            <v>1</v>
          </cell>
          <cell r="C261">
            <v>254</v>
          </cell>
          <cell r="D261" t="str">
            <v>2254</v>
          </cell>
          <cell r="E261" t="str">
            <v>Prestations même division, Ateliers électriques installations</v>
          </cell>
          <cell r="F261">
            <v>0</v>
          </cell>
          <cell r="L261">
            <v>0</v>
          </cell>
          <cell r="P261">
            <v>0</v>
          </cell>
          <cell r="V261">
            <v>0</v>
          </cell>
          <cell r="AI261">
            <v>0</v>
          </cell>
        </row>
        <row r="262">
          <cell r="B262">
            <v>1</v>
          </cell>
          <cell r="C262">
            <v>255</v>
          </cell>
          <cell r="D262" t="str">
            <v>2255</v>
          </cell>
          <cell r="E262" t="str">
            <v>Prestations même division, Ateliers sous-ensembles</v>
          </cell>
          <cell r="F262">
            <v>0</v>
          </cell>
          <cell r="L262">
            <v>0</v>
          </cell>
          <cell r="P262">
            <v>0</v>
          </cell>
          <cell r="V262">
            <v>0</v>
          </cell>
          <cell r="AI262">
            <v>0</v>
          </cell>
        </row>
        <row r="263">
          <cell r="B263">
            <v>1</v>
          </cell>
          <cell r="C263">
            <v>256</v>
          </cell>
          <cell r="D263" t="str">
            <v>2256</v>
          </cell>
          <cell r="E263" t="str">
            <v>Prestations même division, Ateliers de réparation véhicules</v>
          </cell>
          <cell r="F263">
            <v>0</v>
          </cell>
          <cell r="L263">
            <v>0</v>
          </cell>
          <cell r="P263">
            <v>0</v>
          </cell>
          <cell r="V263">
            <v>0</v>
          </cell>
          <cell r="AI263">
            <v>0</v>
          </cell>
        </row>
        <row r="264">
          <cell r="B264">
            <v>1</v>
          </cell>
          <cell r="C264">
            <v>257</v>
          </cell>
          <cell r="D264" t="str">
            <v>2257</v>
          </cell>
          <cell r="E264" t="str">
            <v>Prestations même division, Ateliers machines-outils, Ajustage et montage</v>
          </cell>
          <cell r="F264">
            <v>0</v>
          </cell>
          <cell r="L264">
            <v>0</v>
          </cell>
          <cell r="P264">
            <v>0</v>
          </cell>
          <cell r="V264">
            <v>0</v>
          </cell>
          <cell r="AI264">
            <v>0</v>
          </cell>
        </row>
        <row r="265">
          <cell r="B265">
            <v>1</v>
          </cell>
          <cell r="C265">
            <v>260</v>
          </cell>
          <cell r="D265" t="str">
            <v>2260</v>
          </cell>
          <cell r="E265" t="str">
            <v>Prestations même division, Surveillance de chantier</v>
          </cell>
          <cell r="F265">
            <v>0</v>
          </cell>
          <cell r="L265">
            <v>0</v>
          </cell>
          <cell r="P265">
            <v>0</v>
          </cell>
          <cell r="V265">
            <v>0</v>
          </cell>
          <cell r="AI265">
            <v>0</v>
          </cell>
        </row>
        <row r="266">
          <cell r="B266">
            <v>1</v>
          </cell>
          <cell r="C266">
            <v>261</v>
          </cell>
          <cell r="D266" t="str">
            <v>2261</v>
          </cell>
          <cell r="E266" t="str">
            <v>Prestations même division, Equipes de sautage</v>
          </cell>
          <cell r="F266">
            <v>0</v>
          </cell>
          <cell r="L266">
            <v>0</v>
          </cell>
          <cell r="P266">
            <v>0</v>
          </cell>
          <cell r="V266">
            <v>0</v>
          </cell>
          <cell r="AI266">
            <v>0</v>
          </cell>
        </row>
        <row r="267">
          <cell r="B267">
            <v>1</v>
          </cell>
          <cell r="C267">
            <v>262</v>
          </cell>
          <cell r="D267" t="str">
            <v>2262</v>
          </cell>
          <cell r="E267" t="str">
            <v>Prestations même division de conduite</v>
          </cell>
          <cell r="F267">
            <v>0</v>
          </cell>
          <cell r="L267">
            <v>0</v>
          </cell>
          <cell r="P267">
            <v>0</v>
          </cell>
          <cell r="V267">
            <v>0</v>
          </cell>
          <cell r="AI267">
            <v>0</v>
          </cell>
        </row>
        <row r="268">
          <cell r="B268">
            <v>1</v>
          </cell>
          <cell r="C268">
            <v>263</v>
          </cell>
          <cell r="D268" t="str">
            <v>2263</v>
          </cell>
          <cell r="E268" t="str">
            <v>Prestations même division, Equipes mouvement de câble</v>
          </cell>
          <cell r="F268">
            <v>0</v>
          </cell>
          <cell r="L268">
            <v>0</v>
          </cell>
          <cell r="P268">
            <v>0</v>
          </cell>
          <cell r="V268">
            <v>0</v>
          </cell>
          <cell r="AI268">
            <v>0</v>
          </cell>
        </row>
        <row r="269">
          <cell r="B269">
            <v>1</v>
          </cell>
          <cell r="C269">
            <v>270</v>
          </cell>
          <cell r="D269" t="str">
            <v>2270</v>
          </cell>
          <cell r="E269" t="str">
            <v>Prestations même division, Aménagement plate-forme sondeuses</v>
          </cell>
          <cell r="F269">
            <v>0</v>
          </cell>
          <cell r="L269">
            <v>0</v>
          </cell>
          <cell r="P269">
            <v>0</v>
          </cell>
          <cell r="V269">
            <v>0</v>
          </cell>
          <cell r="AI269">
            <v>0</v>
          </cell>
        </row>
        <row r="270">
          <cell r="B270">
            <v>1</v>
          </cell>
          <cell r="C270">
            <v>271</v>
          </cell>
          <cell r="D270" t="str">
            <v>2271</v>
          </cell>
          <cell r="E270" t="str">
            <v>Prestations même division, Aménagement plate-forme machines&amp;acompagnement</v>
          </cell>
          <cell r="F270">
            <v>0</v>
          </cell>
          <cell r="L270">
            <v>0</v>
          </cell>
          <cell r="P270">
            <v>0</v>
          </cell>
          <cell r="V270">
            <v>0</v>
          </cell>
          <cell r="AI270">
            <v>0</v>
          </cell>
        </row>
        <row r="271">
          <cell r="B271">
            <v>1</v>
          </cell>
          <cell r="C271">
            <v>272</v>
          </cell>
          <cell r="D271" t="str">
            <v>2272</v>
          </cell>
          <cell r="E271" t="str">
            <v>Prestations même division, Prélèvement par bulls</v>
          </cell>
          <cell r="F271">
            <v>0</v>
          </cell>
          <cell r="L271">
            <v>0</v>
          </cell>
          <cell r="P271">
            <v>0</v>
          </cell>
          <cell r="V271">
            <v>0</v>
          </cell>
          <cell r="AI271">
            <v>0</v>
          </cell>
        </row>
        <row r="272">
          <cell r="B272">
            <v>1</v>
          </cell>
          <cell r="C272">
            <v>273</v>
          </cell>
          <cell r="D272" t="str">
            <v>2273</v>
          </cell>
          <cell r="E272" t="str">
            <v>Prestations même division, Gerbage</v>
          </cell>
          <cell r="F272">
            <v>0</v>
          </cell>
          <cell r="L272">
            <v>0</v>
          </cell>
          <cell r="P272">
            <v>0</v>
          </cell>
          <cell r="V272">
            <v>0</v>
          </cell>
          <cell r="AI272">
            <v>0</v>
          </cell>
        </row>
        <row r="273">
          <cell r="B273">
            <v>1</v>
          </cell>
          <cell r="C273">
            <v>274</v>
          </cell>
          <cell r="D273" t="str">
            <v>2274</v>
          </cell>
          <cell r="E273" t="str">
            <v>Prestations même division, Aménagement décharge</v>
          </cell>
          <cell r="F273">
            <v>0</v>
          </cell>
          <cell r="L273">
            <v>0</v>
          </cell>
          <cell r="P273">
            <v>0</v>
          </cell>
          <cell r="V273">
            <v>0</v>
          </cell>
          <cell r="AI273">
            <v>0</v>
          </cell>
        </row>
        <row r="274">
          <cell r="B274">
            <v>1</v>
          </cell>
          <cell r="C274">
            <v>275</v>
          </cell>
          <cell r="D274" t="str">
            <v>2275</v>
          </cell>
          <cell r="E274" t="str">
            <v>Prestations Aménagement stocks</v>
          </cell>
          <cell r="F274">
            <v>0</v>
          </cell>
          <cell r="L274">
            <v>0</v>
          </cell>
          <cell r="P274">
            <v>0</v>
          </cell>
          <cell r="V274">
            <v>0</v>
          </cell>
          <cell r="AI274">
            <v>0</v>
          </cell>
        </row>
        <row r="275">
          <cell r="B275">
            <v>1</v>
          </cell>
          <cell r="C275">
            <v>276</v>
          </cell>
          <cell r="D275" t="str">
            <v>2276</v>
          </cell>
          <cell r="E275" t="str">
            <v>Prestations même division, Travaux de piste</v>
          </cell>
          <cell r="F275">
            <v>0</v>
          </cell>
          <cell r="L275">
            <v>0</v>
          </cell>
          <cell r="P275">
            <v>0</v>
          </cell>
          <cell r="V275">
            <v>0</v>
          </cell>
          <cell r="AI275">
            <v>0</v>
          </cell>
        </row>
        <row r="276">
          <cell r="B276">
            <v>1</v>
          </cell>
          <cell r="C276">
            <v>280</v>
          </cell>
          <cell r="D276" t="str">
            <v>2280</v>
          </cell>
          <cell r="E276" t="str">
            <v>Prestations même division, Prélèvement</v>
          </cell>
          <cell r="F276">
            <v>0</v>
          </cell>
          <cell r="L276">
            <v>0</v>
          </cell>
          <cell r="P276">
            <v>0</v>
          </cell>
          <cell r="V276">
            <v>0</v>
          </cell>
          <cell r="AI276">
            <v>0</v>
          </cell>
        </row>
        <row r="277">
          <cell r="B277">
            <v>1</v>
          </cell>
          <cell r="C277">
            <v>300</v>
          </cell>
          <cell r="D277" t="str">
            <v>2300</v>
          </cell>
          <cell r="E277" t="str">
            <v>Prestations autres divisions, Jardinages et pépinières</v>
          </cell>
          <cell r="F277">
            <v>0</v>
          </cell>
          <cell r="L277">
            <v>0</v>
          </cell>
          <cell r="P277">
            <v>0</v>
          </cell>
          <cell r="V277">
            <v>0</v>
          </cell>
          <cell r="AH277">
            <v>4332</v>
          </cell>
          <cell r="AI277">
            <v>4332</v>
          </cell>
        </row>
        <row r="278">
          <cell r="B278">
            <v>1</v>
          </cell>
          <cell r="C278">
            <v>301</v>
          </cell>
          <cell r="D278" t="str">
            <v>2301</v>
          </cell>
          <cell r="E278" t="str">
            <v>Prestations autres divisions, Nettoyage</v>
          </cell>
          <cell r="F278">
            <v>0</v>
          </cell>
          <cell r="L278">
            <v>0</v>
          </cell>
          <cell r="P278">
            <v>0</v>
          </cell>
          <cell r="R278">
            <v>780</v>
          </cell>
          <cell r="V278">
            <v>0</v>
          </cell>
          <cell r="AH278">
            <v>4596</v>
          </cell>
          <cell r="AI278">
            <v>5376</v>
          </cell>
        </row>
        <row r="279">
          <cell r="B279">
            <v>1</v>
          </cell>
          <cell r="C279">
            <v>302</v>
          </cell>
          <cell r="D279" t="str">
            <v>2302</v>
          </cell>
          <cell r="E279" t="str">
            <v>Prestations autres divisions, Menuiserie</v>
          </cell>
          <cell r="F279">
            <v>0</v>
          </cell>
          <cell r="L279">
            <v>0</v>
          </cell>
          <cell r="N279">
            <v>972</v>
          </cell>
          <cell r="O279">
            <v>324</v>
          </cell>
          <cell r="P279">
            <v>1296</v>
          </cell>
          <cell r="V279">
            <v>0</v>
          </cell>
          <cell r="AG279">
            <v>372</v>
          </cell>
          <cell r="AI279">
            <v>1668</v>
          </cell>
        </row>
        <row r="280">
          <cell r="B280">
            <v>1</v>
          </cell>
          <cell r="C280">
            <v>303</v>
          </cell>
          <cell r="D280" t="str">
            <v>2303</v>
          </cell>
          <cell r="E280" t="str">
            <v>Prestations autres divisions, Peinture et vitrerie</v>
          </cell>
          <cell r="F280">
            <v>0</v>
          </cell>
          <cell r="L280">
            <v>0</v>
          </cell>
          <cell r="P280">
            <v>0</v>
          </cell>
          <cell r="V280">
            <v>0</v>
          </cell>
          <cell r="AI280">
            <v>0</v>
          </cell>
        </row>
        <row r="281">
          <cell r="B281">
            <v>1</v>
          </cell>
          <cell r="C281">
            <v>304</v>
          </cell>
          <cell r="D281" t="str">
            <v>2304</v>
          </cell>
          <cell r="E281" t="str">
            <v>Prestations autres divisions, Plomberie</v>
          </cell>
          <cell r="F281">
            <v>0</v>
          </cell>
          <cell r="L281">
            <v>0</v>
          </cell>
          <cell r="P281">
            <v>0</v>
          </cell>
          <cell r="V281">
            <v>0</v>
          </cell>
          <cell r="AH281">
            <v>2448</v>
          </cell>
          <cell r="AI281">
            <v>2448</v>
          </cell>
        </row>
        <row r="282">
          <cell r="B282">
            <v>1</v>
          </cell>
          <cell r="C282">
            <v>305</v>
          </cell>
          <cell r="D282" t="str">
            <v>2305</v>
          </cell>
          <cell r="E282" t="str">
            <v>Prestations autres divisions, Froid et climatisation</v>
          </cell>
          <cell r="F282">
            <v>0</v>
          </cell>
          <cell r="L282">
            <v>0</v>
          </cell>
          <cell r="P282">
            <v>0</v>
          </cell>
          <cell r="V282">
            <v>0</v>
          </cell>
          <cell r="AI282">
            <v>0</v>
          </cell>
        </row>
        <row r="283">
          <cell r="B283">
            <v>1</v>
          </cell>
          <cell r="C283">
            <v>307</v>
          </cell>
          <cell r="D283" t="str">
            <v>2307</v>
          </cell>
          <cell r="E283" t="str">
            <v>Prestations autres divisions, Agencement mobilier</v>
          </cell>
          <cell r="F283">
            <v>0</v>
          </cell>
          <cell r="L283">
            <v>0</v>
          </cell>
          <cell r="P283">
            <v>0</v>
          </cell>
          <cell r="V283">
            <v>0</v>
          </cell>
          <cell r="AI283">
            <v>0</v>
          </cell>
        </row>
        <row r="284">
          <cell r="B284">
            <v>1</v>
          </cell>
          <cell r="C284">
            <v>310</v>
          </cell>
          <cell r="D284" t="str">
            <v>2310</v>
          </cell>
          <cell r="E284" t="str">
            <v>Prestations autres divisions, Ateliers électroniques</v>
          </cell>
          <cell r="F284">
            <v>0</v>
          </cell>
          <cell r="L284">
            <v>0</v>
          </cell>
          <cell r="P284">
            <v>0</v>
          </cell>
          <cell r="V284">
            <v>0</v>
          </cell>
          <cell r="AI284">
            <v>0</v>
          </cell>
        </row>
        <row r="285">
          <cell r="B285">
            <v>1</v>
          </cell>
          <cell r="C285">
            <v>311</v>
          </cell>
          <cell r="D285" t="str">
            <v>2311</v>
          </cell>
          <cell r="E285" t="str">
            <v>Prestations autres divisions, Ateliers mécaniques</v>
          </cell>
          <cell r="F285">
            <v>0</v>
          </cell>
          <cell r="L285">
            <v>0</v>
          </cell>
          <cell r="P285">
            <v>0</v>
          </cell>
          <cell r="V285">
            <v>0</v>
          </cell>
          <cell r="AI285">
            <v>0</v>
          </cell>
        </row>
        <row r="286">
          <cell r="B286">
            <v>1</v>
          </cell>
          <cell r="C286">
            <v>312</v>
          </cell>
          <cell r="D286" t="str">
            <v>2312</v>
          </cell>
          <cell r="E286" t="str">
            <v>Prestations autres divisions, Ateliers éléctriques</v>
          </cell>
          <cell r="F286">
            <v>0</v>
          </cell>
          <cell r="L286">
            <v>0</v>
          </cell>
          <cell r="P286">
            <v>0</v>
          </cell>
          <cell r="V286">
            <v>0</v>
          </cell>
          <cell r="AI286">
            <v>0</v>
          </cell>
        </row>
        <row r="287">
          <cell r="B287">
            <v>1</v>
          </cell>
          <cell r="C287">
            <v>313</v>
          </cell>
          <cell r="D287" t="str">
            <v>2313</v>
          </cell>
          <cell r="E287" t="str">
            <v>Prestations autres divisions, Ateliers draglines</v>
          </cell>
          <cell r="F287">
            <v>0</v>
          </cell>
          <cell r="L287">
            <v>0</v>
          </cell>
          <cell r="P287">
            <v>0</v>
          </cell>
          <cell r="V287">
            <v>0</v>
          </cell>
          <cell r="AI287">
            <v>0</v>
          </cell>
        </row>
        <row r="288">
          <cell r="B288">
            <v>1</v>
          </cell>
          <cell r="C288">
            <v>314</v>
          </cell>
          <cell r="D288" t="str">
            <v>2314</v>
          </cell>
          <cell r="E288" t="str">
            <v>Prestations autres divisions, Ateliers des eaux</v>
          </cell>
          <cell r="F288">
            <v>0</v>
          </cell>
          <cell r="L288">
            <v>0</v>
          </cell>
          <cell r="P288">
            <v>0</v>
          </cell>
          <cell r="V288">
            <v>0</v>
          </cell>
          <cell r="AI288">
            <v>0</v>
          </cell>
        </row>
        <row r="289">
          <cell r="B289">
            <v>1</v>
          </cell>
          <cell r="C289">
            <v>315</v>
          </cell>
          <cell r="D289" t="str">
            <v>2315</v>
          </cell>
          <cell r="E289" t="str">
            <v>Prestations autres divisions, Ateliers génie civil</v>
          </cell>
          <cell r="F289">
            <v>0</v>
          </cell>
          <cell r="L289">
            <v>0</v>
          </cell>
          <cell r="P289">
            <v>0</v>
          </cell>
          <cell r="V289">
            <v>0</v>
          </cell>
          <cell r="AH289">
            <v>1800</v>
          </cell>
          <cell r="AI289">
            <v>1800</v>
          </cell>
        </row>
        <row r="290">
          <cell r="B290">
            <v>1</v>
          </cell>
          <cell r="C290">
            <v>316</v>
          </cell>
          <cell r="D290" t="str">
            <v>2316</v>
          </cell>
          <cell r="E290" t="str">
            <v>Prestations autres divisions, Géologie</v>
          </cell>
          <cell r="F290">
            <v>0</v>
          </cell>
          <cell r="L290">
            <v>0</v>
          </cell>
          <cell r="P290">
            <v>0</v>
          </cell>
          <cell r="V290">
            <v>0</v>
          </cell>
          <cell r="AI290">
            <v>0</v>
          </cell>
        </row>
        <row r="291">
          <cell r="B291">
            <v>1</v>
          </cell>
          <cell r="C291">
            <v>317</v>
          </cell>
          <cell r="D291" t="str">
            <v>2317</v>
          </cell>
          <cell r="E291" t="str">
            <v>Prestations autres divisions, Ateliers pneumatique</v>
          </cell>
          <cell r="F291">
            <v>0</v>
          </cell>
          <cell r="L291">
            <v>0</v>
          </cell>
          <cell r="P291">
            <v>0</v>
          </cell>
          <cell r="V291">
            <v>0</v>
          </cell>
          <cell r="AI291">
            <v>0</v>
          </cell>
        </row>
        <row r="292">
          <cell r="B292">
            <v>1</v>
          </cell>
          <cell r="C292">
            <v>318</v>
          </cell>
          <cell r="D292" t="str">
            <v>2318</v>
          </cell>
          <cell r="E292" t="str">
            <v>Prestations autres divisions, Ateliers chaudronnerie lourde</v>
          </cell>
          <cell r="F292">
            <v>0</v>
          </cell>
          <cell r="L292">
            <v>0</v>
          </cell>
          <cell r="P292">
            <v>0</v>
          </cell>
          <cell r="V292">
            <v>0</v>
          </cell>
          <cell r="AI292">
            <v>0</v>
          </cell>
        </row>
        <row r="293">
          <cell r="B293">
            <v>1</v>
          </cell>
          <cell r="C293">
            <v>319</v>
          </cell>
          <cell r="D293" t="str">
            <v>2319</v>
          </cell>
          <cell r="E293" t="str">
            <v>Prestations autres divisions, Ateliers des engins divers</v>
          </cell>
          <cell r="F293">
            <v>0</v>
          </cell>
          <cell r="L293">
            <v>0</v>
          </cell>
          <cell r="P293">
            <v>0</v>
          </cell>
          <cell r="V293">
            <v>0</v>
          </cell>
          <cell r="AI293">
            <v>0</v>
          </cell>
        </row>
        <row r="294">
          <cell r="B294">
            <v>1</v>
          </cell>
          <cell r="C294">
            <v>330</v>
          </cell>
          <cell r="D294" t="str">
            <v>2330</v>
          </cell>
          <cell r="E294" t="str">
            <v>Prestations autres divisions, Draglines et pelles</v>
          </cell>
          <cell r="F294">
            <v>0</v>
          </cell>
          <cell r="L294">
            <v>0</v>
          </cell>
          <cell r="P294">
            <v>0</v>
          </cell>
          <cell r="V294">
            <v>0</v>
          </cell>
          <cell r="AI294">
            <v>0</v>
          </cell>
        </row>
        <row r="295">
          <cell r="B295">
            <v>1</v>
          </cell>
          <cell r="C295">
            <v>331</v>
          </cell>
          <cell r="D295" t="str">
            <v>2331</v>
          </cell>
          <cell r="E295" t="str">
            <v>Prestations autres divisions, Camions de chantier</v>
          </cell>
          <cell r="F295">
            <v>0</v>
          </cell>
          <cell r="L295">
            <v>0</v>
          </cell>
          <cell r="P295">
            <v>0</v>
          </cell>
          <cell r="V295">
            <v>0</v>
          </cell>
          <cell r="AI295">
            <v>0</v>
          </cell>
        </row>
        <row r="296">
          <cell r="B296">
            <v>1</v>
          </cell>
          <cell r="C296">
            <v>332</v>
          </cell>
          <cell r="D296" t="str">
            <v>2332</v>
          </cell>
          <cell r="E296" t="str">
            <v>Prestations autres divisions, Bulldzers</v>
          </cell>
          <cell r="F296">
            <v>0</v>
          </cell>
          <cell r="L296">
            <v>0</v>
          </cell>
          <cell r="P296">
            <v>0</v>
          </cell>
          <cell r="V296">
            <v>0</v>
          </cell>
          <cell r="AI296">
            <v>0</v>
          </cell>
        </row>
        <row r="297">
          <cell r="B297">
            <v>1</v>
          </cell>
          <cell r="C297">
            <v>333</v>
          </cell>
          <cell r="D297" t="str">
            <v>2333</v>
          </cell>
          <cell r="E297" t="str">
            <v>Prestations autres divisions, Niveleuses</v>
          </cell>
          <cell r="F297">
            <v>0</v>
          </cell>
          <cell r="L297">
            <v>0</v>
          </cell>
          <cell r="P297">
            <v>0</v>
          </cell>
          <cell r="V297">
            <v>0</v>
          </cell>
          <cell r="AI297">
            <v>0</v>
          </cell>
        </row>
        <row r="298">
          <cell r="B298">
            <v>1</v>
          </cell>
          <cell r="C298">
            <v>334</v>
          </cell>
          <cell r="D298" t="str">
            <v>2334</v>
          </cell>
          <cell r="E298" t="str">
            <v>Prestations autres divisions, Chargeuses</v>
          </cell>
          <cell r="F298">
            <v>0</v>
          </cell>
          <cell r="L298">
            <v>0</v>
          </cell>
          <cell r="P298">
            <v>0</v>
          </cell>
          <cell r="V298">
            <v>0</v>
          </cell>
          <cell r="AI298">
            <v>0</v>
          </cell>
        </row>
        <row r="299">
          <cell r="B299">
            <v>1</v>
          </cell>
          <cell r="C299">
            <v>335</v>
          </cell>
          <cell r="D299" t="str">
            <v>2335</v>
          </cell>
          <cell r="E299" t="str">
            <v>Prestations autres divisions, Sondeuses</v>
          </cell>
          <cell r="F299">
            <v>0</v>
          </cell>
          <cell r="L299">
            <v>0</v>
          </cell>
          <cell r="P299">
            <v>0</v>
          </cell>
          <cell r="V299">
            <v>0</v>
          </cell>
          <cell r="AI299">
            <v>0</v>
          </cell>
        </row>
        <row r="300">
          <cell r="B300">
            <v>1</v>
          </cell>
          <cell r="C300">
            <v>336</v>
          </cell>
          <cell r="D300" t="str">
            <v>2336</v>
          </cell>
          <cell r="E300" t="str">
            <v>Prestations autres divisions, Moto scrapers</v>
          </cell>
          <cell r="F300">
            <v>0</v>
          </cell>
          <cell r="L300">
            <v>0</v>
          </cell>
          <cell r="P300">
            <v>0</v>
          </cell>
          <cell r="V300">
            <v>0</v>
          </cell>
          <cell r="AI300">
            <v>0</v>
          </cell>
        </row>
        <row r="301">
          <cell r="B301">
            <v>1</v>
          </cell>
          <cell r="C301">
            <v>337</v>
          </cell>
          <cell r="D301" t="str">
            <v>2337</v>
          </cell>
          <cell r="E301" t="str">
            <v>Prestations autres divisions, Garage véhicules</v>
          </cell>
          <cell r="F301">
            <v>0</v>
          </cell>
          <cell r="L301">
            <v>0</v>
          </cell>
          <cell r="P301">
            <v>0</v>
          </cell>
          <cell r="V301">
            <v>0</v>
          </cell>
          <cell r="AI301">
            <v>0</v>
          </cell>
        </row>
        <row r="302">
          <cell r="B302">
            <v>1</v>
          </cell>
          <cell r="C302">
            <v>339</v>
          </cell>
          <cell r="D302" t="str">
            <v>2339</v>
          </cell>
          <cell r="E302" t="str">
            <v>Prestations autres divisions, Locations véhicules et engins divers</v>
          </cell>
          <cell r="F302">
            <v>0</v>
          </cell>
          <cell r="L302">
            <v>0</v>
          </cell>
          <cell r="P302">
            <v>0</v>
          </cell>
          <cell r="V302">
            <v>0</v>
          </cell>
          <cell r="AI302">
            <v>0</v>
          </cell>
        </row>
        <row r="303">
          <cell r="B303">
            <v>1</v>
          </cell>
          <cell r="C303">
            <v>340</v>
          </cell>
          <cell r="D303" t="str">
            <v>2340</v>
          </cell>
          <cell r="E303" t="str">
            <v>Prestations autres divisions, Matériels et administration des réseaux</v>
          </cell>
          <cell r="F303">
            <v>0</v>
          </cell>
          <cell r="L303">
            <v>0</v>
          </cell>
          <cell r="P303">
            <v>0</v>
          </cell>
          <cell r="V303">
            <v>0</v>
          </cell>
          <cell r="AI303">
            <v>0</v>
          </cell>
        </row>
        <row r="304">
          <cell r="B304">
            <v>1</v>
          </cell>
          <cell r="C304">
            <v>341</v>
          </cell>
          <cell r="D304" t="str">
            <v>2341</v>
          </cell>
          <cell r="E304" t="str">
            <v>Prestations autres divisions, Station service</v>
          </cell>
          <cell r="F304">
            <v>0</v>
          </cell>
          <cell r="L304">
            <v>0</v>
          </cell>
          <cell r="P304">
            <v>0</v>
          </cell>
          <cell r="V304">
            <v>0</v>
          </cell>
          <cell r="AI304">
            <v>0</v>
          </cell>
        </row>
        <row r="305">
          <cell r="B305">
            <v>1</v>
          </cell>
          <cell r="C305">
            <v>342</v>
          </cell>
          <cell r="D305" t="str">
            <v>2342</v>
          </cell>
          <cell r="E305" t="str">
            <v>Prestations autres divisions, Laboratoires</v>
          </cell>
          <cell r="F305">
            <v>0</v>
          </cell>
          <cell r="L305">
            <v>0</v>
          </cell>
          <cell r="P305">
            <v>0</v>
          </cell>
          <cell r="V305">
            <v>0</v>
          </cell>
          <cell r="Z305">
            <v>26544</v>
          </cell>
          <cell r="AH305">
            <v>226260</v>
          </cell>
          <cell r="AI305">
            <v>252804</v>
          </cell>
        </row>
        <row r="306">
          <cell r="B306">
            <v>1</v>
          </cell>
          <cell r="C306">
            <v>343</v>
          </cell>
          <cell r="D306" t="str">
            <v>2343</v>
          </cell>
          <cell r="E306" t="str">
            <v>Prestations autres divisions, Imprimerie et micro-film</v>
          </cell>
          <cell r="F306">
            <v>0</v>
          </cell>
          <cell r="L306">
            <v>0</v>
          </cell>
          <cell r="P306">
            <v>0</v>
          </cell>
          <cell r="V306">
            <v>0</v>
          </cell>
          <cell r="AI306">
            <v>0</v>
          </cell>
        </row>
        <row r="307">
          <cell r="B307">
            <v>1</v>
          </cell>
          <cell r="C307">
            <v>344</v>
          </cell>
          <cell r="D307" t="str">
            <v>2344</v>
          </cell>
          <cell r="E307" t="str">
            <v>Prestations autres divisions, Production informatique service ordinateur</v>
          </cell>
          <cell r="F307">
            <v>0</v>
          </cell>
          <cell r="L307">
            <v>0</v>
          </cell>
          <cell r="P307">
            <v>0</v>
          </cell>
          <cell r="V307">
            <v>0</v>
          </cell>
          <cell r="AI307">
            <v>0</v>
          </cell>
        </row>
        <row r="308">
          <cell r="B308">
            <v>1</v>
          </cell>
          <cell r="C308">
            <v>345</v>
          </cell>
          <cell r="D308" t="str">
            <v>2345</v>
          </cell>
          <cell r="E308" t="str">
            <v>Prestations autres divisions, Télécommunications</v>
          </cell>
          <cell r="F308">
            <v>0</v>
          </cell>
          <cell r="L308">
            <v>0</v>
          </cell>
          <cell r="P308">
            <v>0</v>
          </cell>
          <cell r="V308">
            <v>0</v>
          </cell>
          <cell r="AI308">
            <v>0</v>
          </cell>
        </row>
        <row r="309">
          <cell r="B309">
            <v>1</v>
          </cell>
          <cell r="C309">
            <v>347</v>
          </cell>
          <cell r="D309" t="str">
            <v>2347</v>
          </cell>
          <cell r="E309" t="str">
            <v>Prestations autres divisions, Bureautiques et maintenance</v>
          </cell>
          <cell r="F309">
            <v>0</v>
          </cell>
          <cell r="L309">
            <v>0</v>
          </cell>
          <cell r="P309">
            <v>0</v>
          </cell>
          <cell r="V309">
            <v>0</v>
          </cell>
          <cell r="AI309">
            <v>0</v>
          </cell>
        </row>
        <row r="310">
          <cell r="B310">
            <v>1</v>
          </cell>
          <cell r="C310">
            <v>348</v>
          </cell>
          <cell r="D310" t="str">
            <v>2348</v>
          </cell>
          <cell r="E310" t="str">
            <v>Prestations autres divisions, études diverses et développements informatiques</v>
          </cell>
          <cell r="F310">
            <v>0</v>
          </cell>
          <cell r="L310">
            <v>0</v>
          </cell>
          <cell r="P310">
            <v>0</v>
          </cell>
          <cell r="V310">
            <v>0</v>
          </cell>
          <cell r="AI310">
            <v>0</v>
          </cell>
        </row>
        <row r="311">
          <cell r="B311">
            <v>1</v>
          </cell>
          <cell r="C311">
            <v>349</v>
          </cell>
          <cell r="D311" t="str">
            <v>2349</v>
          </cell>
          <cell r="E311" t="str">
            <v>Prestations autres divisions diverses</v>
          </cell>
          <cell r="F311">
            <v>0</v>
          </cell>
          <cell r="L311">
            <v>0</v>
          </cell>
          <cell r="P311">
            <v>0</v>
          </cell>
          <cell r="V311">
            <v>0</v>
          </cell>
          <cell r="AI311">
            <v>0</v>
          </cell>
        </row>
        <row r="312">
          <cell r="B312">
            <v>1</v>
          </cell>
          <cell r="C312">
            <v>350</v>
          </cell>
          <cell r="D312" t="str">
            <v>2350</v>
          </cell>
          <cell r="E312" t="str">
            <v>Prestations autres divisions, Ateliers vulcanisation</v>
          </cell>
          <cell r="F312">
            <v>0</v>
          </cell>
          <cell r="L312">
            <v>0</v>
          </cell>
          <cell r="P312">
            <v>0</v>
          </cell>
          <cell r="V312">
            <v>0</v>
          </cell>
          <cell r="AI312">
            <v>0</v>
          </cell>
        </row>
        <row r="313">
          <cell r="B313">
            <v>1</v>
          </cell>
          <cell r="C313">
            <v>351</v>
          </cell>
          <cell r="D313" t="str">
            <v>2351</v>
          </cell>
          <cell r="E313" t="str">
            <v>Prestations autres divisions, Ateliers de régulation</v>
          </cell>
          <cell r="F313">
            <v>0</v>
          </cell>
          <cell r="L313">
            <v>0</v>
          </cell>
          <cell r="P313">
            <v>0</v>
          </cell>
          <cell r="V313">
            <v>0</v>
          </cell>
          <cell r="AI313">
            <v>0</v>
          </cell>
        </row>
        <row r="314">
          <cell r="B314">
            <v>1</v>
          </cell>
          <cell r="C314">
            <v>352</v>
          </cell>
          <cell r="D314" t="str">
            <v>2352</v>
          </cell>
          <cell r="E314" t="str">
            <v>Prestations autres divisions, Atelier électrique draglines</v>
          </cell>
          <cell r="F314">
            <v>0</v>
          </cell>
          <cell r="L314">
            <v>0</v>
          </cell>
          <cell r="P314">
            <v>0</v>
          </cell>
          <cell r="V314">
            <v>0</v>
          </cell>
          <cell r="AI314">
            <v>0</v>
          </cell>
        </row>
        <row r="315">
          <cell r="B315">
            <v>1</v>
          </cell>
          <cell r="C315">
            <v>353</v>
          </cell>
          <cell r="D315" t="str">
            <v>2353</v>
          </cell>
          <cell r="E315" t="str">
            <v>Prestations autres divisions, Atelier chaudronnerie entretien</v>
          </cell>
          <cell r="F315">
            <v>0</v>
          </cell>
          <cell r="L315">
            <v>0</v>
          </cell>
          <cell r="P315">
            <v>0</v>
          </cell>
          <cell r="V315">
            <v>0</v>
          </cell>
          <cell r="AI315">
            <v>0</v>
          </cell>
        </row>
        <row r="316">
          <cell r="B316">
            <v>1</v>
          </cell>
          <cell r="C316">
            <v>354</v>
          </cell>
          <cell r="D316" t="str">
            <v>2354</v>
          </cell>
          <cell r="E316" t="str">
            <v>Prestations autres divisions, Atelier électrique installations</v>
          </cell>
          <cell r="F316">
            <v>0</v>
          </cell>
          <cell r="L316">
            <v>0</v>
          </cell>
          <cell r="P316">
            <v>0</v>
          </cell>
          <cell r="V316">
            <v>0</v>
          </cell>
          <cell r="AI316">
            <v>0</v>
          </cell>
        </row>
        <row r="317">
          <cell r="B317">
            <v>1</v>
          </cell>
          <cell r="C317">
            <v>355</v>
          </cell>
          <cell r="D317" t="str">
            <v>2355</v>
          </cell>
          <cell r="E317" t="str">
            <v>Prestations autres divisions, Atelier sous-ensembles</v>
          </cell>
          <cell r="F317">
            <v>0</v>
          </cell>
          <cell r="L317">
            <v>0</v>
          </cell>
          <cell r="P317">
            <v>0</v>
          </cell>
          <cell r="V317">
            <v>0</v>
          </cell>
          <cell r="AI317">
            <v>0</v>
          </cell>
        </row>
        <row r="318">
          <cell r="B318">
            <v>1</v>
          </cell>
          <cell r="C318">
            <v>356</v>
          </cell>
          <cell r="D318" t="str">
            <v>2356</v>
          </cell>
          <cell r="E318" t="str">
            <v>Prestations autres divisions, Atelier de réparation véhicules</v>
          </cell>
          <cell r="F318">
            <v>0</v>
          </cell>
          <cell r="L318">
            <v>0</v>
          </cell>
          <cell r="P318">
            <v>0</v>
          </cell>
          <cell r="V318">
            <v>0</v>
          </cell>
          <cell r="AI318">
            <v>0</v>
          </cell>
        </row>
        <row r="319">
          <cell r="B319">
            <v>1</v>
          </cell>
          <cell r="C319">
            <v>357</v>
          </cell>
          <cell r="D319" t="str">
            <v>2357</v>
          </cell>
          <cell r="E319" t="str">
            <v>Prestations autres divisions, Atelier machines-outils, Ajustage et montage</v>
          </cell>
          <cell r="F319">
            <v>0</v>
          </cell>
          <cell r="L319">
            <v>0</v>
          </cell>
          <cell r="P319">
            <v>0</v>
          </cell>
          <cell r="V319">
            <v>0</v>
          </cell>
          <cell r="AI319">
            <v>0</v>
          </cell>
        </row>
        <row r="320">
          <cell r="B320">
            <v>1</v>
          </cell>
          <cell r="C320">
            <v>358</v>
          </cell>
          <cell r="D320" t="str">
            <v>2358</v>
          </cell>
          <cell r="E320" t="str">
            <v>Prestations autres divisions, Ateliers hydrauliques</v>
          </cell>
          <cell r="F320">
            <v>0</v>
          </cell>
          <cell r="L320">
            <v>0</v>
          </cell>
          <cell r="P320">
            <v>0</v>
          </cell>
          <cell r="V320">
            <v>0</v>
          </cell>
          <cell r="AI320">
            <v>0</v>
          </cell>
        </row>
        <row r="321">
          <cell r="B321">
            <v>1</v>
          </cell>
          <cell r="C321">
            <v>359</v>
          </cell>
          <cell r="D321" t="str">
            <v>2359</v>
          </cell>
          <cell r="E321" t="str">
            <v>Prestations autres divisions, Ateliers centraux, contrôle qualité</v>
          </cell>
          <cell r="F321">
            <v>0</v>
          </cell>
          <cell r="L321">
            <v>0</v>
          </cell>
          <cell r="P321">
            <v>0</v>
          </cell>
          <cell r="V321">
            <v>0</v>
          </cell>
          <cell r="AI321">
            <v>0</v>
          </cell>
        </row>
        <row r="322">
          <cell r="B322">
            <v>1</v>
          </cell>
          <cell r="C322">
            <v>360</v>
          </cell>
          <cell r="D322" t="str">
            <v>2360</v>
          </cell>
          <cell r="E322" t="str">
            <v>Prestations autres divisions, Surveillance de chantier</v>
          </cell>
          <cell r="F322">
            <v>0</v>
          </cell>
          <cell r="L322">
            <v>0</v>
          </cell>
          <cell r="P322">
            <v>0</v>
          </cell>
          <cell r="V322">
            <v>0</v>
          </cell>
          <cell r="AI322">
            <v>0</v>
          </cell>
        </row>
        <row r="323">
          <cell r="B323">
            <v>1</v>
          </cell>
          <cell r="C323">
            <v>361</v>
          </cell>
          <cell r="D323" t="str">
            <v>2361</v>
          </cell>
          <cell r="E323" t="str">
            <v>Prestations autres divisions, Equipe de sautage</v>
          </cell>
          <cell r="F323">
            <v>0</v>
          </cell>
          <cell r="L323">
            <v>0</v>
          </cell>
          <cell r="P323">
            <v>0</v>
          </cell>
          <cell r="V323">
            <v>0</v>
          </cell>
          <cell r="AI323">
            <v>0</v>
          </cell>
        </row>
        <row r="324">
          <cell r="B324">
            <v>1</v>
          </cell>
          <cell r="C324">
            <v>362</v>
          </cell>
          <cell r="D324" t="str">
            <v>2362</v>
          </cell>
          <cell r="E324" t="str">
            <v>Prestations autres divisions de conduite</v>
          </cell>
          <cell r="F324">
            <v>0</v>
          </cell>
          <cell r="L324">
            <v>0</v>
          </cell>
          <cell r="P324">
            <v>0</v>
          </cell>
          <cell r="V324">
            <v>0</v>
          </cell>
          <cell r="AI324">
            <v>0</v>
          </cell>
        </row>
        <row r="325">
          <cell r="B325">
            <v>1</v>
          </cell>
          <cell r="C325">
            <v>370</v>
          </cell>
          <cell r="D325" t="str">
            <v>2370</v>
          </cell>
          <cell r="E325" t="str">
            <v>Prestations autres divisions, Aménagement plate-forme sondeuses</v>
          </cell>
          <cell r="F325">
            <v>0</v>
          </cell>
          <cell r="L325">
            <v>0</v>
          </cell>
          <cell r="P325">
            <v>0</v>
          </cell>
          <cell r="V325">
            <v>0</v>
          </cell>
          <cell r="AI325">
            <v>0</v>
          </cell>
        </row>
        <row r="326">
          <cell r="B326">
            <v>1</v>
          </cell>
          <cell r="C326">
            <v>371</v>
          </cell>
          <cell r="D326" t="str">
            <v>2371</v>
          </cell>
          <cell r="E326" t="str">
            <v>Prestations autres divisions, Aménagement plate-forme machines &amp; accompagnement</v>
          </cell>
          <cell r="F326">
            <v>0</v>
          </cell>
          <cell r="L326">
            <v>0</v>
          </cell>
          <cell r="P326">
            <v>0</v>
          </cell>
          <cell r="V326">
            <v>0</v>
          </cell>
          <cell r="AI326">
            <v>0</v>
          </cell>
        </row>
        <row r="327">
          <cell r="B327">
            <v>1</v>
          </cell>
          <cell r="C327">
            <v>372</v>
          </cell>
          <cell r="D327" t="str">
            <v>2372</v>
          </cell>
          <cell r="E327" t="str">
            <v>Prestations autres divisions, Prélèvement par bulls</v>
          </cell>
          <cell r="F327">
            <v>0</v>
          </cell>
          <cell r="L327">
            <v>0</v>
          </cell>
          <cell r="P327">
            <v>0</v>
          </cell>
          <cell r="V327">
            <v>0</v>
          </cell>
          <cell r="AI327">
            <v>0</v>
          </cell>
        </row>
        <row r="328">
          <cell r="B328">
            <v>1</v>
          </cell>
          <cell r="C328">
            <v>373</v>
          </cell>
          <cell r="D328" t="str">
            <v>2373</v>
          </cell>
          <cell r="E328" t="str">
            <v>Prestations autres divisions, Gerbage</v>
          </cell>
          <cell r="F328">
            <v>0</v>
          </cell>
          <cell r="L328">
            <v>0</v>
          </cell>
          <cell r="P328">
            <v>0</v>
          </cell>
          <cell r="V328">
            <v>0</v>
          </cell>
          <cell r="AI328">
            <v>0</v>
          </cell>
        </row>
        <row r="329">
          <cell r="B329">
            <v>1</v>
          </cell>
          <cell r="C329">
            <v>374</v>
          </cell>
          <cell r="D329" t="str">
            <v>2374</v>
          </cell>
          <cell r="E329" t="str">
            <v>Prestations autres divisions, Aménagement décharge</v>
          </cell>
          <cell r="F329">
            <v>0</v>
          </cell>
          <cell r="L329">
            <v>0</v>
          </cell>
          <cell r="P329">
            <v>0</v>
          </cell>
          <cell r="V329">
            <v>0</v>
          </cell>
          <cell r="AI329">
            <v>0</v>
          </cell>
        </row>
        <row r="330">
          <cell r="B330">
            <v>1</v>
          </cell>
          <cell r="C330">
            <v>375</v>
          </cell>
          <cell r="D330" t="str">
            <v>2375</v>
          </cell>
          <cell r="E330" t="str">
            <v>Prestations autres divisions, Aménagement stocks</v>
          </cell>
          <cell r="F330">
            <v>0</v>
          </cell>
          <cell r="L330">
            <v>0</v>
          </cell>
          <cell r="P330">
            <v>0</v>
          </cell>
          <cell r="V330">
            <v>0</v>
          </cell>
          <cell r="AI330">
            <v>0</v>
          </cell>
        </row>
        <row r="331">
          <cell r="B331">
            <v>1</v>
          </cell>
          <cell r="C331">
            <v>376</v>
          </cell>
          <cell r="D331" t="str">
            <v>2376</v>
          </cell>
          <cell r="E331" t="str">
            <v>Prestations autres divisions, Travaux de piste</v>
          </cell>
          <cell r="F331">
            <v>0</v>
          </cell>
          <cell r="L331">
            <v>0</v>
          </cell>
          <cell r="P331">
            <v>0</v>
          </cell>
          <cell r="V331">
            <v>0</v>
          </cell>
          <cell r="AI331">
            <v>0</v>
          </cell>
        </row>
        <row r="332">
          <cell r="B332">
            <v>1</v>
          </cell>
          <cell r="C332">
            <v>380</v>
          </cell>
          <cell r="D332" t="str">
            <v>2380</v>
          </cell>
          <cell r="E332" t="str">
            <v>Prestations autres divisions, Prélèvement</v>
          </cell>
          <cell r="F332">
            <v>0</v>
          </cell>
          <cell r="L332">
            <v>0</v>
          </cell>
          <cell r="P332">
            <v>0</v>
          </cell>
          <cell r="V332">
            <v>0</v>
          </cell>
          <cell r="AI332">
            <v>0</v>
          </cell>
        </row>
        <row r="333">
          <cell r="B333">
            <v>1</v>
          </cell>
          <cell r="C333">
            <v>390</v>
          </cell>
          <cell r="D333" t="str">
            <v>2390</v>
          </cell>
          <cell r="E333" t="str">
            <v>Prestations autres divisions, Restaurant</v>
          </cell>
          <cell r="F333">
            <v>0</v>
          </cell>
          <cell r="L333">
            <v>0</v>
          </cell>
          <cell r="P333">
            <v>0</v>
          </cell>
          <cell r="V333">
            <v>0</v>
          </cell>
          <cell r="AI333">
            <v>0</v>
          </cell>
        </row>
        <row r="334">
          <cell r="B334">
            <v>1</v>
          </cell>
          <cell r="C334">
            <v>400</v>
          </cell>
          <cell r="D334" t="str">
            <v>4250</v>
          </cell>
          <cell r="E334" t="str">
            <v>Consommation, Bois de mine</v>
          </cell>
          <cell r="F334">
            <v>0</v>
          </cell>
          <cell r="L334">
            <v>0</v>
          </cell>
          <cell r="N334">
            <v>609864</v>
          </cell>
          <cell r="O334">
            <v>510900</v>
          </cell>
          <cell r="P334">
            <v>1120764</v>
          </cell>
          <cell r="V334">
            <v>0</v>
          </cell>
          <cell r="AI334">
            <v>1120764</v>
          </cell>
        </row>
        <row r="335">
          <cell r="B335">
            <v>1</v>
          </cell>
          <cell r="C335">
            <v>402</v>
          </cell>
          <cell r="D335" t="str">
            <v>4251</v>
          </cell>
          <cell r="E335" t="str">
            <v>Consommation, Courroies transporteuses</v>
          </cell>
          <cell r="F335">
            <v>126276</v>
          </cell>
          <cell r="G335">
            <v>198756</v>
          </cell>
          <cell r="H335">
            <v>167028</v>
          </cell>
          <cell r="I335">
            <v>96312</v>
          </cell>
          <cell r="J335">
            <v>165336</v>
          </cell>
          <cell r="K335">
            <v>174996</v>
          </cell>
          <cell r="L335">
            <v>928704</v>
          </cell>
          <cell r="N335">
            <v>361656</v>
          </cell>
          <cell r="O335">
            <v>849252</v>
          </cell>
          <cell r="P335">
            <v>1210908</v>
          </cell>
          <cell r="V335">
            <v>0</v>
          </cell>
          <cell r="AI335">
            <v>2139612</v>
          </cell>
        </row>
        <row r="336">
          <cell r="B336">
            <v>1</v>
          </cell>
          <cell r="C336">
            <v>403</v>
          </cell>
          <cell r="D336" t="str">
            <v>4252</v>
          </cell>
          <cell r="E336" t="str">
            <v>Consommation, Explosifs</v>
          </cell>
          <cell r="F336">
            <v>0</v>
          </cell>
          <cell r="L336">
            <v>0</v>
          </cell>
          <cell r="N336">
            <v>26952</v>
          </cell>
          <cell r="O336">
            <v>56688</v>
          </cell>
          <cell r="P336">
            <v>83640</v>
          </cell>
          <cell r="V336">
            <v>0</v>
          </cell>
          <cell r="AI336">
            <v>83640</v>
          </cell>
        </row>
        <row r="337">
          <cell r="B337">
            <v>1</v>
          </cell>
          <cell r="C337">
            <v>404</v>
          </cell>
          <cell r="D337" t="str">
            <v>4232</v>
          </cell>
          <cell r="E337" t="str">
            <v>Consommation, Essence légère</v>
          </cell>
          <cell r="F337">
            <v>0</v>
          </cell>
          <cell r="L337">
            <v>0</v>
          </cell>
          <cell r="P337">
            <v>0</v>
          </cell>
          <cell r="V337">
            <v>0</v>
          </cell>
          <cell r="AI337">
            <v>0</v>
          </cell>
        </row>
        <row r="338">
          <cell r="B338">
            <v>1</v>
          </cell>
          <cell r="C338">
            <v>405</v>
          </cell>
          <cell r="D338" t="str">
            <v>4233</v>
          </cell>
          <cell r="E338" t="str">
            <v>Consommation, Gasoil</v>
          </cell>
          <cell r="F338">
            <v>0</v>
          </cell>
          <cell r="L338">
            <v>0</v>
          </cell>
          <cell r="P338">
            <v>0</v>
          </cell>
          <cell r="V338">
            <v>0</v>
          </cell>
          <cell r="Y338">
            <v>670680</v>
          </cell>
          <cell r="AA338">
            <v>14652</v>
          </cell>
          <cell r="AH338">
            <v>3948</v>
          </cell>
          <cell r="AI338">
            <v>689280</v>
          </cell>
        </row>
        <row r="339">
          <cell r="B339">
            <v>1</v>
          </cell>
          <cell r="C339">
            <v>406</v>
          </cell>
          <cell r="D339" t="str">
            <v>4234</v>
          </cell>
          <cell r="E339" t="str">
            <v>Consommation, Lubrifiants</v>
          </cell>
          <cell r="F339">
            <v>28200</v>
          </cell>
          <cell r="G339">
            <v>19536</v>
          </cell>
          <cell r="H339">
            <v>23472</v>
          </cell>
          <cell r="I339">
            <v>18444</v>
          </cell>
          <cell r="J339">
            <v>19992</v>
          </cell>
          <cell r="K339">
            <v>19032</v>
          </cell>
          <cell r="L339">
            <v>128676</v>
          </cell>
          <cell r="M339">
            <v>5664</v>
          </cell>
          <cell r="N339">
            <v>98868</v>
          </cell>
          <cell r="O339">
            <v>133404</v>
          </cell>
          <cell r="P339">
            <v>232272</v>
          </cell>
          <cell r="R339">
            <v>444</v>
          </cell>
          <cell r="S339">
            <v>27852</v>
          </cell>
          <cell r="V339">
            <v>0</v>
          </cell>
          <cell r="Y339">
            <v>314328</v>
          </cell>
          <cell r="AC339">
            <v>27564</v>
          </cell>
          <cell r="AF339">
            <v>5364</v>
          </cell>
          <cell r="AG339">
            <v>36456</v>
          </cell>
          <cell r="AI339">
            <v>778620</v>
          </cell>
        </row>
        <row r="340">
          <cell r="B340">
            <v>1</v>
          </cell>
          <cell r="C340">
            <v>407</v>
          </cell>
          <cell r="D340" t="str">
            <v>4270</v>
          </cell>
          <cell r="E340" t="str">
            <v>Consommation, Fournitures de bureau</v>
          </cell>
          <cell r="F340">
            <v>0</v>
          </cell>
          <cell r="L340">
            <v>0</v>
          </cell>
          <cell r="P340">
            <v>0</v>
          </cell>
          <cell r="V340">
            <v>0</v>
          </cell>
          <cell r="Y340">
            <v>444</v>
          </cell>
          <cell r="AA340">
            <v>132</v>
          </cell>
          <cell r="AH340">
            <v>30084</v>
          </cell>
          <cell r="AI340">
            <v>30660</v>
          </cell>
        </row>
        <row r="341">
          <cell r="B341">
            <v>1</v>
          </cell>
          <cell r="C341">
            <v>408</v>
          </cell>
          <cell r="D341" t="str">
            <v>4253</v>
          </cell>
          <cell r="E341" t="str">
            <v>Consommation, Rouleaux de convoyeurs</v>
          </cell>
          <cell r="F341">
            <v>0</v>
          </cell>
          <cell r="L341">
            <v>0</v>
          </cell>
          <cell r="M341">
            <v>4404</v>
          </cell>
          <cell r="N341">
            <v>47040</v>
          </cell>
          <cell r="O341">
            <v>77088</v>
          </cell>
          <cell r="P341">
            <v>124128</v>
          </cell>
          <cell r="S341">
            <v>89064</v>
          </cell>
          <cell r="V341">
            <v>0</v>
          </cell>
          <cell r="AG341">
            <v>46404</v>
          </cell>
          <cell r="AI341">
            <v>264000</v>
          </cell>
        </row>
        <row r="342">
          <cell r="B342">
            <v>1</v>
          </cell>
          <cell r="C342">
            <v>409</v>
          </cell>
          <cell r="D342" t="str">
            <v>4248</v>
          </cell>
          <cell r="E342" t="str">
            <v>Consommation, Matières et fournitures consommables diverses</v>
          </cell>
          <cell r="F342">
            <v>103680</v>
          </cell>
          <cell r="G342">
            <v>104400</v>
          </cell>
          <cell r="H342">
            <v>175284</v>
          </cell>
          <cell r="I342">
            <v>175476</v>
          </cell>
          <cell r="J342">
            <v>102252</v>
          </cell>
          <cell r="K342">
            <v>120612</v>
          </cell>
          <cell r="L342">
            <v>781704</v>
          </cell>
          <cell r="M342">
            <v>147144</v>
          </cell>
          <cell r="N342">
            <v>622752</v>
          </cell>
          <cell r="O342">
            <v>801960</v>
          </cell>
          <cell r="P342">
            <v>1424712</v>
          </cell>
          <cell r="R342">
            <v>88980</v>
          </cell>
          <cell r="S342">
            <v>208632</v>
          </cell>
          <cell r="V342">
            <v>0</v>
          </cell>
          <cell r="W342">
            <v>5340</v>
          </cell>
          <cell r="X342">
            <v>2880</v>
          </cell>
          <cell r="Y342">
            <v>36912</v>
          </cell>
          <cell r="Z342">
            <v>228912</v>
          </cell>
          <cell r="AA342">
            <v>33518</v>
          </cell>
          <cell r="AB342">
            <v>14268</v>
          </cell>
          <cell r="AC342">
            <v>10524</v>
          </cell>
          <cell r="AD342">
            <v>2964</v>
          </cell>
          <cell r="AE342">
            <v>7116</v>
          </cell>
          <cell r="AF342">
            <v>4848</v>
          </cell>
          <cell r="AG342">
            <v>68280</v>
          </cell>
          <cell r="AH342">
            <v>29760</v>
          </cell>
          <cell r="AI342">
            <v>3096494</v>
          </cell>
        </row>
        <row r="343">
          <cell r="B343">
            <v>1</v>
          </cell>
          <cell r="C343">
            <v>410</v>
          </cell>
          <cell r="D343" t="str">
            <v>4254</v>
          </cell>
          <cell r="E343" t="str">
            <v>Consommation, Lames d'usure de bulles et niveleuses</v>
          </cell>
          <cell r="F343">
            <v>0</v>
          </cell>
          <cell r="L343">
            <v>0</v>
          </cell>
          <cell r="P343">
            <v>0</v>
          </cell>
          <cell r="V343">
            <v>0</v>
          </cell>
          <cell r="AI343">
            <v>0</v>
          </cell>
        </row>
        <row r="344">
          <cell r="B344">
            <v>1</v>
          </cell>
          <cell r="C344">
            <v>411</v>
          </cell>
          <cell r="D344" t="str">
            <v>4255</v>
          </cell>
          <cell r="E344" t="str">
            <v>Consommation, Tiges, drill - collar</v>
          </cell>
          <cell r="F344">
            <v>0</v>
          </cell>
          <cell r="L344">
            <v>0</v>
          </cell>
          <cell r="P344">
            <v>0</v>
          </cell>
          <cell r="V344">
            <v>0</v>
          </cell>
          <cell r="AI344">
            <v>0</v>
          </cell>
        </row>
        <row r="345">
          <cell r="B345">
            <v>1</v>
          </cell>
          <cell r="C345">
            <v>412</v>
          </cell>
          <cell r="D345" t="str">
            <v>4256</v>
          </cell>
          <cell r="E345" t="str">
            <v>Consommation, Tricones de sondeuses</v>
          </cell>
          <cell r="F345">
            <v>0</v>
          </cell>
          <cell r="L345">
            <v>0</v>
          </cell>
          <cell r="P345">
            <v>0</v>
          </cell>
          <cell r="V345">
            <v>0</v>
          </cell>
          <cell r="AI345">
            <v>0</v>
          </cell>
        </row>
        <row r="346">
          <cell r="B346">
            <v>1</v>
          </cell>
          <cell r="C346">
            <v>413</v>
          </cell>
          <cell r="D346" t="str">
            <v>4257</v>
          </cell>
          <cell r="E346" t="str">
            <v>Consommation, Cables de draglines</v>
          </cell>
          <cell r="F346">
            <v>0</v>
          </cell>
          <cell r="L346">
            <v>0</v>
          </cell>
          <cell r="P346">
            <v>0</v>
          </cell>
          <cell r="V346">
            <v>0</v>
          </cell>
          <cell r="AI346">
            <v>0</v>
          </cell>
        </row>
        <row r="347">
          <cell r="B347">
            <v>1</v>
          </cell>
          <cell r="C347">
            <v>414</v>
          </cell>
          <cell r="D347" t="str">
            <v>4258</v>
          </cell>
          <cell r="E347" t="str">
            <v>Consommation, Godets et dents de draglines</v>
          </cell>
          <cell r="F347">
            <v>0</v>
          </cell>
          <cell r="L347">
            <v>0</v>
          </cell>
          <cell r="P347">
            <v>0</v>
          </cell>
          <cell r="V347">
            <v>0</v>
          </cell>
          <cell r="AI347">
            <v>0</v>
          </cell>
        </row>
        <row r="348">
          <cell r="B348">
            <v>1</v>
          </cell>
          <cell r="C348">
            <v>415</v>
          </cell>
          <cell r="D348" t="str">
            <v>4261</v>
          </cell>
          <cell r="E348" t="str">
            <v>Consommation, Pneumatiques pour engins lourds</v>
          </cell>
          <cell r="F348">
            <v>0</v>
          </cell>
          <cell r="L348">
            <v>0</v>
          </cell>
          <cell r="P348">
            <v>0</v>
          </cell>
          <cell r="V348">
            <v>0</v>
          </cell>
          <cell r="Y348">
            <v>30216</v>
          </cell>
          <cell r="AA348">
            <v>2232</v>
          </cell>
          <cell r="AH348">
            <v>4284</v>
          </cell>
          <cell r="AI348">
            <v>36732</v>
          </cell>
        </row>
        <row r="349">
          <cell r="B349">
            <v>1</v>
          </cell>
          <cell r="C349">
            <v>416</v>
          </cell>
          <cell r="D349" t="str">
            <v>4259</v>
          </cell>
          <cell r="E349" t="str">
            <v>Consommation, Cables électriques</v>
          </cell>
          <cell r="F349">
            <v>0</v>
          </cell>
          <cell r="H349">
            <v>984</v>
          </cell>
          <cell r="I349">
            <v>4056</v>
          </cell>
          <cell r="J349">
            <v>516</v>
          </cell>
          <cell r="L349">
            <v>5556</v>
          </cell>
          <cell r="M349">
            <v>1668</v>
          </cell>
          <cell r="N349">
            <v>20760</v>
          </cell>
          <cell r="O349">
            <v>18264</v>
          </cell>
          <cell r="P349">
            <v>39024</v>
          </cell>
          <cell r="R349">
            <v>1752</v>
          </cell>
          <cell r="S349">
            <v>2292</v>
          </cell>
          <cell r="V349">
            <v>0</v>
          </cell>
          <cell r="Z349">
            <v>20400</v>
          </cell>
          <cell r="AC349">
            <v>564</v>
          </cell>
          <cell r="AI349">
            <v>71256</v>
          </cell>
        </row>
        <row r="350">
          <cell r="B350">
            <v>1</v>
          </cell>
          <cell r="C350">
            <v>417</v>
          </cell>
          <cell r="D350" t="str">
            <v>4263</v>
          </cell>
          <cell r="E350" t="str">
            <v>Consommation, Pièces de rechange du matériel</v>
          </cell>
          <cell r="F350">
            <v>253008</v>
          </cell>
          <cell r="G350">
            <v>136632</v>
          </cell>
          <cell r="H350">
            <v>87432</v>
          </cell>
          <cell r="I350">
            <v>227520</v>
          </cell>
          <cell r="J350">
            <v>176208</v>
          </cell>
          <cell r="K350">
            <v>260136</v>
          </cell>
          <cell r="L350">
            <v>1140936</v>
          </cell>
          <cell r="M350">
            <v>388908</v>
          </cell>
          <cell r="N350">
            <v>2139192</v>
          </cell>
          <cell r="O350">
            <v>2003256</v>
          </cell>
          <cell r="P350">
            <v>4142448</v>
          </cell>
          <cell r="R350">
            <v>264756</v>
          </cell>
          <cell r="S350">
            <v>239844</v>
          </cell>
          <cell r="V350">
            <v>0</v>
          </cell>
          <cell r="W350">
            <v>300</v>
          </cell>
          <cell r="X350">
            <v>384</v>
          </cell>
          <cell r="Y350">
            <v>1143168</v>
          </cell>
          <cell r="Z350">
            <v>607104</v>
          </cell>
          <cell r="AA350">
            <v>26940</v>
          </cell>
          <cell r="AB350">
            <v>264</v>
          </cell>
          <cell r="AC350">
            <v>17592</v>
          </cell>
          <cell r="AF350">
            <v>2940</v>
          </cell>
          <cell r="AG350">
            <v>45048</v>
          </cell>
          <cell r="AH350">
            <v>21984</v>
          </cell>
          <cell r="AI350">
            <v>8042616</v>
          </cell>
        </row>
        <row r="351">
          <cell r="B351">
            <v>1</v>
          </cell>
          <cell r="C351" t="str">
            <v>418</v>
          </cell>
          <cell r="D351" t="str">
            <v>4264</v>
          </cell>
          <cell r="E351" t="str">
            <v>Consommation, Pièces détachées automobiles</v>
          </cell>
          <cell r="F351">
            <v>0</v>
          </cell>
          <cell r="L351">
            <v>0</v>
          </cell>
          <cell r="P351">
            <v>0</v>
          </cell>
          <cell r="V351">
            <v>0</v>
          </cell>
          <cell r="Y351">
            <v>15084</v>
          </cell>
          <cell r="Z351">
            <v>1692</v>
          </cell>
          <cell r="AC351">
            <v>324</v>
          </cell>
          <cell r="AH351">
            <v>2448</v>
          </cell>
          <cell r="AI351">
            <v>19548</v>
          </cell>
        </row>
        <row r="352">
          <cell r="B352">
            <v>1</v>
          </cell>
          <cell r="C352">
            <v>419</v>
          </cell>
          <cell r="D352" t="str">
            <v>4265</v>
          </cell>
          <cell r="E352" t="str">
            <v>Consommation, Petit outillage</v>
          </cell>
          <cell r="F352">
            <v>0</v>
          </cell>
          <cell r="H352">
            <v>1176</v>
          </cell>
          <cell r="L352">
            <v>1176</v>
          </cell>
          <cell r="M352">
            <v>1920</v>
          </cell>
          <cell r="N352">
            <v>1344</v>
          </cell>
          <cell r="O352">
            <v>672</v>
          </cell>
          <cell r="P352">
            <v>2016</v>
          </cell>
          <cell r="R352">
            <v>108</v>
          </cell>
          <cell r="S352">
            <v>1668</v>
          </cell>
          <cell r="V352">
            <v>0</v>
          </cell>
          <cell r="Y352">
            <v>1668</v>
          </cell>
          <cell r="Z352">
            <v>5484</v>
          </cell>
          <cell r="AA352">
            <v>21156</v>
          </cell>
          <cell r="AI352">
            <v>35196</v>
          </cell>
        </row>
        <row r="353">
          <cell r="B353">
            <v>1</v>
          </cell>
          <cell r="C353">
            <v>420</v>
          </cell>
          <cell r="D353" t="str">
            <v>4262</v>
          </cell>
          <cell r="E353" t="str">
            <v>Consommation, Pneumatiques voitures légères</v>
          </cell>
          <cell r="F353">
            <v>0</v>
          </cell>
          <cell r="L353">
            <v>0</v>
          </cell>
          <cell r="P353">
            <v>0</v>
          </cell>
          <cell r="V353">
            <v>0</v>
          </cell>
          <cell r="AI353">
            <v>0</v>
          </cell>
        </row>
        <row r="354">
          <cell r="B354">
            <v>1</v>
          </cell>
          <cell r="C354">
            <v>421</v>
          </cell>
          <cell r="D354" t="str">
            <v>4266</v>
          </cell>
          <cell r="E354" t="str">
            <v>Consommation, Produits pharmaceutiques</v>
          </cell>
          <cell r="F354">
            <v>0</v>
          </cell>
          <cell r="L354">
            <v>0</v>
          </cell>
          <cell r="P354">
            <v>0</v>
          </cell>
          <cell r="V354">
            <v>0</v>
          </cell>
          <cell r="Z354">
            <v>2052</v>
          </cell>
          <cell r="AI354">
            <v>2052</v>
          </cell>
        </row>
        <row r="355">
          <cell r="B355">
            <v>1</v>
          </cell>
          <cell r="C355">
            <v>423</v>
          </cell>
          <cell r="D355" t="str">
            <v>4267</v>
          </cell>
          <cell r="E355" t="str">
            <v>Consommation, Petit matériel à usage médicale</v>
          </cell>
          <cell r="F355">
            <v>0</v>
          </cell>
          <cell r="L355">
            <v>0</v>
          </cell>
          <cell r="P355">
            <v>0</v>
          </cell>
          <cell r="V355">
            <v>0</v>
          </cell>
          <cell r="AI355">
            <v>0</v>
          </cell>
        </row>
        <row r="356">
          <cell r="B356">
            <v>1</v>
          </cell>
          <cell r="C356">
            <v>424</v>
          </cell>
          <cell r="D356" t="str">
            <v>4243</v>
          </cell>
          <cell r="E356" t="str">
            <v>Consommation, Aciers et gaz industriels</v>
          </cell>
          <cell r="F356">
            <v>1416</v>
          </cell>
          <cell r="G356">
            <v>2580</v>
          </cell>
          <cell r="H356">
            <v>4716</v>
          </cell>
          <cell r="I356">
            <v>1416</v>
          </cell>
          <cell r="J356">
            <v>2400</v>
          </cell>
          <cell r="K356">
            <v>3756</v>
          </cell>
          <cell r="L356">
            <v>16284</v>
          </cell>
          <cell r="M356">
            <v>78300</v>
          </cell>
          <cell r="N356">
            <v>63456</v>
          </cell>
          <cell r="O356">
            <v>106344</v>
          </cell>
          <cell r="P356">
            <v>169800</v>
          </cell>
          <cell r="R356">
            <v>26832</v>
          </cell>
          <cell r="S356">
            <v>1068</v>
          </cell>
          <cell r="V356">
            <v>0</v>
          </cell>
          <cell r="Y356">
            <v>8268</v>
          </cell>
          <cell r="Z356">
            <v>8508</v>
          </cell>
          <cell r="AG356">
            <v>20640</v>
          </cell>
          <cell r="AI356">
            <v>329700</v>
          </cell>
        </row>
        <row r="357">
          <cell r="B357">
            <v>1</v>
          </cell>
          <cell r="C357">
            <v>425</v>
          </cell>
          <cell r="D357" t="str">
            <v>4244</v>
          </cell>
          <cell r="E357" t="str">
            <v>Consommation, Habillement et produits de sécurité</v>
          </cell>
          <cell r="F357">
            <v>9096</v>
          </cell>
          <cell r="G357">
            <v>13296</v>
          </cell>
          <cell r="H357">
            <v>14808</v>
          </cell>
          <cell r="I357">
            <v>13716</v>
          </cell>
          <cell r="J357">
            <v>13800</v>
          </cell>
          <cell r="K357">
            <v>15960</v>
          </cell>
          <cell r="L357">
            <v>80676</v>
          </cell>
          <cell r="M357">
            <v>15600</v>
          </cell>
          <cell r="N357">
            <v>52320</v>
          </cell>
          <cell r="O357">
            <v>62916</v>
          </cell>
          <cell r="P357">
            <v>115236</v>
          </cell>
          <cell r="R357">
            <v>27972</v>
          </cell>
          <cell r="S357">
            <v>43632</v>
          </cell>
          <cell r="V357">
            <v>0</v>
          </cell>
          <cell r="W357">
            <v>9264</v>
          </cell>
          <cell r="X357">
            <v>2988</v>
          </cell>
          <cell r="Y357">
            <v>29544</v>
          </cell>
          <cell r="Z357">
            <v>25932</v>
          </cell>
          <cell r="AA357">
            <v>13416</v>
          </cell>
          <cell r="AB357">
            <v>5820</v>
          </cell>
          <cell r="AC357">
            <v>2184</v>
          </cell>
          <cell r="AD357">
            <v>1692</v>
          </cell>
          <cell r="AE357">
            <v>4944</v>
          </cell>
          <cell r="AF357">
            <v>1620</v>
          </cell>
          <cell r="AG357">
            <v>9192</v>
          </cell>
          <cell r="AH357">
            <v>6012</v>
          </cell>
          <cell r="AI357">
            <v>395724</v>
          </cell>
        </row>
        <row r="358">
          <cell r="B358">
            <v>1</v>
          </cell>
          <cell r="C358">
            <v>426</v>
          </cell>
          <cell r="D358" t="str">
            <v>4245</v>
          </cell>
          <cell r="E358" t="str">
            <v>Consommation, Matériaux et produits de construction</v>
          </cell>
          <cell r="F358">
            <v>0</v>
          </cell>
          <cell r="L358">
            <v>0</v>
          </cell>
          <cell r="M358">
            <v>10500</v>
          </cell>
          <cell r="N358">
            <v>864</v>
          </cell>
          <cell r="P358">
            <v>864</v>
          </cell>
          <cell r="R358">
            <v>852</v>
          </cell>
          <cell r="S358">
            <v>948</v>
          </cell>
          <cell r="V358">
            <v>0</v>
          </cell>
          <cell r="Y358">
            <v>108</v>
          </cell>
          <cell r="Z358">
            <v>1536</v>
          </cell>
          <cell r="AH358">
            <v>1932</v>
          </cell>
          <cell r="AI358">
            <v>16740</v>
          </cell>
        </row>
        <row r="359">
          <cell r="B359">
            <v>1</v>
          </cell>
          <cell r="C359" t="str">
            <v>485</v>
          </cell>
          <cell r="D359" t="str">
            <v>4241</v>
          </cell>
          <cell r="E359" t="str">
            <v>Consommation, Produits d'entretien</v>
          </cell>
          <cell r="F359">
            <v>0</v>
          </cell>
          <cell r="L359">
            <v>0</v>
          </cell>
          <cell r="N359">
            <v>2604</v>
          </cell>
          <cell r="O359">
            <v>26700</v>
          </cell>
          <cell r="P359">
            <v>29304</v>
          </cell>
          <cell r="V359">
            <v>0</v>
          </cell>
          <cell r="Z359">
            <v>16908</v>
          </cell>
          <cell r="AI359">
            <v>46212</v>
          </cell>
        </row>
        <row r="360">
          <cell r="B360">
            <v>1</v>
          </cell>
          <cell r="C360" t="str">
            <v>486</v>
          </cell>
          <cell r="D360" t="str">
            <v>4614</v>
          </cell>
          <cell r="E360" t="str">
            <v>Autres travaux à façon éxécutés à l'extérieur</v>
          </cell>
          <cell r="F360">
            <v>0</v>
          </cell>
          <cell r="L360">
            <v>0</v>
          </cell>
          <cell r="N360">
            <v>18300</v>
          </cell>
          <cell r="O360">
            <v>8448</v>
          </cell>
          <cell r="P360">
            <v>26748</v>
          </cell>
          <cell r="V360">
            <v>0</v>
          </cell>
          <cell r="AH360">
            <v>1716</v>
          </cell>
          <cell r="AI360">
            <v>28464</v>
          </cell>
        </row>
        <row r="361">
          <cell r="B361">
            <v>1</v>
          </cell>
          <cell r="C361">
            <v>487</v>
          </cell>
          <cell r="D361" t="str">
            <v>4612</v>
          </cell>
          <cell r="E361" t="str">
            <v>Travaux de fonçage de puits</v>
          </cell>
          <cell r="F361">
            <v>0</v>
          </cell>
          <cell r="L361">
            <v>0</v>
          </cell>
          <cell r="P361">
            <v>0</v>
          </cell>
          <cell r="V361">
            <v>0</v>
          </cell>
          <cell r="Z361">
            <v>3067764</v>
          </cell>
          <cell r="AI361">
            <v>3067764</v>
          </cell>
        </row>
        <row r="362">
          <cell r="B362">
            <v>1</v>
          </cell>
          <cell r="C362">
            <v>491</v>
          </cell>
          <cell r="D362" t="str">
            <v>4511</v>
          </cell>
          <cell r="E362" t="str">
            <v>Fourniture d'énérgie électrique</v>
          </cell>
          <cell r="F362">
            <v>0</v>
          </cell>
          <cell r="L362">
            <v>0</v>
          </cell>
          <cell r="P362">
            <v>0</v>
          </cell>
          <cell r="V362">
            <v>0</v>
          </cell>
          <cell r="AI362">
            <v>0</v>
          </cell>
        </row>
        <row r="363">
          <cell r="B363">
            <v>1</v>
          </cell>
          <cell r="C363">
            <v>501</v>
          </cell>
          <cell r="D363" t="str">
            <v>5311</v>
          </cell>
          <cell r="E363" t="str">
            <v>Location de terrains</v>
          </cell>
          <cell r="F363">
            <v>0</v>
          </cell>
          <cell r="L363">
            <v>0</v>
          </cell>
          <cell r="P363">
            <v>0</v>
          </cell>
          <cell r="V363">
            <v>0</v>
          </cell>
          <cell r="AI363">
            <v>0</v>
          </cell>
        </row>
        <row r="364">
          <cell r="B364">
            <v>1</v>
          </cell>
          <cell r="C364">
            <v>501</v>
          </cell>
          <cell r="D364" t="str">
            <v>5312</v>
          </cell>
          <cell r="E364" t="str">
            <v>Location de constructions</v>
          </cell>
          <cell r="F364">
            <v>0</v>
          </cell>
          <cell r="L364">
            <v>0</v>
          </cell>
          <cell r="P364">
            <v>0</v>
          </cell>
          <cell r="V364">
            <v>0</v>
          </cell>
          <cell r="AI364">
            <v>0</v>
          </cell>
        </row>
        <row r="365">
          <cell r="B365">
            <v>1</v>
          </cell>
          <cell r="C365">
            <v>501</v>
          </cell>
          <cell r="D365" t="str">
            <v>5313</v>
          </cell>
          <cell r="E365" t="str">
            <v>Location de matériel et outillage</v>
          </cell>
          <cell r="F365">
            <v>0</v>
          </cell>
          <cell r="L365">
            <v>0</v>
          </cell>
          <cell r="P365">
            <v>0</v>
          </cell>
          <cell r="V365">
            <v>0</v>
          </cell>
          <cell r="AI365">
            <v>0</v>
          </cell>
        </row>
        <row r="366">
          <cell r="B366">
            <v>1</v>
          </cell>
          <cell r="C366">
            <v>501</v>
          </cell>
          <cell r="D366" t="str">
            <v>5314</v>
          </cell>
          <cell r="E366" t="str">
            <v>Location du mobilier et du matériel de bureau</v>
          </cell>
          <cell r="F366">
            <v>0</v>
          </cell>
          <cell r="L366">
            <v>0</v>
          </cell>
          <cell r="P366">
            <v>0</v>
          </cell>
          <cell r="V366">
            <v>0</v>
          </cell>
          <cell r="AI366">
            <v>0</v>
          </cell>
        </row>
        <row r="367">
          <cell r="B367">
            <v>1</v>
          </cell>
          <cell r="C367">
            <v>501</v>
          </cell>
          <cell r="D367" t="str">
            <v>5315</v>
          </cell>
          <cell r="E367" t="str">
            <v>Location de materiel informatique</v>
          </cell>
          <cell r="F367">
            <v>0</v>
          </cell>
          <cell r="L367">
            <v>0</v>
          </cell>
          <cell r="P367">
            <v>0</v>
          </cell>
          <cell r="V367">
            <v>0</v>
          </cell>
          <cell r="AI367">
            <v>0</v>
          </cell>
        </row>
        <row r="368">
          <cell r="B368">
            <v>1</v>
          </cell>
          <cell r="C368">
            <v>501</v>
          </cell>
          <cell r="D368" t="str">
            <v>5318</v>
          </cell>
          <cell r="E368" t="str">
            <v>Locations et charges locatives diverses</v>
          </cell>
          <cell r="F368">
            <v>0</v>
          </cell>
          <cell r="L368">
            <v>0</v>
          </cell>
          <cell r="P368">
            <v>0</v>
          </cell>
          <cell r="V368">
            <v>0</v>
          </cell>
          <cell r="AI368">
            <v>0</v>
          </cell>
        </row>
        <row r="369">
          <cell r="B369">
            <v>1</v>
          </cell>
          <cell r="C369" t="str">
            <v>510</v>
          </cell>
          <cell r="D369" t="str">
            <v>5332</v>
          </cell>
          <cell r="E369" t="str">
            <v>Entretiens &amp; réparations autres immobilisations</v>
          </cell>
          <cell r="F369">
            <v>91620</v>
          </cell>
          <cell r="I369">
            <v>26880</v>
          </cell>
          <cell r="J369">
            <v>22524</v>
          </cell>
          <cell r="K369">
            <v>49296</v>
          </cell>
          <cell r="L369">
            <v>190320</v>
          </cell>
          <cell r="N369">
            <v>78660</v>
          </cell>
          <cell r="O369">
            <v>31884</v>
          </cell>
          <cell r="P369">
            <v>110544</v>
          </cell>
          <cell r="V369">
            <v>0</v>
          </cell>
          <cell r="Y369">
            <v>241524</v>
          </cell>
          <cell r="Z369">
            <v>55404</v>
          </cell>
          <cell r="AA369">
            <v>504</v>
          </cell>
          <cell r="AG369">
            <v>21636</v>
          </cell>
          <cell r="AI369">
            <v>619932</v>
          </cell>
        </row>
        <row r="370">
          <cell r="B370">
            <v>1</v>
          </cell>
          <cell r="C370">
            <v>521</v>
          </cell>
          <cell r="D370" t="str">
            <v>5371</v>
          </cell>
          <cell r="E370" t="str">
            <v>Redevances pour brevets</v>
          </cell>
          <cell r="F370">
            <v>0</v>
          </cell>
          <cell r="L370">
            <v>0</v>
          </cell>
          <cell r="P370">
            <v>0</v>
          </cell>
          <cell r="V370">
            <v>0</v>
          </cell>
          <cell r="AI370">
            <v>0</v>
          </cell>
        </row>
        <row r="371">
          <cell r="B371">
            <v>1</v>
          </cell>
          <cell r="C371">
            <v>522</v>
          </cell>
          <cell r="D371" t="str">
            <v>5301</v>
          </cell>
          <cell r="E371" t="str">
            <v>Indemnisations de dégats de surface et de récolte</v>
          </cell>
          <cell r="F371">
            <v>0</v>
          </cell>
          <cell r="L371">
            <v>0</v>
          </cell>
          <cell r="P371">
            <v>0</v>
          </cell>
          <cell r="V371">
            <v>0</v>
          </cell>
          <cell r="AI371">
            <v>0</v>
          </cell>
        </row>
        <row r="372">
          <cell r="B372">
            <v>1</v>
          </cell>
          <cell r="C372">
            <v>530</v>
          </cell>
          <cell r="D372" t="str">
            <v>5306</v>
          </cell>
          <cell r="E372" t="str">
            <v>Indemnisations pour préjudices causés aux tiers</v>
          </cell>
          <cell r="F372">
            <v>0</v>
          </cell>
          <cell r="L372">
            <v>0</v>
          </cell>
          <cell r="P372">
            <v>0</v>
          </cell>
          <cell r="V372">
            <v>0</v>
          </cell>
          <cell r="AI372">
            <v>0</v>
          </cell>
        </row>
        <row r="373">
          <cell r="B373">
            <v>1</v>
          </cell>
          <cell r="C373">
            <v>531</v>
          </cell>
          <cell r="D373" t="str">
            <v>5368</v>
          </cell>
          <cell r="E373" t="str">
            <v>Autres rémunérations d'intermédiaires</v>
          </cell>
          <cell r="F373">
            <v>0</v>
          </cell>
          <cell r="L373">
            <v>0</v>
          </cell>
          <cell r="P373">
            <v>0</v>
          </cell>
          <cell r="V373">
            <v>0</v>
          </cell>
          <cell r="AI373">
            <v>0</v>
          </cell>
        </row>
        <row r="374">
          <cell r="B374">
            <v>1</v>
          </cell>
          <cell r="C374">
            <v>532</v>
          </cell>
          <cell r="D374" t="str">
            <v>5365</v>
          </cell>
          <cell r="E374" t="str">
            <v>Honoraires</v>
          </cell>
          <cell r="F374">
            <v>0</v>
          </cell>
          <cell r="L374">
            <v>0</v>
          </cell>
          <cell r="P374">
            <v>0</v>
          </cell>
          <cell r="V374">
            <v>0</v>
          </cell>
          <cell r="AI374">
            <v>0</v>
          </cell>
        </row>
        <row r="375">
          <cell r="B375">
            <v>1</v>
          </cell>
          <cell r="C375">
            <v>540</v>
          </cell>
          <cell r="D375" t="str">
            <v>5342</v>
          </cell>
          <cell r="E375" t="str">
            <v>Assurances automobiles</v>
          </cell>
          <cell r="F375">
            <v>0</v>
          </cell>
          <cell r="L375">
            <v>0</v>
          </cell>
          <cell r="P375">
            <v>0</v>
          </cell>
          <cell r="V375">
            <v>0</v>
          </cell>
          <cell r="AI375">
            <v>0</v>
          </cell>
        </row>
        <row r="376">
          <cell r="B376">
            <v>2</v>
          </cell>
          <cell r="C376">
            <v>540</v>
          </cell>
          <cell r="D376" t="str">
            <v>5345</v>
          </cell>
          <cell r="E376" t="str">
            <v>Assurances transports maritimes et terrestres</v>
          </cell>
          <cell r="F376">
            <v>0</v>
          </cell>
          <cell r="L376">
            <v>0</v>
          </cell>
          <cell r="P376">
            <v>0</v>
          </cell>
          <cell r="V376">
            <v>0</v>
          </cell>
          <cell r="AI376">
            <v>0</v>
          </cell>
        </row>
        <row r="377">
          <cell r="B377">
            <v>3</v>
          </cell>
          <cell r="C377">
            <v>540</v>
          </cell>
          <cell r="D377" t="str">
            <v>5348</v>
          </cell>
          <cell r="E377" t="str">
            <v>Autres assurances</v>
          </cell>
          <cell r="F377">
            <v>0</v>
          </cell>
          <cell r="L377">
            <v>0</v>
          </cell>
          <cell r="P377">
            <v>0</v>
          </cell>
          <cell r="V377">
            <v>0</v>
          </cell>
          <cell r="AI377">
            <v>0</v>
          </cell>
        </row>
        <row r="378">
          <cell r="B378">
            <v>1</v>
          </cell>
          <cell r="C378">
            <v>550</v>
          </cell>
          <cell r="D378" t="str">
            <v>5411</v>
          </cell>
          <cell r="E378" t="str">
            <v>Etudes</v>
          </cell>
          <cell r="F378">
            <v>0</v>
          </cell>
          <cell r="L378">
            <v>0</v>
          </cell>
          <cell r="P378">
            <v>0</v>
          </cell>
          <cell r="V378">
            <v>0</v>
          </cell>
          <cell r="AI378">
            <v>0</v>
          </cell>
        </row>
        <row r="379">
          <cell r="B379">
            <v>1</v>
          </cell>
          <cell r="C379">
            <v>550</v>
          </cell>
          <cell r="D379" t="str">
            <v>5412</v>
          </cell>
          <cell r="E379" t="str">
            <v>Analyses</v>
          </cell>
          <cell r="F379">
            <v>0</v>
          </cell>
          <cell r="L379">
            <v>0</v>
          </cell>
          <cell r="P379">
            <v>0</v>
          </cell>
          <cell r="V379">
            <v>0</v>
          </cell>
          <cell r="AI379">
            <v>0</v>
          </cell>
        </row>
        <row r="380">
          <cell r="B380">
            <v>2</v>
          </cell>
          <cell r="C380">
            <v>551</v>
          </cell>
          <cell r="D380" t="str">
            <v>5415</v>
          </cell>
          <cell r="E380" t="str">
            <v>Documentation générale</v>
          </cell>
          <cell r="F380">
            <v>0</v>
          </cell>
          <cell r="L380">
            <v>0</v>
          </cell>
          <cell r="P380">
            <v>0</v>
          </cell>
          <cell r="V380">
            <v>0</v>
          </cell>
          <cell r="AI380">
            <v>0</v>
          </cell>
        </row>
        <row r="381">
          <cell r="B381">
            <v>3</v>
          </cell>
          <cell r="C381">
            <v>551</v>
          </cell>
          <cell r="D381" t="str">
            <v>5416</v>
          </cell>
          <cell r="E381" t="str">
            <v>Documentation technique</v>
          </cell>
          <cell r="F381">
            <v>0</v>
          </cell>
          <cell r="L381">
            <v>0</v>
          </cell>
          <cell r="P381">
            <v>0</v>
          </cell>
          <cell r="V381">
            <v>0</v>
          </cell>
          <cell r="AI381">
            <v>0</v>
          </cell>
        </row>
        <row r="382">
          <cell r="B382">
            <v>1</v>
          </cell>
          <cell r="C382">
            <v>560</v>
          </cell>
          <cell r="D382" t="str">
            <v>5601</v>
          </cell>
          <cell r="E382" t="str">
            <v>Frais de transport du personnel</v>
          </cell>
          <cell r="F382">
            <v>0</v>
          </cell>
          <cell r="L382">
            <v>0</v>
          </cell>
          <cell r="P382">
            <v>0</v>
          </cell>
          <cell r="V382">
            <v>0</v>
          </cell>
          <cell r="Z382">
            <v>2744484</v>
          </cell>
          <cell r="AI382">
            <v>2744484</v>
          </cell>
        </row>
        <row r="383">
          <cell r="B383">
            <v>1</v>
          </cell>
          <cell r="C383">
            <v>561</v>
          </cell>
          <cell r="D383" t="str">
            <v>5731</v>
          </cell>
          <cell r="E383" t="str">
            <v>Voyages et deplacements</v>
          </cell>
          <cell r="F383">
            <v>180</v>
          </cell>
          <cell r="G383">
            <v>264</v>
          </cell>
          <cell r="H383">
            <v>444</v>
          </cell>
          <cell r="I383">
            <v>108</v>
          </cell>
          <cell r="L383">
            <v>996</v>
          </cell>
          <cell r="M383">
            <v>1248</v>
          </cell>
          <cell r="N383">
            <v>1140</v>
          </cell>
          <cell r="O383">
            <v>516</v>
          </cell>
          <cell r="P383">
            <v>1656</v>
          </cell>
          <cell r="R383">
            <v>768</v>
          </cell>
          <cell r="S383">
            <v>2952</v>
          </cell>
          <cell r="V383">
            <v>0</v>
          </cell>
          <cell r="W383">
            <v>204</v>
          </cell>
          <cell r="X383">
            <v>2208</v>
          </cell>
          <cell r="Y383">
            <v>828</v>
          </cell>
          <cell r="Z383">
            <v>14040</v>
          </cell>
          <cell r="AA383">
            <v>482</v>
          </cell>
          <cell r="AB383">
            <v>2568</v>
          </cell>
          <cell r="AD383">
            <v>1212</v>
          </cell>
          <cell r="AE383">
            <v>288</v>
          </cell>
          <cell r="AF383">
            <v>972</v>
          </cell>
          <cell r="AG383">
            <v>576</v>
          </cell>
          <cell r="AH383">
            <v>50436</v>
          </cell>
          <cell r="AI383">
            <v>81434</v>
          </cell>
        </row>
        <row r="384">
          <cell r="B384">
            <v>1</v>
          </cell>
          <cell r="C384">
            <v>571</v>
          </cell>
          <cell r="D384" t="str">
            <v>5735</v>
          </cell>
          <cell r="E384" t="str">
            <v>Frais de missions</v>
          </cell>
          <cell r="F384">
            <v>0</v>
          </cell>
          <cell r="L384">
            <v>0</v>
          </cell>
          <cell r="P384">
            <v>0</v>
          </cell>
          <cell r="V384">
            <v>0</v>
          </cell>
          <cell r="AI384">
            <v>0</v>
          </cell>
        </row>
        <row r="385">
          <cell r="B385">
            <v>2</v>
          </cell>
          <cell r="C385">
            <v>571</v>
          </cell>
          <cell r="D385" t="str">
            <v>5736</v>
          </cell>
          <cell r="E385" t="str">
            <v>Frais de reception</v>
          </cell>
          <cell r="F385">
            <v>0</v>
          </cell>
          <cell r="L385">
            <v>0</v>
          </cell>
          <cell r="P385">
            <v>0</v>
          </cell>
          <cell r="V385">
            <v>0</v>
          </cell>
          <cell r="AI385">
            <v>0</v>
          </cell>
        </row>
        <row r="386">
          <cell r="B386">
            <v>1</v>
          </cell>
          <cell r="C386">
            <v>579</v>
          </cell>
          <cell r="D386" t="str">
            <v>5737</v>
          </cell>
          <cell r="E386" t="str">
            <v>Frais des conseils et assemblees</v>
          </cell>
          <cell r="F386">
            <v>0</v>
          </cell>
          <cell r="L386">
            <v>0</v>
          </cell>
          <cell r="P386">
            <v>0</v>
          </cell>
          <cell r="V386">
            <v>0</v>
          </cell>
          <cell r="AI386">
            <v>0</v>
          </cell>
        </row>
        <row r="387">
          <cell r="B387">
            <v>1</v>
          </cell>
          <cell r="C387">
            <v>581</v>
          </cell>
          <cell r="D387" t="str">
            <v>5755</v>
          </cell>
          <cell r="E387" t="str">
            <v>Téléphone</v>
          </cell>
          <cell r="F387">
            <v>0</v>
          </cell>
          <cell r="L387">
            <v>0</v>
          </cell>
          <cell r="P387">
            <v>0</v>
          </cell>
          <cell r="V387">
            <v>0</v>
          </cell>
          <cell r="AI387">
            <v>0</v>
          </cell>
        </row>
        <row r="388">
          <cell r="B388">
            <v>1</v>
          </cell>
          <cell r="C388">
            <v>680</v>
          </cell>
          <cell r="D388" t="str">
            <v>6380</v>
          </cell>
          <cell r="E388" t="str">
            <v>Dotations d'exploitation aux amortissements et aux provisions des immobilisations</v>
          </cell>
          <cell r="F388">
            <v>30384</v>
          </cell>
          <cell r="G388">
            <v>1164</v>
          </cell>
          <cell r="H388">
            <v>47064</v>
          </cell>
          <cell r="I388">
            <v>10452</v>
          </cell>
          <cell r="J388">
            <v>1764</v>
          </cell>
          <cell r="K388">
            <v>29688</v>
          </cell>
          <cell r="L388">
            <v>120516</v>
          </cell>
          <cell r="M388">
            <v>79572</v>
          </cell>
          <cell r="N388">
            <v>243228</v>
          </cell>
          <cell r="O388">
            <v>270624</v>
          </cell>
          <cell r="P388">
            <v>513852</v>
          </cell>
          <cell r="R388">
            <v>806172</v>
          </cell>
          <cell r="S388">
            <v>1756428</v>
          </cell>
          <cell r="T388">
            <v>105540</v>
          </cell>
          <cell r="U388">
            <v>168960</v>
          </cell>
          <cell r="V388">
            <v>274500</v>
          </cell>
          <cell r="Y388">
            <v>491400</v>
          </cell>
          <cell r="Z388">
            <v>971844</v>
          </cell>
          <cell r="AA388">
            <v>324</v>
          </cell>
          <cell r="AC388">
            <v>110304</v>
          </cell>
          <cell r="AG388">
            <v>4583544</v>
          </cell>
          <cell r="AH388">
            <v>260844</v>
          </cell>
          <cell r="AI388">
            <v>9969300</v>
          </cell>
        </row>
        <row r="389">
          <cell r="B389">
            <v>1</v>
          </cell>
          <cell r="C389">
            <v>720</v>
          </cell>
          <cell r="D389" t="str">
            <v>7050</v>
          </cell>
          <cell r="E389" t="str">
            <v>Locations diverses reçues</v>
          </cell>
          <cell r="F389">
            <v>0</v>
          </cell>
          <cell r="L389">
            <v>0</v>
          </cell>
          <cell r="P389">
            <v>0</v>
          </cell>
          <cell r="V389">
            <v>0</v>
          </cell>
          <cell r="AI389">
            <v>0</v>
          </cell>
        </row>
        <row r="390">
          <cell r="B390">
            <v>1</v>
          </cell>
          <cell r="C390">
            <v>800</v>
          </cell>
          <cell r="D390" t="str">
            <v>8100</v>
          </cell>
          <cell r="E390" t="str">
            <v>Recettes ligne 2100</v>
          </cell>
          <cell r="F390">
            <v>0</v>
          </cell>
          <cell r="L390">
            <v>0</v>
          </cell>
          <cell r="P390">
            <v>0</v>
          </cell>
          <cell r="V390">
            <v>0</v>
          </cell>
          <cell r="AI390">
            <v>0</v>
          </cell>
        </row>
        <row r="391">
          <cell r="B391">
            <v>1</v>
          </cell>
          <cell r="C391">
            <v>802</v>
          </cell>
          <cell r="D391" t="str">
            <v>8102</v>
          </cell>
          <cell r="E391" t="str">
            <v>Recettes ligne 2102</v>
          </cell>
          <cell r="F391">
            <v>0</v>
          </cell>
          <cell r="L391">
            <v>0</v>
          </cell>
          <cell r="P391">
            <v>0</v>
          </cell>
          <cell r="V391">
            <v>0</v>
          </cell>
          <cell r="AI391">
            <v>0</v>
          </cell>
        </row>
        <row r="392">
          <cell r="B392">
            <v>1</v>
          </cell>
          <cell r="C392">
            <v>803</v>
          </cell>
          <cell r="D392" t="str">
            <v>8103</v>
          </cell>
          <cell r="E392" t="str">
            <v>Recettes ligne 2103</v>
          </cell>
          <cell r="F392">
            <v>0</v>
          </cell>
          <cell r="L392">
            <v>0</v>
          </cell>
          <cell r="P392">
            <v>0</v>
          </cell>
          <cell r="V392">
            <v>0</v>
          </cell>
          <cell r="AI392">
            <v>0</v>
          </cell>
        </row>
        <row r="393">
          <cell r="B393">
            <v>1</v>
          </cell>
          <cell r="C393">
            <v>806</v>
          </cell>
          <cell r="D393" t="str">
            <v>8106</v>
          </cell>
          <cell r="E393" t="str">
            <v>Recettes ligne 2106</v>
          </cell>
          <cell r="F393">
            <v>0</v>
          </cell>
          <cell r="L393">
            <v>0</v>
          </cell>
          <cell r="P393">
            <v>0</v>
          </cell>
          <cell r="V393">
            <v>0</v>
          </cell>
          <cell r="AI393">
            <v>0</v>
          </cell>
        </row>
        <row r="394">
          <cell r="B394">
            <v>1</v>
          </cell>
          <cell r="C394">
            <v>807</v>
          </cell>
          <cell r="D394" t="str">
            <v>8107</v>
          </cell>
          <cell r="E394" t="str">
            <v>Recettes ligne 2107</v>
          </cell>
          <cell r="F394">
            <v>0</v>
          </cell>
          <cell r="L394">
            <v>0</v>
          </cell>
          <cell r="P394">
            <v>0</v>
          </cell>
          <cell r="V394">
            <v>0</v>
          </cell>
          <cell r="AI394">
            <v>0</v>
          </cell>
        </row>
        <row r="395">
          <cell r="B395">
            <v>1</v>
          </cell>
          <cell r="C395">
            <v>820</v>
          </cell>
          <cell r="D395" t="str">
            <v>8200</v>
          </cell>
          <cell r="E395" t="str">
            <v>Recettes lignes 2200 à 2290</v>
          </cell>
          <cell r="F395">
            <v>0</v>
          </cell>
          <cell r="L395">
            <v>0</v>
          </cell>
          <cell r="P395">
            <v>0</v>
          </cell>
          <cell r="V395">
            <v>0</v>
          </cell>
          <cell r="AI395">
            <v>0</v>
          </cell>
        </row>
        <row r="396">
          <cell r="B396">
            <v>1</v>
          </cell>
          <cell r="C396">
            <v>830</v>
          </cell>
          <cell r="D396" t="str">
            <v>8300</v>
          </cell>
          <cell r="E396" t="str">
            <v>Recettes lignes 2300à 2390</v>
          </cell>
          <cell r="F396">
            <v>0</v>
          </cell>
          <cell r="L396">
            <v>0</v>
          </cell>
          <cell r="P396">
            <v>0</v>
          </cell>
          <cell r="V396">
            <v>0</v>
          </cell>
          <cell r="AI396">
            <v>0</v>
          </cell>
        </row>
        <row r="397">
          <cell r="B397">
            <v>1</v>
          </cell>
          <cell r="C397" t="str">
            <v>721-722</v>
          </cell>
          <cell r="D397" t="str">
            <v>7053</v>
          </cell>
          <cell r="E397" t="str">
            <v>Cessions eau, électricité au personnel</v>
          </cell>
          <cell r="F397">
            <v>0</v>
          </cell>
          <cell r="L397">
            <v>0</v>
          </cell>
          <cell r="P397">
            <v>0</v>
          </cell>
          <cell r="V397">
            <v>0</v>
          </cell>
          <cell r="AI397">
            <v>0</v>
          </cell>
        </row>
        <row r="398">
          <cell r="D398" t="str">
            <v>0</v>
          </cell>
          <cell r="E398" t="str">
            <v>Non Significative</v>
          </cell>
          <cell r="F398">
            <v>0</v>
          </cell>
          <cell r="L398">
            <v>0</v>
          </cell>
          <cell r="P398">
            <v>0</v>
          </cell>
          <cell r="V398">
            <v>0</v>
          </cell>
          <cell r="AI398">
            <v>0</v>
          </cell>
        </row>
        <row r="399">
          <cell r="D399" t="str">
            <v>0640</v>
          </cell>
          <cell r="E399" t="str">
            <v>Achats revendus des marchadises sur exrecices antérieurs</v>
          </cell>
          <cell r="F399">
            <v>0</v>
          </cell>
          <cell r="L399">
            <v>0</v>
          </cell>
          <cell r="P399">
            <v>0</v>
          </cell>
          <cell r="V399">
            <v>0</v>
          </cell>
          <cell r="AI399">
            <v>0</v>
          </cell>
        </row>
        <row r="400">
          <cell r="D400" t="str">
            <v>0641</v>
          </cell>
          <cell r="E400" t="str">
            <v>RRRO des achats sur exercices antérieurs</v>
          </cell>
          <cell r="F400">
            <v>0</v>
          </cell>
          <cell r="L400">
            <v>0</v>
          </cell>
          <cell r="P400">
            <v>0</v>
          </cell>
          <cell r="V400">
            <v>0</v>
          </cell>
          <cell r="AI400">
            <v>0</v>
          </cell>
        </row>
        <row r="401">
          <cell r="D401" t="str">
            <v>0642</v>
          </cell>
          <cell r="E401" t="str">
            <v>Matières premières sur exercices antérieurs</v>
          </cell>
          <cell r="F401">
            <v>0</v>
          </cell>
          <cell r="L401">
            <v>0</v>
          </cell>
          <cell r="P401">
            <v>0</v>
          </cell>
          <cell r="V401">
            <v>0</v>
          </cell>
          <cell r="AI401">
            <v>0</v>
          </cell>
        </row>
        <row r="402">
          <cell r="D402" t="str">
            <v>0643</v>
          </cell>
          <cell r="E402" t="str">
            <v>Matières et fournitures consommables sur exercice antérieur</v>
          </cell>
          <cell r="F402">
            <v>0</v>
          </cell>
          <cell r="L402">
            <v>0</v>
          </cell>
          <cell r="P402">
            <v>0</v>
          </cell>
          <cell r="V402">
            <v>0</v>
          </cell>
          <cell r="AI402">
            <v>0</v>
          </cell>
        </row>
        <row r="403">
          <cell r="D403" t="str">
            <v>0644</v>
          </cell>
          <cell r="E403" t="str">
            <v>Emballages à usage mixte sur exercices antérieurs</v>
          </cell>
          <cell r="F403">
            <v>0</v>
          </cell>
          <cell r="L403">
            <v>0</v>
          </cell>
          <cell r="P403">
            <v>0</v>
          </cell>
          <cell r="V403">
            <v>0</v>
          </cell>
          <cell r="AI403">
            <v>0</v>
          </cell>
        </row>
        <row r="404">
          <cell r="D404" t="str">
            <v>0645</v>
          </cell>
          <cell r="E404" t="str">
            <v>Matières et fournitures non stockées sur exercices antérieurs</v>
          </cell>
          <cell r="F404">
            <v>0</v>
          </cell>
          <cell r="L404">
            <v>0</v>
          </cell>
          <cell r="P404">
            <v>0</v>
          </cell>
          <cell r="V404">
            <v>0</v>
          </cell>
          <cell r="AI404">
            <v>0</v>
          </cell>
        </row>
        <row r="405">
          <cell r="D405" t="str">
            <v>0646</v>
          </cell>
          <cell r="E405" t="str">
            <v>Travaux, Etudes et prestations de service sur exercices antérieurs</v>
          </cell>
          <cell r="F405">
            <v>0</v>
          </cell>
          <cell r="L405">
            <v>0</v>
          </cell>
          <cell r="P405">
            <v>0</v>
          </cell>
          <cell r="V405">
            <v>0</v>
          </cell>
          <cell r="AI405">
            <v>0</v>
          </cell>
        </row>
        <row r="406">
          <cell r="D406" t="str">
            <v>0648</v>
          </cell>
          <cell r="E406" t="str">
            <v>RRRO sur achat de matières premières sur exercices antérieurs</v>
          </cell>
          <cell r="F406">
            <v>0</v>
          </cell>
          <cell r="L406">
            <v>0</v>
          </cell>
          <cell r="P406">
            <v>0</v>
          </cell>
          <cell r="V406">
            <v>0</v>
          </cell>
          <cell r="AI406">
            <v>0</v>
          </cell>
        </row>
        <row r="407">
          <cell r="D407" t="str">
            <v>0649</v>
          </cell>
          <cell r="E407" t="str">
            <v>RRRO sur achat de matière et fourniture consommable sur exercices antérieurs</v>
          </cell>
          <cell r="F407">
            <v>0</v>
          </cell>
          <cell r="L407">
            <v>0</v>
          </cell>
          <cell r="P407">
            <v>0</v>
          </cell>
          <cell r="V407">
            <v>0</v>
          </cell>
          <cell r="AI407">
            <v>0</v>
          </cell>
        </row>
        <row r="408">
          <cell r="D408" t="str">
            <v>0650</v>
          </cell>
          <cell r="E408" t="str">
            <v>RRRO sur achat de travaux, études et prestation de service sur exercices antérieurs</v>
          </cell>
          <cell r="F408">
            <v>0</v>
          </cell>
          <cell r="L408">
            <v>0</v>
          </cell>
          <cell r="P408">
            <v>0</v>
          </cell>
          <cell r="V408">
            <v>0</v>
          </cell>
          <cell r="AI408">
            <v>0</v>
          </cell>
        </row>
        <row r="409">
          <cell r="D409" t="str">
            <v>0651</v>
          </cell>
          <cell r="E409" t="str">
            <v>Frais d'achat et de ventes de titres sur exercices antérieurs</v>
          </cell>
          <cell r="F409">
            <v>0</v>
          </cell>
          <cell r="L409">
            <v>0</v>
          </cell>
          <cell r="P409">
            <v>0</v>
          </cell>
          <cell r="V409">
            <v>0</v>
          </cell>
          <cell r="AI409">
            <v>0</v>
          </cell>
        </row>
        <row r="410">
          <cell r="D410" t="str">
            <v>0652</v>
          </cell>
          <cell r="E410" t="str">
            <v>Frais sur effet de commerce sur exercices antérieurs</v>
          </cell>
          <cell r="F410">
            <v>0</v>
          </cell>
          <cell r="L410">
            <v>0</v>
          </cell>
          <cell r="P410">
            <v>0</v>
          </cell>
          <cell r="V410">
            <v>0</v>
          </cell>
          <cell r="AI410">
            <v>0</v>
          </cell>
        </row>
        <row r="411">
          <cell r="D411" t="str">
            <v>0653</v>
          </cell>
          <cell r="E411" t="str">
            <v>Frais et commissions sur Credoc sur exercices antérieurs</v>
          </cell>
          <cell r="F411">
            <v>0</v>
          </cell>
          <cell r="L411">
            <v>0</v>
          </cell>
          <cell r="P411">
            <v>0</v>
          </cell>
          <cell r="V411">
            <v>0</v>
          </cell>
          <cell r="AI411">
            <v>0</v>
          </cell>
        </row>
        <row r="412">
          <cell r="D412" t="str">
            <v>0654</v>
          </cell>
          <cell r="E412" t="str">
            <v>Frais et commissions sur Remdoc sur exercices antérieurs</v>
          </cell>
          <cell r="F412">
            <v>0</v>
          </cell>
          <cell r="L412">
            <v>0</v>
          </cell>
          <cell r="P412">
            <v>0</v>
          </cell>
          <cell r="V412">
            <v>0</v>
          </cell>
          <cell r="AI412">
            <v>0</v>
          </cell>
        </row>
        <row r="413">
          <cell r="D413" t="str">
            <v>0655</v>
          </cell>
          <cell r="E413" t="str">
            <v>Frais et commissions sur opérations effectuées selon les conditions générales d'achat sur exercices antérieurs</v>
          </cell>
          <cell r="F413">
            <v>0</v>
          </cell>
          <cell r="L413">
            <v>0</v>
          </cell>
          <cell r="P413">
            <v>0</v>
          </cell>
          <cell r="V413">
            <v>0</v>
          </cell>
          <cell r="AI413">
            <v>0</v>
          </cell>
        </row>
        <row r="414">
          <cell r="D414" t="str">
            <v>0656</v>
          </cell>
          <cell r="E414" t="str">
            <v>Frais sur quotions bancaires sur exercices antérieurs</v>
          </cell>
          <cell r="F414">
            <v>0</v>
          </cell>
          <cell r="L414">
            <v>0</v>
          </cell>
          <cell r="P414">
            <v>0</v>
          </cell>
          <cell r="V414">
            <v>0</v>
          </cell>
          <cell r="AI414">
            <v>0</v>
          </cell>
        </row>
        <row r="415">
          <cell r="D415" t="str">
            <v>0658</v>
          </cell>
          <cell r="E415" t="str">
            <v>Autres charges externes sur exercices antérieurs</v>
          </cell>
          <cell r="F415">
            <v>0</v>
          </cell>
          <cell r="L415">
            <v>0</v>
          </cell>
          <cell r="P415">
            <v>0</v>
          </cell>
          <cell r="V415">
            <v>0</v>
          </cell>
          <cell r="AI415">
            <v>0</v>
          </cell>
        </row>
        <row r="416">
          <cell r="D416" t="str">
            <v>0661</v>
          </cell>
          <cell r="E416" t="str">
            <v>Rémunération du personnel sur exercices antérieurs</v>
          </cell>
          <cell r="F416">
            <v>0</v>
          </cell>
          <cell r="L416">
            <v>0</v>
          </cell>
          <cell r="P416">
            <v>0</v>
          </cell>
          <cell r="V416">
            <v>0</v>
          </cell>
          <cell r="AI416">
            <v>0</v>
          </cell>
        </row>
        <row r="417">
          <cell r="D417" t="str">
            <v>0664</v>
          </cell>
          <cell r="E417" t="str">
            <v>Charges sociales sur exercices antérieurs</v>
          </cell>
          <cell r="F417">
            <v>0</v>
          </cell>
          <cell r="L417">
            <v>0</v>
          </cell>
          <cell r="P417">
            <v>0</v>
          </cell>
          <cell r="V417">
            <v>0</v>
          </cell>
          <cell r="AI417">
            <v>0</v>
          </cell>
        </row>
        <row r="418">
          <cell r="D418" t="str">
            <v>0666</v>
          </cell>
          <cell r="E418" t="str">
            <v>Charges sociales diverses sur exercices antérieurs</v>
          </cell>
          <cell r="F418">
            <v>0</v>
          </cell>
          <cell r="L418">
            <v>0</v>
          </cell>
          <cell r="P418">
            <v>0</v>
          </cell>
          <cell r="V418">
            <v>0</v>
          </cell>
          <cell r="AI418">
            <v>0</v>
          </cell>
        </row>
        <row r="419">
          <cell r="D419" t="str">
            <v>0668</v>
          </cell>
          <cell r="E419" t="str">
            <v>Impôts et taxes sur exercices antérieurs</v>
          </cell>
          <cell r="F419">
            <v>0</v>
          </cell>
          <cell r="L419">
            <v>0</v>
          </cell>
          <cell r="P419">
            <v>0</v>
          </cell>
          <cell r="V419">
            <v>0</v>
          </cell>
          <cell r="AI419">
            <v>0</v>
          </cell>
        </row>
        <row r="420">
          <cell r="D420" t="str">
            <v>0669</v>
          </cell>
          <cell r="E420" t="str">
            <v>Autres charges d'exploitation des exercices antérieurs</v>
          </cell>
          <cell r="F420">
            <v>0</v>
          </cell>
          <cell r="L420">
            <v>0</v>
          </cell>
          <cell r="P420">
            <v>0</v>
          </cell>
          <cell r="V420">
            <v>0</v>
          </cell>
          <cell r="AI420">
            <v>0</v>
          </cell>
        </row>
        <row r="421">
          <cell r="D421" t="str">
            <v>0674</v>
          </cell>
          <cell r="E421" t="str">
            <v>Dotations d'exploitation aux provisions des exercices antérieurs</v>
          </cell>
          <cell r="F421">
            <v>0</v>
          </cell>
          <cell r="L421">
            <v>0</v>
          </cell>
          <cell r="P421">
            <v>0</v>
          </cell>
          <cell r="V421">
            <v>0</v>
          </cell>
          <cell r="AI421">
            <v>0</v>
          </cell>
        </row>
        <row r="422">
          <cell r="D422" t="str">
            <v>0679</v>
          </cell>
          <cell r="E422" t="str">
            <v>Intérêts des emprunts des crédits financiers sur exercices antérieurs</v>
          </cell>
          <cell r="F422">
            <v>0</v>
          </cell>
          <cell r="L422">
            <v>0</v>
          </cell>
          <cell r="P422">
            <v>0</v>
          </cell>
          <cell r="V422">
            <v>0</v>
          </cell>
          <cell r="AI422">
            <v>0</v>
          </cell>
        </row>
        <row r="423">
          <cell r="D423" t="str">
            <v>0680</v>
          </cell>
          <cell r="E423" t="str">
            <v>Dotations des immobilisations sur exercices antérieurs</v>
          </cell>
          <cell r="F423">
            <v>0</v>
          </cell>
          <cell r="L423">
            <v>0</v>
          </cell>
          <cell r="P423">
            <v>0</v>
          </cell>
          <cell r="V423">
            <v>0</v>
          </cell>
          <cell r="AI423">
            <v>0</v>
          </cell>
        </row>
        <row r="424">
          <cell r="D424" t="str">
            <v>0681</v>
          </cell>
          <cell r="E424" t="str">
            <v>Intérêts des emprunts des crédits acheteurs sur exercices antérieurs</v>
          </cell>
          <cell r="F424">
            <v>0</v>
          </cell>
          <cell r="L424">
            <v>0</v>
          </cell>
          <cell r="P424">
            <v>0</v>
          </cell>
          <cell r="V424">
            <v>0</v>
          </cell>
          <cell r="AI424">
            <v>0</v>
          </cell>
        </row>
        <row r="425">
          <cell r="D425" t="str">
            <v>0682</v>
          </cell>
          <cell r="E425" t="str">
            <v>Intérêts des emprunts des crédits gouvernementaux sur exercices antérieurs</v>
          </cell>
          <cell r="F425">
            <v>0</v>
          </cell>
          <cell r="L425">
            <v>0</v>
          </cell>
          <cell r="P425">
            <v>0</v>
          </cell>
          <cell r="V425">
            <v>0</v>
          </cell>
          <cell r="AI425">
            <v>0</v>
          </cell>
        </row>
        <row r="426">
          <cell r="D426" t="str">
            <v>0683</v>
          </cell>
          <cell r="E426" t="str">
            <v>Intérêts des crédits financiers rééchelonnés sur exercices antérieurs</v>
          </cell>
          <cell r="F426">
            <v>0</v>
          </cell>
          <cell r="L426">
            <v>0</v>
          </cell>
          <cell r="P426">
            <v>0</v>
          </cell>
          <cell r="V426">
            <v>0</v>
          </cell>
          <cell r="AI426">
            <v>0</v>
          </cell>
        </row>
        <row r="427">
          <cell r="D427" t="str">
            <v>0684</v>
          </cell>
          <cell r="E427" t="str">
            <v>Intérêts des crédits acheteurs rééchelonnés sur exercices antérieurs</v>
          </cell>
          <cell r="F427">
            <v>0</v>
          </cell>
          <cell r="L427">
            <v>0</v>
          </cell>
          <cell r="P427">
            <v>0</v>
          </cell>
          <cell r="V427">
            <v>0</v>
          </cell>
          <cell r="AI427">
            <v>0</v>
          </cell>
        </row>
        <row r="428">
          <cell r="D428" t="str">
            <v>0685</v>
          </cell>
          <cell r="E428" t="str">
            <v>Intérêts des emprunts et des charges rééchelonnées à compenser en MAD sur exercices antérieurs</v>
          </cell>
          <cell r="F428">
            <v>0</v>
          </cell>
          <cell r="L428">
            <v>0</v>
          </cell>
          <cell r="P428">
            <v>0</v>
          </cell>
          <cell r="V428">
            <v>0</v>
          </cell>
          <cell r="AI428">
            <v>0</v>
          </cell>
        </row>
        <row r="429">
          <cell r="D429" t="str">
            <v>0686</v>
          </cell>
          <cell r="E429" t="str">
            <v>Intérêts des dettes rattachées à des participations sur exercices antérieurs</v>
          </cell>
          <cell r="F429">
            <v>0</v>
          </cell>
          <cell r="L429">
            <v>0</v>
          </cell>
          <cell r="P429">
            <v>0</v>
          </cell>
          <cell r="V429">
            <v>0</v>
          </cell>
          <cell r="AI429">
            <v>0</v>
          </cell>
        </row>
        <row r="430">
          <cell r="D430" t="str">
            <v>0687</v>
          </cell>
          <cell r="E430" t="str">
            <v>Intérêts des comptes ordinaires sur exercices antérieurs</v>
          </cell>
          <cell r="F430">
            <v>0</v>
          </cell>
          <cell r="L430">
            <v>0</v>
          </cell>
          <cell r="P430">
            <v>0</v>
          </cell>
          <cell r="V430">
            <v>0</v>
          </cell>
          <cell r="AI430">
            <v>0</v>
          </cell>
        </row>
        <row r="431">
          <cell r="D431" t="str">
            <v>0688</v>
          </cell>
          <cell r="E431" t="str">
            <v>Intérêts bancaires sur opérations de financement sur exercices antérieurs</v>
          </cell>
          <cell r="F431">
            <v>0</v>
          </cell>
          <cell r="L431">
            <v>0</v>
          </cell>
          <cell r="P431">
            <v>0</v>
          </cell>
          <cell r="V431">
            <v>0</v>
          </cell>
          <cell r="AI431">
            <v>0</v>
          </cell>
        </row>
        <row r="432">
          <cell r="D432" t="str">
            <v>0689</v>
          </cell>
          <cell r="E432" t="str">
            <v>Intérêts de capitalisation CIR sur exercices antérieurs</v>
          </cell>
          <cell r="F432">
            <v>0</v>
          </cell>
          <cell r="L432">
            <v>0</v>
          </cell>
          <cell r="P432">
            <v>0</v>
          </cell>
          <cell r="V432">
            <v>0</v>
          </cell>
          <cell r="AI432">
            <v>0</v>
          </cell>
        </row>
        <row r="433">
          <cell r="D433" t="str">
            <v>0690</v>
          </cell>
          <cell r="E433" t="str">
            <v>Pertes de change sur remboursement des emprunts sur exercices antérieurs</v>
          </cell>
          <cell r="F433">
            <v>0</v>
          </cell>
          <cell r="L433">
            <v>0</v>
          </cell>
          <cell r="P433">
            <v>0</v>
          </cell>
          <cell r="V433">
            <v>0</v>
          </cell>
          <cell r="AI433">
            <v>0</v>
          </cell>
        </row>
        <row r="434">
          <cell r="D434" t="str">
            <v>0691</v>
          </cell>
          <cell r="E434" t="str">
            <v>Pertes de change sur opération de trésorerie sur exercices antérieurs</v>
          </cell>
          <cell r="F434">
            <v>0</v>
          </cell>
          <cell r="L434">
            <v>0</v>
          </cell>
          <cell r="P434">
            <v>0</v>
          </cell>
          <cell r="V434">
            <v>0</v>
          </cell>
          <cell r="AI434">
            <v>0</v>
          </cell>
        </row>
        <row r="435">
          <cell r="D435" t="str">
            <v>0692</v>
          </cell>
          <cell r="E435" t="str">
            <v>Autres charges financières sur exercices antérieurs</v>
          </cell>
          <cell r="F435">
            <v>0</v>
          </cell>
          <cell r="L435">
            <v>0</v>
          </cell>
          <cell r="P435">
            <v>0</v>
          </cell>
          <cell r="V435">
            <v>0</v>
          </cell>
          <cell r="AI435">
            <v>0</v>
          </cell>
        </row>
        <row r="436">
          <cell r="D436" t="str">
            <v>0693</v>
          </cell>
          <cell r="E436" t="str">
            <v>Dotations financières sur exercices antérieurs</v>
          </cell>
          <cell r="F436">
            <v>0</v>
          </cell>
          <cell r="L436">
            <v>0</v>
          </cell>
          <cell r="P436">
            <v>0</v>
          </cell>
          <cell r="V436">
            <v>0</v>
          </cell>
          <cell r="AI436">
            <v>0</v>
          </cell>
        </row>
        <row r="437">
          <cell r="D437" t="str">
            <v>0694</v>
          </cell>
          <cell r="E437" t="str">
            <v>Subventions accordées des exercices antérieurs</v>
          </cell>
          <cell r="F437">
            <v>0</v>
          </cell>
          <cell r="L437">
            <v>0</v>
          </cell>
          <cell r="P437">
            <v>0</v>
          </cell>
          <cell r="V437">
            <v>0</v>
          </cell>
          <cell r="AI437">
            <v>0</v>
          </cell>
        </row>
        <row r="438">
          <cell r="D438" t="str">
            <v>0697</v>
          </cell>
          <cell r="E438" t="str">
            <v>Autres charges non courantes sur exercices antérieurs</v>
          </cell>
          <cell r="F438">
            <v>0</v>
          </cell>
          <cell r="L438">
            <v>0</v>
          </cell>
          <cell r="P438">
            <v>0</v>
          </cell>
          <cell r="V438">
            <v>0</v>
          </cell>
          <cell r="AI438">
            <v>0</v>
          </cell>
        </row>
        <row r="439">
          <cell r="D439" t="str">
            <v>0698</v>
          </cell>
          <cell r="E439" t="str">
            <v>Dotations non courantes sur exercices antérieurs</v>
          </cell>
          <cell r="F439">
            <v>0</v>
          </cell>
          <cell r="L439">
            <v>0</v>
          </cell>
          <cell r="P439">
            <v>0</v>
          </cell>
          <cell r="V439">
            <v>0</v>
          </cell>
          <cell r="AI439">
            <v>0</v>
          </cell>
        </row>
        <row r="440">
          <cell r="D440" t="str">
            <v>0701</v>
          </cell>
          <cell r="E440" t="str">
            <v>Ventes de marchandises des exercices antérieurs</v>
          </cell>
          <cell r="F440">
            <v>0</v>
          </cell>
          <cell r="L440">
            <v>0</v>
          </cell>
          <cell r="P440">
            <v>0</v>
          </cell>
          <cell r="V440">
            <v>0</v>
          </cell>
          <cell r="AI440">
            <v>0</v>
          </cell>
        </row>
        <row r="441">
          <cell r="D441" t="str">
            <v>0711</v>
          </cell>
          <cell r="E441" t="str">
            <v>Ventes de biens produits des exercices antérieurs au Maroc</v>
          </cell>
          <cell r="F441">
            <v>0</v>
          </cell>
          <cell r="L441">
            <v>0</v>
          </cell>
          <cell r="P441">
            <v>0</v>
          </cell>
          <cell r="V441">
            <v>0</v>
          </cell>
          <cell r="AI441">
            <v>0</v>
          </cell>
        </row>
        <row r="442">
          <cell r="D442" t="str">
            <v>0712</v>
          </cell>
          <cell r="E442" t="str">
            <v>Vente de biens produits sur exercices antérieurs à l'étranger</v>
          </cell>
          <cell r="F442">
            <v>0</v>
          </cell>
          <cell r="L442">
            <v>0</v>
          </cell>
          <cell r="P442">
            <v>0</v>
          </cell>
          <cell r="V442">
            <v>0</v>
          </cell>
          <cell r="AI442">
            <v>0</v>
          </cell>
        </row>
        <row r="443">
          <cell r="D443" t="str">
            <v>0714</v>
          </cell>
          <cell r="E443" t="str">
            <v>Vente de services produits sur exercices antérieurs Maroc</v>
          </cell>
          <cell r="F443">
            <v>0</v>
          </cell>
          <cell r="L443">
            <v>0</v>
          </cell>
          <cell r="P443">
            <v>0</v>
          </cell>
          <cell r="V443">
            <v>0</v>
          </cell>
          <cell r="AI443">
            <v>0</v>
          </cell>
        </row>
        <row r="444">
          <cell r="D444" t="str">
            <v>0715</v>
          </cell>
          <cell r="E444" t="str">
            <v>Vente de services produits sur exercices antérieurs étranger</v>
          </cell>
          <cell r="F444">
            <v>0</v>
          </cell>
          <cell r="L444">
            <v>0</v>
          </cell>
          <cell r="P444">
            <v>0</v>
          </cell>
          <cell r="V444">
            <v>0</v>
          </cell>
          <cell r="AI444">
            <v>0</v>
          </cell>
        </row>
        <row r="445">
          <cell r="D445" t="str">
            <v>0716</v>
          </cell>
          <cell r="E445" t="str">
            <v>Vente produits accessoires sur exercices antérieurs</v>
          </cell>
          <cell r="F445">
            <v>0</v>
          </cell>
          <cell r="L445">
            <v>0</v>
          </cell>
          <cell r="P445">
            <v>0</v>
          </cell>
          <cell r="V445">
            <v>0</v>
          </cell>
          <cell r="AI445">
            <v>0</v>
          </cell>
        </row>
        <row r="446">
          <cell r="D446" t="str">
            <v>0717</v>
          </cell>
          <cell r="E446" t="str">
            <v>RRRA accordées sur ventes de biens produits au Maroc sur exercices antérieurs</v>
          </cell>
          <cell r="F446">
            <v>0</v>
          </cell>
          <cell r="L446">
            <v>0</v>
          </cell>
          <cell r="P446">
            <v>0</v>
          </cell>
          <cell r="V446">
            <v>0</v>
          </cell>
          <cell r="AI446">
            <v>0</v>
          </cell>
        </row>
        <row r="447">
          <cell r="D447" t="str">
            <v>0718</v>
          </cell>
          <cell r="E447" t="str">
            <v>RRRA accordées sur ventes de biens produits à l'étranger sur exercices antérieurs</v>
          </cell>
          <cell r="F447">
            <v>0</v>
          </cell>
          <cell r="L447">
            <v>0</v>
          </cell>
          <cell r="P447">
            <v>0</v>
          </cell>
          <cell r="V447">
            <v>0</v>
          </cell>
          <cell r="AI447">
            <v>0</v>
          </cell>
        </row>
        <row r="448">
          <cell r="D448" t="str">
            <v>0719</v>
          </cell>
          <cell r="E448" t="str">
            <v>RRRA sur vente de biens et services au Maroc sur exercices antérieurs</v>
          </cell>
          <cell r="F448">
            <v>0</v>
          </cell>
          <cell r="L448">
            <v>0</v>
          </cell>
          <cell r="P448">
            <v>0</v>
          </cell>
          <cell r="V448">
            <v>0</v>
          </cell>
          <cell r="AI448">
            <v>0</v>
          </cell>
        </row>
        <row r="449">
          <cell r="D449" t="str">
            <v>0720</v>
          </cell>
          <cell r="E449" t="str">
            <v>RRRA sur vente de services accordées à l'étranger sur exercices antérieurs</v>
          </cell>
          <cell r="F449">
            <v>0</v>
          </cell>
          <cell r="L449">
            <v>0</v>
          </cell>
          <cell r="P449">
            <v>0</v>
          </cell>
          <cell r="V449">
            <v>0</v>
          </cell>
          <cell r="AI449">
            <v>0</v>
          </cell>
        </row>
        <row r="450">
          <cell r="D450" t="str">
            <v>0721</v>
          </cell>
          <cell r="E450" t="str">
            <v>Immobilisations produites sur exercices antérieurs</v>
          </cell>
          <cell r="F450">
            <v>0</v>
          </cell>
          <cell r="L450">
            <v>0</v>
          </cell>
          <cell r="P450">
            <v>0</v>
          </cell>
          <cell r="V450">
            <v>0</v>
          </cell>
          <cell r="AI450">
            <v>0</v>
          </cell>
        </row>
        <row r="451">
          <cell r="D451" t="str">
            <v>0736</v>
          </cell>
          <cell r="E451" t="str">
            <v>Subventions d'exploitation reçues sur exercices antérieurs</v>
          </cell>
          <cell r="F451">
            <v>0</v>
          </cell>
          <cell r="L451">
            <v>0</v>
          </cell>
          <cell r="P451">
            <v>0</v>
          </cell>
          <cell r="V451">
            <v>0</v>
          </cell>
          <cell r="AI451">
            <v>0</v>
          </cell>
        </row>
        <row r="452">
          <cell r="D452" t="str">
            <v>0748</v>
          </cell>
          <cell r="E452" t="str">
            <v>Autres produits d'exploitations sur exercices antérieurs</v>
          </cell>
          <cell r="F452">
            <v>0</v>
          </cell>
          <cell r="L452">
            <v>0</v>
          </cell>
          <cell r="P452">
            <v>0</v>
          </cell>
          <cell r="V452">
            <v>0</v>
          </cell>
          <cell r="AI452">
            <v>0</v>
          </cell>
        </row>
        <row r="453">
          <cell r="D453" t="str">
            <v>0769</v>
          </cell>
          <cell r="E453" t="str">
            <v>Reprise sur provision sur exercices antérieurs</v>
          </cell>
          <cell r="F453">
            <v>0</v>
          </cell>
          <cell r="L453">
            <v>0</v>
          </cell>
          <cell r="P453">
            <v>0</v>
          </cell>
          <cell r="V453">
            <v>0</v>
          </cell>
          <cell r="AI453">
            <v>0</v>
          </cell>
        </row>
        <row r="454">
          <cell r="D454" t="str">
            <v>0780</v>
          </cell>
          <cell r="E454" t="str">
            <v>VNA et PC des immobilisations sur exercices antérieurs</v>
          </cell>
          <cell r="F454">
            <v>0</v>
          </cell>
          <cell r="L454">
            <v>0</v>
          </cell>
          <cell r="P454">
            <v>0</v>
          </cell>
          <cell r="V454">
            <v>0</v>
          </cell>
          <cell r="AI454">
            <v>0</v>
          </cell>
        </row>
        <row r="455">
          <cell r="D455" t="str">
            <v>0781</v>
          </cell>
          <cell r="E455" t="str">
            <v>Reprises sur amortissements des exercices antérieurs</v>
          </cell>
          <cell r="F455">
            <v>0</v>
          </cell>
          <cell r="L455">
            <v>0</v>
          </cell>
          <cell r="P455">
            <v>0</v>
          </cell>
          <cell r="V455">
            <v>0</v>
          </cell>
          <cell r="AI455">
            <v>0</v>
          </cell>
        </row>
        <row r="456">
          <cell r="D456" t="str">
            <v>0782</v>
          </cell>
          <cell r="E456" t="str">
            <v>Produits des titres de participation et des autres titres sur exercices antérieurs</v>
          </cell>
          <cell r="F456">
            <v>0</v>
          </cell>
          <cell r="L456">
            <v>0</v>
          </cell>
          <cell r="P456">
            <v>0</v>
          </cell>
          <cell r="V456">
            <v>0</v>
          </cell>
          <cell r="AI456">
            <v>0</v>
          </cell>
        </row>
        <row r="457">
          <cell r="D457" t="str">
            <v>0783</v>
          </cell>
          <cell r="E457" t="str">
            <v>Gains de change sur remboursement des dettes de financement sur exercices antérieurs</v>
          </cell>
          <cell r="F457">
            <v>0</v>
          </cell>
          <cell r="L457">
            <v>0</v>
          </cell>
          <cell r="P457">
            <v>0</v>
          </cell>
          <cell r="V457">
            <v>0</v>
          </cell>
          <cell r="AI457">
            <v>0</v>
          </cell>
        </row>
        <row r="458">
          <cell r="D458" t="str">
            <v>0784</v>
          </cell>
          <cell r="E458" t="str">
            <v>Gains de change sur opérations de trésorerie sur exercices antérieurs</v>
          </cell>
          <cell r="F458">
            <v>0</v>
          </cell>
          <cell r="L458">
            <v>0</v>
          </cell>
          <cell r="P458">
            <v>0</v>
          </cell>
          <cell r="V458">
            <v>0</v>
          </cell>
          <cell r="AI458">
            <v>0</v>
          </cell>
        </row>
        <row r="459">
          <cell r="D459" t="str">
            <v>0786</v>
          </cell>
          <cell r="E459" t="str">
            <v>Intérêts et autres produits financiers sur exercices antérieurs</v>
          </cell>
          <cell r="F459">
            <v>0</v>
          </cell>
          <cell r="L459">
            <v>0</v>
          </cell>
          <cell r="P459">
            <v>0</v>
          </cell>
          <cell r="V459">
            <v>0</v>
          </cell>
          <cell r="AI459">
            <v>0</v>
          </cell>
        </row>
        <row r="460">
          <cell r="D460" t="str">
            <v>0789</v>
          </cell>
          <cell r="E460" t="str">
            <v>Reprises sur dotations financières sur exercices antérieurs</v>
          </cell>
          <cell r="F460">
            <v>0</v>
          </cell>
          <cell r="L460">
            <v>0</v>
          </cell>
          <cell r="P460">
            <v>0</v>
          </cell>
          <cell r="V460">
            <v>0</v>
          </cell>
          <cell r="AI460">
            <v>0</v>
          </cell>
        </row>
        <row r="461">
          <cell r="D461" t="str">
            <v>0796</v>
          </cell>
          <cell r="E461" t="str">
            <v>Subventions d'équilibres reçus sur exercices antérieurs</v>
          </cell>
          <cell r="F461">
            <v>0</v>
          </cell>
          <cell r="L461">
            <v>0</v>
          </cell>
          <cell r="P461">
            <v>0</v>
          </cell>
          <cell r="V461">
            <v>0</v>
          </cell>
          <cell r="AI461">
            <v>0</v>
          </cell>
        </row>
        <row r="462">
          <cell r="D462" t="str">
            <v>0798</v>
          </cell>
          <cell r="E462" t="str">
            <v>Autres produits non courants sur exercices antérieurs</v>
          </cell>
          <cell r="F462">
            <v>0</v>
          </cell>
          <cell r="L462">
            <v>0</v>
          </cell>
          <cell r="P462">
            <v>0</v>
          </cell>
          <cell r="V462">
            <v>0</v>
          </cell>
          <cell r="AI462">
            <v>0</v>
          </cell>
        </row>
        <row r="463">
          <cell r="D463" t="str">
            <v>0799</v>
          </cell>
          <cell r="E463" t="str">
            <v>Reprises non courantes sur exercices antérieurs</v>
          </cell>
          <cell r="F463">
            <v>0</v>
          </cell>
          <cell r="L463">
            <v>0</v>
          </cell>
          <cell r="P463">
            <v>0</v>
          </cell>
          <cell r="V463">
            <v>0</v>
          </cell>
          <cell r="AI463">
            <v>0</v>
          </cell>
        </row>
        <row r="464">
          <cell r="D464" t="str">
            <v>1128</v>
          </cell>
          <cell r="E464" t="str">
            <v>Primes annuelles personnel HC</v>
          </cell>
          <cell r="F464">
            <v>0</v>
          </cell>
          <cell r="L464">
            <v>0</v>
          </cell>
          <cell r="P464">
            <v>0</v>
          </cell>
          <cell r="V464">
            <v>0</v>
          </cell>
          <cell r="AI464">
            <v>0</v>
          </cell>
        </row>
        <row r="465">
          <cell r="D465" t="str">
            <v>1130</v>
          </cell>
          <cell r="E465" t="str">
            <v>Gratifications exceptionnelles personnel tâcherons</v>
          </cell>
          <cell r="F465">
            <v>0</v>
          </cell>
          <cell r="L465">
            <v>0</v>
          </cell>
          <cell r="P465">
            <v>0</v>
          </cell>
          <cell r="V465">
            <v>0</v>
          </cell>
          <cell r="AI465">
            <v>0</v>
          </cell>
        </row>
        <row r="466">
          <cell r="D466" t="str">
            <v>1131</v>
          </cell>
          <cell r="E466" t="str">
            <v>Gratifications exceptionnelles personnel OEB</v>
          </cell>
          <cell r="F466">
            <v>0</v>
          </cell>
          <cell r="L466">
            <v>0</v>
          </cell>
          <cell r="P466">
            <v>0</v>
          </cell>
          <cell r="V466">
            <v>0</v>
          </cell>
          <cell r="AI466">
            <v>0</v>
          </cell>
        </row>
        <row r="467">
          <cell r="D467" t="str">
            <v>1132</v>
          </cell>
          <cell r="E467" t="str">
            <v>Gratifications exceptionnelles personnel OEJ</v>
          </cell>
          <cell r="F467">
            <v>0</v>
          </cell>
          <cell r="L467">
            <v>0</v>
          </cell>
          <cell r="P467">
            <v>0</v>
          </cell>
          <cell r="V467">
            <v>0</v>
          </cell>
          <cell r="AI467">
            <v>0</v>
          </cell>
        </row>
        <row r="468">
          <cell r="D468" t="str">
            <v>1133</v>
          </cell>
          <cell r="E468" t="str">
            <v>Gratifications exceptionnelles personnel OEF</v>
          </cell>
          <cell r="F468">
            <v>0</v>
          </cell>
          <cell r="L468">
            <v>0</v>
          </cell>
          <cell r="P468">
            <v>0</v>
          </cell>
          <cell r="V468">
            <v>0</v>
          </cell>
          <cell r="AI468">
            <v>0</v>
          </cell>
        </row>
        <row r="469">
          <cell r="D469" t="str">
            <v>1134</v>
          </cell>
          <cell r="E469" t="str">
            <v>Gratifications exceptionnelles personnel appoints</v>
          </cell>
          <cell r="F469">
            <v>0</v>
          </cell>
          <cell r="L469">
            <v>0</v>
          </cell>
          <cell r="P469">
            <v>0</v>
          </cell>
          <cell r="V469">
            <v>0</v>
          </cell>
          <cell r="AI469">
            <v>0</v>
          </cell>
        </row>
        <row r="470">
          <cell r="D470" t="str">
            <v>1135</v>
          </cell>
          <cell r="E470" t="str">
            <v>Gratifications exceptionnelles personnel OEM</v>
          </cell>
          <cell r="F470">
            <v>0</v>
          </cell>
          <cell r="L470">
            <v>0</v>
          </cell>
          <cell r="P470">
            <v>0</v>
          </cell>
          <cell r="V470">
            <v>0</v>
          </cell>
          <cell r="AI470">
            <v>0</v>
          </cell>
        </row>
        <row r="471">
          <cell r="D471" t="str">
            <v>1136</v>
          </cell>
          <cell r="E471" t="str">
            <v>Gratifications exceptionnelles personnel TAMCA</v>
          </cell>
          <cell r="F471">
            <v>0</v>
          </cell>
          <cell r="L471">
            <v>0</v>
          </cell>
          <cell r="P471">
            <v>0</v>
          </cell>
          <cell r="V471">
            <v>0</v>
          </cell>
          <cell r="AI471">
            <v>0</v>
          </cell>
        </row>
        <row r="472">
          <cell r="D472" t="str">
            <v>1138</v>
          </cell>
          <cell r="E472" t="str">
            <v>Gratifications exceptionnelles personnel HC</v>
          </cell>
          <cell r="F472">
            <v>0</v>
          </cell>
          <cell r="L472">
            <v>0</v>
          </cell>
          <cell r="P472">
            <v>0</v>
          </cell>
          <cell r="V472">
            <v>0</v>
          </cell>
          <cell r="AI472">
            <v>0</v>
          </cell>
        </row>
        <row r="473">
          <cell r="D473" t="str">
            <v>1266</v>
          </cell>
          <cell r="E473" t="str">
            <v>Prime à la construction prêts hypothécaires personnel OE et TAMCA</v>
          </cell>
          <cell r="F473">
            <v>0</v>
          </cell>
          <cell r="L473">
            <v>0</v>
          </cell>
          <cell r="P473">
            <v>0</v>
          </cell>
          <cell r="V473">
            <v>0</v>
          </cell>
          <cell r="AI473">
            <v>0</v>
          </cell>
        </row>
        <row r="474">
          <cell r="D474" t="str">
            <v>1269</v>
          </cell>
          <cell r="E474" t="str">
            <v>Primes à la construction, Prêts hypothécaires, Toutes catégories</v>
          </cell>
          <cell r="F474">
            <v>0</v>
          </cell>
          <cell r="L474">
            <v>0</v>
          </cell>
          <cell r="P474">
            <v>0</v>
          </cell>
          <cell r="V474">
            <v>0</v>
          </cell>
          <cell r="AI474">
            <v>0</v>
          </cell>
        </row>
        <row r="475">
          <cell r="D475" t="str">
            <v>1319</v>
          </cell>
          <cell r="E475" t="str">
            <v>Actualisation, engagement retraite, Toute catégorie</v>
          </cell>
          <cell r="F475">
            <v>0</v>
          </cell>
          <cell r="L475">
            <v>0</v>
          </cell>
          <cell r="P475">
            <v>0</v>
          </cell>
          <cell r="V475">
            <v>0</v>
          </cell>
          <cell r="AI475">
            <v>0</v>
          </cell>
        </row>
        <row r="476">
          <cell r="D476" t="str">
            <v>1360</v>
          </cell>
          <cell r="E476" t="str">
            <v>Part patronale, Validation des services antérieurs OS 824, Personnel OET</v>
          </cell>
          <cell r="F476">
            <v>0</v>
          </cell>
          <cell r="L476">
            <v>0</v>
          </cell>
          <cell r="P476">
            <v>0</v>
          </cell>
          <cell r="V476">
            <v>0</v>
          </cell>
          <cell r="AI476">
            <v>0</v>
          </cell>
        </row>
        <row r="477">
          <cell r="D477" t="str">
            <v>1361</v>
          </cell>
          <cell r="E477" t="str">
            <v>Part patronale, Validation des services antérieurs OS 824, Personnel OEB</v>
          </cell>
          <cell r="F477">
            <v>0</v>
          </cell>
          <cell r="L477">
            <v>0</v>
          </cell>
          <cell r="P477">
            <v>0</v>
          </cell>
          <cell r="V477">
            <v>0</v>
          </cell>
          <cell r="AI477">
            <v>0</v>
          </cell>
        </row>
        <row r="478">
          <cell r="D478" t="str">
            <v>1362</v>
          </cell>
          <cell r="E478" t="str">
            <v>Part patronale, Validation des services antérieurs OS 824, Personnel OEJ</v>
          </cell>
          <cell r="F478">
            <v>0</v>
          </cell>
          <cell r="L478">
            <v>0</v>
          </cell>
          <cell r="P478">
            <v>0</v>
          </cell>
          <cell r="V478">
            <v>0</v>
          </cell>
          <cell r="AI478">
            <v>0</v>
          </cell>
        </row>
        <row r="479">
          <cell r="D479" t="str">
            <v>1363</v>
          </cell>
          <cell r="E479" t="str">
            <v>Part patronale, Validation des services antérieurs OS 824, Personnel OEF</v>
          </cell>
          <cell r="F479">
            <v>0</v>
          </cell>
          <cell r="L479">
            <v>0</v>
          </cell>
          <cell r="P479">
            <v>0</v>
          </cell>
          <cell r="V479">
            <v>0</v>
          </cell>
          <cell r="AI479">
            <v>0</v>
          </cell>
        </row>
        <row r="480">
          <cell r="D480" t="str">
            <v>1364</v>
          </cell>
          <cell r="E480" t="str">
            <v>Part patronale, Validation des services antérieurs OS 824, Personnel appoints</v>
          </cell>
          <cell r="F480">
            <v>0</v>
          </cell>
          <cell r="L480">
            <v>0</v>
          </cell>
          <cell r="P480">
            <v>0</v>
          </cell>
          <cell r="V480">
            <v>0</v>
          </cell>
          <cell r="AI480">
            <v>0</v>
          </cell>
        </row>
        <row r="481">
          <cell r="D481" t="str">
            <v>1365</v>
          </cell>
          <cell r="E481" t="str">
            <v>Part patronale, Validation des services antérieurs OS 824, Personnel OEM</v>
          </cell>
          <cell r="F481">
            <v>0</v>
          </cell>
          <cell r="L481">
            <v>0</v>
          </cell>
          <cell r="P481">
            <v>0</v>
          </cell>
          <cell r="V481">
            <v>0</v>
          </cell>
          <cell r="AI481">
            <v>0</v>
          </cell>
        </row>
        <row r="482">
          <cell r="D482" t="str">
            <v>1366</v>
          </cell>
          <cell r="E482" t="str">
            <v>Part patronale, Validation des services antérieurs OS 824, Personnel TAMCA</v>
          </cell>
          <cell r="F482">
            <v>0</v>
          </cell>
          <cell r="L482">
            <v>0</v>
          </cell>
          <cell r="P482">
            <v>0</v>
          </cell>
          <cell r="V482">
            <v>0</v>
          </cell>
          <cell r="AI482">
            <v>0</v>
          </cell>
        </row>
        <row r="483">
          <cell r="D483" t="str">
            <v>1368</v>
          </cell>
          <cell r="E483" t="str">
            <v>Part patronale, Validation des services antérieurs OS 824, Personnel HC</v>
          </cell>
          <cell r="F483">
            <v>0</v>
          </cell>
          <cell r="L483">
            <v>0</v>
          </cell>
          <cell r="P483">
            <v>0</v>
          </cell>
          <cell r="V483">
            <v>0</v>
          </cell>
          <cell r="AI483">
            <v>0</v>
          </cell>
        </row>
        <row r="484">
          <cell r="D484" t="str">
            <v>1370</v>
          </cell>
          <cell r="E484" t="str">
            <v>Part patronale, Validation des services antérieurs OS 824, Note Service 652, Personnel OET</v>
          </cell>
          <cell r="F484">
            <v>0</v>
          </cell>
          <cell r="L484">
            <v>0</v>
          </cell>
          <cell r="P484">
            <v>0</v>
          </cell>
          <cell r="V484">
            <v>0</v>
          </cell>
          <cell r="AI484">
            <v>0</v>
          </cell>
        </row>
        <row r="485">
          <cell r="D485" t="str">
            <v>1371</v>
          </cell>
          <cell r="E485" t="str">
            <v>Part patronale, Validation des services antérieurs OS 824, Note Service 652, Personnel OEB</v>
          </cell>
          <cell r="F485">
            <v>0</v>
          </cell>
          <cell r="L485">
            <v>0</v>
          </cell>
          <cell r="P485">
            <v>0</v>
          </cell>
          <cell r="V485">
            <v>0</v>
          </cell>
          <cell r="AI485">
            <v>0</v>
          </cell>
        </row>
        <row r="486">
          <cell r="D486" t="str">
            <v>1372</v>
          </cell>
          <cell r="E486" t="str">
            <v>Part patronale, Validation des services antérieurs OS 824, Note Service 652, Personnel OEJ</v>
          </cell>
          <cell r="F486">
            <v>0</v>
          </cell>
          <cell r="L486">
            <v>0</v>
          </cell>
          <cell r="P486">
            <v>0</v>
          </cell>
          <cell r="V486">
            <v>0</v>
          </cell>
          <cell r="AI486">
            <v>0</v>
          </cell>
        </row>
        <row r="487">
          <cell r="D487" t="str">
            <v>1373</v>
          </cell>
          <cell r="E487" t="str">
            <v>Part patronale, Validation des services antérieurs OS 824, Note Service 652, Personnel OEF</v>
          </cell>
          <cell r="F487">
            <v>0</v>
          </cell>
          <cell r="L487">
            <v>0</v>
          </cell>
          <cell r="P487">
            <v>0</v>
          </cell>
          <cell r="V487">
            <v>0</v>
          </cell>
          <cell r="AI487">
            <v>0</v>
          </cell>
        </row>
        <row r="488">
          <cell r="D488" t="str">
            <v>1374</v>
          </cell>
          <cell r="E488" t="str">
            <v>Part patronale, Validation des services antérieurs OS 824, Note Service 652, Personnel appoints</v>
          </cell>
          <cell r="F488">
            <v>0</v>
          </cell>
          <cell r="L488">
            <v>0</v>
          </cell>
          <cell r="P488">
            <v>0</v>
          </cell>
          <cell r="V488">
            <v>0</v>
          </cell>
          <cell r="AI488">
            <v>0</v>
          </cell>
        </row>
        <row r="489">
          <cell r="D489" t="str">
            <v>1375</v>
          </cell>
          <cell r="E489" t="str">
            <v>Part patronale, Validation des services antérieurs OS 824, Note Service 652, Personnel OEM</v>
          </cell>
          <cell r="F489">
            <v>0</v>
          </cell>
          <cell r="L489">
            <v>0</v>
          </cell>
          <cell r="P489">
            <v>0</v>
          </cell>
          <cell r="V489">
            <v>0</v>
          </cell>
          <cell r="AI489">
            <v>0</v>
          </cell>
        </row>
        <row r="490">
          <cell r="D490" t="str">
            <v>1376</v>
          </cell>
          <cell r="E490" t="str">
            <v>Part patronale, Validation des services antérieurs OS 824, Note Service 652, Personnel TAMCA</v>
          </cell>
          <cell r="F490">
            <v>0</v>
          </cell>
          <cell r="L490">
            <v>0</v>
          </cell>
          <cell r="P490">
            <v>0</v>
          </cell>
          <cell r="V490">
            <v>0</v>
          </cell>
          <cell r="AI490">
            <v>0</v>
          </cell>
        </row>
        <row r="491">
          <cell r="D491" t="str">
            <v>1378</v>
          </cell>
          <cell r="E491" t="str">
            <v>Part patronale, Validation des services antérieurs OS 824, Note Service 652, Personnel HC</v>
          </cell>
          <cell r="F491">
            <v>0</v>
          </cell>
          <cell r="L491">
            <v>0</v>
          </cell>
          <cell r="P491">
            <v>0</v>
          </cell>
          <cell r="V491">
            <v>0</v>
          </cell>
          <cell r="AI491">
            <v>0</v>
          </cell>
        </row>
        <row r="492">
          <cell r="D492" t="str">
            <v>1380</v>
          </cell>
          <cell r="E492" t="str">
            <v>Part patronale, Recrus après 1-1-2001, Personnel OET</v>
          </cell>
          <cell r="F492">
            <v>0</v>
          </cell>
          <cell r="L492">
            <v>0</v>
          </cell>
          <cell r="P492">
            <v>0</v>
          </cell>
          <cell r="V492">
            <v>0</v>
          </cell>
          <cell r="AI492">
            <v>0</v>
          </cell>
        </row>
        <row r="493">
          <cell r="D493" t="str">
            <v>1381</v>
          </cell>
          <cell r="E493" t="str">
            <v>Part patronale, Recrus après 1-1-2001, Personnel OEB</v>
          </cell>
          <cell r="F493">
            <v>0</v>
          </cell>
          <cell r="L493">
            <v>0</v>
          </cell>
          <cell r="P493">
            <v>0</v>
          </cell>
          <cell r="V493">
            <v>0</v>
          </cell>
          <cell r="AI493">
            <v>0</v>
          </cell>
        </row>
        <row r="494">
          <cell r="D494" t="str">
            <v>1382</v>
          </cell>
          <cell r="E494" t="str">
            <v>Part patronale, Recrus après 1-1-2001, Personnel OEJ</v>
          </cell>
          <cell r="F494">
            <v>0</v>
          </cell>
          <cell r="L494">
            <v>0</v>
          </cell>
          <cell r="P494">
            <v>0</v>
          </cell>
          <cell r="V494">
            <v>0</v>
          </cell>
          <cell r="AI494">
            <v>0</v>
          </cell>
        </row>
        <row r="495">
          <cell r="D495" t="str">
            <v>1383</v>
          </cell>
          <cell r="E495" t="str">
            <v>Part patronale, Recrus après 1-1-2001, Personnel OEF</v>
          </cell>
          <cell r="F495">
            <v>0</v>
          </cell>
          <cell r="L495">
            <v>0</v>
          </cell>
          <cell r="P495">
            <v>0</v>
          </cell>
          <cell r="V495">
            <v>0</v>
          </cell>
          <cell r="AI495">
            <v>0</v>
          </cell>
        </row>
        <row r="496">
          <cell r="D496" t="str">
            <v>1384</v>
          </cell>
          <cell r="E496" t="str">
            <v>Part patronale, Recrus après 1-1-2001, Personnel appoints</v>
          </cell>
          <cell r="F496">
            <v>0</v>
          </cell>
          <cell r="L496">
            <v>0</v>
          </cell>
          <cell r="P496">
            <v>0</v>
          </cell>
          <cell r="V496">
            <v>0</v>
          </cell>
          <cell r="AI496">
            <v>0</v>
          </cell>
        </row>
        <row r="497">
          <cell r="D497" t="str">
            <v>1385</v>
          </cell>
          <cell r="E497" t="str">
            <v>Part patronale, Recrus après 1-1-2001, Personnel OEM</v>
          </cell>
          <cell r="F497">
            <v>0</v>
          </cell>
          <cell r="L497">
            <v>0</v>
          </cell>
          <cell r="P497">
            <v>0</v>
          </cell>
          <cell r="V497">
            <v>0</v>
          </cell>
          <cell r="AI497">
            <v>0</v>
          </cell>
        </row>
        <row r="498">
          <cell r="D498" t="str">
            <v>1386</v>
          </cell>
          <cell r="E498" t="str">
            <v>Part patronale, Recrus après 1-1-2001, Personnel TAMCA</v>
          </cell>
          <cell r="F498">
            <v>0</v>
          </cell>
          <cell r="L498">
            <v>0</v>
          </cell>
          <cell r="P498">
            <v>0</v>
          </cell>
          <cell r="V498">
            <v>0</v>
          </cell>
          <cell r="AI498">
            <v>0</v>
          </cell>
        </row>
        <row r="499">
          <cell r="D499" t="str">
            <v>1388</v>
          </cell>
          <cell r="E499" t="str">
            <v>Part patronale, Recrus après 1-1-2001, Personnel HC</v>
          </cell>
          <cell r="F499">
            <v>0</v>
          </cell>
          <cell r="L499">
            <v>0</v>
          </cell>
          <cell r="P499">
            <v>0</v>
          </cell>
          <cell r="V499">
            <v>0</v>
          </cell>
          <cell r="AI499">
            <v>0</v>
          </cell>
        </row>
        <row r="500">
          <cell r="D500" t="str">
            <v>1390</v>
          </cell>
          <cell r="E500" t="str">
            <v>Recore, frais d'etalement des cotisations 1-12001au 31-7-2001, Personnel OET</v>
          </cell>
          <cell r="F500">
            <v>0</v>
          </cell>
          <cell r="L500">
            <v>0</v>
          </cell>
          <cell r="P500">
            <v>0</v>
          </cell>
          <cell r="V500">
            <v>0</v>
          </cell>
          <cell r="AI500">
            <v>0</v>
          </cell>
        </row>
        <row r="501">
          <cell r="D501" t="str">
            <v>1391</v>
          </cell>
          <cell r="E501" t="str">
            <v>Recore, frais d'etalement des cotisations 1-12001au 31-7-2001, Personnel OEB</v>
          </cell>
          <cell r="F501">
            <v>0</v>
          </cell>
          <cell r="L501">
            <v>0</v>
          </cell>
          <cell r="P501">
            <v>0</v>
          </cell>
          <cell r="V501">
            <v>0</v>
          </cell>
          <cell r="AI501">
            <v>0</v>
          </cell>
        </row>
        <row r="502">
          <cell r="D502" t="str">
            <v>1392</v>
          </cell>
          <cell r="E502" t="str">
            <v>Recore, frais d'étalement des cotisations 1-12001au 31-7-2001, Personnel OEJ</v>
          </cell>
          <cell r="F502">
            <v>0</v>
          </cell>
          <cell r="L502">
            <v>0</v>
          </cell>
          <cell r="P502">
            <v>0</v>
          </cell>
          <cell r="V502">
            <v>0</v>
          </cell>
          <cell r="AI502">
            <v>0</v>
          </cell>
        </row>
        <row r="503">
          <cell r="D503" t="str">
            <v>1393</v>
          </cell>
          <cell r="E503" t="str">
            <v>Recore, frais d'étalement des cotisations 1-12001au 31-7-2001, Personnel OEF</v>
          </cell>
          <cell r="F503">
            <v>0</v>
          </cell>
          <cell r="L503">
            <v>0</v>
          </cell>
          <cell r="P503">
            <v>0</v>
          </cell>
          <cell r="V503">
            <v>0</v>
          </cell>
          <cell r="AI503">
            <v>0</v>
          </cell>
        </row>
        <row r="504">
          <cell r="D504" t="str">
            <v>1394</v>
          </cell>
          <cell r="E504" t="str">
            <v>Recore, frais d'étalement des cotisations 1-12001au 31-7-2001, Personnel appt</v>
          </cell>
          <cell r="F504">
            <v>0</v>
          </cell>
          <cell r="L504">
            <v>0</v>
          </cell>
          <cell r="P504">
            <v>0</v>
          </cell>
          <cell r="V504">
            <v>0</v>
          </cell>
          <cell r="AI504">
            <v>0</v>
          </cell>
        </row>
        <row r="505">
          <cell r="D505" t="str">
            <v>1395</v>
          </cell>
          <cell r="E505" t="str">
            <v>Recore, frais d'étalement des cotisations 1-12001au 31-7-2001, Personnel OEM</v>
          </cell>
          <cell r="F505">
            <v>0</v>
          </cell>
          <cell r="L505">
            <v>0</v>
          </cell>
          <cell r="P505">
            <v>0</v>
          </cell>
          <cell r="V505">
            <v>0</v>
          </cell>
          <cell r="AI505">
            <v>0</v>
          </cell>
        </row>
        <row r="506">
          <cell r="D506" t="str">
            <v>1396</v>
          </cell>
          <cell r="E506" t="str">
            <v>Recore, frais d'étalement des cotisations 1-1-01au 31-7-2001, Personnel TAMCA</v>
          </cell>
          <cell r="F506">
            <v>0</v>
          </cell>
          <cell r="L506">
            <v>0</v>
          </cell>
          <cell r="P506">
            <v>0</v>
          </cell>
          <cell r="V506">
            <v>0</v>
          </cell>
          <cell r="AI506">
            <v>0</v>
          </cell>
        </row>
        <row r="507">
          <cell r="D507" t="str">
            <v>1398</v>
          </cell>
          <cell r="E507" t="str">
            <v>Recore, frais d'étalement des cotisations 1-12001au 31-7-2001 PHC</v>
          </cell>
          <cell r="F507">
            <v>0</v>
          </cell>
          <cell r="L507">
            <v>0</v>
          </cell>
          <cell r="P507">
            <v>0</v>
          </cell>
          <cell r="V507">
            <v>0</v>
          </cell>
          <cell r="AI507">
            <v>0</v>
          </cell>
        </row>
        <row r="508">
          <cell r="D508" t="str">
            <v>1508</v>
          </cell>
          <cell r="E508" t="str">
            <v>Part patronale sécurité sociale Paris</v>
          </cell>
          <cell r="F508">
            <v>0</v>
          </cell>
          <cell r="L508">
            <v>0</v>
          </cell>
          <cell r="P508">
            <v>0</v>
          </cell>
          <cell r="V508">
            <v>0</v>
          </cell>
          <cell r="AI508">
            <v>0</v>
          </cell>
        </row>
        <row r="509">
          <cell r="D509" t="str">
            <v>1518</v>
          </cell>
          <cell r="E509" t="str">
            <v>Part patronale CNSS PHC</v>
          </cell>
          <cell r="F509">
            <v>0</v>
          </cell>
          <cell r="L509">
            <v>0</v>
          </cell>
          <cell r="P509">
            <v>0</v>
          </cell>
          <cell r="V509">
            <v>0</v>
          </cell>
          <cell r="AI509">
            <v>0</v>
          </cell>
        </row>
        <row r="510">
          <cell r="D510" t="str">
            <v>1528</v>
          </cell>
          <cell r="E510" t="str">
            <v>Part patronale CIMR PHC</v>
          </cell>
          <cell r="F510">
            <v>0</v>
          </cell>
          <cell r="L510">
            <v>0</v>
          </cell>
          <cell r="P510">
            <v>0</v>
          </cell>
          <cell r="V510">
            <v>0</v>
          </cell>
          <cell r="AI510">
            <v>0</v>
          </cell>
        </row>
        <row r="511">
          <cell r="D511" t="str">
            <v>1788</v>
          </cell>
          <cell r="E511" t="str">
            <v>Bourses et frais de formation, personnel hors cadres</v>
          </cell>
          <cell r="F511">
            <v>0</v>
          </cell>
          <cell r="L511">
            <v>0</v>
          </cell>
          <cell r="P511">
            <v>0</v>
          </cell>
          <cell r="V511">
            <v>0</v>
          </cell>
          <cell r="AI511">
            <v>0</v>
          </cell>
        </row>
        <row r="512">
          <cell r="D512" t="str">
            <v>1789</v>
          </cell>
          <cell r="E512" t="str">
            <v>Bourses et frais de formation toutes catégories</v>
          </cell>
          <cell r="F512">
            <v>0</v>
          </cell>
          <cell r="L512">
            <v>0</v>
          </cell>
          <cell r="P512">
            <v>0</v>
          </cell>
          <cell r="V512">
            <v>0</v>
          </cell>
          <cell r="AI512">
            <v>0</v>
          </cell>
        </row>
        <row r="513">
          <cell r="D513" t="str">
            <v>1826</v>
          </cell>
          <cell r="E513" t="str">
            <v>Frais d'appareillage orthopédique-accidentés,rentiers OE et TAMCA</v>
          </cell>
          <cell r="F513">
            <v>0</v>
          </cell>
          <cell r="L513">
            <v>0</v>
          </cell>
          <cell r="P513">
            <v>0</v>
          </cell>
          <cell r="V513">
            <v>0</v>
          </cell>
          <cell r="AI513">
            <v>0</v>
          </cell>
        </row>
        <row r="514">
          <cell r="D514" t="str">
            <v>1828</v>
          </cell>
          <cell r="E514" t="str">
            <v>Frais d'appareillage orthopédique-accidentés,rentiers HC</v>
          </cell>
          <cell r="F514">
            <v>0</v>
          </cell>
          <cell r="L514">
            <v>0</v>
          </cell>
          <cell r="P514">
            <v>0</v>
          </cell>
          <cell r="V514">
            <v>0</v>
          </cell>
          <cell r="AI514">
            <v>0</v>
          </cell>
        </row>
        <row r="515">
          <cell r="D515" t="str">
            <v>1829</v>
          </cell>
          <cell r="E515" t="str">
            <v>Frais d'appareils orthopédiques, accidentés, rentiers toutes catégories</v>
          </cell>
          <cell r="F515">
            <v>0</v>
          </cell>
          <cell r="L515">
            <v>0</v>
          </cell>
          <cell r="P515">
            <v>0</v>
          </cell>
          <cell r="V515">
            <v>0</v>
          </cell>
          <cell r="AI515">
            <v>0</v>
          </cell>
        </row>
        <row r="516">
          <cell r="D516" t="str">
            <v>1906</v>
          </cell>
          <cell r="E516" t="str">
            <v>Allocations des oeuvres sociales personnel OE et TAMCA</v>
          </cell>
          <cell r="F516">
            <v>0</v>
          </cell>
          <cell r="L516">
            <v>0</v>
          </cell>
          <cell r="P516">
            <v>0</v>
          </cell>
          <cell r="V516">
            <v>0</v>
          </cell>
          <cell r="AI516">
            <v>0</v>
          </cell>
        </row>
        <row r="517">
          <cell r="D517" t="str">
            <v>1908</v>
          </cell>
          <cell r="E517" t="str">
            <v>Allocations des oeuvres sociales personnel HC</v>
          </cell>
          <cell r="F517">
            <v>0</v>
          </cell>
          <cell r="L517">
            <v>0</v>
          </cell>
          <cell r="P517">
            <v>0</v>
          </cell>
          <cell r="V517">
            <v>0</v>
          </cell>
          <cell r="AI517">
            <v>0</v>
          </cell>
        </row>
        <row r="518">
          <cell r="D518" t="str">
            <v>1909</v>
          </cell>
          <cell r="E518" t="str">
            <v>Allocations des oeuvres sociales, toutes catégories</v>
          </cell>
          <cell r="F518">
            <v>0</v>
          </cell>
          <cell r="L518">
            <v>0</v>
          </cell>
          <cell r="P518">
            <v>0</v>
          </cell>
          <cell r="V518">
            <v>0</v>
          </cell>
          <cell r="AI518">
            <v>0</v>
          </cell>
        </row>
        <row r="519">
          <cell r="D519" t="str">
            <v>1916</v>
          </cell>
          <cell r="E519" t="str">
            <v>Subventions internes des activités sociales personnel OE et TAMCA</v>
          </cell>
          <cell r="F519">
            <v>0</v>
          </cell>
          <cell r="L519">
            <v>0</v>
          </cell>
          <cell r="P519">
            <v>0</v>
          </cell>
          <cell r="V519">
            <v>0</v>
          </cell>
          <cell r="AI519">
            <v>0</v>
          </cell>
        </row>
        <row r="520">
          <cell r="D520" t="str">
            <v>1918</v>
          </cell>
          <cell r="E520" t="str">
            <v>Subventions internes des activités sociales personnel HC</v>
          </cell>
          <cell r="F520">
            <v>0</v>
          </cell>
          <cell r="L520">
            <v>0</v>
          </cell>
          <cell r="P520">
            <v>0</v>
          </cell>
          <cell r="V520">
            <v>0</v>
          </cell>
          <cell r="AI520">
            <v>0</v>
          </cell>
        </row>
        <row r="521">
          <cell r="D521" t="str">
            <v>1919</v>
          </cell>
          <cell r="E521" t="str">
            <v>Subventions internes des activités sociales, toutes catégories</v>
          </cell>
          <cell r="F521">
            <v>0</v>
          </cell>
          <cell r="L521">
            <v>0</v>
          </cell>
          <cell r="P521">
            <v>0</v>
          </cell>
          <cell r="V521">
            <v>0</v>
          </cell>
          <cell r="AI521">
            <v>0</v>
          </cell>
        </row>
        <row r="522">
          <cell r="D522" t="str">
            <v>1920</v>
          </cell>
          <cell r="E522" t="str">
            <v>Indemnité de licenciement personnel tâcherons</v>
          </cell>
          <cell r="F522">
            <v>0</v>
          </cell>
          <cell r="L522">
            <v>0</v>
          </cell>
          <cell r="P522">
            <v>0</v>
          </cell>
          <cell r="V522">
            <v>0</v>
          </cell>
          <cell r="AI522">
            <v>0</v>
          </cell>
        </row>
        <row r="523">
          <cell r="D523" t="str">
            <v>1921</v>
          </cell>
          <cell r="E523" t="str">
            <v>Indemnité de licenciement personnel OEB</v>
          </cell>
          <cell r="F523">
            <v>0</v>
          </cell>
          <cell r="L523">
            <v>0</v>
          </cell>
          <cell r="P523">
            <v>0</v>
          </cell>
          <cell r="V523">
            <v>0</v>
          </cell>
          <cell r="AI523">
            <v>0</v>
          </cell>
        </row>
        <row r="524">
          <cell r="D524" t="str">
            <v>1922</v>
          </cell>
          <cell r="E524" t="str">
            <v>Indemnité de licenciement personnel OEJ</v>
          </cell>
          <cell r="F524">
            <v>0</v>
          </cell>
          <cell r="L524">
            <v>0</v>
          </cell>
          <cell r="P524">
            <v>0</v>
          </cell>
          <cell r="V524">
            <v>0</v>
          </cell>
          <cell r="AI524">
            <v>0</v>
          </cell>
        </row>
        <row r="525">
          <cell r="D525" t="str">
            <v>1923</v>
          </cell>
          <cell r="E525" t="str">
            <v>Indemnité de licenciement personnel OEF</v>
          </cell>
          <cell r="F525">
            <v>0</v>
          </cell>
          <cell r="L525">
            <v>0</v>
          </cell>
          <cell r="P525">
            <v>0</v>
          </cell>
          <cell r="V525">
            <v>0</v>
          </cell>
          <cell r="AI525">
            <v>0</v>
          </cell>
        </row>
        <row r="526">
          <cell r="D526" t="str">
            <v>1924</v>
          </cell>
          <cell r="E526" t="str">
            <v>Indemnité de licenciement personnel appoints</v>
          </cell>
          <cell r="F526">
            <v>0</v>
          </cell>
          <cell r="L526">
            <v>0</v>
          </cell>
          <cell r="P526">
            <v>0</v>
          </cell>
          <cell r="V526">
            <v>0</v>
          </cell>
          <cell r="AI526">
            <v>0</v>
          </cell>
        </row>
        <row r="527">
          <cell r="D527" t="str">
            <v>1925</v>
          </cell>
          <cell r="E527" t="str">
            <v>Indemnité de licenciement personnel OEM</v>
          </cell>
          <cell r="F527">
            <v>0</v>
          </cell>
          <cell r="L527">
            <v>0</v>
          </cell>
          <cell r="P527">
            <v>0</v>
          </cell>
          <cell r="V527">
            <v>0</v>
          </cell>
          <cell r="AI527">
            <v>0</v>
          </cell>
        </row>
        <row r="528">
          <cell r="D528" t="str">
            <v>1926</v>
          </cell>
          <cell r="E528" t="str">
            <v>Indemnité de licenciement personnel TAMCA</v>
          </cell>
          <cell r="F528">
            <v>0</v>
          </cell>
          <cell r="L528">
            <v>0</v>
          </cell>
          <cell r="P528">
            <v>0</v>
          </cell>
          <cell r="V528">
            <v>0</v>
          </cell>
          <cell r="AI528">
            <v>0</v>
          </cell>
        </row>
        <row r="529">
          <cell r="D529" t="str">
            <v>1928</v>
          </cell>
          <cell r="E529" t="str">
            <v>Indemnité de licenciement personnel HC</v>
          </cell>
          <cell r="F529">
            <v>0</v>
          </cell>
          <cell r="L529">
            <v>0</v>
          </cell>
          <cell r="P529">
            <v>0</v>
          </cell>
          <cell r="V529">
            <v>0</v>
          </cell>
          <cell r="AI529">
            <v>0</v>
          </cell>
        </row>
        <row r="530">
          <cell r="D530" t="str">
            <v>1936</v>
          </cell>
          <cell r="E530" t="str">
            <v>Contribution au fond de formation professionnelle personnel OE et TAMCA</v>
          </cell>
          <cell r="F530">
            <v>0</v>
          </cell>
          <cell r="L530">
            <v>0</v>
          </cell>
          <cell r="P530">
            <v>0</v>
          </cell>
          <cell r="V530">
            <v>0</v>
          </cell>
          <cell r="AI530">
            <v>0</v>
          </cell>
        </row>
        <row r="531">
          <cell r="D531" t="str">
            <v>1938</v>
          </cell>
          <cell r="E531" t="str">
            <v>Contribution au fond de formation professionnelle personnel HC</v>
          </cell>
          <cell r="F531">
            <v>0</v>
          </cell>
          <cell r="L531">
            <v>0</v>
          </cell>
          <cell r="P531">
            <v>0</v>
          </cell>
          <cell r="V531">
            <v>0</v>
          </cell>
          <cell r="AI531">
            <v>0</v>
          </cell>
        </row>
        <row r="532">
          <cell r="D532" t="str">
            <v>1939</v>
          </cell>
          <cell r="E532" t="str">
            <v>Contribution au fonds de formation professionnell toutes catégories</v>
          </cell>
          <cell r="F532">
            <v>0</v>
          </cell>
          <cell r="L532">
            <v>0</v>
          </cell>
          <cell r="P532">
            <v>0</v>
          </cell>
          <cell r="V532">
            <v>0</v>
          </cell>
          <cell r="AI532">
            <v>0</v>
          </cell>
        </row>
        <row r="533">
          <cell r="D533" t="str">
            <v>1946</v>
          </cell>
          <cell r="E533" t="str">
            <v>Contribution au fond de majoration des accidents de travail OE et TAMCA</v>
          </cell>
          <cell r="F533">
            <v>0</v>
          </cell>
          <cell r="L533">
            <v>0</v>
          </cell>
          <cell r="P533">
            <v>0</v>
          </cell>
          <cell r="V533">
            <v>0</v>
          </cell>
          <cell r="AI533">
            <v>0</v>
          </cell>
        </row>
        <row r="534">
          <cell r="D534" t="str">
            <v>1948</v>
          </cell>
          <cell r="E534" t="str">
            <v>Contribution au fond de majoration des accidents de travail HC</v>
          </cell>
          <cell r="F534">
            <v>0</v>
          </cell>
          <cell r="L534">
            <v>0</v>
          </cell>
          <cell r="P534">
            <v>0</v>
          </cell>
          <cell r="V534">
            <v>0</v>
          </cell>
          <cell r="AI534">
            <v>0</v>
          </cell>
        </row>
        <row r="535">
          <cell r="D535" t="str">
            <v>1949</v>
          </cell>
          <cell r="E535" t="str">
            <v>Contributions au fonds de majoration des accidents de travail, toutes catégories</v>
          </cell>
          <cell r="F535">
            <v>0</v>
          </cell>
          <cell r="L535">
            <v>0</v>
          </cell>
          <cell r="P535">
            <v>0</v>
          </cell>
          <cell r="V535">
            <v>0</v>
          </cell>
          <cell r="AI535">
            <v>0</v>
          </cell>
        </row>
        <row r="536">
          <cell r="D536" t="str">
            <v>1956</v>
          </cell>
          <cell r="E536" t="str">
            <v>Participation aux frais de sejour durant le conge annuel personnel OE et TAMCA</v>
          </cell>
          <cell r="F536">
            <v>0</v>
          </cell>
          <cell r="L536">
            <v>0</v>
          </cell>
          <cell r="P536">
            <v>0</v>
          </cell>
          <cell r="V536">
            <v>0</v>
          </cell>
          <cell r="AI536">
            <v>0</v>
          </cell>
        </row>
        <row r="537">
          <cell r="D537" t="str">
            <v>1958</v>
          </cell>
          <cell r="E537" t="str">
            <v>Participation aux frais de sejour durant le conge annuel personnel HC</v>
          </cell>
          <cell r="F537">
            <v>0</v>
          </cell>
          <cell r="L537">
            <v>0</v>
          </cell>
          <cell r="P537">
            <v>0</v>
          </cell>
          <cell r="V537">
            <v>0</v>
          </cell>
          <cell r="AI537">
            <v>0</v>
          </cell>
        </row>
        <row r="538">
          <cell r="D538" t="str">
            <v>1959</v>
          </cell>
          <cell r="E538" t="str">
            <v>Participations au frais de séjour congé annuel, Toutes catégories</v>
          </cell>
          <cell r="F538">
            <v>0</v>
          </cell>
          <cell r="L538">
            <v>0</v>
          </cell>
          <cell r="P538">
            <v>0</v>
          </cell>
          <cell r="V538">
            <v>0</v>
          </cell>
          <cell r="AI538">
            <v>0</v>
          </cell>
        </row>
        <row r="539">
          <cell r="D539" t="str">
            <v>1969</v>
          </cell>
          <cell r="E539" t="str">
            <v>Système de reconnaissance et d'émulation des cercles de qualité OE personnel OE</v>
          </cell>
          <cell r="F539">
            <v>0</v>
          </cell>
          <cell r="L539">
            <v>0</v>
          </cell>
          <cell r="P539">
            <v>0</v>
          </cell>
          <cell r="V539">
            <v>0</v>
          </cell>
          <cell r="AI539">
            <v>0</v>
          </cell>
        </row>
        <row r="540">
          <cell r="D540" t="str">
            <v>1979</v>
          </cell>
          <cell r="E540" t="str">
            <v>Système de reconnaissance et d'émulation des cercles de qualité, Personnel TAMCA</v>
          </cell>
          <cell r="F540">
            <v>0</v>
          </cell>
          <cell r="L540">
            <v>0</v>
          </cell>
          <cell r="P540">
            <v>0</v>
          </cell>
          <cell r="V540">
            <v>0</v>
          </cell>
          <cell r="AI540">
            <v>0</v>
          </cell>
        </row>
        <row r="541">
          <cell r="D541" t="str">
            <v>2110</v>
          </cell>
          <cell r="E541" t="str">
            <v>Fournitures internes, Eau de mer</v>
          </cell>
          <cell r="F541">
            <v>0</v>
          </cell>
          <cell r="L541">
            <v>0</v>
          </cell>
          <cell r="P541">
            <v>0</v>
          </cell>
          <cell r="V541">
            <v>0</v>
          </cell>
          <cell r="AI541">
            <v>0</v>
          </cell>
        </row>
        <row r="542">
          <cell r="D542" t="str">
            <v>2121</v>
          </cell>
          <cell r="E542" t="str">
            <v>Fournitures internes, Eau brute</v>
          </cell>
          <cell r="F542">
            <v>0</v>
          </cell>
          <cell r="L542">
            <v>0</v>
          </cell>
          <cell r="P542">
            <v>0</v>
          </cell>
          <cell r="V542">
            <v>0</v>
          </cell>
          <cell r="AI542">
            <v>0</v>
          </cell>
        </row>
        <row r="543">
          <cell r="D543" t="str">
            <v>2122</v>
          </cell>
          <cell r="E543" t="str">
            <v>Fournitures internes, Eau filtrée</v>
          </cell>
          <cell r="F543">
            <v>0</v>
          </cell>
          <cell r="L543">
            <v>0</v>
          </cell>
          <cell r="P543">
            <v>0</v>
          </cell>
          <cell r="V543">
            <v>0</v>
          </cell>
          <cell r="AI543">
            <v>0</v>
          </cell>
        </row>
        <row r="544">
          <cell r="D544" t="str">
            <v>2123</v>
          </cell>
          <cell r="E544" t="str">
            <v>Fournitures internes, Eau potable</v>
          </cell>
          <cell r="F544">
            <v>0</v>
          </cell>
          <cell r="L544">
            <v>0</v>
          </cell>
          <cell r="P544">
            <v>0</v>
          </cell>
          <cell r="V544">
            <v>0</v>
          </cell>
          <cell r="AI544">
            <v>0</v>
          </cell>
        </row>
        <row r="545">
          <cell r="D545" t="str">
            <v>2124</v>
          </cell>
          <cell r="E545" t="str">
            <v>Fournitures internes, Eau déminéralisée</v>
          </cell>
          <cell r="F545">
            <v>0</v>
          </cell>
          <cell r="L545">
            <v>0</v>
          </cell>
          <cell r="P545">
            <v>0</v>
          </cell>
          <cell r="V545">
            <v>0</v>
          </cell>
          <cell r="AI545">
            <v>0</v>
          </cell>
        </row>
        <row r="546">
          <cell r="D546" t="str">
            <v>2125</v>
          </cell>
          <cell r="E546" t="str">
            <v>Fournitures internes, Eau désilicée</v>
          </cell>
          <cell r="F546">
            <v>0</v>
          </cell>
          <cell r="L546">
            <v>0</v>
          </cell>
          <cell r="P546">
            <v>0</v>
          </cell>
          <cell r="V546">
            <v>0</v>
          </cell>
          <cell r="AI546">
            <v>0</v>
          </cell>
        </row>
        <row r="547">
          <cell r="D547" t="str">
            <v>2126</v>
          </cell>
          <cell r="E547" t="str">
            <v>Fournitures internes, Eau alimentaire</v>
          </cell>
          <cell r="F547">
            <v>0</v>
          </cell>
          <cell r="L547">
            <v>0</v>
          </cell>
          <cell r="P547">
            <v>0</v>
          </cell>
          <cell r="V547">
            <v>0</v>
          </cell>
          <cell r="AI547">
            <v>0</v>
          </cell>
        </row>
        <row r="548">
          <cell r="D548" t="str">
            <v>2130</v>
          </cell>
          <cell r="E548" t="str">
            <v>Fournitures internes, Air comprimé</v>
          </cell>
          <cell r="F548">
            <v>0</v>
          </cell>
          <cell r="L548">
            <v>0</v>
          </cell>
          <cell r="P548">
            <v>0</v>
          </cell>
          <cell r="V548">
            <v>0</v>
          </cell>
          <cell r="AI548">
            <v>0</v>
          </cell>
        </row>
        <row r="549">
          <cell r="D549" t="str">
            <v>2140</v>
          </cell>
          <cell r="E549" t="str">
            <v>Fournitures internes, Vapeur BP</v>
          </cell>
          <cell r="F549">
            <v>0</v>
          </cell>
          <cell r="L549">
            <v>0</v>
          </cell>
          <cell r="P549">
            <v>0</v>
          </cell>
          <cell r="V549">
            <v>0</v>
          </cell>
          <cell r="AI549">
            <v>0</v>
          </cell>
        </row>
        <row r="550">
          <cell r="D550" t="str">
            <v>2141</v>
          </cell>
          <cell r="E550" t="str">
            <v>Fournitures internes, Vapeur MP</v>
          </cell>
          <cell r="F550">
            <v>0</v>
          </cell>
          <cell r="L550">
            <v>0</v>
          </cell>
          <cell r="P550">
            <v>0</v>
          </cell>
          <cell r="V550">
            <v>0</v>
          </cell>
          <cell r="AI550">
            <v>0</v>
          </cell>
        </row>
        <row r="551">
          <cell r="D551" t="str">
            <v>2142</v>
          </cell>
          <cell r="E551" t="str">
            <v>Fournitures internes, Vapeur HP</v>
          </cell>
          <cell r="F551">
            <v>0</v>
          </cell>
          <cell r="L551">
            <v>0</v>
          </cell>
          <cell r="P551">
            <v>0</v>
          </cell>
          <cell r="V551">
            <v>0</v>
          </cell>
          <cell r="AI551">
            <v>0</v>
          </cell>
        </row>
        <row r="552">
          <cell r="D552" t="str">
            <v>2149</v>
          </cell>
          <cell r="E552" t="str">
            <v>Fournitures internes, Vapeur BP, MP, HP</v>
          </cell>
          <cell r="F552">
            <v>0</v>
          </cell>
          <cell r="L552">
            <v>0</v>
          </cell>
          <cell r="P552">
            <v>0</v>
          </cell>
          <cell r="V552">
            <v>0</v>
          </cell>
          <cell r="AI552">
            <v>0</v>
          </cell>
        </row>
        <row r="553">
          <cell r="D553" t="str">
            <v>2150</v>
          </cell>
          <cell r="E553" t="str">
            <v>Fournitures internes, Phosphate lavé MPII</v>
          </cell>
          <cell r="F553">
            <v>0</v>
          </cell>
          <cell r="L553">
            <v>0</v>
          </cell>
          <cell r="P553">
            <v>0</v>
          </cell>
          <cell r="V553">
            <v>0</v>
          </cell>
          <cell r="AI553">
            <v>0</v>
          </cell>
        </row>
        <row r="554">
          <cell r="D554" t="str">
            <v>2151</v>
          </cell>
          <cell r="E554" t="str">
            <v>Fournitures internes, Phosphate broyé</v>
          </cell>
          <cell r="F554">
            <v>0</v>
          </cell>
          <cell r="L554">
            <v>0</v>
          </cell>
          <cell r="P554">
            <v>0</v>
          </cell>
          <cell r="V554">
            <v>0</v>
          </cell>
          <cell r="AI554">
            <v>0</v>
          </cell>
        </row>
        <row r="555">
          <cell r="D555" t="str">
            <v>2152</v>
          </cell>
          <cell r="E555" t="str">
            <v>Fournitures internes, Soufre fondu</v>
          </cell>
          <cell r="F555">
            <v>0</v>
          </cell>
          <cell r="L555">
            <v>0</v>
          </cell>
          <cell r="P555">
            <v>0</v>
          </cell>
          <cell r="V555">
            <v>0</v>
          </cell>
          <cell r="AI555">
            <v>0</v>
          </cell>
        </row>
        <row r="556">
          <cell r="D556" t="str">
            <v>2153</v>
          </cell>
          <cell r="E556" t="str">
            <v>Fournitures internes, Soufre filtré</v>
          </cell>
          <cell r="F556">
            <v>0</v>
          </cell>
          <cell r="L556">
            <v>0</v>
          </cell>
          <cell r="P556">
            <v>0</v>
          </cell>
          <cell r="V556">
            <v>0</v>
          </cell>
          <cell r="AI556">
            <v>0</v>
          </cell>
        </row>
        <row r="557">
          <cell r="D557" t="str">
            <v>2154</v>
          </cell>
          <cell r="E557" t="str">
            <v>Fournitures internes, Acide sulfurique</v>
          </cell>
          <cell r="F557">
            <v>0</v>
          </cell>
          <cell r="L557">
            <v>0</v>
          </cell>
          <cell r="P557">
            <v>0</v>
          </cell>
          <cell r="V557">
            <v>0</v>
          </cell>
          <cell r="AI557">
            <v>0</v>
          </cell>
        </row>
        <row r="558">
          <cell r="D558" t="str">
            <v>2155</v>
          </cell>
          <cell r="E558" t="str">
            <v>Fournitures internes, Acide phosphorique 30%</v>
          </cell>
          <cell r="F558">
            <v>0</v>
          </cell>
          <cell r="L558">
            <v>0</v>
          </cell>
          <cell r="P558">
            <v>0</v>
          </cell>
          <cell r="V558">
            <v>0</v>
          </cell>
          <cell r="AI558">
            <v>0</v>
          </cell>
        </row>
        <row r="559">
          <cell r="D559" t="str">
            <v>2156</v>
          </cell>
          <cell r="E559" t="str">
            <v>Fournitures internes, Acide phosphorique 54% NC</v>
          </cell>
          <cell r="F559">
            <v>0</v>
          </cell>
          <cell r="L559">
            <v>0</v>
          </cell>
          <cell r="P559">
            <v>0</v>
          </cell>
          <cell r="V559">
            <v>0</v>
          </cell>
          <cell r="AI559">
            <v>0</v>
          </cell>
        </row>
        <row r="560">
          <cell r="D560" t="str">
            <v>2157</v>
          </cell>
          <cell r="E560" t="str">
            <v>Fournitures internes, Acide phosphorique 54% CL</v>
          </cell>
          <cell r="F560">
            <v>0</v>
          </cell>
          <cell r="L560">
            <v>0</v>
          </cell>
          <cell r="P560">
            <v>0</v>
          </cell>
          <cell r="V560">
            <v>0</v>
          </cell>
          <cell r="AI560">
            <v>0</v>
          </cell>
        </row>
        <row r="561">
          <cell r="D561" t="str">
            <v>2158</v>
          </cell>
          <cell r="E561" t="str">
            <v>Fournitures internes, Acide prétraité</v>
          </cell>
          <cell r="F561">
            <v>0</v>
          </cell>
          <cell r="L561">
            <v>0</v>
          </cell>
          <cell r="P561">
            <v>0</v>
          </cell>
          <cell r="V561">
            <v>0</v>
          </cell>
          <cell r="AI561">
            <v>0</v>
          </cell>
        </row>
        <row r="562">
          <cell r="D562" t="str">
            <v>2159</v>
          </cell>
          <cell r="E562" t="str">
            <v>Fournitures internes, Acide traité</v>
          </cell>
          <cell r="F562">
            <v>0</v>
          </cell>
          <cell r="L562">
            <v>0</v>
          </cell>
          <cell r="P562">
            <v>0</v>
          </cell>
          <cell r="V562">
            <v>0</v>
          </cell>
          <cell r="AI562">
            <v>0</v>
          </cell>
        </row>
        <row r="563">
          <cell r="D563" t="str">
            <v>2160</v>
          </cell>
          <cell r="E563" t="str">
            <v>Fournitures internes, Engrais TSP (Intermédiaires)</v>
          </cell>
          <cell r="F563">
            <v>0</v>
          </cell>
          <cell r="L563">
            <v>0</v>
          </cell>
          <cell r="P563">
            <v>0</v>
          </cell>
          <cell r="V563">
            <v>0</v>
          </cell>
          <cell r="AI563">
            <v>0</v>
          </cell>
        </row>
        <row r="564">
          <cell r="D564" t="str">
            <v>2161</v>
          </cell>
          <cell r="E564" t="str">
            <v>Fournitures internes, Engrais DAP (Intermédiaires)</v>
          </cell>
          <cell r="F564">
            <v>0</v>
          </cell>
          <cell r="L564">
            <v>0</v>
          </cell>
          <cell r="P564">
            <v>0</v>
          </cell>
          <cell r="V564">
            <v>0</v>
          </cell>
          <cell r="AI564">
            <v>0</v>
          </cell>
        </row>
        <row r="565">
          <cell r="D565" t="str">
            <v>2162</v>
          </cell>
          <cell r="E565" t="str">
            <v>Fournitures internes, Engrais MAP (Intermédiaires)</v>
          </cell>
          <cell r="F565">
            <v>0</v>
          </cell>
          <cell r="L565">
            <v>0</v>
          </cell>
          <cell r="P565">
            <v>0</v>
          </cell>
          <cell r="V565">
            <v>0</v>
          </cell>
          <cell r="AI565">
            <v>0</v>
          </cell>
        </row>
        <row r="566">
          <cell r="D566" t="str">
            <v>2163</v>
          </cell>
          <cell r="E566" t="str">
            <v>Fournitures internes, Engrais NPK (Intermédiaires)</v>
          </cell>
          <cell r="F566">
            <v>0</v>
          </cell>
          <cell r="L566">
            <v>0</v>
          </cell>
          <cell r="P566">
            <v>0</v>
          </cell>
          <cell r="V566">
            <v>0</v>
          </cell>
          <cell r="AI566">
            <v>0</v>
          </cell>
        </row>
        <row r="567">
          <cell r="D567" t="str">
            <v>2164</v>
          </cell>
          <cell r="E567" t="str">
            <v>Fournitures internes, Engrais ASP (Intermédiaires)</v>
          </cell>
          <cell r="F567">
            <v>0</v>
          </cell>
          <cell r="L567">
            <v>0</v>
          </cell>
          <cell r="P567">
            <v>0</v>
          </cell>
          <cell r="V567">
            <v>0</v>
          </cell>
          <cell r="AI567">
            <v>0</v>
          </cell>
        </row>
        <row r="568">
          <cell r="D568" t="str">
            <v>2169</v>
          </cell>
          <cell r="E568" t="str">
            <v>Fournitures internes, Engrais Autres formules (Intermédiaires)</v>
          </cell>
          <cell r="F568">
            <v>0</v>
          </cell>
          <cell r="L568">
            <v>0</v>
          </cell>
          <cell r="P568">
            <v>0</v>
          </cell>
          <cell r="V568">
            <v>0</v>
          </cell>
          <cell r="AI568">
            <v>0</v>
          </cell>
        </row>
        <row r="569">
          <cell r="D569" t="str">
            <v>2290</v>
          </cell>
          <cell r="E569" t="str">
            <v>Prestations même division, Restaurant</v>
          </cell>
          <cell r="F569">
            <v>0</v>
          </cell>
          <cell r="L569">
            <v>0</v>
          </cell>
          <cell r="P569">
            <v>0</v>
          </cell>
          <cell r="V569">
            <v>0</v>
          </cell>
          <cell r="AI569">
            <v>0</v>
          </cell>
        </row>
        <row r="570">
          <cell r="D570" t="str">
            <v>2600</v>
          </cell>
          <cell r="E570" t="str">
            <v>Solde des SA d'exécution</v>
          </cell>
          <cell r="F570">
            <v>0</v>
          </cell>
          <cell r="L570">
            <v>0</v>
          </cell>
          <cell r="P570">
            <v>0</v>
          </cell>
          <cell r="V570">
            <v>0</v>
          </cell>
          <cell r="AI570">
            <v>0</v>
          </cell>
        </row>
        <row r="571">
          <cell r="D571" t="str">
            <v>3170</v>
          </cell>
          <cell r="E571" t="str">
            <v>Cessions hors prix de revient, Soufre solide</v>
          </cell>
          <cell r="F571">
            <v>0</v>
          </cell>
          <cell r="L571">
            <v>0</v>
          </cell>
          <cell r="P571">
            <v>0</v>
          </cell>
          <cell r="V571">
            <v>0</v>
          </cell>
          <cell r="AI571">
            <v>0</v>
          </cell>
        </row>
        <row r="572">
          <cell r="D572" t="str">
            <v>3171</v>
          </cell>
          <cell r="E572" t="str">
            <v>Cessions hors prix de revient, Soufre liquide</v>
          </cell>
          <cell r="F572">
            <v>0</v>
          </cell>
          <cell r="L572">
            <v>0</v>
          </cell>
          <cell r="P572">
            <v>0</v>
          </cell>
          <cell r="V572">
            <v>0</v>
          </cell>
          <cell r="AI572">
            <v>0</v>
          </cell>
        </row>
        <row r="573">
          <cell r="D573" t="str">
            <v>3174</v>
          </cell>
          <cell r="E573" t="str">
            <v>Cessions hors prix de revient, Acide sulfurique</v>
          </cell>
          <cell r="F573">
            <v>0</v>
          </cell>
          <cell r="L573">
            <v>0</v>
          </cell>
          <cell r="P573">
            <v>0</v>
          </cell>
          <cell r="V573">
            <v>0</v>
          </cell>
          <cell r="AI573">
            <v>0</v>
          </cell>
        </row>
        <row r="574">
          <cell r="D574" t="str">
            <v>3220</v>
          </cell>
          <cell r="E574" t="str">
            <v>Cessions hors prix de revient, Matières auxiliaires</v>
          </cell>
          <cell r="F574">
            <v>0</v>
          </cell>
          <cell r="L574">
            <v>0</v>
          </cell>
          <cell r="P574">
            <v>0</v>
          </cell>
          <cell r="V574">
            <v>0</v>
          </cell>
          <cell r="AI574">
            <v>0</v>
          </cell>
        </row>
        <row r="575">
          <cell r="D575" t="str">
            <v>3231</v>
          </cell>
          <cell r="E575" t="str">
            <v>Cessions hors prix de revient, Mazout de chauffe</v>
          </cell>
          <cell r="F575">
            <v>0</v>
          </cell>
          <cell r="L575">
            <v>0</v>
          </cell>
          <cell r="P575">
            <v>0</v>
          </cell>
          <cell r="V575">
            <v>0</v>
          </cell>
          <cell r="AI575">
            <v>0</v>
          </cell>
        </row>
        <row r="576">
          <cell r="D576" t="str">
            <v>3232</v>
          </cell>
          <cell r="E576" t="str">
            <v>Cessions hors prix de revient, Essence légère</v>
          </cell>
          <cell r="F576">
            <v>0</v>
          </cell>
          <cell r="L576">
            <v>0</v>
          </cell>
          <cell r="P576">
            <v>0</v>
          </cell>
          <cell r="V576">
            <v>0</v>
          </cell>
          <cell r="AI576">
            <v>0</v>
          </cell>
        </row>
        <row r="577">
          <cell r="D577" t="str">
            <v>3233</v>
          </cell>
          <cell r="E577" t="str">
            <v>Cessions hors prix de revient, Gasoil</v>
          </cell>
          <cell r="F577">
            <v>0</v>
          </cell>
          <cell r="L577">
            <v>0</v>
          </cell>
          <cell r="P577">
            <v>0</v>
          </cell>
          <cell r="V577">
            <v>0</v>
          </cell>
          <cell r="AI577">
            <v>0</v>
          </cell>
        </row>
        <row r="578">
          <cell r="D578" t="str">
            <v>3234</v>
          </cell>
          <cell r="E578" t="str">
            <v>Cessions hors prix de revient, Lubrifiants</v>
          </cell>
          <cell r="F578">
            <v>0</v>
          </cell>
          <cell r="L578">
            <v>0</v>
          </cell>
          <cell r="P578">
            <v>0</v>
          </cell>
          <cell r="V578">
            <v>0</v>
          </cell>
          <cell r="AI578">
            <v>0</v>
          </cell>
        </row>
        <row r="579">
          <cell r="D579" t="str">
            <v>3236</v>
          </cell>
          <cell r="E579" t="str">
            <v>Cessions hors prix de revient, Coke de pétrole</v>
          </cell>
          <cell r="F579">
            <v>0</v>
          </cell>
          <cell r="L579">
            <v>0</v>
          </cell>
          <cell r="P579">
            <v>0</v>
          </cell>
          <cell r="V579">
            <v>0</v>
          </cell>
          <cell r="AI579">
            <v>0</v>
          </cell>
        </row>
        <row r="580">
          <cell r="D580" t="str">
            <v>3241</v>
          </cell>
          <cell r="E580" t="str">
            <v>Cessions hors prix de revient, Produits d'entretien</v>
          </cell>
          <cell r="F580">
            <v>0</v>
          </cell>
          <cell r="L580">
            <v>0</v>
          </cell>
          <cell r="P580">
            <v>0</v>
          </cell>
          <cell r="V580">
            <v>0</v>
          </cell>
          <cell r="AI580">
            <v>0</v>
          </cell>
        </row>
        <row r="581">
          <cell r="D581" t="str">
            <v>3242</v>
          </cell>
          <cell r="E581" t="str">
            <v>Cessions hors prix de revient, Produits de laboratoire</v>
          </cell>
          <cell r="F581">
            <v>0</v>
          </cell>
          <cell r="L581">
            <v>0</v>
          </cell>
          <cell r="P581">
            <v>0</v>
          </cell>
          <cell r="V581">
            <v>0</v>
          </cell>
          <cell r="AI581">
            <v>0</v>
          </cell>
        </row>
        <row r="582">
          <cell r="D582" t="str">
            <v>3243</v>
          </cell>
          <cell r="E582" t="str">
            <v>Cessions hors prix de revient, Aciers et gaz industriels</v>
          </cell>
          <cell r="F582">
            <v>0</v>
          </cell>
          <cell r="L582">
            <v>0</v>
          </cell>
          <cell r="P582">
            <v>0</v>
          </cell>
          <cell r="V582">
            <v>0</v>
          </cell>
          <cell r="AI582">
            <v>0</v>
          </cell>
        </row>
        <row r="583">
          <cell r="D583" t="str">
            <v>3244</v>
          </cell>
          <cell r="E583" t="str">
            <v>Cessions hors prix de revient, Habillement et produits de sécurité</v>
          </cell>
          <cell r="F583">
            <v>0</v>
          </cell>
          <cell r="L583">
            <v>0</v>
          </cell>
          <cell r="P583">
            <v>0</v>
          </cell>
          <cell r="V583">
            <v>0</v>
          </cell>
          <cell r="AI583">
            <v>0</v>
          </cell>
        </row>
        <row r="584">
          <cell r="D584" t="str">
            <v>3245</v>
          </cell>
          <cell r="E584" t="str">
            <v>Cessions hors prix de revient, Matériaux et produits de construction</v>
          </cell>
          <cell r="F584">
            <v>0</v>
          </cell>
          <cell r="L584">
            <v>0</v>
          </cell>
          <cell r="P584">
            <v>0</v>
          </cell>
          <cell r="V584">
            <v>0</v>
          </cell>
          <cell r="AI584">
            <v>0</v>
          </cell>
        </row>
        <row r="585">
          <cell r="D585" t="str">
            <v>3248</v>
          </cell>
          <cell r="E585" t="str">
            <v>Cessions hors prix de revient, Matières et fournitures consommables diverses</v>
          </cell>
          <cell r="F585">
            <v>0</v>
          </cell>
          <cell r="L585">
            <v>0</v>
          </cell>
          <cell r="P585">
            <v>0</v>
          </cell>
          <cell r="V585">
            <v>0</v>
          </cell>
          <cell r="AI585">
            <v>0</v>
          </cell>
        </row>
        <row r="586">
          <cell r="D586" t="str">
            <v>3251</v>
          </cell>
          <cell r="E586" t="str">
            <v>Cessions hors prix de revient, Courroies transporteuses</v>
          </cell>
          <cell r="F586">
            <v>0</v>
          </cell>
          <cell r="L586">
            <v>0</v>
          </cell>
          <cell r="P586">
            <v>0</v>
          </cell>
          <cell r="V586">
            <v>0</v>
          </cell>
          <cell r="AI586">
            <v>0</v>
          </cell>
        </row>
        <row r="587">
          <cell r="D587" t="str">
            <v>3253</v>
          </cell>
          <cell r="E587" t="str">
            <v>Cessions hors prix de revient, Rouleaux de convoyeurs</v>
          </cell>
          <cell r="F587">
            <v>0</v>
          </cell>
          <cell r="L587">
            <v>0</v>
          </cell>
          <cell r="P587">
            <v>0</v>
          </cell>
          <cell r="V587">
            <v>0</v>
          </cell>
          <cell r="AI587">
            <v>0</v>
          </cell>
        </row>
        <row r="588">
          <cell r="D588" t="str">
            <v>3254</v>
          </cell>
          <cell r="E588" t="str">
            <v>Cessions hors prix de revient, Lames d'usure de bulls et niveleuses</v>
          </cell>
          <cell r="F588">
            <v>0</v>
          </cell>
          <cell r="L588">
            <v>0</v>
          </cell>
          <cell r="P588">
            <v>0</v>
          </cell>
          <cell r="V588">
            <v>0</v>
          </cell>
          <cell r="AI588">
            <v>0</v>
          </cell>
        </row>
        <row r="589">
          <cell r="D589" t="str">
            <v>3255</v>
          </cell>
          <cell r="E589" t="str">
            <v>Cessions hors prix de revient, Tiges, drill - collar</v>
          </cell>
          <cell r="F589">
            <v>0</v>
          </cell>
          <cell r="L589">
            <v>0</v>
          </cell>
          <cell r="P589">
            <v>0</v>
          </cell>
          <cell r="V589">
            <v>0</v>
          </cell>
          <cell r="AI589">
            <v>0</v>
          </cell>
        </row>
        <row r="590">
          <cell r="D590" t="str">
            <v>3256</v>
          </cell>
          <cell r="E590" t="str">
            <v>Cessions hors prix de revient, Tricones de sondeuses</v>
          </cell>
          <cell r="F590">
            <v>0</v>
          </cell>
          <cell r="L590">
            <v>0</v>
          </cell>
          <cell r="P590">
            <v>0</v>
          </cell>
          <cell r="V590">
            <v>0</v>
          </cell>
          <cell r="AI590">
            <v>0</v>
          </cell>
        </row>
        <row r="591">
          <cell r="D591" t="str">
            <v>3259</v>
          </cell>
          <cell r="E591" t="str">
            <v>Cessions hors prix de revient, Câbles électriques</v>
          </cell>
          <cell r="F591">
            <v>0</v>
          </cell>
          <cell r="L591">
            <v>0</v>
          </cell>
          <cell r="P591">
            <v>0</v>
          </cell>
          <cell r="V591">
            <v>0</v>
          </cell>
          <cell r="AI591">
            <v>0</v>
          </cell>
        </row>
        <row r="592">
          <cell r="D592" t="str">
            <v>3261</v>
          </cell>
          <cell r="E592" t="str">
            <v>Cessions hors prix de revient, Pneumatiques pour engins lourds</v>
          </cell>
          <cell r="F592">
            <v>0</v>
          </cell>
          <cell r="L592">
            <v>0</v>
          </cell>
          <cell r="P592">
            <v>0</v>
          </cell>
          <cell r="V592">
            <v>0</v>
          </cell>
          <cell r="AI592">
            <v>0</v>
          </cell>
        </row>
        <row r="593">
          <cell r="D593" t="str">
            <v>3262</v>
          </cell>
          <cell r="E593" t="str">
            <v>Cessions hors prix de revient, Pneumatiques pour voitures légères</v>
          </cell>
          <cell r="F593">
            <v>0</v>
          </cell>
          <cell r="L593">
            <v>0</v>
          </cell>
          <cell r="P593">
            <v>0</v>
          </cell>
          <cell r="V593">
            <v>0</v>
          </cell>
          <cell r="AI593">
            <v>0</v>
          </cell>
        </row>
        <row r="594">
          <cell r="D594" t="str">
            <v>3263</v>
          </cell>
          <cell r="E594" t="str">
            <v>Cessions hors prix de revient, Pièces de rechange du matériel</v>
          </cell>
          <cell r="F594">
            <v>0</v>
          </cell>
          <cell r="L594">
            <v>0</v>
          </cell>
          <cell r="P594">
            <v>0</v>
          </cell>
          <cell r="V594">
            <v>0</v>
          </cell>
          <cell r="AI594">
            <v>0</v>
          </cell>
        </row>
        <row r="595">
          <cell r="D595" t="str">
            <v>3264</v>
          </cell>
          <cell r="E595" t="str">
            <v>Cessions hors prix de revient, Pièces détachés automobiles</v>
          </cell>
          <cell r="F595">
            <v>0</v>
          </cell>
          <cell r="L595">
            <v>0</v>
          </cell>
          <cell r="P595">
            <v>0</v>
          </cell>
          <cell r="V595">
            <v>0</v>
          </cell>
          <cell r="AI595">
            <v>0</v>
          </cell>
        </row>
        <row r="596">
          <cell r="D596" t="str">
            <v>3265</v>
          </cell>
          <cell r="E596" t="str">
            <v>Cessions hors prix de revient, Petit outillage</v>
          </cell>
          <cell r="F596">
            <v>0</v>
          </cell>
          <cell r="L596">
            <v>0</v>
          </cell>
          <cell r="P596">
            <v>0</v>
          </cell>
          <cell r="V596">
            <v>0</v>
          </cell>
          <cell r="AI596">
            <v>0</v>
          </cell>
        </row>
        <row r="597">
          <cell r="D597" t="str">
            <v>3270</v>
          </cell>
          <cell r="E597" t="str">
            <v>Cessions hors prix de revient, Fournitures de bureau</v>
          </cell>
          <cell r="F597">
            <v>0</v>
          </cell>
          <cell r="L597">
            <v>0</v>
          </cell>
          <cell r="P597">
            <v>0</v>
          </cell>
          <cell r="V597">
            <v>0</v>
          </cell>
          <cell r="AI597">
            <v>0</v>
          </cell>
        </row>
        <row r="598">
          <cell r="D598" t="str">
            <v>3330</v>
          </cell>
          <cell r="E598" t="str">
            <v>Cessions hors prix de revient, Emballages à usage mixte</v>
          </cell>
          <cell r="F598">
            <v>0</v>
          </cell>
          <cell r="L598">
            <v>0</v>
          </cell>
          <cell r="P598">
            <v>0</v>
          </cell>
          <cell r="V598">
            <v>0</v>
          </cell>
          <cell r="AI598">
            <v>0</v>
          </cell>
        </row>
        <row r="599">
          <cell r="D599" t="str">
            <v>4011</v>
          </cell>
          <cell r="E599" t="str">
            <v>Achats produits TAF</v>
          </cell>
          <cell r="F599">
            <v>0</v>
          </cell>
          <cell r="L599">
            <v>0</v>
          </cell>
          <cell r="P599">
            <v>0</v>
          </cell>
          <cell r="V599">
            <v>0</v>
          </cell>
          <cell r="AI599">
            <v>0</v>
          </cell>
        </row>
        <row r="600">
          <cell r="D600" t="str">
            <v>4012</v>
          </cell>
          <cell r="E600" t="str">
            <v>Rabais remises et ristournes obtenus sur achats produits TAF</v>
          </cell>
          <cell r="F600">
            <v>0</v>
          </cell>
          <cell r="L600">
            <v>0</v>
          </cell>
          <cell r="P600">
            <v>0</v>
          </cell>
          <cell r="V600">
            <v>0</v>
          </cell>
          <cell r="AI600">
            <v>0</v>
          </cell>
        </row>
        <row r="601">
          <cell r="D601" t="str">
            <v>4100</v>
          </cell>
          <cell r="E601" t="str">
            <v>Consommation, Phosphate Y1</v>
          </cell>
          <cell r="F601">
            <v>0</v>
          </cell>
          <cell r="L601">
            <v>0</v>
          </cell>
          <cell r="P601">
            <v>0</v>
          </cell>
          <cell r="V601">
            <v>0</v>
          </cell>
          <cell r="AI601">
            <v>0</v>
          </cell>
        </row>
        <row r="602">
          <cell r="D602" t="str">
            <v>4101</v>
          </cell>
          <cell r="E602" t="str">
            <v>Consommation, Phosphate Y12</v>
          </cell>
          <cell r="F602">
            <v>0</v>
          </cell>
          <cell r="L602">
            <v>0</v>
          </cell>
          <cell r="P602">
            <v>0</v>
          </cell>
          <cell r="V602">
            <v>0</v>
          </cell>
          <cell r="AI602">
            <v>0</v>
          </cell>
        </row>
        <row r="603">
          <cell r="D603" t="str">
            <v>4102</v>
          </cell>
          <cell r="E603" t="str">
            <v>Consommation, Phosphate Y2</v>
          </cell>
          <cell r="F603">
            <v>0</v>
          </cell>
          <cell r="L603">
            <v>0</v>
          </cell>
          <cell r="P603">
            <v>0</v>
          </cell>
          <cell r="V603">
            <v>0</v>
          </cell>
          <cell r="AI603">
            <v>0</v>
          </cell>
        </row>
        <row r="604">
          <cell r="D604" t="str">
            <v>4103</v>
          </cell>
          <cell r="E604" t="str">
            <v>Consommation, Phosphate Y21</v>
          </cell>
          <cell r="F604">
            <v>0</v>
          </cell>
          <cell r="L604">
            <v>0</v>
          </cell>
          <cell r="P604">
            <v>0</v>
          </cell>
          <cell r="V604">
            <v>0</v>
          </cell>
          <cell r="AI604">
            <v>0</v>
          </cell>
        </row>
        <row r="605">
          <cell r="D605" t="str">
            <v>4104</v>
          </cell>
          <cell r="E605" t="str">
            <v>Consommation, Phosphate Y23</v>
          </cell>
          <cell r="F605">
            <v>0</v>
          </cell>
          <cell r="L605">
            <v>0</v>
          </cell>
          <cell r="P605">
            <v>0</v>
          </cell>
          <cell r="V605">
            <v>0</v>
          </cell>
          <cell r="AI605">
            <v>0</v>
          </cell>
        </row>
        <row r="606">
          <cell r="D606" t="str">
            <v>4105</v>
          </cell>
          <cell r="E606" t="str">
            <v>Consommation, Phosphate noir séché YNS</v>
          </cell>
          <cell r="F606">
            <v>0</v>
          </cell>
          <cell r="L606">
            <v>0</v>
          </cell>
          <cell r="P606">
            <v>0</v>
          </cell>
          <cell r="V606">
            <v>0</v>
          </cell>
          <cell r="AI606">
            <v>0</v>
          </cell>
        </row>
        <row r="607">
          <cell r="D607" t="str">
            <v>4120</v>
          </cell>
          <cell r="E607" t="str">
            <v>Consommation, Phosphate BG humide standard</v>
          </cell>
          <cell r="F607">
            <v>0</v>
          </cell>
          <cell r="L607">
            <v>0</v>
          </cell>
          <cell r="P607">
            <v>0</v>
          </cell>
          <cell r="V607">
            <v>0</v>
          </cell>
          <cell r="AI607">
            <v>0</v>
          </cell>
        </row>
        <row r="608">
          <cell r="D608" t="str">
            <v>4121</v>
          </cell>
          <cell r="E608" t="str">
            <v>Consommation, Phosphate humide BG spécial</v>
          </cell>
          <cell r="F608">
            <v>0</v>
          </cell>
          <cell r="L608">
            <v>0</v>
          </cell>
          <cell r="P608">
            <v>0</v>
          </cell>
          <cell r="V608">
            <v>0</v>
          </cell>
          <cell r="AI608">
            <v>0</v>
          </cell>
        </row>
        <row r="609">
          <cell r="D609" t="str">
            <v>4122</v>
          </cell>
          <cell r="E609" t="str">
            <v>Consommation, Phosphate C4 BG sec</v>
          </cell>
          <cell r="F609">
            <v>0</v>
          </cell>
          <cell r="L609">
            <v>0</v>
          </cell>
          <cell r="P609">
            <v>0</v>
          </cell>
          <cell r="V609">
            <v>0</v>
          </cell>
          <cell r="AI609">
            <v>0</v>
          </cell>
        </row>
        <row r="610">
          <cell r="D610" t="str">
            <v>4123</v>
          </cell>
          <cell r="E610" t="str">
            <v>Consommation, Phosphate C4 BG humide criblé</v>
          </cell>
          <cell r="F610">
            <v>0</v>
          </cell>
          <cell r="L610">
            <v>0</v>
          </cell>
          <cell r="P610">
            <v>0</v>
          </cell>
          <cell r="V610">
            <v>0</v>
          </cell>
          <cell r="AI610">
            <v>0</v>
          </cell>
        </row>
        <row r="611">
          <cell r="D611" t="str">
            <v>4134</v>
          </cell>
          <cell r="E611" t="str">
            <v>Consommation, Phosphate Khouribga K02</v>
          </cell>
          <cell r="F611">
            <v>0</v>
          </cell>
          <cell r="L611">
            <v>0</v>
          </cell>
          <cell r="P611">
            <v>0</v>
          </cell>
          <cell r="V611">
            <v>0</v>
          </cell>
          <cell r="AI611">
            <v>0</v>
          </cell>
        </row>
        <row r="612">
          <cell r="D612" t="str">
            <v>4135</v>
          </cell>
          <cell r="E612" t="str">
            <v>Consommation, Phosphate Khouribga K09</v>
          </cell>
          <cell r="F612">
            <v>0</v>
          </cell>
          <cell r="L612">
            <v>0</v>
          </cell>
          <cell r="P612">
            <v>0</v>
          </cell>
          <cell r="V612">
            <v>0</v>
          </cell>
          <cell r="AI612">
            <v>0</v>
          </cell>
        </row>
        <row r="613">
          <cell r="D613" t="str">
            <v>4136</v>
          </cell>
          <cell r="E613" t="str">
            <v>Consommation, Phosphate Khouribga K09 semi-séché</v>
          </cell>
          <cell r="F613">
            <v>0</v>
          </cell>
          <cell r="L613">
            <v>0</v>
          </cell>
          <cell r="P613">
            <v>0</v>
          </cell>
          <cell r="V613">
            <v>0</v>
          </cell>
          <cell r="AI613">
            <v>0</v>
          </cell>
        </row>
        <row r="614">
          <cell r="D614" t="str">
            <v>4137</v>
          </cell>
          <cell r="E614" t="str">
            <v>Consommation, Phosphate Khouribga K10</v>
          </cell>
          <cell r="F614">
            <v>0</v>
          </cell>
          <cell r="L614">
            <v>0</v>
          </cell>
          <cell r="P614">
            <v>0</v>
          </cell>
          <cell r="V614">
            <v>0</v>
          </cell>
          <cell r="AI614">
            <v>0</v>
          </cell>
        </row>
        <row r="615">
          <cell r="D615" t="str">
            <v>4138</v>
          </cell>
          <cell r="E615" t="str">
            <v>Consommation, Phosphate Khouribga K12 GP</v>
          </cell>
          <cell r="F615">
            <v>0</v>
          </cell>
          <cell r="L615">
            <v>0</v>
          </cell>
          <cell r="P615">
            <v>0</v>
          </cell>
          <cell r="V615">
            <v>0</v>
          </cell>
          <cell r="AI615">
            <v>0</v>
          </cell>
        </row>
        <row r="616">
          <cell r="D616" t="str">
            <v>4139</v>
          </cell>
          <cell r="E616" t="str">
            <v>Consommation, Phosphate Khouribga K20 GP</v>
          </cell>
          <cell r="F616">
            <v>0</v>
          </cell>
          <cell r="L616">
            <v>0</v>
          </cell>
          <cell r="P616">
            <v>0</v>
          </cell>
          <cell r="V616">
            <v>0</v>
          </cell>
          <cell r="AI616">
            <v>0</v>
          </cell>
        </row>
        <row r="617">
          <cell r="D617" t="str">
            <v>4160</v>
          </cell>
          <cell r="E617" t="str">
            <v>Consommation, Phosphate Boucraa 80% BPL</v>
          </cell>
          <cell r="F617">
            <v>0</v>
          </cell>
          <cell r="L617">
            <v>0</v>
          </cell>
          <cell r="P617">
            <v>0</v>
          </cell>
          <cell r="V617">
            <v>0</v>
          </cell>
          <cell r="AI617">
            <v>0</v>
          </cell>
        </row>
        <row r="618">
          <cell r="D618" t="str">
            <v>4170</v>
          </cell>
          <cell r="E618" t="str">
            <v>Consommation, Soufre solide</v>
          </cell>
          <cell r="F618">
            <v>0</v>
          </cell>
          <cell r="L618">
            <v>0</v>
          </cell>
          <cell r="P618">
            <v>0</v>
          </cell>
          <cell r="V618">
            <v>0</v>
          </cell>
          <cell r="AI618">
            <v>0</v>
          </cell>
        </row>
        <row r="619">
          <cell r="D619" t="str">
            <v>4171</v>
          </cell>
          <cell r="E619" t="str">
            <v>Consommation, Soufre liquide</v>
          </cell>
          <cell r="F619">
            <v>0</v>
          </cell>
          <cell r="L619">
            <v>0</v>
          </cell>
          <cell r="P619">
            <v>0</v>
          </cell>
          <cell r="V619">
            <v>0</v>
          </cell>
          <cell r="AI619">
            <v>0</v>
          </cell>
        </row>
        <row r="620">
          <cell r="D620" t="str">
            <v>4172</v>
          </cell>
          <cell r="E620" t="str">
            <v>Consommation, KCl</v>
          </cell>
          <cell r="F620">
            <v>0</v>
          </cell>
          <cell r="L620">
            <v>0</v>
          </cell>
          <cell r="P620">
            <v>0</v>
          </cell>
          <cell r="V620">
            <v>0</v>
          </cell>
          <cell r="AI620">
            <v>0</v>
          </cell>
        </row>
        <row r="621">
          <cell r="D621" t="str">
            <v>4173</v>
          </cell>
          <cell r="E621" t="str">
            <v>Consommation, Ammoniac import</v>
          </cell>
          <cell r="F621">
            <v>0</v>
          </cell>
          <cell r="L621">
            <v>0</v>
          </cell>
          <cell r="P621">
            <v>0</v>
          </cell>
          <cell r="V621">
            <v>0</v>
          </cell>
          <cell r="AI621">
            <v>0</v>
          </cell>
        </row>
        <row r="622">
          <cell r="D622" t="str">
            <v>4174</v>
          </cell>
          <cell r="E622" t="str">
            <v>Consommation, Acide sulfurique import</v>
          </cell>
          <cell r="F622">
            <v>0</v>
          </cell>
          <cell r="L622">
            <v>0</v>
          </cell>
          <cell r="P622">
            <v>0</v>
          </cell>
          <cell r="V622">
            <v>0</v>
          </cell>
          <cell r="AI622">
            <v>0</v>
          </cell>
        </row>
        <row r="623">
          <cell r="D623" t="str">
            <v>4220</v>
          </cell>
          <cell r="E623" t="str">
            <v>Consommation, Matières auxiliaires</v>
          </cell>
          <cell r="F623">
            <v>0</v>
          </cell>
          <cell r="L623">
            <v>0</v>
          </cell>
          <cell r="P623">
            <v>0</v>
          </cell>
          <cell r="V623">
            <v>0</v>
          </cell>
          <cell r="AI623">
            <v>0</v>
          </cell>
        </row>
        <row r="624">
          <cell r="D624" t="str">
            <v>4231</v>
          </cell>
          <cell r="E624" t="str">
            <v>Consommation, Mazout de chauffe</v>
          </cell>
          <cell r="F624">
            <v>0</v>
          </cell>
          <cell r="L624">
            <v>0</v>
          </cell>
          <cell r="P624">
            <v>0</v>
          </cell>
          <cell r="V624">
            <v>0</v>
          </cell>
          <cell r="AI624">
            <v>0</v>
          </cell>
        </row>
        <row r="625">
          <cell r="D625" t="str">
            <v>4236</v>
          </cell>
          <cell r="E625" t="str">
            <v>Consommation, Coke de pétrole</v>
          </cell>
          <cell r="F625">
            <v>0</v>
          </cell>
          <cell r="L625">
            <v>0</v>
          </cell>
          <cell r="P625">
            <v>0</v>
          </cell>
          <cell r="V625">
            <v>0</v>
          </cell>
          <cell r="AI625">
            <v>0</v>
          </cell>
        </row>
        <row r="626">
          <cell r="D626" t="str">
            <v>4242</v>
          </cell>
          <cell r="E626" t="str">
            <v>Consommation, Produits de laboratoires</v>
          </cell>
          <cell r="F626">
            <v>0</v>
          </cell>
          <cell r="L626">
            <v>0</v>
          </cell>
          <cell r="P626">
            <v>0</v>
          </cell>
          <cell r="V626">
            <v>0</v>
          </cell>
          <cell r="AI626">
            <v>0</v>
          </cell>
        </row>
        <row r="627">
          <cell r="D627" t="str">
            <v>4330</v>
          </cell>
          <cell r="E627" t="str">
            <v>Consommation, Emballages à usage mixte</v>
          </cell>
          <cell r="F627">
            <v>0</v>
          </cell>
          <cell r="L627">
            <v>0</v>
          </cell>
          <cell r="P627">
            <v>0</v>
          </cell>
          <cell r="V627">
            <v>0</v>
          </cell>
          <cell r="AI627">
            <v>0</v>
          </cell>
        </row>
        <row r="628">
          <cell r="D628" t="str">
            <v>4512</v>
          </cell>
          <cell r="E628" t="str">
            <v>Fournitures non stockables - eau -</v>
          </cell>
          <cell r="F628">
            <v>0</v>
          </cell>
          <cell r="L628">
            <v>0</v>
          </cell>
          <cell r="P628">
            <v>0</v>
          </cell>
          <cell r="V628">
            <v>0</v>
          </cell>
          <cell r="AI628">
            <v>0</v>
          </cell>
        </row>
        <row r="629">
          <cell r="D629" t="str">
            <v>4515</v>
          </cell>
          <cell r="E629" t="str">
            <v>Fournitures non stockables - gaz de chauffe-</v>
          </cell>
          <cell r="F629">
            <v>0</v>
          </cell>
          <cell r="L629">
            <v>0</v>
          </cell>
          <cell r="P629">
            <v>0</v>
          </cell>
          <cell r="V629">
            <v>0</v>
          </cell>
          <cell r="AI629">
            <v>0</v>
          </cell>
        </row>
        <row r="630">
          <cell r="D630" t="str">
            <v>4610</v>
          </cell>
          <cell r="E630" t="str">
            <v>Travaux topographiques</v>
          </cell>
          <cell r="F630">
            <v>0</v>
          </cell>
          <cell r="L630">
            <v>0</v>
          </cell>
          <cell r="P630">
            <v>0</v>
          </cell>
          <cell r="V630">
            <v>0</v>
          </cell>
          <cell r="AI630">
            <v>0</v>
          </cell>
        </row>
        <row r="631">
          <cell r="D631" t="str">
            <v>4620</v>
          </cell>
          <cell r="E631" t="str">
            <v>Etudes</v>
          </cell>
          <cell r="F631">
            <v>0</v>
          </cell>
          <cell r="L631">
            <v>0</v>
          </cell>
          <cell r="P631">
            <v>0</v>
          </cell>
          <cell r="V631">
            <v>0</v>
          </cell>
          <cell r="AI631">
            <v>0</v>
          </cell>
        </row>
        <row r="632">
          <cell r="D632" t="str">
            <v>4630</v>
          </cell>
          <cell r="E632" t="str">
            <v>Prestations de service</v>
          </cell>
          <cell r="F632">
            <v>0</v>
          </cell>
          <cell r="L632">
            <v>0</v>
          </cell>
          <cell r="P632">
            <v>0</v>
          </cell>
          <cell r="V632">
            <v>0</v>
          </cell>
          <cell r="AI632">
            <v>0</v>
          </cell>
        </row>
        <row r="633">
          <cell r="D633" t="str">
            <v>4750</v>
          </cell>
          <cell r="E633" t="str">
            <v>Acide prétraité</v>
          </cell>
          <cell r="F633">
            <v>0</v>
          </cell>
          <cell r="L633">
            <v>0</v>
          </cell>
          <cell r="P633">
            <v>0</v>
          </cell>
          <cell r="V633">
            <v>0</v>
          </cell>
          <cell r="AI633">
            <v>0</v>
          </cell>
        </row>
        <row r="634">
          <cell r="D634" t="str">
            <v>4760</v>
          </cell>
          <cell r="E634" t="str">
            <v>Acide de retour</v>
          </cell>
          <cell r="F634">
            <v>0</v>
          </cell>
          <cell r="L634">
            <v>0</v>
          </cell>
          <cell r="P634">
            <v>0</v>
          </cell>
          <cell r="V634">
            <v>0</v>
          </cell>
          <cell r="AI634">
            <v>0</v>
          </cell>
        </row>
        <row r="635">
          <cell r="D635" t="str">
            <v>4920</v>
          </cell>
          <cell r="E635" t="str">
            <v>R.R.R.O sur achats de soufre</v>
          </cell>
          <cell r="F635">
            <v>0</v>
          </cell>
          <cell r="L635">
            <v>0</v>
          </cell>
          <cell r="P635">
            <v>0</v>
          </cell>
          <cell r="V635">
            <v>0</v>
          </cell>
          <cell r="AI635">
            <v>0</v>
          </cell>
        </row>
        <row r="636">
          <cell r="D636" t="str">
            <v>4922</v>
          </cell>
          <cell r="E636" t="str">
            <v>R.R.R.O sur achats de KCL</v>
          </cell>
          <cell r="F636">
            <v>0</v>
          </cell>
          <cell r="L636">
            <v>0</v>
          </cell>
          <cell r="P636">
            <v>0</v>
          </cell>
          <cell r="V636">
            <v>0</v>
          </cell>
          <cell r="AI636">
            <v>0</v>
          </cell>
        </row>
        <row r="637">
          <cell r="D637" t="str">
            <v>4923</v>
          </cell>
          <cell r="E637" t="str">
            <v>R.R.R.O sur achats d'ammoniac</v>
          </cell>
          <cell r="F637">
            <v>0</v>
          </cell>
          <cell r="L637">
            <v>0</v>
          </cell>
          <cell r="P637">
            <v>0</v>
          </cell>
          <cell r="V637">
            <v>0</v>
          </cell>
          <cell r="AI637">
            <v>0</v>
          </cell>
        </row>
        <row r="638">
          <cell r="D638" t="str">
            <v>4948</v>
          </cell>
          <cell r="E638" t="str">
            <v>R.R.R.O sur achats de matières et fournitures consonsommables</v>
          </cell>
          <cell r="F638">
            <v>0</v>
          </cell>
          <cell r="L638">
            <v>0</v>
          </cell>
          <cell r="P638">
            <v>0</v>
          </cell>
          <cell r="V638">
            <v>0</v>
          </cell>
          <cell r="AI638">
            <v>0</v>
          </cell>
        </row>
        <row r="639">
          <cell r="D639" t="str">
            <v>4970</v>
          </cell>
          <cell r="E639" t="str">
            <v>R.R.R.O sur achats d'emballages</v>
          </cell>
          <cell r="F639">
            <v>0</v>
          </cell>
          <cell r="L639">
            <v>0</v>
          </cell>
          <cell r="P639">
            <v>0</v>
          </cell>
          <cell r="V639">
            <v>0</v>
          </cell>
          <cell r="AI639">
            <v>0</v>
          </cell>
        </row>
        <row r="640">
          <cell r="D640" t="str">
            <v>4996</v>
          </cell>
          <cell r="E640" t="str">
            <v>R.R.R.O sur achats de travaux, études et prestations de service</v>
          </cell>
          <cell r="F640">
            <v>0</v>
          </cell>
          <cell r="L640">
            <v>0</v>
          </cell>
          <cell r="P640">
            <v>0</v>
          </cell>
          <cell r="V640">
            <v>0</v>
          </cell>
          <cell r="AI640">
            <v>0</v>
          </cell>
        </row>
        <row r="641">
          <cell r="D641" t="str">
            <v>5335</v>
          </cell>
          <cell r="E641" t="str">
            <v>Maintenance contrat annuel</v>
          </cell>
          <cell r="F641">
            <v>0</v>
          </cell>
          <cell r="L641">
            <v>0</v>
          </cell>
          <cell r="P641">
            <v>0</v>
          </cell>
          <cell r="V641">
            <v>0</v>
          </cell>
          <cell r="AI641">
            <v>0</v>
          </cell>
        </row>
        <row r="642">
          <cell r="D642" t="str">
            <v>5341</v>
          </cell>
          <cell r="E642" t="str">
            <v>Assurances multirisques</v>
          </cell>
          <cell r="F642">
            <v>0</v>
          </cell>
          <cell r="L642">
            <v>0</v>
          </cell>
          <cell r="P642">
            <v>0</v>
          </cell>
          <cell r="V642">
            <v>0</v>
          </cell>
          <cell r="AI642">
            <v>0</v>
          </cell>
        </row>
        <row r="643">
          <cell r="D643" t="str">
            <v>5350</v>
          </cell>
          <cell r="E643" t="str">
            <v>Rémunérations des agents makhzen mobile</v>
          </cell>
          <cell r="F643">
            <v>0</v>
          </cell>
          <cell r="L643">
            <v>0</v>
          </cell>
          <cell r="P643">
            <v>0</v>
          </cell>
          <cell r="V643">
            <v>0</v>
          </cell>
          <cell r="AI643">
            <v>0</v>
          </cell>
        </row>
        <row r="644">
          <cell r="D644" t="str">
            <v>5351</v>
          </cell>
          <cell r="E644" t="str">
            <v>Rémunérations du personnel occasionnel</v>
          </cell>
          <cell r="F644">
            <v>0</v>
          </cell>
          <cell r="L644">
            <v>0</v>
          </cell>
          <cell r="P644">
            <v>0</v>
          </cell>
          <cell r="V644">
            <v>0</v>
          </cell>
          <cell r="AI644">
            <v>0</v>
          </cell>
        </row>
        <row r="645">
          <cell r="D645" t="str">
            <v>5352</v>
          </cell>
          <cell r="E645" t="str">
            <v>Rémunérations du personnel intérimaire</v>
          </cell>
          <cell r="F645">
            <v>0</v>
          </cell>
          <cell r="L645">
            <v>0</v>
          </cell>
          <cell r="P645">
            <v>0</v>
          </cell>
          <cell r="V645">
            <v>0</v>
          </cell>
          <cell r="AI645">
            <v>0</v>
          </cell>
        </row>
        <row r="646">
          <cell r="D646" t="str">
            <v>5353</v>
          </cell>
          <cell r="E646" t="str">
            <v>Rémunerations du personnel dettaché</v>
          </cell>
          <cell r="F646">
            <v>0</v>
          </cell>
          <cell r="L646">
            <v>0</v>
          </cell>
          <cell r="P646">
            <v>0</v>
          </cell>
          <cell r="V646">
            <v>0</v>
          </cell>
          <cell r="AI646">
            <v>0</v>
          </cell>
        </row>
        <row r="647">
          <cell r="D647" t="str">
            <v>5361</v>
          </cell>
          <cell r="E647" t="str">
            <v>Commissions et courtages sur achats</v>
          </cell>
          <cell r="F647">
            <v>0</v>
          </cell>
          <cell r="L647">
            <v>0</v>
          </cell>
          <cell r="P647">
            <v>0</v>
          </cell>
          <cell r="V647">
            <v>0</v>
          </cell>
          <cell r="AI647">
            <v>0</v>
          </cell>
        </row>
        <row r="648">
          <cell r="D648" t="str">
            <v>5362</v>
          </cell>
          <cell r="E648" t="str">
            <v>Commissions et courtages sur ventes</v>
          </cell>
          <cell r="F648">
            <v>0</v>
          </cell>
          <cell r="L648">
            <v>0</v>
          </cell>
          <cell r="P648">
            <v>0</v>
          </cell>
          <cell r="V648">
            <v>0</v>
          </cell>
          <cell r="AI648">
            <v>0</v>
          </cell>
        </row>
        <row r="649">
          <cell r="D649" t="str">
            <v>5366</v>
          </cell>
          <cell r="E649" t="str">
            <v>Débours et intermédiaires</v>
          </cell>
          <cell r="F649">
            <v>0</v>
          </cell>
          <cell r="L649">
            <v>0</v>
          </cell>
          <cell r="P649">
            <v>0</v>
          </cell>
          <cell r="V649">
            <v>0</v>
          </cell>
          <cell r="AI649">
            <v>0</v>
          </cell>
        </row>
        <row r="650">
          <cell r="D650" t="str">
            <v>5367</v>
          </cell>
          <cell r="E650" t="str">
            <v>Frais d'actes et de contentieux</v>
          </cell>
          <cell r="F650">
            <v>0</v>
          </cell>
          <cell r="L650">
            <v>0</v>
          </cell>
          <cell r="P650">
            <v>0</v>
          </cell>
          <cell r="V650">
            <v>0</v>
          </cell>
          <cell r="AI650">
            <v>0</v>
          </cell>
        </row>
        <row r="651">
          <cell r="D651" t="str">
            <v>5378</v>
          </cell>
          <cell r="E651" t="str">
            <v>Autres redevances</v>
          </cell>
          <cell r="F651">
            <v>0</v>
          </cell>
          <cell r="L651">
            <v>0</v>
          </cell>
          <cell r="P651">
            <v>0</v>
          </cell>
          <cell r="V651">
            <v>0</v>
          </cell>
          <cell r="AI651">
            <v>0</v>
          </cell>
        </row>
        <row r="652">
          <cell r="D652" t="str">
            <v>5393</v>
          </cell>
          <cell r="E652" t="str">
            <v>Charges externes de façonnage GP</v>
          </cell>
          <cell r="F652">
            <v>0</v>
          </cell>
          <cell r="L652">
            <v>0</v>
          </cell>
          <cell r="P652">
            <v>0</v>
          </cell>
          <cell r="V652">
            <v>0</v>
          </cell>
          <cell r="AI652">
            <v>0</v>
          </cell>
        </row>
        <row r="653">
          <cell r="D653" t="str">
            <v>5413</v>
          </cell>
          <cell r="E653" t="str">
            <v>Recherches</v>
          </cell>
          <cell r="F653">
            <v>0</v>
          </cell>
          <cell r="L653">
            <v>0</v>
          </cell>
          <cell r="P653">
            <v>0</v>
          </cell>
          <cell r="V653">
            <v>0</v>
          </cell>
          <cell r="AI653">
            <v>0</v>
          </cell>
        </row>
        <row r="654">
          <cell r="D654" t="str">
            <v>5610</v>
          </cell>
          <cell r="E654" t="str">
            <v>Transports phosphates ONCF, Axe Khouribga-Jorf Lasfar</v>
          </cell>
          <cell r="F654">
            <v>0</v>
          </cell>
          <cell r="L654">
            <v>0</v>
          </cell>
          <cell r="P654">
            <v>0</v>
          </cell>
          <cell r="V654">
            <v>0</v>
          </cell>
          <cell r="AI654">
            <v>0</v>
          </cell>
        </row>
        <row r="655">
          <cell r="D655" t="str">
            <v>5611</v>
          </cell>
          <cell r="E655" t="str">
            <v>Transports phosphates ONCF, Axe Bni idir-Jorf Lasfar</v>
          </cell>
          <cell r="F655">
            <v>0</v>
          </cell>
          <cell r="L655">
            <v>0</v>
          </cell>
          <cell r="P655">
            <v>0</v>
          </cell>
          <cell r="V655">
            <v>0</v>
          </cell>
          <cell r="AI655">
            <v>0</v>
          </cell>
        </row>
        <row r="656">
          <cell r="D656" t="str">
            <v>5612</v>
          </cell>
          <cell r="E656" t="str">
            <v>Transports phosphates ONCF, Axe Daoui-Jorf lasfar</v>
          </cell>
          <cell r="F656">
            <v>0</v>
          </cell>
          <cell r="L656">
            <v>0</v>
          </cell>
          <cell r="P656">
            <v>0</v>
          </cell>
          <cell r="V656">
            <v>0</v>
          </cell>
          <cell r="AI656">
            <v>0</v>
          </cell>
        </row>
        <row r="657">
          <cell r="D657" t="str">
            <v>5613</v>
          </cell>
          <cell r="E657" t="str">
            <v>Transports phosphates ONCF, Axe Benguerir-Safi</v>
          </cell>
          <cell r="F657">
            <v>0</v>
          </cell>
          <cell r="L657">
            <v>0</v>
          </cell>
          <cell r="P657">
            <v>0</v>
          </cell>
          <cell r="V657">
            <v>0</v>
          </cell>
          <cell r="AI657">
            <v>0</v>
          </cell>
        </row>
        <row r="658">
          <cell r="D658" t="str">
            <v>5614</v>
          </cell>
          <cell r="E658" t="str">
            <v>Transports phosphates ONCF, Axe Benguerir-Jorf Lasfar</v>
          </cell>
          <cell r="F658">
            <v>0</v>
          </cell>
          <cell r="L658">
            <v>0</v>
          </cell>
          <cell r="P658">
            <v>0</v>
          </cell>
          <cell r="V658">
            <v>0</v>
          </cell>
          <cell r="AI658">
            <v>0</v>
          </cell>
        </row>
        <row r="659">
          <cell r="D659" t="str">
            <v>5615</v>
          </cell>
          <cell r="E659" t="str">
            <v>Transports phosphates ONCF, Axe Benguerir-Casa</v>
          </cell>
          <cell r="F659">
            <v>0</v>
          </cell>
          <cell r="L659">
            <v>0</v>
          </cell>
          <cell r="P659">
            <v>0</v>
          </cell>
          <cell r="V659">
            <v>0</v>
          </cell>
          <cell r="AI659">
            <v>0</v>
          </cell>
        </row>
        <row r="660">
          <cell r="D660" t="str">
            <v>5616</v>
          </cell>
          <cell r="E660" t="str">
            <v>Transports phosphates ONCF, Axe Youssoufia-Safi</v>
          </cell>
          <cell r="F660">
            <v>0</v>
          </cell>
          <cell r="L660">
            <v>0</v>
          </cell>
          <cell r="P660">
            <v>0</v>
          </cell>
          <cell r="V660">
            <v>0</v>
          </cell>
          <cell r="AI660">
            <v>0</v>
          </cell>
        </row>
        <row r="661">
          <cell r="D661" t="str">
            <v>5617</v>
          </cell>
          <cell r="E661" t="str">
            <v>Transports phosphates ONCF, Axe Youssoufia-Casa</v>
          </cell>
          <cell r="F661">
            <v>0</v>
          </cell>
          <cell r="L661">
            <v>0</v>
          </cell>
          <cell r="P661">
            <v>0</v>
          </cell>
          <cell r="V661">
            <v>0</v>
          </cell>
          <cell r="AI661">
            <v>0</v>
          </cell>
        </row>
        <row r="662">
          <cell r="D662" t="str">
            <v>5618</v>
          </cell>
          <cell r="E662" t="str">
            <v>Transports phosphates ONCF, Axe Youssoufia-Jorf lasfar</v>
          </cell>
          <cell r="F662">
            <v>0</v>
          </cell>
          <cell r="L662">
            <v>0</v>
          </cell>
          <cell r="P662">
            <v>0</v>
          </cell>
          <cell r="V662">
            <v>0</v>
          </cell>
          <cell r="AI662">
            <v>0</v>
          </cell>
        </row>
        <row r="663">
          <cell r="D663" t="str">
            <v>5619</v>
          </cell>
          <cell r="E663" t="str">
            <v>Transports phosphates ONCF, Axe Khouribga-Casa</v>
          </cell>
          <cell r="F663">
            <v>0</v>
          </cell>
          <cell r="L663">
            <v>0</v>
          </cell>
          <cell r="P663">
            <v>0</v>
          </cell>
          <cell r="V663">
            <v>0</v>
          </cell>
          <cell r="AI663">
            <v>0</v>
          </cell>
        </row>
        <row r="664">
          <cell r="D664" t="str">
            <v>5620</v>
          </cell>
          <cell r="E664" t="str">
            <v>Transports phosphates ONCF, Axe Daoui-Casa</v>
          </cell>
          <cell r="F664">
            <v>0</v>
          </cell>
          <cell r="L664">
            <v>0</v>
          </cell>
          <cell r="P664">
            <v>0</v>
          </cell>
          <cell r="V664">
            <v>0</v>
          </cell>
          <cell r="AI664">
            <v>0</v>
          </cell>
        </row>
        <row r="665">
          <cell r="D665" t="str">
            <v>5621</v>
          </cell>
          <cell r="E665" t="str">
            <v>Transports phosphates ONCF, Axe Bni idir-Casa</v>
          </cell>
          <cell r="F665">
            <v>0</v>
          </cell>
          <cell r="L665">
            <v>0</v>
          </cell>
          <cell r="P665">
            <v>0</v>
          </cell>
          <cell r="V665">
            <v>0</v>
          </cell>
          <cell r="AI665">
            <v>0</v>
          </cell>
        </row>
        <row r="666">
          <cell r="D666" t="str">
            <v>5622</v>
          </cell>
          <cell r="E666" t="str">
            <v>Transports phosphates ONCF, Axe Benguérir-Youssoufia</v>
          </cell>
          <cell r="F666">
            <v>0</v>
          </cell>
          <cell r="L666">
            <v>0</v>
          </cell>
          <cell r="P666">
            <v>0</v>
          </cell>
          <cell r="V666">
            <v>0</v>
          </cell>
          <cell r="AI666">
            <v>0</v>
          </cell>
        </row>
        <row r="667">
          <cell r="D667" t="str">
            <v>5623</v>
          </cell>
          <cell r="E667" t="str">
            <v>Brouettage ONCF, TSP-Export</v>
          </cell>
          <cell r="F667">
            <v>0</v>
          </cell>
          <cell r="L667">
            <v>0</v>
          </cell>
          <cell r="P667">
            <v>0</v>
          </cell>
          <cell r="V667">
            <v>0</v>
          </cell>
          <cell r="AI667">
            <v>0</v>
          </cell>
        </row>
        <row r="668">
          <cell r="D668" t="str">
            <v>5630</v>
          </cell>
          <cell r="E668" t="str">
            <v>Brouettage ONCF, P205-Export</v>
          </cell>
          <cell r="F668">
            <v>0</v>
          </cell>
          <cell r="L668">
            <v>0</v>
          </cell>
          <cell r="P668">
            <v>0</v>
          </cell>
          <cell r="V668">
            <v>0</v>
          </cell>
          <cell r="AI668">
            <v>0</v>
          </cell>
        </row>
        <row r="669">
          <cell r="D669" t="str">
            <v>5640</v>
          </cell>
          <cell r="E669" t="str">
            <v>Brouettage ONCF, MAP-Export</v>
          </cell>
          <cell r="F669">
            <v>0</v>
          </cell>
          <cell r="L669">
            <v>0</v>
          </cell>
          <cell r="P669">
            <v>0</v>
          </cell>
          <cell r="V669">
            <v>0</v>
          </cell>
          <cell r="AI669">
            <v>0</v>
          </cell>
        </row>
        <row r="670">
          <cell r="D670" t="str">
            <v>5641</v>
          </cell>
          <cell r="E670" t="str">
            <v>Brouittage ONCF-DAP-Export</v>
          </cell>
          <cell r="F670">
            <v>0</v>
          </cell>
          <cell r="L670">
            <v>0</v>
          </cell>
          <cell r="P670">
            <v>0</v>
          </cell>
          <cell r="V670">
            <v>0</v>
          </cell>
          <cell r="AI670">
            <v>0</v>
          </cell>
        </row>
        <row r="671">
          <cell r="D671" t="str">
            <v>5650</v>
          </cell>
          <cell r="E671" t="str">
            <v>Transport terrestre sur ventes</v>
          </cell>
          <cell r="F671">
            <v>0</v>
          </cell>
          <cell r="L671">
            <v>0</v>
          </cell>
          <cell r="P671">
            <v>0</v>
          </cell>
          <cell r="V671">
            <v>0</v>
          </cell>
          <cell r="AI671">
            <v>0</v>
          </cell>
        </row>
        <row r="672">
          <cell r="D672" t="str">
            <v>5651</v>
          </cell>
          <cell r="E672" t="str">
            <v>Transports maritimes sur ventes</v>
          </cell>
          <cell r="F672">
            <v>0</v>
          </cell>
          <cell r="L672">
            <v>0</v>
          </cell>
          <cell r="P672">
            <v>0</v>
          </cell>
          <cell r="V672">
            <v>0</v>
          </cell>
          <cell r="AI672">
            <v>0</v>
          </cell>
        </row>
        <row r="673">
          <cell r="D673" t="str">
            <v>5658</v>
          </cell>
          <cell r="E673" t="str">
            <v>Transport phosphates par cammion</v>
          </cell>
          <cell r="F673">
            <v>0</v>
          </cell>
          <cell r="L673">
            <v>0</v>
          </cell>
          <cell r="P673">
            <v>0</v>
          </cell>
          <cell r="V673">
            <v>0</v>
          </cell>
          <cell r="AI673">
            <v>0</v>
          </cell>
        </row>
        <row r="674">
          <cell r="D674" t="str">
            <v>5659</v>
          </cell>
          <cell r="E674" t="str">
            <v>Transport colonnie de vacances</v>
          </cell>
          <cell r="F674">
            <v>0</v>
          </cell>
          <cell r="L674">
            <v>0</v>
          </cell>
          <cell r="P674">
            <v>0</v>
          </cell>
          <cell r="V674">
            <v>0</v>
          </cell>
          <cell r="AI674">
            <v>0</v>
          </cell>
        </row>
        <row r="675">
          <cell r="D675" t="str">
            <v>5673</v>
          </cell>
          <cell r="E675" t="str">
            <v>Transport excursion et déplacemt activités sociales et sportives</v>
          </cell>
          <cell r="F675">
            <v>0</v>
          </cell>
          <cell r="L675">
            <v>0</v>
          </cell>
          <cell r="P675">
            <v>0</v>
          </cell>
          <cell r="V675">
            <v>0</v>
          </cell>
          <cell r="AI675">
            <v>0</v>
          </cell>
        </row>
        <row r="676">
          <cell r="D676" t="str">
            <v>5733</v>
          </cell>
          <cell r="E676" t="str">
            <v>Frais de demenagement du personnel</v>
          </cell>
          <cell r="F676">
            <v>0</v>
          </cell>
          <cell r="L676">
            <v>0</v>
          </cell>
          <cell r="P676">
            <v>0</v>
          </cell>
          <cell r="V676">
            <v>0</v>
          </cell>
          <cell r="AI676">
            <v>0</v>
          </cell>
        </row>
        <row r="677">
          <cell r="D677" t="str">
            <v>5741</v>
          </cell>
          <cell r="E677" t="str">
            <v>Annonces et insertions</v>
          </cell>
          <cell r="F677">
            <v>0</v>
          </cell>
          <cell r="L677">
            <v>0</v>
          </cell>
          <cell r="P677">
            <v>0</v>
          </cell>
          <cell r="V677">
            <v>0</v>
          </cell>
          <cell r="AI677">
            <v>0</v>
          </cell>
        </row>
        <row r="678">
          <cell r="D678" t="str">
            <v>5742</v>
          </cell>
          <cell r="E678" t="str">
            <v>Echantillons,catalogues et imprimes publicitaires</v>
          </cell>
          <cell r="F678">
            <v>0</v>
          </cell>
          <cell r="L678">
            <v>0</v>
          </cell>
          <cell r="P678">
            <v>0</v>
          </cell>
          <cell r="V678">
            <v>0</v>
          </cell>
          <cell r="AI678">
            <v>0</v>
          </cell>
        </row>
        <row r="679">
          <cell r="D679" t="str">
            <v>5743</v>
          </cell>
          <cell r="E679" t="str">
            <v>Foires et expositions</v>
          </cell>
          <cell r="F679">
            <v>0</v>
          </cell>
          <cell r="L679">
            <v>0</v>
          </cell>
          <cell r="P679">
            <v>0</v>
          </cell>
          <cell r="V679">
            <v>0</v>
          </cell>
          <cell r="AI679">
            <v>0</v>
          </cell>
        </row>
        <row r="680">
          <cell r="D680" t="str">
            <v>5744</v>
          </cell>
          <cell r="E680" t="str">
            <v>Primes de publicite</v>
          </cell>
          <cell r="F680">
            <v>0</v>
          </cell>
          <cell r="L680">
            <v>0</v>
          </cell>
          <cell r="P680">
            <v>0</v>
          </cell>
          <cell r="V680">
            <v>0</v>
          </cell>
          <cell r="AI680">
            <v>0</v>
          </cell>
        </row>
        <row r="681">
          <cell r="D681" t="str">
            <v>5746</v>
          </cell>
          <cell r="E681" t="str">
            <v>Publications</v>
          </cell>
          <cell r="F681">
            <v>0</v>
          </cell>
          <cell r="L681">
            <v>0</v>
          </cell>
          <cell r="P681">
            <v>0</v>
          </cell>
          <cell r="V681">
            <v>0</v>
          </cell>
          <cell r="AI681">
            <v>0</v>
          </cell>
        </row>
        <row r="682">
          <cell r="D682" t="str">
            <v>5748</v>
          </cell>
          <cell r="E682" t="str">
            <v>Autres charges de publicite et relations publiques</v>
          </cell>
          <cell r="F682">
            <v>0</v>
          </cell>
          <cell r="L682">
            <v>0</v>
          </cell>
          <cell r="P682">
            <v>0</v>
          </cell>
          <cell r="V682">
            <v>0</v>
          </cell>
          <cell r="AI682">
            <v>0</v>
          </cell>
        </row>
        <row r="683">
          <cell r="D683" t="str">
            <v>5751</v>
          </cell>
          <cell r="E683" t="str">
            <v>Affranchissements</v>
          </cell>
          <cell r="F683">
            <v>0</v>
          </cell>
          <cell r="L683">
            <v>0</v>
          </cell>
          <cell r="P683">
            <v>0</v>
          </cell>
          <cell r="V683">
            <v>0</v>
          </cell>
          <cell r="AI683">
            <v>0</v>
          </cell>
        </row>
        <row r="684">
          <cell r="D684" t="str">
            <v>5756</v>
          </cell>
          <cell r="E684" t="str">
            <v>Telex et telegrammes</v>
          </cell>
          <cell r="F684">
            <v>0</v>
          </cell>
          <cell r="L684">
            <v>0</v>
          </cell>
          <cell r="P684">
            <v>0</v>
          </cell>
          <cell r="V684">
            <v>0</v>
          </cell>
          <cell r="AI684">
            <v>0</v>
          </cell>
        </row>
        <row r="685">
          <cell r="D685" t="str">
            <v>5757</v>
          </cell>
          <cell r="E685" t="str">
            <v>Abonnement internet</v>
          </cell>
          <cell r="F685">
            <v>0</v>
          </cell>
          <cell r="L685">
            <v>0</v>
          </cell>
          <cell r="P685">
            <v>0</v>
          </cell>
          <cell r="V685">
            <v>0</v>
          </cell>
          <cell r="AI685">
            <v>0</v>
          </cell>
        </row>
        <row r="686">
          <cell r="D686" t="str">
            <v>5761</v>
          </cell>
          <cell r="E686" t="str">
            <v>Cotisations</v>
          </cell>
          <cell r="F686">
            <v>0</v>
          </cell>
          <cell r="L686">
            <v>0</v>
          </cell>
          <cell r="P686">
            <v>0</v>
          </cell>
          <cell r="V686">
            <v>0</v>
          </cell>
          <cell r="AI686">
            <v>0</v>
          </cell>
        </row>
        <row r="687">
          <cell r="D687" t="str">
            <v>5762</v>
          </cell>
          <cell r="E687" t="str">
            <v>Dons</v>
          </cell>
          <cell r="F687">
            <v>0</v>
          </cell>
          <cell r="L687">
            <v>0</v>
          </cell>
          <cell r="P687">
            <v>0</v>
          </cell>
          <cell r="V687">
            <v>0</v>
          </cell>
          <cell r="AI687">
            <v>0</v>
          </cell>
        </row>
        <row r="688">
          <cell r="D688" t="str">
            <v>5771</v>
          </cell>
          <cell r="E688" t="str">
            <v>Frais d'achat et de vente de titres</v>
          </cell>
          <cell r="F688">
            <v>0</v>
          </cell>
          <cell r="L688">
            <v>0</v>
          </cell>
          <cell r="P688">
            <v>0</v>
          </cell>
          <cell r="V688">
            <v>0</v>
          </cell>
          <cell r="AI688">
            <v>0</v>
          </cell>
        </row>
        <row r="689">
          <cell r="D689" t="str">
            <v>5772</v>
          </cell>
          <cell r="E689" t="str">
            <v>Frais sur effets de commerce</v>
          </cell>
          <cell r="F689">
            <v>0</v>
          </cell>
          <cell r="L689">
            <v>0</v>
          </cell>
          <cell r="P689">
            <v>0</v>
          </cell>
          <cell r="V689">
            <v>0</v>
          </cell>
          <cell r="AI689">
            <v>0</v>
          </cell>
        </row>
        <row r="690">
          <cell r="D690" t="str">
            <v>5773</v>
          </cell>
          <cell r="E690" t="str">
            <v>Frais et commissions sur CREDOC</v>
          </cell>
          <cell r="F690">
            <v>0</v>
          </cell>
          <cell r="L690">
            <v>0</v>
          </cell>
          <cell r="P690">
            <v>0</v>
          </cell>
          <cell r="V690">
            <v>0</v>
          </cell>
          <cell r="AI690">
            <v>0</v>
          </cell>
        </row>
        <row r="691">
          <cell r="D691" t="str">
            <v>5774</v>
          </cell>
          <cell r="E691" t="str">
            <v>Frais et commissions sur REMDOC</v>
          </cell>
          <cell r="F691">
            <v>0</v>
          </cell>
          <cell r="L691">
            <v>0</v>
          </cell>
          <cell r="P691">
            <v>0</v>
          </cell>
          <cell r="V691">
            <v>0</v>
          </cell>
          <cell r="AI691">
            <v>0</v>
          </cell>
        </row>
        <row r="692">
          <cell r="D692" t="str">
            <v>5775</v>
          </cell>
          <cell r="E692" t="str">
            <v>Frais et commissions sur opérations effectuées selon les conditions générales d'achat</v>
          </cell>
          <cell r="F692">
            <v>0</v>
          </cell>
          <cell r="L692">
            <v>0</v>
          </cell>
          <cell r="P692">
            <v>0</v>
          </cell>
          <cell r="V692">
            <v>0</v>
          </cell>
          <cell r="AI692">
            <v>0</v>
          </cell>
        </row>
        <row r="693">
          <cell r="D693" t="str">
            <v>5776</v>
          </cell>
          <cell r="E693" t="str">
            <v>Frais sur cautions bancaires</v>
          </cell>
          <cell r="F693">
            <v>0</v>
          </cell>
          <cell r="L693">
            <v>0</v>
          </cell>
          <cell r="P693">
            <v>0</v>
          </cell>
          <cell r="V693">
            <v>0</v>
          </cell>
          <cell r="AI693">
            <v>0</v>
          </cell>
        </row>
        <row r="694">
          <cell r="D694" t="str">
            <v>5778</v>
          </cell>
          <cell r="E694" t="str">
            <v>Autres services bancaires</v>
          </cell>
          <cell r="F694">
            <v>0</v>
          </cell>
          <cell r="L694">
            <v>0</v>
          </cell>
          <cell r="P694">
            <v>0</v>
          </cell>
          <cell r="V694">
            <v>0</v>
          </cell>
          <cell r="AI694">
            <v>0</v>
          </cell>
        </row>
        <row r="695">
          <cell r="D695" t="str">
            <v>6111</v>
          </cell>
          <cell r="E695" t="str">
            <v>Taxe urbaine</v>
          </cell>
          <cell r="F695">
            <v>0</v>
          </cell>
          <cell r="L695">
            <v>0</v>
          </cell>
          <cell r="P695">
            <v>0</v>
          </cell>
          <cell r="V695">
            <v>0</v>
          </cell>
          <cell r="AI695">
            <v>0</v>
          </cell>
        </row>
        <row r="696">
          <cell r="D696" t="str">
            <v>6112</v>
          </cell>
          <cell r="E696" t="str">
            <v>Patente</v>
          </cell>
          <cell r="F696">
            <v>0</v>
          </cell>
          <cell r="L696">
            <v>0</v>
          </cell>
          <cell r="P696">
            <v>0</v>
          </cell>
          <cell r="V696">
            <v>0</v>
          </cell>
          <cell r="AI696">
            <v>0</v>
          </cell>
        </row>
        <row r="697">
          <cell r="D697" t="str">
            <v>6115</v>
          </cell>
          <cell r="E697" t="str">
            <v>Taxes locales</v>
          </cell>
          <cell r="F697">
            <v>0</v>
          </cell>
          <cell r="L697">
            <v>0</v>
          </cell>
          <cell r="P697">
            <v>0</v>
          </cell>
          <cell r="V697">
            <v>0</v>
          </cell>
          <cell r="AI697">
            <v>0</v>
          </cell>
        </row>
        <row r="698">
          <cell r="D698" t="str">
            <v>6116</v>
          </cell>
          <cell r="E698" t="str">
            <v>Redevance sur l'exploitation des phosphates</v>
          </cell>
          <cell r="F698">
            <v>0</v>
          </cell>
          <cell r="L698">
            <v>0</v>
          </cell>
          <cell r="P698">
            <v>0</v>
          </cell>
          <cell r="V698">
            <v>0</v>
          </cell>
          <cell r="AI698">
            <v>0</v>
          </cell>
        </row>
        <row r="699">
          <cell r="D699" t="str">
            <v>6171</v>
          </cell>
          <cell r="E699" t="str">
            <v>Droits d'enregistrement et timbres</v>
          </cell>
          <cell r="F699">
            <v>0</v>
          </cell>
          <cell r="L699">
            <v>0</v>
          </cell>
          <cell r="P699">
            <v>0</v>
          </cell>
          <cell r="V699">
            <v>0</v>
          </cell>
          <cell r="AI699">
            <v>0</v>
          </cell>
        </row>
        <row r="700">
          <cell r="D700" t="str">
            <v>6172</v>
          </cell>
          <cell r="E700" t="str">
            <v>Droits d'enregistrement des actes et marchés</v>
          </cell>
          <cell r="F700">
            <v>0</v>
          </cell>
          <cell r="L700">
            <v>0</v>
          </cell>
          <cell r="P700">
            <v>0</v>
          </cell>
          <cell r="V700">
            <v>0</v>
          </cell>
          <cell r="AI700">
            <v>0</v>
          </cell>
        </row>
        <row r="701">
          <cell r="D701" t="str">
            <v>6173</v>
          </cell>
          <cell r="E701" t="str">
            <v>Taxes sur les véhicules</v>
          </cell>
          <cell r="F701">
            <v>0</v>
          </cell>
          <cell r="L701">
            <v>0</v>
          </cell>
          <cell r="P701">
            <v>0</v>
          </cell>
          <cell r="V701">
            <v>0</v>
          </cell>
          <cell r="AI701">
            <v>0</v>
          </cell>
        </row>
        <row r="702">
          <cell r="D702" t="str">
            <v>6174</v>
          </cell>
          <cell r="E702" t="str">
            <v>Taxes sur les services</v>
          </cell>
          <cell r="F702">
            <v>0</v>
          </cell>
          <cell r="L702">
            <v>0</v>
          </cell>
          <cell r="P702">
            <v>0</v>
          </cell>
          <cell r="V702">
            <v>0</v>
          </cell>
          <cell r="AI702">
            <v>0</v>
          </cell>
        </row>
        <row r="703">
          <cell r="D703" t="str">
            <v>6175</v>
          </cell>
          <cell r="E703" t="str">
            <v>Taxes à l'exportation</v>
          </cell>
          <cell r="F703">
            <v>0</v>
          </cell>
          <cell r="L703">
            <v>0</v>
          </cell>
          <cell r="P703">
            <v>0</v>
          </cell>
          <cell r="V703">
            <v>0</v>
          </cell>
          <cell r="AI703">
            <v>0</v>
          </cell>
        </row>
        <row r="704">
          <cell r="D704" t="str">
            <v>6176</v>
          </cell>
          <cell r="E704" t="str">
            <v>Impôts et taxes exigibles à l'étranger</v>
          </cell>
          <cell r="F704">
            <v>0</v>
          </cell>
          <cell r="L704">
            <v>0</v>
          </cell>
          <cell r="P704">
            <v>0</v>
          </cell>
          <cell r="V704">
            <v>0</v>
          </cell>
          <cell r="AI704">
            <v>0</v>
          </cell>
        </row>
        <row r="705">
          <cell r="D705" t="str">
            <v>6177</v>
          </cell>
          <cell r="E705" t="str">
            <v>Impôts et taxes directs</v>
          </cell>
          <cell r="F705">
            <v>0</v>
          </cell>
          <cell r="L705">
            <v>0</v>
          </cell>
          <cell r="P705">
            <v>0</v>
          </cell>
          <cell r="V705">
            <v>0</v>
          </cell>
          <cell r="AI705">
            <v>0</v>
          </cell>
        </row>
        <row r="706">
          <cell r="D706" t="str">
            <v>6178</v>
          </cell>
          <cell r="E706" t="str">
            <v>Autres impôts, taxes et droits assimilés</v>
          </cell>
          <cell r="F706">
            <v>0</v>
          </cell>
          <cell r="L706">
            <v>0</v>
          </cell>
          <cell r="P706">
            <v>0</v>
          </cell>
          <cell r="V706">
            <v>0</v>
          </cell>
          <cell r="AI706">
            <v>0</v>
          </cell>
        </row>
        <row r="707">
          <cell r="D707" t="str">
            <v>6282</v>
          </cell>
          <cell r="E707" t="str">
            <v>Pertes sur créances irrécouvrables</v>
          </cell>
          <cell r="F707">
            <v>0</v>
          </cell>
          <cell r="L707">
            <v>0</v>
          </cell>
          <cell r="P707">
            <v>0</v>
          </cell>
          <cell r="V707">
            <v>0</v>
          </cell>
          <cell r="AI707">
            <v>0</v>
          </cell>
        </row>
        <row r="708">
          <cell r="D708" t="str">
            <v>6283</v>
          </cell>
          <cell r="E708" t="str">
            <v>Rejets de TVA liquidées</v>
          </cell>
          <cell r="F708">
            <v>0</v>
          </cell>
          <cell r="L708">
            <v>0</v>
          </cell>
          <cell r="P708">
            <v>0</v>
          </cell>
          <cell r="V708">
            <v>0</v>
          </cell>
          <cell r="AI708">
            <v>0</v>
          </cell>
        </row>
        <row r="709">
          <cell r="D709" t="str">
            <v>6284</v>
          </cell>
          <cell r="E709" t="str">
            <v>Prorata de déductions sur TVA à récupérer</v>
          </cell>
          <cell r="F709">
            <v>0</v>
          </cell>
          <cell r="L709">
            <v>0</v>
          </cell>
          <cell r="P709">
            <v>0</v>
          </cell>
          <cell r="V709">
            <v>0</v>
          </cell>
          <cell r="AI709">
            <v>0</v>
          </cell>
        </row>
        <row r="710">
          <cell r="D710" t="str">
            <v>6286</v>
          </cell>
          <cell r="E710" t="str">
            <v>Transferts de profits sur opérations faites en commun</v>
          </cell>
          <cell r="F710">
            <v>0</v>
          </cell>
          <cell r="L710">
            <v>0</v>
          </cell>
          <cell r="P710">
            <v>0</v>
          </cell>
          <cell r="V710">
            <v>0</v>
          </cell>
          <cell r="AI710">
            <v>0</v>
          </cell>
        </row>
        <row r="711">
          <cell r="D711" t="str">
            <v>6288</v>
          </cell>
          <cell r="E711" t="str">
            <v>Autres charges d'exploitation</v>
          </cell>
          <cell r="F711">
            <v>0</v>
          </cell>
          <cell r="L711">
            <v>0</v>
          </cell>
          <cell r="P711">
            <v>0</v>
          </cell>
          <cell r="V711">
            <v>0</v>
          </cell>
          <cell r="AI711">
            <v>0</v>
          </cell>
        </row>
        <row r="712">
          <cell r="D712" t="str">
            <v>6385</v>
          </cell>
          <cell r="E712" t="str">
            <v>D.E.P. pour risques et charges durables</v>
          </cell>
          <cell r="F712">
            <v>0</v>
          </cell>
          <cell r="L712">
            <v>0</v>
          </cell>
          <cell r="P712">
            <v>0</v>
          </cell>
          <cell r="V712">
            <v>0</v>
          </cell>
          <cell r="AI712">
            <v>0</v>
          </cell>
        </row>
        <row r="713">
          <cell r="D713" t="str">
            <v>6386</v>
          </cell>
          <cell r="E713" t="str">
            <v>D.E.P. pour risques et charges momentanes</v>
          </cell>
          <cell r="F713">
            <v>0</v>
          </cell>
          <cell r="L713">
            <v>0</v>
          </cell>
          <cell r="P713">
            <v>0</v>
          </cell>
          <cell r="V713">
            <v>0</v>
          </cell>
          <cell r="AI713">
            <v>0</v>
          </cell>
        </row>
        <row r="714">
          <cell r="D714" t="str">
            <v>6387</v>
          </cell>
          <cell r="E714" t="str">
            <v>D.E.P. pour dépréciation des stocks</v>
          </cell>
          <cell r="F714">
            <v>0</v>
          </cell>
          <cell r="L714">
            <v>0</v>
          </cell>
          <cell r="P714">
            <v>0</v>
          </cell>
          <cell r="V714">
            <v>0</v>
          </cell>
          <cell r="AI714">
            <v>0</v>
          </cell>
        </row>
        <row r="715">
          <cell r="D715" t="str">
            <v>6388</v>
          </cell>
          <cell r="E715" t="str">
            <v>D.E.P. des créances de l'actif circulant</v>
          </cell>
          <cell r="F715">
            <v>0</v>
          </cell>
          <cell r="L715">
            <v>0</v>
          </cell>
          <cell r="P715">
            <v>0</v>
          </cell>
          <cell r="V715">
            <v>0</v>
          </cell>
          <cell r="AI715">
            <v>0</v>
          </cell>
        </row>
        <row r="716">
          <cell r="D716" t="str">
            <v>6391</v>
          </cell>
          <cell r="E716" t="str">
            <v>D.E.A. des exer. antérieurs</v>
          </cell>
          <cell r="F716">
            <v>0</v>
          </cell>
          <cell r="L716">
            <v>0</v>
          </cell>
          <cell r="P716">
            <v>0</v>
          </cell>
          <cell r="V716">
            <v>0</v>
          </cell>
          <cell r="AI716">
            <v>0</v>
          </cell>
        </row>
        <row r="717">
          <cell r="D717" t="str">
            <v>6411</v>
          </cell>
          <cell r="E717" t="str">
            <v>Intérêts des emprunts des crédit financiers</v>
          </cell>
          <cell r="F717">
            <v>0</v>
          </cell>
          <cell r="L717">
            <v>0</v>
          </cell>
          <cell r="P717">
            <v>0</v>
          </cell>
          <cell r="V717">
            <v>0</v>
          </cell>
          <cell r="AI717">
            <v>0</v>
          </cell>
        </row>
        <row r="718">
          <cell r="D718" t="str">
            <v>6413</v>
          </cell>
          <cell r="E718" t="str">
            <v>Intérêts des emprunts des crédits acheteurs</v>
          </cell>
          <cell r="F718">
            <v>0</v>
          </cell>
          <cell r="L718">
            <v>0</v>
          </cell>
          <cell r="P718">
            <v>0</v>
          </cell>
          <cell r="V718">
            <v>0</v>
          </cell>
          <cell r="AI718">
            <v>0</v>
          </cell>
        </row>
        <row r="719">
          <cell r="D719" t="str">
            <v>6414</v>
          </cell>
          <cell r="E719" t="str">
            <v>Intérêts des emprunts des crédits gouvernementaux</v>
          </cell>
          <cell r="F719">
            <v>0</v>
          </cell>
          <cell r="L719">
            <v>0</v>
          </cell>
          <cell r="P719">
            <v>0</v>
          </cell>
          <cell r="V719">
            <v>0</v>
          </cell>
          <cell r="AI719">
            <v>0</v>
          </cell>
        </row>
        <row r="720">
          <cell r="D720" t="str">
            <v>6421</v>
          </cell>
          <cell r="E720" t="str">
            <v>Intérêts des crédits financiers rééchelonnés</v>
          </cell>
          <cell r="F720">
            <v>0</v>
          </cell>
          <cell r="L720">
            <v>0</v>
          </cell>
          <cell r="P720">
            <v>0</v>
          </cell>
          <cell r="V720">
            <v>0</v>
          </cell>
          <cell r="AI720">
            <v>0</v>
          </cell>
        </row>
        <row r="721">
          <cell r="D721" t="str">
            <v>6422</v>
          </cell>
          <cell r="E721" t="str">
            <v>Intérêts des crédits acheteurs rééchelonnés</v>
          </cell>
          <cell r="F721">
            <v>0</v>
          </cell>
          <cell r="L721">
            <v>0</v>
          </cell>
          <cell r="P721">
            <v>0</v>
          </cell>
          <cell r="V721">
            <v>0</v>
          </cell>
          <cell r="AI721">
            <v>0</v>
          </cell>
        </row>
        <row r="722">
          <cell r="D722" t="str">
            <v>6423</v>
          </cell>
          <cell r="E722" t="str">
            <v>Intérêts des emprunts des charges rééchelonnées à compenser en MAD</v>
          </cell>
          <cell r="F722">
            <v>0</v>
          </cell>
          <cell r="L722">
            <v>0</v>
          </cell>
          <cell r="P722">
            <v>0</v>
          </cell>
          <cell r="V722">
            <v>0</v>
          </cell>
          <cell r="AI722">
            <v>0</v>
          </cell>
        </row>
        <row r="723">
          <cell r="D723" t="str">
            <v>6424</v>
          </cell>
          <cell r="E723" t="str">
            <v>Intérêts des dettes rattachées à des participations</v>
          </cell>
          <cell r="F723">
            <v>0</v>
          </cell>
          <cell r="L723">
            <v>0</v>
          </cell>
          <cell r="P723">
            <v>0</v>
          </cell>
          <cell r="V723">
            <v>0</v>
          </cell>
          <cell r="AI723">
            <v>0</v>
          </cell>
        </row>
        <row r="724">
          <cell r="D724" t="str">
            <v>6425</v>
          </cell>
          <cell r="E724" t="str">
            <v>Intérêts des comptes ordinaires</v>
          </cell>
          <cell r="F724">
            <v>0</v>
          </cell>
          <cell r="L724">
            <v>0</v>
          </cell>
          <cell r="P724">
            <v>0</v>
          </cell>
          <cell r="V724">
            <v>0</v>
          </cell>
          <cell r="AI724">
            <v>0</v>
          </cell>
        </row>
        <row r="725">
          <cell r="D725" t="str">
            <v>6426</v>
          </cell>
          <cell r="E725" t="str">
            <v>Intérêts bancaires sur opérations de financements comptes ordinaires</v>
          </cell>
          <cell r="F725">
            <v>0</v>
          </cell>
          <cell r="L725">
            <v>0</v>
          </cell>
          <cell r="P725">
            <v>0</v>
          </cell>
          <cell r="V725">
            <v>0</v>
          </cell>
          <cell r="AI725">
            <v>0</v>
          </cell>
        </row>
        <row r="726">
          <cell r="D726" t="str">
            <v>6427</v>
          </cell>
          <cell r="E726" t="str">
            <v>Intérêts de capitalisation caisse de retraite</v>
          </cell>
          <cell r="F726">
            <v>0</v>
          </cell>
          <cell r="L726">
            <v>0</v>
          </cell>
          <cell r="P726">
            <v>0</v>
          </cell>
          <cell r="V726">
            <v>0</v>
          </cell>
          <cell r="AI726">
            <v>0</v>
          </cell>
        </row>
        <row r="727">
          <cell r="D727" t="str">
            <v>6428</v>
          </cell>
          <cell r="E727" t="str">
            <v>Remises sur crédits des quittances douanières</v>
          </cell>
          <cell r="F727">
            <v>0</v>
          </cell>
          <cell r="L727">
            <v>0</v>
          </cell>
          <cell r="P727">
            <v>0</v>
          </cell>
          <cell r="V727">
            <v>0</v>
          </cell>
          <cell r="AI727">
            <v>0</v>
          </cell>
        </row>
        <row r="728">
          <cell r="D728" t="str">
            <v>6456</v>
          </cell>
          <cell r="E728" t="str">
            <v>Pertes de change sur remboursement des emprunts</v>
          </cell>
          <cell r="F728">
            <v>0</v>
          </cell>
          <cell r="L728">
            <v>0</v>
          </cell>
          <cell r="P728">
            <v>0</v>
          </cell>
          <cell r="V728">
            <v>0</v>
          </cell>
          <cell r="AI728">
            <v>0</v>
          </cell>
        </row>
        <row r="729">
          <cell r="D729" t="str">
            <v>6457</v>
          </cell>
          <cell r="E729" t="str">
            <v>Pertes de change sur opérations de trésorerie</v>
          </cell>
          <cell r="F729">
            <v>0</v>
          </cell>
          <cell r="L729">
            <v>0</v>
          </cell>
          <cell r="P729">
            <v>0</v>
          </cell>
          <cell r="V729">
            <v>0</v>
          </cell>
          <cell r="AI729">
            <v>0</v>
          </cell>
        </row>
        <row r="730">
          <cell r="D730" t="str">
            <v>6458</v>
          </cell>
          <cell r="E730" t="str">
            <v>Pertes de change sur opérations commerciales</v>
          </cell>
          <cell r="F730">
            <v>0</v>
          </cell>
          <cell r="L730">
            <v>0</v>
          </cell>
          <cell r="P730">
            <v>0</v>
          </cell>
          <cell r="V730">
            <v>0</v>
          </cell>
          <cell r="AI730">
            <v>0</v>
          </cell>
        </row>
        <row r="731">
          <cell r="D731" t="str">
            <v>6482</v>
          </cell>
          <cell r="E731" t="str">
            <v>Pertes sur créances liées à des participations</v>
          </cell>
          <cell r="F731">
            <v>0</v>
          </cell>
          <cell r="L731">
            <v>0</v>
          </cell>
          <cell r="P731">
            <v>0</v>
          </cell>
          <cell r="V731">
            <v>0</v>
          </cell>
          <cell r="AI731">
            <v>0</v>
          </cell>
        </row>
        <row r="732">
          <cell r="D732" t="str">
            <v>6485</v>
          </cell>
          <cell r="E732" t="str">
            <v>Charges nettes sur cessions de titres &amp; valeur de placement</v>
          </cell>
          <cell r="F732">
            <v>0</v>
          </cell>
          <cell r="L732">
            <v>0</v>
          </cell>
          <cell r="P732">
            <v>0</v>
          </cell>
          <cell r="V732">
            <v>0</v>
          </cell>
          <cell r="AI732">
            <v>0</v>
          </cell>
        </row>
        <row r="733">
          <cell r="D733" t="str">
            <v>6486</v>
          </cell>
          <cell r="E733" t="str">
            <v>Escomptes accordés</v>
          </cell>
          <cell r="F733">
            <v>0</v>
          </cell>
          <cell r="L733">
            <v>0</v>
          </cell>
          <cell r="P733">
            <v>0</v>
          </cell>
          <cell r="V733">
            <v>0</v>
          </cell>
          <cell r="AI733">
            <v>0</v>
          </cell>
        </row>
        <row r="734">
          <cell r="D734" t="str">
            <v>6491</v>
          </cell>
          <cell r="E734" t="str">
            <v>Dotations aux amortissements des primes de remboursements</v>
          </cell>
          <cell r="F734">
            <v>0</v>
          </cell>
          <cell r="L734">
            <v>0</v>
          </cell>
          <cell r="P734">
            <v>0</v>
          </cell>
          <cell r="V734">
            <v>0</v>
          </cell>
          <cell r="AI734">
            <v>0</v>
          </cell>
        </row>
        <row r="735">
          <cell r="D735" t="str">
            <v>6492</v>
          </cell>
          <cell r="E735" t="str">
            <v>Dotations aux provisions pour dépréciation des immobilisations financières</v>
          </cell>
          <cell r="F735">
            <v>0</v>
          </cell>
          <cell r="L735">
            <v>0</v>
          </cell>
          <cell r="P735">
            <v>0</v>
          </cell>
          <cell r="V735">
            <v>0</v>
          </cell>
          <cell r="AI735">
            <v>0</v>
          </cell>
        </row>
        <row r="736">
          <cell r="D736" t="str">
            <v>6493</v>
          </cell>
          <cell r="E736" t="str">
            <v>Dotations financières aux provisions pour risques de change des crédits financiers</v>
          </cell>
          <cell r="F736">
            <v>0</v>
          </cell>
          <cell r="L736">
            <v>0</v>
          </cell>
          <cell r="P736">
            <v>0</v>
          </cell>
          <cell r="V736">
            <v>0</v>
          </cell>
          <cell r="AI736">
            <v>0</v>
          </cell>
        </row>
        <row r="737">
          <cell r="D737" t="str">
            <v>6494</v>
          </cell>
          <cell r="E737" t="str">
            <v>Dotations financières aux provisions pour risques de change des crédits acheteurs</v>
          </cell>
          <cell r="F737">
            <v>0</v>
          </cell>
          <cell r="L737">
            <v>0</v>
          </cell>
          <cell r="P737">
            <v>0</v>
          </cell>
          <cell r="V737">
            <v>0</v>
          </cell>
          <cell r="AI737">
            <v>0</v>
          </cell>
        </row>
        <row r="738">
          <cell r="D738" t="str">
            <v>6495</v>
          </cell>
          <cell r="E738" t="str">
            <v>Dotations financières aux provisions pour risques de change des emprunts des crédits gouvernementaux</v>
          </cell>
          <cell r="F738">
            <v>0</v>
          </cell>
          <cell r="L738">
            <v>0</v>
          </cell>
          <cell r="P738">
            <v>0</v>
          </cell>
          <cell r="V738">
            <v>0</v>
          </cell>
          <cell r="AI738">
            <v>0</v>
          </cell>
        </row>
        <row r="739">
          <cell r="D739" t="str">
            <v>6496</v>
          </cell>
          <cell r="E739" t="str">
            <v>Dotations financières aux provisions pour risques de change des crédits financiers rééchelonés</v>
          </cell>
          <cell r="F739">
            <v>0</v>
          </cell>
          <cell r="L739">
            <v>0</v>
          </cell>
          <cell r="P739">
            <v>0</v>
          </cell>
          <cell r="V739">
            <v>0</v>
          </cell>
          <cell r="AI739">
            <v>0</v>
          </cell>
        </row>
        <row r="740">
          <cell r="D740" t="str">
            <v>6497</v>
          </cell>
          <cell r="E740" t="str">
            <v>Dotations financières aux provisions pour risques de change des crédits acheteurs rééchelonnés</v>
          </cell>
          <cell r="F740">
            <v>0</v>
          </cell>
          <cell r="L740">
            <v>0</v>
          </cell>
          <cell r="P740">
            <v>0</v>
          </cell>
          <cell r="V740">
            <v>0</v>
          </cell>
          <cell r="AI740">
            <v>0</v>
          </cell>
        </row>
        <row r="741">
          <cell r="D741" t="str">
            <v>6501</v>
          </cell>
          <cell r="E741" t="str">
            <v>Dotations aux provisions pour dépréciation des titres &amp; valeurs de placement</v>
          </cell>
          <cell r="F741">
            <v>0</v>
          </cell>
          <cell r="L741">
            <v>0</v>
          </cell>
          <cell r="P741">
            <v>0</v>
          </cell>
          <cell r="V741">
            <v>0</v>
          </cell>
          <cell r="AI741">
            <v>0</v>
          </cell>
        </row>
        <row r="742">
          <cell r="D742" t="str">
            <v>6502</v>
          </cell>
          <cell r="E742" t="str">
            <v>Dotations aux provisions pour dépréciation des comptes de trésorerie</v>
          </cell>
          <cell r="F742">
            <v>0</v>
          </cell>
          <cell r="L742">
            <v>0</v>
          </cell>
          <cell r="P742">
            <v>0</v>
          </cell>
          <cell r="V742">
            <v>0</v>
          </cell>
          <cell r="AI742">
            <v>0</v>
          </cell>
        </row>
        <row r="743">
          <cell r="D743" t="str">
            <v>6512</v>
          </cell>
          <cell r="E743" t="str">
            <v>V.N.A des immobilisations incorporelles cedées</v>
          </cell>
          <cell r="F743">
            <v>0</v>
          </cell>
          <cell r="L743">
            <v>0</v>
          </cell>
          <cell r="P743">
            <v>0</v>
          </cell>
          <cell r="V743">
            <v>0</v>
          </cell>
          <cell r="AI743">
            <v>0</v>
          </cell>
        </row>
        <row r="744">
          <cell r="D744" t="str">
            <v>6513</v>
          </cell>
          <cell r="E744" t="str">
            <v>V.N.A des immobilisations corporelles</v>
          </cell>
          <cell r="F744">
            <v>0</v>
          </cell>
          <cell r="L744">
            <v>0</v>
          </cell>
          <cell r="P744">
            <v>0</v>
          </cell>
          <cell r="V744">
            <v>0</v>
          </cell>
          <cell r="AI744">
            <v>0</v>
          </cell>
        </row>
        <row r="745">
          <cell r="D745" t="str">
            <v>6514</v>
          </cell>
          <cell r="E745" t="str">
            <v>V.N.A des immobilisations financières cedées</v>
          </cell>
          <cell r="F745">
            <v>0</v>
          </cell>
          <cell r="L745">
            <v>0</v>
          </cell>
          <cell r="P745">
            <v>0</v>
          </cell>
          <cell r="V745">
            <v>0</v>
          </cell>
          <cell r="AI745">
            <v>0</v>
          </cell>
        </row>
        <row r="746">
          <cell r="D746" t="str">
            <v>6523</v>
          </cell>
          <cell r="E746" t="str">
            <v>Charges sur cessions d'immobilisations</v>
          </cell>
          <cell r="F746">
            <v>0</v>
          </cell>
          <cell r="L746">
            <v>0</v>
          </cell>
          <cell r="P746">
            <v>0</v>
          </cell>
          <cell r="V746">
            <v>0</v>
          </cell>
          <cell r="AI746">
            <v>0</v>
          </cell>
        </row>
        <row r="747">
          <cell r="D747" t="str">
            <v>6561</v>
          </cell>
          <cell r="E747" t="str">
            <v>Subventions accordées de l'exercice</v>
          </cell>
          <cell r="F747">
            <v>0</v>
          </cell>
          <cell r="L747">
            <v>0</v>
          </cell>
          <cell r="P747">
            <v>0</v>
          </cell>
          <cell r="V747">
            <v>0</v>
          </cell>
          <cell r="AI747">
            <v>0</v>
          </cell>
        </row>
        <row r="748">
          <cell r="D748" t="str">
            <v>6581</v>
          </cell>
          <cell r="E748" t="str">
            <v>Autres charges non courantes -pénalités sur marchés et dédits -</v>
          </cell>
          <cell r="F748">
            <v>0</v>
          </cell>
          <cell r="L748">
            <v>0</v>
          </cell>
          <cell r="P748">
            <v>0</v>
          </cell>
          <cell r="V748">
            <v>0</v>
          </cell>
          <cell r="AI748">
            <v>0</v>
          </cell>
        </row>
        <row r="749">
          <cell r="D749" t="str">
            <v>6582</v>
          </cell>
          <cell r="E749" t="str">
            <v>Autres charges non courantes -rappels d'impôts -</v>
          </cell>
          <cell r="F749">
            <v>0</v>
          </cell>
          <cell r="L749">
            <v>0</v>
          </cell>
          <cell r="P749">
            <v>0</v>
          </cell>
          <cell r="V749">
            <v>0</v>
          </cell>
          <cell r="AI749">
            <v>0</v>
          </cell>
        </row>
        <row r="750">
          <cell r="D750" t="str">
            <v>6583</v>
          </cell>
          <cell r="E750" t="str">
            <v>Pénalités et amendes fiscales ou pénales</v>
          </cell>
          <cell r="F750">
            <v>0</v>
          </cell>
          <cell r="L750">
            <v>0</v>
          </cell>
          <cell r="P750">
            <v>0</v>
          </cell>
          <cell r="V750">
            <v>0</v>
          </cell>
          <cell r="AI750">
            <v>0</v>
          </cell>
        </row>
        <row r="751">
          <cell r="D751" t="str">
            <v>6585</v>
          </cell>
          <cell r="E751" t="str">
            <v>Créances devenues irrécouvrables</v>
          </cell>
          <cell r="F751">
            <v>0</v>
          </cell>
          <cell r="L751">
            <v>0</v>
          </cell>
          <cell r="P751">
            <v>0</v>
          </cell>
          <cell r="V751">
            <v>0</v>
          </cell>
          <cell r="AI751">
            <v>0</v>
          </cell>
        </row>
        <row r="752">
          <cell r="D752" t="str">
            <v>6586</v>
          </cell>
          <cell r="E752" t="str">
            <v>Dons, libéralités et lots</v>
          </cell>
          <cell r="F752">
            <v>0</v>
          </cell>
          <cell r="L752">
            <v>0</v>
          </cell>
          <cell r="P752">
            <v>0</v>
          </cell>
          <cell r="V752">
            <v>0</v>
          </cell>
          <cell r="AI752">
            <v>0</v>
          </cell>
        </row>
        <row r="753">
          <cell r="D753" t="str">
            <v>6587</v>
          </cell>
          <cell r="E753" t="str">
            <v>Charges diverses non courantes</v>
          </cell>
          <cell r="F753">
            <v>0</v>
          </cell>
          <cell r="L753">
            <v>0</v>
          </cell>
          <cell r="P753">
            <v>0</v>
          </cell>
          <cell r="V753">
            <v>0</v>
          </cell>
          <cell r="AI753">
            <v>0</v>
          </cell>
        </row>
        <row r="754">
          <cell r="D754" t="str">
            <v>6942</v>
          </cell>
          <cell r="E754" t="str">
            <v>Dotations non courantes pour value en instance d'imposition</v>
          </cell>
          <cell r="F754">
            <v>0</v>
          </cell>
          <cell r="L754">
            <v>0</v>
          </cell>
          <cell r="P754">
            <v>0</v>
          </cell>
          <cell r="V754">
            <v>0</v>
          </cell>
          <cell r="AI754">
            <v>0</v>
          </cell>
        </row>
        <row r="755">
          <cell r="D755" t="str">
            <v>6944</v>
          </cell>
          <cell r="E755" t="str">
            <v>Dotations non courantes pour investissements</v>
          </cell>
          <cell r="F755">
            <v>0</v>
          </cell>
          <cell r="L755">
            <v>0</v>
          </cell>
          <cell r="P755">
            <v>0</v>
          </cell>
          <cell r="V755">
            <v>0</v>
          </cell>
          <cell r="AI755">
            <v>0</v>
          </cell>
        </row>
        <row r="756">
          <cell r="D756" t="str">
            <v>6945</v>
          </cell>
          <cell r="E756" t="str">
            <v>Dotations non courantes pour reconstitution de gisements</v>
          </cell>
          <cell r="F756">
            <v>0</v>
          </cell>
          <cell r="L756">
            <v>0</v>
          </cell>
          <cell r="P756">
            <v>0</v>
          </cell>
          <cell r="V756">
            <v>0</v>
          </cell>
          <cell r="AI756">
            <v>0</v>
          </cell>
        </row>
        <row r="757">
          <cell r="D757" t="str">
            <v>6946</v>
          </cell>
          <cell r="E757" t="str">
            <v>Dotations non courantes pour acquisition et construction de gis.</v>
          </cell>
          <cell r="F757">
            <v>0</v>
          </cell>
          <cell r="L757">
            <v>0</v>
          </cell>
          <cell r="P757">
            <v>0</v>
          </cell>
          <cell r="V757">
            <v>0</v>
          </cell>
          <cell r="AI757">
            <v>0</v>
          </cell>
        </row>
        <row r="758">
          <cell r="D758" t="str">
            <v>6955</v>
          </cell>
          <cell r="E758" t="str">
            <v>Dotations non courantes aux provi.pour ris. et charges durables</v>
          </cell>
          <cell r="F758">
            <v>0</v>
          </cell>
          <cell r="L758">
            <v>0</v>
          </cell>
          <cell r="P758">
            <v>0</v>
          </cell>
          <cell r="V758">
            <v>0</v>
          </cell>
          <cell r="AI758">
            <v>0</v>
          </cell>
        </row>
        <row r="759">
          <cell r="D759" t="str">
            <v>6957</v>
          </cell>
          <cell r="E759" t="str">
            <v>Dotations non courantes aux provi. pour ris. et char.momentanes</v>
          </cell>
          <cell r="F759">
            <v>0</v>
          </cell>
          <cell r="L759">
            <v>0</v>
          </cell>
          <cell r="P759">
            <v>0</v>
          </cell>
          <cell r="V759">
            <v>0</v>
          </cell>
          <cell r="AI759">
            <v>0</v>
          </cell>
        </row>
        <row r="760">
          <cell r="D760" t="str">
            <v>6962</v>
          </cell>
          <cell r="E760" t="str">
            <v>Dotations non courantes aux provisions pour depre. de l'actif immo.</v>
          </cell>
          <cell r="F760">
            <v>0</v>
          </cell>
          <cell r="L760">
            <v>0</v>
          </cell>
          <cell r="P760">
            <v>0</v>
          </cell>
          <cell r="V760">
            <v>0</v>
          </cell>
          <cell r="AI760">
            <v>0</v>
          </cell>
        </row>
        <row r="761">
          <cell r="D761" t="str">
            <v>6991</v>
          </cell>
          <cell r="E761" t="str">
            <v>Impôts sur les bénéfices</v>
          </cell>
          <cell r="F761">
            <v>0</v>
          </cell>
          <cell r="L761">
            <v>0</v>
          </cell>
          <cell r="P761">
            <v>0</v>
          </cell>
          <cell r="V761">
            <v>0</v>
          </cell>
          <cell r="AI761">
            <v>0</v>
          </cell>
        </row>
        <row r="762">
          <cell r="D762" t="str">
            <v>6995</v>
          </cell>
          <cell r="E762" t="str">
            <v>Imposition minimale annuelle des sociétés</v>
          </cell>
          <cell r="F762">
            <v>0</v>
          </cell>
          <cell r="L762">
            <v>0</v>
          </cell>
          <cell r="P762">
            <v>0</v>
          </cell>
          <cell r="V762">
            <v>0</v>
          </cell>
          <cell r="AI762">
            <v>0</v>
          </cell>
        </row>
        <row r="763">
          <cell r="D763" t="str">
            <v>6998</v>
          </cell>
          <cell r="E763" t="str">
            <v>Rappels et dégrèvements des impôts sur les résultats</v>
          </cell>
          <cell r="F763">
            <v>0</v>
          </cell>
          <cell r="L763">
            <v>0</v>
          </cell>
          <cell r="P763">
            <v>0</v>
          </cell>
          <cell r="V763">
            <v>0</v>
          </cell>
          <cell r="AI763">
            <v>0</v>
          </cell>
        </row>
        <row r="764">
          <cell r="D764" t="str">
            <v>7001</v>
          </cell>
          <cell r="E764" t="str">
            <v>Ventes de marchandises au Maroc</v>
          </cell>
          <cell r="F764">
            <v>0</v>
          </cell>
          <cell r="L764">
            <v>0</v>
          </cell>
          <cell r="P764">
            <v>0</v>
          </cell>
          <cell r="V764">
            <v>0</v>
          </cell>
          <cell r="AI764">
            <v>0</v>
          </cell>
        </row>
        <row r="765">
          <cell r="D765" t="str">
            <v>7003</v>
          </cell>
          <cell r="E765" t="str">
            <v>Ventes de marchandises à l'étranger</v>
          </cell>
          <cell r="F765">
            <v>0</v>
          </cell>
          <cell r="L765">
            <v>0</v>
          </cell>
          <cell r="P765">
            <v>0</v>
          </cell>
          <cell r="V765">
            <v>0</v>
          </cell>
          <cell r="AI765">
            <v>0</v>
          </cell>
        </row>
        <row r="766">
          <cell r="D766" t="str">
            <v>7009</v>
          </cell>
          <cell r="E766" t="str">
            <v>R.R.R. Accordées</v>
          </cell>
          <cell r="F766">
            <v>0</v>
          </cell>
          <cell r="L766">
            <v>0</v>
          </cell>
          <cell r="P766">
            <v>0</v>
          </cell>
          <cell r="V766">
            <v>0</v>
          </cell>
          <cell r="AI766">
            <v>0</v>
          </cell>
        </row>
        <row r="767">
          <cell r="D767" t="str">
            <v>7011</v>
          </cell>
          <cell r="E767" t="str">
            <v>Ventes de produits finis Maroc</v>
          </cell>
          <cell r="F767">
            <v>0</v>
          </cell>
          <cell r="L767">
            <v>0</v>
          </cell>
          <cell r="P767">
            <v>0</v>
          </cell>
          <cell r="V767">
            <v>0</v>
          </cell>
          <cell r="AI767">
            <v>0</v>
          </cell>
        </row>
        <row r="768">
          <cell r="D768" t="str">
            <v>7012</v>
          </cell>
          <cell r="E768" t="str">
            <v>Ventes de produits intermédiaires Maroc</v>
          </cell>
          <cell r="F768">
            <v>0</v>
          </cell>
          <cell r="L768">
            <v>0</v>
          </cell>
          <cell r="P768">
            <v>0</v>
          </cell>
          <cell r="V768">
            <v>0</v>
          </cell>
          <cell r="AI768">
            <v>0</v>
          </cell>
        </row>
        <row r="769">
          <cell r="D769" t="str">
            <v>7017</v>
          </cell>
          <cell r="E769" t="str">
            <v>Ventes de produits résiduels Maroc</v>
          </cell>
          <cell r="F769">
            <v>0</v>
          </cell>
          <cell r="L769">
            <v>0</v>
          </cell>
          <cell r="P769">
            <v>0</v>
          </cell>
          <cell r="V769">
            <v>0</v>
          </cell>
          <cell r="AI769">
            <v>0</v>
          </cell>
        </row>
        <row r="770">
          <cell r="D770" t="str">
            <v>7024</v>
          </cell>
          <cell r="E770" t="str">
            <v>Ventes de produits finis étranger</v>
          </cell>
          <cell r="F770">
            <v>0</v>
          </cell>
          <cell r="L770">
            <v>0</v>
          </cell>
          <cell r="P770">
            <v>0</v>
          </cell>
          <cell r="V770">
            <v>0</v>
          </cell>
          <cell r="AI770">
            <v>0</v>
          </cell>
        </row>
        <row r="771">
          <cell r="D771" t="str">
            <v>7025</v>
          </cell>
          <cell r="E771" t="str">
            <v>Ventes de produits intermédiaires étranger</v>
          </cell>
          <cell r="F771">
            <v>0</v>
          </cell>
          <cell r="L771">
            <v>0</v>
          </cell>
          <cell r="P771">
            <v>0</v>
          </cell>
          <cell r="V771">
            <v>0</v>
          </cell>
          <cell r="AI771">
            <v>0</v>
          </cell>
        </row>
        <row r="772">
          <cell r="D772" t="str">
            <v>7031</v>
          </cell>
          <cell r="E772" t="str">
            <v>Travaux au Maroc</v>
          </cell>
          <cell r="F772">
            <v>0</v>
          </cell>
          <cell r="L772">
            <v>0</v>
          </cell>
          <cell r="P772">
            <v>0</v>
          </cell>
          <cell r="V772">
            <v>0</v>
          </cell>
          <cell r="AI772">
            <v>0</v>
          </cell>
        </row>
        <row r="773">
          <cell r="D773" t="str">
            <v>7032</v>
          </cell>
          <cell r="E773" t="str">
            <v>Etudes au Maroc</v>
          </cell>
          <cell r="F773">
            <v>0</v>
          </cell>
          <cell r="L773">
            <v>0</v>
          </cell>
          <cell r="P773">
            <v>0</v>
          </cell>
          <cell r="V773">
            <v>0</v>
          </cell>
          <cell r="AI773">
            <v>0</v>
          </cell>
        </row>
        <row r="774">
          <cell r="D774" t="str">
            <v>7033</v>
          </cell>
          <cell r="E774" t="str">
            <v>Prestations de services au Maroc</v>
          </cell>
          <cell r="F774">
            <v>0</v>
          </cell>
          <cell r="L774">
            <v>0</v>
          </cell>
          <cell r="P774">
            <v>0</v>
          </cell>
          <cell r="V774">
            <v>0</v>
          </cell>
          <cell r="AI774">
            <v>0</v>
          </cell>
        </row>
        <row r="775">
          <cell r="D775" t="str">
            <v>7034</v>
          </cell>
          <cell r="E775" t="str">
            <v>Travaux à l'étranger</v>
          </cell>
          <cell r="F775">
            <v>0</v>
          </cell>
          <cell r="L775">
            <v>0</v>
          </cell>
          <cell r="P775">
            <v>0</v>
          </cell>
          <cell r="V775">
            <v>0</v>
          </cell>
          <cell r="AI775">
            <v>0</v>
          </cell>
        </row>
        <row r="776">
          <cell r="D776" t="str">
            <v>7035</v>
          </cell>
          <cell r="E776" t="str">
            <v>Etudes à l'étranger</v>
          </cell>
          <cell r="F776">
            <v>0</v>
          </cell>
          <cell r="L776">
            <v>0</v>
          </cell>
          <cell r="P776">
            <v>0</v>
          </cell>
          <cell r="V776">
            <v>0</v>
          </cell>
          <cell r="AI776">
            <v>0</v>
          </cell>
        </row>
        <row r="777">
          <cell r="D777" t="str">
            <v>7036</v>
          </cell>
          <cell r="E777" t="str">
            <v>Prestations de services à l'étranger</v>
          </cell>
          <cell r="F777">
            <v>0</v>
          </cell>
          <cell r="L777">
            <v>0</v>
          </cell>
          <cell r="P777">
            <v>0</v>
          </cell>
          <cell r="V777">
            <v>0</v>
          </cell>
          <cell r="AI777">
            <v>0</v>
          </cell>
        </row>
        <row r="778">
          <cell r="D778" t="str">
            <v>7046</v>
          </cell>
          <cell r="E778" t="str">
            <v>Redevances pour brevets, marques, droits et valeurs similaires</v>
          </cell>
          <cell r="F778">
            <v>0</v>
          </cell>
          <cell r="L778">
            <v>0</v>
          </cell>
          <cell r="P778">
            <v>0</v>
          </cell>
          <cell r="V778">
            <v>0</v>
          </cell>
          <cell r="AI778">
            <v>0</v>
          </cell>
        </row>
        <row r="779">
          <cell r="D779" t="str">
            <v>7051</v>
          </cell>
          <cell r="E779" t="str">
            <v>Commissions et courtages reçus</v>
          </cell>
          <cell r="F779">
            <v>0</v>
          </cell>
          <cell r="L779">
            <v>0</v>
          </cell>
          <cell r="P779">
            <v>0</v>
          </cell>
          <cell r="V779">
            <v>0</v>
          </cell>
          <cell r="AI779">
            <v>0</v>
          </cell>
        </row>
        <row r="780">
          <cell r="D780" t="str">
            <v>7052</v>
          </cell>
          <cell r="E780" t="str">
            <v>Loyer du personnel logé</v>
          </cell>
          <cell r="F780">
            <v>0</v>
          </cell>
          <cell r="L780">
            <v>0</v>
          </cell>
          <cell r="P780">
            <v>0</v>
          </cell>
          <cell r="V780">
            <v>0</v>
          </cell>
          <cell r="AI780">
            <v>0</v>
          </cell>
        </row>
        <row r="781">
          <cell r="D781" t="str">
            <v>7054</v>
          </cell>
          <cell r="E781" t="str">
            <v>Formation et perfectionnement du personnel</v>
          </cell>
          <cell r="F781">
            <v>0</v>
          </cell>
          <cell r="L781">
            <v>0</v>
          </cell>
          <cell r="P781">
            <v>0</v>
          </cell>
          <cell r="V781">
            <v>0</v>
          </cell>
          <cell r="AI781">
            <v>0</v>
          </cell>
        </row>
        <row r="782">
          <cell r="D782" t="str">
            <v>7056</v>
          </cell>
          <cell r="E782" t="str">
            <v>Centres d'estivage et colonies de vacances</v>
          </cell>
          <cell r="F782">
            <v>0</v>
          </cell>
          <cell r="L782">
            <v>0</v>
          </cell>
          <cell r="P782">
            <v>0</v>
          </cell>
          <cell r="V782">
            <v>0</v>
          </cell>
          <cell r="AI782">
            <v>0</v>
          </cell>
        </row>
        <row r="783">
          <cell r="D783" t="str">
            <v>7057</v>
          </cell>
          <cell r="E783" t="str">
            <v>Prestations médicales</v>
          </cell>
          <cell r="F783">
            <v>0</v>
          </cell>
          <cell r="L783">
            <v>0</v>
          </cell>
          <cell r="P783">
            <v>0</v>
          </cell>
          <cell r="V783">
            <v>0</v>
          </cell>
          <cell r="AI783">
            <v>0</v>
          </cell>
        </row>
        <row r="784">
          <cell r="D784" t="str">
            <v>7058</v>
          </cell>
          <cell r="E784" t="str">
            <v>Prestations club et économat</v>
          </cell>
          <cell r="F784">
            <v>0</v>
          </cell>
          <cell r="L784">
            <v>0</v>
          </cell>
          <cell r="P784">
            <v>0</v>
          </cell>
          <cell r="V784">
            <v>0</v>
          </cell>
          <cell r="AI784">
            <v>0</v>
          </cell>
        </row>
        <row r="785">
          <cell r="D785" t="str">
            <v>7059</v>
          </cell>
          <cell r="E785" t="str">
            <v>Restauration</v>
          </cell>
          <cell r="F785">
            <v>0</v>
          </cell>
          <cell r="L785">
            <v>0</v>
          </cell>
          <cell r="P785">
            <v>0</v>
          </cell>
          <cell r="V785">
            <v>0</v>
          </cell>
          <cell r="AI785">
            <v>0</v>
          </cell>
        </row>
        <row r="786">
          <cell r="D786" t="str">
            <v>7060</v>
          </cell>
          <cell r="E786" t="str">
            <v>Frais du personnel</v>
          </cell>
          <cell r="F786">
            <v>0</v>
          </cell>
          <cell r="L786">
            <v>0</v>
          </cell>
          <cell r="P786">
            <v>0</v>
          </cell>
          <cell r="V786">
            <v>0</v>
          </cell>
          <cell r="AI786">
            <v>0</v>
          </cell>
        </row>
        <row r="787">
          <cell r="D787" t="str">
            <v>7065</v>
          </cell>
          <cell r="E787" t="str">
            <v>Bonis sur reprises d'emballages consignés</v>
          </cell>
          <cell r="F787">
            <v>0</v>
          </cell>
          <cell r="L787">
            <v>0</v>
          </cell>
          <cell r="P787">
            <v>0</v>
          </cell>
          <cell r="V787">
            <v>0</v>
          </cell>
          <cell r="AI787">
            <v>0</v>
          </cell>
        </row>
        <row r="788">
          <cell r="D788" t="str">
            <v>7066</v>
          </cell>
          <cell r="E788" t="str">
            <v>Ports et frais accessoires facturés</v>
          </cell>
          <cell r="F788">
            <v>0</v>
          </cell>
          <cell r="L788">
            <v>0</v>
          </cell>
          <cell r="P788">
            <v>0</v>
          </cell>
          <cell r="V788">
            <v>0</v>
          </cell>
          <cell r="AI788">
            <v>0</v>
          </cell>
        </row>
        <row r="789">
          <cell r="D789" t="str">
            <v>7071</v>
          </cell>
          <cell r="E789" t="str">
            <v>Dédouanement</v>
          </cell>
          <cell r="F789">
            <v>0</v>
          </cell>
          <cell r="L789">
            <v>0</v>
          </cell>
          <cell r="P789">
            <v>0</v>
          </cell>
          <cell r="V789">
            <v>0</v>
          </cell>
          <cell r="AI789">
            <v>0</v>
          </cell>
        </row>
        <row r="790">
          <cell r="D790" t="str">
            <v>7072</v>
          </cell>
          <cell r="E790" t="str">
            <v>Prestations garage et station de service</v>
          </cell>
          <cell r="F790">
            <v>0</v>
          </cell>
          <cell r="L790">
            <v>0</v>
          </cell>
          <cell r="P790">
            <v>0</v>
          </cell>
          <cell r="V790">
            <v>0</v>
          </cell>
          <cell r="AI790">
            <v>0</v>
          </cell>
        </row>
        <row r="791">
          <cell r="D791" t="str">
            <v>7073</v>
          </cell>
          <cell r="E791" t="str">
            <v>Imprimerie</v>
          </cell>
          <cell r="F791">
            <v>0</v>
          </cell>
          <cell r="L791">
            <v>0</v>
          </cell>
          <cell r="P791">
            <v>0</v>
          </cell>
          <cell r="V791">
            <v>0</v>
          </cell>
          <cell r="AI791">
            <v>0</v>
          </cell>
        </row>
        <row r="792">
          <cell r="D792" t="str">
            <v>7074</v>
          </cell>
          <cell r="E792" t="str">
            <v>Prestations maritimes</v>
          </cell>
          <cell r="F792">
            <v>0</v>
          </cell>
          <cell r="L792">
            <v>0</v>
          </cell>
          <cell r="P792">
            <v>0</v>
          </cell>
          <cell r="V792">
            <v>0</v>
          </cell>
          <cell r="AI792">
            <v>0</v>
          </cell>
        </row>
        <row r="793">
          <cell r="D793" t="str">
            <v>7075</v>
          </cell>
          <cell r="E793" t="str">
            <v>Prestations ateliers</v>
          </cell>
          <cell r="F793">
            <v>0</v>
          </cell>
          <cell r="L793">
            <v>0</v>
          </cell>
          <cell r="P793">
            <v>0</v>
          </cell>
          <cell r="V793">
            <v>0</v>
          </cell>
          <cell r="AI793">
            <v>0</v>
          </cell>
        </row>
        <row r="794">
          <cell r="D794" t="str">
            <v>7076</v>
          </cell>
          <cell r="E794" t="str">
            <v>Prestations siège</v>
          </cell>
          <cell r="F794">
            <v>0</v>
          </cell>
          <cell r="L794">
            <v>0</v>
          </cell>
          <cell r="P794">
            <v>0</v>
          </cell>
          <cell r="V794">
            <v>0</v>
          </cell>
          <cell r="AI794">
            <v>0</v>
          </cell>
        </row>
        <row r="795">
          <cell r="D795" t="str">
            <v>7077</v>
          </cell>
          <cell r="E795" t="str">
            <v>Retraite</v>
          </cell>
          <cell r="F795">
            <v>0</v>
          </cell>
          <cell r="L795">
            <v>0</v>
          </cell>
          <cell r="P795">
            <v>0</v>
          </cell>
          <cell r="V795">
            <v>0</v>
          </cell>
          <cell r="AI795">
            <v>0</v>
          </cell>
        </row>
        <row r="796">
          <cell r="D796" t="str">
            <v>7078</v>
          </cell>
          <cell r="E796" t="str">
            <v>Téléphone</v>
          </cell>
          <cell r="F796">
            <v>0</v>
          </cell>
          <cell r="L796">
            <v>0</v>
          </cell>
          <cell r="P796">
            <v>0</v>
          </cell>
          <cell r="V796">
            <v>0</v>
          </cell>
          <cell r="AI796">
            <v>0</v>
          </cell>
        </row>
        <row r="797">
          <cell r="D797" t="str">
            <v>7079</v>
          </cell>
          <cell r="E797" t="str">
            <v>Transport</v>
          </cell>
          <cell r="F797">
            <v>0</v>
          </cell>
          <cell r="L797">
            <v>0</v>
          </cell>
          <cell r="P797">
            <v>0</v>
          </cell>
          <cell r="V797">
            <v>0</v>
          </cell>
          <cell r="AI797">
            <v>0</v>
          </cell>
        </row>
        <row r="798">
          <cell r="D798" t="str">
            <v>7080</v>
          </cell>
          <cell r="E798" t="str">
            <v>Vapeur</v>
          </cell>
          <cell r="F798">
            <v>0</v>
          </cell>
          <cell r="L798">
            <v>0</v>
          </cell>
          <cell r="P798">
            <v>0</v>
          </cell>
          <cell r="V798">
            <v>0</v>
          </cell>
          <cell r="AI798">
            <v>0</v>
          </cell>
        </row>
        <row r="799">
          <cell r="D799" t="str">
            <v>7089</v>
          </cell>
          <cell r="E799" t="str">
            <v>Autres ventes et produits accessoires</v>
          </cell>
          <cell r="F799">
            <v>0</v>
          </cell>
          <cell r="L799">
            <v>0</v>
          </cell>
          <cell r="P799">
            <v>0</v>
          </cell>
          <cell r="V799">
            <v>0</v>
          </cell>
          <cell r="AI799">
            <v>0</v>
          </cell>
        </row>
        <row r="800">
          <cell r="D800" t="str">
            <v>7091</v>
          </cell>
          <cell r="E800" t="str">
            <v>R.R.R accordés sur ventes au Maroc des biens produits</v>
          </cell>
          <cell r="F800">
            <v>0</v>
          </cell>
          <cell r="L800">
            <v>0</v>
          </cell>
          <cell r="P800">
            <v>0</v>
          </cell>
          <cell r="V800">
            <v>0</v>
          </cell>
          <cell r="AI800">
            <v>0</v>
          </cell>
        </row>
        <row r="801">
          <cell r="D801" t="str">
            <v>7092</v>
          </cell>
          <cell r="E801" t="str">
            <v>R.R.R accordés sur ventes à l'étranger des biens produits</v>
          </cell>
          <cell r="F801">
            <v>0</v>
          </cell>
          <cell r="L801">
            <v>0</v>
          </cell>
          <cell r="P801">
            <v>0</v>
          </cell>
          <cell r="V801">
            <v>0</v>
          </cell>
          <cell r="AI801">
            <v>0</v>
          </cell>
        </row>
        <row r="802">
          <cell r="D802" t="str">
            <v>7094</v>
          </cell>
          <cell r="E802" t="str">
            <v>R.R.R accordés sur ventes au Maroc des services produits</v>
          </cell>
          <cell r="F802">
            <v>0</v>
          </cell>
          <cell r="L802">
            <v>0</v>
          </cell>
          <cell r="P802">
            <v>0</v>
          </cell>
          <cell r="V802">
            <v>0</v>
          </cell>
          <cell r="AI802">
            <v>0</v>
          </cell>
        </row>
        <row r="803">
          <cell r="D803" t="str">
            <v>7095</v>
          </cell>
          <cell r="E803" t="str">
            <v>R.R.R accordés sur ventes à l'étranger des services produits</v>
          </cell>
          <cell r="F803">
            <v>0</v>
          </cell>
          <cell r="L803">
            <v>0</v>
          </cell>
          <cell r="P803">
            <v>0</v>
          </cell>
          <cell r="V803">
            <v>0</v>
          </cell>
          <cell r="AI803">
            <v>0</v>
          </cell>
        </row>
        <row r="804">
          <cell r="D804" t="str">
            <v>7110</v>
          </cell>
          <cell r="E804" t="str">
            <v>Variation des stocks de produits en cours</v>
          </cell>
          <cell r="F804">
            <v>0</v>
          </cell>
          <cell r="L804">
            <v>0</v>
          </cell>
          <cell r="P804">
            <v>0</v>
          </cell>
          <cell r="V804">
            <v>0</v>
          </cell>
          <cell r="AI804">
            <v>0</v>
          </cell>
        </row>
        <row r="805">
          <cell r="D805" t="str">
            <v>7112</v>
          </cell>
          <cell r="E805" t="str">
            <v>Variation des stocks de produits intermédiaires en cours</v>
          </cell>
          <cell r="F805">
            <v>0</v>
          </cell>
          <cell r="L805">
            <v>0</v>
          </cell>
          <cell r="P805">
            <v>0</v>
          </cell>
          <cell r="V805">
            <v>0</v>
          </cell>
          <cell r="AI805">
            <v>0</v>
          </cell>
        </row>
        <row r="806">
          <cell r="D806" t="str">
            <v>7117</v>
          </cell>
          <cell r="E806" t="str">
            <v>Variation des stocks de produits résiduels en cours</v>
          </cell>
          <cell r="F806">
            <v>0</v>
          </cell>
          <cell r="L806">
            <v>0</v>
          </cell>
          <cell r="P806">
            <v>0</v>
          </cell>
          <cell r="V806">
            <v>0</v>
          </cell>
          <cell r="AI806">
            <v>0</v>
          </cell>
        </row>
        <row r="807">
          <cell r="D807" t="str">
            <v>7121</v>
          </cell>
          <cell r="E807" t="str">
            <v>Variation des stocks de produits finis</v>
          </cell>
          <cell r="F807">
            <v>0</v>
          </cell>
          <cell r="L807">
            <v>0</v>
          </cell>
          <cell r="P807">
            <v>0</v>
          </cell>
          <cell r="V807">
            <v>0</v>
          </cell>
          <cell r="AI807">
            <v>0</v>
          </cell>
        </row>
        <row r="808">
          <cell r="D808" t="str">
            <v>7122</v>
          </cell>
          <cell r="E808" t="str">
            <v>Variation des stocks de produits intermédiaires</v>
          </cell>
          <cell r="F808">
            <v>0</v>
          </cell>
          <cell r="L808">
            <v>0</v>
          </cell>
          <cell r="P808">
            <v>0</v>
          </cell>
          <cell r="V808">
            <v>0</v>
          </cell>
          <cell r="AI808">
            <v>0</v>
          </cell>
        </row>
        <row r="809">
          <cell r="D809" t="str">
            <v>7127</v>
          </cell>
          <cell r="E809" t="str">
            <v>Variation des stocks de produits résiduels</v>
          </cell>
          <cell r="F809">
            <v>0</v>
          </cell>
          <cell r="L809">
            <v>0</v>
          </cell>
          <cell r="P809">
            <v>0</v>
          </cell>
          <cell r="V809">
            <v>0</v>
          </cell>
          <cell r="AI809">
            <v>0</v>
          </cell>
        </row>
        <row r="810">
          <cell r="D810" t="str">
            <v>7131</v>
          </cell>
          <cell r="E810" t="str">
            <v>Variation des stocks de travaux en cours</v>
          </cell>
          <cell r="F810">
            <v>0</v>
          </cell>
          <cell r="L810">
            <v>0</v>
          </cell>
          <cell r="P810">
            <v>0</v>
          </cell>
          <cell r="V810">
            <v>0</v>
          </cell>
          <cell r="AI810">
            <v>0</v>
          </cell>
        </row>
        <row r="811">
          <cell r="D811" t="str">
            <v>7132</v>
          </cell>
          <cell r="E811" t="str">
            <v>Variation des stocks d'études en cours</v>
          </cell>
          <cell r="F811">
            <v>0</v>
          </cell>
          <cell r="L811">
            <v>0</v>
          </cell>
          <cell r="P811">
            <v>0</v>
          </cell>
          <cell r="V811">
            <v>0</v>
          </cell>
          <cell r="AI811">
            <v>0</v>
          </cell>
        </row>
        <row r="812">
          <cell r="D812" t="str">
            <v>7133</v>
          </cell>
          <cell r="E812" t="str">
            <v>Variation des stocks de prestations en cours</v>
          </cell>
          <cell r="F812">
            <v>0</v>
          </cell>
          <cell r="L812">
            <v>0</v>
          </cell>
          <cell r="P812">
            <v>0</v>
          </cell>
          <cell r="V812">
            <v>0</v>
          </cell>
          <cell r="AI812">
            <v>0</v>
          </cell>
        </row>
        <row r="813">
          <cell r="D813" t="str">
            <v>7141</v>
          </cell>
          <cell r="E813" t="str">
            <v>Immobilisations en non-valeur produites</v>
          </cell>
          <cell r="F813">
            <v>0</v>
          </cell>
          <cell r="L813">
            <v>0</v>
          </cell>
          <cell r="P813">
            <v>0</v>
          </cell>
          <cell r="V813">
            <v>0</v>
          </cell>
          <cell r="AI813">
            <v>0</v>
          </cell>
        </row>
        <row r="814">
          <cell r="D814" t="str">
            <v>7142</v>
          </cell>
          <cell r="E814" t="str">
            <v>Immobilisations incorporelles produites</v>
          </cell>
          <cell r="F814">
            <v>0</v>
          </cell>
          <cell r="L814">
            <v>0</v>
          </cell>
          <cell r="P814">
            <v>0</v>
          </cell>
          <cell r="V814">
            <v>0</v>
          </cell>
          <cell r="AI814">
            <v>0</v>
          </cell>
        </row>
        <row r="815">
          <cell r="D815" t="str">
            <v>7143</v>
          </cell>
          <cell r="E815" t="str">
            <v>Immobilisations corporelles produites</v>
          </cell>
          <cell r="F815">
            <v>0</v>
          </cell>
          <cell r="L815">
            <v>0</v>
          </cell>
          <cell r="P815">
            <v>0</v>
          </cell>
          <cell r="V815">
            <v>0</v>
          </cell>
          <cell r="AI815">
            <v>0</v>
          </cell>
        </row>
        <row r="816">
          <cell r="D816" t="str">
            <v>7152</v>
          </cell>
          <cell r="E816" t="str">
            <v>Production d'articles codifiés mis en stocks</v>
          </cell>
          <cell r="F816">
            <v>0</v>
          </cell>
          <cell r="L816">
            <v>0</v>
          </cell>
          <cell r="P816">
            <v>0</v>
          </cell>
          <cell r="V816">
            <v>0</v>
          </cell>
          <cell r="AI816">
            <v>0</v>
          </cell>
        </row>
        <row r="817">
          <cell r="D817" t="str">
            <v>7161</v>
          </cell>
          <cell r="E817" t="str">
            <v>Subventions d'exploitation reçues de l'exercice</v>
          </cell>
          <cell r="F817">
            <v>0</v>
          </cell>
          <cell r="L817">
            <v>0</v>
          </cell>
          <cell r="P817">
            <v>0</v>
          </cell>
          <cell r="V817">
            <v>0</v>
          </cell>
          <cell r="AI817">
            <v>0</v>
          </cell>
        </row>
        <row r="818">
          <cell r="D818" t="str">
            <v>7181</v>
          </cell>
          <cell r="E818" t="str">
            <v>Jetons de présence reçus</v>
          </cell>
          <cell r="F818">
            <v>0</v>
          </cell>
          <cell r="L818">
            <v>0</v>
          </cell>
          <cell r="P818">
            <v>0</v>
          </cell>
          <cell r="V818">
            <v>0</v>
          </cell>
          <cell r="AI818">
            <v>0</v>
          </cell>
        </row>
        <row r="819">
          <cell r="D819" t="str">
            <v>7182</v>
          </cell>
          <cell r="E819" t="str">
            <v>Revenus des immeubles non affectés à l'exploitation</v>
          </cell>
          <cell r="F819">
            <v>0</v>
          </cell>
          <cell r="L819">
            <v>0</v>
          </cell>
          <cell r="P819">
            <v>0</v>
          </cell>
          <cell r="V819">
            <v>0</v>
          </cell>
          <cell r="AI819">
            <v>0</v>
          </cell>
        </row>
        <row r="820">
          <cell r="D820" t="str">
            <v>7185</v>
          </cell>
          <cell r="E820" t="str">
            <v>Profits sur opérations faites en commun</v>
          </cell>
          <cell r="F820">
            <v>0</v>
          </cell>
          <cell r="L820">
            <v>0</v>
          </cell>
          <cell r="P820">
            <v>0</v>
          </cell>
          <cell r="V820">
            <v>0</v>
          </cell>
          <cell r="AI820">
            <v>0</v>
          </cell>
        </row>
        <row r="821">
          <cell r="D821" t="str">
            <v>7186</v>
          </cell>
          <cell r="E821" t="str">
            <v>Transfert de pertes sur opérations faites en commun</v>
          </cell>
          <cell r="F821">
            <v>0</v>
          </cell>
          <cell r="L821">
            <v>0</v>
          </cell>
          <cell r="P821">
            <v>0</v>
          </cell>
          <cell r="V821">
            <v>0</v>
          </cell>
          <cell r="AI821">
            <v>0</v>
          </cell>
        </row>
        <row r="822">
          <cell r="D822" t="str">
            <v>7195</v>
          </cell>
          <cell r="E822" t="str">
            <v>Reprises sur provisions pour risques et charges</v>
          </cell>
          <cell r="F822">
            <v>0</v>
          </cell>
          <cell r="L822">
            <v>0</v>
          </cell>
          <cell r="P822">
            <v>0</v>
          </cell>
          <cell r="V822">
            <v>0</v>
          </cell>
          <cell r="AI822">
            <v>0</v>
          </cell>
        </row>
        <row r="823">
          <cell r="D823" t="str">
            <v>7196</v>
          </cell>
          <cell r="E823" t="str">
            <v>Reprises sur provisions pour dépréciation de l'actif circulant</v>
          </cell>
          <cell r="F823">
            <v>0</v>
          </cell>
          <cell r="L823">
            <v>0</v>
          </cell>
          <cell r="P823">
            <v>0</v>
          </cell>
          <cell r="V823">
            <v>0</v>
          </cell>
          <cell r="AI823">
            <v>0</v>
          </cell>
        </row>
        <row r="824">
          <cell r="D824" t="str">
            <v>7271</v>
          </cell>
          <cell r="E824" t="str">
            <v>T.C.E. achats de marchandises</v>
          </cell>
          <cell r="F824">
            <v>0</v>
          </cell>
          <cell r="L824">
            <v>0</v>
          </cell>
          <cell r="P824">
            <v>0</v>
          </cell>
          <cell r="V824">
            <v>0</v>
          </cell>
          <cell r="AI824">
            <v>0</v>
          </cell>
        </row>
        <row r="825">
          <cell r="D825" t="str">
            <v>7272</v>
          </cell>
          <cell r="E825" t="str">
            <v>T.C.E. achats consommés de matières premières et fournitures</v>
          </cell>
          <cell r="F825">
            <v>0</v>
          </cell>
          <cell r="L825">
            <v>0</v>
          </cell>
          <cell r="P825">
            <v>0</v>
          </cell>
          <cell r="V825">
            <v>0</v>
          </cell>
          <cell r="AI825">
            <v>0</v>
          </cell>
        </row>
        <row r="826">
          <cell r="D826" t="str">
            <v>7273</v>
          </cell>
          <cell r="E826" t="str">
            <v>T.C.E. autres charges externes</v>
          </cell>
          <cell r="F826">
            <v>0</v>
          </cell>
          <cell r="L826">
            <v>0</v>
          </cell>
          <cell r="P826">
            <v>0</v>
          </cell>
          <cell r="V826">
            <v>0</v>
          </cell>
          <cell r="AI826">
            <v>0</v>
          </cell>
        </row>
        <row r="827">
          <cell r="D827" t="str">
            <v>7275</v>
          </cell>
          <cell r="E827" t="str">
            <v>T.C.E. impôts et taxes</v>
          </cell>
          <cell r="F827">
            <v>0</v>
          </cell>
          <cell r="L827">
            <v>0</v>
          </cell>
          <cell r="P827">
            <v>0</v>
          </cell>
          <cell r="V827">
            <v>0</v>
          </cell>
          <cell r="AI827">
            <v>0</v>
          </cell>
        </row>
        <row r="828">
          <cell r="D828" t="str">
            <v>7276</v>
          </cell>
          <cell r="E828" t="str">
            <v>T.C.E. charges du personnel</v>
          </cell>
          <cell r="F828">
            <v>0</v>
          </cell>
          <cell r="L828">
            <v>0</v>
          </cell>
          <cell r="P828">
            <v>0</v>
          </cell>
          <cell r="V828">
            <v>0</v>
          </cell>
          <cell r="AI828">
            <v>0</v>
          </cell>
        </row>
        <row r="829">
          <cell r="D829" t="str">
            <v>7278</v>
          </cell>
          <cell r="E829" t="str">
            <v>T.C.E. autres charges d'exploitation</v>
          </cell>
          <cell r="F829">
            <v>0</v>
          </cell>
          <cell r="L829">
            <v>0</v>
          </cell>
          <cell r="P829">
            <v>0</v>
          </cell>
          <cell r="V829">
            <v>0</v>
          </cell>
          <cell r="AI829">
            <v>0</v>
          </cell>
        </row>
        <row r="830">
          <cell r="D830" t="str">
            <v>7321</v>
          </cell>
          <cell r="E830" t="str">
            <v>Revenus des titres de participation</v>
          </cell>
          <cell r="F830">
            <v>0</v>
          </cell>
          <cell r="L830">
            <v>0</v>
          </cell>
          <cell r="P830">
            <v>0</v>
          </cell>
          <cell r="V830">
            <v>0</v>
          </cell>
          <cell r="AI830">
            <v>0</v>
          </cell>
        </row>
        <row r="831">
          <cell r="D831" t="str">
            <v>7325</v>
          </cell>
          <cell r="E831" t="str">
            <v>Revenus des titres immobilisés</v>
          </cell>
          <cell r="F831">
            <v>0</v>
          </cell>
          <cell r="L831">
            <v>0</v>
          </cell>
          <cell r="P831">
            <v>0</v>
          </cell>
          <cell r="V831">
            <v>0</v>
          </cell>
          <cell r="AI831">
            <v>0</v>
          </cell>
        </row>
        <row r="832">
          <cell r="D832" t="str">
            <v>7329</v>
          </cell>
          <cell r="E832" t="str">
            <v>Gains de change sur remboursement des dettes de financement</v>
          </cell>
          <cell r="F832">
            <v>0</v>
          </cell>
          <cell r="L832">
            <v>0</v>
          </cell>
          <cell r="P832">
            <v>0</v>
          </cell>
          <cell r="V832">
            <v>0</v>
          </cell>
          <cell r="AI832">
            <v>0</v>
          </cell>
        </row>
        <row r="833">
          <cell r="D833" t="str">
            <v>7331</v>
          </cell>
          <cell r="E833" t="str">
            <v>Gains de change sur opérations de trésorerie</v>
          </cell>
          <cell r="F833">
            <v>0</v>
          </cell>
          <cell r="L833">
            <v>0</v>
          </cell>
          <cell r="P833">
            <v>0</v>
          </cell>
          <cell r="V833">
            <v>0</v>
          </cell>
          <cell r="AI833">
            <v>0</v>
          </cell>
        </row>
        <row r="834">
          <cell r="D834" t="str">
            <v>7332</v>
          </cell>
          <cell r="E834" t="str">
            <v>Gains de change sur opérations commerciales</v>
          </cell>
          <cell r="F834">
            <v>0</v>
          </cell>
          <cell r="L834">
            <v>0</v>
          </cell>
          <cell r="P834">
            <v>0</v>
          </cell>
          <cell r="V834">
            <v>0</v>
          </cell>
          <cell r="AI834">
            <v>0</v>
          </cell>
        </row>
        <row r="835">
          <cell r="D835" t="str">
            <v>7342</v>
          </cell>
          <cell r="E835" t="str">
            <v>Intérêts des prêts hypothécaires accordés au personnel OE</v>
          </cell>
          <cell r="F835">
            <v>0</v>
          </cell>
          <cell r="L835">
            <v>0</v>
          </cell>
          <cell r="P835">
            <v>0</v>
          </cell>
          <cell r="V835">
            <v>0</v>
          </cell>
          <cell r="AI835">
            <v>0</v>
          </cell>
        </row>
        <row r="836">
          <cell r="D836" t="str">
            <v>7346</v>
          </cell>
          <cell r="E836" t="str">
            <v>Intérêts des prêts hypothécaires accordés au personnel TAMCA</v>
          </cell>
          <cell r="F836">
            <v>0</v>
          </cell>
          <cell r="L836">
            <v>0</v>
          </cell>
          <cell r="P836">
            <v>0</v>
          </cell>
          <cell r="V836">
            <v>0</v>
          </cell>
          <cell r="AI836">
            <v>0</v>
          </cell>
        </row>
        <row r="837">
          <cell r="D837" t="str">
            <v>7349</v>
          </cell>
          <cell r="E837" t="str">
            <v>Intérêts des prêts hypothécaires accordés au personnel hors cadres</v>
          </cell>
          <cell r="F837">
            <v>0</v>
          </cell>
          <cell r="L837">
            <v>0</v>
          </cell>
          <cell r="P837">
            <v>0</v>
          </cell>
          <cell r="V837">
            <v>0</v>
          </cell>
          <cell r="AI837">
            <v>0</v>
          </cell>
        </row>
        <row r="838">
          <cell r="D838" t="str">
            <v>7352</v>
          </cell>
          <cell r="E838" t="str">
            <v>Intérêts des prêts achats de véhicules accordés au personnel OE</v>
          </cell>
          <cell r="F838">
            <v>0</v>
          </cell>
          <cell r="L838">
            <v>0</v>
          </cell>
          <cell r="P838">
            <v>0</v>
          </cell>
          <cell r="V838">
            <v>0</v>
          </cell>
          <cell r="AI838">
            <v>0</v>
          </cell>
        </row>
        <row r="839">
          <cell r="D839" t="str">
            <v>7356</v>
          </cell>
          <cell r="E839" t="str">
            <v>Intérêts des prêts achats de véhicules accordés au personnel tamca</v>
          </cell>
          <cell r="F839">
            <v>0</v>
          </cell>
          <cell r="L839">
            <v>0</v>
          </cell>
          <cell r="P839">
            <v>0</v>
          </cell>
          <cell r="V839">
            <v>0</v>
          </cell>
          <cell r="AI839">
            <v>0</v>
          </cell>
        </row>
        <row r="840">
          <cell r="D840" t="str">
            <v>7359</v>
          </cell>
          <cell r="E840" t="str">
            <v>Intérêts des prêts achats de véhicules accordés au personnel hors cadres</v>
          </cell>
          <cell r="F840">
            <v>0</v>
          </cell>
          <cell r="L840">
            <v>0</v>
          </cell>
          <cell r="P840">
            <v>0</v>
          </cell>
          <cell r="V840">
            <v>0</v>
          </cell>
          <cell r="AI840">
            <v>0</v>
          </cell>
        </row>
        <row r="841">
          <cell r="D841" t="str">
            <v>7362</v>
          </cell>
          <cell r="E841" t="str">
            <v>Intérêts des prêts ménagers rémunérés pl OE</v>
          </cell>
          <cell r="F841">
            <v>0</v>
          </cell>
          <cell r="L841">
            <v>0</v>
          </cell>
          <cell r="P841">
            <v>0</v>
          </cell>
          <cell r="V841">
            <v>0</v>
          </cell>
          <cell r="AI841">
            <v>0</v>
          </cell>
        </row>
        <row r="842">
          <cell r="D842" t="str">
            <v>7366</v>
          </cell>
          <cell r="E842" t="str">
            <v>Intérêts des prêts ménagers rémunérés pl TAMCA</v>
          </cell>
          <cell r="F842">
            <v>0</v>
          </cell>
          <cell r="L842">
            <v>0</v>
          </cell>
          <cell r="P842">
            <v>0</v>
          </cell>
          <cell r="V842">
            <v>0</v>
          </cell>
          <cell r="AI842">
            <v>0</v>
          </cell>
        </row>
        <row r="843">
          <cell r="D843" t="str">
            <v>7369</v>
          </cell>
          <cell r="E843" t="str">
            <v>Intérêts des prêts ménagers rémunérés pl hors cadres</v>
          </cell>
          <cell r="F843">
            <v>0</v>
          </cell>
          <cell r="L843">
            <v>0</v>
          </cell>
          <cell r="P843">
            <v>0</v>
          </cell>
          <cell r="V843">
            <v>0</v>
          </cell>
          <cell r="AI843">
            <v>0</v>
          </cell>
        </row>
        <row r="844">
          <cell r="D844" t="str">
            <v>7372</v>
          </cell>
          <cell r="E844" t="str">
            <v>Intérêts des prêts de cessions logements pl OE</v>
          </cell>
          <cell r="F844">
            <v>0</v>
          </cell>
          <cell r="L844">
            <v>0</v>
          </cell>
          <cell r="P844">
            <v>0</v>
          </cell>
          <cell r="V844">
            <v>0</v>
          </cell>
          <cell r="AI844">
            <v>0</v>
          </cell>
        </row>
        <row r="845">
          <cell r="D845" t="str">
            <v>7376</v>
          </cell>
          <cell r="E845" t="str">
            <v>Intérêts des prêts de cessions logements personnel TAMCA</v>
          </cell>
          <cell r="F845">
            <v>0</v>
          </cell>
          <cell r="L845">
            <v>0</v>
          </cell>
          <cell r="P845">
            <v>0</v>
          </cell>
          <cell r="V845">
            <v>0</v>
          </cell>
          <cell r="AI845">
            <v>0</v>
          </cell>
        </row>
        <row r="846">
          <cell r="D846" t="str">
            <v>7379</v>
          </cell>
          <cell r="E846" t="str">
            <v>Intérêts des prêts de cessions logements personnel hors cadres</v>
          </cell>
          <cell r="F846">
            <v>0</v>
          </cell>
          <cell r="L846">
            <v>0</v>
          </cell>
          <cell r="P846">
            <v>0</v>
          </cell>
          <cell r="V846">
            <v>0</v>
          </cell>
          <cell r="AI846">
            <v>0</v>
          </cell>
        </row>
        <row r="847">
          <cell r="D847" t="str">
            <v>7382</v>
          </cell>
          <cell r="E847" t="str">
            <v>Intérêts des autres prêts au personnel OE</v>
          </cell>
          <cell r="F847">
            <v>0</v>
          </cell>
          <cell r="L847">
            <v>0</v>
          </cell>
          <cell r="P847">
            <v>0</v>
          </cell>
          <cell r="V847">
            <v>0</v>
          </cell>
          <cell r="AI847">
            <v>0</v>
          </cell>
        </row>
        <row r="848">
          <cell r="D848" t="str">
            <v>7386</v>
          </cell>
          <cell r="E848" t="str">
            <v>Intérêts des autres prêts au personnel TAMCA</v>
          </cell>
          <cell r="F848">
            <v>0</v>
          </cell>
          <cell r="L848">
            <v>0</v>
          </cell>
          <cell r="P848">
            <v>0</v>
          </cell>
          <cell r="V848">
            <v>0</v>
          </cell>
          <cell r="AI848">
            <v>0</v>
          </cell>
        </row>
        <row r="849">
          <cell r="D849" t="str">
            <v>7389</v>
          </cell>
          <cell r="E849" t="str">
            <v>Intérêts des autres prêts au personnel hors cadres</v>
          </cell>
          <cell r="F849">
            <v>0</v>
          </cell>
          <cell r="L849">
            <v>0</v>
          </cell>
          <cell r="P849">
            <v>0</v>
          </cell>
          <cell r="V849">
            <v>0</v>
          </cell>
          <cell r="AI849">
            <v>0</v>
          </cell>
        </row>
        <row r="850">
          <cell r="D850" t="str">
            <v>7391</v>
          </cell>
          <cell r="E850" t="str">
            <v>Intérêts bancaires Maroc</v>
          </cell>
          <cell r="F850">
            <v>0</v>
          </cell>
          <cell r="L850">
            <v>0</v>
          </cell>
          <cell r="P850">
            <v>0</v>
          </cell>
          <cell r="V850">
            <v>0</v>
          </cell>
          <cell r="AI850">
            <v>0</v>
          </cell>
        </row>
        <row r="851">
          <cell r="D851" t="str">
            <v>7392</v>
          </cell>
          <cell r="E851" t="str">
            <v>Intérêts bancaires bureau de Paris</v>
          </cell>
          <cell r="F851">
            <v>0</v>
          </cell>
          <cell r="L851">
            <v>0</v>
          </cell>
          <cell r="P851">
            <v>0</v>
          </cell>
          <cell r="V851">
            <v>0</v>
          </cell>
          <cell r="AI851">
            <v>0</v>
          </cell>
        </row>
        <row r="852">
          <cell r="D852" t="str">
            <v>7393</v>
          </cell>
          <cell r="E852" t="str">
            <v>Intérêts des placements en devises</v>
          </cell>
          <cell r="F852">
            <v>0</v>
          </cell>
          <cell r="L852">
            <v>0</v>
          </cell>
          <cell r="P852">
            <v>0</v>
          </cell>
          <cell r="V852">
            <v>0</v>
          </cell>
          <cell r="AI852">
            <v>0</v>
          </cell>
        </row>
        <row r="853">
          <cell r="D853" t="str">
            <v>7394</v>
          </cell>
          <cell r="E853" t="str">
            <v>Intérêts bancaires créditeurs</v>
          </cell>
          <cell r="F853">
            <v>0</v>
          </cell>
          <cell r="L853">
            <v>0</v>
          </cell>
          <cell r="P853">
            <v>0</v>
          </cell>
          <cell r="V853">
            <v>0</v>
          </cell>
          <cell r="AI853">
            <v>0</v>
          </cell>
        </row>
        <row r="854">
          <cell r="D854" t="str">
            <v>7403</v>
          </cell>
          <cell r="E854" t="str">
            <v>Revenus des créances rattachées a des participations</v>
          </cell>
          <cell r="F854">
            <v>0</v>
          </cell>
          <cell r="L854">
            <v>0</v>
          </cell>
          <cell r="P854">
            <v>0</v>
          </cell>
          <cell r="V854">
            <v>0</v>
          </cell>
          <cell r="AI854">
            <v>0</v>
          </cell>
        </row>
        <row r="855">
          <cell r="D855" t="str">
            <v>7404</v>
          </cell>
          <cell r="E855" t="str">
            <v>Revenus des titres et valeurs de placement</v>
          </cell>
          <cell r="F855">
            <v>0</v>
          </cell>
          <cell r="L855">
            <v>0</v>
          </cell>
          <cell r="P855">
            <v>0</v>
          </cell>
          <cell r="V855">
            <v>0</v>
          </cell>
          <cell r="AI855">
            <v>0</v>
          </cell>
        </row>
        <row r="856">
          <cell r="D856" t="str">
            <v>7405</v>
          </cell>
          <cell r="E856" t="str">
            <v>Produits nets sur cessions de titres et valeurs de placement</v>
          </cell>
          <cell r="F856">
            <v>0</v>
          </cell>
          <cell r="L856">
            <v>0</v>
          </cell>
          <cell r="P856">
            <v>0</v>
          </cell>
          <cell r="V856">
            <v>0</v>
          </cell>
          <cell r="AI856">
            <v>0</v>
          </cell>
        </row>
        <row r="857">
          <cell r="D857" t="str">
            <v>7406</v>
          </cell>
          <cell r="E857" t="str">
            <v>Escomptes obtenus</v>
          </cell>
          <cell r="F857">
            <v>0</v>
          </cell>
          <cell r="L857">
            <v>0</v>
          </cell>
          <cell r="P857">
            <v>0</v>
          </cell>
          <cell r="V857">
            <v>0</v>
          </cell>
          <cell r="AI857">
            <v>0</v>
          </cell>
        </row>
        <row r="858">
          <cell r="D858" t="str">
            <v>7410</v>
          </cell>
          <cell r="E858" t="str">
            <v>Reprises sur amortissements des primes</v>
          </cell>
          <cell r="F858">
            <v>0</v>
          </cell>
          <cell r="L858">
            <v>0</v>
          </cell>
          <cell r="P858">
            <v>0</v>
          </cell>
          <cell r="V858">
            <v>0</v>
          </cell>
          <cell r="AI858">
            <v>0</v>
          </cell>
        </row>
        <row r="859">
          <cell r="D859" t="str">
            <v>7420</v>
          </cell>
          <cell r="E859" t="str">
            <v>Reprises sur provisions pour dépréciation des immo.financières</v>
          </cell>
          <cell r="F859">
            <v>0</v>
          </cell>
          <cell r="L859">
            <v>0</v>
          </cell>
          <cell r="P859">
            <v>0</v>
          </cell>
          <cell r="V859">
            <v>0</v>
          </cell>
          <cell r="AI859">
            <v>0</v>
          </cell>
        </row>
        <row r="860">
          <cell r="D860" t="str">
            <v>7430</v>
          </cell>
          <cell r="E860" t="str">
            <v>Reprises sur provisions pour risques et charges financiers</v>
          </cell>
          <cell r="F860">
            <v>0</v>
          </cell>
          <cell r="L860">
            <v>0</v>
          </cell>
          <cell r="P860">
            <v>0</v>
          </cell>
          <cell r="V860">
            <v>0</v>
          </cell>
          <cell r="AI860">
            <v>0</v>
          </cell>
        </row>
        <row r="861">
          <cell r="D861" t="str">
            <v>7431</v>
          </cell>
          <cell r="E861" t="str">
            <v>Reprises sur provisions pour risques et charges financieres sur dettes financières</v>
          </cell>
          <cell r="F861">
            <v>0</v>
          </cell>
          <cell r="L861">
            <v>0</v>
          </cell>
          <cell r="P861">
            <v>0</v>
          </cell>
          <cell r="V861">
            <v>0</v>
          </cell>
          <cell r="AI861">
            <v>0</v>
          </cell>
        </row>
        <row r="862">
          <cell r="D862" t="str">
            <v>7432</v>
          </cell>
          <cell r="E862" t="str">
            <v>Reprises sur provisions pour risques et charges financières</v>
          </cell>
          <cell r="F862">
            <v>0</v>
          </cell>
          <cell r="L862">
            <v>0</v>
          </cell>
          <cell r="P862">
            <v>0</v>
          </cell>
          <cell r="V862">
            <v>0</v>
          </cell>
          <cell r="AI862">
            <v>0</v>
          </cell>
        </row>
        <row r="863">
          <cell r="D863" t="str">
            <v>7440</v>
          </cell>
          <cell r="E863" t="str">
            <v>Reprises sur provisions pour dépréciation des titres et valeurs de placement</v>
          </cell>
          <cell r="F863">
            <v>0</v>
          </cell>
          <cell r="L863">
            <v>0</v>
          </cell>
          <cell r="P863">
            <v>0</v>
          </cell>
          <cell r="V863">
            <v>0</v>
          </cell>
          <cell r="AI863">
            <v>0</v>
          </cell>
        </row>
        <row r="864">
          <cell r="D864" t="str">
            <v>7441</v>
          </cell>
          <cell r="E864" t="str">
            <v>Reprises sur provisions pour dépréciation des VPM SICAV</v>
          </cell>
          <cell r="F864">
            <v>0</v>
          </cell>
          <cell r="L864">
            <v>0</v>
          </cell>
          <cell r="P864">
            <v>0</v>
          </cell>
          <cell r="V864">
            <v>0</v>
          </cell>
          <cell r="AI864">
            <v>0</v>
          </cell>
        </row>
        <row r="865">
          <cell r="D865" t="str">
            <v>7460</v>
          </cell>
          <cell r="E865" t="str">
            <v>Reprises sur provisions pour dépréciation des comptes de trésorerie</v>
          </cell>
          <cell r="F865">
            <v>0</v>
          </cell>
          <cell r="L865">
            <v>0</v>
          </cell>
          <cell r="P865">
            <v>0</v>
          </cell>
          <cell r="V865">
            <v>0</v>
          </cell>
          <cell r="AI865">
            <v>0</v>
          </cell>
        </row>
        <row r="866">
          <cell r="D866" t="str">
            <v>7471</v>
          </cell>
          <cell r="E866" t="str">
            <v>Transferts - charges d'intérêts</v>
          </cell>
          <cell r="F866">
            <v>0</v>
          </cell>
          <cell r="L866">
            <v>0</v>
          </cell>
          <cell r="P866">
            <v>0</v>
          </cell>
          <cell r="V866">
            <v>0</v>
          </cell>
          <cell r="AI866">
            <v>0</v>
          </cell>
        </row>
        <row r="867">
          <cell r="D867" t="str">
            <v>7473</v>
          </cell>
          <cell r="E867" t="str">
            <v>Transferts - pertes de change</v>
          </cell>
          <cell r="F867">
            <v>0</v>
          </cell>
          <cell r="L867">
            <v>0</v>
          </cell>
          <cell r="P867">
            <v>0</v>
          </cell>
          <cell r="V867">
            <v>0</v>
          </cell>
          <cell r="AI867">
            <v>0</v>
          </cell>
        </row>
        <row r="868">
          <cell r="D868" t="str">
            <v>7478</v>
          </cell>
          <cell r="E868" t="str">
            <v>Transferts - autres charges financières</v>
          </cell>
          <cell r="F868">
            <v>0</v>
          </cell>
          <cell r="L868">
            <v>0</v>
          </cell>
          <cell r="P868">
            <v>0</v>
          </cell>
          <cell r="V868">
            <v>0</v>
          </cell>
          <cell r="AI868">
            <v>0</v>
          </cell>
        </row>
        <row r="869">
          <cell r="D869" t="str">
            <v>7514</v>
          </cell>
          <cell r="E869" t="str">
            <v>Produits de cession des immobilisations financières droits de propriété</v>
          </cell>
          <cell r="F869">
            <v>0</v>
          </cell>
          <cell r="L869">
            <v>0</v>
          </cell>
          <cell r="P869">
            <v>0</v>
          </cell>
          <cell r="V869">
            <v>0</v>
          </cell>
          <cell r="AI869">
            <v>0</v>
          </cell>
        </row>
        <row r="870">
          <cell r="D870" t="str">
            <v>7561</v>
          </cell>
          <cell r="E870" t="str">
            <v>Subventions d'équilibre reçues de l'exercice</v>
          </cell>
          <cell r="F870">
            <v>0</v>
          </cell>
          <cell r="L870">
            <v>0</v>
          </cell>
          <cell r="P870">
            <v>0</v>
          </cell>
          <cell r="V870">
            <v>0</v>
          </cell>
          <cell r="AI870">
            <v>0</v>
          </cell>
        </row>
        <row r="871">
          <cell r="D871" t="str">
            <v>7580</v>
          </cell>
          <cell r="E871" t="str">
            <v>Valeur net des amortissements des immobilisations</v>
          </cell>
          <cell r="F871">
            <v>0</v>
          </cell>
          <cell r="L871">
            <v>0</v>
          </cell>
          <cell r="P871">
            <v>0</v>
          </cell>
          <cell r="V871">
            <v>0</v>
          </cell>
          <cell r="AI871">
            <v>0</v>
          </cell>
        </row>
        <row r="872">
          <cell r="D872" t="str">
            <v>7581</v>
          </cell>
          <cell r="E872" t="str">
            <v>Pénalités et dédits reçus</v>
          </cell>
          <cell r="F872">
            <v>0</v>
          </cell>
          <cell r="L872">
            <v>0</v>
          </cell>
          <cell r="P872">
            <v>0</v>
          </cell>
          <cell r="V872">
            <v>0</v>
          </cell>
          <cell r="AI872">
            <v>0</v>
          </cell>
        </row>
        <row r="873">
          <cell r="D873" t="str">
            <v>7584</v>
          </cell>
          <cell r="E873" t="str">
            <v>Dégrèvements d'impôts autres qu'impôts sur les résultats</v>
          </cell>
          <cell r="F873">
            <v>0</v>
          </cell>
          <cell r="L873">
            <v>0</v>
          </cell>
          <cell r="P873">
            <v>0</v>
          </cell>
          <cell r="V873">
            <v>0</v>
          </cell>
          <cell r="AI873">
            <v>0</v>
          </cell>
        </row>
        <row r="874">
          <cell r="D874" t="str">
            <v>7585</v>
          </cell>
          <cell r="E874" t="str">
            <v>Rentrées sur créances soldées</v>
          </cell>
          <cell r="F874">
            <v>0</v>
          </cell>
          <cell r="L874">
            <v>0</v>
          </cell>
          <cell r="P874">
            <v>0</v>
          </cell>
          <cell r="V874">
            <v>0</v>
          </cell>
          <cell r="AI874">
            <v>0</v>
          </cell>
        </row>
        <row r="875">
          <cell r="D875" t="str">
            <v>7586</v>
          </cell>
          <cell r="E875" t="str">
            <v>Dons, libéralités et lots reçus</v>
          </cell>
          <cell r="F875">
            <v>0</v>
          </cell>
          <cell r="L875">
            <v>0</v>
          </cell>
          <cell r="P875">
            <v>0</v>
          </cell>
          <cell r="V875">
            <v>0</v>
          </cell>
          <cell r="AI875">
            <v>0</v>
          </cell>
        </row>
        <row r="876">
          <cell r="D876" t="str">
            <v>7641</v>
          </cell>
          <cell r="E876" t="str">
            <v>Reprises sur amortissements dérogatoires</v>
          </cell>
          <cell r="F876">
            <v>0</v>
          </cell>
          <cell r="L876">
            <v>0</v>
          </cell>
          <cell r="P876">
            <v>0</v>
          </cell>
          <cell r="V876">
            <v>0</v>
          </cell>
          <cell r="AI876">
            <v>0</v>
          </cell>
        </row>
        <row r="877">
          <cell r="D877" t="str">
            <v>7642</v>
          </cell>
          <cell r="E877" t="str">
            <v>Reprises sur plus values en instance d'imposition</v>
          </cell>
          <cell r="F877">
            <v>0</v>
          </cell>
          <cell r="L877">
            <v>0</v>
          </cell>
          <cell r="P877">
            <v>0</v>
          </cell>
          <cell r="V877">
            <v>0</v>
          </cell>
          <cell r="AI877">
            <v>0</v>
          </cell>
        </row>
        <row r="878">
          <cell r="D878" t="str">
            <v>7644</v>
          </cell>
          <cell r="E878" t="str">
            <v>Reprises sur provisions pour investissements</v>
          </cell>
          <cell r="F878">
            <v>0</v>
          </cell>
          <cell r="L878">
            <v>0</v>
          </cell>
          <cell r="P878">
            <v>0</v>
          </cell>
          <cell r="V878">
            <v>0</v>
          </cell>
          <cell r="AI878">
            <v>0</v>
          </cell>
        </row>
        <row r="879">
          <cell r="D879" t="str">
            <v>7645</v>
          </cell>
          <cell r="E879" t="str">
            <v>Reprises sur provisions pour reconstitution de gisements</v>
          </cell>
          <cell r="F879">
            <v>0</v>
          </cell>
          <cell r="L879">
            <v>0</v>
          </cell>
          <cell r="P879">
            <v>0</v>
          </cell>
          <cell r="V879">
            <v>0</v>
          </cell>
          <cell r="AI879">
            <v>0</v>
          </cell>
        </row>
        <row r="880">
          <cell r="D880" t="str">
            <v>7646</v>
          </cell>
          <cell r="E880" t="str">
            <v>Reprises sur provisions pour acquisition et construction de logements</v>
          </cell>
          <cell r="F880">
            <v>0</v>
          </cell>
          <cell r="L880">
            <v>0</v>
          </cell>
          <cell r="P880">
            <v>0</v>
          </cell>
          <cell r="V880">
            <v>0</v>
          </cell>
          <cell r="AI880">
            <v>0</v>
          </cell>
        </row>
        <row r="881">
          <cell r="D881" t="str">
            <v>7655</v>
          </cell>
          <cell r="E881" t="str">
            <v>Reprises sur provisions pour risques et charges durables</v>
          </cell>
          <cell r="F881">
            <v>0</v>
          </cell>
          <cell r="L881">
            <v>0</v>
          </cell>
          <cell r="P881">
            <v>0</v>
          </cell>
          <cell r="V881">
            <v>0</v>
          </cell>
          <cell r="AI881">
            <v>0</v>
          </cell>
        </row>
        <row r="882">
          <cell r="D882" t="str">
            <v>7657</v>
          </cell>
          <cell r="E882" t="str">
            <v>Reprises sur provisions pour risques et charges momentanés</v>
          </cell>
          <cell r="F882">
            <v>0</v>
          </cell>
          <cell r="L882">
            <v>0</v>
          </cell>
          <cell r="P882">
            <v>0</v>
          </cell>
          <cell r="V882">
            <v>0</v>
          </cell>
          <cell r="AI882">
            <v>0</v>
          </cell>
        </row>
        <row r="883">
          <cell r="D883" t="str">
            <v>7662</v>
          </cell>
          <cell r="E883" t="str">
            <v>R.N.C sur provisions pour dépréciation de l'actif immobilisé</v>
          </cell>
          <cell r="F883">
            <v>0</v>
          </cell>
          <cell r="L883">
            <v>0</v>
          </cell>
          <cell r="P883">
            <v>0</v>
          </cell>
          <cell r="V883">
            <v>0</v>
          </cell>
          <cell r="AI883">
            <v>0</v>
          </cell>
        </row>
        <row r="884">
          <cell r="D884" t="str">
            <v>7663</v>
          </cell>
          <cell r="E884" t="str">
            <v>R.N.C sur provisions pour dépréciation de l'actif circulant</v>
          </cell>
          <cell r="F884">
            <v>0</v>
          </cell>
          <cell r="L884">
            <v>0</v>
          </cell>
          <cell r="P884">
            <v>0</v>
          </cell>
          <cell r="V884">
            <v>0</v>
          </cell>
          <cell r="AI884">
            <v>0</v>
          </cell>
        </row>
        <row r="885">
          <cell r="D885" t="str">
            <v>7670</v>
          </cell>
          <cell r="E885" t="str">
            <v>Transferts de charges non courantes</v>
          </cell>
          <cell r="F885">
            <v>0</v>
          </cell>
          <cell r="L885">
            <v>0</v>
          </cell>
          <cell r="P885">
            <v>0</v>
          </cell>
          <cell r="V885">
            <v>0</v>
          </cell>
          <cell r="AI885">
            <v>0</v>
          </cell>
        </row>
        <row r="886">
          <cell r="D886" t="str">
            <v>8101</v>
          </cell>
          <cell r="E886" t="str">
            <v>Recettes ligne 2101</v>
          </cell>
          <cell r="F886">
            <v>0</v>
          </cell>
          <cell r="L886">
            <v>0</v>
          </cell>
          <cell r="P886">
            <v>0</v>
          </cell>
          <cell r="V886">
            <v>0</v>
          </cell>
          <cell r="AI886">
            <v>0</v>
          </cell>
        </row>
        <row r="887">
          <cell r="D887" t="str">
            <v>8104</v>
          </cell>
          <cell r="E887" t="str">
            <v>Recettes ligne 2104</v>
          </cell>
          <cell r="F887">
            <v>0</v>
          </cell>
          <cell r="L887">
            <v>0</v>
          </cell>
          <cell r="P887">
            <v>0</v>
          </cell>
          <cell r="V887">
            <v>0</v>
          </cell>
          <cell r="AI887">
            <v>0</v>
          </cell>
        </row>
        <row r="888">
          <cell r="D888" t="str">
            <v>8105</v>
          </cell>
          <cell r="E888" t="str">
            <v>Recettes ligne 2105</v>
          </cell>
          <cell r="F888">
            <v>0</v>
          </cell>
          <cell r="L888">
            <v>0</v>
          </cell>
          <cell r="P888">
            <v>0</v>
          </cell>
          <cell r="V888">
            <v>0</v>
          </cell>
          <cell r="AI888">
            <v>0</v>
          </cell>
        </row>
        <row r="889">
          <cell r="D889" t="str">
            <v>8110</v>
          </cell>
          <cell r="E889" t="str">
            <v>Recettes ligne 2110</v>
          </cell>
          <cell r="F889">
            <v>0</v>
          </cell>
          <cell r="L889">
            <v>0</v>
          </cell>
          <cell r="P889">
            <v>0</v>
          </cell>
          <cell r="V889">
            <v>0</v>
          </cell>
          <cell r="AI889">
            <v>0</v>
          </cell>
        </row>
        <row r="890">
          <cell r="D890" t="str">
            <v>8121</v>
          </cell>
          <cell r="E890" t="str">
            <v>Recette ligne 2121</v>
          </cell>
          <cell r="F890">
            <v>0</v>
          </cell>
          <cell r="L890">
            <v>0</v>
          </cell>
          <cell r="P890">
            <v>0</v>
          </cell>
          <cell r="V890">
            <v>0</v>
          </cell>
          <cell r="AI890">
            <v>0</v>
          </cell>
        </row>
        <row r="891">
          <cell r="D891" t="str">
            <v>8122</v>
          </cell>
          <cell r="E891" t="str">
            <v>Recette ligne 2122</v>
          </cell>
          <cell r="F891">
            <v>0</v>
          </cell>
          <cell r="L891">
            <v>0</v>
          </cell>
          <cell r="P891">
            <v>0</v>
          </cell>
          <cell r="V891">
            <v>0</v>
          </cell>
          <cell r="AI891">
            <v>0</v>
          </cell>
        </row>
        <row r="892">
          <cell r="D892" t="str">
            <v>8123</v>
          </cell>
          <cell r="E892" t="str">
            <v>Recette ligne 2123</v>
          </cell>
          <cell r="F892">
            <v>0</v>
          </cell>
          <cell r="L892">
            <v>0</v>
          </cell>
          <cell r="P892">
            <v>0</v>
          </cell>
          <cell r="V892">
            <v>0</v>
          </cell>
          <cell r="AI892">
            <v>0</v>
          </cell>
        </row>
        <row r="893">
          <cell r="D893" t="str">
            <v>8124</v>
          </cell>
          <cell r="E893" t="str">
            <v>Recette ligne 2124</v>
          </cell>
          <cell r="F893">
            <v>0</v>
          </cell>
          <cell r="L893">
            <v>0</v>
          </cell>
          <cell r="P893">
            <v>0</v>
          </cell>
          <cell r="V893">
            <v>0</v>
          </cell>
          <cell r="AI893">
            <v>0</v>
          </cell>
        </row>
        <row r="894">
          <cell r="D894" t="str">
            <v>8125</v>
          </cell>
          <cell r="E894" t="str">
            <v>Recette ligne 2125</v>
          </cell>
          <cell r="F894">
            <v>0</v>
          </cell>
          <cell r="L894">
            <v>0</v>
          </cell>
          <cell r="P894">
            <v>0</v>
          </cell>
          <cell r="V894">
            <v>0</v>
          </cell>
          <cell r="AI894">
            <v>0</v>
          </cell>
        </row>
        <row r="895">
          <cell r="D895" t="str">
            <v>8126</v>
          </cell>
          <cell r="E895" t="str">
            <v>Recette ligne 2126</v>
          </cell>
          <cell r="F895">
            <v>0</v>
          </cell>
          <cell r="L895">
            <v>0</v>
          </cell>
          <cell r="P895">
            <v>0</v>
          </cell>
          <cell r="V895">
            <v>0</v>
          </cell>
          <cell r="AI895">
            <v>0</v>
          </cell>
        </row>
        <row r="896">
          <cell r="D896" t="str">
            <v>8130</v>
          </cell>
          <cell r="E896" t="str">
            <v>Recette ligne 2130</v>
          </cell>
          <cell r="F896">
            <v>0</v>
          </cell>
          <cell r="L896">
            <v>0</v>
          </cell>
          <cell r="P896">
            <v>0</v>
          </cell>
          <cell r="V896">
            <v>0</v>
          </cell>
          <cell r="AI896">
            <v>0</v>
          </cell>
        </row>
        <row r="897">
          <cell r="D897" t="str">
            <v>8140</v>
          </cell>
          <cell r="E897" t="str">
            <v>Recette ligne 2140</v>
          </cell>
          <cell r="F897">
            <v>0</v>
          </cell>
          <cell r="L897">
            <v>0</v>
          </cell>
          <cell r="P897">
            <v>0</v>
          </cell>
          <cell r="V897">
            <v>0</v>
          </cell>
          <cell r="AI897">
            <v>0</v>
          </cell>
        </row>
        <row r="898">
          <cell r="D898" t="str">
            <v>8141</v>
          </cell>
          <cell r="E898" t="str">
            <v>Recette ligne 2141</v>
          </cell>
          <cell r="F898">
            <v>0</v>
          </cell>
          <cell r="L898">
            <v>0</v>
          </cell>
          <cell r="P898">
            <v>0</v>
          </cell>
          <cell r="V898">
            <v>0</v>
          </cell>
          <cell r="AI898">
            <v>0</v>
          </cell>
        </row>
        <row r="899">
          <cell r="D899" t="str">
            <v>8142</v>
          </cell>
          <cell r="E899" t="str">
            <v>Recette ligne 2142</v>
          </cell>
          <cell r="F899">
            <v>0</v>
          </cell>
          <cell r="L899">
            <v>0</v>
          </cell>
          <cell r="P899">
            <v>0</v>
          </cell>
          <cell r="V899">
            <v>0</v>
          </cell>
          <cell r="AI899">
            <v>0</v>
          </cell>
        </row>
        <row r="900">
          <cell r="D900" t="str">
            <v>8149</v>
          </cell>
          <cell r="E900" t="str">
            <v>Recette ligne 2142 à 2149</v>
          </cell>
          <cell r="F900">
            <v>0</v>
          </cell>
          <cell r="L900">
            <v>0</v>
          </cell>
          <cell r="P900">
            <v>0</v>
          </cell>
          <cell r="V900">
            <v>0</v>
          </cell>
          <cell r="AI900">
            <v>0</v>
          </cell>
        </row>
        <row r="901">
          <cell r="D901" t="str">
            <v>8150</v>
          </cell>
          <cell r="E901" t="str">
            <v>Recettes ligne 2150</v>
          </cell>
          <cell r="F901">
            <v>0</v>
          </cell>
          <cell r="L901">
            <v>0</v>
          </cell>
          <cell r="P901">
            <v>0</v>
          </cell>
          <cell r="V901">
            <v>0</v>
          </cell>
          <cell r="AI901">
            <v>0</v>
          </cell>
        </row>
        <row r="902">
          <cell r="D902" t="str">
            <v>8151</v>
          </cell>
          <cell r="E902" t="str">
            <v>Recettes ligne 2151</v>
          </cell>
          <cell r="F902">
            <v>0</v>
          </cell>
          <cell r="L902">
            <v>0</v>
          </cell>
          <cell r="P902">
            <v>0</v>
          </cell>
          <cell r="V902">
            <v>0</v>
          </cell>
          <cell r="AI902">
            <v>0</v>
          </cell>
        </row>
        <row r="903">
          <cell r="D903" t="str">
            <v>8152</v>
          </cell>
          <cell r="E903" t="str">
            <v>Recettes ligne 2152</v>
          </cell>
          <cell r="F903">
            <v>0</v>
          </cell>
          <cell r="L903">
            <v>0</v>
          </cell>
          <cell r="P903">
            <v>0</v>
          </cell>
          <cell r="V903">
            <v>0</v>
          </cell>
          <cell r="AI903">
            <v>0</v>
          </cell>
        </row>
        <row r="904">
          <cell r="D904" t="str">
            <v>8153</v>
          </cell>
          <cell r="E904" t="str">
            <v>Recettes ligne 2153</v>
          </cell>
          <cell r="F904">
            <v>0</v>
          </cell>
          <cell r="L904">
            <v>0</v>
          </cell>
          <cell r="P904">
            <v>0</v>
          </cell>
          <cell r="V904">
            <v>0</v>
          </cell>
          <cell r="AI904">
            <v>0</v>
          </cell>
        </row>
        <row r="905">
          <cell r="D905" t="str">
            <v>8154</v>
          </cell>
          <cell r="E905" t="str">
            <v>Recettes ligne 2154</v>
          </cell>
          <cell r="F905">
            <v>0</v>
          </cell>
          <cell r="L905">
            <v>0</v>
          </cell>
          <cell r="P905">
            <v>0</v>
          </cell>
          <cell r="V905">
            <v>0</v>
          </cell>
          <cell r="AI905">
            <v>0</v>
          </cell>
        </row>
        <row r="906">
          <cell r="D906" t="str">
            <v>8155</v>
          </cell>
          <cell r="E906" t="str">
            <v>Recettes ligne 2155</v>
          </cell>
          <cell r="F906">
            <v>0</v>
          </cell>
          <cell r="L906">
            <v>0</v>
          </cell>
          <cell r="P906">
            <v>0</v>
          </cell>
          <cell r="V906">
            <v>0</v>
          </cell>
          <cell r="AI906">
            <v>0</v>
          </cell>
        </row>
        <row r="907">
          <cell r="D907" t="str">
            <v>8156</v>
          </cell>
          <cell r="E907" t="str">
            <v>Recettes ligne 2156</v>
          </cell>
          <cell r="F907">
            <v>0</v>
          </cell>
          <cell r="L907">
            <v>0</v>
          </cell>
          <cell r="P907">
            <v>0</v>
          </cell>
          <cell r="V907">
            <v>0</v>
          </cell>
          <cell r="AI907">
            <v>0</v>
          </cell>
        </row>
        <row r="908">
          <cell r="D908" t="str">
            <v>8157</v>
          </cell>
          <cell r="E908" t="str">
            <v>Recettes ligne 2157</v>
          </cell>
          <cell r="F908">
            <v>0</v>
          </cell>
          <cell r="L908">
            <v>0</v>
          </cell>
          <cell r="P908">
            <v>0</v>
          </cell>
          <cell r="V908">
            <v>0</v>
          </cell>
          <cell r="AI908">
            <v>0</v>
          </cell>
        </row>
        <row r="909">
          <cell r="D909" t="str">
            <v>8158</v>
          </cell>
          <cell r="E909" t="str">
            <v>Recettes ligne 2158</v>
          </cell>
          <cell r="F909">
            <v>0</v>
          </cell>
          <cell r="L909">
            <v>0</v>
          </cell>
          <cell r="P909">
            <v>0</v>
          </cell>
          <cell r="V909">
            <v>0</v>
          </cell>
          <cell r="AI909">
            <v>0</v>
          </cell>
        </row>
        <row r="910">
          <cell r="D910" t="str">
            <v>8159</v>
          </cell>
          <cell r="E910" t="str">
            <v>Recettes ligne 2159</v>
          </cell>
          <cell r="F910">
            <v>0</v>
          </cell>
          <cell r="L910">
            <v>0</v>
          </cell>
          <cell r="P910">
            <v>0</v>
          </cell>
          <cell r="V910">
            <v>0</v>
          </cell>
          <cell r="AI910">
            <v>0</v>
          </cell>
        </row>
        <row r="911">
          <cell r="D911" t="str">
            <v>8160</v>
          </cell>
          <cell r="E911" t="str">
            <v>Recettes ligne 2160</v>
          </cell>
          <cell r="F911">
            <v>0</v>
          </cell>
          <cell r="L911">
            <v>0</v>
          </cell>
          <cell r="P911">
            <v>0</v>
          </cell>
          <cell r="V911">
            <v>0</v>
          </cell>
          <cell r="AI911">
            <v>0</v>
          </cell>
        </row>
        <row r="912">
          <cell r="D912" t="str">
            <v>8161</v>
          </cell>
          <cell r="E912" t="str">
            <v>Recettes ligne 2161</v>
          </cell>
          <cell r="F912">
            <v>0</v>
          </cell>
          <cell r="L912">
            <v>0</v>
          </cell>
          <cell r="P912">
            <v>0</v>
          </cell>
          <cell r="V912">
            <v>0</v>
          </cell>
          <cell r="AI912">
            <v>0</v>
          </cell>
        </row>
        <row r="913">
          <cell r="D913" t="str">
            <v>8162</v>
          </cell>
          <cell r="E913" t="str">
            <v>Recettes ligne 2162</v>
          </cell>
          <cell r="F913">
            <v>0</v>
          </cell>
          <cell r="L913">
            <v>0</v>
          </cell>
          <cell r="P913">
            <v>0</v>
          </cell>
          <cell r="V913">
            <v>0</v>
          </cell>
          <cell r="AI913">
            <v>0</v>
          </cell>
        </row>
        <row r="914">
          <cell r="D914" t="str">
            <v>8163</v>
          </cell>
          <cell r="E914" t="str">
            <v>Recettes ligne 2163</v>
          </cell>
          <cell r="F914">
            <v>0</v>
          </cell>
          <cell r="L914">
            <v>0</v>
          </cell>
          <cell r="P914">
            <v>0</v>
          </cell>
          <cell r="V914">
            <v>0</v>
          </cell>
          <cell r="AI914">
            <v>0</v>
          </cell>
        </row>
        <row r="915">
          <cell r="D915" t="str">
            <v>8164</v>
          </cell>
          <cell r="E915" t="str">
            <v>Recettes ligne 2164</v>
          </cell>
          <cell r="F915">
            <v>0</v>
          </cell>
          <cell r="L915">
            <v>0</v>
          </cell>
          <cell r="P915">
            <v>0</v>
          </cell>
          <cell r="V915">
            <v>0</v>
          </cell>
          <cell r="AI915">
            <v>0</v>
          </cell>
        </row>
        <row r="916">
          <cell r="D916" t="str">
            <v>8169</v>
          </cell>
          <cell r="E916" t="str">
            <v>Recettes ligne 2169</v>
          </cell>
          <cell r="F916">
            <v>0</v>
          </cell>
          <cell r="L916">
            <v>0</v>
          </cell>
          <cell r="P916">
            <v>0</v>
          </cell>
          <cell r="V916">
            <v>0</v>
          </cell>
          <cell r="AI916">
            <v>0</v>
          </cell>
        </row>
        <row r="917">
          <cell r="D917" t="str">
            <v>8600</v>
          </cell>
          <cell r="E917" t="str">
            <v>Recette d'équilibrage des SA d'exécution, contrepartie LPR 2600</v>
          </cell>
          <cell r="F917">
            <v>0</v>
          </cell>
          <cell r="L917">
            <v>0</v>
          </cell>
          <cell r="P917">
            <v>0</v>
          </cell>
          <cell r="V917">
            <v>0</v>
          </cell>
          <cell r="AI917">
            <v>0</v>
          </cell>
        </row>
        <row r="918">
          <cell r="D918" t="str">
            <v>9099</v>
          </cell>
          <cell r="E918" t="str">
            <v>Achats de matières premières</v>
          </cell>
          <cell r="F918">
            <v>0</v>
          </cell>
          <cell r="L918">
            <v>0</v>
          </cell>
          <cell r="P918">
            <v>0</v>
          </cell>
          <cell r="V918">
            <v>0</v>
          </cell>
          <cell r="AI918">
            <v>0</v>
          </cell>
        </row>
        <row r="919">
          <cell r="D919" t="str">
            <v>9100</v>
          </cell>
          <cell r="E919" t="str">
            <v>Phosphate y1</v>
          </cell>
          <cell r="F919">
            <v>0</v>
          </cell>
          <cell r="L919">
            <v>0</v>
          </cell>
          <cell r="P919">
            <v>0</v>
          </cell>
          <cell r="V919">
            <v>0</v>
          </cell>
          <cell r="AI919">
            <v>0</v>
          </cell>
        </row>
        <row r="920">
          <cell r="D920" t="str">
            <v>9101</v>
          </cell>
          <cell r="E920" t="str">
            <v>Phosphate y12</v>
          </cell>
          <cell r="F920">
            <v>0</v>
          </cell>
          <cell r="L920">
            <v>0</v>
          </cell>
          <cell r="P920">
            <v>0</v>
          </cell>
          <cell r="V920">
            <v>0</v>
          </cell>
          <cell r="AI920">
            <v>0</v>
          </cell>
        </row>
        <row r="921">
          <cell r="D921" t="str">
            <v>9102</v>
          </cell>
          <cell r="E921" t="str">
            <v>Phosphate y2</v>
          </cell>
          <cell r="F921">
            <v>0</v>
          </cell>
          <cell r="L921">
            <v>0</v>
          </cell>
          <cell r="P921">
            <v>0</v>
          </cell>
          <cell r="V921">
            <v>0</v>
          </cell>
          <cell r="AI921">
            <v>0</v>
          </cell>
        </row>
        <row r="922">
          <cell r="D922" t="str">
            <v>9103</v>
          </cell>
          <cell r="E922" t="str">
            <v>Phosphate y21</v>
          </cell>
          <cell r="F922">
            <v>0</v>
          </cell>
          <cell r="L922">
            <v>0</v>
          </cell>
          <cell r="P922">
            <v>0</v>
          </cell>
          <cell r="V922">
            <v>0</v>
          </cell>
          <cell r="AI922">
            <v>0</v>
          </cell>
        </row>
        <row r="923">
          <cell r="D923" t="str">
            <v>9104</v>
          </cell>
          <cell r="E923" t="str">
            <v>Phosphate y23</v>
          </cell>
          <cell r="F923">
            <v>0</v>
          </cell>
          <cell r="L923">
            <v>0</v>
          </cell>
          <cell r="P923">
            <v>0</v>
          </cell>
          <cell r="V923">
            <v>0</v>
          </cell>
          <cell r="AI923">
            <v>0</v>
          </cell>
        </row>
        <row r="924">
          <cell r="D924" t="str">
            <v>9105</v>
          </cell>
          <cell r="E924" t="str">
            <v>Phosphate noir seché yns</v>
          </cell>
          <cell r="F924">
            <v>0</v>
          </cell>
          <cell r="L924">
            <v>0</v>
          </cell>
          <cell r="P924">
            <v>0</v>
          </cell>
          <cell r="V924">
            <v>0</v>
          </cell>
          <cell r="AI924">
            <v>0</v>
          </cell>
        </row>
        <row r="925">
          <cell r="D925" t="str">
            <v>9106</v>
          </cell>
          <cell r="E925" t="str">
            <v>Phosphate humide BG standard BG st</v>
          </cell>
          <cell r="F925">
            <v>0</v>
          </cell>
          <cell r="L925">
            <v>0</v>
          </cell>
          <cell r="P925">
            <v>0</v>
          </cell>
          <cell r="V925">
            <v>0</v>
          </cell>
          <cell r="AI925">
            <v>0</v>
          </cell>
        </row>
        <row r="926">
          <cell r="D926" t="str">
            <v>9107</v>
          </cell>
          <cell r="E926" t="str">
            <v>Phosphate humide BG spécial BG sp</v>
          </cell>
          <cell r="F926">
            <v>0</v>
          </cell>
          <cell r="L926">
            <v>0</v>
          </cell>
          <cell r="P926">
            <v>0</v>
          </cell>
          <cell r="V926">
            <v>0</v>
          </cell>
          <cell r="AI926">
            <v>0</v>
          </cell>
        </row>
        <row r="927">
          <cell r="D927" t="str">
            <v>9108</v>
          </cell>
          <cell r="E927" t="str">
            <v>Phosphate C4 BG sec</v>
          </cell>
          <cell r="F927">
            <v>0</v>
          </cell>
          <cell r="L927">
            <v>0</v>
          </cell>
          <cell r="P927">
            <v>0</v>
          </cell>
          <cell r="V927">
            <v>0</v>
          </cell>
          <cell r="AI927">
            <v>0</v>
          </cell>
        </row>
        <row r="928">
          <cell r="D928" t="str">
            <v>9109</v>
          </cell>
          <cell r="E928" t="str">
            <v>Phosphate C4 BG Humide Criblé</v>
          </cell>
          <cell r="F928">
            <v>0</v>
          </cell>
          <cell r="L928">
            <v>0</v>
          </cell>
          <cell r="P928">
            <v>0</v>
          </cell>
          <cell r="V928">
            <v>0</v>
          </cell>
          <cell r="AI928">
            <v>0</v>
          </cell>
        </row>
        <row r="929">
          <cell r="D929" t="str">
            <v>9110</v>
          </cell>
          <cell r="E929" t="str">
            <v>Phosphate K02</v>
          </cell>
          <cell r="F929">
            <v>0</v>
          </cell>
          <cell r="L929">
            <v>0</v>
          </cell>
          <cell r="P929">
            <v>0</v>
          </cell>
          <cell r="V929">
            <v>0</v>
          </cell>
          <cell r="AI929">
            <v>0</v>
          </cell>
        </row>
        <row r="930">
          <cell r="D930" t="str">
            <v>9111</v>
          </cell>
          <cell r="E930" t="str">
            <v>Phosphate K09</v>
          </cell>
          <cell r="F930">
            <v>0</v>
          </cell>
          <cell r="L930">
            <v>0</v>
          </cell>
          <cell r="P930">
            <v>0</v>
          </cell>
          <cell r="V930">
            <v>0</v>
          </cell>
          <cell r="AI930">
            <v>0</v>
          </cell>
        </row>
        <row r="931">
          <cell r="D931" t="str">
            <v>9112</v>
          </cell>
          <cell r="E931" t="str">
            <v>Phosphate K10</v>
          </cell>
          <cell r="F931">
            <v>0</v>
          </cell>
          <cell r="L931">
            <v>0</v>
          </cell>
          <cell r="P931">
            <v>0</v>
          </cell>
          <cell r="V931">
            <v>0</v>
          </cell>
          <cell r="AI931">
            <v>0</v>
          </cell>
        </row>
        <row r="932">
          <cell r="D932" t="str">
            <v>9113</v>
          </cell>
          <cell r="E932" t="str">
            <v>Phosphate K12 Grande Paroisse</v>
          </cell>
          <cell r="F932">
            <v>0</v>
          </cell>
          <cell r="L932">
            <v>0</v>
          </cell>
          <cell r="P932">
            <v>0</v>
          </cell>
          <cell r="V932">
            <v>0</v>
          </cell>
          <cell r="AI932">
            <v>0</v>
          </cell>
        </row>
        <row r="933">
          <cell r="D933" t="str">
            <v>9114</v>
          </cell>
          <cell r="E933" t="str">
            <v>Phosphate K20 Grande Paroisse</v>
          </cell>
          <cell r="F933">
            <v>0</v>
          </cell>
          <cell r="L933">
            <v>0</v>
          </cell>
          <cell r="P933">
            <v>0</v>
          </cell>
          <cell r="V933">
            <v>0</v>
          </cell>
          <cell r="AI933">
            <v>0</v>
          </cell>
        </row>
        <row r="934">
          <cell r="D934" t="str">
            <v>9115</v>
          </cell>
          <cell r="E934" t="str">
            <v>Phosphates boucraa 80°/° bpl</v>
          </cell>
          <cell r="F934">
            <v>0</v>
          </cell>
          <cell r="L934">
            <v>0</v>
          </cell>
          <cell r="P934">
            <v>0</v>
          </cell>
          <cell r="V934">
            <v>0</v>
          </cell>
          <cell r="AI934">
            <v>0</v>
          </cell>
        </row>
        <row r="935">
          <cell r="D935" t="str">
            <v>9120</v>
          </cell>
          <cell r="E935" t="str">
            <v>Soufre solide</v>
          </cell>
          <cell r="F935">
            <v>0</v>
          </cell>
          <cell r="L935">
            <v>0</v>
          </cell>
          <cell r="P935">
            <v>0</v>
          </cell>
          <cell r="V935">
            <v>0</v>
          </cell>
          <cell r="AI935">
            <v>0</v>
          </cell>
        </row>
        <row r="936">
          <cell r="D936" t="str">
            <v>9121</v>
          </cell>
          <cell r="E936" t="str">
            <v>Soufre liquide</v>
          </cell>
          <cell r="F936">
            <v>0</v>
          </cell>
          <cell r="L936">
            <v>0</v>
          </cell>
          <cell r="P936">
            <v>0</v>
          </cell>
          <cell r="V936">
            <v>0</v>
          </cell>
          <cell r="AI936">
            <v>0</v>
          </cell>
        </row>
        <row r="937">
          <cell r="D937" t="str">
            <v>9122</v>
          </cell>
          <cell r="E937" t="str">
            <v>KCL chlorure de potasse</v>
          </cell>
          <cell r="F937">
            <v>0</v>
          </cell>
          <cell r="L937">
            <v>0</v>
          </cell>
          <cell r="P937">
            <v>0</v>
          </cell>
          <cell r="V937">
            <v>0</v>
          </cell>
          <cell r="AI937">
            <v>0</v>
          </cell>
        </row>
        <row r="938">
          <cell r="D938" t="str">
            <v>9123</v>
          </cell>
          <cell r="E938" t="str">
            <v>Ammoniac import</v>
          </cell>
          <cell r="F938">
            <v>0</v>
          </cell>
          <cell r="L938">
            <v>0</v>
          </cell>
          <cell r="P938">
            <v>0</v>
          </cell>
          <cell r="V938">
            <v>0</v>
          </cell>
          <cell r="AI938">
            <v>0</v>
          </cell>
        </row>
        <row r="939">
          <cell r="D939" t="str">
            <v>9140</v>
          </cell>
          <cell r="E939" t="str">
            <v>Acide sulfurique import</v>
          </cell>
          <cell r="F939">
            <v>0</v>
          </cell>
          <cell r="L939">
            <v>0</v>
          </cell>
          <cell r="P939">
            <v>0</v>
          </cell>
          <cell r="V939">
            <v>0</v>
          </cell>
          <cell r="AI939">
            <v>0</v>
          </cell>
        </row>
        <row r="940">
          <cell r="D940" t="str">
            <v>9151</v>
          </cell>
          <cell r="E940" t="str">
            <v>Transport de phosphates</v>
          </cell>
          <cell r="F940">
            <v>0</v>
          </cell>
          <cell r="L940">
            <v>0</v>
          </cell>
          <cell r="P940">
            <v>0</v>
          </cell>
          <cell r="V940">
            <v>0</v>
          </cell>
          <cell r="AI940">
            <v>0</v>
          </cell>
        </row>
        <row r="941">
          <cell r="D941" t="str">
            <v>9161</v>
          </cell>
          <cell r="E941" t="str">
            <v>Frêt et frais sur importations soufre</v>
          </cell>
          <cell r="F941">
            <v>0</v>
          </cell>
          <cell r="L941">
            <v>0</v>
          </cell>
          <cell r="P941">
            <v>0</v>
          </cell>
          <cell r="V941">
            <v>0</v>
          </cell>
          <cell r="AI941">
            <v>0</v>
          </cell>
        </row>
        <row r="942">
          <cell r="D942" t="str">
            <v>9164</v>
          </cell>
          <cell r="E942" t="str">
            <v>Frêt et frais sur importation KCL</v>
          </cell>
          <cell r="F942">
            <v>0</v>
          </cell>
          <cell r="L942">
            <v>0</v>
          </cell>
          <cell r="P942">
            <v>0</v>
          </cell>
          <cell r="V942">
            <v>0</v>
          </cell>
          <cell r="AI942">
            <v>0</v>
          </cell>
        </row>
        <row r="943">
          <cell r="D943" t="str">
            <v>9166</v>
          </cell>
          <cell r="E943" t="str">
            <v>Frêt et frais sur importations ammoniac</v>
          </cell>
          <cell r="F943">
            <v>0</v>
          </cell>
          <cell r="L943">
            <v>0</v>
          </cell>
          <cell r="P943">
            <v>0</v>
          </cell>
          <cell r="V943">
            <v>0</v>
          </cell>
          <cell r="AI943">
            <v>0</v>
          </cell>
        </row>
        <row r="944">
          <cell r="D944" t="str">
            <v>9168</v>
          </cell>
          <cell r="E944" t="str">
            <v>Frêt et frais sur importations acide sulfurique</v>
          </cell>
          <cell r="F944">
            <v>0</v>
          </cell>
          <cell r="L944">
            <v>0</v>
          </cell>
          <cell r="P944">
            <v>0</v>
          </cell>
          <cell r="V944">
            <v>0</v>
          </cell>
          <cell r="AI944">
            <v>0</v>
          </cell>
        </row>
        <row r="945">
          <cell r="D945" t="str">
            <v>9199</v>
          </cell>
          <cell r="E945" t="str">
            <v>Achats de matières et fournitures consommables</v>
          </cell>
          <cell r="F945">
            <v>0</v>
          </cell>
          <cell r="L945">
            <v>0</v>
          </cell>
          <cell r="P945">
            <v>0</v>
          </cell>
          <cell r="V945">
            <v>0</v>
          </cell>
          <cell r="AI945">
            <v>0</v>
          </cell>
        </row>
        <row r="946">
          <cell r="D946" t="str">
            <v>9220</v>
          </cell>
          <cell r="E946" t="str">
            <v>Matières auxiliaires</v>
          </cell>
          <cell r="F946">
            <v>0</v>
          </cell>
          <cell r="L946">
            <v>0</v>
          </cell>
          <cell r="P946">
            <v>0</v>
          </cell>
          <cell r="V946">
            <v>0</v>
          </cell>
          <cell r="AI946">
            <v>0</v>
          </cell>
        </row>
        <row r="947">
          <cell r="D947" t="str">
            <v>9232</v>
          </cell>
          <cell r="E947" t="str">
            <v>Essence légère</v>
          </cell>
          <cell r="F947">
            <v>0</v>
          </cell>
          <cell r="L947">
            <v>0</v>
          </cell>
          <cell r="P947">
            <v>0</v>
          </cell>
          <cell r="V947">
            <v>0</v>
          </cell>
          <cell r="AI947">
            <v>0</v>
          </cell>
        </row>
        <row r="948">
          <cell r="D948" t="str">
            <v>9233</v>
          </cell>
          <cell r="E948" t="str">
            <v>Gasoil</v>
          </cell>
          <cell r="F948">
            <v>0</v>
          </cell>
          <cell r="L948">
            <v>0</v>
          </cell>
          <cell r="P948">
            <v>0</v>
          </cell>
          <cell r="V948">
            <v>0</v>
          </cell>
          <cell r="AI948">
            <v>0</v>
          </cell>
        </row>
        <row r="949">
          <cell r="D949" t="str">
            <v>9234</v>
          </cell>
          <cell r="E949" t="str">
            <v>Lubrifiants</v>
          </cell>
          <cell r="F949">
            <v>0</v>
          </cell>
          <cell r="L949">
            <v>0</v>
          </cell>
          <cell r="P949">
            <v>0</v>
          </cell>
          <cell r="V949">
            <v>0</v>
          </cell>
          <cell r="AI949">
            <v>0</v>
          </cell>
        </row>
        <row r="950">
          <cell r="D950" t="str">
            <v>9241</v>
          </cell>
          <cell r="E950" t="str">
            <v>Produits d'entretien</v>
          </cell>
          <cell r="F950">
            <v>0</v>
          </cell>
          <cell r="L950">
            <v>0</v>
          </cell>
          <cell r="P950">
            <v>0</v>
          </cell>
          <cell r="V950">
            <v>0</v>
          </cell>
          <cell r="AI950">
            <v>0</v>
          </cell>
        </row>
        <row r="951">
          <cell r="D951" t="str">
            <v>9242</v>
          </cell>
          <cell r="E951" t="str">
            <v>Produits de laboratoires</v>
          </cell>
          <cell r="F951">
            <v>0</v>
          </cell>
          <cell r="L951">
            <v>0</v>
          </cell>
          <cell r="P951">
            <v>0</v>
          </cell>
          <cell r="V951">
            <v>0</v>
          </cell>
          <cell r="AI951">
            <v>0</v>
          </cell>
        </row>
        <row r="952">
          <cell r="D952" t="str">
            <v>9243</v>
          </cell>
          <cell r="E952" t="str">
            <v>Aciers et gaz industriels</v>
          </cell>
          <cell r="F952">
            <v>0</v>
          </cell>
          <cell r="L952">
            <v>0</v>
          </cell>
          <cell r="P952">
            <v>0</v>
          </cell>
          <cell r="V952">
            <v>0</v>
          </cell>
          <cell r="AI952">
            <v>0</v>
          </cell>
        </row>
        <row r="953">
          <cell r="D953" t="str">
            <v>9244</v>
          </cell>
          <cell r="E953" t="str">
            <v>Habillement et produits de sécurité</v>
          </cell>
          <cell r="F953">
            <v>0</v>
          </cell>
          <cell r="L953">
            <v>0</v>
          </cell>
          <cell r="P953">
            <v>0</v>
          </cell>
          <cell r="V953">
            <v>0</v>
          </cell>
          <cell r="AI953">
            <v>0</v>
          </cell>
        </row>
        <row r="954">
          <cell r="D954" t="str">
            <v>9245</v>
          </cell>
          <cell r="E954" t="str">
            <v>Matériaux et produits de construction</v>
          </cell>
          <cell r="F954">
            <v>0</v>
          </cell>
          <cell r="L954">
            <v>0</v>
          </cell>
          <cell r="P954">
            <v>0</v>
          </cell>
          <cell r="V954">
            <v>0</v>
          </cell>
          <cell r="AI954">
            <v>0</v>
          </cell>
        </row>
        <row r="955">
          <cell r="D955" t="str">
            <v>9248</v>
          </cell>
          <cell r="E955" t="str">
            <v>Matières et fournitures consommables diverses</v>
          </cell>
          <cell r="F955">
            <v>0</v>
          </cell>
          <cell r="L955">
            <v>0</v>
          </cell>
          <cell r="P955">
            <v>0</v>
          </cell>
          <cell r="V955">
            <v>0</v>
          </cell>
          <cell r="AI955">
            <v>0</v>
          </cell>
        </row>
        <row r="956">
          <cell r="D956" t="str">
            <v>9250</v>
          </cell>
          <cell r="E956" t="str">
            <v>Bois de mine</v>
          </cell>
          <cell r="F956">
            <v>0</v>
          </cell>
          <cell r="L956">
            <v>0</v>
          </cell>
          <cell r="P956">
            <v>0</v>
          </cell>
          <cell r="V956">
            <v>0</v>
          </cell>
          <cell r="AI956">
            <v>0</v>
          </cell>
        </row>
        <row r="957">
          <cell r="D957" t="str">
            <v>9251</v>
          </cell>
          <cell r="E957" t="str">
            <v>Courroies transporteuses</v>
          </cell>
          <cell r="F957">
            <v>0</v>
          </cell>
          <cell r="L957">
            <v>0</v>
          </cell>
          <cell r="P957">
            <v>0</v>
          </cell>
          <cell r="V957">
            <v>0</v>
          </cell>
          <cell r="AI957">
            <v>0</v>
          </cell>
        </row>
        <row r="958">
          <cell r="D958" t="str">
            <v>9252</v>
          </cell>
          <cell r="E958" t="str">
            <v>Explosifs</v>
          </cell>
          <cell r="F958">
            <v>0</v>
          </cell>
          <cell r="L958">
            <v>0</v>
          </cell>
          <cell r="P958">
            <v>0</v>
          </cell>
          <cell r="V958">
            <v>0</v>
          </cell>
          <cell r="AI958">
            <v>0</v>
          </cell>
        </row>
        <row r="959">
          <cell r="D959" t="str">
            <v>9253</v>
          </cell>
          <cell r="E959" t="str">
            <v>Rouleaux de convoyeurs</v>
          </cell>
          <cell r="F959">
            <v>0</v>
          </cell>
          <cell r="L959">
            <v>0</v>
          </cell>
          <cell r="P959">
            <v>0</v>
          </cell>
          <cell r="V959">
            <v>0</v>
          </cell>
          <cell r="AI959">
            <v>0</v>
          </cell>
        </row>
        <row r="960">
          <cell r="D960" t="str">
            <v>9254</v>
          </cell>
          <cell r="E960" t="str">
            <v>Lames d'usure de bulls et niveleuses</v>
          </cell>
          <cell r="F960">
            <v>0</v>
          </cell>
          <cell r="L960">
            <v>0</v>
          </cell>
          <cell r="P960">
            <v>0</v>
          </cell>
          <cell r="V960">
            <v>0</v>
          </cell>
          <cell r="AI960">
            <v>0</v>
          </cell>
        </row>
        <row r="961">
          <cell r="D961" t="str">
            <v>9255</v>
          </cell>
          <cell r="E961" t="str">
            <v>Tiges, drill - collar</v>
          </cell>
          <cell r="F961">
            <v>0</v>
          </cell>
          <cell r="L961">
            <v>0</v>
          </cell>
          <cell r="P961">
            <v>0</v>
          </cell>
          <cell r="V961">
            <v>0</v>
          </cell>
          <cell r="AI961">
            <v>0</v>
          </cell>
        </row>
        <row r="962">
          <cell r="D962" t="str">
            <v>9256</v>
          </cell>
          <cell r="E962" t="str">
            <v>Tricones de sondeuses</v>
          </cell>
          <cell r="F962">
            <v>0</v>
          </cell>
          <cell r="L962">
            <v>0</v>
          </cell>
          <cell r="P962">
            <v>0</v>
          </cell>
          <cell r="V962">
            <v>0</v>
          </cell>
          <cell r="AI962">
            <v>0</v>
          </cell>
        </row>
        <row r="963">
          <cell r="D963" t="str">
            <v>9257</v>
          </cell>
          <cell r="E963" t="str">
            <v>Cables de draglines</v>
          </cell>
          <cell r="F963">
            <v>0</v>
          </cell>
          <cell r="L963">
            <v>0</v>
          </cell>
          <cell r="P963">
            <v>0</v>
          </cell>
          <cell r="V963">
            <v>0</v>
          </cell>
          <cell r="AI963">
            <v>0</v>
          </cell>
        </row>
        <row r="964">
          <cell r="D964" t="str">
            <v>9258</v>
          </cell>
          <cell r="E964" t="str">
            <v>Godets et dents de draglines</v>
          </cell>
          <cell r="F964">
            <v>0</v>
          </cell>
          <cell r="L964">
            <v>0</v>
          </cell>
          <cell r="P964">
            <v>0</v>
          </cell>
          <cell r="V964">
            <v>0</v>
          </cell>
          <cell r="AI964">
            <v>0</v>
          </cell>
        </row>
        <row r="965">
          <cell r="D965" t="str">
            <v>9259</v>
          </cell>
          <cell r="E965" t="str">
            <v>Cables éléctriques</v>
          </cell>
          <cell r="F965">
            <v>0</v>
          </cell>
          <cell r="L965">
            <v>0</v>
          </cell>
          <cell r="P965">
            <v>0</v>
          </cell>
          <cell r="V965">
            <v>0</v>
          </cell>
          <cell r="AI965">
            <v>0</v>
          </cell>
        </row>
        <row r="966">
          <cell r="D966" t="str">
            <v>9261</v>
          </cell>
          <cell r="E966" t="str">
            <v>Pneumatiques pour engins lourds</v>
          </cell>
          <cell r="F966">
            <v>0</v>
          </cell>
          <cell r="L966">
            <v>0</v>
          </cell>
          <cell r="P966">
            <v>0</v>
          </cell>
          <cell r="V966">
            <v>0</v>
          </cell>
          <cell r="AI966">
            <v>0</v>
          </cell>
        </row>
        <row r="967">
          <cell r="D967" t="str">
            <v>9262</v>
          </cell>
          <cell r="E967" t="str">
            <v>Pneumatiques pour voitures légères</v>
          </cell>
          <cell r="F967">
            <v>0</v>
          </cell>
          <cell r="L967">
            <v>0</v>
          </cell>
          <cell r="P967">
            <v>0</v>
          </cell>
          <cell r="V967">
            <v>0</v>
          </cell>
          <cell r="AI967">
            <v>0</v>
          </cell>
        </row>
        <row r="968">
          <cell r="D968" t="str">
            <v>9263</v>
          </cell>
          <cell r="E968" t="str">
            <v>Pièces de rechange du matériel</v>
          </cell>
          <cell r="F968">
            <v>0</v>
          </cell>
          <cell r="L968">
            <v>0</v>
          </cell>
          <cell r="P968">
            <v>0</v>
          </cell>
          <cell r="V968">
            <v>0</v>
          </cell>
          <cell r="AI968">
            <v>0</v>
          </cell>
        </row>
        <row r="969">
          <cell r="D969" t="str">
            <v>9264</v>
          </cell>
          <cell r="E969" t="str">
            <v>Pièces détachées automobiles</v>
          </cell>
          <cell r="F969">
            <v>0</v>
          </cell>
          <cell r="L969">
            <v>0</v>
          </cell>
          <cell r="P969">
            <v>0</v>
          </cell>
          <cell r="V969">
            <v>0</v>
          </cell>
          <cell r="AI969">
            <v>0</v>
          </cell>
        </row>
        <row r="970">
          <cell r="D970" t="str">
            <v>9265</v>
          </cell>
          <cell r="E970" t="str">
            <v>Petit outillage</v>
          </cell>
          <cell r="F970">
            <v>0</v>
          </cell>
          <cell r="L970">
            <v>0</v>
          </cell>
          <cell r="P970">
            <v>0</v>
          </cell>
          <cell r="V970">
            <v>0</v>
          </cell>
          <cell r="AI970">
            <v>0</v>
          </cell>
        </row>
        <row r="971">
          <cell r="D971" t="str">
            <v>9266</v>
          </cell>
          <cell r="E971" t="str">
            <v>Produits pharmaceutiques</v>
          </cell>
          <cell r="F971">
            <v>0</v>
          </cell>
          <cell r="L971">
            <v>0</v>
          </cell>
          <cell r="P971">
            <v>0</v>
          </cell>
          <cell r="V971">
            <v>0</v>
          </cell>
          <cell r="AI971">
            <v>0</v>
          </cell>
        </row>
        <row r="972">
          <cell r="D972" t="str">
            <v>9267</v>
          </cell>
          <cell r="E972" t="str">
            <v>Petit matériel à usage médical</v>
          </cell>
          <cell r="F972">
            <v>0</v>
          </cell>
          <cell r="L972">
            <v>0</v>
          </cell>
          <cell r="P972">
            <v>0</v>
          </cell>
          <cell r="V972">
            <v>0</v>
          </cell>
          <cell r="AI972">
            <v>0</v>
          </cell>
        </row>
        <row r="973">
          <cell r="D973" t="str">
            <v>9270</v>
          </cell>
          <cell r="E973" t="str">
            <v>Fournitures de bureau</v>
          </cell>
          <cell r="F973">
            <v>0</v>
          </cell>
          <cell r="L973">
            <v>0</v>
          </cell>
          <cell r="P973">
            <v>0</v>
          </cell>
          <cell r="V973">
            <v>0</v>
          </cell>
          <cell r="AI973">
            <v>0</v>
          </cell>
        </row>
        <row r="974">
          <cell r="D974" t="str">
            <v>9284</v>
          </cell>
          <cell r="E974" t="str">
            <v>Frêt et frais sur importations de matières et fournitures consommables</v>
          </cell>
          <cell r="F974">
            <v>0</v>
          </cell>
          <cell r="L974">
            <v>0</v>
          </cell>
          <cell r="P974">
            <v>0</v>
          </cell>
          <cell r="V974">
            <v>0</v>
          </cell>
          <cell r="AI974">
            <v>0</v>
          </cell>
        </row>
        <row r="975">
          <cell r="D975" t="str">
            <v>9286</v>
          </cell>
          <cell r="E975" t="str">
            <v>Droits de douane sur importations de matières et fournitures consom.</v>
          </cell>
          <cell r="F975">
            <v>0</v>
          </cell>
          <cell r="L975">
            <v>0</v>
          </cell>
          <cell r="P975">
            <v>0</v>
          </cell>
          <cell r="V975">
            <v>0</v>
          </cell>
          <cell r="AI975">
            <v>0</v>
          </cell>
        </row>
        <row r="976">
          <cell r="D976" t="str">
            <v>9330</v>
          </cell>
          <cell r="E976" t="str">
            <v>Emballages à usage mixte</v>
          </cell>
          <cell r="F976">
            <v>0</v>
          </cell>
          <cell r="L976">
            <v>0</v>
          </cell>
          <cell r="P976">
            <v>0</v>
          </cell>
          <cell r="V976">
            <v>0</v>
          </cell>
          <cell r="AI976">
            <v>0</v>
          </cell>
        </row>
        <row r="977">
          <cell r="D977" t="str">
            <v>9541</v>
          </cell>
          <cell r="E977" t="str">
            <v>Tonnage initial</v>
          </cell>
          <cell r="F977">
            <v>0</v>
          </cell>
          <cell r="L977">
            <v>0</v>
          </cell>
          <cell r="P977">
            <v>0</v>
          </cell>
          <cell r="V977">
            <v>0</v>
          </cell>
          <cell r="AI977">
            <v>0</v>
          </cell>
        </row>
        <row r="978">
          <cell r="D978" t="str">
            <v>9542</v>
          </cell>
          <cell r="E978" t="str">
            <v>Tonnage final</v>
          </cell>
          <cell r="F978">
            <v>0</v>
          </cell>
          <cell r="L978">
            <v>0</v>
          </cell>
          <cell r="P978">
            <v>0</v>
          </cell>
          <cell r="V978">
            <v>0</v>
          </cell>
          <cell r="AI978">
            <v>0</v>
          </cell>
        </row>
        <row r="979">
          <cell r="D979" t="str">
            <v>9543</v>
          </cell>
          <cell r="E979" t="str">
            <v>Tonnage déclassé</v>
          </cell>
          <cell r="F979">
            <v>0</v>
          </cell>
          <cell r="L979">
            <v>0</v>
          </cell>
          <cell r="P979">
            <v>0</v>
          </cell>
          <cell r="V979">
            <v>0</v>
          </cell>
          <cell r="AI979">
            <v>0</v>
          </cell>
        </row>
        <row r="980">
          <cell r="D980" t="str">
            <v>9544</v>
          </cell>
          <cell r="E980" t="str">
            <v>Tonnage surclassé</v>
          </cell>
          <cell r="F980">
            <v>0</v>
          </cell>
          <cell r="L980">
            <v>0</v>
          </cell>
          <cell r="P980">
            <v>0</v>
          </cell>
          <cell r="V980">
            <v>0</v>
          </cell>
          <cell r="AI980">
            <v>0</v>
          </cell>
        </row>
        <row r="981">
          <cell r="D981" t="str">
            <v>9545</v>
          </cell>
          <cell r="E981" t="str">
            <v>Tonnage sortant</v>
          </cell>
          <cell r="F981">
            <v>0</v>
          </cell>
          <cell r="L981">
            <v>0</v>
          </cell>
          <cell r="P981">
            <v>0</v>
          </cell>
          <cell r="V981">
            <v>0</v>
          </cell>
          <cell r="AI981">
            <v>0</v>
          </cell>
        </row>
        <row r="982">
          <cell r="D982" t="str">
            <v>9546</v>
          </cell>
          <cell r="E982" t="str">
            <v>Tonnage entrant</v>
          </cell>
          <cell r="F982">
            <v>0</v>
          </cell>
          <cell r="L982">
            <v>0</v>
          </cell>
          <cell r="P982">
            <v>0</v>
          </cell>
          <cell r="V982">
            <v>0</v>
          </cell>
          <cell r="AI982">
            <v>0</v>
          </cell>
        </row>
        <row r="983">
          <cell r="L983">
            <v>0</v>
          </cell>
          <cell r="P983">
            <v>0</v>
          </cell>
          <cell r="V983">
            <v>0</v>
          </cell>
          <cell r="AI983">
            <v>0</v>
          </cell>
        </row>
        <row r="984">
          <cell r="L984">
            <v>0</v>
          </cell>
          <cell r="P984">
            <v>0</v>
          </cell>
          <cell r="V984">
            <v>0</v>
          </cell>
          <cell r="AI984">
            <v>0</v>
          </cell>
        </row>
      </sheetData>
      <sheetData sheetId="5" refreshError="1">
        <row r="7">
          <cell r="B7" t="str">
            <v>N°</v>
          </cell>
          <cell r="C7" t="str">
            <v xml:space="preserve">Anc.
LPR </v>
          </cell>
          <cell r="D7" t="str">
            <v xml:space="preserve">Netph.
LPR </v>
          </cell>
          <cell r="E7" t="str">
            <v>Description</v>
          </cell>
          <cell r="F7">
            <v>65132</v>
          </cell>
          <cell r="G7">
            <v>65134</v>
          </cell>
          <cell r="H7">
            <v>65258</v>
          </cell>
          <cell r="I7">
            <v>65767</v>
          </cell>
          <cell r="J7">
            <v>65771</v>
          </cell>
          <cell r="K7">
            <v>65772</v>
          </cell>
          <cell r="L7" t="str">
            <v>Total</v>
          </cell>
          <cell r="M7" t="str">
            <v>Total</v>
          </cell>
          <cell r="N7">
            <v>65000</v>
          </cell>
          <cell r="O7">
            <v>65004</v>
          </cell>
          <cell r="P7" t="str">
            <v>Total</v>
          </cell>
          <cell r="Q7" t="str">
            <v>Total</v>
          </cell>
          <cell r="R7" t="str">
            <v>Total</v>
          </cell>
          <cell r="T7" t="str">
            <v>---</v>
          </cell>
          <cell r="U7" t="str">
            <v>---</v>
          </cell>
          <cell r="V7" t="str">
            <v>---</v>
          </cell>
          <cell r="W7" t="str">
            <v>---</v>
          </cell>
          <cell r="X7" t="str">
            <v>---</v>
          </cell>
          <cell r="Y7" t="str">
            <v>---</v>
          </cell>
          <cell r="Z7" t="str">
            <v>---</v>
          </cell>
          <cell r="AA7" t="str">
            <v>---</v>
          </cell>
          <cell r="AB7" t="str">
            <v>---</v>
          </cell>
          <cell r="AC7" t="str">
            <v>TOTAL
Recette 8</v>
          </cell>
        </row>
        <row r="8">
          <cell r="B8">
            <v>1</v>
          </cell>
          <cell r="C8" t="str">
            <v>010</v>
          </cell>
          <cell r="D8" t="str">
            <v>1100</v>
          </cell>
          <cell r="E8" t="str">
            <v>Salaires et appointements, Personnel tâcheron</v>
          </cell>
          <cell r="F8">
            <v>334008</v>
          </cell>
          <cell r="G8">
            <v>360864</v>
          </cell>
          <cell r="H8">
            <v>328344</v>
          </cell>
          <cell r="I8">
            <v>360936</v>
          </cell>
          <cell r="J8">
            <v>285024</v>
          </cell>
          <cell r="K8">
            <v>381828</v>
          </cell>
          <cell r="L8">
            <v>2051004</v>
          </cell>
          <cell r="N8">
            <v>1731984</v>
          </cell>
          <cell r="O8">
            <v>2327604</v>
          </cell>
          <cell r="P8">
            <v>4059588</v>
          </cell>
          <cell r="R8">
            <v>61584</v>
          </cell>
          <cell r="S8">
            <v>56592</v>
          </cell>
          <cell r="T8">
            <v>720336</v>
          </cell>
          <cell r="V8">
            <v>547500</v>
          </cell>
          <cell r="W8">
            <v>7536</v>
          </cell>
          <cell r="X8">
            <v>924</v>
          </cell>
          <cell r="AA8">
            <v>4188</v>
          </cell>
          <cell r="AB8">
            <v>21120</v>
          </cell>
          <cell r="AC8">
            <v>7530372</v>
          </cell>
        </row>
        <row r="9">
          <cell r="B9">
            <v>1</v>
          </cell>
          <cell r="C9" t="str">
            <v>011</v>
          </cell>
          <cell r="D9" t="str">
            <v>1200</v>
          </cell>
          <cell r="E9" t="str">
            <v>Frais médicaux et pharmaceutiques exterieurs, prises en charge tach.</v>
          </cell>
          <cell r="F9">
            <v>159432</v>
          </cell>
          <cell r="G9">
            <v>160344</v>
          </cell>
          <cell r="H9">
            <v>151344</v>
          </cell>
          <cell r="I9">
            <v>176340</v>
          </cell>
          <cell r="J9">
            <v>137460</v>
          </cell>
          <cell r="K9">
            <v>181128</v>
          </cell>
          <cell r="L9">
            <v>966048</v>
          </cell>
          <cell r="N9">
            <v>677340</v>
          </cell>
          <cell r="O9">
            <v>906312</v>
          </cell>
          <cell r="P9">
            <v>1583652</v>
          </cell>
          <cell r="R9">
            <v>27888</v>
          </cell>
          <cell r="S9">
            <v>44760</v>
          </cell>
          <cell r="T9">
            <v>400908</v>
          </cell>
          <cell r="V9">
            <v>98352</v>
          </cell>
          <cell r="W9">
            <v>51480</v>
          </cell>
          <cell r="X9">
            <v>3180</v>
          </cell>
          <cell r="AA9">
            <v>24984</v>
          </cell>
          <cell r="AB9">
            <v>175128</v>
          </cell>
          <cell r="AC9">
            <v>3376380</v>
          </cell>
        </row>
        <row r="10">
          <cell r="B10">
            <v>2</v>
          </cell>
          <cell r="C10" t="str">
            <v>011</v>
          </cell>
          <cell r="D10" t="str">
            <v>1210</v>
          </cell>
          <cell r="E10" t="str">
            <v>Salaires des congés payés, Maladie, Maternité, Accidents, Personnel OET</v>
          </cell>
          <cell r="F10">
            <v>0</v>
          </cell>
          <cell r="L10">
            <v>0</v>
          </cell>
          <cell r="P10">
            <v>0</v>
          </cell>
          <cell r="AC10">
            <v>0</v>
          </cell>
        </row>
        <row r="11">
          <cell r="B11">
            <v>3</v>
          </cell>
          <cell r="C11" t="str">
            <v>011</v>
          </cell>
          <cell r="D11" t="str">
            <v>1220</v>
          </cell>
          <cell r="E11" t="str">
            <v>Indemnités d'éloignement et de transport, Personnel OET</v>
          </cell>
          <cell r="F11">
            <v>0</v>
          </cell>
          <cell r="L11">
            <v>0</v>
          </cell>
          <cell r="P11">
            <v>0</v>
          </cell>
          <cell r="AC11">
            <v>0</v>
          </cell>
        </row>
        <row r="12">
          <cell r="B12">
            <v>4</v>
          </cell>
          <cell r="C12" t="str">
            <v>011</v>
          </cell>
          <cell r="D12" t="str">
            <v>1230</v>
          </cell>
          <cell r="E12" t="str">
            <v>Indemnité forfaitaire de congé, Personnel OET</v>
          </cell>
          <cell r="F12">
            <v>0</v>
          </cell>
          <cell r="L12">
            <v>0</v>
          </cell>
          <cell r="P12">
            <v>0</v>
          </cell>
          <cell r="AC12">
            <v>0</v>
          </cell>
        </row>
        <row r="13">
          <cell r="B13">
            <v>5</v>
          </cell>
          <cell r="C13" t="str">
            <v>011</v>
          </cell>
          <cell r="D13" t="str">
            <v>1240</v>
          </cell>
          <cell r="E13" t="str">
            <v>Indemnité de logement, Personnel tâcherons</v>
          </cell>
          <cell r="F13">
            <v>0</v>
          </cell>
          <cell r="L13">
            <v>0</v>
          </cell>
          <cell r="P13">
            <v>0</v>
          </cell>
          <cell r="AC13">
            <v>0</v>
          </cell>
        </row>
        <row r="14">
          <cell r="B14">
            <v>6</v>
          </cell>
          <cell r="C14" t="str">
            <v>011</v>
          </cell>
          <cell r="D14" t="str">
            <v>1250</v>
          </cell>
          <cell r="E14" t="str">
            <v>Aide au logement, Personnel OET</v>
          </cell>
          <cell r="F14">
            <v>0</v>
          </cell>
          <cell r="L14">
            <v>0</v>
          </cell>
          <cell r="P14">
            <v>0</v>
          </cell>
          <cell r="AC14">
            <v>0</v>
          </cell>
        </row>
        <row r="15">
          <cell r="B15">
            <v>7</v>
          </cell>
          <cell r="C15" t="str">
            <v>011</v>
          </cell>
          <cell r="D15" t="str">
            <v>1270</v>
          </cell>
          <cell r="E15" t="str">
            <v>Prime de responsabilité, de rendement et d'asseduite, Personnel OET</v>
          </cell>
          <cell r="F15">
            <v>0</v>
          </cell>
          <cell r="L15">
            <v>0</v>
          </cell>
          <cell r="P15">
            <v>0</v>
          </cell>
          <cell r="AC15">
            <v>0</v>
          </cell>
        </row>
        <row r="16">
          <cell r="B16">
            <v>8</v>
          </cell>
          <cell r="C16" t="str">
            <v>011</v>
          </cell>
          <cell r="D16" t="str">
            <v>1280</v>
          </cell>
          <cell r="E16" t="str">
            <v>Charges fami. mariage, naiss.,decès, a. f... tâcherons</v>
          </cell>
          <cell r="F16">
            <v>0</v>
          </cell>
          <cell r="L16">
            <v>0</v>
          </cell>
          <cell r="P16">
            <v>0</v>
          </cell>
          <cell r="AC16">
            <v>0</v>
          </cell>
        </row>
        <row r="17">
          <cell r="B17">
            <v>9</v>
          </cell>
          <cell r="C17" t="str">
            <v>011</v>
          </cell>
          <cell r="D17" t="str">
            <v>1290</v>
          </cell>
          <cell r="E17" t="str">
            <v>Autres avantages et indemnités diverses, Scolarité, Mecque etc..,  Personnel OET</v>
          </cell>
          <cell r="F17">
            <v>0</v>
          </cell>
          <cell r="L17">
            <v>0</v>
          </cell>
          <cell r="P17">
            <v>0</v>
          </cell>
          <cell r="AC17">
            <v>0</v>
          </cell>
        </row>
        <row r="18">
          <cell r="B18">
            <v>1</v>
          </cell>
          <cell r="C18" t="str">
            <v>012</v>
          </cell>
          <cell r="D18" t="str">
            <v>1103</v>
          </cell>
          <cell r="E18" t="str">
            <v>Salaires et appointements personnel OEB</v>
          </cell>
          <cell r="L18">
            <v>0</v>
          </cell>
          <cell r="P18">
            <v>0</v>
          </cell>
          <cell r="AB18">
            <v>4344</v>
          </cell>
          <cell r="AC18">
            <v>4344</v>
          </cell>
        </row>
        <row r="19">
          <cell r="B19">
            <v>1</v>
          </cell>
          <cell r="C19" t="str">
            <v>013</v>
          </cell>
          <cell r="D19" t="str">
            <v>1203</v>
          </cell>
          <cell r="E19" t="str">
            <v>Frais médicaux et pharmaceutiques exterieurs, prises en charge OEF</v>
          </cell>
          <cell r="L19">
            <v>0</v>
          </cell>
          <cell r="P19">
            <v>0</v>
          </cell>
          <cell r="AB19">
            <v>4740</v>
          </cell>
          <cell r="AC19">
            <v>4740</v>
          </cell>
        </row>
        <row r="20">
          <cell r="B20">
            <v>2</v>
          </cell>
          <cell r="C20" t="str">
            <v>013</v>
          </cell>
          <cell r="D20" t="str">
            <v>1213</v>
          </cell>
          <cell r="E20" t="str">
            <v>Salaires des congés payés, Maladie, Maternité, Accidents, Personnel OEF</v>
          </cell>
          <cell r="F20">
            <v>0</v>
          </cell>
          <cell r="L20">
            <v>0</v>
          </cell>
          <cell r="P20">
            <v>0</v>
          </cell>
          <cell r="AC20">
            <v>0</v>
          </cell>
        </row>
        <row r="21">
          <cell r="B21">
            <v>3</v>
          </cell>
          <cell r="C21" t="str">
            <v>013</v>
          </cell>
          <cell r="D21" t="str">
            <v>1223</v>
          </cell>
          <cell r="E21" t="str">
            <v>Indemnités d'éloignement et de transport, Personnel OEF</v>
          </cell>
          <cell r="F21">
            <v>0</v>
          </cell>
          <cell r="L21">
            <v>0</v>
          </cell>
          <cell r="P21">
            <v>0</v>
          </cell>
          <cell r="AC21">
            <v>0</v>
          </cell>
        </row>
        <row r="22">
          <cell r="B22">
            <v>4</v>
          </cell>
          <cell r="C22" t="str">
            <v>013</v>
          </cell>
          <cell r="D22" t="str">
            <v>1233</v>
          </cell>
          <cell r="E22" t="str">
            <v>Indemnité forfaitaire de congé, Personnel OEF</v>
          </cell>
          <cell r="F22">
            <v>0</v>
          </cell>
          <cell r="L22">
            <v>0</v>
          </cell>
          <cell r="P22">
            <v>0</v>
          </cell>
          <cell r="AC22">
            <v>0</v>
          </cell>
        </row>
        <row r="23">
          <cell r="B23">
            <v>5</v>
          </cell>
          <cell r="C23" t="str">
            <v>013</v>
          </cell>
          <cell r="D23" t="str">
            <v>1243</v>
          </cell>
          <cell r="E23" t="str">
            <v>Indemnité de logement, Personnel OEF</v>
          </cell>
          <cell r="F23">
            <v>0</v>
          </cell>
          <cell r="L23">
            <v>0</v>
          </cell>
          <cell r="P23">
            <v>0</v>
          </cell>
          <cell r="AC23">
            <v>0</v>
          </cell>
        </row>
        <row r="24">
          <cell r="B24">
            <v>6</v>
          </cell>
          <cell r="C24" t="str">
            <v>013</v>
          </cell>
          <cell r="D24" t="str">
            <v>1253</v>
          </cell>
          <cell r="E24" t="str">
            <v>Aide au logement, Personnel OEF</v>
          </cell>
          <cell r="F24">
            <v>0</v>
          </cell>
          <cell r="L24">
            <v>0</v>
          </cell>
          <cell r="P24">
            <v>0</v>
          </cell>
          <cell r="AC24">
            <v>0</v>
          </cell>
        </row>
        <row r="25">
          <cell r="B25">
            <v>7</v>
          </cell>
          <cell r="C25" t="str">
            <v>013</v>
          </cell>
          <cell r="D25" t="str">
            <v>1273</v>
          </cell>
          <cell r="E25" t="str">
            <v>Prime de responsabilité, de rendement et d'asséduité, Personnel OEF</v>
          </cell>
          <cell r="F25">
            <v>0</v>
          </cell>
          <cell r="L25">
            <v>0</v>
          </cell>
          <cell r="P25">
            <v>0</v>
          </cell>
          <cell r="AC25">
            <v>0</v>
          </cell>
        </row>
        <row r="26">
          <cell r="B26">
            <v>8</v>
          </cell>
          <cell r="C26" t="str">
            <v>013</v>
          </cell>
          <cell r="D26" t="str">
            <v>1283</v>
          </cell>
          <cell r="E26" t="str">
            <v>Charges familiales, Mariages, Naissances, Décès, a. f... OEF</v>
          </cell>
          <cell r="F26">
            <v>0</v>
          </cell>
          <cell r="L26">
            <v>0</v>
          </cell>
          <cell r="P26">
            <v>0</v>
          </cell>
          <cell r="AC26">
            <v>0</v>
          </cell>
        </row>
        <row r="27">
          <cell r="B27">
            <v>9</v>
          </cell>
          <cell r="C27" t="str">
            <v>013</v>
          </cell>
          <cell r="D27" t="str">
            <v>1293</v>
          </cell>
          <cell r="E27" t="str">
            <v>Autres avantages et indemnités diverses, Scolarité, Mecque etc.., Personnel OEF</v>
          </cell>
          <cell r="F27">
            <v>0</v>
          </cell>
          <cell r="L27">
            <v>0</v>
          </cell>
          <cell r="P27">
            <v>0</v>
          </cell>
          <cell r="AC27">
            <v>0</v>
          </cell>
        </row>
        <row r="28">
          <cell r="B28">
            <v>1</v>
          </cell>
          <cell r="C28" t="str">
            <v>014</v>
          </cell>
          <cell r="D28" t="str">
            <v>1102</v>
          </cell>
          <cell r="E28" t="str">
            <v>Salaires et appointements personnel OEJ</v>
          </cell>
          <cell r="L28">
            <v>0</v>
          </cell>
          <cell r="P28">
            <v>0</v>
          </cell>
          <cell r="T28">
            <v>53916</v>
          </cell>
          <cell r="U28">
            <v>165648</v>
          </cell>
          <cell r="W28">
            <v>923724</v>
          </cell>
          <cell r="X28">
            <v>73908</v>
          </cell>
          <cell r="Y28">
            <v>50676</v>
          </cell>
          <cell r="AA28">
            <v>390972</v>
          </cell>
          <cell r="AB28">
            <v>475224</v>
          </cell>
          <cell r="AC28">
            <v>2134068</v>
          </cell>
        </row>
        <row r="29">
          <cell r="B29">
            <v>1</v>
          </cell>
          <cell r="C29" t="str">
            <v>015</v>
          </cell>
          <cell r="D29" t="str">
            <v>1202</v>
          </cell>
          <cell r="E29" t="str">
            <v>Frais médicaux et pharmaceutiques exterieurs, prises en charge OEJ</v>
          </cell>
          <cell r="L29">
            <v>0</v>
          </cell>
          <cell r="P29">
            <v>0</v>
          </cell>
          <cell r="T29">
            <v>41952</v>
          </cell>
          <cell r="U29">
            <v>116040</v>
          </cell>
          <cell r="W29">
            <v>802080</v>
          </cell>
          <cell r="X29">
            <v>56136</v>
          </cell>
          <cell r="Y29">
            <v>39168</v>
          </cell>
          <cell r="AA29">
            <v>325608</v>
          </cell>
          <cell r="AB29">
            <v>383508</v>
          </cell>
          <cell r="AC29">
            <v>1764492</v>
          </cell>
        </row>
        <row r="30">
          <cell r="B30">
            <v>2</v>
          </cell>
          <cell r="C30" t="str">
            <v>015</v>
          </cell>
          <cell r="D30" t="str">
            <v>1212</v>
          </cell>
          <cell r="E30" t="str">
            <v>Salaires des congés payés, Maladie, Maternité, Accidents, Personnel OEJ</v>
          </cell>
          <cell r="F30">
            <v>0</v>
          </cell>
          <cell r="L30">
            <v>0</v>
          </cell>
          <cell r="P30">
            <v>0</v>
          </cell>
          <cell r="AC30">
            <v>0</v>
          </cell>
        </row>
        <row r="31">
          <cell r="B31">
            <v>3</v>
          </cell>
          <cell r="C31" t="str">
            <v>015</v>
          </cell>
          <cell r="D31" t="str">
            <v>1222</v>
          </cell>
          <cell r="E31" t="str">
            <v>Indemnités d'éloignement et de transport, Personnel OEJ</v>
          </cell>
          <cell r="F31">
            <v>0</v>
          </cell>
          <cell r="L31">
            <v>0</v>
          </cell>
          <cell r="P31">
            <v>0</v>
          </cell>
          <cell r="AC31">
            <v>0</v>
          </cell>
        </row>
        <row r="32">
          <cell r="B32">
            <v>4</v>
          </cell>
          <cell r="C32" t="str">
            <v>015</v>
          </cell>
          <cell r="D32" t="str">
            <v>1232</v>
          </cell>
          <cell r="E32" t="str">
            <v>Indemnité forfaitaire de congé, Personnel OEJ</v>
          </cell>
          <cell r="F32">
            <v>0</v>
          </cell>
          <cell r="L32">
            <v>0</v>
          </cell>
          <cell r="P32">
            <v>0</v>
          </cell>
          <cell r="AC32">
            <v>0</v>
          </cell>
        </row>
        <row r="33">
          <cell r="B33">
            <v>5</v>
          </cell>
          <cell r="C33" t="str">
            <v>015</v>
          </cell>
          <cell r="D33" t="str">
            <v>1242</v>
          </cell>
          <cell r="E33" t="str">
            <v>Indemnité de logement, Personnel OEJ</v>
          </cell>
          <cell r="F33">
            <v>0</v>
          </cell>
          <cell r="L33">
            <v>0</v>
          </cell>
          <cell r="P33">
            <v>0</v>
          </cell>
          <cell r="AC33">
            <v>0</v>
          </cell>
        </row>
        <row r="34">
          <cell r="B34">
            <v>6</v>
          </cell>
          <cell r="C34" t="str">
            <v>015</v>
          </cell>
          <cell r="D34" t="str">
            <v>1252</v>
          </cell>
          <cell r="E34" t="str">
            <v>Aide au logement, Personnel OEJ</v>
          </cell>
          <cell r="F34">
            <v>0</v>
          </cell>
          <cell r="L34">
            <v>0</v>
          </cell>
          <cell r="P34">
            <v>0</v>
          </cell>
          <cell r="AC34">
            <v>0</v>
          </cell>
        </row>
        <row r="35">
          <cell r="B35">
            <v>7</v>
          </cell>
          <cell r="C35" t="str">
            <v>015</v>
          </cell>
          <cell r="D35" t="str">
            <v>1272</v>
          </cell>
          <cell r="E35" t="str">
            <v>Prime de responsabilité, de rendement et d'asséduité, Personnel OEJ</v>
          </cell>
          <cell r="F35">
            <v>0</v>
          </cell>
          <cell r="L35">
            <v>0</v>
          </cell>
          <cell r="P35">
            <v>0</v>
          </cell>
          <cell r="AC35">
            <v>0</v>
          </cell>
        </row>
        <row r="36">
          <cell r="B36">
            <v>8</v>
          </cell>
          <cell r="C36" t="str">
            <v>015</v>
          </cell>
          <cell r="D36" t="str">
            <v>1282</v>
          </cell>
          <cell r="E36" t="str">
            <v>Charges fami. mariage, naiss.,decès, a. f... OEJ</v>
          </cell>
          <cell r="F36">
            <v>0</v>
          </cell>
          <cell r="L36">
            <v>0</v>
          </cell>
          <cell r="P36">
            <v>0</v>
          </cell>
          <cell r="AC36">
            <v>0</v>
          </cell>
        </row>
        <row r="37">
          <cell r="B37">
            <v>9</v>
          </cell>
          <cell r="C37" t="str">
            <v>015</v>
          </cell>
          <cell r="D37" t="str">
            <v>1292</v>
          </cell>
          <cell r="E37" t="str">
            <v>Autres avantages et indemnités diverses, Scolarité, Mecque etc.., Personnel OEJ</v>
          </cell>
          <cell r="F37">
            <v>0</v>
          </cell>
          <cell r="L37">
            <v>0</v>
          </cell>
          <cell r="P37">
            <v>0</v>
          </cell>
          <cell r="AC37">
            <v>0</v>
          </cell>
        </row>
        <row r="38">
          <cell r="B38">
            <v>1</v>
          </cell>
          <cell r="C38" t="str">
            <v>016</v>
          </cell>
          <cell r="D38" t="str">
            <v>1101</v>
          </cell>
          <cell r="E38" t="str">
            <v>Salaires et appointements personnel OEF</v>
          </cell>
          <cell r="F38">
            <v>135084</v>
          </cell>
          <cell r="G38">
            <v>120588</v>
          </cell>
          <cell r="H38">
            <v>81396</v>
          </cell>
          <cell r="I38">
            <v>95760</v>
          </cell>
          <cell r="J38">
            <v>79704</v>
          </cell>
          <cell r="K38">
            <v>110988</v>
          </cell>
          <cell r="L38">
            <v>623520</v>
          </cell>
          <cell r="N38">
            <v>217440</v>
          </cell>
          <cell r="O38">
            <v>303948</v>
          </cell>
          <cell r="P38">
            <v>521388</v>
          </cell>
          <cell r="R38">
            <v>264</v>
          </cell>
          <cell r="S38">
            <v>1054752</v>
          </cell>
          <cell r="T38">
            <v>1949652</v>
          </cell>
          <cell r="U38">
            <v>595188</v>
          </cell>
          <cell r="V38">
            <v>218388</v>
          </cell>
          <cell r="W38">
            <v>284616</v>
          </cell>
          <cell r="X38">
            <v>41928</v>
          </cell>
          <cell r="AA38">
            <v>78660</v>
          </cell>
          <cell r="AB38">
            <v>567756</v>
          </cell>
          <cell r="AC38">
            <v>5936112</v>
          </cell>
        </row>
        <row r="39">
          <cell r="B39">
            <v>1</v>
          </cell>
          <cell r="C39" t="str">
            <v>017</v>
          </cell>
          <cell r="D39" t="str">
            <v>1201</v>
          </cell>
          <cell r="E39" t="str">
            <v>Frais médicaux et pharmaceutiques exterieurs, prises en charge OEB</v>
          </cell>
          <cell r="F39">
            <v>137592</v>
          </cell>
          <cell r="G39">
            <v>130020</v>
          </cell>
          <cell r="H39">
            <v>93948</v>
          </cell>
          <cell r="I39">
            <v>122772</v>
          </cell>
          <cell r="J39">
            <v>84708</v>
          </cell>
          <cell r="K39">
            <v>113436</v>
          </cell>
          <cell r="L39">
            <v>682476</v>
          </cell>
          <cell r="N39">
            <v>415572</v>
          </cell>
          <cell r="O39">
            <v>589800</v>
          </cell>
          <cell r="P39">
            <v>1005372</v>
          </cell>
          <cell r="R39">
            <v>3312</v>
          </cell>
          <cell r="S39">
            <v>900528</v>
          </cell>
          <cell r="T39">
            <v>1576032</v>
          </cell>
          <cell r="U39">
            <v>448920</v>
          </cell>
          <cell r="V39">
            <v>410688</v>
          </cell>
          <cell r="W39">
            <v>172704</v>
          </cell>
          <cell r="X39">
            <v>29568</v>
          </cell>
          <cell r="AA39">
            <v>46584</v>
          </cell>
          <cell r="AB39">
            <v>326064</v>
          </cell>
          <cell r="AC39">
            <v>5602248</v>
          </cell>
        </row>
        <row r="40">
          <cell r="B40">
            <v>2</v>
          </cell>
          <cell r="C40" t="str">
            <v>017</v>
          </cell>
          <cell r="D40" t="str">
            <v>1211</v>
          </cell>
          <cell r="E40" t="str">
            <v>Salaires des congés payés, Maladie, Maternité, Accidents, Personnel OEB</v>
          </cell>
          <cell r="F40">
            <v>0</v>
          </cell>
          <cell r="L40">
            <v>0</v>
          </cell>
          <cell r="P40">
            <v>0</v>
          </cell>
          <cell r="AC40">
            <v>0</v>
          </cell>
        </row>
        <row r="41">
          <cell r="B41">
            <v>3</v>
          </cell>
          <cell r="C41" t="str">
            <v>017</v>
          </cell>
          <cell r="D41" t="str">
            <v>1221</v>
          </cell>
          <cell r="E41" t="str">
            <v>Indemnités d'éloignement et de transport, Personnel OEB</v>
          </cell>
          <cell r="F41">
            <v>0</v>
          </cell>
          <cell r="L41">
            <v>0</v>
          </cell>
          <cell r="P41">
            <v>0</v>
          </cell>
          <cell r="AC41">
            <v>0</v>
          </cell>
        </row>
        <row r="42">
          <cell r="B42">
            <v>4</v>
          </cell>
          <cell r="C42" t="str">
            <v>017</v>
          </cell>
          <cell r="D42" t="str">
            <v>1231</v>
          </cell>
          <cell r="E42" t="str">
            <v>Indemnité forfaitaire de congé, Personnel OEB</v>
          </cell>
          <cell r="F42">
            <v>0</v>
          </cell>
          <cell r="L42">
            <v>0</v>
          </cell>
          <cell r="P42">
            <v>0</v>
          </cell>
          <cell r="AC42">
            <v>0</v>
          </cell>
        </row>
        <row r="43">
          <cell r="B43">
            <v>5</v>
          </cell>
          <cell r="C43" t="str">
            <v>017</v>
          </cell>
          <cell r="D43" t="str">
            <v>1241</v>
          </cell>
          <cell r="E43" t="str">
            <v>Indemnité de logement, Personnel OEB</v>
          </cell>
          <cell r="F43">
            <v>0</v>
          </cell>
          <cell r="L43">
            <v>0</v>
          </cell>
          <cell r="P43">
            <v>0</v>
          </cell>
          <cell r="AC43">
            <v>0</v>
          </cell>
        </row>
        <row r="44">
          <cell r="B44">
            <v>6</v>
          </cell>
          <cell r="C44" t="str">
            <v>017</v>
          </cell>
          <cell r="D44" t="str">
            <v>1251</v>
          </cell>
          <cell r="E44" t="str">
            <v>Aide au logement, Personnel OEB</v>
          </cell>
          <cell r="F44">
            <v>0</v>
          </cell>
          <cell r="L44">
            <v>0</v>
          </cell>
          <cell r="P44">
            <v>0</v>
          </cell>
          <cell r="AC44">
            <v>0</v>
          </cell>
        </row>
        <row r="45">
          <cell r="B45">
            <v>7</v>
          </cell>
          <cell r="C45" t="str">
            <v>017</v>
          </cell>
          <cell r="D45" t="str">
            <v>1271</v>
          </cell>
          <cell r="E45" t="str">
            <v>Prime de responsabilité, de rendement et d'asséduité, Personnel OEB</v>
          </cell>
          <cell r="F45">
            <v>0</v>
          </cell>
          <cell r="L45">
            <v>0</v>
          </cell>
          <cell r="P45">
            <v>0</v>
          </cell>
          <cell r="AC45">
            <v>0</v>
          </cell>
        </row>
        <row r="46">
          <cell r="B46">
            <v>8</v>
          </cell>
          <cell r="C46" t="str">
            <v>017</v>
          </cell>
          <cell r="D46" t="str">
            <v>1281</v>
          </cell>
          <cell r="E46" t="str">
            <v>Charges familiales, Mariages, Naissances, Décès, a. f... OEB</v>
          </cell>
          <cell r="F46">
            <v>0</v>
          </cell>
          <cell r="L46">
            <v>0</v>
          </cell>
          <cell r="P46">
            <v>0</v>
          </cell>
          <cell r="AC46">
            <v>0</v>
          </cell>
        </row>
        <row r="47">
          <cell r="B47">
            <v>9</v>
          </cell>
          <cell r="C47" t="str">
            <v>017</v>
          </cell>
          <cell r="D47" t="str">
            <v>1291</v>
          </cell>
          <cell r="E47" t="str">
            <v>Autres avantages et indemnités diverses scolarité, voy mecque etc., Personnel OEB</v>
          </cell>
          <cell r="F47">
            <v>0</v>
          </cell>
          <cell r="L47">
            <v>0</v>
          </cell>
          <cell r="P47">
            <v>0</v>
          </cell>
          <cell r="AC47">
            <v>0</v>
          </cell>
        </row>
        <row r="48">
          <cell r="B48">
            <v>1</v>
          </cell>
          <cell r="C48" t="str">
            <v>018</v>
          </cell>
          <cell r="D48" t="str">
            <v>1104</v>
          </cell>
          <cell r="E48" t="str">
            <v>Salaires et appointements personnel appoints</v>
          </cell>
          <cell r="L48">
            <v>0</v>
          </cell>
          <cell r="P48">
            <v>0</v>
          </cell>
          <cell r="AC48">
            <v>0</v>
          </cell>
        </row>
        <row r="49">
          <cell r="B49">
            <v>1</v>
          </cell>
          <cell r="C49" t="str">
            <v>019</v>
          </cell>
          <cell r="D49" t="str">
            <v>1204</v>
          </cell>
          <cell r="E49" t="str">
            <v>Frais médicaux et pharmaceutiques exterieurs, prises en charge appts</v>
          </cell>
          <cell r="L49">
            <v>0</v>
          </cell>
          <cell r="P49">
            <v>0</v>
          </cell>
          <cell r="AC49">
            <v>0</v>
          </cell>
        </row>
        <row r="50">
          <cell r="B50">
            <v>2</v>
          </cell>
          <cell r="C50" t="str">
            <v>019</v>
          </cell>
          <cell r="D50" t="str">
            <v>1214</v>
          </cell>
          <cell r="E50" t="str">
            <v>Salaires des congés payés, Maladie, Maternité, Accidents app.</v>
          </cell>
          <cell r="F50">
            <v>0</v>
          </cell>
          <cell r="L50">
            <v>0</v>
          </cell>
          <cell r="P50">
            <v>0</v>
          </cell>
          <cell r="AC50">
            <v>0</v>
          </cell>
        </row>
        <row r="51">
          <cell r="B51">
            <v>3</v>
          </cell>
          <cell r="C51" t="str">
            <v>019</v>
          </cell>
          <cell r="D51" t="str">
            <v>1224</v>
          </cell>
          <cell r="E51" t="str">
            <v>Indemnités d'éloignement et de transport, Personnel appoints</v>
          </cell>
          <cell r="F51">
            <v>0</v>
          </cell>
          <cell r="L51">
            <v>0</v>
          </cell>
          <cell r="P51">
            <v>0</v>
          </cell>
          <cell r="AC51">
            <v>0</v>
          </cell>
        </row>
        <row r="52">
          <cell r="B52">
            <v>4</v>
          </cell>
          <cell r="C52" t="str">
            <v>019</v>
          </cell>
          <cell r="D52" t="str">
            <v>1234</v>
          </cell>
          <cell r="E52" t="str">
            <v>Iindemnité forfaitaire de congé, Personnel appoints</v>
          </cell>
          <cell r="F52">
            <v>0</v>
          </cell>
          <cell r="L52">
            <v>0</v>
          </cell>
          <cell r="P52">
            <v>0</v>
          </cell>
          <cell r="AC52">
            <v>0</v>
          </cell>
        </row>
        <row r="53">
          <cell r="B53">
            <v>5</v>
          </cell>
          <cell r="C53" t="str">
            <v>019</v>
          </cell>
          <cell r="D53" t="str">
            <v>1244</v>
          </cell>
          <cell r="E53" t="str">
            <v>Indemnité de logement, Personnel appoints</v>
          </cell>
          <cell r="F53">
            <v>0</v>
          </cell>
          <cell r="L53">
            <v>0</v>
          </cell>
          <cell r="P53">
            <v>0</v>
          </cell>
          <cell r="AC53">
            <v>0</v>
          </cell>
        </row>
        <row r="54">
          <cell r="B54">
            <v>6</v>
          </cell>
          <cell r="C54" t="str">
            <v>019</v>
          </cell>
          <cell r="D54" t="str">
            <v>1254</v>
          </cell>
          <cell r="E54" t="str">
            <v>Aide au logement, Personnel appoints</v>
          </cell>
          <cell r="F54">
            <v>0</v>
          </cell>
          <cell r="L54">
            <v>0</v>
          </cell>
          <cell r="P54">
            <v>0</v>
          </cell>
          <cell r="AC54">
            <v>0</v>
          </cell>
        </row>
        <row r="55">
          <cell r="B55">
            <v>7</v>
          </cell>
          <cell r="C55" t="str">
            <v>019</v>
          </cell>
          <cell r="D55" t="str">
            <v>1274</v>
          </cell>
          <cell r="E55" t="str">
            <v>Prime de responsabilité, de rendement et d'asséduité, Personnel appoints</v>
          </cell>
          <cell r="F55">
            <v>0</v>
          </cell>
          <cell r="L55">
            <v>0</v>
          </cell>
          <cell r="P55">
            <v>0</v>
          </cell>
          <cell r="AC55">
            <v>0</v>
          </cell>
        </row>
        <row r="56">
          <cell r="B56">
            <v>8</v>
          </cell>
          <cell r="C56" t="str">
            <v>019</v>
          </cell>
          <cell r="D56" t="str">
            <v>1284</v>
          </cell>
          <cell r="E56" t="str">
            <v>Charges fami. mariage, naiss.,decès, a. f... appoints</v>
          </cell>
          <cell r="F56">
            <v>0</v>
          </cell>
          <cell r="L56">
            <v>0</v>
          </cell>
          <cell r="P56">
            <v>0</v>
          </cell>
          <cell r="AC56">
            <v>0</v>
          </cell>
        </row>
        <row r="57">
          <cell r="B57">
            <v>9</v>
          </cell>
          <cell r="C57" t="str">
            <v>019</v>
          </cell>
          <cell r="D57" t="str">
            <v>1294</v>
          </cell>
          <cell r="E57" t="str">
            <v>Autres avan. et indemnités diverses scolarité, voy mecque etc., Personnel app.</v>
          </cell>
          <cell r="F57">
            <v>0</v>
          </cell>
          <cell r="L57">
            <v>0</v>
          </cell>
          <cell r="P57">
            <v>0</v>
          </cell>
          <cell r="AC57">
            <v>0</v>
          </cell>
        </row>
        <row r="58">
          <cell r="B58">
            <v>1</v>
          </cell>
          <cell r="C58" t="str">
            <v>020</v>
          </cell>
          <cell r="D58" t="str">
            <v>1105</v>
          </cell>
          <cell r="E58" t="str">
            <v>Salaires et appointements personnel OEM</v>
          </cell>
          <cell r="L58">
            <v>0</v>
          </cell>
          <cell r="P58">
            <v>0</v>
          </cell>
          <cell r="AC58">
            <v>0</v>
          </cell>
        </row>
        <row r="59">
          <cell r="B59">
            <v>1</v>
          </cell>
          <cell r="C59" t="str">
            <v>021</v>
          </cell>
          <cell r="D59" t="str">
            <v>1205</v>
          </cell>
          <cell r="E59" t="str">
            <v>Frais médicaux et pharmaceutiques, exterieurs prises en chargeOEM</v>
          </cell>
          <cell r="L59">
            <v>0</v>
          </cell>
          <cell r="P59">
            <v>0</v>
          </cell>
          <cell r="AC59">
            <v>0</v>
          </cell>
        </row>
        <row r="60">
          <cell r="B60">
            <v>2</v>
          </cell>
          <cell r="C60" t="str">
            <v>021</v>
          </cell>
          <cell r="D60" t="str">
            <v>1215</v>
          </cell>
          <cell r="E60" t="str">
            <v>Salaires des congés payés, Maladie, Maternité, Accidents, Personnel OEM</v>
          </cell>
          <cell r="F60">
            <v>0</v>
          </cell>
          <cell r="L60">
            <v>0</v>
          </cell>
          <cell r="P60">
            <v>0</v>
          </cell>
          <cell r="AC60">
            <v>0</v>
          </cell>
        </row>
        <row r="61">
          <cell r="B61">
            <v>3</v>
          </cell>
          <cell r="C61" t="str">
            <v>021</v>
          </cell>
          <cell r="D61" t="str">
            <v>1225</v>
          </cell>
          <cell r="E61" t="str">
            <v>Indemnités d'éloignement et de transport, Personnel OEM</v>
          </cell>
          <cell r="F61">
            <v>0</v>
          </cell>
          <cell r="L61">
            <v>0</v>
          </cell>
          <cell r="P61">
            <v>0</v>
          </cell>
          <cell r="AC61">
            <v>0</v>
          </cell>
        </row>
        <row r="62">
          <cell r="B62">
            <v>4</v>
          </cell>
          <cell r="C62" t="str">
            <v>021</v>
          </cell>
          <cell r="D62" t="str">
            <v>1235</v>
          </cell>
          <cell r="E62" t="str">
            <v>Indemnité forfaitaire de congé, Personnel OEM</v>
          </cell>
          <cell r="F62">
            <v>0</v>
          </cell>
          <cell r="L62">
            <v>0</v>
          </cell>
          <cell r="P62">
            <v>0</v>
          </cell>
          <cell r="AC62">
            <v>0</v>
          </cell>
        </row>
        <row r="63">
          <cell r="B63">
            <v>5</v>
          </cell>
          <cell r="C63" t="str">
            <v>021</v>
          </cell>
          <cell r="D63" t="str">
            <v>1245</v>
          </cell>
          <cell r="E63" t="str">
            <v>Indemnité de logement, Personnel OEM</v>
          </cell>
          <cell r="F63">
            <v>0</v>
          </cell>
          <cell r="L63">
            <v>0</v>
          </cell>
          <cell r="P63">
            <v>0</v>
          </cell>
          <cell r="AC63">
            <v>0</v>
          </cell>
        </row>
        <row r="64">
          <cell r="B64">
            <v>6</v>
          </cell>
          <cell r="C64" t="str">
            <v>021</v>
          </cell>
          <cell r="D64" t="str">
            <v>1255</v>
          </cell>
          <cell r="E64" t="str">
            <v>Aide au logement, Personnel OEM</v>
          </cell>
          <cell r="F64">
            <v>0</v>
          </cell>
          <cell r="L64">
            <v>0</v>
          </cell>
          <cell r="P64">
            <v>0</v>
          </cell>
          <cell r="AC64">
            <v>0</v>
          </cell>
        </row>
        <row r="65">
          <cell r="B65">
            <v>7</v>
          </cell>
          <cell r="C65" t="str">
            <v>021</v>
          </cell>
          <cell r="D65" t="str">
            <v>1275</v>
          </cell>
          <cell r="E65" t="str">
            <v>Prime de responsabilité, de rendement et d'asséduité, Personnel OEM</v>
          </cell>
          <cell r="F65">
            <v>0</v>
          </cell>
          <cell r="L65">
            <v>0</v>
          </cell>
          <cell r="P65">
            <v>0</v>
          </cell>
          <cell r="AC65">
            <v>0</v>
          </cell>
        </row>
        <row r="66">
          <cell r="B66">
            <v>8</v>
          </cell>
          <cell r="C66" t="str">
            <v>021</v>
          </cell>
          <cell r="D66" t="str">
            <v>1285</v>
          </cell>
          <cell r="E66" t="str">
            <v>Charges fami. mariage, naiss.,decès, a. f... OEM</v>
          </cell>
          <cell r="F66">
            <v>0</v>
          </cell>
          <cell r="L66">
            <v>0</v>
          </cell>
          <cell r="P66">
            <v>0</v>
          </cell>
          <cell r="AC66">
            <v>0</v>
          </cell>
        </row>
        <row r="67">
          <cell r="B67">
            <v>9</v>
          </cell>
          <cell r="C67" t="str">
            <v>021</v>
          </cell>
          <cell r="D67" t="str">
            <v>1295</v>
          </cell>
          <cell r="E67" t="str">
            <v>Autres avantages et indemnités diverses scolarité, voy mecque etc., Personnel OEM</v>
          </cell>
          <cell r="F67">
            <v>0</v>
          </cell>
          <cell r="L67">
            <v>0</v>
          </cell>
          <cell r="P67">
            <v>0</v>
          </cell>
          <cell r="AC67">
            <v>0</v>
          </cell>
        </row>
        <row r="68">
          <cell r="B68">
            <v>1</v>
          </cell>
          <cell r="C68" t="str">
            <v>022</v>
          </cell>
          <cell r="D68" t="str">
            <v>1106</v>
          </cell>
          <cell r="E68" t="str">
            <v>Salaires et appointements personnel TAMCA</v>
          </cell>
          <cell r="F68">
            <v>64272</v>
          </cell>
          <cell r="G68">
            <v>23532</v>
          </cell>
          <cell r="H68">
            <v>39288</v>
          </cell>
          <cell r="I68">
            <v>52956</v>
          </cell>
          <cell r="J68">
            <v>28920</v>
          </cell>
          <cell r="K68">
            <v>40428</v>
          </cell>
          <cell r="L68">
            <v>249396</v>
          </cell>
          <cell r="N68">
            <v>165816</v>
          </cell>
          <cell r="O68">
            <v>255936</v>
          </cell>
          <cell r="P68">
            <v>421752</v>
          </cell>
          <cell r="S68">
            <v>83940</v>
          </cell>
          <cell r="T68">
            <v>363240</v>
          </cell>
          <cell r="U68">
            <v>73512</v>
          </cell>
          <cell r="V68">
            <v>267024</v>
          </cell>
          <cell r="W68">
            <v>249804</v>
          </cell>
          <cell r="Y68">
            <v>53424</v>
          </cell>
          <cell r="AA68">
            <v>222576</v>
          </cell>
          <cell r="AB68">
            <v>216060</v>
          </cell>
          <cell r="AC68">
            <v>2200728</v>
          </cell>
        </row>
        <row r="69">
          <cell r="B69">
            <v>1</v>
          </cell>
          <cell r="C69" t="str">
            <v>023</v>
          </cell>
          <cell r="D69" t="str">
            <v>1206</v>
          </cell>
          <cell r="E69" t="str">
            <v>Frais médicaux et pharmaceutiques, exterieurs prises en charge TAMCA</v>
          </cell>
          <cell r="F69">
            <v>21900</v>
          </cell>
          <cell r="G69">
            <v>9876</v>
          </cell>
          <cell r="H69">
            <v>22008</v>
          </cell>
          <cell r="I69">
            <v>12900</v>
          </cell>
          <cell r="J69">
            <v>9648</v>
          </cell>
          <cell r="K69">
            <v>17040</v>
          </cell>
          <cell r="L69">
            <v>93372</v>
          </cell>
          <cell r="N69">
            <v>47196</v>
          </cell>
          <cell r="O69">
            <v>99912</v>
          </cell>
          <cell r="P69">
            <v>147108</v>
          </cell>
          <cell r="S69">
            <v>15720</v>
          </cell>
          <cell r="T69">
            <v>128496</v>
          </cell>
          <cell r="U69">
            <v>39288</v>
          </cell>
          <cell r="V69">
            <v>100320</v>
          </cell>
          <cell r="W69">
            <v>86628</v>
          </cell>
          <cell r="Y69">
            <v>24576</v>
          </cell>
          <cell r="AA69">
            <v>89808</v>
          </cell>
          <cell r="AB69">
            <v>64572</v>
          </cell>
          <cell r="AC69">
            <v>789888</v>
          </cell>
        </row>
        <row r="70">
          <cell r="B70">
            <v>2</v>
          </cell>
          <cell r="C70" t="str">
            <v>023</v>
          </cell>
          <cell r="D70" t="str">
            <v>1216</v>
          </cell>
          <cell r="E70" t="str">
            <v>Salaires des congés payés, Maladie, Maternité, Accidents, Personnel TAMCA</v>
          </cell>
          <cell r="F70">
            <v>0</v>
          </cell>
          <cell r="L70">
            <v>0</v>
          </cell>
          <cell r="P70">
            <v>0</v>
          </cell>
          <cell r="AC70">
            <v>0</v>
          </cell>
        </row>
        <row r="71">
          <cell r="B71">
            <v>3</v>
          </cell>
          <cell r="C71" t="str">
            <v>023</v>
          </cell>
          <cell r="D71" t="str">
            <v>1226</v>
          </cell>
          <cell r="E71" t="str">
            <v>Indemnités d'éloignement et de transport, Personnel TAMCA</v>
          </cell>
          <cell r="F71">
            <v>0</v>
          </cell>
          <cell r="L71">
            <v>0</v>
          </cell>
          <cell r="P71">
            <v>0</v>
          </cell>
          <cell r="AC71">
            <v>0</v>
          </cell>
        </row>
        <row r="72">
          <cell r="B72">
            <v>4</v>
          </cell>
          <cell r="C72" t="str">
            <v>023</v>
          </cell>
          <cell r="D72" t="str">
            <v>1236</v>
          </cell>
          <cell r="E72" t="str">
            <v>Indemnité forfaitaire de congé, Personnel TAMCA</v>
          </cell>
          <cell r="F72">
            <v>0</v>
          </cell>
          <cell r="L72">
            <v>0</v>
          </cell>
          <cell r="P72">
            <v>0</v>
          </cell>
          <cell r="AC72">
            <v>0</v>
          </cell>
        </row>
        <row r="73">
          <cell r="B73">
            <v>5</v>
          </cell>
          <cell r="C73" t="str">
            <v>023</v>
          </cell>
          <cell r="D73" t="str">
            <v>1246</v>
          </cell>
          <cell r="E73" t="str">
            <v>Indemnité de logement, Personnel TAMCA</v>
          </cell>
          <cell r="F73">
            <v>0</v>
          </cell>
          <cell r="L73">
            <v>0</v>
          </cell>
          <cell r="P73">
            <v>0</v>
          </cell>
          <cell r="AC73">
            <v>0</v>
          </cell>
        </row>
        <row r="74">
          <cell r="B74">
            <v>6</v>
          </cell>
          <cell r="C74" t="str">
            <v>023</v>
          </cell>
          <cell r="D74" t="str">
            <v>1256</v>
          </cell>
          <cell r="E74" t="str">
            <v>Aide au logement, Personnel TAMCA</v>
          </cell>
          <cell r="F74">
            <v>0</v>
          </cell>
          <cell r="L74">
            <v>0</v>
          </cell>
          <cell r="P74">
            <v>0</v>
          </cell>
          <cell r="AC74">
            <v>0</v>
          </cell>
        </row>
        <row r="75">
          <cell r="B75">
            <v>7</v>
          </cell>
          <cell r="C75" t="str">
            <v>023</v>
          </cell>
          <cell r="D75" t="str">
            <v>1276</v>
          </cell>
          <cell r="E75" t="str">
            <v>Prime de responsabilité, de rendement et d'asséduité, Personnel TAMCA</v>
          </cell>
          <cell r="F75">
            <v>0</v>
          </cell>
          <cell r="L75">
            <v>0</v>
          </cell>
          <cell r="P75">
            <v>0</v>
          </cell>
          <cell r="AC75">
            <v>0</v>
          </cell>
        </row>
        <row r="76">
          <cell r="B76">
            <v>8</v>
          </cell>
          <cell r="C76" t="str">
            <v>023</v>
          </cell>
          <cell r="D76" t="str">
            <v>1286</v>
          </cell>
          <cell r="E76" t="str">
            <v>Charges fami. mariage, naiss.,decès, a. f... TAMCA</v>
          </cell>
          <cell r="F76">
            <v>0</v>
          </cell>
          <cell r="L76">
            <v>0</v>
          </cell>
          <cell r="P76">
            <v>0</v>
          </cell>
          <cell r="AC76">
            <v>0</v>
          </cell>
        </row>
        <row r="77">
          <cell r="B77">
            <v>9</v>
          </cell>
          <cell r="C77" t="str">
            <v>023</v>
          </cell>
          <cell r="D77" t="str">
            <v>1296</v>
          </cell>
          <cell r="E77" t="str">
            <v>Autres avantages et indemnites diverses, Scolarité, Mecque etc.., Personnel TAMCA</v>
          </cell>
          <cell r="F77">
            <v>0</v>
          </cell>
          <cell r="L77">
            <v>0</v>
          </cell>
          <cell r="P77">
            <v>0</v>
          </cell>
          <cell r="AC77">
            <v>0</v>
          </cell>
        </row>
        <row r="78">
          <cell r="B78">
            <v>1</v>
          </cell>
          <cell r="C78" t="str">
            <v>030</v>
          </cell>
          <cell r="D78" t="str">
            <v>1749</v>
          </cell>
          <cell r="E78" t="str">
            <v>Bourses et frais de formation personnel OE à l'OCP</v>
          </cell>
          <cell r="L78">
            <v>0</v>
          </cell>
          <cell r="P78">
            <v>0</v>
          </cell>
          <cell r="AC78">
            <v>0</v>
          </cell>
        </row>
        <row r="79">
          <cell r="B79">
            <v>1</v>
          </cell>
          <cell r="C79" t="str">
            <v>031</v>
          </cell>
          <cell r="D79" t="str">
            <v>1759</v>
          </cell>
          <cell r="E79" t="str">
            <v>Bourses et frais de formation personnel TAMCA à l'OCP</v>
          </cell>
          <cell r="L79">
            <v>0</v>
          </cell>
          <cell r="P79">
            <v>0</v>
          </cell>
          <cell r="AC79">
            <v>0</v>
          </cell>
        </row>
        <row r="80">
          <cell r="B80">
            <v>1</v>
          </cell>
          <cell r="C80" t="str">
            <v>032</v>
          </cell>
          <cell r="D80" t="str">
            <v>1769</v>
          </cell>
          <cell r="E80" t="str">
            <v>Bourses et frais de formation à l'exterieur, Personnel OE</v>
          </cell>
          <cell r="L80">
            <v>0</v>
          </cell>
          <cell r="P80">
            <v>0</v>
          </cell>
          <cell r="AC80">
            <v>0</v>
          </cell>
        </row>
        <row r="81">
          <cell r="B81">
            <v>1</v>
          </cell>
          <cell r="C81" t="str">
            <v>033</v>
          </cell>
          <cell r="D81" t="str">
            <v>1779</v>
          </cell>
          <cell r="E81" t="str">
            <v>Bourses et frais de formation personnel TAMCA à l'exterieur</v>
          </cell>
          <cell r="L81">
            <v>0</v>
          </cell>
          <cell r="P81">
            <v>0</v>
          </cell>
          <cell r="AC81">
            <v>0</v>
          </cell>
        </row>
        <row r="82">
          <cell r="B82">
            <v>1</v>
          </cell>
          <cell r="C82" t="str">
            <v>035</v>
          </cell>
          <cell r="D82" t="str">
            <v>1320</v>
          </cell>
          <cell r="E82" t="str">
            <v>Part patronale OS 824 OET</v>
          </cell>
          <cell r="F82">
            <v>1800</v>
          </cell>
          <cell r="G82">
            <v>9228</v>
          </cell>
          <cell r="H82">
            <v>3288</v>
          </cell>
          <cell r="I82">
            <v>2556</v>
          </cell>
          <cell r="J82">
            <v>2796</v>
          </cell>
          <cell r="K82">
            <v>3180</v>
          </cell>
          <cell r="L82">
            <v>22848</v>
          </cell>
          <cell r="N82">
            <v>18840</v>
          </cell>
          <cell r="O82">
            <v>22584</v>
          </cell>
          <cell r="P82">
            <v>41424</v>
          </cell>
          <cell r="S82">
            <v>7488</v>
          </cell>
          <cell r="T82">
            <v>35736</v>
          </cell>
          <cell r="U82">
            <v>4920</v>
          </cell>
          <cell r="V82">
            <v>13056</v>
          </cell>
          <cell r="W82">
            <v>56532</v>
          </cell>
          <cell r="X82">
            <v>5604</v>
          </cell>
          <cell r="AA82">
            <v>12936</v>
          </cell>
          <cell r="AB82">
            <v>34692</v>
          </cell>
          <cell r="AC82">
            <v>235236</v>
          </cell>
        </row>
        <row r="83">
          <cell r="B83">
            <v>2</v>
          </cell>
          <cell r="C83" t="str">
            <v>035</v>
          </cell>
          <cell r="D83" t="str">
            <v>1321</v>
          </cell>
          <cell r="E83" t="str">
            <v>Part patronale OS 824 OEB</v>
          </cell>
          <cell r="F83">
            <v>0</v>
          </cell>
          <cell r="L83">
            <v>0</v>
          </cell>
          <cell r="P83">
            <v>0</v>
          </cell>
          <cell r="AC83">
            <v>0</v>
          </cell>
        </row>
        <row r="84">
          <cell r="B84">
            <v>3</v>
          </cell>
          <cell r="C84" t="str">
            <v>035</v>
          </cell>
          <cell r="D84" t="str">
            <v>1322</v>
          </cell>
          <cell r="E84" t="str">
            <v>Part patronale OS 824 OEJ</v>
          </cell>
          <cell r="F84">
            <v>0</v>
          </cell>
          <cell r="L84">
            <v>0</v>
          </cell>
          <cell r="P84">
            <v>0</v>
          </cell>
          <cell r="AC84">
            <v>0</v>
          </cell>
        </row>
        <row r="85">
          <cell r="B85">
            <v>4</v>
          </cell>
          <cell r="C85" t="str">
            <v>035</v>
          </cell>
          <cell r="D85" t="str">
            <v>1323</v>
          </cell>
          <cell r="E85" t="str">
            <v>Part patronale OS 824 OEF</v>
          </cell>
          <cell r="F85">
            <v>0</v>
          </cell>
          <cell r="L85">
            <v>0</v>
          </cell>
          <cell r="P85">
            <v>0</v>
          </cell>
          <cell r="AC85">
            <v>0</v>
          </cell>
        </row>
        <row r="86">
          <cell r="B86">
            <v>5</v>
          </cell>
          <cell r="C86" t="str">
            <v>035</v>
          </cell>
          <cell r="D86" t="str">
            <v>1324</v>
          </cell>
          <cell r="E86" t="str">
            <v>Part patronale OS 824 appoints</v>
          </cell>
          <cell r="F86">
            <v>0</v>
          </cell>
          <cell r="L86">
            <v>0</v>
          </cell>
          <cell r="P86">
            <v>0</v>
          </cell>
          <cell r="AC86">
            <v>0</v>
          </cell>
        </row>
        <row r="87">
          <cell r="B87">
            <v>6</v>
          </cell>
          <cell r="C87" t="str">
            <v>035</v>
          </cell>
          <cell r="D87" t="str">
            <v>1325</v>
          </cell>
          <cell r="E87" t="str">
            <v>Part patronale OS 824, Personnel OEM</v>
          </cell>
          <cell r="F87">
            <v>0</v>
          </cell>
          <cell r="L87">
            <v>0</v>
          </cell>
          <cell r="P87">
            <v>0</v>
          </cell>
          <cell r="AC87">
            <v>0</v>
          </cell>
        </row>
        <row r="88">
          <cell r="B88">
            <v>1</v>
          </cell>
          <cell r="C88" t="str">
            <v>036</v>
          </cell>
          <cell r="D88" t="str">
            <v>1330</v>
          </cell>
          <cell r="E88" t="str">
            <v>Part patronale Recore OS 824, Personnel OET</v>
          </cell>
          <cell r="F88">
            <v>708</v>
          </cell>
          <cell r="G88">
            <v>1596</v>
          </cell>
          <cell r="H88">
            <v>972</v>
          </cell>
          <cell r="I88">
            <v>1416</v>
          </cell>
          <cell r="J88">
            <v>1560</v>
          </cell>
          <cell r="K88">
            <v>2556</v>
          </cell>
          <cell r="L88">
            <v>8808</v>
          </cell>
          <cell r="N88">
            <v>14016</v>
          </cell>
          <cell r="O88">
            <v>18096</v>
          </cell>
          <cell r="P88">
            <v>32112</v>
          </cell>
          <cell r="S88">
            <v>1332</v>
          </cell>
          <cell r="T88">
            <v>20880</v>
          </cell>
          <cell r="U88">
            <v>1584</v>
          </cell>
          <cell r="V88">
            <v>7296</v>
          </cell>
          <cell r="W88">
            <v>11868</v>
          </cell>
          <cell r="X88">
            <v>1356</v>
          </cell>
          <cell r="AA88">
            <v>1620</v>
          </cell>
          <cell r="AB88">
            <v>18372</v>
          </cell>
          <cell r="AC88">
            <v>105228</v>
          </cell>
        </row>
        <row r="89">
          <cell r="B89">
            <v>2</v>
          </cell>
          <cell r="C89" t="str">
            <v>036</v>
          </cell>
          <cell r="D89" t="str">
            <v>1331</v>
          </cell>
          <cell r="E89" t="str">
            <v>Part patronale Recore OS 824, Personnel OEB</v>
          </cell>
          <cell r="F89">
            <v>0</v>
          </cell>
          <cell r="L89">
            <v>0</v>
          </cell>
          <cell r="P89">
            <v>0</v>
          </cell>
          <cell r="AC89">
            <v>0</v>
          </cell>
        </row>
        <row r="90">
          <cell r="B90">
            <v>3</v>
          </cell>
          <cell r="C90" t="str">
            <v>036</v>
          </cell>
          <cell r="D90" t="str">
            <v>1332</v>
          </cell>
          <cell r="E90" t="str">
            <v>Part patronale Recore OS 824, Personnel OEJ</v>
          </cell>
          <cell r="F90">
            <v>0</v>
          </cell>
          <cell r="L90">
            <v>0</v>
          </cell>
          <cell r="P90">
            <v>0</v>
          </cell>
          <cell r="AC90">
            <v>0</v>
          </cell>
        </row>
        <row r="91">
          <cell r="B91">
            <v>4</v>
          </cell>
          <cell r="C91" t="str">
            <v>036</v>
          </cell>
          <cell r="D91" t="str">
            <v>1333</v>
          </cell>
          <cell r="E91" t="str">
            <v>Part patronale Recore OS 824, Personnel OEF</v>
          </cell>
          <cell r="F91">
            <v>0</v>
          </cell>
          <cell r="L91">
            <v>0</v>
          </cell>
          <cell r="P91">
            <v>0</v>
          </cell>
          <cell r="AC91">
            <v>0</v>
          </cell>
        </row>
        <row r="92">
          <cell r="B92">
            <v>5</v>
          </cell>
          <cell r="C92" t="str">
            <v>036</v>
          </cell>
          <cell r="D92" t="str">
            <v>1334</v>
          </cell>
          <cell r="E92" t="str">
            <v>Part patronale Recore OS 824, Personnel appoints</v>
          </cell>
          <cell r="F92">
            <v>0</v>
          </cell>
          <cell r="L92">
            <v>0</v>
          </cell>
          <cell r="P92">
            <v>0</v>
          </cell>
          <cell r="AC92">
            <v>0</v>
          </cell>
        </row>
        <row r="93">
          <cell r="B93">
            <v>6</v>
          </cell>
          <cell r="C93" t="str">
            <v>036</v>
          </cell>
          <cell r="D93" t="str">
            <v>1335</v>
          </cell>
          <cell r="E93" t="str">
            <v>Part patronale Recore OS 824, Personnel OEM</v>
          </cell>
          <cell r="F93">
            <v>0</v>
          </cell>
          <cell r="L93">
            <v>0</v>
          </cell>
          <cell r="P93">
            <v>0</v>
          </cell>
          <cell r="AC93">
            <v>0</v>
          </cell>
        </row>
        <row r="94">
          <cell r="B94">
            <v>1</v>
          </cell>
          <cell r="C94" t="str">
            <v>037</v>
          </cell>
          <cell r="D94" t="str">
            <v>1340</v>
          </cell>
          <cell r="E94" t="str">
            <v>Part patronale RCAR régime de base, Personnel OET</v>
          </cell>
          <cell r="L94">
            <v>0</v>
          </cell>
          <cell r="P94">
            <v>0</v>
          </cell>
          <cell r="AC94">
            <v>0</v>
          </cell>
        </row>
        <row r="95">
          <cell r="B95">
            <v>2</v>
          </cell>
          <cell r="C95" t="str">
            <v>037</v>
          </cell>
          <cell r="D95" t="str">
            <v>1341</v>
          </cell>
          <cell r="E95" t="str">
            <v>Part patronale RCAR régime de base, Personnel OEB</v>
          </cell>
          <cell r="F95">
            <v>0</v>
          </cell>
          <cell r="L95">
            <v>0</v>
          </cell>
          <cell r="P95">
            <v>0</v>
          </cell>
          <cell r="AC95">
            <v>0</v>
          </cell>
        </row>
        <row r="96">
          <cell r="B96">
            <v>3</v>
          </cell>
          <cell r="C96" t="str">
            <v>037</v>
          </cell>
          <cell r="D96" t="str">
            <v>1342</v>
          </cell>
          <cell r="E96" t="str">
            <v>Part patronale RCAR régime de base, Personnel OEJ</v>
          </cell>
          <cell r="F96">
            <v>0</v>
          </cell>
          <cell r="L96">
            <v>0</v>
          </cell>
          <cell r="P96">
            <v>0</v>
          </cell>
          <cell r="AC96">
            <v>0</v>
          </cell>
        </row>
        <row r="97">
          <cell r="B97">
            <v>4</v>
          </cell>
          <cell r="C97" t="str">
            <v>037</v>
          </cell>
          <cell r="D97" t="str">
            <v>1343</v>
          </cell>
          <cell r="E97" t="str">
            <v>Part patronale RCAR régime de base, Personnel OEF</v>
          </cell>
          <cell r="F97">
            <v>0</v>
          </cell>
          <cell r="L97">
            <v>0</v>
          </cell>
          <cell r="P97">
            <v>0</v>
          </cell>
          <cell r="AC97">
            <v>0</v>
          </cell>
        </row>
        <row r="98">
          <cell r="B98">
            <v>5</v>
          </cell>
          <cell r="C98" t="str">
            <v>037</v>
          </cell>
          <cell r="D98" t="str">
            <v>1344</v>
          </cell>
          <cell r="E98" t="str">
            <v>Part patronale RCAR régime de base, Personnel appoints</v>
          </cell>
          <cell r="F98">
            <v>0</v>
          </cell>
          <cell r="L98">
            <v>0</v>
          </cell>
          <cell r="P98">
            <v>0</v>
          </cell>
          <cell r="AC98">
            <v>0</v>
          </cell>
        </row>
        <row r="99">
          <cell r="B99">
            <v>6</v>
          </cell>
          <cell r="C99" t="str">
            <v>037</v>
          </cell>
          <cell r="D99" t="str">
            <v>1345</v>
          </cell>
          <cell r="E99" t="str">
            <v>Part patronale RCAR régime de base, Personnel OEM</v>
          </cell>
          <cell r="F99">
            <v>0</v>
          </cell>
          <cell r="L99">
            <v>0</v>
          </cell>
          <cell r="P99">
            <v>0</v>
          </cell>
          <cell r="AC99">
            <v>0</v>
          </cell>
        </row>
        <row r="100">
          <cell r="B100">
            <v>1</v>
          </cell>
          <cell r="C100" t="str">
            <v>038</v>
          </cell>
          <cell r="D100" t="str">
            <v>1350</v>
          </cell>
          <cell r="E100" t="str">
            <v>Part patronale RCAR régime complementaire, Personnel OET</v>
          </cell>
          <cell r="L100">
            <v>0</v>
          </cell>
          <cell r="P100">
            <v>0</v>
          </cell>
          <cell r="AC100">
            <v>0</v>
          </cell>
        </row>
        <row r="101">
          <cell r="B101">
            <v>2</v>
          </cell>
          <cell r="C101" t="str">
            <v>038</v>
          </cell>
          <cell r="D101" t="str">
            <v>1351</v>
          </cell>
          <cell r="E101" t="str">
            <v>Part patronale RCAR régime complementaire, Personnel OEB</v>
          </cell>
          <cell r="F101">
            <v>0</v>
          </cell>
          <cell r="L101">
            <v>0</v>
          </cell>
          <cell r="P101">
            <v>0</v>
          </cell>
          <cell r="AC101">
            <v>0</v>
          </cell>
        </row>
        <row r="102">
          <cell r="B102">
            <v>3</v>
          </cell>
          <cell r="C102" t="str">
            <v>038</v>
          </cell>
          <cell r="D102" t="str">
            <v>1352</v>
          </cell>
          <cell r="E102" t="str">
            <v>Part patronale RCAR régime complementaire, Personnel OEJ</v>
          </cell>
          <cell r="F102">
            <v>0</v>
          </cell>
          <cell r="L102">
            <v>0</v>
          </cell>
          <cell r="P102">
            <v>0</v>
          </cell>
          <cell r="AC102">
            <v>0</v>
          </cell>
        </row>
        <row r="103">
          <cell r="B103">
            <v>4</v>
          </cell>
          <cell r="C103" t="str">
            <v>038</v>
          </cell>
          <cell r="D103" t="str">
            <v>1353</v>
          </cell>
          <cell r="E103" t="str">
            <v>Part patronale RCAR régime complémentaire, Personnel OEF</v>
          </cell>
          <cell r="F103">
            <v>0</v>
          </cell>
          <cell r="L103">
            <v>0</v>
          </cell>
          <cell r="P103">
            <v>0</v>
          </cell>
          <cell r="AC103">
            <v>0</v>
          </cell>
        </row>
        <row r="104">
          <cell r="B104">
            <v>5</v>
          </cell>
          <cell r="C104" t="str">
            <v>038</v>
          </cell>
          <cell r="D104" t="str">
            <v>1354</v>
          </cell>
          <cell r="E104" t="str">
            <v>Part patronale RCAR régime complémentaire, Personnel appoints</v>
          </cell>
          <cell r="F104">
            <v>0</v>
          </cell>
          <cell r="L104">
            <v>0</v>
          </cell>
          <cell r="P104">
            <v>0</v>
          </cell>
          <cell r="AC104">
            <v>0</v>
          </cell>
        </row>
        <row r="105">
          <cell r="B105">
            <v>6</v>
          </cell>
          <cell r="C105" t="str">
            <v>038</v>
          </cell>
          <cell r="D105" t="str">
            <v>1355</v>
          </cell>
          <cell r="E105" t="str">
            <v>Part patronale RCAR regime complementaire, Personnel OEM</v>
          </cell>
          <cell r="F105">
            <v>0</v>
          </cell>
          <cell r="L105">
            <v>0</v>
          </cell>
          <cell r="P105">
            <v>0</v>
          </cell>
          <cell r="AC105">
            <v>0</v>
          </cell>
        </row>
        <row r="106">
          <cell r="B106">
            <v>7</v>
          </cell>
          <cell r="C106" t="str">
            <v>038</v>
          </cell>
          <cell r="D106" t="str">
            <v>1356</v>
          </cell>
          <cell r="E106" t="str">
            <v>Part patronale, RCAR régime complémentaire, Personnel TAMCA</v>
          </cell>
          <cell r="F106">
            <v>0</v>
          </cell>
          <cell r="L106">
            <v>0</v>
          </cell>
          <cell r="P106">
            <v>0</v>
          </cell>
          <cell r="AC106">
            <v>0</v>
          </cell>
        </row>
        <row r="107">
          <cell r="B107">
            <v>8</v>
          </cell>
          <cell r="C107" t="str">
            <v>038</v>
          </cell>
          <cell r="D107" t="str">
            <v>1358</v>
          </cell>
          <cell r="E107" t="str">
            <v>Part patronale RCAR regime complementaire, Personnel HC</v>
          </cell>
          <cell r="F107">
            <v>0</v>
          </cell>
          <cell r="L107">
            <v>0</v>
          </cell>
          <cell r="P107">
            <v>0</v>
          </cell>
          <cell r="AC107">
            <v>0</v>
          </cell>
        </row>
        <row r="108">
          <cell r="B108">
            <v>1</v>
          </cell>
          <cell r="C108" t="str">
            <v>039</v>
          </cell>
          <cell r="D108" t="str">
            <v>1430</v>
          </cell>
          <cell r="E108" t="str">
            <v>Part patronale sur primes RCAR, Personnel permanent OET</v>
          </cell>
          <cell r="L108">
            <v>0</v>
          </cell>
          <cell r="P108">
            <v>0</v>
          </cell>
          <cell r="AC108">
            <v>0</v>
          </cell>
        </row>
        <row r="109">
          <cell r="B109">
            <v>2</v>
          </cell>
          <cell r="C109" t="str">
            <v>039</v>
          </cell>
          <cell r="D109" t="str">
            <v>1431</v>
          </cell>
          <cell r="E109" t="str">
            <v>Part patronale sur primes RCAR, Personnel permanent OEB</v>
          </cell>
          <cell r="F109">
            <v>0</v>
          </cell>
          <cell r="L109">
            <v>0</v>
          </cell>
          <cell r="P109">
            <v>0</v>
          </cell>
          <cell r="AC109">
            <v>0</v>
          </cell>
        </row>
        <row r="110">
          <cell r="B110">
            <v>3</v>
          </cell>
          <cell r="C110" t="str">
            <v>039</v>
          </cell>
          <cell r="D110" t="str">
            <v>1432</v>
          </cell>
          <cell r="E110" t="str">
            <v>Part patronale sur primes RCAR, Personnel permanent OEJ</v>
          </cell>
          <cell r="F110">
            <v>0</v>
          </cell>
          <cell r="L110">
            <v>0</v>
          </cell>
          <cell r="P110">
            <v>0</v>
          </cell>
          <cell r="AC110">
            <v>0</v>
          </cell>
        </row>
        <row r="111">
          <cell r="B111">
            <v>4</v>
          </cell>
          <cell r="C111" t="str">
            <v>039</v>
          </cell>
          <cell r="D111" t="str">
            <v>1433</v>
          </cell>
          <cell r="E111" t="str">
            <v>Part patronale sur primes RCAR, Personnel permanent OEF</v>
          </cell>
          <cell r="F111">
            <v>0</v>
          </cell>
          <cell r="L111">
            <v>0</v>
          </cell>
          <cell r="P111">
            <v>0</v>
          </cell>
          <cell r="AC111">
            <v>0</v>
          </cell>
        </row>
        <row r="112">
          <cell r="B112">
            <v>5</v>
          </cell>
          <cell r="C112" t="str">
            <v>039</v>
          </cell>
          <cell r="D112" t="str">
            <v>1434</v>
          </cell>
          <cell r="E112" t="str">
            <v>Part patronale sur primes RCAR, Personnel permanent appoints</v>
          </cell>
          <cell r="F112">
            <v>0</v>
          </cell>
          <cell r="L112">
            <v>0</v>
          </cell>
          <cell r="P112">
            <v>0</v>
          </cell>
          <cell r="AC112">
            <v>0</v>
          </cell>
        </row>
        <row r="113">
          <cell r="B113">
            <v>6</v>
          </cell>
          <cell r="C113" t="str">
            <v>039</v>
          </cell>
          <cell r="D113" t="str">
            <v>1435</v>
          </cell>
          <cell r="E113" t="str">
            <v>Part patronale sur primes RCAR, Personnel permanent OEM</v>
          </cell>
          <cell r="F113">
            <v>0</v>
          </cell>
          <cell r="L113">
            <v>0</v>
          </cell>
          <cell r="P113">
            <v>0</v>
          </cell>
          <cell r="AC113">
            <v>0</v>
          </cell>
        </row>
        <row r="114">
          <cell r="B114">
            <v>7</v>
          </cell>
          <cell r="C114" t="str">
            <v>039</v>
          </cell>
          <cell r="D114" t="str">
            <v>1436</v>
          </cell>
          <cell r="E114" t="str">
            <v>Part patronale sur primes RCAR, Personnel permanent TAMCA</v>
          </cell>
          <cell r="F114">
            <v>0</v>
          </cell>
          <cell r="L114">
            <v>0</v>
          </cell>
          <cell r="P114">
            <v>0</v>
          </cell>
          <cell r="AC114">
            <v>0</v>
          </cell>
        </row>
        <row r="115">
          <cell r="B115">
            <v>8</v>
          </cell>
          <cell r="C115" t="str">
            <v>039</v>
          </cell>
          <cell r="D115" t="str">
            <v>1438</v>
          </cell>
          <cell r="E115" t="str">
            <v>Part patronale sur primes de fin RCAR, Personnel permanent HC</v>
          </cell>
          <cell r="F115">
            <v>0</v>
          </cell>
          <cell r="L115">
            <v>0</v>
          </cell>
          <cell r="P115">
            <v>0</v>
          </cell>
          <cell r="AC115">
            <v>0</v>
          </cell>
        </row>
        <row r="116">
          <cell r="B116">
            <v>1</v>
          </cell>
          <cell r="C116" t="str">
            <v>040</v>
          </cell>
          <cell r="D116" t="str">
            <v>1108</v>
          </cell>
          <cell r="E116" t="str">
            <v>Salaires et appointements, Personnel Hors Cadre</v>
          </cell>
          <cell r="L116">
            <v>0</v>
          </cell>
          <cell r="N116">
            <v>78048</v>
          </cell>
          <cell r="O116">
            <v>89568</v>
          </cell>
          <cell r="P116">
            <v>167616</v>
          </cell>
          <cell r="V116">
            <v>33564</v>
          </cell>
          <cell r="AB116">
            <v>203604</v>
          </cell>
          <cell r="AC116">
            <v>404784</v>
          </cell>
        </row>
        <row r="117">
          <cell r="B117">
            <v>1</v>
          </cell>
          <cell r="C117" t="str">
            <v>041</v>
          </cell>
          <cell r="D117" t="str">
            <v>1208</v>
          </cell>
          <cell r="E117" t="str">
            <v>Frais médicaux et pharmaceutiques exterieurs, prises en charge, Personnel HC</v>
          </cell>
          <cell r="L117">
            <v>0</v>
          </cell>
          <cell r="N117">
            <v>72468</v>
          </cell>
          <cell r="O117">
            <v>94284</v>
          </cell>
          <cell r="P117">
            <v>166752</v>
          </cell>
          <cell r="V117">
            <v>36492</v>
          </cell>
          <cell r="AB117">
            <v>200268</v>
          </cell>
          <cell r="AC117">
            <v>403512</v>
          </cell>
        </row>
        <row r="118">
          <cell r="B118">
            <v>2</v>
          </cell>
          <cell r="C118" t="str">
            <v>041</v>
          </cell>
          <cell r="D118" t="str">
            <v>1218</v>
          </cell>
          <cell r="E118" t="str">
            <v>Salaires des congés payés, Maladie, Maternité, Accidents, Personnel Hors Cadre</v>
          </cell>
          <cell r="F118">
            <v>0</v>
          </cell>
          <cell r="L118">
            <v>0</v>
          </cell>
          <cell r="P118">
            <v>0</v>
          </cell>
          <cell r="AC118">
            <v>0</v>
          </cell>
        </row>
        <row r="119">
          <cell r="B119">
            <v>3</v>
          </cell>
          <cell r="C119" t="str">
            <v>041</v>
          </cell>
          <cell r="D119" t="str">
            <v>1228</v>
          </cell>
          <cell r="E119" t="str">
            <v>Indemnités d'éloignement et de transport, Personnel HC</v>
          </cell>
          <cell r="F119">
            <v>0</v>
          </cell>
          <cell r="L119">
            <v>0</v>
          </cell>
          <cell r="P119">
            <v>0</v>
          </cell>
          <cell r="AC119">
            <v>0</v>
          </cell>
        </row>
        <row r="120">
          <cell r="B120">
            <v>4</v>
          </cell>
          <cell r="C120" t="str">
            <v>041</v>
          </cell>
          <cell r="D120" t="str">
            <v>1238</v>
          </cell>
          <cell r="E120" t="str">
            <v>Indemnité forfaitaire de congé, Paersonnel HC</v>
          </cell>
          <cell r="F120">
            <v>0</v>
          </cell>
          <cell r="L120">
            <v>0</v>
          </cell>
          <cell r="P120">
            <v>0</v>
          </cell>
          <cell r="AC120">
            <v>0</v>
          </cell>
        </row>
        <row r="121">
          <cell r="B121">
            <v>5</v>
          </cell>
          <cell r="C121" t="str">
            <v>041</v>
          </cell>
          <cell r="D121" t="str">
            <v>1248</v>
          </cell>
          <cell r="E121" t="str">
            <v>Indemnité de logement, Personnel HC</v>
          </cell>
          <cell r="F121">
            <v>0</v>
          </cell>
          <cell r="L121">
            <v>0</v>
          </cell>
          <cell r="P121">
            <v>0</v>
          </cell>
          <cell r="AC121">
            <v>0</v>
          </cell>
        </row>
        <row r="122">
          <cell r="B122">
            <v>6</v>
          </cell>
          <cell r="C122" t="str">
            <v>041</v>
          </cell>
          <cell r="D122" t="str">
            <v>1258</v>
          </cell>
          <cell r="E122" t="str">
            <v>Aide au logement, Personnel HC</v>
          </cell>
          <cell r="F122">
            <v>0</v>
          </cell>
          <cell r="L122">
            <v>0</v>
          </cell>
          <cell r="P122">
            <v>0</v>
          </cell>
          <cell r="AC122">
            <v>0</v>
          </cell>
        </row>
        <row r="123">
          <cell r="B123">
            <v>7</v>
          </cell>
          <cell r="C123" t="str">
            <v>041</v>
          </cell>
          <cell r="D123" t="str">
            <v>1268</v>
          </cell>
          <cell r="E123" t="str">
            <v>Prime à la construction prêts hypothécaires, Personnel HC</v>
          </cell>
          <cell r="F123">
            <v>0</v>
          </cell>
          <cell r="L123">
            <v>0</v>
          </cell>
          <cell r="P123">
            <v>0</v>
          </cell>
          <cell r="AC123">
            <v>0</v>
          </cell>
        </row>
        <row r="124">
          <cell r="B124">
            <v>8</v>
          </cell>
          <cell r="C124" t="str">
            <v>041</v>
          </cell>
          <cell r="D124" t="str">
            <v>1278</v>
          </cell>
          <cell r="E124" t="str">
            <v>Prime de responsabilité, de rendement et d'asséduité, Personnel HC</v>
          </cell>
          <cell r="F124">
            <v>0</v>
          </cell>
          <cell r="L124">
            <v>0</v>
          </cell>
          <cell r="P124">
            <v>0</v>
          </cell>
          <cell r="AC124">
            <v>0</v>
          </cell>
        </row>
        <row r="125">
          <cell r="B125">
            <v>9</v>
          </cell>
          <cell r="C125" t="str">
            <v>041</v>
          </cell>
          <cell r="D125" t="str">
            <v>1288</v>
          </cell>
          <cell r="E125" t="str">
            <v>Charges fami. mariage, naiss.,decès, a. f... PHC</v>
          </cell>
          <cell r="F125">
            <v>0</v>
          </cell>
          <cell r="L125">
            <v>0</v>
          </cell>
          <cell r="P125">
            <v>0</v>
          </cell>
          <cell r="AC125">
            <v>0</v>
          </cell>
        </row>
        <row r="126">
          <cell r="B126">
            <v>10</v>
          </cell>
          <cell r="C126" t="str">
            <v>041</v>
          </cell>
          <cell r="D126" t="str">
            <v>1298</v>
          </cell>
          <cell r="E126" t="str">
            <v>Autres avantages et indemnités diverses, Scolarité, Mecque etc.., Personnel Hors Cadre</v>
          </cell>
          <cell r="F126">
            <v>0</v>
          </cell>
          <cell r="L126">
            <v>0</v>
          </cell>
          <cell r="P126">
            <v>0</v>
          </cell>
          <cell r="AC126">
            <v>0</v>
          </cell>
        </row>
        <row r="127">
          <cell r="B127">
            <v>1</v>
          </cell>
          <cell r="C127" t="str">
            <v>045</v>
          </cell>
          <cell r="D127" t="str">
            <v>1328</v>
          </cell>
          <cell r="E127" t="str">
            <v>Part patronale OS 824 PHC</v>
          </cell>
          <cell r="L127">
            <v>0</v>
          </cell>
          <cell r="N127">
            <v>14364</v>
          </cell>
          <cell r="O127">
            <v>16548</v>
          </cell>
          <cell r="P127">
            <v>30912</v>
          </cell>
          <cell r="V127">
            <v>6228</v>
          </cell>
          <cell r="AB127">
            <v>36936</v>
          </cell>
          <cell r="AC127">
            <v>74076</v>
          </cell>
        </row>
        <row r="128">
          <cell r="B128">
            <v>1</v>
          </cell>
          <cell r="C128" t="str">
            <v>046</v>
          </cell>
          <cell r="D128" t="str">
            <v>1338</v>
          </cell>
          <cell r="E128" t="str">
            <v>Part patronale Recore OS 824, Personnel Hors Cadre</v>
          </cell>
          <cell r="L128">
            <v>0</v>
          </cell>
          <cell r="N128">
            <v>900</v>
          </cell>
          <cell r="O128">
            <v>2088</v>
          </cell>
          <cell r="P128">
            <v>2988</v>
          </cell>
          <cell r="V128">
            <v>780</v>
          </cell>
          <cell r="AB128">
            <v>29256</v>
          </cell>
          <cell r="AC128">
            <v>33024</v>
          </cell>
        </row>
        <row r="129">
          <cell r="B129">
            <v>1</v>
          </cell>
          <cell r="C129" t="str">
            <v>047</v>
          </cell>
          <cell r="D129" t="str">
            <v>1348</v>
          </cell>
          <cell r="E129" t="str">
            <v>Part patronale RCAR régime de base, Personnel Hors Cadre</v>
          </cell>
          <cell r="L129">
            <v>0</v>
          </cell>
          <cell r="P129">
            <v>0</v>
          </cell>
          <cell r="AC129">
            <v>0</v>
          </cell>
        </row>
        <row r="130">
          <cell r="B130">
            <v>1</v>
          </cell>
          <cell r="C130" t="str">
            <v>049</v>
          </cell>
          <cell r="D130" t="str">
            <v>1420</v>
          </cell>
          <cell r="E130" t="str">
            <v>Part patronale sur primes de fin d'année OS 824, Personnel permanent OET</v>
          </cell>
          <cell r="F130">
            <v>2808</v>
          </cell>
          <cell r="G130">
            <v>2808</v>
          </cell>
          <cell r="H130">
            <v>612</v>
          </cell>
          <cell r="I130">
            <v>1704</v>
          </cell>
          <cell r="J130">
            <v>1476</v>
          </cell>
          <cell r="K130">
            <v>1092</v>
          </cell>
          <cell r="L130">
            <v>10500</v>
          </cell>
          <cell r="N130">
            <v>14652</v>
          </cell>
          <cell r="O130">
            <v>22404</v>
          </cell>
          <cell r="P130">
            <v>37056</v>
          </cell>
          <cell r="S130">
            <v>2868</v>
          </cell>
          <cell r="T130">
            <v>15204</v>
          </cell>
          <cell r="U130">
            <v>1440</v>
          </cell>
          <cell r="V130">
            <v>10956</v>
          </cell>
          <cell r="W130">
            <v>15852</v>
          </cell>
          <cell r="X130">
            <v>1476</v>
          </cell>
          <cell r="AA130">
            <v>10668</v>
          </cell>
          <cell r="AB130">
            <v>24288</v>
          </cell>
          <cell r="AC130">
            <v>130308</v>
          </cell>
        </row>
        <row r="131">
          <cell r="B131">
            <v>2</v>
          </cell>
          <cell r="C131" t="str">
            <v>049</v>
          </cell>
          <cell r="D131" t="str">
            <v>1421</v>
          </cell>
          <cell r="E131" t="str">
            <v>Part patronale sur primes de fin d'année OS 824, Personnel permanent OEB</v>
          </cell>
          <cell r="F131">
            <v>0</v>
          </cell>
          <cell r="L131">
            <v>0</v>
          </cell>
          <cell r="P131">
            <v>0</v>
          </cell>
          <cell r="AC131">
            <v>0</v>
          </cell>
        </row>
        <row r="132">
          <cell r="B132">
            <v>3</v>
          </cell>
          <cell r="C132" t="str">
            <v>049</v>
          </cell>
          <cell r="D132" t="str">
            <v>1422</v>
          </cell>
          <cell r="E132" t="str">
            <v>Part patronale sur primes de fin d'année OS 824, Personnel permanent OEJ</v>
          </cell>
          <cell r="F132">
            <v>0</v>
          </cell>
          <cell r="L132">
            <v>0</v>
          </cell>
          <cell r="P132">
            <v>0</v>
          </cell>
          <cell r="AC132">
            <v>0</v>
          </cell>
        </row>
        <row r="133">
          <cell r="B133">
            <v>4</v>
          </cell>
          <cell r="C133" t="str">
            <v>049</v>
          </cell>
          <cell r="D133" t="str">
            <v>1423</v>
          </cell>
          <cell r="E133" t="str">
            <v>Part patronale sur primes de fin d'année OS 824, Personnel permanent OEF</v>
          </cell>
          <cell r="F133">
            <v>0</v>
          </cell>
          <cell r="L133">
            <v>0</v>
          </cell>
          <cell r="P133">
            <v>0</v>
          </cell>
          <cell r="AC133">
            <v>0</v>
          </cell>
        </row>
        <row r="134">
          <cell r="B134">
            <v>5</v>
          </cell>
          <cell r="C134" t="str">
            <v>049</v>
          </cell>
          <cell r="D134" t="str">
            <v>1424</v>
          </cell>
          <cell r="E134" t="str">
            <v>Part patronale sur primes fin d'année OS 824, Personnel permanent appoints</v>
          </cell>
          <cell r="F134">
            <v>0</v>
          </cell>
          <cell r="L134">
            <v>0</v>
          </cell>
          <cell r="P134">
            <v>0</v>
          </cell>
          <cell r="AC134">
            <v>0</v>
          </cell>
        </row>
        <row r="135">
          <cell r="B135">
            <v>6</v>
          </cell>
          <cell r="C135" t="str">
            <v>049</v>
          </cell>
          <cell r="D135" t="str">
            <v>1425</v>
          </cell>
          <cell r="E135" t="str">
            <v>Part patronale sur primes de fin d'année OS 824, Personnel permanent OEM</v>
          </cell>
          <cell r="F135">
            <v>0</v>
          </cell>
          <cell r="L135">
            <v>0</v>
          </cell>
          <cell r="P135">
            <v>0</v>
          </cell>
          <cell r="AC135">
            <v>0</v>
          </cell>
        </row>
        <row r="136">
          <cell r="B136">
            <v>7</v>
          </cell>
          <cell r="C136" t="str">
            <v>049</v>
          </cell>
          <cell r="D136" t="str">
            <v>1426</v>
          </cell>
          <cell r="E136" t="str">
            <v>Part patronale sur primes de fin d'année OS 824, Personnel permanent TAMCA</v>
          </cell>
          <cell r="F136">
            <v>0</v>
          </cell>
          <cell r="L136">
            <v>0</v>
          </cell>
          <cell r="P136">
            <v>0</v>
          </cell>
          <cell r="AC136">
            <v>0</v>
          </cell>
        </row>
        <row r="137">
          <cell r="B137">
            <v>8</v>
          </cell>
          <cell r="C137" t="str">
            <v>049</v>
          </cell>
          <cell r="D137" t="str">
            <v>1428</v>
          </cell>
          <cell r="E137" t="str">
            <v>Part patronale sur primes de fin d'année OS 824, Personnel permanent HC</v>
          </cell>
          <cell r="F137">
            <v>0</v>
          </cell>
          <cell r="L137">
            <v>0</v>
          </cell>
          <cell r="P137">
            <v>0</v>
          </cell>
          <cell r="AC137">
            <v>0</v>
          </cell>
        </row>
        <row r="138">
          <cell r="B138">
            <v>1</v>
          </cell>
          <cell r="C138" t="str">
            <v>051</v>
          </cell>
          <cell r="D138" t="str">
            <v>1111</v>
          </cell>
          <cell r="E138" t="str">
            <v>Heures supplémentaires, Personnel OEB</v>
          </cell>
          <cell r="L138">
            <v>0</v>
          </cell>
          <cell r="P138">
            <v>0</v>
          </cell>
          <cell r="AB138">
            <v>432</v>
          </cell>
          <cell r="AC138">
            <v>432</v>
          </cell>
        </row>
        <row r="139">
          <cell r="B139">
            <v>1</v>
          </cell>
          <cell r="C139" t="str">
            <v>052</v>
          </cell>
          <cell r="D139" t="str">
            <v>1112</v>
          </cell>
          <cell r="E139" t="str">
            <v>Heures supplémentaires, Personnel OEJ</v>
          </cell>
          <cell r="L139">
            <v>0</v>
          </cell>
          <cell r="O139">
            <v>768</v>
          </cell>
          <cell r="P139">
            <v>768</v>
          </cell>
          <cell r="T139">
            <v>10056</v>
          </cell>
          <cell r="U139">
            <v>25908</v>
          </cell>
          <cell r="W139">
            <v>197328</v>
          </cell>
          <cell r="X139">
            <v>25788</v>
          </cell>
          <cell r="Y139">
            <v>11028</v>
          </cell>
          <cell r="AA139">
            <v>72828</v>
          </cell>
          <cell r="AB139">
            <v>87456</v>
          </cell>
          <cell r="AC139">
            <v>431160</v>
          </cell>
        </row>
        <row r="140">
          <cell r="B140">
            <v>1</v>
          </cell>
          <cell r="C140" t="str">
            <v>053</v>
          </cell>
          <cell r="D140" t="str">
            <v>1113</v>
          </cell>
          <cell r="E140" t="str">
            <v>Heures supplementaires, Personnel OEF</v>
          </cell>
          <cell r="F140">
            <v>24096</v>
          </cell>
          <cell r="G140">
            <v>23316</v>
          </cell>
          <cell r="H140">
            <v>16464</v>
          </cell>
          <cell r="I140">
            <v>16920</v>
          </cell>
          <cell r="J140">
            <v>18852</v>
          </cell>
          <cell r="K140">
            <v>21156</v>
          </cell>
          <cell r="L140">
            <v>120804</v>
          </cell>
          <cell r="N140">
            <v>56520</v>
          </cell>
          <cell r="O140">
            <v>71196</v>
          </cell>
          <cell r="P140">
            <v>127716</v>
          </cell>
          <cell r="R140">
            <v>336</v>
          </cell>
          <cell r="S140">
            <v>323676</v>
          </cell>
          <cell r="T140">
            <v>308388</v>
          </cell>
          <cell r="U140">
            <v>100860</v>
          </cell>
          <cell r="V140">
            <v>29100</v>
          </cell>
          <cell r="W140">
            <v>57336</v>
          </cell>
          <cell r="X140">
            <v>14760</v>
          </cell>
          <cell r="AA140">
            <v>20136</v>
          </cell>
          <cell r="AB140">
            <v>69060</v>
          </cell>
          <cell r="AC140">
            <v>1172172</v>
          </cell>
        </row>
        <row r="141">
          <cell r="B141">
            <v>1</v>
          </cell>
          <cell r="C141" t="str">
            <v>054</v>
          </cell>
          <cell r="D141" t="str">
            <v>1114</v>
          </cell>
          <cell r="E141" t="str">
            <v>Heures supplémentaires des appoints</v>
          </cell>
          <cell r="L141">
            <v>0</v>
          </cell>
          <cell r="P141">
            <v>0</v>
          </cell>
          <cell r="AC141">
            <v>0</v>
          </cell>
        </row>
        <row r="142">
          <cell r="B142">
            <v>1</v>
          </cell>
          <cell r="C142" t="str">
            <v>055</v>
          </cell>
          <cell r="D142" t="str">
            <v>1115</v>
          </cell>
          <cell r="E142" t="str">
            <v>Heures supplementaires, Personnel OEM</v>
          </cell>
          <cell r="L142">
            <v>0</v>
          </cell>
          <cell r="P142">
            <v>0</v>
          </cell>
          <cell r="AC142">
            <v>0</v>
          </cell>
        </row>
        <row r="143">
          <cell r="B143">
            <v>1</v>
          </cell>
          <cell r="C143" t="str">
            <v>056</v>
          </cell>
          <cell r="D143" t="str">
            <v>1116</v>
          </cell>
          <cell r="E143" t="str">
            <v>Heures supplementaires, Personnel TAMCA</v>
          </cell>
          <cell r="F143">
            <v>13044</v>
          </cell>
          <cell r="G143">
            <v>6324</v>
          </cell>
          <cell r="H143">
            <v>6336</v>
          </cell>
          <cell r="I143">
            <v>8760</v>
          </cell>
          <cell r="J143">
            <v>5316</v>
          </cell>
          <cell r="K143">
            <v>5340</v>
          </cell>
          <cell r="L143">
            <v>45120</v>
          </cell>
          <cell r="N143">
            <v>32532</v>
          </cell>
          <cell r="O143">
            <v>62844</v>
          </cell>
          <cell r="P143">
            <v>95376</v>
          </cell>
          <cell r="S143">
            <v>22020</v>
          </cell>
          <cell r="T143">
            <v>70572</v>
          </cell>
          <cell r="U143">
            <v>12636</v>
          </cell>
          <cell r="V143">
            <v>29712</v>
          </cell>
          <cell r="W143">
            <v>27156</v>
          </cell>
          <cell r="Y143">
            <v>10512</v>
          </cell>
          <cell r="AA143">
            <v>34716</v>
          </cell>
          <cell r="AB143">
            <v>28164</v>
          </cell>
          <cell r="AC143">
            <v>375984</v>
          </cell>
        </row>
        <row r="144">
          <cell r="B144">
            <v>1</v>
          </cell>
          <cell r="C144" t="str">
            <v>060</v>
          </cell>
          <cell r="D144" t="str">
            <v>1120</v>
          </cell>
          <cell r="E144" t="str">
            <v>Primes annuelles, Personnel tâcherons</v>
          </cell>
          <cell r="F144">
            <v>78180</v>
          </cell>
          <cell r="G144">
            <v>81168</v>
          </cell>
          <cell r="H144">
            <v>60564</v>
          </cell>
          <cell r="I144">
            <v>80268</v>
          </cell>
          <cell r="J144">
            <v>61656</v>
          </cell>
          <cell r="K144">
            <v>91128</v>
          </cell>
          <cell r="L144">
            <v>452964</v>
          </cell>
          <cell r="N144">
            <v>385248</v>
          </cell>
          <cell r="O144">
            <v>517992</v>
          </cell>
          <cell r="P144">
            <v>903240</v>
          </cell>
          <cell r="R144">
            <v>17580</v>
          </cell>
          <cell r="S144">
            <v>17724</v>
          </cell>
          <cell r="T144">
            <v>171456</v>
          </cell>
          <cell r="V144">
            <v>42936</v>
          </cell>
          <cell r="W144">
            <v>26340</v>
          </cell>
          <cell r="X144">
            <v>2676</v>
          </cell>
          <cell r="AA144">
            <v>13524</v>
          </cell>
          <cell r="AB144">
            <v>81888</v>
          </cell>
          <cell r="AC144">
            <v>1730328</v>
          </cell>
        </row>
        <row r="145">
          <cell r="B145">
            <v>1</v>
          </cell>
          <cell r="C145" t="str">
            <v>061</v>
          </cell>
          <cell r="D145" t="str">
            <v>1121</v>
          </cell>
          <cell r="E145" t="str">
            <v>Primes annuelles personnel OEB</v>
          </cell>
          <cell r="L145">
            <v>0</v>
          </cell>
          <cell r="P145">
            <v>0</v>
          </cell>
          <cell r="AB145">
            <v>588</v>
          </cell>
          <cell r="AC145">
            <v>588</v>
          </cell>
        </row>
        <row r="146">
          <cell r="B146">
            <v>1</v>
          </cell>
          <cell r="C146" t="str">
            <v>062</v>
          </cell>
          <cell r="D146" t="str">
            <v>1122</v>
          </cell>
          <cell r="E146" t="str">
            <v>Primes annuelles personnel OEJ</v>
          </cell>
          <cell r="L146">
            <v>0</v>
          </cell>
          <cell r="O146">
            <v>1200</v>
          </cell>
          <cell r="P146">
            <v>1200</v>
          </cell>
          <cell r="T146">
            <v>20208</v>
          </cell>
          <cell r="U146">
            <v>41904</v>
          </cell>
          <cell r="W146">
            <v>266256</v>
          </cell>
          <cell r="X146">
            <v>26748</v>
          </cell>
          <cell r="Y146">
            <v>12180</v>
          </cell>
          <cell r="AA146">
            <v>120504</v>
          </cell>
          <cell r="AB146">
            <v>141588</v>
          </cell>
          <cell r="AC146">
            <v>630588</v>
          </cell>
        </row>
        <row r="147">
          <cell r="B147">
            <v>1</v>
          </cell>
          <cell r="C147" t="str">
            <v>063</v>
          </cell>
          <cell r="D147" t="str">
            <v>1123</v>
          </cell>
          <cell r="E147" t="str">
            <v>Primes annuelles personnel OEF</v>
          </cell>
          <cell r="F147">
            <v>32436</v>
          </cell>
          <cell r="G147">
            <v>36240</v>
          </cell>
          <cell r="H147">
            <v>23244</v>
          </cell>
          <cell r="I147">
            <v>25248</v>
          </cell>
          <cell r="J147">
            <v>17844</v>
          </cell>
          <cell r="K147">
            <v>27048</v>
          </cell>
          <cell r="L147">
            <v>162060</v>
          </cell>
          <cell r="N147">
            <v>124608</v>
          </cell>
          <cell r="O147">
            <v>169836</v>
          </cell>
          <cell r="P147">
            <v>294444</v>
          </cell>
          <cell r="R147">
            <v>1356</v>
          </cell>
          <cell r="S147">
            <v>349068</v>
          </cell>
          <cell r="T147">
            <v>522960</v>
          </cell>
          <cell r="U147">
            <v>182100</v>
          </cell>
          <cell r="V147">
            <v>159816</v>
          </cell>
          <cell r="W147">
            <v>58164</v>
          </cell>
          <cell r="X147">
            <v>13536</v>
          </cell>
          <cell r="AA147">
            <v>14832</v>
          </cell>
          <cell r="AB147">
            <v>105012</v>
          </cell>
          <cell r="AC147">
            <v>1863348</v>
          </cell>
        </row>
        <row r="148">
          <cell r="B148">
            <v>1</v>
          </cell>
          <cell r="C148" t="str">
            <v>064</v>
          </cell>
          <cell r="D148" t="str">
            <v>1125</v>
          </cell>
          <cell r="E148" t="str">
            <v>Primes annuelles personnel OEM</v>
          </cell>
          <cell r="L148">
            <v>0</v>
          </cell>
          <cell r="P148">
            <v>0</v>
          </cell>
          <cell r="AC148">
            <v>0</v>
          </cell>
        </row>
        <row r="149">
          <cell r="B149">
            <v>1</v>
          </cell>
          <cell r="C149" t="str">
            <v>065</v>
          </cell>
          <cell r="D149" t="str">
            <v>1126</v>
          </cell>
          <cell r="E149" t="str">
            <v>Primes annuelles personnel TAMCA</v>
          </cell>
          <cell r="F149">
            <v>14484</v>
          </cell>
          <cell r="G149">
            <v>7140</v>
          </cell>
          <cell r="H149">
            <v>8604</v>
          </cell>
          <cell r="I149">
            <v>11376</v>
          </cell>
          <cell r="J149">
            <v>6180</v>
          </cell>
          <cell r="K149">
            <v>6924</v>
          </cell>
          <cell r="L149">
            <v>54708</v>
          </cell>
          <cell r="N149">
            <v>42936</v>
          </cell>
          <cell r="O149">
            <v>68268</v>
          </cell>
          <cell r="P149">
            <v>111204</v>
          </cell>
          <cell r="S149">
            <v>18552</v>
          </cell>
          <cell r="T149">
            <v>81660</v>
          </cell>
          <cell r="U149">
            <v>17616</v>
          </cell>
          <cell r="V149">
            <v>70800</v>
          </cell>
          <cell r="W149">
            <v>61224</v>
          </cell>
          <cell r="Y149">
            <v>17484</v>
          </cell>
          <cell r="AA149">
            <v>52944</v>
          </cell>
          <cell r="AB149">
            <v>56172</v>
          </cell>
          <cell r="AC149">
            <v>542364</v>
          </cell>
        </row>
        <row r="150">
          <cell r="B150">
            <v>1</v>
          </cell>
          <cell r="C150" t="str">
            <v>066</v>
          </cell>
          <cell r="D150" t="str">
            <v>1600</v>
          </cell>
          <cell r="E150" t="str">
            <v>Part patronale mutuelle et prestation personnel permanent OET</v>
          </cell>
          <cell r="L150">
            <v>0</v>
          </cell>
          <cell r="P150">
            <v>0</v>
          </cell>
          <cell r="AC150">
            <v>0</v>
          </cell>
        </row>
        <row r="151">
          <cell r="B151">
            <v>2</v>
          </cell>
          <cell r="C151" t="str">
            <v>066</v>
          </cell>
          <cell r="D151" t="str">
            <v>1601</v>
          </cell>
          <cell r="E151" t="str">
            <v>Part patronale mutuelle et prestation personnel permanent OEB</v>
          </cell>
          <cell r="F151">
            <v>0</v>
          </cell>
          <cell r="L151">
            <v>0</v>
          </cell>
          <cell r="P151">
            <v>0</v>
          </cell>
          <cell r="AC151">
            <v>0</v>
          </cell>
        </row>
        <row r="152">
          <cell r="B152">
            <v>3</v>
          </cell>
          <cell r="C152" t="str">
            <v>066</v>
          </cell>
          <cell r="D152" t="str">
            <v>1602</v>
          </cell>
          <cell r="E152" t="str">
            <v>Part patronale mutuelle et prestation personnel permanent OEJ</v>
          </cell>
          <cell r="F152">
            <v>0</v>
          </cell>
          <cell r="L152">
            <v>0</v>
          </cell>
          <cell r="P152">
            <v>0</v>
          </cell>
          <cell r="AC152">
            <v>0</v>
          </cell>
        </row>
        <row r="153">
          <cell r="B153">
            <v>4</v>
          </cell>
          <cell r="C153" t="str">
            <v>066</v>
          </cell>
          <cell r="D153" t="str">
            <v>1603</v>
          </cell>
          <cell r="E153" t="str">
            <v>Part patronale mutuelle et prestation personnel permanent OEF</v>
          </cell>
          <cell r="F153">
            <v>0</v>
          </cell>
          <cell r="L153">
            <v>0</v>
          </cell>
          <cell r="P153">
            <v>0</v>
          </cell>
          <cell r="AC153">
            <v>0</v>
          </cell>
        </row>
        <row r="154">
          <cell r="B154">
            <v>5</v>
          </cell>
          <cell r="C154" t="str">
            <v>066</v>
          </cell>
          <cell r="D154" t="str">
            <v>1604</v>
          </cell>
          <cell r="E154" t="str">
            <v>Part patronale mutuelle et prestation personnel permanent appoints</v>
          </cell>
          <cell r="F154">
            <v>0</v>
          </cell>
          <cell r="L154">
            <v>0</v>
          </cell>
          <cell r="P154">
            <v>0</v>
          </cell>
          <cell r="AC154">
            <v>0</v>
          </cell>
        </row>
        <row r="155">
          <cell r="B155">
            <v>6</v>
          </cell>
          <cell r="C155" t="str">
            <v>066</v>
          </cell>
          <cell r="D155" t="str">
            <v>1605</v>
          </cell>
          <cell r="E155" t="str">
            <v>Part patronale mutuelle et prestation personnel permanent OEM</v>
          </cell>
          <cell r="F155">
            <v>0</v>
          </cell>
          <cell r="L155">
            <v>0</v>
          </cell>
          <cell r="P155">
            <v>0</v>
          </cell>
          <cell r="AC155">
            <v>0</v>
          </cell>
        </row>
        <row r="156">
          <cell r="B156">
            <v>7</v>
          </cell>
          <cell r="C156" t="str">
            <v>066</v>
          </cell>
          <cell r="D156" t="str">
            <v>1606</v>
          </cell>
          <cell r="E156" t="str">
            <v>Part patronale mutuelle et prestation personnel permanent TAMCA</v>
          </cell>
          <cell r="F156">
            <v>0</v>
          </cell>
          <cell r="L156">
            <v>0</v>
          </cell>
          <cell r="P156">
            <v>0</v>
          </cell>
          <cell r="AC156">
            <v>0</v>
          </cell>
        </row>
        <row r="157">
          <cell r="B157">
            <v>8</v>
          </cell>
          <cell r="C157" t="str">
            <v>066</v>
          </cell>
          <cell r="D157" t="str">
            <v>1608</v>
          </cell>
          <cell r="E157" t="str">
            <v>Part patronale mutuelle et prestation, Personnel permanent HC</v>
          </cell>
          <cell r="F157">
            <v>0</v>
          </cell>
          <cell r="L157">
            <v>0</v>
          </cell>
          <cell r="P157">
            <v>0</v>
          </cell>
          <cell r="AC157">
            <v>0</v>
          </cell>
        </row>
        <row r="158">
          <cell r="B158">
            <v>1</v>
          </cell>
          <cell r="C158" t="str">
            <v>067</v>
          </cell>
          <cell r="D158" t="str">
            <v>1610</v>
          </cell>
          <cell r="E158" t="str">
            <v>Part patronale mutuelle accident de travail, Personnel OET</v>
          </cell>
          <cell r="L158">
            <v>0</v>
          </cell>
          <cell r="P158">
            <v>0</v>
          </cell>
          <cell r="AC158">
            <v>0</v>
          </cell>
        </row>
        <row r="159">
          <cell r="B159">
            <v>2</v>
          </cell>
          <cell r="C159" t="str">
            <v>067</v>
          </cell>
          <cell r="D159" t="str">
            <v>1611</v>
          </cell>
          <cell r="E159" t="str">
            <v>Part patronale mutuelle accident de travail, Personnel OEB</v>
          </cell>
          <cell r="F159">
            <v>0</v>
          </cell>
          <cell r="L159">
            <v>0</v>
          </cell>
          <cell r="P159">
            <v>0</v>
          </cell>
          <cell r="AC159">
            <v>0</v>
          </cell>
        </row>
        <row r="160">
          <cell r="B160">
            <v>3</v>
          </cell>
          <cell r="C160" t="str">
            <v>067</v>
          </cell>
          <cell r="D160" t="str">
            <v>1612</v>
          </cell>
          <cell r="E160" t="str">
            <v>Part patronale mutuelle accident de travail, Personnel OEJ</v>
          </cell>
          <cell r="F160">
            <v>0</v>
          </cell>
          <cell r="L160">
            <v>0</v>
          </cell>
          <cell r="P160">
            <v>0</v>
          </cell>
          <cell r="AC160">
            <v>0</v>
          </cell>
        </row>
        <row r="161">
          <cell r="B161">
            <v>4</v>
          </cell>
          <cell r="C161" t="str">
            <v>067</v>
          </cell>
          <cell r="D161" t="str">
            <v>1613</v>
          </cell>
          <cell r="E161" t="str">
            <v>Part patronale mutuelle accident de travail, personnel OEF</v>
          </cell>
          <cell r="F161">
            <v>0</v>
          </cell>
          <cell r="L161">
            <v>0</v>
          </cell>
          <cell r="P161">
            <v>0</v>
          </cell>
          <cell r="AC161">
            <v>0</v>
          </cell>
        </row>
        <row r="162">
          <cell r="B162">
            <v>5</v>
          </cell>
          <cell r="C162" t="str">
            <v>067</v>
          </cell>
          <cell r="D162" t="str">
            <v>1614</v>
          </cell>
          <cell r="E162" t="str">
            <v>Part patronale mutuelle accident de travail, Personnel appoints</v>
          </cell>
          <cell r="F162">
            <v>0</v>
          </cell>
          <cell r="L162">
            <v>0</v>
          </cell>
          <cell r="P162">
            <v>0</v>
          </cell>
          <cell r="AC162">
            <v>0</v>
          </cell>
        </row>
        <row r="163">
          <cell r="B163">
            <v>6</v>
          </cell>
          <cell r="C163" t="str">
            <v>067</v>
          </cell>
          <cell r="D163" t="str">
            <v>1615</v>
          </cell>
          <cell r="E163" t="str">
            <v>Part patronale mutuelle accident de travail, Personnel OEM</v>
          </cell>
          <cell r="F163">
            <v>0</v>
          </cell>
          <cell r="L163">
            <v>0</v>
          </cell>
          <cell r="P163">
            <v>0</v>
          </cell>
          <cell r="AC163">
            <v>0</v>
          </cell>
        </row>
        <row r="164">
          <cell r="B164">
            <v>7</v>
          </cell>
          <cell r="C164" t="str">
            <v>067</v>
          </cell>
          <cell r="D164" t="str">
            <v>1616</v>
          </cell>
          <cell r="E164" t="str">
            <v>Part patronale mutuelle accident de travail, Personnel TAMCA</v>
          </cell>
          <cell r="F164">
            <v>0</v>
          </cell>
          <cell r="L164">
            <v>0</v>
          </cell>
          <cell r="P164">
            <v>0</v>
          </cell>
          <cell r="AC164">
            <v>0</v>
          </cell>
        </row>
        <row r="165">
          <cell r="B165">
            <v>8</v>
          </cell>
          <cell r="C165" t="str">
            <v>067</v>
          </cell>
          <cell r="D165" t="str">
            <v>1618</v>
          </cell>
          <cell r="E165" t="str">
            <v>Part patronale mutuelle accident de travail PHC</v>
          </cell>
          <cell r="F165">
            <v>0</v>
          </cell>
          <cell r="L165">
            <v>0</v>
          </cell>
          <cell r="P165">
            <v>0</v>
          </cell>
          <cell r="AC165">
            <v>0</v>
          </cell>
        </row>
        <row r="166">
          <cell r="B166">
            <v>1</v>
          </cell>
          <cell r="C166" t="str">
            <v>068</v>
          </cell>
          <cell r="D166" t="str">
            <v>1620</v>
          </cell>
          <cell r="E166" t="str">
            <v>Part patronale mutuelle décés invalidité, Personnel permanent OET</v>
          </cell>
          <cell r="L166">
            <v>0</v>
          </cell>
          <cell r="N166">
            <v>324</v>
          </cell>
          <cell r="O166">
            <v>324</v>
          </cell>
          <cell r="P166">
            <v>648</v>
          </cell>
          <cell r="AB166">
            <v>828</v>
          </cell>
          <cell r="AC166">
            <v>1476</v>
          </cell>
        </row>
        <row r="167">
          <cell r="B167">
            <v>2</v>
          </cell>
          <cell r="C167" t="str">
            <v>068</v>
          </cell>
          <cell r="D167" t="str">
            <v>1621</v>
          </cell>
          <cell r="E167" t="str">
            <v>Part patronale mutuelle décés invalidité, Personnel permanent OEB</v>
          </cell>
          <cell r="F167">
            <v>0</v>
          </cell>
          <cell r="L167">
            <v>0</v>
          </cell>
          <cell r="P167">
            <v>0</v>
          </cell>
          <cell r="AC167">
            <v>0</v>
          </cell>
        </row>
        <row r="168">
          <cell r="B168">
            <v>3</v>
          </cell>
          <cell r="C168" t="str">
            <v>068</v>
          </cell>
          <cell r="D168" t="str">
            <v>1622</v>
          </cell>
          <cell r="E168" t="str">
            <v>Part patronale mutuelle décés invalidité, Personnel permanent OEJ</v>
          </cell>
          <cell r="F168">
            <v>0</v>
          </cell>
          <cell r="L168">
            <v>0</v>
          </cell>
          <cell r="P168">
            <v>0</v>
          </cell>
          <cell r="AC168">
            <v>0</v>
          </cell>
        </row>
        <row r="169">
          <cell r="B169">
            <v>4</v>
          </cell>
          <cell r="C169" t="str">
            <v>068</v>
          </cell>
          <cell r="D169" t="str">
            <v>1623</v>
          </cell>
          <cell r="E169" t="str">
            <v>Part patronale mutuelle décés invalidité, Personnel permanent OEF</v>
          </cell>
          <cell r="F169">
            <v>0</v>
          </cell>
          <cell r="L169">
            <v>0</v>
          </cell>
          <cell r="P169">
            <v>0</v>
          </cell>
          <cell r="AC169">
            <v>0</v>
          </cell>
        </row>
        <row r="170">
          <cell r="B170">
            <v>5</v>
          </cell>
          <cell r="C170" t="str">
            <v>068</v>
          </cell>
          <cell r="D170" t="str">
            <v>1624</v>
          </cell>
          <cell r="E170" t="str">
            <v>Part patronale mutuelle décés invalidité, Personnel permanent appoints</v>
          </cell>
          <cell r="F170">
            <v>0</v>
          </cell>
          <cell r="L170">
            <v>0</v>
          </cell>
          <cell r="P170">
            <v>0</v>
          </cell>
          <cell r="AC170">
            <v>0</v>
          </cell>
        </row>
        <row r="171">
          <cell r="B171">
            <v>6</v>
          </cell>
          <cell r="C171" t="str">
            <v>068</v>
          </cell>
          <cell r="D171" t="str">
            <v>1625</v>
          </cell>
          <cell r="E171" t="str">
            <v>Part patronale mutuelle décés invalidité, Personnel permanent OEM</v>
          </cell>
          <cell r="F171">
            <v>0</v>
          </cell>
          <cell r="L171">
            <v>0</v>
          </cell>
          <cell r="P171">
            <v>0</v>
          </cell>
          <cell r="AC171">
            <v>0</v>
          </cell>
        </row>
        <row r="172">
          <cell r="B172">
            <v>7</v>
          </cell>
          <cell r="C172" t="str">
            <v>068</v>
          </cell>
          <cell r="D172" t="str">
            <v>1626</v>
          </cell>
          <cell r="E172" t="str">
            <v>Part patronale mutuelle décés invalidité, Personnel permanent TAMCA</v>
          </cell>
          <cell r="F172">
            <v>0</v>
          </cell>
          <cell r="L172">
            <v>0</v>
          </cell>
          <cell r="P172">
            <v>0</v>
          </cell>
          <cell r="AC172">
            <v>0</v>
          </cell>
        </row>
        <row r="173">
          <cell r="B173">
            <v>8</v>
          </cell>
          <cell r="C173" t="str">
            <v>068</v>
          </cell>
          <cell r="D173" t="str">
            <v>1628</v>
          </cell>
          <cell r="E173" t="str">
            <v>Part patronale mutuelle décés invalidité, Personnel permanent HC</v>
          </cell>
          <cell r="F173">
            <v>0</v>
          </cell>
          <cell r="L173">
            <v>0</v>
          </cell>
          <cell r="P173">
            <v>0</v>
          </cell>
          <cell r="AC173">
            <v>0</v>
          </cell>
        </row>
        <row r="174">
          <cell r="B174">
            <v>1</v>
          </cell>
          <cell r="C174" t="str">
            <v>069</v>
          </cell>
          <cell r="D174" t="str">
            <v>1630</v>
          </cell>
          <cell r="E174" t="str">
            <v>P.P. mutuelle décés invalidité personnel retraité OET</v>
          </cell>
          <cell r="L174">
            <v>0</v>
          </cell>
          <cell r="P174">
            <v>0</v>
          </cell>
          <cell r="AC174">
            <v>0</v>
          </cell>
        </row>
        <row r="175">
          <cell r="B175">
            <v>2</v>
          </cell>
          <cell r="C175" t="str">
            <v>069</v>
          </cell>
          <cell r="D175" t="str">
            <v>1631</v>
          </cell>
          <cell r="E175" t="str">
            <v>P.P. mutuelle décés invalidité personnel retraité OEB</v>
          </cell>
          <cell r="F175">
            <v>0</v>
          </cell>
          <cell r="L175">
            <v>0</v>
          </cell>
          <cell r="P175">
            <v>0</v>
          </cell>
          <cell r="AC175">
            <v>0</v>
          </cell>
        </row>
        <row r="176">
          <cell r="B176">
            <v>3</v>
          </cell>
          <cell r="C176" t="str">
            <v>069</v>
          </cell>
          <cell r="D176" t="str">
            <v>1632</v>
          </cell>
          <cell r="E176" t="str">
            <v>P.P. mutuelle décés invalidité personnel retraité OEJ</v>
          </cell>
          <cell r="F176">
            <v>0</v>
          </cell>
          <cell r="L176">
            <v>0</v>
          </cell>
          <cell r="P176">
            <v>0</v>
          </cell>
          <cell r="AC176">
            <v>0</v>
          </cell>
        </row>
        <row r="177">
          <cell r="B177">
            <v>4</v>
          </cell>
          <cell r="C177" t="str">
            <v>069</v>
          </cell>
          <cell r="D177" t="str">
            <v>1633</v>
          </cell>
          <cell r="E177" t="str">
            <v>P.P. mutuelle décés invalidité personnel retraité OEF</v>
          </cell>
          <cell r="F177">
            <v>0</v>
          </cell>
          <cell r="L177">
            <v>0</v>
          </cell>
          <cell r="P177">
            <v>0</v>
          </cell>
          <cell r="AC177">
            <v>0</v>
          </cell>
        </row>
        <row r="178">
          <cell r="B178">
            <v>5</v>
          </cell>
          <cell r="C178" t="str">
            <v>069</v>
          </cell>
          <cell r="D178" t="str">
            <v>1634</v>
          </cell>
          <cell r="E178" t="str">
            <v>P.P. mutuelle décés invalidité personnel retraité appoints</v>
          </cell>
          <cell r="F178">
            <v>0</v>
          </cell>
          <cell r="L178">
            <v>0</v>
          </cell>
          <cell r="P178">
            <v>0</v>
          </cell>
          <cell r="AC178">
            <v>0</v>
          </cell>
        </row>
        <row r="179">
          <cell r="B179">
            <v>6</v>
          </cell>
          <cell r="C179" t="str">
            <v>069</v>
          </cell>
          <cell r="D179" t="str">
            <v>1635</v>
          </cell>
          <cell r="E179" t="str">
            <v>P.P. mutuelle décés invalidité personnel retraité OEM</v>
          </cell>
          <cell r="F179">
            <v>0</v>
          </cell>
          <cell r="L179">
            <v>0</v>
          </cell>
          <cell r="P179">
            <v>0</v>
          </cell>
          <cell r="AC179">
            <v>0</v>
          </cell>
        </row>
        <row r="180">
          <cell r="B180">
            <v>7</v>
          </cell>
          <cell r="C180" t="str">
            <v>069</v>
          </cell>
          <cell r="D180" t="str">
            <v>1636</v>
          </cell>
          <cell r="E180" t="str">
            <v>P.P. mutuelle décés invalidité personnel retraité TAMCA</v>
          </cell>
          <cell r="F180">
            <v>0</v>
          </cell>
          <cell r="L180">
            <v>0</v>
          </cell>
          <cell r="P180">
            <v>0</v>
          </cell>
          <cell r="AC180">
            <v>0</v>
          </cell>
        </row>
        <row r="181">
          <cell r="B181">
            <v>8</v>
          </cell>
          <cell r="C181" t="str">
            <v>069</v>
          </cell>
          <cell r="D181" t="str">
            <v>1638</v>
          </cell>
          <cell r="E181" t="str">
            <v>P.P. mutuelle décés invalidité personnel retraité HC</v>
          </cell>
          <cell r="F181">
            <v>0</v>
          </cell>
          <cell r="L181">
            <v>0</v>
          </cell>
          <cell r="P181">
            <v>0</v>
          </cell>
          <cell r="AC181">
            <v>0</v>
          </cell>
        </row>
        <row r="182">
          <cell r="B182">
            <v>1</v>
          </cell>
          <cell r="C182" t="str">
            <v>070</v>
          </cell>
          <cell r="D182" t="str">
            <v>1300</v>
          </cell>
          <cell r="E182" t="str">
            <v>Part patronale retraite OS 800, Personnel permanent OET</v>
          </cell>
          <cell r="F182">
            <v>45360</v>
          </cell>
          <cell r="G182">
            <v>46452</v>
          </cell>
          <cell r="H182">
            <v>39312</v>
          </cell>
          <cell r="I182">
            <v>49452</v>
          </cell>
          <cell r="J182">
            <v>36624</v>
          </cell>
          <cell r="K182">
            <v>51468</v>
          </cell>
          <cell r="L182">
            <v>268668</v>
          </cell>
          <cell r="N182">
            <v>178080</v>
          </cell>
          <cell r="O182">
            <v>237504</v>
          </cell>
          <cell r="P182">
            <v>415584</v>
          </cell>
          <cell r="R182">
            <v>9792</v>
          </cell>
          <cell r="S182">
            <v>11400</v>
          </cell>
          <cell r="T182">
            <v>106272</v>
          </cell>
          <cell r="V182">
            <v>26700</v>
          </cell>
          <cell r="W182">
            <v>16584</v>
          </cell>
          <cell r="X182">
            <v>1596</v>
          </cell>
          <cell r="AA182">
            <v>8556</v>
          </cell>
          <cell r="AB182">
            <v>54168</v>
          </cell>
          <cell r="AC182">
            <v>919320</v>
          </cell>
        </row>
        <row r="183">
          <cell r="B183">
            <v>1</v>
          </cell>
          <cell r="C183" t="str">
            <v>071</v>
          </cell>
          <cell r="D183" t="str">
            <v>1301</v>
          </cell>
          <cell r="E183" t="str">
            <v>Part patronale retraite OS 800, Personnel permanent OEB</v>
          </cell>
          <cell r="L183">
            <v>0</v>
          </cell>
          <cell r="P183">
            <v>0</v>
          </cell>
          <cell r="AC183">
            <v>0</v>
          </cell>
        </row>
        <row r="184">
          <cell r="B184">
            <v>1</v>
          </cell>
          <cell r="C184" t="str">
            <v>072</v>
          </cell>
          <cell r="D184" t="str">
            <v>1302</v>
          </cell>
          <cell r="E184" t="str">
            <v>Part patronale retraite OS 800, Personnel permanent OEJ</v>
          </cell>
          <cell r="L184">
            <v>0</v>
          </cell>
          <cell r="O184">
            <v>684</v>
          </cell>
          <cell r="P184">
            <v>684</v>
          </cell>
          <cell r="T184">
            <v>12276</v>
          </cell>
          <cell r="U184">
            <v>31524</v>
          </cell>
          <cell r="W184">
            <v>162336</v>
          </cell>
          <cell r="X184">
            <v>16128</v>
          </cell>
          <cell r="Y184">
            <v>10020</v>
          </cell>
          <cell r="AA184">
            <v>69312</v>
          </cell>
          <cell r="AB184">
            <v>94212</v>
          </cell>
          <cell r="AC184">
            <v>396492</v>
          </cell>
        </row>
        <row r="185">
          <cell r="B185">
            <v>1</v>
          </cell>
          <cell r="C185" t="str">
            <v>073</v>
          </cell>
          <cell r="D185" t="str">
            <v>1303</v>
          </cell>
          <cell r="E185" t="str">
            <v>Part patronale retraite OS 800, Personnel permanent OEF</v>
          </cell>
          <cell r="F185">
            <v>28896</v>
          </cell>
          <cell r="G185">
            <v>22212</v>
          </cell>
          <cell r="H185">
            <v>17964</v>
          </cell>
          <cell r="I185">
            <v>21228</v>
          </cell>
          <cell r="J185">
            <v>14448</v>
          </cell>
          <cell r="K185">
            <v>24996</v>
          </cell>
          <cell r="L185">
            <v>129744</v>
          </cell>
          <cell r="N185">
            <v>75216</v>
          </cell>
          <cell r="O185">
            <v>112332</v>
          </cell>
          <cell r="P185">
            <v>187548</v>
          </cell>
          <cell r="R185">
            <v>744</v>
          </cell>
          <cell r="S185">
            <v>233100</v>
          </cell>
          <cell r="T185">
            <v>396132</v>
          </cell>
          <cell r="U185">
            <v>114960</v>
          </cell>
          <cell r="V185">
            <v>90996</v>
          </cell>
          <cell r="W185">
            <v>39300</v>
          </cell>
          <cell r="X185">
            <v>3756</v>
          </cell>
          <cell r="AA185">
            <v>10008</v>
          </cell>
          <cell r="AB185">
            <v>64200</v>
          </cell>
          <cell r="AC185">
            <v>1270488</v>
          </cell>
        </row>
        <row r="186">
          <cell r="B186">
            <v>1</v>
          </cell>
          <cell r="C186" t="str">
            <v>074</v>
          </cell>
          <cell r="D186" t="str">
            <v>1304</v>
          </cell>
          <cell r="E186" t="str">
            <v>Part patronale retraite OS 800, Personnel permanent appoints</v>
          </cell>
          <cell r="L186">
            <v>0</v>
          </cell>
          <cell r="P186">
            <v>0</v>
          </cell>
          <cell r="AC186">
            <v>0</v>
          </cell>
        </row>
        <row r="187">
          <cell r="B187">
            <v>1</v>
          </cell>
          <cell r="C187" t="str">
            <v>075</v>
          </cell>
          <cell r="D187" t="str">
            <v>1306</v>
          </cell>
          <cell r="E187" t="str">
            <v>Part patronale retraite OS 800, Personnel permanent TAMCA</v>
          </cell>
          <cell r="F187">
            <v>2184</v>
          </cell>
          <cell r="G187">
            <v>300</v>
          </cell>
          <cell r="H187">
            <v>7512</v>
          </cell>
          <cell r="I187">
            <v>4164</v>
          </cell>
          <cell r="J187">
            <v>1596</v>
          </cell>
          <cell r="K187">
            <v>6432</v>
          </cell>
          <cell r="L187">
            <v>22188</v>
          </cell>
          <cell r="N187">
            <v>16368</v>
          </cell>
          <cell r="O187">
            <v>24444</v>
          </cell>
          <cell r="P187">
            <v>40812</v>
          </cell>
          <cell r="S187">
            <v>6024</v>
          </cell>
          <cell r="T187">
            <v>44748</v>
          </cell>
          <cell r="U187">
            <v>14376</v>
          </cell>
          <cell r="V187">
            <v>37056</v>
          </cell>
          <cell r="W187">
            <v>33996</v>
          </cell>
          <cell r="Y187">
            <v>10584</v>
          </cell>
          <cell r="AA187">
            <v>9720</v>
          </cell>
          <cell r="AB187">
            <v>16716</v>
          </cell>
          <cell r="AC187">
            <v>236220</v>
          </cell>
        </row>
        <row r="188">
          <cell r="B188">
            <v>1</v>
          </cell>
          <cell r="C188" t="str">
            <v>076</v>
          </cell>
          <cell r="D188" t="str">
            <v>1305</v>
          </cell>
          <cell r="E188" t="str">
            <v>Part patronale retraite OS 800, Personnel permanent OEM</v>
          </cell>
          <cell r="L188">
            <v>0</v>
          </cell>
          <cell r="P188">
            <v>0</v>
          </cell>
          <cell r="AC188">
            <v>0</v>
          </cell>
        </row>
        <row r="189">
          <cell r="B189">
            <v>1</v>
          </cell>
          <cell r="C189" t="str">
            <v>077</v>
          </cell>
          <cell r="D189" t="str">
            <v>1308</v>
          </cell>
          <cell r="E189" t="str">
            <v>Part patronale retraite OS 800, Personnel permanent HC</v>
          </cell>
          <cell r="L189">
            <v>0</v>
          </cell>
          <cell r="P189">
            <v>0</v>
          </cell>
          <cell r="AC189">
            <v>0</v>
          </cell>
        </row>
        <row r="190">
          <cell r="B190">
            <v>1</v>
          </cell>
          <cell r="C190" t="str">
            <v>079</v>
          </cell>
          <cell r="D190" t="str">
            <v>1410</v>
          </cell>
          <cell r="E190" t="str">
            <v>Part patronale sur primes de fin d'année OS 800, Personnel permanent OET</v>
          </cell>
          <cell r="F190">
            <v>19440</v>
          </cell>
          <cell r="G190">
            <v>19344</v>
          </cell>
          <cell r="H190">
            <v>15744</v>
          </cell>
          <cell r="I190">
            <v>19032</v>
          </cell>
          <cell r="J190">
            <v>13728</v>
          </cell>
          <cell r="K190">
            <v>21060</v>
          </cell>
          <cell r="L190">
            <v>108348</v>
          </cell>
          <cell r="N190">
            <v>88584</v>
          </cell>
          <cell r="O190">
            <v>120672</v>
          </cell>
          <cell r="P190">
            <v>209256</v>
          </cell>
          <cell r="R190">
            <v>3348</v>
          </cell>
          <cell r="S190">
            <v>65328</v>
          </cell>
          <cell r="T190">
            <v>126264</v>
          </cell>
          <cell r="U190">
            <v>41304</v>
          </cell>
          <cell r="V190">
            <v>41292</v>
          </cell>
          <cell r="W190">
            <v>57804</v>
          </cell>
          <cell r="X190">
            <v>6192</v>
          </cell>
          <cell r="Y190">
            <v>5244</v>
          </cell>
          <cell r="AA190">
            <v>25572</v>
          </cell>
          <cell r="AB190">
            <v>55524</v>
          </cell>
          <cell r="AC190">
            <v>745476</v>
          </cell>
        </row>
        <row r="191">
          <cell r="B191">
            <v>2</v>
          </cell>
          <cell r="C191" t="str">
            <v>079</v>
          </cell>
          <cell r="D191" t="str">
            <v>1411</v>
          </cell>
          <cell r="E191" t="str">
            <v>Part patronale sur primes de fin d'année OS 800, Personnel permanent OEB</v>
          </cell>
          <cell r="F191">
            <v>0</v>
          </cell>
          <cell r="L191">
            <v>0</v>
          </cell>
          <cell r="P191">
            <v>0</v>
          </cell>
          <cell r="AC191">
            <v>0</v>
          </cell>
        </row>
        <row r="192">
          <cell r="B192">
            <v>3</v>
          </cell>
          <cell r="C192" t="str">
            <v>079</v>
          </cell>
          <cell r="D192" t="str">
            <v>1412</v>
          </cell>
          <cell r="E192" t="str">
            <v>Part patronale sur primes de fin d'année OS 800, Personnel permanent OEJ</v>
          </cell>
          <cell r="F192">
            <v>0</v>
          </cell>
          <cell r="L192">
            <v>0</v>
          </cell>
          <cell r="P192">
            <v>0</v>
          </cell>
          <cell r="AC192">
            <v>0</v>
          </cell>
        </row>
        <row r="193">
          <cell r="B193">
            <v>4</v>
          </cell>
          <cell r="C193" t="str">
            <v>079</v>
          </cell>
          <cell r="D193" t="str">
            <v>1413</v>
          </cell>
          <cell r="E193" t="str">
            <v>Part patronale sur primes de fin d'année OS 800, Personnel permanent OEF</v>
          </cell>
          <cell r="F193">
            <v>0</v>
          </cell>
          <cell r="L193">
            <v>0</v>
          </cell>
          <cell r="P193">
            <v>0</v>
          </cell>
          <cell r="AC193">
            <v>0</v>
          </cell>
        </row>
        <row r="194">
          <cell r="B194">
            <v>5</v>
          </cell>
          <cell r="C194" t="str">
            <v>079</v>
          </cell>
          <cell r="D194" t="str">
            <v>1414</v>
          </cell>
          <cell r="E194" t="str">
            <v>Part patronale sur primes de fin d'année OS 800, Personnel permanent appoints</v>
          </cell>
          <cell r="F194">
            <v>0</v>
          </cell>
          <cell r="L194">
            <v>0</v>
          </cell>
          <cell r="P194">
            <v>0</v>
          </cell>
          <cell r="AC194">
            <v>0</v>
          </cell>
        </row>
        <row r="195">
          <cell r="B195">
            <v>6</v>
          </cell>
          <cell r="C195" t="str">
            <v>079</v>
          </cell>
          <cell r="D195" t="str">
            <v>1415</v>
          </cell>
          <cell r="E195" t="str">
            <v>Part patronale sur primes de fin d'année OS 800, Personnel permanent OEM</v>
          </cell>
          <cell r="F195">
            <v>0</v>
          </cell>
          <cell r="L195">
            <v>0</v>
          </cell>
          <cell r="P195">
            <v>0</v>
          </cell>
          <cell r="AC195">
            <v>0</v>
          </cell>
        </row>
        <row r="196">
          <cell r="B196">
            <v>7</v>
          </cell>
          <cell r="C196" t="str">
            <v>079</v>
          </cell>
          <cell r="D196" t="str">
            <v>1416</v>
          </cell>
          <cell r="E196" t="str">
            <v>Part patronale sur primes de fin d'année OS 800, Personnel permanent TAMCA</v>
          </cell>
          <cell r="F196">
            <v>0</v>
          </cell>
          <cell r="L196">
            <v>0</v>
          </cell>
          <cell r="P196">
            <v>0</v>
          </cell>
          <cell r="AC196">
            <v>0</v>
          </cell>
        </row>
        <row r="197">
          <cell r="B197">
            <v>8</v>
          </cell>
          <cell r="C197" t="str">
            <v>079</v>
          </cell>
          <cell r="D197" t="str">
            <v>1418</v>
          </cell>
          <cell r="E197" t="str">
            <v>Part patronale sur primes de fin d'année OS 800, Personnel permanent HC</v>
          </cell>
          <cell r="F197">
            <v>0</v>
          </cell>
          <cell r="L197">
            <v>0</v>
          </cell>
          <cell r="P197">
            <v>0</v>
          </cell>
          <cell r="AC197">
            <v>0</v>
          </cell>
        </row>
        <row r="198">
          <cell r="B198">
            <v>1</v>
          </cell>
          <cell r="C198" t="str">
            <v>085</v>
          </cell>
          <cell r="D198" t="str">
            <v>1326</v>
          </cell>
          <cell r="E198" t="str">
            <v>Part patronale OS 824 TAMCA</v>
          </cell>
          <cell r="F198">
            <v>10656</v>
          </cell>
          <cell r="G198">
            <v>4488</v>
          </cell>
          <cell r="I198">
            <v>5940</v>
          </cell>
          <cell r="J198">
            <v>3912</v>
          </cell>
          <cell r="K198">
            <v>708</v>
          </cell>
          <cell r="L198">
            <v>25704</v>
          </cell>
          <cell r="N198">
            <v>15672</v>
          </cell>
          <cell r="O198">
            <v>26316</v>
          </cell>
          <cell r="P198">
            <v>41988</v>
          </cell>
          <cell r="S198">
            <v>10440</v>
          </cell>
          <cell r="T198">
            <v>25464</v>
          </cell>
          <cell r="V198">
            <v>14844</v>
          </cell>
          <cell r="W198">
            <v>14928</v>
          </cell>
          <cell r="AA198">
            <v>35172</v>
          </cell>
          <cell r="AB198">
            <v>25236</v>
          </cell>
          <cell r="AC198">
            <v>193776</v>
          </cell>
        </row>
        <row r="199">
          <cell r="B199">
            <v>1</v>
          </cell>
          <cell r="C199" t="str">
            <v>086</v>
          </cell>
          <cell r="D199" t="str">
            <v>1336</v>
          </cell>
          <cell r="E199" t="str">
            <v>Part patronale Recore OS 824, Personnel TAMCA</v>
          </cell>
          <cell r="F199">
            <v>948</v>
          </cell>
          <cell r="G199">
            <v>660</v>
          </cell>
          <cell r="I199">
            <v>228</v>
          </cell>
          <cell r="J199">
            <v>276</v>
          </cell>
          <cell r="K199">
            <v>108</v>
          </cell>
          <cell r="L199">
            <v>2220</v>
          </cell>
          <cell r="N199">
            <v>14580</v>
          </cell>
          <cell r="O199">
            <v>2724</v>
          </cell>
          <cell r="P199">
            <v>17304</v>
          </cell>
          <cell r="S199">
            <v>1344</v>
          </cell>
          <cell r="T199">
            <v>20940</v>
          </cell>
          <cell r="V199">
            <v>6696</v>
          </cell>
          <cell r="W199">
            <v>1212</v>
          </cell>
          <cell r="AA199">
            <v>35160</v>
          </cell>
          <cell r="AB199">
            <v>24576</v>
          </cell>
          <cell r="AC199">
            <v>109452</v>
          </cell>
        </row>
        <row r="200">
          <cell r="B200">
            <v>1</v>
          </cell>
          <cell r="C200" t="str">
            <v>087</v>
          </cell>
          <cell r="D200" t="str">
            <v>1346</v>
          </cell>
          <cell r="E200" t="str">
            <v>Part patronale RCAR régime de base, Personnel TAMCA</v>
          </cell>
          <cell r="L200">
            <v>0</v>
          </cell>
          <cell r="P200">
            <v>0</v>
          </cell>
          <cell r="AC200">
            <v>0</v>
          </cell>
        </row>
        <row r="201">
          <cell r="B201">
            <v>1</v>
          </cell>
          <cell r="C201">
            <v>100</v>
          </cell>
          <cell r="D201" t="str">
            <v>2100</v>
          </cell>
          <cell r="E201" t="str">
            <v>Fournitures internes, Electricité SA Fact.à SA Fact.même DIV</v>
          </cell>
          <cell r="L201">
            <v>0</v>
          </cell>
          <cell r="P201">
            <v>0</v>
          </cell>
          <cell r="AC201">
            <v>0</v>
          </cell>
        </row>
        <row r="202">
          <cell r="B202">
            <v>1</v>
          </cell>
          <cell r="C202">
            <v>101</v>
          </cell>
          <cell r="D202" t="str">
            <v>2101</v>
          </cell>
          <cell r="E202" t="str">
            <v>Fournitures internes, Electricité SA Fact. À SA Fact.autres DIV</v>
          </cell>
          <cell r="L202">
            <v>0</v>
          </cell>
          <cell r="P202">
            <v>0</v>
          </cell>
          <cell r="AC202">
            <v>0</v>
          </cell>
        </row>
        <row r="203">
          <cell r="B203">
            <v>1</v>
          </cell>
          <cell r="C203">
            <v>102</v>
          </cell>
          <cell r="D203" t="str">
            <v>2102</v>
          </cell>
          <cell r="E203" t="str">
            <v>Fournitures internes, Electricite (SA FACT à SA Consommation même DIV)</v>
          </cell>
          <cell r="F203">
            <v>44496</v>
          </cell>
          <cell r="G203">
            <v>45108</v>
          </cell>
          <cell r="H203">
            <v>49824</v>
          </cell>
          <cell r="I203">
            <v>54192</v>
          </cell>
          <cell r="J203">
            <v>38892</v>
          </cell>
          <cell r="K203">
            <v>55824</v>
          </cell>
          <cell r="L203">
            <v>288336</v>
          </cell>
          <cell r="N203">
            <v>253296</v>
          </cell>
          <cell r="O203">
            <v>387828</v>
          </cell>
          <cell r="P203">
            <v>641124</v>
          </cell>
          <cell r="S203">
            <v>2287728</v>
          </cell>
          <cell r="T203">
            <v>1939812</v>
          </cell>
          <cell r="W203">
            <v>45060</v>
          </cell>
          <cell r="X203">
            <v>2449788</v>
          </cell>
          <cell r="AA203">
            <v>1413120</v>
          </cell>
          <cell r="AC203">
            <v>9064968</v>
          </cell>
        </row>
        <row r="204">
          <cell r="B204">
            <v>1</v>
          </cell>
          <cell r="C204">
            <v>103</v>
          </cell>
          <cell r="D204" t="str">
            <v>2103</v>
          </cell>
          <cell r="E204" t="str">
            <v>Fournitures internes, Electricité (SA Fact.à SA Consommation autres DIV)</v>
          </cell>
          <cell r="L204">
            <v>0</v>
          </cell>
          <cell r="P204">
            <v>0</v>
          </cell>
          <cell r="AC204">
            <v>0</v>
          </cell>
        </row>
        <row r="205">
          <cell r="B205">
            <v>1</v>
          </cell>
          <cell r="C205">
            <v>104</v>
          </cell>
          <cell r="D205" t="str">
            <v>2104</v>
          </cell>
          <cell r="E205" t="str">
            <v>Fournitures internes, Eau OCP ( SA Fact.à SA Fact. Même DIV)</v>
          </cell>
          <cell r="L205">
            <v>0</v>
          </cell>
          <cell r="P205">
            <v>0</v>
          </cell>
          <cell r="AC205">
            <v>0</v>
          </cell>
        </row>
        <row r="206">
          <cell r="B206">
            <v>1</v>
          </cell>
          <cell r="C206">
            <v>105</v>
          </cell>
          <cell r="D206" t="str">
            <v>2105</v>
          </cell>
          <cell r="E206" t="str">
            <v>Fournitures internes, Eau OCP ( SA Fact.à SA Fact. autres DIV)</v>
          </cell>
          <cell r="L206">
            <v>0</v>
          </cell>
          <cell r="P206">
            <v>0</v>
          </cell>
          <cell r="AC206">
            <v>0</v>
          </cell>
        </row>
        <row r="207">
          <cell r="B207">
            <v>1</v>
          </cell>
          <cell r="C207">
            <v>106</v>
          </cell>
          <cell r="D207" t="str">
            <v>2106</v>
          </cell>
          <cell r="E207" t="str">
            <v>Fournitures internes, Eau OCP (SA Fact.à SA Consommation même DIV)</v>
          </cell>
          <cell r="L207">
            <v>0</v>
          </cell>
          <cell r="P207">
            <v>0</v>
          </cell>
          <cell r="AB207">
            <v>231648</v>
          </cell>
          <cell r="AC207">
            <v>231648</v>
          </cell>
        </row>
        <row r="208">
          <cell r="B208">
            <v>1</v>
          </cell>
          <cell r="C208">
            <v>107</v>
          </cell>
          <cell r="D208" t="str">
            <v>2107</v>
          </cell>
          <cell r="E208" t="str">
            <v>Fournitures internes, Eau OCP ( SA Fact.à SA Consommation autres DIV)</v>
          </cell>
          <cell r="L208">
            <v>0</v>
          </cell>
          <cell r="P208">
            <v>0</v>
          </cell>
          <cell r="AC208">
            <v>0</v>
          </cell>
        </row>
        <row r="209">
          <cell r="B209">
            <v>1</v>
          </cell>
          <cell r="C209">
            <v>200</v>
          </cell>
          <cell r="D209" t="str">
            <v>2200</v>
          </cell>
          <cell r="E209" t="str">
            <v>Prestations même division, Jardinages et pépinières</v>
          </cell>
          <cell r="L209">
            <v>0</v>
          </cell>
          <cell r="P209">
            <v>0</v>
          </cell>
          <cell r="AC209">
            <v>0</v>
          </cell>
        </row>
        <row r="210">
          <cell r="B210">
            <v>1</v>
          </cell>
          <cell r="C210">
            <v>201</v>
          </cell>
          <cell r="D210" t="str">
            <v>2201</v>
          </cell>
          <cell r="E210" t="str">
            <v>Prestations même division, Nettoyage</v>
          </cell>
          <cell r="L210">
            <v>0</v>
          </cell>
          <cell r="P210">
            <v>0</v>
          </cell>
          <cell r="AC210">
            <v>0</v>
          </cell>
        </row>
        <row r="211">
          <cell r="B211">
            <v>1</v>
          </cell>
          <cell r="C211">
            <v>202</v>
          </cell>
          <cell r="D211" t="str">
            <v>2202</v>
          </cell>
          <cell r="E211" t="str">
            <v>Prestations même division, Menuiserie</v>
          </cell>
          <cell r="L211">
            <v>0</v>
          </cell>
          <cell r="P211">
            <v>0</v>
          </cell>
          <cell r="AC211">
            <v>0</v>
          </cell>
        </row>
        <row r="212">
          <cell r="B212">
            <v>1</v>
          </cell>
          <cell r="C212">
            <v>203</v>
          </cell>
          <cell r="D212" t="str">
            <v>2203</v>
          </cell>
          <cell r="E212" t="str">
            <v>Prestations même division, Peinture et vitrerie</v>
          </cell>
          <cell r="L212">
            <v>0</v>
          </cell>
          <cell r="P212">
            <v>0</v>
          </cell>
          <cell r="AC212">
            <v>0</v>
          </cell>
        </row>
        <row r="213">
          <cell r="B213">
            <v>1</v>
          </cell>
          <cell r="C213">
            <v>204</v>
          </cell>
          <cell r="D213" t="str">
            <v>2204</v>
          </cell>
          <cell r="E213" t="str">
            <v>Prestations même division, Plomberie</v>
          </cell>
          <cell r="L213">
            <v>0</v>
          </cell>
          <cell r="P213">
            <v>0</v>
          </cell>
          <cell r="AC213">
            <v>0</v>
          </cell>
        </row>
        <row r="214">
          <cell r="B214">
            <v>1</v>
          </cell>
          <cell r="C214">
            <v>205</v>
          </cell>
          <cell r="D214" t="str">
            <v>2205</v>
          </cell>
          <cell r="E214" t="str">
            <v>Prestations même division, Froid et climatisation</v>
          </cell>
          <cell r="L214">
            <v>0</v>
          </cell>
          <cell r="P214">
            <v>0</v>
          </cell>
          <cell r="AC214">
            <v>0</v>
          </cell>
        </row>
        <row r="215">
          <cell r="B215">
            <v>1</v>
          </cell>
          <cell r="C215">
            <v>207</v>
          </cell>
          <cell r="D215" t="str">
            <v>2207</v>
          </cell>
          <cell r="E215" t="str">
            <v>Prestations même division, Agencement mobilier</v>
          </cell>
          <cell r="L215">
            <v>0</v>
          </cell>
          <cell r="P215">
            <v>0</v>
          </cell>
          <cell r="AC215">
            <v>0</v>
          </cell>
        </row>
        <row r="216">
          <cell r="B216">
            <v>1</v>
          </cell>
          <cell r="C216">
            <v>208</v>
          </cell>
          <cell r="D216" t="str">
            <v>2208</v>
          </cell>
          <cell r="E216" t="str">
            <v>Prestations même division, Ateliers téléphoniques</v>
          </cell>
          <cell r="L216">
            <v>0</v>
          </cell>
          <cell r="P216">
            <v>0</v>
          </cell>
          <cell r="AC216">
            <v>0</v>
          </cell>
        </row>
        <row r="217">
          <cell r="B217">
            <v>1</v>
          </cell>
          <cell r="C217">
            <v>210</v>
          </cell>
          <cell r="D217" t="str">
            <v>2210</v>
          </cell>
          <cell r="E217" t="str">
            <v>Prestations même division, Ateliers électroniques</v>
          </cell>
          <cell r="L217">
            <v>0</v>
          </cell>
          <cell r="P217">
            <v>0</v>
          </cell>
          <cell r="AC217">
            <v>0</v>
          </cell>
        </row>
        <row r="218">
          <cell r="B218">
            <v>1</v>
          </cell>
          <cell r="C218">
            <v>211</v>
          </cell>
          <cell r="D218" t="str">
            <v>2211</v>
          </cell>
          <cell r="E218" t="str">
            <v>Prestations même division, Ateliers mécaniques</v>
          </cell>
          <cell r="F218">
            <v>129144</v>
          </cell>
          <cell r="G218">
            <v>74268</v>
          </cell>
          <cell r="H218">
            <v>107100</v>
          </cell>
          <cell r="I218">
            <v>73476</v>
          </cell>
          <cell r="J218">
            <v>65196</v>
          </cell>
          <cell r="K218">
            <v>85368</v>
          </cell>
          <cell r="L218">
            <v>534552</v>
          </cell>
          <cell r="M218">
            <v>18588</v>
          </cell>
          <cell r="N218">
            <v>909780</v>
          </cell>
          <cell r="O218">
            <v>1431840</v>
          </cell>
          <cell r="P218">
            <v>2341620</v>
          </cell>
          <cell r="R218">
            <v>1392</v>
          </cell>
          <cell r="S218">
            <v>255648</v>
          </cell>
          <cell r="T218">
            <v>83028</v>
          </cell>
          <cell r="U218">
            <v>337932</v>
          </cell>
          <cell r="V218">
            <v>54456</v>
          </cell>
          <cell r="W218">
            <v>4572</v>
          </cell>
          <cell r="X218">
            <v>2340</v>
          </cell>
          <cell r="AA218">
            <v>189372</v>
          </cell>
          <cell r="AB218">
            <v>70356</v>
          </cell>
          <cell r="AC218">
            <v>3893856</v>
          </cell>
        </row>
        <row r="219">
          <cell r="B219">
            <v>2</v>
          </cell>
          <cell r="C219">
            <v>211</v>
          </cell>
          <cell r="D219" t="str">
            <v>2258</v>
          </cell>
          <cell r="E219" t="str">
            <v>Prestations même division, Ateliers hydrauliques</v>
          </cell>
          <cell r="F219">
            <v>0</v>
          </cell>
          <cell r="L219">
            <v>0</v>
          </cell>
          <cell r="P219">
            <v>0</v>
          </cell>
          <cell r="AC219">
            <v>0</v>
          </cell>
        </row>
        <row r="220">
          <cell r="B220">
            <v>3</v>
          </cell>
          <cell r="C220">
            <v>211</v>
          </cell>
          <cell r="D220" t="str">
            <v>2259</v>
          </cell>
          <cell r="E220" t="str">
            <v>Prestations même division, Ateliers centraux, contrôle qualité</v>
          </cell>
          <cell r="F220">
            <v>0</v>
          </cell>
          <cell r="L220">
            <v>0</v>
          </cell>
          <cell r="P220">
            <v>0</v>
          </cell>
          <cell r="AC220">
            <v>0</v>
          </cell>
        </row>
        <row r="221">
          <cell r="B221">
            <v>1</v>
          </cell>
          <cell r="C221">
            <v>212</v>
          </cell>
          <cell r="D221" t="str">
            <v>2212</v>
          </cell>
          <cell r="E221" t="str">
            <v>Prestations même division, Ateliers éléctriques</v>
          </cell>
          <cell r="F221">
            <v>50460</v>
          </cell>
          <cell r="G221">
            <v>29232</v>
          </cell>
          <cell r="H221">
            <v>33804</v>
          </cell>
          <cell r="I221">
            <v>31140</v>
          </cell>
          <cell r="J221">
            <v>20136</v>
          </cell>
          <cell r="K221">
            <v>30540</v>
          </cell>
          <cell r="L221">
            <v>195312</v>
          </cell>
          <cell r="M221">
            <v>44796</v>
          </cell>
          <cell r="N221">
            <v>788520</v>
          </cell>
          <cell r="O221">
            <v>765948</v>
          </cell>
          <cell r="P221">
            <v>1554468</v>
          </cell>
          <cell r="S221">
            <v>237672</v>
          </cell>
          <cell r="T221">
            <v>116460</v>
          </cell>
          <cell r="V221">
            <v>169596</v>
          </cell>
          <cell r="W221">
            <v>43848</v>
          </cell>
          <cell r="X221">
            <v>33948</v>
          </cell>
          <cell r="AA221">
            <v>172056</v>
          </cell>
          <cell r="AB221">
            <v>9672</v>
          </cell>
          <cell r="AC221">
            <v>2577828</v>
          </cell>
        </row>
        <row r="222">
          <cell r="B222">
            <v>1</v>
          </cell>
          <cell r="C222">
            <v>213</v>
          </cell>
          <cell r="D222" t="str">
            <v>2213</v>
          </cell>
          <cell r="E222" t="str">
            <v>Prestations même division, Ateliers draglines</v>
          </cell>
          <cell r="L222">
            <v>0</v>
          </cell>
          <cell r="P222">
            <v>0</v>
          </cell>
          <cell r="AC222">
            <v>0</v>
          </cell>
        </row>
        <row r="223">
          <cell r="B223">
            <v>1</v>
          </cell>
          <cell r="C223">
            <v>214</v>
          </cell>
          <cell r="D223" t="str">
            <v>2214</v>
          </cell>
          <cell r="E223" t="str">
            <v>Prestations même division, Ateliers des eaux</v>
          </cell>
          <cell r="L223">
            <v>0</v>
          </cell>
          <cell r="P223">
            <v>0</v>
          </cell>
          <cell r="AC223">
            <v>0</v>
          </cell>
        </row>
        <row r="224">
          <cell r="B224">
            <v>1</v>
          </cell>
          <cell r="C224">
            <v>215</v>
          </cell>
          <cell r="D224" t="str">
            <v>2215</v>
          </cell>
          <cell r="E224" t="str">
            <v>Prestations même division, Génie civil</v>
          </cell>
          <cell r="L224">
            <v>0</v>
          </cell>
          <cell r="P224">
            <v>0</v>
          </cell>
          <cell r="AC224">
            <v>0</v>
          </cell>
        </row>
        <row r="225">
          <cell r="B225">
            <v>1</v>
          </cell>
          <cell r="C225">
            <v>216</v>
          </cell>
          <cell r="D225" t="str">
            <v>2216</v>
          </cell>
          <cell r="E225" t="str">
            <v>Prestations même division, Géologie</v>
          </cell>
          <cell r="L225">
            <v>0</v>
          </cell>
          <cell r="P225">
            <v>0</v>
          </cell>
          <cell r="AC225">
            <v>0</v>
          </cell>
        </row>
        <row r="226">
          <cell r="B226">
            <v>1</v>
          </cell>
          <cell r="C226">
            <v>217</v>
          </cell>
          <cell r="D226" t="str">
            <v>2217</v>
          </cell>
          <cell r="E226" t="str">
            <v>Prestations même division, Ateliers pneumatiques</v>
          </cell>
          <cell r="L226">
            <v>0</v>
          </cell>
          <cell r="P226">
            <v>0</v>
          </cell>
          <cell r="AC226">
            <v>0</v>
          </cell>
        </row>
        <row r="227">
          <cell r="B227">
            <v>1</v>
          </cell>
          <cell r="C227">
            <v>218</v>
          </cell>
          <cell r="D227" t="str">
            <v>2218</v>
          </cell>
          <cell r="E227" t="str">
            <v>Prestations même division, Ateliers chaudronnerie lourde</v>
          </cell>
          <cell r="L227">
            <v>0</v>
          </cell>
          <cell r="P227">
            <v>0</v>
          </cell>
          <cell r="AC227">
            <v>0</v>
          </cell>
        </row>
        <row r="228">
          <cell r="B228">
            <v>1</v>
          </cell>
          <cell r="C228">
            <v>219</v>
          </cell>
          <cell r="D228" t="str">
            <v>2219</v>
          </cell>
          <cell r="E228" t="str">
            <v>Prestations même division, Ateliers des engins divers</v>
          </cell>
          <cell r="L228">
            <v>0</v>
          </cell>
          <cell r="P228">
            <v>0</v>
          </cell>
          <cell r="AC228">
            <v>0</v>
          </cell>
        </row>
        <row r="229">
          <cell r="B229">
            <v>1</v>
          </cell>
          <cell r="C229">
            <v>220</v>
          </cell>
          <cell r="D229" t="str">
            <v>2220</v>
          </cell>
          <cell r="E229" t="str">
            <v>Prestations même division, Trémies épierrage</v>
          </cell>
          <cell r="L229">
            <v>0</v>
          </cell>
          <cell r="P229">
            <v>0</v>
          </cell>
          <cell r="AC229">
            <v>0</v>
          </cell>
        </row>
        <row r="230">
          <cell r="B230">
            <v>1</v>
          </cell>
          <cell r="C230">
            <v>221</v>
          </cell>
          <cell r="D230" t="str">
            <v>2221</v>
          </cell>
          <cell r="E230" t="str">
            <v>Prestations même division, Stacker de mise en stock de l'épierré</v>
          </cell>
          <cell r="L230">
            <v>0</v>
          </cell>
          <cell r="P230">
            <v>0</v>
          </cell>
          <cell r="AC230">
            <v>0</v>
          </cell>
        </row>
        <row r="231">
          <cell r="B231">
            <v>1</v>
          </cell>
          <cell r="C231">
            <v>222</v>
          </cell>
          <cell r="D231" t="str">
            <v>2222</v>
          </cell>
          <cell r="E231" t="str">
            <v>Prestations même division, Roue-pelle, Reprise de l'épierré</v>
          </cell>
          <cell r="L231">
            <v>0</v>
          </cell>
          <cell r="P231">
            <v>0</v>
          </cell>
          <cell r="AC231">
            <v>0</v>
          </cell>
        </row>
        <row r="232">
          <cell r="B232">
            <v>1</v>
          </cell>
          <cell r="C232">
            <v>223</v>
          </cell>
          <cell r="D232" t="str">
            <v>2223</v>
          </cell>
          <cell r="E232" t="str">
            <v>Prestations même division, Liaison T1+T2/T13 OCP</v>
          </cell>
          <cell r="L232">
            <v>0</v>
          </cell>
          <cell r="P232">
            <v>0</v>
          </cell>
          <cell r="AC232">
            <v>0</v>
          </cell>
        </row>
        <row r="233">
          <cell r="B233">
            <v>1</v>
          </cell>
          <cell r="C233">
            <v>224</v>
          </cell>
          <cell r="D233" t="str">
            <v>2224</v>
          </cell>
          <cell r="E233" t="str">
            <v>Prestations même division, Stacker</v>
          </cell>
          <cell r="L233">
            <v>0</v>
          </cell>
          <cell r="P233">
            <v>0</v>
          </cell>
          <cell r="AC233">
            <v>0</v>
          </cell>
        </row>
        <row r="234">
          <cell r="B234">
            <v>1</v>
          </cell>
          <cell r="C234">
            <v>225</v>
          </cell>
          <cell r="D234" t="str">
            <v>2225</v>
          </cell>
          <cell r="E234" t="str">
            <v>Prestations même division, Station de criblage</v>
          </cell>
          <cell r="L234">
            <v>0</v>
          </cell>
          <cell r="P234">
            <v>0</v>
          </cell>
          <cell r="AC234">
            <v>0</v>
          </cell>
        </row>
        <row r="235">
          <cell r="B235">
            <v>1</v>
          </cell>
          <cell r="C235">
            <v>226</v>
          </cell>
          <cell r="D235" t="str">
            <v>2226</v>
          </cell>
          <cell r="E235" t="str">
            <v>Prestations même division, Roue-pelle, Reprise du criblé</v>
          </cell>
          <cell r="L235">
            <v>0</v>
          </cell>
          <cell r="P235">
            <v>0</v>
          </cell>
          <cell r="AC235">
            <v>0</v>
          </cell>
        </row>
        <row r="236">
          <cell r="B236">
            <v>1</v>
          </cell>
          <cell r="C236">
            <v>227</v>
          </cell>
          <cell r="D236" t="str">
            <v>2227</v>
          </cell>
          <cell r="E236" t="str">
            <v>Prestations même division, Station de chargement</v>
          </cell>
          <cell r="L236">
            <v>0</v>
          </cell>
          <cell r="P236">
            <v>0</v>
          </cell>
          <cell r="AC236">
            <v>0</v>
          </cell>
        </row>
        <row r="237">
          <cell r="B237">
            <v>1</v>
          </cell>
          <cell r="C237">
            <v>228</v>
          </cell>
          <cell r="D237" t="str">
            <v>2228</v>
          </cell>
          <cell r="E237" t="str">
            <v>Prestations même division, Locotracteurs</v>
          </cell>
          <cell r="L237">
            <v>0</v>
          </cell>
          <cell r="P237">
            <v>0</v>
          </cell>
          <cell r="AC237">
            <v>0</v>
          </cell>
        </row>
        <row r="238">
          <cell r="B238">
            <v>1</v>
          </cell>
          <cell r="C238">
            <v>230</v>
          </cell>
          <cell r="D238" t="str">
            <v>2230</v>
          </cell>
          <cell r="E238" t="str">
            <v>Prestations même division, Draglines et pelles</v>
          </cell>
          <cell r="L238">
            <v>0</v>
          </cell>
          <cell r="P238">
            <v>0</v>
          </cell>
          <cell r="AC238">
            <v>0</v>
          </cell>
        </row>
        <row r="239">
          <cell r="B239">
            <v>1</v>
          </cell>
          <cell r="C239">
            <v>231</v>
          </cell>
          <cell r="D239" t="str">
            <v>2231</v>
          </cell>
          <cell r="E239" t="str">
            <v>Prestations même division, Camions de chantiers</v>
          </cell>
          <cell r="L239">
            <v>0</v>
          </cell>
          <cell r="P239">
            <v>0</v>
          </cell>
          <cell r="V239">
            <v>82632</v>
          </cell>
          <cell r="AB239">
            <v>405240</v>
          </cell>
          <cell r="AC239">
            <v>487872</v>
          </cell>
        </row>
        <row r="240">
          <cell r="B240">
            <v>1</v>
          </cell>
          <cell r="C240">
            <v>232</v>
          </cell>
          <cell r="D240" t="str">
            <v>2232</v>
          </cell>
          <cell r="E240" t="str">
            <v>Prestations même division, Bulldozers</v>
          </cell>
          <cell r="L240">
            <v>0</v>
          </cell>
          <cell r="P240">
            <v>0</v>
          </cell>
          <cell r="AB240">
            <v>3960</v>
          </cell>
          <cell r="AC240">
            <v>3960</v>
          </cell>
        </row>
        <row r="241">
          <cell r="B241">
            <v>1</v>
          </cell>
          <cell r="C241">
            <v>233</v>
          </cell>
          <cell r="D241" t="str">
            <v>2233</v>
          </cell>
          <cell r="E241" t="str">
            <v>Prestations même division, Niveleuses</v>
          </cell>
          <cell r="L241">
            <v>0</v>
          </cell>
          <cell r="P241">
            <v>0</v>
          </cell>
          <cell r="AA241">
            <v>7608</v>
          </cell>
          <cell r="AC241">
            <v>7608</v>
          </cell>
        </row>
        <row r="242">
          <cell r="B242">
            <v>1</v>
          </cell>
          <cell r="C242">
            <v>234</v>
          </cell>
          <cell r="D242" t="str">
            <v>2234</v>
          </cell>
          <cell r="E242" t="str">
            <v>Prestations même division, Chargeuses</v>
          </cell>
          <cell r="L242">
            <v>0</v>
          </cell>
          <cell r="P242">
            <v>0</v>
          </cell>
          <cell r="AC242">
            <v>0</v>
          </cell>
        </row>
        <row r="243">
          <cell r="B243">
            <v>1</v>
          </cell>
          <cell r="C243">
            <v>235</v>
          </cell>
          <cell r="D243" t="str">
            <v>2235</v>
          </cell>
          <cell r="E243" t="str">
            <v>Prestations même division, Sondeuses</v>
          </cell>
          <cell r="L243">
            <v>0</v>
          </cell>
          <cell r="P243">
            <v>0</v>
          </cell>
          <cell r="AC243">
            <v>0</v>
          </cell>
        </row>
        <row r="244">
          <cell r="B244">
            <v>1</v>
          </cell>
          <cell r="C244">
            <v>236</v>
          </cell>
          <cell r="D244" t="str">
            <v>2236</v>
          </cell>
          <cell r="E244" t="str">
            <v>Prestations même division, Motoscrapers</v>
          </cell>
          <cell r="L244">
            <v>0</v>
          </cell>
          <cell r="P244">
            <v>0</v>
          </cell>
          <cell r="AC244">
            <v>0</v>
          </cell>
        </row>
        <row r="245">
          <cell r="B245">
            <v>1</v>
          </cell>
          <cell r="C245">
            <v>237</v>
          </cell>
          <cell r="D245" t="str">
            <v>2237</v>
          </cell>
          <cell r="E245" t="str">
            <v>Prestations même division, Garage véhicules</v>
          </cell>
          <cell r="L245">
            <v>0</v>
          </cell>
          <cell r="P245">
            <v>0</v>
          </cell>
          <cell r="V245">
            <v>335832</v>
          </cell>
          <cell r="W245">
            <v>372828</v>
          </cell>
          <cell r="AB245">
            <v>133872</v>
          </cell>
          <cell r="AC245">
            <v>842532</v>
          </cell>
        </row>
        <row r="246">
          <cell r="B246">
            <v>1</v>
          </cell>
          <cell r="C246">
            <v>239</v>
          </cell>
          <cell r="D246" t="str">
            <v>2239</v>
          </cell>
          <cell r="E246" t="str">
            <v>Prestations même division, Locations véhicules et engins divers</v>
          </cell>
          <cell r="L246">
            <v>0</v>
          </cell>
          <cell r="M246">
            <v>1560</v>
          </cell>
          <cell r="N246">
            <v>1344</v>
          </cell>
          <cell r="O246">
            <v>1344</v>
          </cell>
          <cell r="P246">
            <v>2688</v>
          </cell>
          <cell r="U246">
            <v>19140</v>
          </cell>
          <cell r="V246">
            <v>14304</v>
          </cell>
          <cell r="AA246">
            <v>19344</v>
          </cell>
          <cell r="AC246">
            <v>57036</v>
          </cell>
        </row>
        <row r="247">
          <cell r="B247">
            <v>1</v>
          </cell>
          <cell r="C247">
            <v>240</v>
          </cell>
          <cell r="D247" t="str">
            <v>2240</v>
          </cell>
          <cell r="E247" t="str">
            <v>Prestations même division, Matériel &amp; administration des réseaux</v>
          </cell>
          <cell r="L247">
            <v>0</v>
          </cell>
          <cell r="P247">
            <v>0</v>
          </cell>
          <cell r="AC247">
            <v>0</v>
          </cell>
        </row>
        <row r="248">
          <cell r="B248">
            <v>1</v>
          </cell>
          <cell r="C248">
            <v>241</v>
          </cell>
          <cell r="D248" t="str">
            <v>2241</v>
          </cell>
          <cell r="E248" t="str">
            <v>Prestations même division, Station service</v>
          </cell>
          <cell r="L248">
            <v>0</v>
          </cell>
          <cell r="P248">
            <v>0</v>
          </cell>
          <cell r="AB248">
            <v>1452</v>
          </cell>
          <cell r="AC248">
            <v>1452</v>
          </cell>
        </row>
        <row r="249">
          <cell r="B249">
            <v>1</v>
          </cell>
          <cell r="C249">
            <v>242</v>
          </cell>
          <cell r="D249" t="str">
            <v>2242</v>
          </cell>
          <cell r="E249" t="str">
            <v>Prestations même division, Laboratoire</v>
          </cell>
          <cell r="L249">
            <v>0</v>
          </cell>
          <cell r="P249">
            <v>0</v>
          </cell>
          <cell r="AC249">
            <v>0</v>
          </cell>
        </row>
        <row r="250">
          <cell r="B250">
            <v>1</v>
          </cell>
          <cell r="C250">
            <v>243</v>
          </cell>
          <cell r="D250" t="str">
            <v>2243</v>
          </cell>
          <cell r="E250" t="str">
            <v>Prestations même division, Imprimerie et micro-film</v>
          </cell>
          <cell r="L250">
            <v>0</v>
          </cell>
          <cell r="P250">
            <v>0</v>
          </cell>
          <cell r="AC250">
            <v>0</v>
          </cell>
        </row>
        <row r="251">
          <cell r="B251">
            <v>1</v>
          </cell>
          <cell r="C251">
            <v>244</v>
          </cell>
          <cell r="D251" t="str">
            <v>2244</v>
          </cell>
          <cell r="E251" t="str">
            <v>Prestations même division, Production informatique service ordinateur</v>
          </cell>
          <cell r="L251">
            <v>0</v>
          </cell>
          <cell r="P251">
            <v>0</v>
          </cell>
          <cell r="AC251">
            <v>0</v>
          </cell>
        </row>
        <row r="252">
          <cell r="B252">
            <v>1</v>
          </cell>
          <cell r="C252">
            <v>245</v>
          </cell>
          <cell r="D252" t="str">
            <v>2245</v>
          </cell>
          <cell r="E252" t="str">
            <v>Prestations même division, Télécommunications</v>
          </cell>
          <cell r="L252">
            <v>0</v>
          </cell>
          <cell r="P252">
            <v>0</v>
          </cell>
          <cell r="V252">
            <v>13956</v>
          </cell>
          <cell r="W252">
            <v>5580</v>
          </cell>
          <cell r="Y252">
            <v>1356</v>
          </cell>
          <cell r="AA252">
            <v>6516</v>
          </cell>
          <cell r="AB252">
            <v>18192</v>
          </cell>
          <cell r="AC252">
            <v>45600</v>
          </cell>
        </row>
        <row r="253">
          <cell r="B253">
            <v>1</v>
          </cell>
          <cell r="C253">
            <v>246</v>
          </cell>
          <cell r="D253" t="str">
            <v>2246</v>
          </cell>
          <cell r="E253" t="str">
            <v>Prestations même division, SA à répartir par pourcentage fixe (Ex surcode 0009)</v>
          </cell>
          <cell r="L253">
            <v>0</v>
          </cell>
          <cell r="P253">
            <v>0</v>
          </cell>
          <cell r="AC253">
            <v>0</v>
          </cell>
        </row>
        <row r="254">
          <cell r="B254">
            <v>1</v>
          </cell>
          <cell r="C254">
            <v>247</v>
          </cell>
          <cell r="D254" t="str">
            <v>2247</v>
          </cell>
          <cell r="E254" t="str">
            <v>Prestations même division, Bureautiques et maintenance</v>
          </cell>
          <cell r="L254">
            <v>0</v>
          </cell>
          <cell r="P254">
            <v>0</v>
          </cell>
          <cell r="AC254">
            <v>0</v>
          </cell>
        </row>
        <row r="255">
          <cell r="B255">
            <v>1</v>
          </cell>
          <cell r="C255">
            <v>248</v>
          </cell>
          <cell r="D255" t="str">
            <v>2248</v>
          </cell>
          <cell r="E255" t="str">
            <v>Prestations même division, Etudes diverses et développements informatiques</v>
          </cell>
          <cell r="L255">
            <v>0</v>
          </cell>
          <cell r="P255">
            <v>0</v>
          </cell>
          <cell r="AC255">
            <v>0</v>
          </cell>
        </row>
        <row r="256">
          <cell r="B256">
            <v>1</v>
          </cell>
          <cell r="C256">
            <v>249</v>
          </cell>
          <cell r="D256" t="str">
            <v>2249</v>
          </cell>
          <cell r="E256" t="str">
            <v>Prestations même division diverses</v>
          </cell>
          <cell r="L256">
            <v>0</v>
          </cell>
          <cell r="P256">
            <v>0</v>
          </cell>
          <cell r="AC256">
            <v>0</v>
          </cell>
        </row>
        <row r="257">
          <cell r="B257">
            <v>1</v>
          </cell>
          <cell r="C257">
            <v>250</v>
          </cell>
          <cell r="D257" t="str">
            <v>2250</v>
          </cell>
          <cell r="E257" t="str">
            <v>Prestations même division, Ateliers vulcanisation</v>
          </cell>
          <cell r="L257">
            <v>0</v>
          </cell>
          <cell r="P257">
            <v>0</v>
          </cell>
          <cell r="AC257">
            <v>0</v>
          </cell>
        </row>
        <row r="258">
          <cell r="B258">
            <v>1</v>
          </cell>
          <cell r="C258">
            <v>251</v>
          </cell>
          <cell r="D258" t="str">
            <v>2251</v>
          </cell>
          <cell r="E258" t="str">
            <v>Prestations même division, Ateliers de régulation</v>
          </cell>
          <cell r="L258">
            <v>0</v>
          </cell>
          <cell r="P258">
            <v>0</v>
          </cell>
          <cell r="AC258">
            <v>0</v>
          </cell>
        </row>
        <row r="259">
          <cell r="B259">
            <v>1</v>
          </cell>
          <cell r="C259">
            <v>252</v>
          </cell>
          <cell r="D259" t="str">
            <v>2252</v>
          </cell>
          <cell r="E259" t="str">
            <v>Prestations même division, Ateliers électriques draglines</v>
          </cell>
          <cell r="L259">
            <v>0</v>
          </cell>
          <cell r="P259">
            <v>0</v>
          </cell>
          <cell r="AC259">
            <v>0</v>
          </cell>
        </row>
        <row r="260">
          <cell r="B260">
            <v>1</v>
          </cell>
          <cell r="C260">
            <v>253</v>
          </cell>
          <cell r="D260" t="str">
            <v>2253</v>
          </cell>
          <cell r="E260" t="str">
            <v>Prestations même division, Ateliers chaudronnerie entretien</v>
          </cell>
          <cell r="L260">
            <v>0</v>
          </cell>
          <cell r="P260">
            <v>0</v>
          </cell>
          <cell r="AC260">
            <v>0</v>
          </cell>
        </row>
        <row r="261">
          <cell r="B261">
            <v>1</v>
          </cell>
          <cell r="C261">
            <v>254</v>
          </cell>
          <cell r="D261" t="str">
            <v>2254</v>
          </cell>
          <cell r="E261" t="str">
            <v>Prestations même division, Ateliers électriques installations</v>
          </cell>
          <cell r="L261">
            <v>0</v>
          </cell>
          <cell r="P261">
            <v>0</v>
          </cell>
          <cell r="AC261">
            <v>0</v>
          </cell>
        </row>
        <row r="262">
          <cell r="B262">
            <v>1</v>
          </cell>
          <cell r="C262">
            <v>255</v>
          </cell>
          <cell r="D262" t="str">
            <v>2255</v>
          </cell>
          <cell r="E262" t="str">
            <v>Prestations même division, Ateliers sous-ensembles</v>
          </cell>
          <cell r="L262">
            <v>0</v>
          </cell>
          <cell r="P262">
            <v>0</v>
          </cell>
          <cell r="AC262">
            <v>0</v>
          </cell>
        </row>
        <row r="263">
          <cell r="B263">
            <v>1</v>
          </cell>
          <cell r="C263">
            <v>256</v>
          </cell>
          <cell r="D263" t="str">
            <v>2256</v>
          </cell>
          <cell r="E263" t="str">
            <v>Prestations même division, Ateliers de réparation véhicules</v>
          </cell>
          <cell r="L263">
            <v>0</v>
          </cell>
          <cell r="P263">
            <v>0</v>
          </cell>
          <cell r="AC263">
            <v>0</v>
          </cell>
        </row>
        <row r="264">
          <cell r="B264">
            <v>1</v>
          </cell>
          <cell r="C264">
            <v>257</v>
          </cell>
          <cell r="D264" t="str">
            <v>2257</v>
          </cell>
          <cell r="E264" t="str">
            <v>Prestations même division, Ateliers machines-outils, Ajustage et montage</v>
          </cell>
          <cell r="L264">
            <v>0</v>
          </cell>
          <cell r="P264">
            <v>0</v>
          </cell>
          <cell r="AC264">
            <v>0</v>
          </cell>
        </row>
        <row r="265">
          <cell r="B265">
            <v>1</v>
          </cell>
          <cell r="C265">
            <v>260</v>
          </cell>
          <cell r="D265" t="str">
            <v>2260</v>
          </cell>
          <cell r="E265" t="str">
            <v>Prestations même division, Surveillance de chantier</v>
          </cell>
          <cell r="L265">
            <v>0</v>
          </cell>
          <cell r="P265">
            <v>0</v>
          </cell>
          <cell r="AC265">
            <v>0</v>
          </cell>
        </row>
        <row r="266">
          <cell r="B266">
            <v>1</v>
          </cell>
          <cell r="C266">
            <v>261</v>
          </cell>
          <cell r="D266" t="str">
            <v>2261</v>
          </cell>
          <cell r="E266" t="str">
            <v>Prestations même division, Equipes de sautage</v>
          </cell>
          <cell r="L266">
            <v>0</v>
          </cell>
          <cell r="P266">
            <v>0</v>
          </cell>
          <cell r="AC266">
            <v>0</v>
          </cell>
        </row>
        <row r="267">
          <cell r="B267">
            <v>1</v>
          </cell>
          <cell r="C267">
            <v>262</v>
          </cell>
          <cell r="D267" t="str">
            <v>2262</v>
          </cell>
          <cell r="E267" t="str">
            <v>Prestations même division de conduite</v>
          </cell>
          <cell r="L267">
            <v>0</v>
          </cell>
          <cell r="P267">
            <v>0</v>
          </cell>
          <cell r="AC267">
            <v>0</v>
          </cell>
        </row>
        <row r="268">
          <cell r="B268">
            <v>1</v>
          </cell>
          <cell r="C268">
            <v>263</v>
          </cell>
          <cell r="D268" t="str">
            <v>2263</v>
          </cell>
          <cell r="E268" t="str">
            <v>Prestations même division, Equipes mouvement de câble</v>
          </cell>
          <cell r="L268">
            <v>0</v>
          </cell>
          <cell r="P268">
            <v>0</v>
          </cell>
          <cell r="AC268">
            <v>0</v>
          </cell>
        </row>
        <row r="269">
          <cell r="B269">
            <v>1</v>
          </cell>
          <cell r="C269">
            <v>270</v>
          </cell>
          <cell r="D269" t="str">
            <v>2270</v>
          </cell>
          <cell r="E269" t="str">
            <v>Prestations même division, Aménagement plate-forme sondeuses</v>
          </cell>
          <cell r="L269">
            <v>0</v>
          </cell>
          <cell r="P269">
            <v>0</v>
          </cell>
          <cell r="AC269">
            <v>0</v>
          </cell>
        </row>
        <row r="270">
          <cell r="B270">
            <v>1</v>
          </cell>
          <cell r="C270">
            <v>271</v>
          </cell>
          <cell r="D270" t="str">
            <v>2271</v>
          </cell>
          <cell r="E270" t="str">
            <v>Prestations même division, Aménagement plate-forme machines&amp;acompagnement</v>
          </cell>
          <cell r="L270">
            <v>0</v>
          </cell>
          <cell r="P270">
            <v>0</v>
          </cell>
          <cell r="AC270">
            <v>0</v>
          </cell>
        </row>
        <row r="271">
          <cell r="B271">
            <v>1</v>
          </cell>
          <cell r="C271">
            <v>272</v>
          </cell>
          <cell r="D271" t="str">
            <v>2272</v>
          </cell>
          <cell r="E271" t="str">
            <v>Prestations même division, Prélèvement par bulls</v>
          </cell>
          <cell r="L271">
            <v>0</v>
          </cell>
          <cell r="P271">
            <v>0</v>
          </cell>
          <cell r="AC271">
            <v>0</v>
          </cell>
        </row>
        <row r="272">
          <cell r="B272">
            <v>1</v>
          </cell>
          <cell r="C272">
            <v>273</v>
          </cell>
          <cell r="D272" t="str">
            <v>2273</v>
          </cell>
          <cell r="E272" t="str">
            <v>Prestations même division, Gerbage</v>
          </cell>
          <cell r="L272">
            <v>0</v>
          </cell>
          <cell r="P272">
            <v>0</v>
          </cell>
          <cell r="AC272">
            <v>0</v>
          </cell>
        </row>
        <row r="273">
          <cell r="B273">
            <v>1</v>
          </cell>
          <cell r="C273">
            <v>274</v>
          </cell>
          <cell r="D273" t="str">
            <v>2274</v>
          </cell>
          <cell r="E273" t="str">
            <v>Prestations même division, Aménagement décharge</v>
          </cell>
          <cell r="L273">
            <v>0</v>
          </cell>
          <cell r="P273">
            <v>0</v>
          </cell>
          <cell r="AC273">
            <v>0</v>
          </cell>
        </row>
        <row r="274">
          <cell r="B274">
            <v>1</v>
          </cell>
          <cell r="C274">
            <v>275</v>
          </cell>
          <cell r="D274" t="str">
            <v>2275</v>
          </cell>
          <cell r="E274" t="str">
            <v>Prestations Aménagement stocks</v>
          </cell>
          <cell r="L274">
            <v>0</v>
          </cell>
          <cell r="P274">
            <v>0</v>
          </cell>
          <cell r="AC274">
            <v>0</v>
          </cell>
        </row>
        <row r="275">
          <cell r="B275">
            <v>1</v>
          </cell>
          <cell r="C275">
            <v>276</v>
          </cell>
          <cell r="D275" t="str">
            <v>2276</v>
          </cell>
          <cell r="E275" t="str">
            <v>Prestations même division, Travaux de piste</v>
          </cell>
          <cell r="L275">
            <v>0</v>
          </cell>
          <cell r="P275">
            <v>0</v>
          </cell>
          <cell r="AC275">
            <v>0</v>
          </cell>
        </row>
        <row r="276">
          <cell r="B276">
            <v>1</v>
          </cell>
          <cell r="C276">
            <v>280</v>
          </cell>
          <cell r="D276" t="str">
            <v>2280</v>
          </cell>
          <cell r="E276" t="str">
            <v>Prestations même division, Prélèvement</v>
          </cell>
          <cell r="L276">
            <v>0</v>
          </cell>
          <cell r="P276">
            <v>0</v>
          </cell>
          <cell r="AC276">
            <v>0</v>
          </cell>
        </row>
        <row r="277">
          <cell r="B277">
            <v>1</v>
          </cell>
          <cell r="C277">
            <v>300</v>
          </cell>
          <cell r="D277" t="str">
            <v>2300</v>
          </cell>
          <cell r="E277" t="str">
            <v>Prestations autres divisions, Jardinages et pépinières</v>
          </cell>
          <cell r="L277">
            <v>0</v>
          </cell>
          <cell r="P277">
            <v>0</v>
          </cell>
          <cell r="AB277">
            <v>648</v>
          </cell>
          <cell r="AC277">
            <v>648</v>
          </cell>
        </row>
        <row r="278">
          <cell r="B278">
            <v>1</v>
          </cell>
          <cell r="C278">
            <v>301</v>
          </cell>
          <cell r="D278" t="str">
            <v>2301</v>
          </cell>
          <cell r="E278" t="str">
            <v>Prestations autres divisions, Nettoyage</v>
          </cell>
          <cell r="L278">
            <v>0</v>
          </cell>
          <cell r="P278">
            <v>0</v>
          </cell>
          <cell r="V278">
            <v>1044</v>
          </cell>
          <cell r="AB278">
            <v>12432</v>
          </cell>
          <cell r="AC278">
            <v>13476</v>
          </cell>
        </row>
        <row r="279">
          <cell r="B279">
            <v>1</v>
          </cell>
          <cell r="C279">
            <v>302</v>
          </cell>
          <cell r="D279" t="str">
            <v>2302</v>
          </cell>
          <cell r="E279" t="str">
            <v>Prestations autres divisions, Menuiserie</v>
          </cell>
          <cell r="L279">
            <v>0</v>
          </cell>
          <cell r="P279">
            <v>0</v>
          </cell>
          <cell r="AB279">
            <v>1044</v>
          </cell>
          <cell r="AC279">
            <v>1044</v>
          </cell>
        </row>
        <row r="280">
          <cell r="B280">
            <v>1</v>
          </cell>
          <cell r="C280">
            <v>303</v>
          </cell>
          <cell r="D280" t="str">
            <v>2303</v>
          </cell>
          <cell r="E280" t="str">
            <v>Prestations autres divisions, Peinture et vitrerie</v>
          </cell>
          <cell r="L280">
            <v>0</v>
          </cell>
          <cell r="P280">
            <v>0</v>
          </cell>
          <cell r="AC280">
            <v>0</v>
          </cell>
        </row>
        <row r="281">
          <cell r="B281">
            <v>1</v>
          </cell>
          <cell r="C281">
            <v>304</v>
          </cell>
          <cell r="D281" t="str">
            <v>2304</v>
          </cell>
          <cell r="E281" t="str">
            <v>Prestations autres divisions, Plomberie</v>
          </cell>
          <cell r="L281">
            <v>0</v>
          </cell>
          <cell r="P281">
            <v>0</v>
          </cell>
          <cell r="AB281">
            <v>2892</v>
          </cell>
          <cell r="AC281">
            <v>2892</v>
          </cell>
        </row>
        <row r="282">
          <cell r="B282">
            <v>1</v>
          </cell>
          <cell r="C282">
            <v>305</v>
          </cell>
          <cell r="D282" t="str">
            <v>2305</v>
          </cell>
          <cell r="E282" t="str">
            <v>Prestations autres divisions, Froid et climatisation</v>
          </cell>
          <cell r="L282">
            <v>0</v>
          </cell>
          <cell r="P282">
            <v>0</v>
          </cell>
          <cell r="AC282">
            <v>0</v>
          </cell>
        </row>
        <row r="283">
          <cell r="B283">
            <v>1</v>
          </cell>
          <cell r="C283">
            <v>307</v>
          </cell>
          <cell r="D283" t="str">
            <v>2307</v>
          </cell>
          <cell r="E283" t="str">
            <v>Prestations autres divisions, Agencement mobilier</v>
          </cell>
          <cell r="L283">
            <v>0</v>
          </cell>
          <cell r="P283">
            <v>0</v>
          </cell>
          <cell r="AC283">
            <v>0</v>
          </cell>
        </row>
        <row r="284">
          <cell r="B284">
            <v>1</v>
          </cell>
          <cell r="C284">
            <v>310</v>
          </cell>
          <cell r="D284" t="str">
            <v>2310</v>
          </cell>
          <cell r="E284" t="str">
            <v>Prestations autres divisions, Ateliers électroniques</v>
          </cell>
          <cell r="L284">
            <v>0</v>
          </cell>
          <cell r="P284">
            <v>0</v>
          </cell>
          <cell r="AC284">
            <v>0</v>
          </cell>
        </row>
        <row r="285">
          <cell r="B285">
            <v>1</v>
          </cell>
          <cell r="C285">
            <v>311</v>
          </cell>
          <cell r="D285" t="str">
            <v>2311</v>
          </cell>
          <cell r="E285" t="str">
            <v>Prestations autres divisions, Ateliers mécaniques</v>
          </cell>
          <cell r="L285">
            <v>0</v>
          </cell>
          <cell r="P285">
            <v>0</v>
          </cell>
          <cell r="AC285">
            <v>0</v>
          </cell>
        </row>
        <row r="286">
          <cell r="B286">
            <v>1</v>
          </cell>
          <cell r="C286">
            <v>312</v>
          </cell>
          <cell r="D286" t="str">
            <v>2312</v>
          </cell>
          <cell r="E286" t="str">
            <v>Prestations autres divisions, Ateliers éléctriques</v>
          </cell>
          <cell r="L286">
            <v>0</v>
          </cell>
          <cell r="P286">
            <v>0</v>
          </cell>
          <cell r="AC286">
            <v>0</v>
          </cell>
        </row>
        <row r="287">
          <cell r="B287">
            <v>1</v>
          </cell>
          <cell r="C287">
            <v>313</v>
          </cell>
          <cell r="D287" t="str">
            <v>2313</v>
          </cell>
          <cell r="E287" t="str">
            <v>Prestations autres divisions, Ateliers draglines</v>
          </cell>
          <cell r="L287">
            <v>0</v>
          </cell>
          <cell r="P287">
            <v>0</v>
          </cell>
          <cell r="AC287">
            <v>0</v>
          </cell>
        </row>
        <row r="288">
          <cell r="B288">
            <v>1</v>
          </cell>
          <cell r="C288">
            <v>314</v>
          </cell>
          <cell r="D288" t="str">
            <v>2314</v>
          </cell>
          <cell r="E288" t="str">
            <v>Prestations autres divisions, Ateliers des eaux</v>
          </cell>
          <cell r="L288">
            <v>0</v>
          </cell>
          <cell r="P288">
            <v>0</v>
          </cell>
          <cell r="AC288">
            <v>0</v>
          </cell>
        </row>
        <row r="289">
          <cell r="B289">
            <v>1</v>
          </cell>
          <cell r="C289">
            <v>315</v>
          </cell>
          <cell r="D289" t="str">
            <v>2315</v>
          </cell>
          <cell r="E289" t="str">
            <v>Prestations autres divisions, Ateliers génie civil</v>
          </cell>
          <cell r="L289">
            <v>0</v>
          </cell>
          <cell r="P289">
            <v>0</v>
          </cell>
          <cell r="T289">
            <v>3480</v>
          </cell>
          <cell r="V289">
            <v>1716</v>
          </cell>
          <cell r="AB289">
            <v>4176</v>
          </cell>
          <cell r="AC289">
            <v>9372</v>
          </cell>
        </row>
        <row r="290">
          <cell r="B290">
            <v>1</v>
          </cell>
          <cell r="C290">
            <v>316</v>
          </cell>
          <cell r="D290" t="str">
            <v>2316</v>
          </cell>
          <cell r="E290" t="str">
            <v>Prestations autres divisions, Géologie</v>
          </cell>
          <cell r="L290">
            <v>0</v>
          </cell>
          <cell r="P290">
            <v>0</v>
          </cell>
          <cell r="AC290">
            <v>0</v>
          </cell>
        </row>
        <row r="291">
          <cell r="B291">
            <v>1</v>
          </cell>
          <cell r="C291">
            <v>317</v>
          </cell>
          <cell r="D291" t="str">
            <v>2317</v>
          </cell>
          <cell r="E291" t="str">
            <v>Prestations autres divisions, Ateliers pneumatique</v>
          </cell>
          <cell r="L291">
            <v>0</v>
          </cell>
          <cell r="P291">
            <v>0</v>
          </cell>
          <cell r="AC291">
            <v>0</v>
          </cell>
        </row>
        <row r="292">
          <cell r="B292">
            <v>1</v>
          </cell>
          <cell r="C292">
            <v>318</v>
          </cell>
          <cell r="D292" t="str">
            <v>2318</v>
          </cell>
          <cell r="E292" t="str">
            <v>Prestations autres divisions, Ateliers chaudronnerie lourde</v>
          </cell>
          <cell r="L292">
            <v>0</v>
          </cell>
          <cell r="P292">
            <v>0</v>
          </cell>
          <cell r="AC292">
            <v>0</v>
          </cell>
        </row>
        <row r="293">
          <cell r="B293">
            <v>1</v>
          </cell>
          <cell r="C293">
            <v>319</v>
          </cell>
          <cell r="D293" t="str">
            <v>2319</v>
          </cell>
          <cell r="E293" t="str">
            <v>Prestations autres divisions, Ateliers des engins divers</v>
          </cell>
          <cell r="L293">
            <v>0</v>
          </cell>
          <cell r="P293">
            <v>0</v>
          </cell>
          <cell r="AC293">
            <v>0</v>
          </cell>
        </row>
        <row r="294">
          <cell r="B294">
            <v>1</v>
          </cell>
          <cell r="C294">
            <v>330</v>
          </cell>
          <cell r="D294" t="str">
            <v>2330</v>
          </cell>
          <cell r="E294" t="str">
            <v>Prestations autres divisions, Draglines et pelles</v>
          </cell>
          <cell r="L294">
            <v>0</v>
          </cell>
          <cell r="P294">
            <v>0</v>
          </cell>
          <cell r="AC294">
            <v>0</v>
          </cell>
        </row>
        <row r="295">
          <cell r="B295">
            <v>1</v>
          </cell>
          <cell r="C295">
            <v>331</v>
          </cell>
          <cell r="D295" t="str">
            <v>2331</v>
          </cell>
          <cell r="E295" t="str">
            <v>Prestations autres divisions, Camions de chantier</v>
          </cell>
          <cell r="L295">
            <v>0</v>
          </cell>
          <cell r="P295">
            <v>0</v>
          </cell>
          <cell r="AB295">
            <v>41544</v>
          </cell>
          <cell r="AC295">
            <v>41544</v>
          </cell>
        </row>
        <row r="296">
          <cell r="B296">
            <v>1</v>
          </cell>
          <cell r="C296">
            <v>332</v>
          </cell>
          <cell r="D296" t="str">
            <v>2332</v>
          </cell>
          <cell r="E296" t="str">
            <v>Prestations autres divisions, Bulldzers</v>
          </cell>
          <cell r="L296">
            <v>0</v>
          </cell>
          <cell r="P296">
            <v>0</v>
          </cell>
          <cell r="AC296">
            <v>0</v>
          </cell>
        </row>
        <row r="297">
          <cell r="B297">
            <v>1</v>
          </cell>
          <cell r="C297">
            <v>333</v>
          </cell>
          <cell r="D297" t="str">
            <v>2333</v>
          </cell>
          <cell r="E297" t="str">
            <v>Prestations autres divisions, Niveleuses</v>
          </cell>
          <cell r="L297">
            <v>0</v>
          </cell>
          <cell r="P297">
            <v>0</v>
          </cell>
          <cell r="AC297">
            <v>0</v>
          </cell>
        </row>
        <row r="298">
          <cell r="B298">
            <v>1</v>
          </cell>
          <cell r="C298">
            <v>334</v>
          </cell>
          <cell r="D298" t="str">
            <v>2334</v>
          </cell>
          <cell r="E298" t="str">
            <v>Prestations autres divisions, Chargeuses</v>
          </cell>
          <cell r="L298">
            <v>0</v>
          </cell>
          <cell r="P298">
            <v>0</v>
          </cell>
          <cell r="AC298">
            <v>0</v>
          </cell>
        </row>
        <row r="299">
          <cell r="B299">
            <v>1</v>
          </cell>
          <cell r="C299">
            <v>335</v>
          </cell>
          <cell r="D299" t="str">
            <v>2335</v>
          </cell>
          <cell r="E299" t="str">
            <v>Prestations autres divisions, Sondeuses</v>
          </cell>
          <cell r="L299">
            <v>0</v>
          </cell>
          <cell r="P299">
            <v>0</v>
          </cell>
          <cell r="AC299">
            <v>0</v>
          </cell>
        </row>
        <row r="300">
          <cell r="B300">
            <v>1</v>
          </cell>
          <cell r="C300">
            <v>336</v>
          </cell>
          <cell r="D300" t="str">
            <v>2336</v>
          </cell>
          <cell r="E300" t="str">
            <v>Prestations autres divisions, Moto scrapers</v>
          </cell>
          <cell r="L300">
            <v>0</v>
          </cell>
          <cell r="P300">
            <v>0</v>
          </cell>
          <cell r="AC300">
            <v>0</v>
          </cell>
        </row>
        <row r="301">
          <cell r="B301">
            <v>1</v>
          </cell>
          <cell r="C301">
            <v>337</v>
          </cell>
          <cell r="D301" t="str">
            <v>2337</v>
          </cell>
          <cell r="E301" t="str">
            <v>Prestations autres divisions, Garage véhicules</v>
          </cell>
          <cell r="L301">
            <v>0</v>
          </cell>
          <cell r="P301">
            <v>0</v>
          </cell>
          <cell r="AC301">
            <v>0</v>
          </cell>
        </row>
        <row r="302">
          <cell r="B302">
            <v>1</v>
          </cell>
          <cell r="C302">
            <v>339</v>
          </cell>
          <cell r="D302" t="str">
            <v>2339</v>
          </cell>
          <cell r="E302" t="str">
            <v>Prestations autres divisions, Locations véhicules et engins divers</v>
          </cell>
          <cell r="L302">
            <v>0</v>
          </cell>
          <cell r="P302">
            <v>0</v>
          </cell>
          <cell r="AC302">
            <v>0</v>
          </cell>
        </row>
        <row r="303">
          <cell r="B303">
            <v>1</v>
          </cell>
          <cell r="C303">
            <v>340</v>
          </cell>
          <cell r="D303" t="str">
            <v>2340</v>
          </cell>
          <cell r="E303" t="str">
            <v>Prestations autres divisions, Matériels et administration des réseaux</v>
          </cell>
          <cell r="L303">
            <v>0</v>
          </cell>
          <cell r="P303">
            <v>0</v>
          </cell>
          <cell r="AC303">
            <v>0</v>
          </cell>
        </row>
        <row r="304">
          <cell r="B304">
            <v>1</v>
          </cell>
          <cell r="C304">
            <v>341</v>
          </cell>
          <cell r="D304" t="str">
            <v>2341</v>
          </cell>
          <cell r="E304" t="str">
            <v>Prestations autres divisions, Station service</v>
          </cell>
          <cell r="L304">
            <v>0</v>
          </cell>
          <cell r="P304">
            <v>0</v>
          </cell>
          <cell r="AC304">
            <v>0</v>
          </cell>
        </row>
        <row r="305">
          <cell r="B305">
            <v>1</v>
          </cell>
          <cell r="C305">
            <v>342</v>
          </cell>
          <cell r="D305" t="str">
            <v>2342</v>
          </cell>
          <cell r="E305" t="str">
            <v>Prestations autres divisions, Laboratoires</v>
          </cell>
          <cell r="L305">
            <v>0</v>
          </cell>
          <cell r="P305">
            <v>0</v>
          </cell>
          <cell r="V305">
            <v>3900</v>
          </cell>
          <cell r="AB305">
            <v>121464</v>
          </cell>
          <cell r="AC305">
            <v>125364</v>
          </cell>
        </row>
        <row r="306">
          <cell r="B306">
            <v>1</v>
          </cell>
          <cell r="C306">
            <v>343</v>
          </cell>
          <cell r="D306" t="str">
            <v>2343</v>
          </cell>
          <cell r="E306" t="str">
            <v>Prestations autres divisions, Imprimerie et micro-film</v>
          </cell>
          <cell r="L306">
            <v>0</v>
          </cell>
          <cell r="P306">
            <v>0</v>
          </cell>
          <cell r="AC306">
            <v>0</v>
          </cell>
        </row>
        <row r="307">
          <cell r="B307">
            <v>1</v>
          </cell>
          <cell r="C307">
            <v>344</v>
          </cell>
          <cell r="D307" t="str">
            <v>2344</v>
          </cell>
          <cell r="E307" t="str">
            <v>Prestations autres divisions, Production informatique service ordinateur</v>
          </cell>
          <cell r="L307">
            <v>0</v>
          </cell>
          <cell r="P307">
            <v>0</v>
          </cell>
          <cell r="AC307">
            <v>0</v>
          </cell>
        </row>
        <row r="308">
          <cell r="B308">
            <v>1</v>
          </cell>
          <cell r="C308">
            <v>345</v>
          </cell>
          <cell r="D308" t="str">
            <v>2345</v>
          </cell>
          <cell r="E308" t="str">
            <v>Prestations autres divisions, Télécommunications</v>
          </cell>
          <cell r="L308">
            <v>0</v>
          </cell>
          <cell r="P308">
            <v>0</v>
          </cell>
          <cell r="AC308">
            <v>0</v>
          </cell>
        </row>
        <row r="309">
          <cell r="B309">
            <v>1</v>
          </cell>
          <cell r="C309">
            <v>347</v>
          </cell>
          <cell r="D309" t="str">
            <v>2347</v>
          </cell>
          <cell r="E309" t="str">
            <v>Prestations autres divisions, Bureautiques et maintenance</v>
          </cell>
          <cell r="L309">
            <v>0</v>
          </cell>
          <cell r="P309">
            <v>0</v>
          </cell>
          <cell r="AC309">
            <v>0</v>
          </cell>
        </row>
        <row r="310">
          <cell r="B310">
            <v>1</v>
          </cell>
          <cell r="C310">
            <v>348</v>
          </cell>
          <cell r="D310" t="str">
            <v>2348</v>
          </cell>
          <cell r="E310" t="str">
            <v>Prestations autres divisions, études diverses et développements informatiques</v>
          </cell>
          <cell r="L310">
            <v>0</v>
          </cell>
          <cell r="P310">
            <v>0</v>
          </cell>
          <cell r="AC310">
            <v>0</v>
          </cell>
        </row>
        <row r="311">
          <cell r="B311">
            <v>1</v>
          </cell>
          <cell r="C311">
            <v>349</v>
          </cell>
          <cell r="D311" t="str">
            <v>2349</v>
          </cell>
          <cell r="E311" t="str">
            <v>Prestations autres divisions diverses</v>
          </cell>
          <cell r="L311">
            <v>0</v>
          </cell>
          <cell r="P311">
            <v>0</v>
          </cell>
          <cell r="AC311">
            <v>0</v>
          </cell>
        </row>
        <row r="312">
          <cell r="B312">
            <v>1</v>
          </cell>
          <cell r="C312">
            <v>350</v>
          </cell>
          <cell r="D312" t="str">
            <v>2350</v>
          </cell>
          <cell r="E312" t="str">
            <v>Prestations autres divisions, Ateliers vulcanisation</v>
          </cell>
          <cell r="L312">
            <v>0</v>
          </cell>
          <cell r="P312">
            <v>0</v>
          </cell>
          <cell r="AC312">
            <v>0</v>
          </cell>
        </row>
        <row r="313">
          <cell r="B313">
            <v>1</v>
          </cell>
          <cell r="C313">
            <v>351</v>
          </cell>
          <cell r="D313" t="str">
            <v>2351</v>
          </cell>
          <cell r="E313" t="str">
            <v>Prestations autres divisions, Ateliers de régulation</v>
          </cell>
          <cell r="L313">
            <v>0</v>
          </cell>
          <cell r="P313">
            <v>0</v>
          </cell>
          <cell r="AC313">
            <v>0</v>
          </cell>
        </row>
        <row r="314">
          <cell r="B314">
            <v>1</v>
          </cell>
          <cell r="C314">
            <v>352</v>
          </cell>
          <cell r="D314" t="str">
            <v>2352</v>
          </cell>
          <cell r="E314" t="str">
            <v>Prestations autres divisions, Atelier électrique draglines</v>
          </cell>
          <cell r="L314">
            <v>0</v>
          </cell>
          <cell r="P314">
            <v>0</v>
          </cell>
          <cell r="AC314">
            <v>0</v>
          </cell>
        </row>
        <row r="315">
          <cell r="B315">
            <v>1</v>
          </cell>
          <cell r="C315">
            <v>353</v>
          </cell>
          <cell r="D315" t="str">
            <v>2353</v>
          </cell>
          <cell r="E315" t="str">
            <v>Prestations autres divisions, Atelier chaudronnerie entretien</v>
          </cell>
          <cell r="L315">
            <v>0</v>
          </cell>
          <cell r="P315">
            <v>0</v>
          </cell>
          <cell r="AC315">
            <v>0</v>
          </cell>
        </row>
        <row r="316">
          <cell r="B316">
            <v>1</v>
          </cell>
          <cell r="C316">
            <v>354</v>
          </cell>
          <cell r="D316" t="str">
            <v>2354</v>
          </cell>
          <cell r="E316" t="str">
            <v>Prestations autres divisions, Atelier électrique installations</v>
          </cell>
          <cell r="L316">
            <v>0</v>
          </cell>
          <cell r="P316">
            <v>0</v>
          </cell>
          <cell r="AC316">
            <v>0</v>
          </cell>
        </row>
        <row r="317">
          <cell r="B317">
            <v>1</v>
          </cell>
          <cell r="C317">
            <v>355</v>
          </cell>
          <cell r="D317" t="str">
            <v>2355</v>
          </cell>
          <cell r="E317" t="str">
            <v>Prestations autres divisions, Atelier sous-ensembles</v>
          </cell>
          <cell r="L317">
            <v>0</v>
          </cell>
          <cell r="P317">
            <v>0</v>
          </cell>
          <cell r="AC317">
            <v>0</v>
          </cell>
        </row>
        <row r="318">
          <cell r="B318">
            <v>1</v>
          </cell>
          <cell r="C318">
            <v>356</v>
          </cell>
          <cell r="D318" t="str">
            <v>2356</v>
          </cell>
          <cell r="E318" t="str">
            <v>Prestations autres divisions, Atelier de réparation véhicules</v>
          </cell>
          <cell r="L318">
            <v>0</v>
          </cell>
          <cell r="P318">
            <v>0</v>
          </cell>
          <cell r="AC318">
            <v>0</v>
          </cell>
        </row>
        <row r="319">
          <cell r="B319">
            <v>1</v>
          </cell>
          <cell r="C319">
            <v>357</v>
          </cell>
          <cell r="D319" t="str">
            <v>2357</v>
          </cell>
          <cell r="E319" t="str">
            <v>Prestations autres divisions, Atelier machines-outils, Ajustage et montage</v>
          </cell>
          <cell r="L319">
            <v>0</v>
          </cell>
          <cell r="P319">
            <v>0</v>
          </cell>
          <cell r="AC319">
            <v>0</v>
          </cell>
        </row>
        <row r="320">
          <cell r="B320">
            <v>1</v>
          </cell>
          <cell r="C320">
            <v>358</v>
          </cell>
          <cell r="D320" t="str">
            <v>2358</v>
          </cell>
          <cell r="E320" t="str">
            <v>Prestations autres divisions, Ateliers hydrauliques</v>
          </cell>
          <cell r="L320">
            <v>0</v>
          </cell>
          <cell r="P320">
            <v>0</v>
          </cell>
          <cell r="AC320">
            <v>0</v>
          </cell>
        </row>
        <row r="321">
          <cell r="B321">
            <v>1</v>
          </cell>
          <cell r="C321">
            <v>359</v>
          </cell>
          <cell r="D321" t="str">
            <v>2359</v>
          </cell>
          <cell r="E321" t="str">
            <v>Prestations autres divisions, Ateliers centraux, contrôle qualité</v>
          </cell>
          <cell r="L321">
            <v>0</v>
          </cell>
          <cell r="P321">
            <v>0</v>
          </cell>
          <cell r="AC321">
            <v>0</v>
          </cell>
        </row>
        <row r="322">
          <cell r="B322">
            <v>1</v>
          </cell>
          <cell r="C322">
            <v>360</v>
          </cell>
          <cell r="D322" t="str">
            <v>2360</v>
          </cell>
          <cell r="E322" t="str">
            <v>Prestations autres divisions, Surveillance de chantier</v>
          </cell>
          <cell r="L322">
            <v>0</v>
          </cell>
          <cell r="P322">
            <v>0</v>
          </cell>
          <cell r="AC322">
            <v>0</v>
          </cell>
        </row>
        <row r="323">
          <cell r="B323">
            <v>1</v>
          </cell>
          <cell r="C323">
            <v>361</v>
          </cell>
          <cell r="D323" t="str">
            <v>2361</v>
          </cell>
          <cell r="E323" t="str">
            <v>Prestations autres divisions, Equipe de sautage</v>
          </cell>
          <cell r="L323">
            <v>0</v>
          </cell>
          <cell r="P323">
            <v>0</v>
          </cell>
          <cell r="AC323">
            <v>0</v>
          </cell>
        </row>
        <row r="324">
          <cell r="B324">
            <v>1</v>
          </cell>
          <cell r="C324">
            <v>362</v>
          </cell>
          <cell r="D324" t="str">
            <v>2362</v>
          </cell>
          <cell r="E324" t="str">
            <v>Prestations autres divisions de conduite</v>
          </cell>
          <cell r="L324">
            <v>0</v>
          </cell>
          <cell r="P324">
            <v>0</v>
          </cell>
          <cell r="AC324">
            <v>0</v>
          </cell>
        </row>
        <row r="325">
          <cell r="B325">
            <v>1</v>
          </cell>
          <cell r="C325">
            <v>370</v>
          </cell>
          <cell r="D325" t="str">
            <v>2370</v>
          </cell>
          <cell r="E325" t="str">
            <v>Prestations autres divisions, Aménagement plate-forme sondeuses</v>
          </cell>
          <cell r="L325">
            <v>0</v>
          </cell>
          <cell r="P325">
            <v>0</v>
          </cell>
          <cell r="AC325">
            <v>0</v>
          </cell>
        </row>
        <row r="326">
          <cell r="B326">
            <v>1</v>
          </cell>
          <cell r="C326">
            <v>371</v>
          </cell>
          <cell r="D326" t="str">
            <v>2371</v>
          </cell>
          <cell r="E326" t="str">
            <v>Prestations autres divisions, Aménagement plate-forme machines &amp; accompagnement</v>
          </cell>
          <cell r="L326">
            <v>0</v>
          </cell>
          <cell r="P326">
            <v>0</v>
          </cell>
          <cell r="AC326">
            <v>0</v>
          </cell>
        </row>
        <row r="327">
          <cell r="B327">
            <v>1</v>
          </cell>
          <cell r="C327">
            <v>372</v>
          </cell>
          <cell r="D327" t="str">
            <v>2372</v>
          </cell>
          <cell r="E327" t="str">
            <v>Prestations autres divisions, Prélèvement par bulls</v>
          </cell>
          <cell r="L327">
            <v>0</v>
          </cell>
          <cell r="P327">
            <v>0</v>
          </cell>
          <cell r="AC327">
            <v>0</v>
          </cell>
        </row>
        <row r="328">
          <cell r="B328">
            <v>1</v>
          </cell>
          <cell r="C328">
            <v>373</v>
          </cell>
          <cell r="D328" t="str">
            <v>2373</v>
          </cell>
          <cell r="E328" t="str">
            <v>Prestations autres divisions, Gerbage</v>
          </cell>
          <cell r="L328">
            <v>0</v>
          </cell>
          <cell r="P328">
            <v>0</v>
          </cell>
          <cell r="AC328">
            <v>0</v>
          </cell>
        </row>
        <row r="329">
          <cell r="B329">
            <v>1</v>
          </cell>
          <cell r="C329">
            <v>374</v>
          </cell>
          <cell r="D329" t="str">
            <v>2374</v>
          </cell>
          <cell r="E329" t="str">
            <v>Prestations autres divisions, Aménagement décharge</v>
          </cell>
          <cell r="L329">
            <v>0</v>
          </cell>
          <cell r="P329">
            <v>0</v>
          </cell>
          <cell r="AC329">
            <v>0</v>
          </cell>
        </row>
        <row r="330">
          <cell r="B330">
            <v>1</v>
          </cell>
          <cell r="C330">
            <v>375</v>
          </cell>
          <cell r="D330" t="str">
            <v>2375</v>
          </cell>
          <cell r="E330" t="str">
            <v>Prestations autres divisions, Aménagement stocks</v>
          </cell>
          <cell r="L330">
            <v>0</v>
          </cell>
          <cell r="P330">
            <v>0</v>
          </cell>
          <cell r="AC330">
            <v>0</v>
          </cell>
        </row>
        <row r="331">
          <cell r="B331">
            <v>1</v>
          </cell>
          <cell r="C331">
            <v>376</v>
          </cell>
          <cell r="D331" t="str">
            <v>2376</v>
          </cell>
          <cell r="E331" t="str">
            <v>Prestations autres divisions, Travaux de piste</v>
          </cell>
          <cell r="L331">
            <v>0</v>
          </cell>
          <cell r="P331">
            <v>0</v>
          </cell>
          <cell r="AC331">
            <v>0</v>
          </cell>
        </row>
        <row r="332">
          <cell r="B332">
            <v>1</v>
          </cell>
          <cell r="C332">
            <v>380</v>
          </cell>
          <cell r="D332" t="str">
            <v>2380</v>
          </cell>
          <cell r="E332" t="str">
            <v>Prestations autres divisions, Prélèvement</v>
          </cell>
          <cell r="L332">
            <v>0</v>
          </cell>
          <cell r="P332">
            <v>0</v>
          </cell>
          <cell r="AC332">
            <v>0</v>
          </cell>
        </row>
        <row r="333">
          <cell r="B333">
            <v>1</v>
          </cell>
          <cell r="C333">
            <v>390</v>
          </cell>
          <cell r="D333" t="str">
            <v>2390</v>
          </cell>
          <cell r="E333" t="str">
            <v>Prestations autres divisions, Restaurant</v>
          </cell>
          <cell r="L333">
            <v>0</v>
          </cell>
          <cell r="P333">
            <v>0</v>
          </cell>
          <cell r="AC333">
            <v>0</v>
          </cell>
        </row>
        <row r="334">
          <cell r="B334">
            <v>1</v>
          </cell>
          <cell r="C334">
            <v>400</v>
          </cell>
          <cell r="D334" t="str">
            <v>4250</v>
          </cell>
          <cell r="E334" t="str">
            <v>Consommation, Bois de mine</v>
          </cell>
          <cell r="L334">
            <v>0</v>
          </cell>
          <cell r="N334">
            <v>472704</v>
          </cell>
          <cell r="O334">
            <v>350100</v>
          </cell>
          <cell r="P334">
            <v>822804</v>
          </cell>
          <cell r="AC334">
            <v>822804</v>
          </cell>
        </row>
        <row r="335">
          <cell r="B335">
            <v>1</v>
          </cell>
          <cell r="C335">
            <v>402</v>
          </cell>
          <cell r="D335" t="str">
            <v>4251</v>
          </cell>
          <cell r="E335" t="str">
            <v>Consommation, Courroies transporteuses</v>
          </cell>
          <cell r="L335">
            <v>0</v>
          </cell>
          <cell r="P335">
            <v>0</v>
          </cell>
          <cell r="T335">
            <v>409656</v>
          </cell>
          <cell r="AC335">
            <v>409656</v>
          </cell>
        </row>
        <row r="336">
          <cell r="B336">
            <v>1</v>
          </cell>
          <cell r="C336">
            <v>403</v>
          </cell>
          <cell r="D336" t="str">
            <v>4252</v>
          </cell>
          <cell r="E336" t="str">
            <v>Consommation, Explosifs</v>
          </cell>
          <cell r="L336">
            <v>0</v>
          </cell>
          <cell r="N336">
            <v>28920</v>
          </cell>
          <cell r="O336">
            <v>60708</v>
          </cell>
          <cell r="P336">
            <v>89628</v>
          </cell>
          <cell r="AC336">
            <v>89628</v>
          </cell>
        </row>
        <row r="337">
          <cell r="B337">
            <v>1</v>
          </cell>
          <cell r="C337">
            <v>404</v>
          </cell>
          <cell r="D337" t="str">
            <v>4232</v>
          </cell>
          <cell r="E337" t="str">
            <v>Consommation, Essence légère</v>
          </cell>
          <cell r="L337">
            <v>0</v>
          </cell>
          <cell r="P337">
            <v>0</v>
          </cell>
          <cell r="AC337">
            <v>0</v>
          </cell>
        </row>
        <row r="338">
          <cell r="B338">
            <v>1</v>
          </cell>
          <cell r="C338">
            <v>405</v>
          </cell>
          <cell r="D338" t="str">
            <v>4233</v>
          </cell>
          <cell r="E338" t="str">
            <v>Consommation, Gasoil</v>
          </cell>
          <cell r="L338">
            <v>0</v>
          </cell>
          <cell r="P338">
            <v>0</v>
          </cell>
          <cell r="U338">
            <v>281844</v>
          </cell>
          <cell r="AB338">
            <v>59652</v>
          </cell>
          <cell r="AC338">
            <v>341496</v>
          </cell>
        </row>
        <row r="339">
          <cell r="B339">
            <v>1</v>
          </cell>
          <cell r="C339">
            <v>406</v>
          </cell>
          <cell r="D339" t="str">
            <v>4234</v>
          </cell>
          <cell r="E339" t="str">
            <v>Consommation, Lubrifiants</v>
          </cell>
          <cell r="F339">
            <v>1392</v>
          </cell>
          <cell r="G339">
            <v>480</v>
          </cell>
          <cell r="H339">
            <v>336</v>
          </cell>
          <cell r="I339">
            <v>936</v>
          </cell>
          <cell r="J339">
            <v>780</v>
          </cell>
          <cell r="K339">
            <v>528</v>
          </cell>
          <cell r="L339">
            <v>4452</v>
          </cell>
          <cell r="M339">
            <v>51024</v>
          </cell>
          <cell r="N339">
            <v>72912</v>
          </cell>
          <cell r="O339">
            <v>95496</v>
          </cell>
          <cell r="P339">
            <v>168408</v>
          </cell>
          <cell r="S339">
            <v>2460</v>
          </cell>
          <cell r="T339">
            <v>12936</v>
          </cell>
          <cell r="U339">
            <v>158184</v>
          </cell>
          <cell r="X339">
            <v>16056</v>
          </cell>
          <cell r="AA339">
            <v>8256</v>
          </cell>
          <cell r="AC339">
            <v>421776</v>
          </cell>
        </row>
        <row r="340">
          <cell r="B340">
            <v>1</v>
          </cell>
          <cell r="C340">
            <v>407</v>
          </cell>
          <cell r="D340" t="str">
            <v>4270</v>
          </cell>
          <cell r="E340" t="str">
            <v>Consommation, Fournitures de bureau</v>
          </cell>
          <cell r="L340">
            <v>0</v>
          </cell>
          <cell r="P340">
            <v>0</v>
          </cell>
          <cell r="V340">
            <v>5088</v>
          </cell>
          <cell r="AB340">
            <v>29256</v>
          </cell>
          <cell r="AC340">
            <v>34344</v>
          </cell>
        </row>
        <row r="341">
          <cell r="B341">
            <v>1</v>
          </cell>
          <cell r="C341">
            <v>408</v>
          </cell>
          <cell r="D341" t="str">
            <v>4253</v>
          </cell>
          <cell r="E341" t="str">
            <v>Consommation, Rouleaux de convoyeurs</v>
          </cell>
          <cell r="L341">
            <v>0</v>
          </cell>
          <cell r="M341">
            <v>32400</v>
          </cell>
          <cell r="P341">
            <v>0</v>
          </cell>
          <cell r="T341">
            <v>43932</v>
          </cell>
          <cell r="AA341">
            <v>18120</v>
          </cell>
          <cell r="AC341">
            <v>94452</v>
          </cell>
        </row>
        <row r="342">
          <cell r="B342">
            <v>1</v>
          </cell>
          <cell r="C342">
            <v>409</v>
          </cell>
          <cell r="D342" t="str">
            <v>4248</v>
          </cell>
          <cell r="E342" t="str">
            <v>Consommation, Matières et fournitures consommables diverses</v>
          </cell>
          <cell r="F342">
            <v>31452</v>
          </cell>
          <cell r="G342">
            <v>38748</v>
          </cell>
          <cell r="H342">
            <v>30756</v>
          </cell>
          <cell r="I342">
            <v>31584</v>
          </cell>
          <cell r="J342">
            <v>28620</v>
          </cell>
          <cell r="K342">
            <v>34656</v>
          </cell>
          <cell r="L342">
            <v>195816</v>
          </cell>
          <cell r="M342">
            <v>32868</v>
          </cell>
          <cell r="N342">
            <v>255012</v>
          </cell>
          <cell r="O342">
            <v>393180</v>
          </cell>
          <cell r="P342">
            <v>648192</v>
          </cell>
          <cell r="S342">
            <v>94716</v>
          </cell>
          <cell r="T342">
            <v>252696</v>
          </cell>
          <cell r="U342">
            <v>97500</v>
          </cell>
          <cell r="V342">
            <v>84840</v>
          </cell>
          <cell r="W342">
            <v>32208</v>
          </cell>
          <cell r="X342">
            <v>6768</v>
          </cell>
          <cell r="Y342">
            <v>1692</v>
          </cell>
          <cell r="AA342">
            <v>76560</v>
          </cell>
          <cell r="AB342">
            <v>19596</v>
          </cell>
          <cell r="AC342">
            <v>1543452</v>
          </cell>
        </row>
        <row r="343">
          <cell r="B343">
            <v>1</v>
          </cell>
          <cell r="C343">
            <v>410</v>
          </cell>
          <cell r="D343" t="str">
            <v>4254</v>
          </cell>
          <cell r="E343" t="str">
            <v>Consommation, Lames d'usure de bulles et niveleuses</v>
          </cell>
          <cell r="L343">
            <v>0</v>
          </cell>
          <cell r="P343">
            <v>0</v>
          </cell>
          <cell r="AC343">
            <v>0</v>
          </cell>
        </row>
        <row r="344">
          <cell r="B344">
            <v>1</v>
          </cell>
          <cell r="C344">
            <v>411</v>
          </cell>
          <cell r="D344" t="str">
            <v>4255</v>
          </cell>
          <cell r="E344" t="str">
            <v>Consommation, Tiges, drill - collar</v>
          </cell>
          <cell r="L344">
            <v>0</v>
          </cell>
          <cell r="P344">
            <v>0</v>
          </cell>
          <cell r="AC344">
            <v>0</v>
          </cell>
        </row>
        <row r="345">
          <cell r="B345">
            <v>1</v>
          </cell>
          <cell r="C345">
            <v>412</v>
          </cell>
          <cell r="D345" t="str">
            <v>4256</v>
          </cell>
          <cell r="E345" t="str">
            <v>Consommation, Tricones de sondeuses</v>
          </cell>
          <cell r="L345">
            <v>0</v>
          </cell>
          <cell r="P345">
            <v>0</v>
          </cell>
          <cell r="AC345">
            <v>0</v>
          </cell>
        </row>
        <row r="346">
          <cell r="B346">
            <v>1</v>
          </cell>
          <cell r="C346">
            <v>413</v>
          </cell>
          <cell r="D346" t="str">
            <v>4257</v>
          </cell>
          <cell r="E346" t="str">
            <v>Consommation, Cables de draglines</v>
          </cell>
          <cell r="L346">
            <v>0</v>
          </cell>
          <cell r="P346">
            <v>0</v>
          </cell>
          <cell r="AC346">
            <v>0</v>
          </cell>
        </row>
        <row r="347">
          <cell r="B347">
            <v>1</v>
          </cell>
          <cell r="C347">
            <v>414</v>
          </cell>
          <cell r="D347" t="str">
            <v>4258</v>
          </cell>
          <cell r="E347" t="str">
            <v>Consommation, Godets et dents de draglines</v>
          </cell>
          <cell r="L347">
            <v>0</v>
          </cell>
          <cell r="P347">
            <v>0</v>
          </cell>
          <cell r="AC347">
            <v>0</v>
          </cell>
        </row>
        <row r="348">
          <cell r="B348">
            <v>1</v>
          </cell>
          <cell r="C348">
            <v>415</v>
          </cell>
          <cell r="D348" t="str">
            <v>4261</v>
          </cell>
          <cell r="E348" t="str">
            <v>Consommation, Pneumatiques pour engins lourds</v>
          </cell>
          <cell r="L348">
            <v>0</v>
          </cell>
          <cell r="P348">
            <v>0</v>
          </cell>
          <cell r="U348">
            <v>75756</v>
          </cell>
          <cell r="AB348">
            <v>11076</v>
          </cell>
          <cell r="AC348">
            <v>86832</v>
          </cell>
        </row>
        <row r="349">
          <cell r="B349">
            <v>1</v>
          </cell>
          <cell r="C349">
            <v>416</v>
          </cell>
          <cell r="D349" t="str">
            <v>4259</v>
          </cell>
          <cell r="E349" t="str">
            <v>Consommation, Cables électriques</v>
          </cell>
          <cell r="L349">
            <v>0</v>
          </cell>
          <cell r="N349">
            <v>4512</v>
          </cell>
          <cell r="O349">
            <v>5304</v>
          </cell>
          <cell r="P349">
            <v>9816</v>
          </cell>
          <cell r="S349">
            <v>4068</v>
          </cell>
          <cell r="T349">
            <v>720</v>
          </cell>
          <cell r="V349">
            <v>18708</v>
          </cell>
          <cell r="AA349">
            <v>1692</v>
          </cell>
          <cell r="AC349">
            <v>35004</v>
          </cell>
        </row>
        <row r="350">
          <cell r="B350">
            <v>1</v>
          </cell>
          <cell r="C350">
            <v>417</v>
          </cell>
          <cell r="D350" t="str">
            <v>4263</v>
          </cell>
          <cell r="E350" t="str">
            <v>Consommation, Pièces de rechange du matériel</v>
          </cell>
          <cell r="F350">
            <v>92352</v>
          </cell>
          <cell r="G350">
            <v>58272</v>
          </cell>
          <cell r="H350">
            <v>100560</v>
          </cell>
          <cell r="I350">
            <v>65724</v>
          </cell>
          <cell r="J350">
            <v>50844</v>
          </cell>
          <cell r="K350">
            <v>58380</v>
          </cell>
          <cell r="L350">
            <v>426132</v>
          </cell>
          <cell r="M350">
            <v>147108</v>
          </cell>
          <cell r="N350">
            <v>1242948</v>
          </cell>
          <cell r="O350">
            <v>1864404</v>
          </cell>
          <cell r="P350">
            <v>3107352</v>
          </cell>
          <cell r="R350">
            <v>3744</v>
          </cell>
          <cell r="S350">
            <v>324012</v>
          </cell>
          <cell r="T350">
            <v>103164</v>
          </cell>
          <cell r="U350">
            <v>640224</v>
          </cell>
          <cell r="V350">
            <v>363840</v>
          </cell>
          <cell r="W350">
            <v>15996</v>
          </cell>
          <cell r="X350">
            <v>4260</v>
          </cell>
          <cell r="AA350">
            <v>129180</v>
          </cell>
          <cell r="AB350">
            <v>15648</v>
          </cell>
          <cell r="AC350">
            <v>5280660</v>
          </cell>
        </row>
        <row r="351">
          <cell r="B351">
            <v>1</v>
          </cell>
          <cell r="C351" t="str">
            <v>418</v>
          </cell>
          <cell r="D351" t="str">
            <v>4264</v>
          </cell>
          <cell r="E351" t="str">
            <v>Consommation, Pièces détachées automobiles</v>
          </cell>
          <cell r="L351">
            <v>0</v>
          </cell>
          <cell r="P351">
            <v>0</v>
          </cell>
          <cell r="U351">
            <v>19788</v>
          </cell>
          <cell r="V351">
            <v>1308</v>
          </cell>
          <cell r="AC351">
            <v>21096</v>
          </cell>
        </row>
        <row r="352">
          <cell r="B352">
            <v>1</v>
          </cell>
          <cell r="C352">
            <v>419</v>
          </cell>
          <cell r="D352" t="str">
            <v>4265</v>
          </cell>
          <cell r="E352" t="str">
            <v>Consommation, Petit outillage</v>
          </cell>
          <cell r="F352">
            <v>60</v>
          </cell>
          <cell r="G352">
            <v>96</v>
          </cell>
          <cell r="H352">
            <v>288</v>
          </cell>
          <cell r="I352">
            <v>84</v>
          </cell>
          <cell r="J352">
            <v>252</v>
          </cell>
          <cell r="K352">
            <v>876</v>
          </cell>
          <cell r="L352">
            <v>1656</v>
          </cell>
          <cell r="N352">
            <v>1932</v>
          </cell>
          <cell r="O352">
            <v>3780</v>
          </cell>
          <cell r="P352">
            <v>5712</v>
          </cell>
          <cell r="T352">
            <v>6840</v>
          </cell>
          <cell r="U352">
            <v>2316</v>
          </cell>
          <cell r="V352">
            <v>924</v>
          </cell>
          <cell r="W352">
            <v>9852</v>
          </cell>
          <cell r="AA352">
            <v>600</v>
          </cell>
          <cell r="AB352">
            <v>1104</v>
          </cell>
          <cell r="AC352">
            <v>29004</v>
          </cell>
        </row>
        <row r="353">
          <cell r="B353">
            <v>1</v>
          </cell>
          <cell r="C353">
            <v>420</v>
          </cell>
          <cell r="D353" t="str">
            <v>4262</v>
          </cell>
          <cell r="E353" t="str">
            <v>Consommation, Pneumatiques voitures légères</v>
          </cell>
          <cell r="L353">
            <v>0</v>
          </cell>
          <cell r="P353">
            <v>0</v>
          </cell>
          <cell r="AC353">
            <v>0</v>
          </cell>
        </row>
        <row r="354">
          <cell r="B354">
            <v>1</v>
          </cell>
          <cell r="C354">
            <v>421</v>
          </cell>
          <cell r="D354" t="str">
            <v>4266</v>
          </cell>
          <cell r="E354" t="str">
            <v>Consommation, Produits pharmaceutiques</v>
          </cell>
          <cell r="L354">
            <v>0</v>
          </cell>
          <cell r="P354">
            <v>0</v>
          </cell>
          <cell r="V354">
            <v>2760</v>
          </cell>
          <cell r="AC354">
            <v>2760</v>
          </cell>
        </row>
        <row r="355">
          <cell r="B355">
            <v>1</v>
          </cell>
          <cell r="C355">
            <v>423</v>
          </cell>
          <cell r="D355" t="str">
            <v>4267</v>
          </cell>
          <cell r="E355" t="str">
            <v>Consommation, Petit matériel à usage médicale</v>
          </cell>
          <cell r="L355">
            <v>0</v>
          </cell>
          <cell r="P355">
            <v>0</v>
          </cell>
          <cell r="AC355">
            <v>0</v>
          </cell>
        </row>
        <row r="356">
          <cell r="B356">
            <v>1</v>
          </cell>
          <cell r="C356">
            <v>424</v>
          </cell>
          <cell r="D356" t="str">
            <v>4243</v>
          </cell>
          <cell r="E356" t="str">
            <v>Consommation, Aciers et gaz industriels</v>
          </cell>
          <cell r="F356">
            <v>2136</v>
          </cell>
          <cell r="G356">
            <v>876</v>
          </cell>
          <cell r="H356">
            <v>1032</v>
          </cell>
          <cell r="I356">
            <v>780</v>
          </cell>
          <cell r="J356">
            <v>888</v>
          </cell>
          <cell r="K356">
            <v>2496</v>
          </cell>
          <cell r="L356">
            <v>8208</v>
          </cell>
          <cell r="M356">
            <v>1716</v>
          </cell>
          <cell r="N356">
            <v>43008</v>
          </cell>
          <cell r="O356">
            <v>21432</v>
          </cell>
          <cell r="P356">
            <v>64440</v>
          </cell>
          <cell r="S356">
            <v>6564</v>
          </cell>
          <cell r="T356">
            <v>936</v>
          </cell>
          <cell r="V356">
            <v>10788</v>
          </cell>
          <cell r="W356">
            <v>161268</v>
          </cell>
          <cell r="AA356">
            <v>3492</v>
          </cell>
          <cell r="AC356">
            <v>257412</v>
          </cell>
        </row>
        <row r="357">
          <cell r="B357">
            <v>1</v>
          </cell>
          <cell r="C357">
            <v>425</v>
          </cell>
          <cell r="D357" t="str">
            <v>4244</v>
          </cell>
          <cell r="E357" t="str">
            <v>Consommation, Habillement et produits de sécurité</v>
          </cell>
          <cell r="F357">
            <v>5916</v>
          </cell>
          <cell r="G357">
            <v>5640</v>
          </cell>
          <cell r="H357">
            <v>6204</v>
          </cell>
          <cell r="I357">
            <v>6384</v>
          </cell>
          <cell r="J357">
            <v>6576</v>
          </cell>
          <cell r="K357">
            <v>6204</v>
          </cell>
          <cell r="L357">
            <v>36924</v>
          </cell>
          <cell r="M357">
            <v>4524</v>
          </cell>
          <cell r="N357">
            <v>36048</v>
          </cell>
          <cell r="O357">
            <v>52524</v>
          </cell>
          <cell r="P357">
            <v>88572</v>
          </cell>
          <cell r="S357">
            <v>25224</v>
          </cell>
          <cell r="T357">
            <v>31848</v>
          </cell>
          <cell r="U357">
            <v>6876</v>
          </cell>
          <cell r="V357">
            <v>32424</v>
          </cell>
          <cell r="W357">
            <v>18648</v>
          </cell>
          <cell r="X357">
            <v>744</v>
          </cell>
          <cell r="Y357">
            <v>300</v>
          </cell>
          <cell r="AA357">
            <v>9396</v>
          </cell>
          <cell r="AB357">
            <v>11760</v>
          </cell>
          <cell r="AC357">
            <v>267240</v>
          </cell>
        </row>
        <row r="358">
          <cell r="B358">
            <v>1</v>
          </cell>
          <cell r="C358">
            <v>426</v>
          </cell>
          <cell r="D358" t="str">
            <v>4245</v>
          </cell>
          <cell r="E358" t="str">
            <v>Consommation, Matériaux et produits de construction</v>
          </cell>
          <cell r="I358">
            <v>384</v>
          </cell>
          <cell r="L358">
            <v>384</v>
          </cell>
          <cell r="N358">
            <v>1296</v>
          </cell>
          <cell r="O358">
            <v>252</v>
          </cell>
          <cell r="P358">
            <v>1548</v>
          </cell>
          <cell r="T358">
            <v>1980</v>
          </cell>
          <cell r="V358">
            <v>1776</v>
          </cell>
          <cell r="AB358">
            <v>15516</v>
          </cell>
          <cell r="AC358">
            <v>21204</v>
          </cell>
        </row>
        <row r="359">
          <cell r="B359">
            <v>1</v>
          </cell>
          <cell r="C359" t="str">
            <v>485</v>
          </cell>
          <cell r="D359" t="str">
            <v>4241</v>
          </cell>
          <cell r="E359" t="str">
            <v>Consommation, Produits d'entretien</v>
          </cell>
          <cell r="L359">
            <v>0</v>
          </cell>
          <cell r="O359">
            <v>6228</v>
          </cell>
          <cell r="P359">
            <v>6228</v>
          </cell>
          <cell r="U359">
            <v>4956</v>
          </cell>
          <cell r="V359">
            <v>396</v>
          </cell>
          <cell r="AA359">
            <v>1536</v>
          </cell>
          <cell r="AC359">
            <v>13116</v>
          </cell>
        </row>
        <row r="360">
          <cell r="B360">
            <v>1</v>
          </cell>
          <cell r="C360" t="str">
            <v>486</v>
          </cell>
          <cell r="D360" t="str">
            <v>4614</v>
          </cell>
          <cell r="E360" t="str">
            <v>Autres travaux à façon éxécutés à l'extérieur</v>
          </cell>
          <cell r="L360">
            <v>0</v>
          </cell>
          <cell r="O360">
            <v>29076</v>
          </cell>
          <cell r="P360">
            <v>29076</v>
          </cell>
          <cell r="V360">
            <v>4740</v>
          </cell>
          <cell r="AC360">
            <v>33816</v>
          </cell>
        </row>
        <row r="361">
          <cell r="B361">
            <v>1</v>
          </cell>
          <cell r="C361">
            <v>487</v>
          </cell>
          <cell r="D361" t="str">
            <v>4612</v>
          </cell>
          <cell r="E361" t="str">
            <v>Travaux de fonçage de puits</v>
          </cell>
          <cell r="L361">
            <v>0</v>
          </cell>
          <cell r="P361">
            <v>0</v>
          </cell>
          <cell r="V361">
            <v>3341580</v>
          </cell>
          <cell r="AC361">
            <v>3341580</v>
          </cell>
        </row>
        <row r="362">
          <cell r="B362">
            <v>1</v>
          </cell>
          <cell r="C362">
            <v>491</v>
          </cell>
          <cell r="D362" t="str">
            <v>4511</v>
          </cell>
          <cell r="E362" t="str">
            <v>Fourniture d'énérgie électrique</v>
          </cell>
          <cell r="L362">
            <v>0</v>
          </cell>
          <cell r="P362">
            <v>0</v>
          </cell>
          <cell r="AC362">
            <v>0</v>
          </cell>
        </row>
        <row r="363">
          <cell r="B363">
            <v>1</v>
          </cell>
          <cell r="C363">
            <v>501</v>
          </cell>
          <cell r="D363" t="str">
            <v>5311</v>
          </cell>
          <cell r="E363" t="str">
            <v>Location de terrains</v>
          </cell>
          <cell r="L363">
            <v>0</v>
          </cell>
          <cell r="P363">
            <v>0</v>
          </cell>
          <cell r="AC363">
            <v>0</v>
          </cell>
        </row>
        <row r="364">
          <cell r="B364">
            <v>1</v>
          </cell>
          <cell r="C364">
            <v>501</v>
          </cell>
          <cell r="D364" t="str">
            <v>5312</v>
          </cell>
          <cell r="E364" t="str">
            <v>Location de constructions</v>
          </cell>
          <cell r="L364">
            <v>0</v>
          </cell>
          <cell r="P364">
            <v>0</v>
          </cell>
          <cell r="AC364">
            <v>0</v>
          </cell>
        </row>
        <row r="365">
          <cell r="B365">
            <v>1</v>
          </cell>
          <cell r="C365">
            <v>501</v>
          </cell>
          <cell r="D365" t="str">
            <v>5313</v>
          </cell>
          <cell r="E365" t="str">
            <v>Location de matériel et outillage</v>
          </cell>
          <cell r="L365">
            <v>0</v>
          </cell>
          <cell r="P365">
            <v>0</v>
          </cell>
          <cell r="AC365">
            <v>0</v>
          </cell>
        </row>
        <row r="366">
          <cell r="B366">
            <v>1</v>
          </cell>
          <cell r="C366">
            <v>501</v>
          </cell>
          <cell r="D366" t="str">
            <v>5314</v>
          </cell>
          <cell r="E366" t="str">
            <v>Location du mobilier et du matériel de bureau</v>
          </cell>
          <cell r="L366">
            <v>0</v>
          </cell>
          <cell r="P366">
            <v>0</v>
          </cell>
          <cell r="AC366">
            <v>0</v>
          </cell>
        </row>
        <row r="367">
          <cell r="B367">
            <v>1</v>
          </cell>
          <cell r="C367">
            <v>501</v>
          </cell>
          <cell r="D367" t="str">
            <v>5315</v>
          </cell>
          <cell r="E367" t="str">
            <v>Location de materiel informatique</v>
          </cell>
          <cell r="L367">
            <v>0</v>
          </cell>
          <cell r="P367">
            <v>0</v>
          </cell>
          <cell r="AC367">
            <v>0</v>
          </cell>
        </row>
        <row r="368">
          <cell r="B368">
            <v>1</v>
          </cell>
          <cell r="C368">
            <v>501</v>
          </cell>
          <cell r="D368" t="str">
            <v>5318</v>
          </cell>
          <cell r="E368" t="str">
            <v>Locations et charges locatives diverses</v>
          </cell>
          <cell r="L368">
            <v>0</v>
          </cell>
          <cell r="P368">
            <v>0</v>
          </cell>
          <cell r="AC368">
            <v>0</v>
          </cell>
        </row>
        <row r="369">
          <cell r="B369">
            <v>1</v>
          </cell>
          <cell r="C369" t="str">
            <v>510</v>
          </cell>
          <cell r="D369" t="str">
            <v>5332</v>
          </cell>
          <cell r="E369" t="str">
            <v>Entretiens &amp; réparations autres immobilisations</v>
          </cell>
          <cell r="G369">
            <v>8760</v>
          </cell>
          <cell r="H369">
            <v>28872</v>
          </cell>
          <cell r="I369">
            <v>7404</v>
          </cell>
          <cell r="J369">
            <v>8484</v>
          </cell>
          <cell r="K369">
            <v>7920</v>
          </cell>
          <cell r="L369">
            <v>61440</v>
          </cell>
          <cell r="N369">
            <v>11544</v>
          </cell>
          <cell r="O369">
            <v>30924</v>
          </cell>
          <cell r="P369">
            <v>42468</v>
          </cell>
          <cell r="T369">
            <v>28668</v>
          </cell>
          <cell r="U369">
            <v>31860</v>
          </cell>
          <cell r="V369">
            <v>9684</v>
          </cell>
          <cell r="W369">
            <v>2148</v>
          </cell>
          <cell r="AB369">
            <v>16380</v>
          </cell>
          <cell r="AC369">
            <v>192648</v>
          </cell>
        </row>
        <row r="370">
          <cell r="B370">
            <v>1</v>
          </cell>
          <cell r="C370">
            <v>521</v>
          </cell>
          <cell r="D370" t="str">
            <v>5371</v>
          </cell>
          <cell r="E370" t="str">
            <v>Redevances pour brevets</v>
          </cell>
          <cell r="L370">
            <v>0</v>
          </cell>
          <cell r="P370">
            <v>0</v>
          </cell>
          <cell r="AC370">
            <v>0</v>
          </cell>
        </row>
        <row r="371">
          <cell r="B371">
            <v>1</v>
          </cell>
          <cell r="C371">
            <v>522</v>
          </cell>
          <cell r="D371" t="str">
            <v>5301</v>
          </cell>
          <cell r="E371" t="str">
            <v>Indemnisations de dégats de surface et de récolte</v>
          </cell>
          <cell r="L371">
            <v>0</v>
          </cell>
          <cell r="P371">
            <v>0</v>
          </cell>
          <cell r="AC371">
            <v>0</v>
          </cell>
        </row>
        <row r="372">
          <cell r="B372">
            <v>1</v>
          </cell>
          <cell r="C372">
            <v>530</v>
          </cell>
          <cell r="D372" t="str">
            <v>5306</v>
          </cell>
          <cell r="E372" t="str">
            <v>Indemnisations pour préjudices causés aux tiers</v>
          </cell>
          <cell r="L372">
            <v>0</v>
          </cell>
          <cell r="P372">
            <v>0</v>
          </cell>
          <cell r="AC372">
            <v>0</v>
          </cell>
        </row>
        <row r="373">
          <cell r="B373">
            <v>1</v>
          </cell>
          <cell r="C373">
            <v>531</v>
          </cell>
          <cell r="D373" t="str">
            <v>5368</v>
          </cell>
          <cell r="E373" t="str">
            <v>Autres rémunérations d'intermédiaires</v>
          </cell>
          <cell r="L373">
            <v>0</v>
          </cell>
          <cell r="P373">
            <v>0</v>
          </cell>
          <cell r="AC373">
            <v>0</v>
          </cell>
        </row>
        <row r="374">
          <cell r="B374">
            <v>1</v>
          </cell>
          <cell r="C374">
            <v>532</v>
          </cell>
          <cell r="D374" t="str">
            <v>5365</v>
          </cell>
          <cell r="E374" t="str">
            <v>Honoraires</v>
          </cell>
          <cell r="L374">
            <v>0</v>
          </cell>
          <cell r="P374">
            <v>0</v>
          </cell>
          <cell r="AC374">
            <v>0</v>
          </cell>
        </row>
        <row r="375">
          <cell r="B375">
            <v>1</v>
          </cell>
          <cell r="C375">
            <v>540</v>
          </cell>
          <cell r="D375" t="str">
            <v>5342</v>
          </cell>
          <cell r="E375" t="str">
            <v>Assurances automobiles</v>
          </cell>
          <cell r="L375">
            <v>0</v>
          </cell>
          <cell r="P375">
            <v>0</v>
          </cell>
          <cell r="AC375">
            <v>0</v>
          </cell>
        </row>
        <row r="376">
          <cell r="B376">
            <v>2</v>
          </cell>
          <cell r="C376">
            <v>540</v>
          </cell>
          <cell r="D376" t="str">
            <v>5345</v>
          </cell>
          <cell r="E376" t="str">
            <v>Assurances transports maritimes et terrestres</v>
          </cell>
          <cell r="F376">
            <v>0</v>
          </cell>
          <cell r="L376">
            <v>0</v>
          </cell>
          <cell r="P376">
            <v>0</v>
          </cell>
          <cell r="AC376">
            <v>0</v>
          </cell>
        </row>
        <row r="377">
          <cell r="B377">
            <v>3</v>
          </cell>
          <cell r="C377">
            <v>540</v>
          </cell>
          <cell r="D377" t="str">
            <v>5348</v>
          </cell>
          <cell r="E377" t="str">
            <v>Autres assurances</v>
          </cell>
          <cell r="F377">
            <v>0</v>
          </cell>
          <cell r="L377">
            <v>0</v>
          </cell>
          <cell r="P377">
            <v>0</v>
          </cell>
          <cell r="AC377">
            <v>0</v>
          </cell>
        </row>
        <row r="378">
          <cell r="B378">
            <v>1</v>
          </cell>
          <cell r="C378">
            <v>550</v>
          </cell>
          <cell r="D378" t="str">
            <v>5411</v>
          </cell>
          <cell r="E378" t="str">
            <v>Etudes</v>
          </cell>
          <cell r="L378">
            <v>0</v>
          </cell>
          <cell r="P378">
            <v>0</v>
          </cell>
          <cell r="AC378">
            <v>0</v>
          </cell>
        </row>
        <row r="379">
          <cell r="B379">
            <v>1</v>
          </cell>
          <cell r="C379">
            <v>550</v>
          </cell>
          <cell r="D379" t="str">
            <v>5412</v>
          </cell>
          <cell r="E379" t="str">
            <v>Analyses</v>
          </cell>
          <cell r="L379">
            <v>0</v>
          </cell>
          <cell r="P379">
            <v>0</v>
          </cell>
          <cell r="AC379">
            <v>0</v>
          </cell>
        </row>
        <row r="380">
          <cell r="B380">
            <v>2</v>
          </cell>
          <cell r="C380">
            <v>551</v>
          </cell>
          <cell r="D380" t="str">
            <v>5415</v>
          </cell>
          <cell r="E380" t="str">
            <v>Documentation générale</v>
          </cell>
          <cell r="F380">
            <v>0</v>
          </cell>
          <cell r="L380">
            <v>0</v>
          </cell>
          <cell r="P380">
            <v>0</v>
          </cell>
          <cell r="AC380">
            <v>0</v>
          </cell>
        </row>
        <row r="381">
          <cell r="B381">
            <v>3</v>
          </cell>
          <cell r="C381">
            <v>551</v>
          </cell>
          <cell r="D381" t="str">
            <v>5416</v>
          </cell>
          <cell r="E381" t="str">
            <v>Documentation technique</v>
          </cell>
          <cell r="F381">
            <v>0</v>
          </cell>
          <cell r="L381">
            <v>0</v>
          </cell>
          <cell r="P381">
            <v>0</v>
          </cell>
          <cell r="AC381">
            <v>0</v>
          </cell>
        </row>
        <row r="382">
          <cell r="B382">
            <v>1</v>
          </cell>
          <cell r="C382">
            <v>560</v>
          </cell>
          <cell r="D382" t="str">
            <v>5601</v>
          </cell>
          <cell r="E382" t="str">
            <v>Frais de transport du personnel</v>
          </cell>
          <cell r="L382">
            <v>0</v>
          </cell>
          <cell r="P382">
            <v>0</v>
          </cell>
          <cell r="V382">
            <v>2234940</v>
          </cell>
          <cell r="AC382">
            <v>2234940</v>
          </cell>
        </row>
        <row r="383">
          <cell r="B383">
            <v>1</v>
          </cell>
          <cell r="C383">
            <v>561</v>
          </cell>
          <cell r="D383" t="str">
            <v>5731</v>
          </cell>
          <cell r="E383" t="str">
            <v>Voyages et deplacements</v>
          </cell>
          <cell r="F383">
            <v>1620</v>
          </cell>
          <cell r="G383">
            <v>1308</v>
          </cell>
          <cell r="H383">
            <v>1068</v>
          </cell>
          <cell r="I383">
            <v>1776</v>
          </cell>
          <cell r="J383">
            <v>360</v>
          </cell>
          <cell r="K383">
            <v>648</v>
          </cell>
          <cell r="L383">
            <v>6780</v>
          </cell>
          <cell r="N383">
            <v>6336</v>
          </cell>
          <cell r="O383">
            <v>9156</v>
          </cell>
          <cell r="P383">
            <v>15492</v>
          </cell>
          <cell r="R383">
            <v>72</v>
          </cell>
          <cell r="S383">
            <v>1800</v>
          </cell>
          <cell r="T383">
            <v>7428</v>
          </cell>
          <cell r="U383">
            <v>948</v>
          </cell>
          <cell r="V383">
            <v>3036</v>
          </cell>
          <cell r="W383">
            <v>2640</v>
          </cell>
          <cell r="AA383">
            <v>3636</v>
          </cell>
          <cell r="AB383">
            <v>37284</v>
          </cell>
          <cell r="AC383">
            <v>79116</v>
          </cell>
        </row>
        <row r="384">
          <cell r="B384">
            <v>1</v>
          </cell>
          <cell r="C384">
            <v>571</v>
          </cell>
          <cell r="D384" t="str">
            <v>5735</v>
          </cell>
          <cell r="E384" t="str">
            <v>Frais de missions</v>
          </cell>
          <cell r="L384">
            <v>0</v>
          </cell>
          <cell r="P384">
            <v>0</v>
          </cell>
          <cell r="AC384">
            <v>0</v>
          </cell>
        </row>
        <row r="385">
          <cell r="B385">
            <v>2</v>
          </cell>
          <cell r="C385">
            <v>571</v>
          </cell>
          <cell r="D385" t="str">
            <v>5736</v>
          </cell>
          <cell r="E385" t="str">
            <v>Frais de reception</v>
          </cell>
          <cell r="F385">
            <v>0</v>
          </cell>
          <cell r="L385">
            <v>0</v>
          </cell>
          <cell r="P385">
            <v>0</v>
          </cell>
          <cell r="AC385">
            <v>0</v>
          </cell>
        </row>
        <row r="386">
          <cell r="B386">
            <v>1</v>
          </cell>
          <cell r="C386">
            <v>579</v>
          </cell>
          <cell r="D386" t="str">
            <v>5737</v>
          </cell>
          <cell r="E386" t="str">
            <v>Frais des conseils et assemblees</v>
          </cell>
          <cell r="L386">
            <v>0</v>
          </cell>
          <cell r="P386">
            <v>0</v>
          </cell>
          <cell r="AC386">
            <v>0</v>
          </cell>
        </row>
        <row r="387">
          <cell r="B387">
            <v>1</v>
          </cell>
          <cell r="C387">
            <v>581</v>
          </cell>
          <cell r="D387" t="str">
            <v>5755</v>
          </cell>
          <cell r="E387" t="str">
            <v>Téléphone</v>
          </cell>
          <cell r="L387">
            <v>0</v>
          </cell>
          <cell r="P387">
            <v>0</v>
          </cell>
          <cell r="AC387">
            <v>0</v>
          </cell>
        </row>
        <row r="388">
          <cell r="B388">
            <v>1</v>
          </cell>
          <cell r="C388">
            <v>680</v>
          </cell>
          <cell r="D388" t="str">
            <v>6380</v>
          </cell>
          <cell r="E388" t="str">
            <v>Dotations d'exploitation aux amortissements et aux provisions des immobilisations</v>
          </cell>
          <cell r="F388">
            <v>7416</v>
          </cell>
          <cell r="G388">
            <v>1764</v>
          </cell>
          <cell r="H388">
            <v>2268</v>
          </cell>
          <cell r="I388">
            <v>11592</v>
          </cell>
          <cell r="J388">
            <v>20820</v>
          </cell>
          <cell r="K388">
            <v>16980</v>
          </cell>
          <cell r="L388">
            <v>60840</v>
          </cell>
          <cell r="M388">
            <v>62676</v>
          </cell>
          <cell r="N388">
            <v>353796</v>
          </cell>
          <cell r="O388">
            <v>125196</v>
          </cell>
          <cell r="P388">
            <v>478992</v>
          </cell>
          <cell r="Q388">
            <v>10224</v>
          </cell>
          <cell r="S388">
            <v>700428</v>
          </cell>
          <cell r="T388">
            <v>1728060</v>
          </cell>
          <cell r="U388">
            <v>595152</v>
          </cell>
          <cell r="V388">
            <v>1357068</v>
          </cell>
          <cell r="W388">
            <v>89088</v>
          </cell>
          <cell r="X388">
            <v>78972</v>
          </cell>
          <cell r="Y388">
            <v>84312</v>
          </cell>
          <cell r="AA388">
            <v>3228192</v>
          </cell>
          <cell r="AB388">
            <v>118980</v>
          </cell>
          <cell r="AC388">
            <v>8592984</v>
          </cell>
        </row>
        <row r="389">
          <cell r="B389">
            <v>1</v>
          </cell>
          <cell r="C389">
            <v>720</v>
          </cell>
          <cell r="D389" t="str">
            <v>7050</v>
          </cell>
          <cell r="E389" t="str">
            <v>Locations diverses reçues</v>
          </cell>
          <cell r="L389">
            <v>0</v>
          </cell>
          <cell r="P389">
            <v>0</v>
          </cell>
          <cell r="AC389">
            <v>0</v>
          </cell>
        </row>
        <row r="390">
          <cell r="B390">
            <v>1</v>
          </cell>
          <cell r="C390">
            <v>800</v>
          </cell>
          <cell r="D390" t="str">
            <v>8100</v>
          </cell>
          <cell r="E390" t="str">
            <v>Recettes ligne 2100</v>
          </cell>
          <cell r="L390">
            <v>0</v>
          </cell>
          <cell r="P390">
            <v>0</v>
          </cell>
          <cell r="AC390">
            <v>0</v>
          </cell>
        </row>
        <row r="391">
          <cell r="B391">
            <v>1</v>
          </cell>
          <cell r="C391">
            <v>802</v>
          </cell>
          <cell r="D391" t="str">
            <v>8102</v>
          </cell>
          <cell r="E391" t="str">
            <v>Recettes ligne 2102</v>
          </cell>
          <cell r="L391">
            <v>0</v>
          </cell>
          <cell r="P391">
            <v>0</v>
          </cell>
          <cell r="AC391">
            <v>0</v>
          </cell>
        </row>
        <row r="392">
          <cell r="B392">
            <v>1</v>
          </cell>
          <cell r="C392">
            <v>803</v>
          </cell>
          <cell r="D392" t="str">
            <v>8103</v>
          </cell>
          <cell r="E392" t="str">
            <v>Recettes ligne 2103</v>
          </cell>
          <cell r="L392">
            <v>0</v>
          </cell>
          <cell r="P392">
            <v>0</v>
          </cell>
          <cell r="AC392">
            <v>0</v>
          </cell>
        </row>
        <row r="393">
          <cell r="B393">
            <v>1</v>
          </cell>
          <cell r="C393">
            <v>806</v>
          </cell>
          <cell r="D393" t="str">
            <v>8106</v>
          </cell>
          <cell r="E393" t="str">
            <v>Recettes ligne 2106</v>
          </cell>
          <cell r="F393">
            <v>0</v>
          </cell>
          <cell r="L393">
            <v>0</v>
          </cell>
          <cell r="P393">
            <v>0</v>
          </cell>
          <cell r="AC393">
            <v>0</v>
          </cell>
        </row>
        <row r="394">
          <cell r="B394">
            <v>1</v>
          </cell>
          <cell r="C394">
            <v>807</v>
          </cell>
          <cell r="D394" t="str">
            <v>8107</v>
          </cell>
          <cell r="E394" t="str">
            <v>Recettes ligne 2107</v>
          </cell>
          <cell r="F394">
            <v>0</v>
          </cell>
          <cell r="L394">
            <v>0</v>
          </cell>
          <cell r="P394">
            <v>0</v>
          </cell>
          <cell r="AC394">
            <v>0</v>
          </cell>
        </row>
        <row r="395">
          <cell r="B395">
            <v>1</v>
          </cell>
          <cell r="C395">
            <v>820</v>
          </cell>
          <cell r="D395" t="str">
            <v>8200</v>
          </cell>
          <cell r="E395" t="str">
            <v>Recettes lignes 2200 à 2290</v>
          </cell>
          <cell r="F395">
            <v>0</v>
          </cell>
          <cell r="L395">
            <v>0</v>
          </cell>
          <cell r="P395">
            <v>0</v>
          </cell>
          <cell r="AC395">
            <v>0</v>
          </cell>
        </row>
        <row r="396">
          <cell r="B396">
            <v>1</v>
          </cell>
          <cell r="C396">
            <v>830</v>
          </cell>
          <cell r="D396" t="str">
            <v>8300</v>
          </cell>
          <cell r="E396" t="str">
            <v>Recettes lignes 2300à 2390</v>
          </cell>
          <cell r="F396">
            <v>0</v>
          </cell>
          <cell r="L396">
            <v>0</v>
          </cell>
          <cell r="P396">
            <v>0</v>
          </cell>
          <cell r="AC396">
            <v>0</v>
          </cell>
        </row>
        <row r="397">
          <cell r="B397">
            <v>1</v>
          </cell>
          <cell r="C397" t="str">
            <v>721-722</v>
          </cell>
          <cell r="D397" t="str">
            <v>7053</v>
          </cell>
          <cell r="E397" t="str">
            <v>Cessions eau, électricité au personnel</v>
          </cell>
          <cell r="L397">
            <v>0</v>
          </cell>
          <cell r="AC397">
            <v>0</v>
          </cell>
        </row>
        <row r="398">
          <cell r="D398" t="str">
            <v>0</v>
          </cell>
          <cell r="E398" t="str">
            <v>Non Significative</v>
          </cell>
          <cell r="F398">
            <v>0</v>
          </cell>
          <cell r="L398">
            <v>0</v>
          </cell>
          <cell r="P398">
            <v>0</v>
          </cell>
          <cell r="AC398">
            <v>0</v>
          </cell>
        </row>
        <row r="399">
          <cell r="D399" t="str">
            <v>0640</v>
          </cell>
          <cell r="E399" t="str">
            <v>Achats revendus des marchadises sur exrecices antérieurs</v>
          </cell>
          <cell r="F399">
            <v>0</v>
          </cell>
          <cell r="L399">
            <v>0</v>
          </cell>
          <cell r="P399">
            <v>0</v>
          </cell>
          <cell r="AC399">
            <v>0</v>
          </cell>
        </row>
        <row r="400">
          <cell r="D400" t="str">
            <v>0641</v>
          </cell>
          <cell r="E400" t="str">
            <v>RRRO des achats sur exercices antérieurs</v>
          </cell>
          <cell r="F400">
            <v>0</v>
          </cell>
          <cell r="L400">
            <v>0</v>
          </cell>
          <cell r="P400">
            <v>0</v>
          </cell>
          <cell r="AC400">
            <v>0</v>
          </cell>
        </row>
        <row r="401">
          <cell r="D401" t="str">
            <v>0642</v>
          </cell>
          <cell r="E401" t="str">
            <v>Matières premières sur exercices antérieurs</v>
          </cell>
          <cell r="F401">
            <v>0</v>
          </cell>
          <cell r="L401">
            <v>0</v>
          </cell>
          <cell r="P401">
            <v>0</v>
          </cell>
          <cell r="AC401">
            <v>0</v>
          </cell>
        </row>
        <row r="402">
          <cell r="D402" t="str">
            <v>0643</v>
          </cell>
          <cell r="E402" t="str">
            <v>Matières et fournitures consommables sur exercice antérieur</v>
          </cell>
          <cell r="F402">
            <v>0</v>
          </cell>
          <cell r="L402">
            <v>0</v>
          </cell>
          <cell r="P402">
            <v>0</v>
          </cell>
          <cell r="AC402">
            <v>0</v>
          </cell>
        </row>
        <row r="403">
          <cell r="D403" t="str">
            <v>0644</v>
          </cell>
          <cell r="E403" t="str">
            <v>Emballages à usage mixte sur exercices antérieurs</v>
          </cell>
          <cell r="F403">
            <v>0</v>
          </cell>
          <cell r="L403">
            <v>0</v>
          </cell>
          <cell r="P403">
            <v>0</v>
          </cell>
          <cell r="AC403">
            <v>0</v>
          </cell>
        </row>
        <row r="404">
          <cell r="D404" t="str">
            <v>0645</v>
          </cell>
          <cell r="E404" t="str">
            <v>Matières et fournitures non stockées sur exercices antérieurs</v>
          </cell>
          <cell r="F404">
            <v>0</v>
          </cell>
          <cell r="L404">
            <v>0</v>
          </cell>
          <cell r="P404">
            <v>0</v>
          </cell>
          <cell r="AC404">
            <v>0</v>
          </cell>
        </row>
        <row r="405">
          <cell r="D405" t="str">
            <v>0646</v>
          </cell>
          <cell r="E405" t="str">
            <v>Travaux, Etudes et prestations de service sur exercices antérieurs</v>
          </cell>
          <cell r="F405">
            <v>0</v>
          </cell>
          <cell r="L405">
            <v>0</v>
          </cell>
          <cell r="P405">
            <v>0</v>
          </cell>
          <cell r="AC405">
            <v>0</v>
          </cell>
        </row>
        <row r="406">
          <cell r="D406" t="str">
            <v>0648</v>
          </cell>
          <cell r="E406" t="str">
            <v>RRRO sur achat de matières premières sur exercices antérieurs</v>
          </cell>
          <cell r="F406">
            <v>0</v>
          </cell>
          <cell r="L406">
            <v>0</v>
          </cell>
          <cell r="P406">
            <v>0</v>
          </cell>
          <cell r="AC406">
            <v>0</v>
          </cell>
        </row>
        <row r="407">
          <cell r="D407" t="str">
            <v>0649</v>
          </cell>
          <cell r="E407" t="str">
            <v>RRRO sur achat de matière et fourniture consommable sur exercices antérieurs</v>
          </cell>
          <cell r="F407">
            <v>0</v>
          </cell>
          <cell r="L407">
            <v>0</v>
          </cell>
          <cell r="P407">
            <v>0</v>
          </cell>
          <cell r="AC407">
            <v>0</v>
          </cell>
        </row>
        <row r="408">
          <cell r="D408" t="str">
            <v>0650</v>
          </cell>
          <cell r="E408" t="str">
            <v>RRRO sur achat de travaux, études et prestation de service sur exercices antérieurs</v>
          </cell>
          <cell r="F408">
            <v>0</v>
          </cell>
          <cell r="L408">
            <v>0</v>
          </cell>
          <cell r="P408">
            <v>0</v>
          </cell>
          <cell r="AC408">
            <v>0</v>
          </cell>
        </row>
        <row r="409">
          <cell r="D409" t="str">
            <v>0651</v>
          </cell>
          <cell r="E409" t="str">
            <v>Frais d'achat et de ventes de titres sur exercices antérieurs</v>
          </cell>
          <cell r="F409">
            <v>0</v>
          </cell>
          <cell r="L409">
            <v>0</v>
          </cell>
          <cell r="P409">
            <v>0</v>
          </cell>
          <cell r="AC409">
            <v>0</v>
          </cell>
        </row>
        <row r="410">
          <cell r="D410" t="str">
            <v>0652</v>
          </cell>
          <cell r="E410" t="str">
            <v>Frais sur effet de commerce sur exercices antérieurs</v>
          </cell>
          <cell r="F410">
            <v>0</v>
          </cell>
          <cell r="L410">
            <v>0</v>
          </cell>
          <cell r="P410">
            <v>0</v>
          </cell>
          <cell r="AC410">
            <v>0</v>
          </cell>
        </row>
        <row r="411">
          <cell r="D411" t="str">
            <v>0653</v>
          </cell>
          <cell r="E411" t="str">
            <v>Frais et commissions sur Credoc sur exercices antérieurs</v>
          </cell>
          <cell r="F411">
            <v>0</v>
          </cell>
          <cell r="L411">
            <v>0</v>
          </cell>
          <cell r="P411">
            <v>0</v>
          </cell>
          <cell r="AC411">
            <v>0</v>
          </cell>
        </row>
        <row r="412">
          <cell r="D412" t="str">
            <v>0654</v>
          </cell>
          <cell r="E412" t="str">
            <v>Frais et commissions sur Remdoc sur exercices antérieurs</v>
          </cell>
          <cell r="F412">
            <v>0</v>
          </cell>
          <cell r="L412">
            <v>0</v>
          </cell>
          <cell r="P412">
            <v>0</v>
          </cell>
          <cell r="AC412">
            <v>0</v>
          </cell>
        </row>
        <row r="413">
          <cell r="D413" t="str">
            <v>0655</v>
          </cell>
          <cell r="E413" t="str">
            <v>Frais et commissions sur opérations effectuées selon les conditions générales d'achat sur exercices antérieurs</v>
          </cell>
          <cell r="F413">
            <v>0</v>
          </cell>
          <cell r="L413">
            <v>0</v>
          </cell>
          <cell r="P413">
            <v>0</v>
          </cell>
          <cell r="AC413">
            <v>0</v>
          </cell>
        </row>
        <row r="414">
          <cell r="D414" t="str">
            <v>0656</v>
          </cell>
          <cell r="E414" t="str">
            <v>Frais sur quotions bancaires sur exercices antérieurs</v>
          </cell>
          <cell r="F414">
            <v>0</v>
          </cell>
          <cell r="L414">
            <v>0</v>
          </cell>
          <cell r="P414">
            <v>0</v>
          </cell>
          <cell r="AC414">
            <v>0</v>
          </cell>
        </row>
        <row r="415">
          <cell r="D415" t="str">
            <v>0658</v>
          </cell>
          <cell r="E415" t="str">
            <v>Autres charges externes sur exercices antérieurs</v>
          </cell>
          <cell r="F415">
            <v>0</v>
          </cell>
          <cell r="L415">
            <v>0</v>
          </cell>
          <cell r="P415">
            <v>0</v>
          </cell>
          <cell r="AC415">
            <v>0</v>
          </cell>
        </row>
        <row r="416">
          <cell r="D416" t="str">
            <v>0661</v>
          </cell>
          <cell r="E416" t="str">
            <v>Rémunération du personnel sur exercices antérieurs</v>
          </cell>
          <cell r="F416">
            <v>0</v>
          </cell>
          <cell r="L416">
            <v>0</v>
          </cell>
          <cell r="P416">
            <v>0</v>
          </cell>
          <cell r="AC416">
            <v>0</v>
          </cell>
        </row>
        <row r="417">
          <cell r="D417" t="str">
            <v>0664</v>
          </cell>
          <cell r="E417" t="str">
            <v>Charges sociales sur exercices antérieurs</v>
          </cell>
          <cell r="F417">
            <v>0</v>
          </cell>
          <cell r="L417">
            <v>0</v>
          </cell>
          <cell r="P417">
            <v>0</v>
          </cell>
          <cell r="AC417">
            <v>0</v>
          </cell>
        </row>
        <row r="418">
          <cell r="D418" t="str">
            <v>0666</v>
          </cell>
          <cell r="E418" t="str">
            <v>Charges sociales diverses sur exercices antérieurs</v>
          </cell>
          <cell r="F418">
            <v>0</v>
          </cell>
          <cell r="L418">
            <v>0</v>
          </cell>
          <cell r="P418">
            <v>0</v>
          </cell>
          <cell r="AC418">
            <v>0</v>
          </cell>
        </row>
        <row r="419">
          <cell r="D419" t="str">
            <v>0668</v>
          </cell>
          <cell r="E419" t="str">
            <v>Impôts et taxes sur exercices antérieurs</v>
          </cell>
          <cell r="F419">
            <v>0</v>
          </cell>
          <cell r="L419">
            <v>0</v>
          </cell>
          <cell r="P419">
            <v>0</v>
          </cell>
          <cell r="AC419">
            <v>0</v>
          </cell>
        </row>
        <row r="420">
          <cell r="D420" t="str">
            <v>0669</v>
          </cell>
          <cell r="E420" t="str">
            <v>Autres charges d'exploitation des exercices antérieurs</v>
          </cell>
          <cell r="F420">
            <v>0</v>
          </cell>
          <cell r="L420">
            <v>0</v>
          </cell>
          <cell r="P420">
            <v>0</v>
          </cell>
          <cell r="AC420">
            <v>0</v>
          </cell>
        </row>
        <row r="421">
          <cell r="D421" t="str">
            <v>0674</v>
          </cell>
          <cell r="E421" t="str">
            <v>Dotations d'exploitation aux provisions des exercices antérieurs</v>
          </cell>
          <cell r="F421">
            <v>0</v>
          </cell>
          <cell r="L421">
            <v>0</v>
          </cell>
          <cell r="P421">
            <v>0</v>
          </cell>
          <cell r="AC421">
            <v>0</v>
          </cell>
        </row>
        <row r="422">
          <cell r="D422" t="str">
            <v>0679</v>
          </cell>
          <cell r="E422" t="str">
            <v>Intérêts des emprunts des crédits financiers sur exercices antérieurs</v>
          </cell>
          <cell r="F422">
            <v>0</v>
          </cell>
          <cell r="L422">
            <v>0</v>
          </cell>
          <cell r="P422">
            <v>0</v>
          </cell>
          <cell r="AC422">
            <v>0</v>
          </cell>
        </row>
        <row r="423">
          <cell r="D423" t="str">
            <v>0680</v>
          </cell>
          <cell r="E423" t="str">
            <v>Dotations des immobilisations sur exercices antérieurs</v>
          </cell>
          <cell r="F423">
            <v>0</v>
          </cell>
          <cell r="L423">
            <v>0</v>
          </cell>
          <cell r="P423">
            <v>0</v>
          </cell>
          <cell r="AC423">
            <v>0</v>
          </cell>
        </row>
        <row r="424">
          <cell r="D424" t="str">
            <v>0681</v>
          </cell>
          <cell r="E424" t="str">
            <v>Intérêts des emprunts des crédits acheteurs sur exercices antérieurs</v>
          </cell>
          <cell r="F424">
            <v>0</v>
          </cell>
          <cell r="L424">
            <v>0</v>
          </cell>
          <cell r="P424">
            <v>0</v>
          </cell>
          <cell r="AC424">
            <v>0</v>
          </cell>
        </row>
        <row r="425">
          <cell r="D425" t="str">
            <v>0682</v>
          </cell>
          <cell r="E425" t="str">
            <v>Intérêts des emprunts des crédits gouvernementaux sur exercices antérieurs</v>
          </cell>
          <cell r="F425">
            <v>0</v>
          </cell>
          <cell r="L425">
            <v>0</v>
          </cell>
          <cell r="P425">
            <v>0</v>
          </cell>
          <cell r="AC425">
            <v>0</v>
          </cell>
        </row>
        <row r="426">
          <cell r="D426" t="str">
            <v>0683</v>
          </cell>
          <cell r="E426" t="str">
            <v>Intérêts des crédits financiers rééchelonnés sur exercices antérieurs</v>
          </cell>
          <cell r="F426">
            <v>0</v>
          </cell>
          <cell r="L426">
            <v>0</v>
          </cell>
          <cell r="P426">
            <v>0</v>
          </cell>
          <cell r="AC426">
            <v>0</v>
          </cell>
        </row>
        <row r="427">
          <cell r="D427" t="str">
            <v>0684</v>
          </cell>
          <cell r="E427" t="str">
            <v>Intérêts des crédits acheteurs rééchelonnés sur exercices antérieurs</v>
          </cell>
          <cell r="F427">
            <v>0</v>
          </cell>
          <cell r="L427">
            <v>0</v>
          </cell>
          <cell r="P427">
            <v>0</v>
          </cell>
          <cell r="AC427">
            <v>0</v>
          </cell>
        </row>
        <row r="428">
          <cell r="D428" t="str">
            <v>0685</v>
          </cell>
          <cell r="E428" t="str">
            <v>Intérêts des emprunts et des charges rééchelonnées à compenser en MAD sur exercices antérieurs</v>
          </cell>
          <cell r="F428">
            <v>0</v>
          </cell>
          <cell r="L428">
            <v>0</v>
          </cell>
          <cell r="P428">
            <v>0</v>
          </cell>
          <cell r="AC428">
            <v>0</v>
          </cell>
        </row>
        <row r="429">
          <cell r="D429" t="str">
            <v>0686</v>
          </cell>
          <cell r="E429" t="str">
            <v>Intérêts des dettes rattachées à des participations sur exercices antérieurs</v>
          </cell>
          <cell r="F429">
            <v>0</v>
          </cell>
          <cell r="L429">
            <v>0</v>
          </cell>
          <cell r="P429">
            <v>0</v>
          </cell>
          <cell r="AC429">
            <v>0</v>
          </cell>
        </row>
        <row r="430">
          <cell r="D430" t="str">
            <v>0687</v>
          </cell>
          <cell r="E430" t="str">
            <v>Intérêts des comptes ordinaires sur exercices antérieurs</v>
          </cell>
          <cell r="F430">
            <v>0</v>
          </cell>
          <cell r="L430">
            <v>0</v>
          </cell>
          <cell r="P430">
            <v>0</v>
          </cell>
          <cell r="AC430">
            <v>0</v>
          </cell>
        </row>
        <row r="431">
          <cell r="D431" t="str">
            <v>0688</v>
          </cell>
          <cell r="E431" t="str">
            <v>Intérêts bancaires sur opérations de financement sur exercices antérieurs</v>
          </cell>
          <cell r="F431">
            <v>0</v>
          </cell>
          <cell r="L431">
            <v>0</v>
          </cell>
          <cell r="P431">
            <v>0</v>
          </cell>
          <cell r="AC431">
            <v>0</v>
          </cell>
        </row>
        <row r="432">
          <cell r="D432" t="str">
            <v>0689</v>
          </cell>
          <cell r="E432" t="str">
            <v>Intérêts de capitalisation CIR sur exercices antérieurs</v>
          </cell>
          <cell r="F432">
            <v>0</v>
          </cell>
          <cell r="L432">
            <v>0</v>
          </cell>
          <cell r="P432">
            <v>0</v>
          </cell>
          <cell r="AC432">
            <v>0</v>
          </cell>
        </row>
        <row r="433">
          <cell r="D433" t="str">
            <v>0690</v>
          </cell>
          <cell r="E433" t="str">
            <v>Pertes de change sur remboursement des emprunts sur exercices antérieurs</v>
          </cell>
          <cell r="F433">
            <v>0</v>
          </cell>
          <cell r="L433">
            <v>0</v>
          </cell>
          <cell r="P433">
            <v>0</v>
          </cell>
          <cell r="AC433">
            <v>0</v>
          </cell>
        </row>
        <row r="434">
          <cell r="D434" t="str">
            <v>0691</v>
          </cell>
          <cell r="E434" t="str">
            <v>Pertes de change sur opération de trésorerie sur exercices antérieurs</v>
          </cell>
          <cell r="F434">
            <v>0</v>
          </cell>
          <cell r="L434">
            <v>0</v>
          </cell>
          <cell r="P434">
            <v>0</v>
          </cell>
          <cell r="AC434">
            <v>0</v>
          </cell>
        </row>
        <row r="435">
          <cell r="D435" t="str">
            <v>0692</v>
          </cell>
          <cell r="E435" t="str">
            <v>Autres charges financières sur exercices antérieurs</v>
          </cell>
          <cell r="F435">
            <v>0</v>
          </cell>
          <cell r="L435">
            <v>0</v>
          </cell>
          <cell r="P435">
            <v>0</v>
          </cell>
          <cell r="AC435">
            <v>0</v>
          </cell>
        </row>
        <row r="436">
          <cell r="D436" t="str">
            <v>0693</v>
          </cell>
          <cell r="E436" t="str">
            <v>Dotations financières sur exercices antérieurs</v>
          </cell>
          <cell r="F436">
            <v>0</v>
          </cell>
          <cell r="L436">
            <v>0</v>
          </cell>
          <cell r="P436">
            <v>0</v>
          </cell>
          <cell r="AC436">
            <v>0</v>
          </cell>
        </row>
        <row r="437">
          <cell r="D437" t="str">
            <v>0694</v>
          </cell>
          <cell r="E437" t="str">
            <v>Subventions accordées des exercices antérieurs</v>
          </cell>
          <cell r="F437">
            <v>0</v>
          </cell>
          <cell r="L437">
            <v>0</v>
          </cell>
          <cell r="P437">
            <v>0</v>
          </cell>
          <cell r="AC437">
            <v>0</v>
          </cell>
        </row>
        <row r="438">
          <cell r="D438" t="str">
            <v>0697</v>
          </cell>
          <cell r="E438" t="str">
            <v>Autres charges non courantes sur exercices antérieurs</v>
          </cell>
          <cell r="F438">
            <v>0</v>
          </cell>
          <cell r="L438">
            <v>0</v>
          </cell>
          <cell r="P438">
            <v>0</v>
          </cell>
          <cell r="AC438">
            <v>0</v>
          </cell>
        </row>
        <row r="439">
          <cell r="D439" t="str">
            <v>0698</v>
          </cell>
          <cell r="E439" t="str">
            <v>Dotations non courantes sur exercices antérieurs</v>
          </cell>
          <cell r="F439">
            <v>0</v>
          </cell>
          <cell r="L439">
            <v>0</v>
          </cell>
          <cell r="P439">
            <v>0</v>
          </cell>
          <cell r="AC439">
            <v>0</v>
          </cell>
        </row>
        <row r="440">
          <cell r="D440" t="str">
            <v>0701</v>
          </cell>
          <cell r="E440" t="str">
            <v>Ventes de marchandises des exercices antérieurs</v>
          </cell>
          <cell r="F440">
            <v>0</v>
          </cell>
          <cell r="L440">
            <v>0</v>
          </cell>
          <cell r="P440">
            <v>0</v>
          </cell>
          <cell r="AC440">
            <v>0</v>
          </cell>
        </row>
        <row r="441">
          <cell r="D441" t="str">
            <v>0711</v>
          </cell>
          <cell r="E441" t="str">
            <v>Ventes de biens produits des exercices antérieurs au Maroc</v>
          </cell>
          <cell r="F441">
            <v>0</v>
          </cell>
          <cell r="L441">
            <v>0</v>
          </cell>
          <cell r="P441">
            <v>0</v>
          </cell>
          <cell r="AC441">
            <v>0</v>
          </cell>
        </row>
        <row r="442">
          <cell r="D442" t="str">
            <v>0712</v>
          </cell>
          <cell r="E442" t="str">
            <v>Vente de biens produits sur exercices antérieurs à l'étranger</v>
          </cell>
          <cell r="F442">
            <v>0</v>
          </cell>
          <cell r="L442">
            <v>0</v>
          </cell>
          <cell r="P442">
            <v>0</v>
          </cell>
          <cell r="AC442">
            <v>0</v>
          </cell>
        </row>
        <row r="443">
          <cell r="D443" t="str">
            <v>0714</v>
          </cell>
          <cell r="E443" t="str">
            <v>Vente de services produits sur exercices antérieurs Maroc</v>
          </cell>
          <cell r="F443">
            <v>0</v>
          </cell>
          <cell r="L443">
            <v>0</v>
          </cell>
          <cell r="P443">
            <v>0</v>
          </cell>
          <cell r="AC443">
            <v>0</v>
          </cell>
        </row>
        <row r="444">
          <cell r="D444" t="str">
            <v>0715</v>
          </cell>
          <cell r="E444" t="str">
            <v>Vente de services produits sur exercices antérieurs étranger</v>
          </cell>
          <cell r="F444">
            <v>0</v>
          </cell>
          <cell r="L444">
            <v>0</v>
          </cell>
          <cell r="P444">
            <v>0</v>
          </cell>
          <cell r="AC444">
            <v>0</v>
          </cell>
        </row>
        <row r="445">
          <cell r="D445" t="str">
            <v>0716</v>
          </cell>
          <cell r="E445" t="str">
            <v>Vente produits accessoires sur exercices antérieurs</v>
          </cell>
          <cell r="F445">
            <v>0</v>
          </cell>
          <cell r="L445">
            <v>0</v>
          </cell>
          <cell r="P445">
            <v>0</v>
          </cell>
          <cell r="AC445">
            <v>0</v>
          </cell>
        </row>
        <row r="446">
          <cell r="D446" t="str">
            <v>0717</v>
          </cell>
          <cell r="E446" t="str">
            <v>RRRA accordées sur ventes de biens produits au Maroc sur exercices antérieurs</v>
          </cell>
          <cell r="F446">
            <v>0</v>
          </cell>
          <cell r="L446">
            <v>0</v>
          </cell>
          <cell r="P446">
            <v>0</v>
          </cell>
          <cell r="AC446">
            <v>0</v>
          </cell>
        </row>
        <row r="447">
          <cell r="D447" t="str">
            <v>0718</v>
          </cell>
          <cell r="E447" t="str">
            <v>RRRA accordées sur ventes de biens produits à l'étranger sur exercices antérieurs</v>
          </cell>
          <cell r="F447">
            <v>0</v>
          </cell>
          <cell r="L447">
            <v>0</v>
          </cell>
          <cell r="P447">
            <v>0</v>
          </cell>
          <cell r="AC447">
            <v>0</v>
          </cell>
        </row>
        <row r="448">
          <cell r="D448" t="str">
            <v>0719</v>
          </cell>
          <cell r="E448" t="str">
            <v>RRRA sur vente de biens et services au Maroc sur exercices antérieurs</v>
          </cell>
          <cell r="F448">
            <v>0</v>
          </cell>
          <cell r="L448">
            <v>0</v>
          </cell>
          <cell r="P448">
            <v>0</v>
          </cell>
          <cell r="AC448">
            <v>0</v>
          </cell>
        </row>
        <row r="449">
          <cell r="D449" t="str">
            <v>0720</v>
          </cell>
          <cell r="E449" t="str">
            <v>RRRA sur vente de services accordées à l'étranger sur exercices antérieurs</v>
          </cell>
          <cell r="F449">
            <v>0</v>
          </cell>
          <cell r="L449">
            <v>0</v>
          </cell>
          <cell r="P449">
            <v>0</v>
          </cell>
          <cell r="AC449">
            <v>0</v>
          </cell>
        </row>
        <row r="450">
          <cell r="D450" t="str">
            <v>0721</v>
          </cell>
          <cell r="E450" t="str">
            <v>Immobilisations produites sur exercices antérieurs</v>
          </cell>
          <cell r="F450">
            <v>0</v>
          </cell>
          <cell r="L450">
            <v>0</v>
          </cell>
          <cell r="P450">
            <v>0</v>
          </cell>
          <cell r="AC450">
            <v>0</v>
          </cell>
        </row>
        <row r="451">
          <cell r="D451" t="str">
            <v>0736</v>
          </cell>
          <cell r="E451" t="str">
            <v>Subventions d'exploitation reçues sur exercices antérieurs</v>
          </cell>
          <cell r="F451">
            <v>0</v>
          </cell>
          <cell r="L451">
            <v>0</v>
          </cell>
          <cell r="P451">
            <v>0</v>
          </cell>
          <cell r="AC451">
            <v>0</v>
          </cell>
        </row>
        <row r="452">
          <cell r="D452" t="str">
            <v>0748</v>
          </cell>
          <cell r="E452" t="str">
            <v>Autres produits d'exploitations sur exercices antérieurs</v>
          </cell>
          <cell r="F452">
            <v>0</v>
          </cell>
          <cell r="L452">
            <v>0</v>
          </cell>
          <cell r="P452">
            <v>0</v>
          </cell>
          <cell r="AC452">
            <v>0</v>
          </cell>
        </row>
        <row r="453">
          <cell r="D453" t="str">
            <v>0769</v>
          </cell>
          <cell r="E453" t="str">
            <v>Reprise sur provision sur exercices antérieurs</v>
          </cell>
          <cell r="F453">
            <v>0</v>
          </cell>
          <cell r="L453">
            <v>0</v>
          </cell>
          <cell r="P453">
            <v>0</v>
          </cell>
          <cell r="AC453">
            <v>0</v>
          </cell>
        </row>
        <row r="454">
          <cell r="D454" t="str">
            <v>0780</v>
          </cell>
          <cell r="E454" t="str">
            <v>VNA et PC des immobilisations sur exercices antérieurs</v>
          </cell>
          <cell r="F454">
            <v>0</v>
          </cell>
          <cell r="L454">
            <v>0</v>
          </cell>
          <cell r="P454">
            <v>0</v>
          </cell>
          <cell r="AC454">
            <v>0</v>
          </cell>
        </row>
        <row r="455">
          <cell r="D455" t="str">
            <v>0781</v>
          </cell>
          <cell r="E455" t="str">
            <v>Reprises sur amortissements des exercices antérieurs</v>
          </cell>
          <cell r="F455">
            <v>0</v>
          </cell>
          <cell r="L455">
            <v>0</v>
          </cell>
          <cell r="P455">
            <v>0</v>
          </cell>
          <cell r="AC455">
            <v>0</v>
          </cell>
        </row>
        <row r="456">
          <cell r="D456" t="str">
            <v>0782</v>
          </cell>
          <cell r="E456" t="str">
            <v>Produits des titres de participation et des autres titres sur exercices antérieurs</v>
          </cell>
          <cell r="F456">
            <v>0</v>
          </cell>
          <cell r="L456">
            <v>0</v>
          </cell>
          <cell r="P456">
            <v>0</v>
          </cell>
          <cell r="AC456">
            <v>0</v>
          </cell>
        </row>
        <row r="457">
          <cell r="D457" t="str">
            <v>0783</v>
          </cell>
          <cell r="E457" t="str">
            <v>Gains de change sur remboursement des dettes de financement sur exercices antérieurs</v>
          </cell>
          <cell r="F457">
            <v>0</v>
          </cell>
          <cell r="L457">
            <v>0</v>
          </cell>
          <cell r="P457">
            <v>0</v>
          </cell>
          <cell r="AC457">
            <v>0</v>
          </cell>
        </row>
        <row r="458">
          <cell r="D458" t="str">
            <v>0784</v>
          </cell>
          <cell r="E458" t="str">
            <v>Gains de change sur opérations de trésorerie sur exercices antérieurs</v>
          </cell>
          <cell r="F458">
            <v>0</v>
          </cell>
          <cell r="L458">
            <v>0</v>
          </cell>
          <cell r="P458">
            <v>0</v>
          </cell>
          <cell r="AC458">
            <v>0</v>
          </cell>
        </row>
        <row r="459">
          <cell r="D459" t="str">
            <v>0786</v>
          </cell>
          <cell r="E459" t="str">
            <v>Intérêts et autres produits financiers sur exercices antérieurs</v>
          </cell>
          <cell r="F459">
            <v>0</v>
          </cell>
          <cell r="L459">
            <v>0</v>
          </cell>
          <cell r="P459">
            <v>0</v>
          </cell>
          <cell r="AC459">
            <v>0</v>
          </cell>
        </row>
        <row r="460">
          <cell r="D460" t="str">
            <v>0789</v>
          </cell>
          <cell r="E460" t="str">
            <v>Reprises sur dotations financières sur exercices antérieurs</v>
          </cell>
          <cell r="F460">
            <v>0</v>
          </cell>
          <cell r="L460">
            <v>0</v>
          </cell>
          <cell r="P460">
            <v>0</v>
          </cell>
          <cell r="AC460">
            <v>0</v>
          </cell>
        </row>
        <row r="461">
          <cell r="D461" t="str">
            <v>0796</v>
          </cell>
          <cell r="E461" t="str">
            <v>Subventions d'équilibres reçus sur exercices antérieurs</v>
          </cell>
          <cell r="F461">
            <v>0</v>
          </cell>
          <cell r="L461">
            <v>0</v>
          </cell>
          <cell r="P461">
            <v>0</v>
          </cell>
          <cell r="AC461">
            <v>0</v>
          </cell>
        </row>
        <row r="462">
          <cell r="D462" t="str">
            <v>0798</v>
          </cell>
          <cell r="E462" t="str">
            <v>Autres produits non courants sur exercices antérieurs</v>
          </cell>
          <cell r="F462">
            <v>0</v>
          </cell>
          <cell r="L462">
            <v>0</v>
          </cell>
          <cell r="P462">
            <v>0</v>
          </cell>
          <cell r="AC462">
            <v>0</v>
          </cell>
        </row>
        <row r="463">
          <cell r="D463" t="str">
            <v>0799</v>
          </cell>
          <cell r="E463" t="str">
            <v>Reprises non courantes sur exercices antérieurs</v>
          </cell>
          <cell r="F463">
            <v>0</v>
          </cell>
          <cell r="L463">
            <v>0</v>
          </cell>
          <cell r="P463">
            <v>0</v>
          </cell>
          <cell r="AC463">
            <v>0</v>
          </cell>
        </row>
        <row r="464">
          <cell r="D464" t="str">
            <v>1128</v>
          </cell>
          <cell r="E464" t="str">
            <v>Primes annuelles personnel HC</v>
          </cell>
          <cell r="F464">
            <v>0</v>
          </cell>
          <cell r="L464">
            <v>0</v>
          </cell>
          <cell r="P464">
            <v>0</v>
          </cell>
          <cell r="AC464">
            <v>0</v>
          </cell>
        </row>
        <row r="465">
          <cell r="D465" t="str">
            <v>1130</v>
          </cell>
          <cell r="E465" t="str">
            <v>Gratifications exceptionnelles personnel tâcherons</v>
          </cell>
          <cell r="F465">
            <v>0</v>
          </cell>
          <cell r="L465">
            <v>0</v>
          </cell>
          <cell r="P465">
            <v>0</v>
          </cell>
          <cell r="AC465">
            <v>0</v>
          </cell>
        </row>
        <row r="466">
          <cell r="D466" t="str">
            <v>1131</v>
          </cell>
          <cell r="E466" t="str">
            <v>Gratifications exceptionnelles personnel OEB</v>
          </cell>
          <cell r="F466">
            <v>0</v>
          </cell>
          <cell r="L466">
            <v>0</v>
          </cell>
          <cell r="P466">
            <v>0</v>
          </cell>
          <cell r="AC466">
            <v>0</v>
          </cell>
        </row>
        <row r="467">
          <cell r="D467" t="str">
            <v>1132</v>
          </cell>
          <cell r="E467" t="str">
            <v>Gratifications exceptionnelles personnel OEJ</v>
          </cell>
          <cell r="F467">
            <v>0</v>
          </cell>
          <cell r="L467">
            <v>0</v>
          </cell>
          <cell r="P467">
            <v>0</v>
          </cell>
          <cell r="AC467">
            <v>0</v>
          </cell>
        </row>
        <row r="468">
          <cell r="D468" t="str">
            <v>1133</v>
          </cell>
          <cell r="E468" t="str">
            <v>Gratifications exceptionnelles personnel OEF</v>
          </cell>
          <cell r="F468">
            <v>0</v>
          </cell>
          <cell r="L468">
            <v>0</v>
          </cell>
          <cell r="P468">
            <v>0</v>
          </cell>
          <cell r="AC468">
            <v>0</v>
          </cell>
        </row>
        <row r="469">
          <cell r="D469" t="str">
            <v>1134</v>
          </cell>
          <cell r="E469" t="str">
            <v>Gratifications exceptionnelles personnel appoints</v>
          </cell>
          <cell r="F469">
            <v>0</v>
          </cell>
          <cell r="L469">
            <v>0</v>
          </cell>
          <cell r="P469">
            <v>0</v>
          </cell>
          <cell r="AC469">
            <v>0</v>
          </cell>
        </row>
        <row r="470">
          <cell r="D470" t="str">
            <v>1135</v>
          </cell>
          <cell r="E470" t="str">
            <v>Gratifications exceptionnelles personnel OEM</v>
          </cell>
          <cell r="F470">
            <v>0</v>
          </cell>
          <cell r="L470">
            <v>0</v>
          </cell>
          <cell r="P470">
            <v>0</v>
          </cell>
          <cell r="AC470">
            <v>0</v>
          </cell>
        </row>
        <row r="471">
          <cell r="D471" t="str">
            <v>1136</v>
          </cell>
          <cell r="E471" t="str">
            <v>Gratifications exceptionnelles personnel TAMCA</v>
          </cell>
          <cell r="F471">
            <v>0</v>
          </cell>
          <cell r="L471">
            <v>0</v>
          </cell>
          <cell r="P471">
            <v>0</v>
          </cell>
          <cell r="AC471">
            <v>0</v>
          </cell>
        </row>
        <row r="472">
          <cell r="D472" t="str">
            <v>1138</v>
          </cell>
          <cell r="E472" t="str">
            <v>Gratifications exceptionnelles personnel HC</v>
          </cell>
          <cell r="F472">
            <v>0</v>
          </cell>
          <cell r="L472">
            <v>0</v>
          </cell>
          <cell r="P472">
            <v>0</v>
          </cell>
          <cell r="AC472">
            <v>0</v>
          </cell>
        </row>
        <row r="473">
          <cell r="D473" t="str">
            <v>1266</v>
          </cell>
          <cell r="E473" t="str">
            <v>Prime à la construction prêts hypothécaires personnel OE et TAMCA</v>
          </cell>
          <cell r="F473">
            <v>0</v>
          </cell>
          <cell r="L473">
            <v>0</v>
          </cell>
          <cell r="P473">
            <v>0</v>
          </cell>
          <cell r="AC473">
            <v>0</v>
          </cell>
        </row>
        <row r="474">
          <cell r="D474" t="str">
            <v>1269</v>
          </cell>
          <cell r="E474" t="str">
            <v>Primes à la construction, Prêts hypothécaires, Toutes catégories</v>
          </cell>
          <cell r="F474">
            <v>0</v>
          </cell>
          <cell r="L474">
            <v>0</v>
          </cell>
          <cell r="P474">
            <v>0</v>
          </cell>
          <cell r="AC474">
            <v>0</v>
          </cell>
        </row>
        <row r="475">
          <cell r="D475" t="str">
            <v>1319</v>
          </cell>
          <cell r="E475" t="str">
            <v>Actualisation, engagement retraite, Toute catégorie</v>
          </cell>
          <cell r="F475">
            <v>0</v>
          </cell>
          <cell r="L475">
            <v>0</v>
          </cell>
          <cell r="P475">
            <v>0</v>
          </cell>
          <cell r="AC475">
            <v>0</v>
          </cell>
        </row>
        <row r="476">
          <cell r="D476" t="str">
            <v>1360</v>
          </cell>
          <cell r="E476" t="str">
            <v>Part patronale, Validation des services antérieurs OS 824, Personnel OET</v>
          </cell>
          <cell r="F476">
            <v>0</v>
          </cell>
          <cell r="L476">
            <v>0</v>
          </cell>
          <cell r="P476">
            <v>0</v>
          </cell>
          <cell r="AC476">
            <v>0</v>
          </cell>
        </row>
        <row r="477">
          <cell r="D477" t="str">
            <v>1361</v>
          </cell>
          <cell r="E477" t="str">
            <v>Part patronale, Validation des services antérieurs OS 824, Personnel OEB</v>
          </cell>
          <cell r="F477">
            <v>0</v>
          </cell>
          <cell r="L477">
            <v>0</v>
          </cell>
          <cell r="P477">
            <v>0</v>
          </cell>
          <cell r="AC477">
            <v>0</v>
          </cell>
        </row>
        <row r="478">
          <cell r="D478" t="str">
            <v>1362</v>
          </cell>
          <cell r="E478" t="str">
            <v>Part patronale, Validation des services antérieurs OS 824, Personnel OEJ</v>
          </cell>
          <cell r="F478">
            <v>0</v>
          </cell>
          <cell r="L478">
            <v>0</v>
          </cell>
          <cell r="P478">
            <v>0</v>
          </cell>
          <cell r="AC478">
            <v>0</v>
          </cell>
        </row>
        <row r="479">
          <cell r="D479" t="str">
            <v>1363</v>
          </cell>
          <cell r="E479" t="str">
            <v>Part patronale, Validation des services antérieurs OS 824, Personnel OEF</v>
          </cell>
          <cell r="F479">
            <v>0</v>
          </cell>
          <cell r="L479">
            <v>0</v>
          </cell>
          <cell r="P479">
            <v>0</v>
          </cell>
          <cell r="AC479">
            <v>0</v>
          </cell>
        </row>
        <row r="480">
          <cell r="D480" t="str">
            <v>1364</v>
          </cell>
          <cell r="E480" t="str">
            <v>Part patronale, Validation des services antérieurs OS 824, Personnel appoints</v>
          </cell>
          <cell r="F480">
            <v>0</v>
          </cell>
          <cell r="L480">
            <v>0</v>
          </cell>
          <cell r="P480">
            <v>0</v>
          </cell>
          <cell r="AC480">
            <v>0</v>
          </cell>
        </row>
        <row r="481">
          <cell r="D481" t="str">
            <v>1365</v>
          </cell>
          <cell r="E481" t="str">
            <v>Part patronale, Validation des services antérieurs OS 824, Personnel OEM</v>
          </cell>
          <cell r="F481">
            <v>0</v>
          </cell>
          <cell r="L481">
            <v>0</v>
          </cell>
          <cell r="P481">
            <v>0</v>
          </cell>
          <cell r="AC481">
            <v>0</v>
          </cell>
        </row>
        <row r="482">
          <cell r="D482" t="str">
            <v>1366</v>
          </cell>
          <cell r="E482" t="str">
            <v>Part patronale, Validation des services antérieurs OS 824, Personnel TAMCA</v>
          </cell>
          <cell r="F482">
            <v>0</v>
          </cell>
          <cell r="L482">
            <v>0</v>
          </cell>
          <cell r="P482">
            <v>0</v>
          </cell>
          <cell r="AC482">
            <v>0</v>
          </cell>
        </row>
        <row r="483">
          <cell r="D483" t="str">
            <v>1368</v>
          </cell>
          <cell r="E483" t="str">
            <v>Part patronale, Validation des services antérieurs OS 824, Personnel HC</v>
          </cell>
          <cell r="F483">
            <v>0</v>
          </cell>
          <cell r="L483">
            <v>0</v>
          </cell>
          <cell r="P483">
            <v>0</v>
          </cell>
          <cell r="AC483">
            <v>0</v>
          </cell>
        </row>
        <row r="484">
          <cell r="D484" t="str">
            <v>1370</v>
          </cell>
          <cell r="E484" t="str">
            <v>Part patronale, Validation des services antérieurs OS 824, Note Service 652, Personnel OET</v>
          </cell>
          <cell r="F484">
            <v>0</v>
          </cell>
          <cell r="L484">
            <v>0</v>
          </cell>
          <cell r="P484">
            <v>0</v>
          </cell>
          <cell r="AC484">
            <v>0</v>
          </cell>
        </row>
        <row r="485">
          <cell r="D485" t="str">
            <v>1371</v>
          </cell>
          <cell r="E485" t="str">
            <v>Part patronale, Validation des services antérieurs OS 824, Note Service 652, Personnel OEB</v>
          </cell>
          <cell r="F485">
            <v>0</v>
          </cell>
          <cell r="L485">
            <v>0</v>
          </cell>
          <cell r="P485">
            <v>0</v>
          </cell>
          <cell r="AC485">
            <v>0</v>
          </cell>
        </row>
        <row r="486">
          <cell r="D486" t="str">
            <v>1372</v>
          </cell>
          <cell r="E486" t="str">
            <v>Part patronale, Validation des services antérieurs OS 824, Note Service 652, Personnel OEJ</v>
          </cell>
          <cell r="F486">
            <v>0</v>
          </cell>
          <cell r="L486">
            <v>0</v>
          </cell>
          <cell r="P486">
            <v>0</v>
          </cell>
          <cell r="AC486">
            <v>0</v>
          </cell>
        </row>
        <row r="487">
          <cell r="D487" t="str">
            <v>1373</v>
          </cell>
          <cell r="E487" t="str">
            <v>Part patronale, Validation des services antérieurs OS 824, Note Service 652, Personnel OEF</v>
          </cell>
          <cell r="F487">
            <v>0</v>
          </cell>
          <cell r="L487">
            <v>0</v>
          </cell>
          <cell r="P487">
            <v>0</v>
          </cell>
          <cell r="AC487">
            <v>0</v>
          </cell>
        </row>
        <row r="488">
          <cell r="D488" t="str">
            <v>1374</v>
          </cell>
          <cell r="E488" t="str">
            <v>Part patronale, Validation des services antérieurs OS 824, Note Service 652, Personnel appoints</v>
          </cell>
          <cell r="F488">
            <v>0</v>
          </cell>
          <cell r="L488">
            <v>0</v>
          </cell>
          <cell r="P488">
            <v>0</v>
          </cell>
          <cell r="AC488">
            <v>0</v>
          </cell>
        </row>
        <row r="489">
          <cell r="D489" t="str">
            <v>1375</v>
          </cell>
          <cell r="E489" t="str">
            <v>Part patronale, Validation des services antérieurs OS 824, Note Service 652, Personnel OEM</v>
          </cell>
          <cell r="F489">
            <v>0</v>
          </cell>
          <cell r="L489">
            <v>0</v>
          </cell>
          <cell r="P489">
            <v>0</v>
          </cell>
          <cell r="AC489">
            <v>0</v>
          </cell>
        </row>
        <row r="490">
          <cell r="D490" t="str">
            <v>1376</v>
          </cell>
          <cell r="E490" t="str">
            <v>Part patronale, Validation des services antérieurs OS 824, Note Service 652, Personnel TAMCA</v>
          </cell>
          <cell r="F490">
            <v>0</v>
          </cell>
          <cell r="L490">
            <v>0</v>
          </cell>
          <cell r="P490">
            <v>0</v>
          </cell>
          <cell r="AC490">
            <v>0</v>
          </cell>
        </row>
        <row r="491">
          <cell r="D491" t="str">
            <v>1378</v>
          </cell>
          <cell r="E491" t="str">
            <v>Part patronale, Validation des services antérieurs OS 824, Note Service 652, Personnel HC</v>
          </cell>
          <cell r="F491">
            <v>0</v>
          </cell>
          <cell r="L491">
            <v>0</v>
          </cell>
          <cell r="P491">
            <v>0</v>
          </cell>
          <cell r="AC491">
            <v>0</v>
          </cell>
        </row>
        <row r="492">
          <cell r="D492" t="str">
            <v>1380</v>
          </cell>
          <cell r="E492" t="str">
            <v>Part patronale, Recrus après 1-1-2001, Personnel OET</v>
          </cell>
          <cell r="F492">
            <v>0</v>
          </cell>
          <cell r="L492">
            <v>0</v>
          </cell>
          <cell r="P492">
            <v>0</v>
          </cell>
          <cell r="AC492">
            <v>0</v>
          </cell>
        </row>
        <row r="493">
          <cell r="D493" t="str">
            <v>1381</v>
          </cell>
          <cell r="E493" t="str">
            <v>Part patronale, Recrus après 1-1-2001, Personnel OEB</v>
          </cell>
          <cell r="F493">
            <v>0</v>
          </cell>
          <cell r="L493">
            <v>0</v>
          </cell>
          <cell r="P493">
            <v>0</v>
          </cell>
          <cell r="AC493">
            <v>0</v>
          </cell>
        </row>
        <row r="494">
          <cell r="D494" t="str">
            <v>1382</v>
          </cell>
          <cell r="E494" t="str">
            <v>Part patronale, Recrus après 1-1-2001, Personnel OEJ</v>
          </cell>
          <cell r="F494">
            <v>0</v>
          </cell>
          <cell r="L494">
            <v>0</v>
          </cell>
          <cell r="P494">
            <v>0</v>
          </cell>
          <cell r="AC494">
            <v>0</v>
          </cell>
        </row>
        <row r="495">
          <cell r="D495" t="str">
            <v>1383</v>
          </cell>
          <cell r="E495" t="str">
            <v>Part patronale, Recrus après 1-1-2001, Personnel OEF</v>
          </cell>
          <cell r="F495">
            <v>0</v>
          </cell>
          <cell r="L495">
            <v>0</v>
          </cell>
          <cell r="P495">
            <v>0</v>
          </cell>
          <cell r="AC495">
            <v>0</v>
          </cell>
        </row>
        <row r="496">
          <cell r="D496" t="str">
            <v>1384</v>
          </cell>
          <cell r="E496" t="str">
            <v>Part patronale, Recrus après 1-1-2001, Personnel appoints</v>
          </cell>
          <cell r="F496">
            <v>0</v>
          </cell>
          <cell r="L496">
            <v>0</v>
          </cell>
          <cell r="P496">
            <v>0</v>
          </cell>
          <cell r="AC496">
            <v>0</v>
          </cell>
        </row>
        <row r="497">
          <cell r="D497" t="str">
            <v>1385</v>
          </cell>
          <cell r="E497" t="str">
            <v>Part patronale, Recrus après 1-1-2001, Personnel OEM</v>
          </cell>
          <cell r="F497">
            <v>0</v>
          </cell>
          <cell r="L497">
            <v>0</v>
          </cell>
          <cell r="P497">
            <v>0</v>
          </cell>
          <cell r="AC497">
            <v>0</v>
          </cell>
        </row>
        <row r="498">
          <cell r="D498" t="str">
            <v>1386</v>
          </cell>
          <cell r="E498" t="str">
            <v>Part patronale, Recrus après 1-1-2001, Personnel TAMCA</v>
          </cell>
          <cell r="F498">
            <v>0</v>
          </cell>
          <cell r="L498">
            <v>0</v>
          </cell>
          <cell r="P498">
            <v>0</v>
          </cell>
          <cell r="AC498">
            <v>0</v>
          </cell>
        </row>
        <row r="499">
          <cell r="D499" t="str">
            <v>1388</v>
          </cell>
          <cell r="E499" t="str">
            <v>Part patronale, Recrus après 1-1-2001, Personnel HC</v>
          </cell>
          <cell r="F499">
            <v>0</v>
          </cell>
          <cell r="L499">
            <v>0</v>
          </cell>
          <cell r="P499">
            <v>0</v>
          </cell>
          <cell r="AC499">
            <v>0</v>
          </cell>
        </row>
        <row r="500">
          <cell r="D500" t="str">
            <v>1390</v>
          </cell>
          <cell r="E500" t="str">
            <v>Recore, frais d'etalement des cotisations 1-12001au 31-7-2001, Personnel OET</v>
          </cell>
          <cell r="F500">
            <v>0</v>
          </cell>
          <cell r="L500">
            <v>0</v>
          </cell>
          <cell r="P500">
            <v>0</v>
          </cell>
          <cell r="AC500">
            <v>0</v>
          </cell>
        </row>
        <row r="501">
          <cell r="D501" t="str">
            <v>1391</v>
          </cell>
          <cell r="E501" t="str">
            <v>Recore, frais d'etalement des cotisations 1-12001au 31-7-2001, Personnel OEB</v>
          </cell>
          <cell r="F501">
            <v>0</v>
          </cell>
          <cell r="L501">
            <v>0</v>
          </cell>
          <cell r="P501">
            <v>0</v>
          </cell>
          <cell r="AC501">
            <v>0</v>
          </cell>
        </row>
        <row r="502">
          <cell r="D502" t="str">
            <v>1392</v>
          </cell>
          <cell r="E502" t="str">
            <v>Recore, frais d'étalement des cotisations 1-12001au 31-7-2001, Personnel OEJ</v>
          </cell>
          <cell r="F502">
            <v>0</v>
          </cell>
          <cell r="L502">
            <v>0</v>
          </cell>
          <cell r="P502">
            <v>0</v>
          </cell>
          <cell r="AC502">
            <v>0</v>
          </cell>
        </row>
        <row r="503">
          <cell r="D503" t="str">
            <v>1393</v>
          </cell>
          <cell r="E503" t="str">
            <v>Recore, frais d'étalement des cotisations 1-12001au 31-7-2001, Personnel OEF</v>
          </cell>
          <cell r="F503">
            <v>0</v>
          </cell>
          <cell r="L503">
            <v>0</v>
          </cell>
          <cell r="P503">
            <v>0</v>
          </cell>
          <cell r="AC503">
            <v>0</v>
          </cell>
        </row>
        <row r="504">
          <cell r="D504" t="str">
            <v>1394</v>
          </cell>
          <cell r="E504" t="str">
            <v>Recore, frais d'étalement des cotisations 1-12001au 31-7-2001, Personnel appt</v>
          </cell>
          <cell r="F504">
            <v>0</v>
          </cell>
          <cell r="L504">
            <v>0</v>
          </cell>
          <cell r="P504">
            <v>0</v>
          </cell>
          <cell r="AC504">
            <v>0</v>
          </cell>
        </row>
        <row r="505">
          <cell r="D505" t="str">
            <v>1395</v>
          </cell>
          <cell r="E505" t="str">
            <v>Recore, frais d'étalement des cotisations 1-12001au 31-7-2001, Personnel OEM</v>
          </cell>
          <cell r="F505">
            <v>0</v>
          </cell>
          <cell r="L505">
            <v>0</v>
          </cell>
          <cell r="P505">
            <v>0</v>
          </cell>
          <cell r="AC505">
            <v>0</v>
          </cell>
        </row>
        <row r="506">
          <cell r="D506" t="str">
            <v>1396</v>
          </cell>
          <cell r="E506" t="str">
            <v>Recore, frais d'étalement des cotisations 1-1-01au 31-7-2001, Personnel TAMCA</v>
          </cell>
          <cell r="F506">
            <v>0</v>
          </cell>
          <cell r="L506">
            <v>0</v>
          </cell>
          <cell r="P506">
            <v>0</v>
          </cell>
          <cell r="AC506">
            <v>0</v>
          </cell>
        </row>
        <row r="507">
          <cell r="D507" t="str">
            <v>1398</v>
          </cell>
          <cell r="E507" t="str">
            <v>Recore, frais d'étalement des cotisations 1-12001au 31-7-2001 PHC</v>
          </cell>
          <cell r="F507">
            <v>0</v>
          </cell>
          <cell r="L507">
            <v>0</v>
          </cell>
          <cell r="P507">
            <v>0</v>
          </cell>
          <cell r="AC507">
            <v>0</v>
          </cell>
        </row>
        <row r="508">
          <cell r="D508" t="str">
            <v>1508</v>
          </cell>
          <cell r="E508" t="str">
            <v>Part patronale sécurité sociale Paris</v>
          </cell>
          <cell r="F508">
            <v>0</v>
          </cell>
          <cell r="L508">
            <v>0</v>
          </cell>
          <cell r="P508">
            <v>0</v>
          </cell>
          <cell r="AC508">
            <v>0</v>
          </cell>
        </row>
        <row r="509">
          <cell r="D509" t="str">
            <v>1518</v>
          </cell>
          <cell r="E509" t="str">
            <v>Part patronale CNSS PHC</v>
          </cell>
          <cell r="F509">
            <v>0</v>
          </cell>
          <cell r="L509">
            <v>0</v>
          </cell>
          <cell r="P509">
            <v>0</v>
          </cell>
          <cell r="AC509">
            <v>0</v>
          </cell>
        </row>
        <row r="510">
          <cell r="D510" t="str">
            <v>1528</v>
          </cell>
          <cell r="E510" t="str">
            <v>Part patronale CIMR PHC</v>
          </cell>
          <cell r="F510">
            <v>0</v>
          </cell>
          <cell r="L510">
            <v>0</v>
          </cell>
          <cell r="P510">
            <v>0</v>
          </cell>
          <cell r="AC510">
            <v>0</v>
          </cell>
        </row>
        <row r="511">
          <cell r="D511" t="str">
            <v>1788</v>
          </cell>
          <cell r="E511" t="str">
            <v>Bourses et frais de formation, personnel hors cadres</v>
          </cell>
          <cell r="F511">
            <v>0</v>
          </cell>
          <cell r="L511">
            <v>0</v>
          </cell>
          <cell r="P511">
            <v>0</v>
          </cell>
          <cell r="AC511">
            <v>0</v>
          </cell>
        </row>
        <row r="512">
          <cell r="D512" t="str">
            <v>1789</v>
          </cell>
          <cell r="E512" t="str">
            <v>Bourses et frais de formation toutes catégories</v>
          </cell>
          <cell r="F512">
            <v>0</v>
          </cell>
          <cell r="L512">
            <v>0</v>
          </cell>
          <cell r="P512">
            <v>0</v>
          </cell>
          <cell r="AC512">
            <v>0</v>
          </cell>
        </row>
        <row r="513">
          <cell r="D513" t="str">
            <v>1826</v>
          </cell>
          <cell r="E513" t="str">
            <v>Frais d'appareillage orthopédique-accidentés,rentiers OE et TAMCA</v>
          </cell>
          <cell r="F513">
            <v>0</v>
          </cell>
          <cell r="L513">
            <v>0</v>
          </cell>
          <cell r="P513">
            <v>0</v>
          </cell>
          <cell r="AC513">
            <v>0</v>
          </cell>
        </row>
        <row r="514">
          <cell r="D514" t="str">
            <v>1828</v>
          </cell>
          <cell r="E514" t="str">
            <v>Frais d'appareillage orthopédique-accidentés,rentiers HC</v>
          </cell>
          <cell r="F514">
            <v>0</v>
          </cell>
          <cell r="L514">
            <v>0</v>
          </cell>
          <cell r="P514">
            <v>0</v>
          </cell>
          <cell r="AC514">
            <v>0</v>
          </cell>
        </row>
        <row r="515">
          <cell r="D515" t="str">
            <v>1829</v>
          </cell>
          <cell r="E515" t="str">
            <v>Frais d'appareils orthopédiques, accidentés, rentiers toutes catégories</v>
          </cell>
          <cell r="F515">
            <v>0</v>
          </cell>
          <cell r="L515">
            <v>0</v>
          </cell>
          <cell r="P515">
            <v>0</v>
          </cell>
          <cell r="AC515">
            <v>0</v>
          </cell>
        </row>
        <row r="516">
          <cell r="D516" t="str">
            <v>1906</v>
          </cell>
          <cell r="E516" t="str">
            <v>Allocations des oeuvres sociales personnel OE et TAMCA</v>
          </cell>
          <cell r="F516">
            <v>0</v>
          </cell>
          <cell r="L516">
            <v>0</v>
          </cell>
          <cell r="P516">
            <v>0</v>
          </cell>
          <cell r="AC516">
            <v>0</v>
          </cell>
        </row>
        <row r="517">
          <cell r="D517" t="str">
            <v>1908</v>
          </cell>
          <cell r="E517" t="str">
            <v>Allocations des oeuvres sociales personnel HC</v>
          </cell>
          <cell r="F517">
            <v>0</v>
          </cell>
          <cell r="L517">
            <v>0</v>
          </cell>
          <cell r="P517">
            <v>0</v>
          </cell>
          <cell r="AC517">
            <v>0</v>
          </cell>
        </row>
        <row r="518">
          <cell r="D518" t="str">
            <v>1909</v>
          </cell>
          <cell r="E518" t="str">
            <v>Allocations des oeuvres sociales, toutes catégories</v>
          </cell>
          <cell r="F518">
            <v>0</v>
          </cell>
          <cell r="L518">
            <v>0</v>
          </cell>
          <cell r="P518">
            <v>0</v>
          </cell>
          <cell r="AC518">
            <v>0</v>
          </cell>
        </row>
        <row r="519">
          <cell r="D519" t="str">
            <v>1916</v>
          </cell>
          <cell r="E519" t="str">
            <v>Subventions internes des activités sociales personnel OE et TAMCA</v>
          </cell>
          <cell r="F519">
            <v>0</v>
          </cell>
          <cell r="L519">
            <v>0</v>
          </cell>
          <cell r="P519">
            <v>0</v>
          </cell>
          <cell r="AC519">
            <v>0</v>
          </cell>
        </row>
        <row r="520">
          <cell r="D520" t="str">
            <v>1918</v>
          </cell>
          <cell r="E520" t="str">
            <v>Subventions internes des activités sociales personnel HC</v>
          </cell>
          <cell r="F520">
            <v>0</v>
          </cell>
          <cell r="L520">
            <v>0</v>
          </cell>
          <cell r="P520">
            <v>0</v>
          </cell>
          <cell r="AC520">
            <v>0</v>
          </cell>
        </row>
        <row r="521">
          <cell r="D521" t="str">
            <v>1919</v>
          </cell>
          <cell r="E521" t="str">
            <v>Subventions internes des activités sociales, toutes catégories</v>
          </cell>
          <cell r="F521">
            <v>0</v>
          </cell>
          <cell r="L521">
            <v>0</v>
          </cell>
          <cell r="P521">
            <v>0</v>
          </cell>
          <cell r="AC521">
            <v>0</v>
          </cell>
        </row>
        <row r="522">
          <cell r="D522" t="str">
            <v>1920</v>
          </cell>
          <cell r="E522" t="str">
            <v>Indemnité de licenciement personnel tâcherons</v>
          </cell>
          <cell r="F522">
            <v>0</v>
          </cell>
          <cell r="L522">
            <v>0</v>
          </cell>
          <cell r="P522">
            <v>0</v>
          </cell>
          <cell r="AC522">
            <v>0</v>
          </cell>
        </row>
        <row r="523">
          <cell r="D523" t="str">
            <v>1921</v>
          </cell>
          <cell r="E523" t="str">
            <v>Indemnité de licenciement personnel OEB</v>
          </cell>
          <cell r="F523">
            <v>0</v>
          </cell>
          <cell r="L523">
            <v>0</v>
          </cell>
          <cell r="P523">
            <v>0</v>
          </cell>
          <cell r="AC523">
            <v>0</v>
          </cell>
        </row>
        <row r="524">
          <cell r="D524" t="str">
            <v>1922</v>
          </cell>
          <cell r="E524" t="str">
            <v>Indemnité de licenciement personnel OEJ</v>
          </cell>
          <cell r="F524">
            <v>0</v>
          </cell>
          <cell r="L524">
            <v>0</v>
          </cell>
          <cell r="P524">
            <v>0</v>
          </cell>
          <cell r="AC524">
            <v>0</v>
          </cell>
        </row>
        <row r="525">
          <cell r="D525" t="str">
            <v>1923</v>
          </cell>
          <cell r="E525" t="str">
            <v>Indemnité de licenciement personnel OEF</v>
          </cell>
          <cell r="F525">
            <v>0</v>
          </cell>
          <cell r="L525">
            <v>0</v>
          </cell>
          <cell r="P525">
            <v>0</v>
          </cell>
          <cell r="AC525">
            <v>0</v>
          </cell>
        </row>
        <row r="526">
          <cell r="D526" t="str">
            <v>1924</v>
          </cell>
          <cell r="E526" t="str">
            <v>Indemnité de licenciement personnel appoints</v>
          </cell>
          <cell r="F526">
            <v>0</v>
          </cell>
          <cell r="L526">
            <v>0</v>
          </cell>
          <cell r="P526">
            <v>0</v>
          </cell>
          <cell r="AC526">
            <v>0</v>
          </cell>
        </row>
        <row r="527">
          <cell r="D527" t="str">
            <v>1925</v>
          </cell>
          <cell r="E527" t="str">
            <v>Indemnité de licenciement personnel OEM</v>
          </cell>
          <cell r="F527">
            <v>0</v>
          </cell>
          <cell r="L527">
            <v>0</v>
          </cell>
          <cell r="P527">
            <v>0</v>
          </cell>
          <cell r="AC527">
            <v>0</v>
          </cell>
        </row>
        <row r="528">
          <cell r="D528" t="str">
            <v>1926</v>
          </cell>
          <cell r="E528" t="str">
            <v>Indemnité de licenciement personnel TAMCA</v>
          </cell>
          <cell r="F528">
            <v>0</v>
          </cell>
          <cell r="L528">
            <v>0</v>
          </cell>
          <cell r="P528">
            <v>0</v>
          </cell>
          <cell r="AC528">
            <v>0</v>
          </cell>
        </row>
        <row r="529">
          <cell r="D529" t="str">
            <v>1928</v>
          </cell>
          <cell r="E529" t="str">
            <v>Indemnité de licenciement personnel HC</v>
          </cell>
          <cell r="F529">
            <v>0</v>
          </cell>
          <cell r="L529">
            <v>0</v>
          </cell>
          <cell r="P529">
            <v>0</v>
          </cell>
          <cell r="AC529">
            <v>0</v>
          </cell>
        </row>
        <row r="530">
          <cell r="D530" t="str">
            <v>1936</v>
          </cell>
          <cell r="E530" t="str">
            <v>Contribution au fond de formation professionnelle personnel OE et TAMCA</v>
          </cell>
          <cell r="F530">
            <v>0</v>
          </cell>
          <cell r="L530">
            <v>0</v>
          </cell>
          <cell r="P530">
            <v>0</v>
          </cell>
          <cell r="AC530">
            <v>0</v>
          </cell>
        </row>
        <row r="531">
          <cell r="D531" t="str">
            <v>1938</v>
          </cell>
          <cell r="E531" t="str">
            <v>Contribution au fond de formation professionnelle personnel HC</v>
          </cell>
          <cell r="F531">
            <v>0</v>
          </cell>
          <cell r="L531">
            <v>0</v>
          </cell>
          <cell r="P531">
            <v>0</v>
          </cell>
          <cell r="AC531">
            <v>0</v>
          </cell>
        </row>
        <row r="532">
          <cell r="D532" t="str">
            <v>1939</v>
          </cell>
          <cell r="E532" t="str">
            <v>Contribution au fonds de formation professionnell toutes catégories</v>
          </cell>
          <cell r="F532">
            <v>0</v>
          </cell>
          <cell r="L532">
            <v>0</v>
          </cell>
          <cell r="P532">
            <v>0</v>
          </cell>
          <cell r="AC532">
            <v>0</v>
          </cell>
        </row>
        <row r="533">
          <cell r="D533" t="str">
            <v>1946</v>
          </cell>
          <cell r="E533" t="str">
            <v>Contribution au fond de majoration des accidents de travail OE et TAMCA</v>
          </cell>
          <cell r="F533">
            <v>0</v>
          </cell>
          <cell r="L533">
            <v>0</v>
          </cell>
          <cell r="P533">
            <v>0</v>
          </cell>
          <cell r="AC533">
            <v>0</v>
          </cell>
        </row>
        <row r="534">
          <cell r="D534" t="str">
            <v>1948</v>
          </cell>
          <cell r="E534" t="str">
            <v>Contribution au fond de majoration des accidents de travail HC</v>
          </cell>
          <cell r="F534">
            <v>0</v>
          </cell>
          <cell r="L534">
            <v>0</v>
          </cell>
          <cell r="P534">
            <v>0</v>
          </cell>
          <cell r="AC534">
            <v>0</v>
          </cell>
        </row>
        <row r="535">
          <cell r="D535" t="str">
            <v>1949</v>
          </cell>
          <cell r="E535" t="str">
            <v>Contributions au fonds de majoration des accidents de travail, toutes catégories</v>
          </cell>
          <cell r="F535">
            <v>0</v>
          </cell>
          <cell r="L535">
            <v>0</v>
          </cell>
          <cell r="P535">
            <v>0</v>
          </cell>
          <cell r="AC535">
            <v>0</v>
          </cell>
        </row>
        <row r="536">
          <cell r="D536" t="str">
            <v>1956</v>
          </cell>
          <cell r="E536" t="str">
            <v>Participation aux frais de sejour durant le conge annuel personnel OE et TAMCA</v>
          </cell>
          <cell r="F536">
            <v>0</v>
          </cell>
          <cell r="L536">
            <v>0</v>
          </cell>
          <cell r="P536">
            <v>0</v>
          </cell>
          <cell r="AC536">
            <v>0</v>
          </cell>
        </row>
        <row r="537">
          <cell r="D537" t="str">
            <v>1958</v>
          </cell>
          <cell r="E537" t="str">
            <v>Participation aux frais de sejour durant le conge annuel personnel HC</v>
          </cell>
          <cell r="F537">
            <v>0</v>
          </cell>
          <cell r="L537">
            <v>0</v>
          </cell>
          <cell r="P537">
            <v>0</v>
          </cell>
          <cell r="AC537">
            <v>0</v>
          </cell>
        </row>
        <row r="538">
          <cell r="D538" t="str">
            <v>1959</v>
          </cell>
          <cell r="E538" t="str">
            <v>Participations au frais de séjour congé annuel, Toutes catégories</v>
          </cell>
          <cell r="F538">
            <v>0</v>
          </cell>
          <cell r="L538">
            <v>0</v>
          </cell>
          <cell r="P538">
            <v>0</v>
          </cell>
          <cell r="AC538">
            <v>0</v>
          </cell>
        </row>
        <row r="539">
          <cell r="D539" t="str">
            <v>1969</v>
          </cell>
          <cell r="E539" t="str">
            <v>Système de reconnaissance et d'émulation des cercles de qualité OE personnel OE</v>
          </cell>
          <cell r="F539">
            <v>0</v>
          </cell>
          <cell r="L539">
            <v>0</v>
          </cell>
          <cell r="P539">
            <v>0</v>
          </cell>
          <cell r="AC539">
            <v>0</v>
          </cell>
        </row>
        <row r="540">
          <cell r="D540" t="str">
            <v>1979</v>
          </cell>
          <cell r="E540" t="str">
            <v>Système de reconnaissance et d'émulation des cercles de qualité, Personnel TAMCA</v>
          </cell>
          <cell r="F540">
            <v>0</v>
          </cell>
          <cell r="L540">
            <v>0</v>
          </cell>
          <cell r="P540">
            <v>0</v>
          </cell>
          <cell r="AC540">
            <v>0</v>
          </cell>
        </row>
        <row r="541">
          <cell r="D541" t="str">
            <v>2110</v>
          </cell>
          <cell r="E541" t="str">
            <v>Fournitures internes, Eau de mer</v>
          </cell>
          <cell r="F541">
            <v>0</v>
          </cell>
          <cell r="L541">
            <v>0</v>
          </cell>
          <cell r="P541">
            <v>0</v>
          </cell>
          <cell r="AC541">
            <v>0</v>
          </cell>
        </row>
        <row r="542">
          <cell r="D542" t="str">
            <v>2121</v>
          </cell>
          <cell r="E542" t="str">
            <v>Fournitures internes, Eau brute</v>
          </cell>
          <cell r="F542">
            <v>0</v>
          </cell>
          <cell r="L542">
            <v>0</v>
          </cell>
          <cell r="P542">
            <v>0</v>
          </cell>
          <cell r="AC542">
            <v>0</v>
          </cell>
        </row>
        <row r="543">
          <cell r="D543" t="str">
            <v>2122</v>
          </cell>
          <cell r="E543" t="str">
            <v>Fournitures internes, Eau filtrée</v>
          </cell>
          <cell r="F543">
            <v>0</v>
          </cell>
          <cell r="L543">
            <v>0</v>
          </cell>
          <cell r="P543">
            <v>0</v>
          </cell>
          <cell r="AC543">
            <v>0</v>
          </cell>
        </row>
        <row r="544">
          <cell r="D544" t="str">
            <v>2123</v>
          </cell>
          <cell r="E544" t="str">
            <v>Fournitures internes, Eau potable</v>
          </cell>
          <cell r="F544">
            <v>0</v>
          </cell>
          <cell r="L544">
            <v>0</v>
          </cell>
          <cell r="P544">
            <v>0</v>
          </cell>
          <cell r="AC544">
            <v>0</v>
          </cell>
        </row>
        <row r="545">
          <cell r="D545" t="str">
            <v>2124</v>
          </cell>
          <cell r="E545" t="str">
            <v>Fournitures internes, Eau déminéralisée</v>
          </cell>
          <cell r="F545">
            <v>0</v>
          </cell>
          <cell r="L545">
            <v>0</v>
          </cell>
          <cell r="P545">
            <v>0</v>
          </cell>
          <cell r="AC545">
            <v>0</v>
          </cell>
        </row>
        <row r="546">
          <cell r="D546" t="str">
            <v>2125</v>
          </cell>
          <cell r="E546" t="str">
            <v>Fournitures internes, Eau désilicée</v>
          </cell>
          <cell r="F546">
            <v>0</v>
          </cell>
          <cell r="L546">
            <v>0</v>
          </cell>
          <cell r="P546">
            <v>0</v>
          </cell>
          <cell r="AC546">
            <v>0</v>
          </cell>
        </row>
        <row r="547">
          <cell r="D547" t="str">
            <v>2126</v>
          </cell>
          <cell r="E547" t="str">
            <v>Fournitures internes, Eau alimentaire</v>
          </cell>
          <cell r="F547">
            <v>0</v>
          </cell>
          <cell r="L547">
            <v>0</v>
          </cell>
          <cell r="P547">
            <v>0</v>
          </cell>
          <cell r="AC547">
            <v>0</v>
          </cell>
        </row>
        <row r="548">
          <cell r="D548" t="str">
            <v>2130</v>
          </cell>
          <cell r="E548" t="str">
            <v>Fournitures internes, Air comprimé</v>
          </cell>
          <cell r="F548">
            <v>0</v>
          </cell>
          <cell r="L548">
            <v>0</v>
          </cell>
          <cell r="P548">
            <v>0</v>
          </cell>
          <cell r="AC548">
            <v>0</v>
          </cell>
        </row>
        <row r="549">
          <cell r="D549" t="str">
            <v>2140</v>
          </cell>
          <cell r="E549" t="str">
            <v>Fournitures internes, Vapeur BP</v>
          </cell>
          <cell r="F549">
            <v>0</v>
          </cell>
          <cell r="L549">
            <v>0</v>
          </cell>
          <cell r="P549">
            <v>0</v>
          </cell>
          <cell r="AC549">
            <v>0</v>
          </cell>
        </row>
        <row r="550">
          <cell r="D550" t="str">
            <v>2141</v>
          </cell>
          <cell r="E550" t="str">
            <v>Fournitures internes, Vapeur MP</v>
          </cell>
          <cell r="F550">
            <v>0</v>
          </cell>
          <cell r="L550">
            <v>0</v>
          </cell>
          <cell r="P550">
            <v>0</v>
          </cell>
          <cell r="AC550">
            <v>0</v>
          </cell>
        </row>
        <row r="551">
          <cell r="D551" t="str">
            <v>2142</v>
          </cell>
          <cell r="E551" t="str">
            <v>Fournitures internes, Vapeur HP</v>
          </cell>
          <cell r="F551">
            <v>0</v>
          </cell>
          <cell r="L551">
            <v>0</v>
          </cell>
          <cell r="P551">
            <v>0</v>
          </cell>
          <cell r="AC551">
            <v>0</v>
          </cell>
        </row>
        <row r="552">
          <cell r="D552" t="str">
            <v>2149</v>
          </cell>
          <cell r="E552" t="str">
            <v>Fournitures internes, Vapeur BP, MP, HP</v>
          </cell>
          <cell r="F552">
            <v>0</v>
          </cell>
          <cell r="L552">
            <v>0</v>
          </cell>
          <cell r="P552">
            <v>0</v>
          </cell>
          <cell r="AC552">
            <v>0</v>
          </cell>
        </row>
        <row r="553">
          <cell r="D553" t="str">
            <v>2150</v>
          </cell>
          <cell r="E553" t="str">
            <v>Fournitures internes, Phosphate lavé MPII</v>
          </cell>
          <cell r="F553">
            <v>0</v>
          </cell>
          <cell r="L553">
            <v>0</v>
          </cell>
          <cell r="P553">
            <v>0</v>
          </cell>
          <cell r="AC553">
            <v>0</v>
          </cell>
        </row>
        <row r="554">
          <cell r="D554" t="str">
            <v>2151</v>
          </cell>
          <cell r="E554" t="str">
            <v>Fournitures internes, Phosphate broyé</v>
          </cell>
          <cell r="F554">
            <v>0</v>
          </cell>
          <cell r="L554">
            <v>0</v>
          </cell>
          <cell r="P554">
            <v>0</v>
          </cell>
          <cell r="AC554">
            <v>0</v>
          </cell>
        </row>
        <row r="555">
          <cell r="D555" t="str">
            <v>2152</v>
          </cell>
          <cell r="E555" t="str">
            <v>Fournitures internes, Soufre fondu</v>
          </cell>
          <cell r="F555">
            <v>0</v>
          </cell>
          <cell r="L555">
            <v>0</v>
          </cell>
          <cell r="P555">
            <v>0</v>
          </cell>
          <cell r="AC555">
            <v>0</v>
          </cell>
        </row>
        <row r="556">
          <cell r="D556" t="str">
            <v>2153</v>
          </cell>
          <cell r="E556" t="str">
            <v>Fournitures internes, Soufre filtré</v>
          </cell>
          <cell r="F556">
            <v>0</v>
          </cell>
          <cell r="L556">
            <v>0</v>
          </cell>
          <cell r="P556">
            <v>0</v>
          </cell>
          <cell r="AC556">
            <v>0</v>
          </cell>
        </row>
        <row r="557">
          <cell r="D557" t="str">
            <v>2154</v>
          </cell>
          <cell r="E557" t="str">
            <v>Fournitures internes, Acide sulfurique</v>
          </cell>
          <cell r="F557">
            <v>0</v>
          </cell>
          <cell r="L557">
            <v>0</v>
          </cell>
          <cell r="P557">
            <v>0</v>
          </cell>
          <cell r="AC557">
            <v>0</v>
          </cell>
        </row>
        <row r="558">
          <cell r="D558" t="str">
            <v>2155</v>
          </cell>
          <cell r="E558" t="str">
            <v>Fournitures internes, Acide phosphorique 30%</v>
          </cell>
          <cell r="F558">
            <v>0</v>
          </cell>
          <cell r="L558">
            <v>0</v>
          </cell>
          <cell r="P558">
            <v>0</v>
          </cell>
          <cell r="AC558">
            <v>0</v>
          </cell>
        </row>
        <row r="559">
          <cell r="D559" t="str">
            <v>2156</v>
          </cell>
          <cell r="E559" t="str">
            <v>Fournitures internes, Acide phosphorique 54% NC</v>
          </cell>
          <cell r="F559">
            <v>0</v>
          </cell>
          <cell r="L559">
            <v>0</v>
          </cell>
          <cell r="P559">
            <v>0</v>
          </cell>
          <cell r="AC559">
            <v>0</v>
          </cell>
        </row>
        <row r="560">
          <cell r="D560" t="str">
            <v>2157</v>
          </cell>
          <cell r="E560" t="str">
            <v>Fournitures internes, Acide phosphorique 54% CL</v>
          </cell>
          <cell r="F560">
            <v>0</v>
          </cell>
          <cell r="L560">
            <v>0</v>
          </cell>
          <cell r="P560">
            <v>0</v>
          </cell>
          <cell r="AC560">
            <v>0</v>
          </cell>
        </row>
        <row r="561">
          <cell r="D561" t="str">
            <v>2158</v>
          </cell>
          <cell r="E561" t="str">
            <v>Fournitures internes, Acide prétraité</v>
          </cell>
          <cell r="F561">
            <v>0</v>
          </cell>
          <cell r="L561">
            <v>0</v>
          </cell>
          <cell r="P561">
            <v>0</v>
          </cell>
          <cell r="AC561">
            <v>0</v>
          </cell>
        </row>
        <row r="562">
          <cell r="D562" t="str">
            <v>2159</v>
          </cell>
          <cell r="E562" t="str">
            <v>Fournitures internes, Acide traité</v>
          </cell>
          <cell r="F562">
            <v>0</v>
          </cell>
          <cell r="L562">
            <v>0</v>
          </cell>
          <cell r="P562">
            <v>0</v>
          </cell>
          <cell r="AC562">
            <v>0</v>
          </cell>
        </row>
        <row r="563">
          <cell r="D563" t="str">
            <v>2160</v>
          </cell>
          <cell r="E563" t="str">
            <v>Fournitures internes, Engrais TSP (Intermédiaires)</v>
          </cell>
          <cell r="F563">
            <v>0</v>
          </cell>
          <cell r="L563">
            <v>0</v>
          </cell>
          <cell r="P563">
            <v>0</v>
          </cell>
          <cell r="AC563">
            <v>0</v>
          </cell>
        </row>
        <row r="564">
          <cell r="D564" t="str">
            <v>2161</v>
          </cell>
          <cell r="E564" t="str">
            <v>Fournitures internes, Engrais DAP (Intermédiaires)</v>
          </cell>
          <cell r="F564">
            <v>0</v>
          </cell>
          <cell r="L564">
            <v>0</v>
          </cell>
          <cell r="P564">
            <v>0</v>
          </cell>
          <cell r="AC564">
            <v>0</v>
          </cell>
        </row>
        <row r="565">
          <cell r="D565" t="str">
            <v>2162</v>
          </cell>
          <cell r="E565" t="str">
            <v>Fournitures internes, Engrais MAP (Intermédiaires)</v>
          </cell>
          <cell r="F565">
            <v>0</v>
          </cell>
          <cell r="L565">
            <v>0</v>
          </cell>
          <cell r="P565">
            <v>0</v>
          </cell>
          <cell r="AC565">
            <v>0</v>
          </cell>
        </row>
        <row r="566">
          <cell r="D566" t="str">
            <v>2163</v>
          </cell>
          <cell r="E566" t="str">
            <v>Fournitures internes, Engrais NPK (Intermédiaires)</v>
          </cell>
          <cell r="F566">
            <v>0</v>
          </cell>
          <cell r="L566">
            <v>0</v>
          </cell>
          <cell r="P566">
            <v>0</v>
          </cell>
          <cell r="AC566">
            <v>0</v>
          </cell>
        </row>
        <row r="567">
          <cell r="D567" t="str">
            <v>2164</v>
          </cell>
          <cell r="E567" t="str">
            <v>Fournitures internes, Engrais ASP (Intermédiaires)</v>
          </cell>
          <cell r="F567">
            <v>0</v>
          </cell>
          <cell r="L567">
            <v>0</v>
          </cell>
          <cell r="P567">
            <v>0</v>
          </cell>
          <cell r="AC567">
            <v>0</v>
          </cell>
        </row>
        <row r="568">
          <cell r="D568" t="str">
            <v>2169</v>
          </cell>
          <cell r="E568" t="str">
            <v>Fournitures internes, Engrais Autres formules (Intermédiaires)</v>
          </cell>
          <cell r="F568">
            <v>0</v>
          </cell>
          <cell r="L568">
            <v>0</v>
          </cell>
          <cell r="P568">
            <v>0</v>
          </cell>
          <cell r="AC568">
            <v>0</v>
          </cell>
        </row>
        <row r="569">
          <cell r="D569" t="str">
            <v>2290</v>
          </cell>
          <cell r="E569" t="str">
            <v>Prestations même division, Restaurant</v>
          </cell>
          <cell r="F569">
            <v>0</v>
          </cell>
          <cell r="L569">
            <v>0</v>
          </cell>
          <cell r="P569">
            <v>0</v>
          </cell>
          <cell r="AC569">
            <v>0</v>
          </cell>
        </row>
        <row r="570">
          <cell r="D570" t="str">
            <v>2600</v>
          </cell>
          <cell r="E570" t="str">
            <v>Solde des SA d'exécution</v>
          </cell>
          <cell r="F570">
            <v>0</v>
          </cell>
          <cell r="L570">
            <v>0</v>
          </cell>
          <cell r="P570">
            <v>0</v>
          </cell>
          <cell r="AC570">
            <v>0</v>
          </cell>
        </row>
        <row r="571">
          <cell r="D571" t="str">
            <v>3170</v>
          </cell>
          <cell r="E571" t="str">
            <v>Cessions hors prix de revient, Soufre solide</v>
          </cell>
          <cell r="F571">
            <v>0</v>
          </cell>
          <cell r="L571">
            <v>0</v>
          </cell>
          <cell r="P571">
            <v>0</v>
          </cell>
          <cell r="AC571">
            <v>0</v>
          </cell>
        </row>
        <row r="572">
          <cell r="D572" t="str">
            <v>3171</v>
          </cell>
          <cell r="E572" t="str">
            <v>Cessions hors prix de revient, Soufre liquide</v>
          </cell>
          <cell r="F572">
            <v>0</v>
          </cell>
          <cell r="L572">
            <v>0</v>
          </cell>
          <cell r="P572">
            <v>0</v>
          </cell>
          <cell r="AC572">
            <v>0</v>
          </cell>
        </row>
        <row r="573">
          <cell r="D573" t="str">
            <v>3174</v>
          </cell>
          <cell r="E573" t="str">
            <v>Cessions hors prix de revient, Acide sulfurique</v>
          </cell>
          <cell r="F573">
            <v>0</v>
          </cell>
          <cell r="L573">
            <v>0</v>
          </cell>
          <cell r="P573">
            <v>0</v>
          </cell>
          <cell r="AC573">
            <v>0</v>
          </cell>
        </row>
        <row r="574">
          <cell r="D574" t="str">
            <v>3220</v>
          </cell>
          <cell r="E574" t="str">
            <v>Cessions hors prix de revient, Matières auxiliaires</v>
          </cell>
          <cell r="F574">
            <v>0</v>
          </cell>
          <cell r="L574">
            <v>0</v>
          </cell>
          <cell r="P574">
            <v>0</v>
          </cell>
          <cell r="AC574">
            <v>0</v>
          </cell>
        </row>
        <row r="575">
          <cell r="D575" t="str">
            <v>3231</v>
          </cell>
          <cell r="E575" t="str">
            <v>Cessions hors prix de revient, Mazout de chauffe</v>
          </cell>
          <cell r="F575">
            <v>0</v>
          </cell>
          <cell r="L575">
            <v>0</v>
          </cell>
          <cell r="P575">
            <v>0</v>
          </cell>
          <cell r="AC575">
            <v>0</v>
          </cell>
        </row>
        <row r="576">
          <cell r="D576" t="str">
            <v>3232</v>
          </cell>
          <cell r="E576" t="str">
            <v>Cessions hors prix de revient, Essence légère</v>
          </cell>
          <cell r="F576">
            <v>0</v>
          </cell>
          <cell r="L576">
            <v>0</v>
          </cell>
          <cell r="P576">
            <v>0</v>
          </cell>
          <cell r="AC576">
            <v>0</v>
          </cell>
        </row>
        <row r="577">
          <cell r="D577" t="str">
            <v>3233</v>
          </cell>
          <cell r="E577" t="str">
            <v>Cessions hors prix de revient, Gasoil</v>
          </cell>
          <cell r="F577">
            <v>0</v>
          </cell>
          <cell r="L577">
            <v>0</v>
          </cell>
          <cell r="P577">
            <v>0</v>
          </cell>
          <cell r="AC577">
            <v>0</v>
          </cell>
        </row>
        <row r="578">
          <cell r="D578" t="str">
            <v>3234</v>
          </cell>
          <cell r="E578" t="str">
            <v>Cessions hors prix de revient, Lubrifiants</v>
          </cell>
          <cell r="F578">
            <v>0</v>
          </cell>
          <cell r="L578">
            <v>0</v>
          </cell>
          <cell r="P578">
            <v>0</v>
          </cell>
          <cell r="AC578">
            <v>0</v>
          </cell>
        </row>
        <row r="579">
          <cell r="D579" t="str">
            <v>3236</v>
          </cell>
          <cell r="E579" t="str">
            <v>Cessions hors prix de revient, Coke de pétrole</v>
          </cell>
          <cell r="F579">
            <v>0</v>
          </cell>
          <cell r="L579">
            <v>0</v>
          </cell>
          <cell r="P579">
            <v>0</v>
          </cell>
          <cell r="AC579">
            <v>0</v>
          </cell>
        </row>
        <row r="580">
          <cell r="D580" t="str">
            <v>3241</v>
          </cell>
          <cell r="E580" t="str">
            <v>Cessions hors prix de revient, Produits d'entretien</v>
          </cell>
          <cell r="F580">
            <v>0</v>
          </cell>
          <cell r="L580">
            <v>0</v>
          </cell>
          <cell r="P580">
            <v>0</v>
          </cell>
          <cell r="AC580">
            <v>0</v>
          </cell>
        </row>
        <row r="581">
          <cell r="D581" t="str">
            <v>3242</v>
          </cell>
          <cell r="E581" t="str">
            <v>Cessions hors prix de revient, Produits de laboratoire</v>
          </cell>
          <cell r="F581">
            <v>0</v>
          </cell>
          <cell r="L581">
            <v>0</v>
          </cell>
          <cell r="P581">
            <v>0</v>
          </cell>
          <cell r="AC581">
            <v>0</v>
          </cell>
        </row>
        <row r="582">
          <cell r="D582" t="str">
            <v>3243</v>
          </cell>
          <cell r="E582" t="str">
            <v>Cessions hors prix de revient, Aciers et gaz industriels</v>
          </cell>
          <cell r="F582">
            <v>0</v>
          </cell>
          <cell r="L582">
            <v>0</v>
          </cell>
          <cell r="P582">
            <v>0</v>
          </cell>
          <cell r="AC582">
            <v>0</v>
          </cell>
        </row>
        <row r="583">
          <cell r="D583" t="str">
            <v>3244</v>
          </cell>
          <cell r="E583" t="str">
            <v>Cessions hors prix de revient, Habillement et produits de sécurité</v>
          </cell>
          <cell r="F583">
            <v>0</v>
          </cell>
          <cell r="L583">
            <v>0</v>
          </cell>
          <cell r="P583">
            <v>0</v>
          </cell>
          <cell r="AC583">
            <v>0</v>
          </cell>
        </row>
        <row r="584">
          <cell r="D584" t="str">
            <v>3245</v>
          </cell>
          <cell r="E584" t="str">
            <v>Cessions hors prix de revient, Matériaux et produits de construction</v>
          </cell>
          <cell r="F584">
            <v>0</v>
          </cell>
          <cell r="L584">
            <v>0</v>
          </cell>
          <cell r="P584">
            <v>0</v>
          </cell>
          <cell r="AC584">
            <v>0</v>
          </cell>
        </row>
        <row r="585">
          <cell r="D585" t="str">
            <v>3248</v>
          </cell>
          <cell r="E585" t="str">
            <v>Cessions hors prix de revient, Matières et fournitures consommables diverses</v>
          </cell>
          <cell r="F585">
            <v>0</v>
          </cell>
          <cell r="L585">
            <v>0</v>
          </cell>
          <cell r="P585">
            <v>0</v>
          </cell>
          <cell r="AC585">
            <v>0</v>
          </cell>
        </row>
        <row r="586">
          <cell r="D586" t="str">
            <v>3251</v>
          </cell>
          <cell r="E586" t="str">
            <v>Cessions hors prix de revient, Courroies transporteuses</v>
          </cell>
          <cell r="F586">
            <v>0</v>
          </cell>
          <cell r="L586">
            <v>0</v>
          </cell>
          <cell r="P586">
            <v>0</v>
          </cell>
          <cell r="AC586">
            <v>0</v>
          </cell>
        </row>
        <row r="587">
          <cell r="D587" t="str">
            <v>3253</v>
          </cell>
          <cell r="E587" t="str">
            <v>Cessions hors prix de revient, Rouleaux de convoyeurs</v>
          </cell>
          <cell r="F587">
            <v>0</v>
          </cell>
          <cell r="L587">
            <v>0</v>
          </cell>
          <cell r="P587">
            <v>0</v>
          </cell>
          <cell r="AC587">
            <v>0</v>
          </cell>
        </row>
        <row r="588">
          <cell r="D588" t="str">
            <v>3254</v>
          </cell>
          <cell r="E588" t="str">
            <v>Cessions hors prix de revient, Lames d'usure de bulls et niveleuses</v>
          </cell>
          <cell r="F588">
            <v>0</v>
          </cell>
          <cell r="L588">
            <v>0</v>
          </cell>
          <cell r="P588">
            <v>0</v>
          </cell>
          <cell r="AC588">
            <v>0</v>
          </cell>
        </row>
        <row r="589">
          <cell r="D589" t="str">
            <v>3255</v>
          </cell>
          <cell r="E589" t="str">
            <v>Cessions hors prix de revient, Tiges, drill - collar</v>
          </cell>
          <cell r="F589">
            <v>0</v>
          </cell>
          <cell r="L589">
            <v>0</v>
          </cell>
          <cell r="P589">
            <v>0</v>
          </cell>
          <cell r="AC589">
            <v>0</v>
          </cell>
        </row>
        <row r="590">
          <cell r="D590" t="str">
            <v>3256</v>
          </cell>
          <cell r="E590" t="str">
            <v>Cessions hors prix de revient, Tricones de sondeuses</v>
          </cell>
          <cell r="F590">
            <v>0</v>
          </cell>
          <cell r="L590">
            <v>0</v>
          </cell>
          <cell r="P590">
            <v>0</v>
          </cell>
          <cell r="AC590">
            <v>0</v>
          </cell>
        </row>
        <row r="591">
          <cell r="D591" t="str">
            <v>3259</v>
          </cell>
          <cell r="E591" t="str">
            <v>Cessions hors prix de revient, Câbles électriques</v>
          </cell>
          <cell r="F591">
            <v>0</v>
          </cell>
          <cell r="L591">
            <v>0</v>
          </cell>
          <cell r="P591">
            <v>0</v>
          </cell>
          <cell r="AC591">
            <v>0</v>
          </cell>
        </row>
        <row r="592">
          <cell r="D592" t="str">
            <v>3261</v>
          </cell>
          <cell r="E592" t="str">
            <v>Cessions hors prix de revient, Pneumatiques pour engins lourds</v>
          </cell>
          <cell r="F592">
            <v>0</v>
          </cell>
          <cell r="L592">
            <v>0</v>
          </cell>
          <cell r="P592">
            <v>0</v>
          </cell>
          <cell r="AC592">
            <v>0</v>
          </cell>
        </row>
        <row r="593">
          <cell r="D593" t="str">
            <v>3262</v>
          </cell>
          <cell r="E593" t="str">
            <v>Cessions hors prix de revient, Pneumatiques pour voitures légères</v>
          </cell>
          <cell r="F593">
            <v>0</v>
          </cell>
          <cell r="L593">
            <v>0</v>
          </cell>
          <cell r="P593">
            <v>0</v>
          </cell>
          <cell r="AC593">
            <v>0</v>
          </cell>
        </row>
        <row r="594">
          <cell r="D594" t="str">
            <v>3263</v>
          </cell>
          <cell r="E594" t="str">
            <v>Cessions hors prix de revient, Pièces de rechange du matériel</v>
          </cell>
          <cell r="F594">
            <v>0</v>
          </cell>
          <cell r="L594">
            <v>0</v>
          </cell>
          <cell r="P594">
            <v>0</v>
          </cell>
          <cell r="AC594">
            <v>0</v>
          </cell>
        </row>
        <row r="595">
          <cell r="D595" t="str">
            <v>3264</v>
          </cell>
          <cell r="E595" t="str">
            <v>Cessions hors prix de revient, Pièces détachés automobiles</v>
          </cell>
          <cell r="F595">
            <v>0</v>
          </cell>
          <cell r="L595">
            <v>0</v>
          </cell>
          <cell r="P595">
            <v>0</v>
          </cell>
          <cell r="AC595">
            <v>0</v>
          </cell>
        </row>
        <row r="596">
          <cell r="D596" t="str">
            <v>3265</v>
          </cell>
          <cell r="E596" t="str">
            <v>Cessions hors prix de revient, Petit outillage</v>
          </cell>
          <cell r="F596">
            <v>0</v>
          </cell>
          <cell r="L596">
            <v>0</v>
          </cell>
          <cell r="P596">
            <v>0</v>
          </cell>
          <cell r="AC596">
            <v>0</v>
          </cell>
        </row>
        <row r="597">
          <cell r="D597" t="str">
            <v>3270</v>
          </cell>
          <cell r="E597" t="str">
            <v>Cessions hors prix de revient, Fournitures de bureau</v>
          </cell>
          <cell r="F597">
            <v>0</v>
          </cell>
          <cell r="L597">
            <v>0</v>
          </cell>
          <cell r="P597">
            <v>0</v>
          </cell>
          <cell r="AC597">
            <v>0</v>
          </cell>
        </row>
        <row r="598">
          <cell r="D598" t="str">
            <v>3330</v>
          </cell>
          <cell r="E598" t="str">
            <v>Cessions hors prix de revient, Emballages à usage mixte</v>
          </cell>
          <cell r="F598">
            <v>0</v>
          </cell>
          <cell r="L598">
            <v>0</v>
          </cell>
          <cell r="P598">
            <v>0</v>
          </cell>
          <cell r="AC598">
            <v>0</v>
          </cell>
        </row>
        <row r="599">
          <cell r="D599" t="str">
            <v>4011</v>
          </cell>
          <cell r="E599" t="str">
            <v>Achats produits TAF</v>
          </cell>
          <cell r="F599">
            <v>0</v>
          </cell>
          <cell r="L599">
            <v>0</v>
          </cell>
          <cell r="P599">
            <v>0</v>
          </cell>
          <cell r="AC599">
            <v>0</v>
          </cell>
        </row>
        <row r="600">
          <cell r="D600" t="str">
            <v>4012</v>
          </cell>
          <cell r="E600" t="str">
            <v>Rabais remises et ristournes obtenus sur achats produits TAF</v>
          </cell>
          <cell r="F600">
            <v>0</v>
          </cell>
          <cell r="L600">
            <v>0</v>
          </cell>
          <cell r="P600">
            <v>0</v>
          </cell>
          <cell r="AC600">
            <v>0</v>
          </cell>
        </row>
        <row r="601">
          <cell r="D601" t="str">
            <v>4100</v>
          </cell>
          <cell r="E601" t="str">
            <v>Consommation, Phosphate Y1</v>
          </cell>
          <cell r="F601">
            <v>0</v>
          </cell>
          <cell r="L601">
            <v>0</v>
          </cell>
          <cell r="P601">
            <v>0</v>
          </cell>
          <cell r="AC601">
            <v>0</v>
          </cell>
        </row>
        <row r="602">
          <cell r="D602" t="str">
            <v>4101</v>
          </cell>
          <cell r="E602" t="str">
            <v>Consommation, Phosphate Y12</v>
          </cell>
          <cell r="F602">
            <v>0</v>
          </cell>
          <cell r="L602">
            <v>0</v>
          </cell>
          <cell r="P602">
            <v>0</v>
          </cell>
          <cell r="AC602">
            <v>0</v>
          </cell>
        </row>
        <row r="603">
          <cell r="D603" t="str">
            <v>4102</v>
          </cell>
          <cell r="E603" t="str">
            <v>Consommation, Phosphate Y2</v>
          </cell>
          <cell r="F603">
            <v>0</v>
          </cell>
          <cell r="L603">
            <v>0</v>
          </cell>
          <cell r="P603">
            <v>0</v>
          </cell>
          <cell r="AC603">
            <v>0</v>
          </cell>
        </row>
        <row r="604">
          <cell r="D604" t="str">
            <v>4103</v>
          </cell>
          <cell r="E604" t="str">
            <v>Consommation, Phosphate Y21</v>
          </cell>
          <cell r="F604">
            <v>0</v>
          </cell>
          <cell r="L604">
            <v>0</v>
          </cell>
          <cell r="P604">
            <v>0</v>
          </cell>
          <cell r="AC604">
            <v>0</v>
          </cell>
        </row>
        <row r="605">
          <cell r="D605" t="str">
            <v>4104</v>
          </cell>
          <cell r="E605" t="str">
            <v>Consommation, Phosphate Y23</v>
          </cell>
          <cell r="F605">
            <v>0</v>
          </cell>
          <cell r="L605">
            <v>0</v>
          </cell>
          <cell r="P605">
            <v>0</v>
          </cell>
          <cell r="AC605">
            <v>0</v>
          </cell>
        </row>
        <row r="606">
          <cell r="D606" t="str">
            <v>4105</v>
          </cell>
          <cell r="E606" t="str">
            <v>Consommation, Phosphate noir séché YNS</v>
          </cell>
          <cell r="F606">
            <v>0</v>
          </cell>
          <cell r="L606">
            <v>0</v>
          </cell>
          <cell r="P606">
            <v>0</v>
          </cell>
          <cell r="AC606">
            <v>0</v>
          </cell>
        </row>
        <row r="607">
          <cell r="D607" t="str">
            <v>4120</v>
          </cell>
          <cell r="E607" t="str">
            <v>Consommation, Phosphate BG humide standard</v>
          </cell>
          <cell r="F607">
            <v>0</v>
          </cell>
          <cell r="L607">
            <v>0</v>
          </cell>
          <cell r="P607">
            <v>0</v>
          </cell>
          <cell r="AC607">
            <v>0</v>
          </cell>
        </row>
        <row r="608">
          <cell r="D608" t="str">
            <v>4121</v>
          </cell>
          <cell r="E608" t="str">
            <v>Consommation, Phosphate humide BG spécial</v>
          </cell>
          <cell r="F608">
            <v>0</v>
          </cell>
          <cell r="L608">
            <v>0</v>
          </cell>
          <cell r="P608">
            <v>0</v>
          </cell>
          <cell r="AC608">
            <v>0</v>
          </cell>
        </row>
        <row r="609">
          <cell r="D609" t="str">
            <v>4122</v>
          </cell>
          <cell r="E609" t="str">
            <v>Consommation, Phosphate C4 BG sec</v>
          </cell>
          <cell r="F609">
            <v>0</v>
          </cell>
          <cell r="L609">
            <v>0</v>
          </cell>
          <cell r="P609">
            <v>0</v>
          </cell>
          <cell r="AC609">
            <v>0</v>
          </cell>
        </row>
        <row r="610">
          <cell r="D610" t="str">
            <v>4123</v>
          </cell>
          <cell r="E610" t="str">
            <v>Consommation, Phosphate C4 BG humide criblé</v>
          </cell>
          <cell r="F610">
            <v>0</v>
          </cell>
          <cell r="L610">
            <v>0</v>
          </cell>
          <cell r="P610">
            <v>0</v>
          </cell>
          <cell r="AC610">
            <v>0</v>
          </cell>
        </row>
        <row r="611">
          <cell r="D611" t="str">
            <v>4134</v>
          </cell>
          <cell r="E611" t="str">
            <v>Consommation, Phosphate Khouribga K02</v>
          </cell>
          <cell r="F611">
            <v>0</v>
          </cell>
          <cell r="L611">
            <v>0</v>
          </cell>
          <cell r="P611">
            <v>0</v>
          </cell>
          <cell r="AC611">
            <v>0</v>
          </cell>
        </row>
        <row r="612">
          <cell r="D612" t="str">
            <v>4135</v>
          </cell>
          <cell r="E612" t="str">
            <v>Consommation, Phosphate Khouribga K09</v>
          </cell>
          <cell r="F612">
            <v>0</v>
          </cell>
          <cell r="L612">
            <v>0</v>
          </cell>
          <cell r="P612">
            <v>0</v>
          </cell>
          <cell r="AC612">
            <v>0</v>
          </cell>
        </row>
        <row r="613">
          <cell r="D613" t="str">
            <v>4136</v>
          </cell>
          <cell r="E613" t="str">
            <v>Consommation, Phosphate Khouribga K09 semi-séché</v>
          </cell>
          <cell r="F613">
            <v>0</v>
          </cell>
          <cell r="L613">
            <v>0</v>
          </cell>
          <cell r="P613">
            <v>0</v>
          </cell>
          <cell r="AC613">
            <v>0</v>
          </cell>
        </row>
        <row r="614">
          <cell r="D614" t="str">
            <v>4137</v>
          </cell>
          <cell r="E614" t="str">
            <v>Consommation, Phosphate Khouribga K10</v>
          </cell>
          <cell r="F614">
            <v>0</v>
          </cell>
          <cell r="L614">
            <v>0</v>
          </cell>
          <cell r="P614">
            <v>0</v>
          </cell>
          <cell r="AC614">
            <v>0</v>
          </cell>
        </row>
        <row r="615">
          <cell r="D615" t="str">
            <v>4138</v>
          </cell>
          <cell r="E615" t="str">
            <v>Consommation, Phosphate Khouribga K12 GP</v>
          </cell>
          <cell r="F615">
            <v>0</v>
          </cell>
          <cell r="L615">
            <v>0</v>
          </cell>
          <cell r="P615">
            <v>0</v>
          </cell>
          <cell r="AC615">
            <v>0</v>
          </cell>
        </row>
        <row r="616">
          <cell r="D616" t="str">
            <v>4139</v>
          </cell>
          <cell r="E616" t="str">
            <v>Consommation, Phosphate Khouribga K20 GP</v>
          </cell>
          <cell r="F616">
            <v>0</v>
          </cell>
          <cell r="L616">
            <v>0</v>
          </cell>
          <cell r="P616">
            <v>0</v>
          </cell>
          <cell r="AC616">
            <v>0</v>
          </cell>
        </row>
        <row r="617">
          <cell r="D617" t="str">
            <v>4160</v>
          </cell>
          <cell r="E617" t="str">
            <v>Consommation, Phosphate Boucraa 80% BPL</v>
          </cell>
          <cell r="F617">
            <v>0</v>
          </cell>
          <cell r="L617">
            <v>0</v>
          </cell>
          <cell r="P617">
            <v>0</v>
          </cell>
          <cell r="AC617">
            <v>0</v>
          </cell>
        </row>
        <row r="618">
          <cell r="D618" t="str">
            <v>4170</v>
          </cell>
          <cell r="E618" t="str">
            <v>Consommation, Soufre solide</v>
          </cell>
          <cell r="F618">
            <v>0</v>
          </cell>
          <cell r="L618">
            <v>0</v>
          </cell>
          <cell r="P618">
            <v>0</v>
          </cell>
          <cell r="AC618">
            <v>0</v>
          </cell>
        </row>
        <row r="619">
          <cell r="D619" t="str">
            <v>4171</v>
          </cell>
          <cell r="E619" t="str">
            <v>Consommation, Soufre liquide</v>
          </cell>
          <cell r="F619">
            <v>0</v>
          </cell>
          <cell r="L619">
            <v>0</v>
          </cell>
          <cell r="P619">
            <v>0</v>
          </cell>
          <cell r="AC619">
            <v>0</v>
          </cell>
        </row>
        <row r="620">
          <cell r="D620" t="str">
            <v>4172</v>
          </cell>
          <cell r="E620" t="str">
            <v>Consommation, KCl</v>
          </cell>
          <cell r="F620">
            <v>0</v>
          </cell>
          <cell r="L620">
            <v>0</v>
          </cell>
          <cell r="P620">
            <v>0</v>
          </cell>
          <cell r="AC620">
            <v>0</v>
          </cell>
        </row>
        <row r="621">
          <cell r="D621" t="str">
            <v>4173</v>
          </cell>
          <cell r="E621" t="str">
            <v>Consommation, Ammoniac import</v>
          </cell>
          <cell r="F621">
            <v>0</v>
          </cell>
          <cell r="L621">
            <v>0</v>
          </cell>
          <cell r="P621">
            <v>0</v>
          </cell>
          <cell r="AC621">
            <v>0</v>
          </cell>
        </row>
        <row r="622">
          <cell r="D622" t="str">
            <v>4174</v>
          </cell>
          <cell r="E622" t="str">
            <v>Consommation, Acide sulfurique import</v>
          </cell>
          <cell r="F622">
            <v>0</v>
          </cell>
          <cell r="L622">
            <v>0</v>
          </cell>
          <cell r="P622">
            <v>0</v>
          </cell>
          <cell r="AC622">
            <v>0</v>
          </cell>
        </row>
        <row r="623">
          <cell r="D623" t="str">
            <v>4220</v>
          </cell>
          <cell r="E623" t="str">
            <v>Consommation, Matières auxiliaires</v>
          </cell>
          <cell r="F623">
            <v>0</v>
          </cell>
          <cell r="L623">
            <v>0</v>
          </cell>
          <cell r="P623">
            <v>0</v>
          </cell>
          <cell r="AC623">
            <v>0</v>
          </cell>
        </row>
        <row r="624">
          <cell r="D624" t="str">
            <v>4231</v>
          </cell>
          <cell r="E624" t="str">
            <v>Consommation, Mazout de chauffe</v>
          </cell>
          <cell r="F624">
            <v>0</v>
          </cell>
          <cell r="L624">
            <v>0</v>
          </cell>
          <cell r="P624">
            <v>0</v>
          </cell>
          <cell r="AC624">
            <v>0</v>
          </cell>
        </row>
        <row r="625">
          <cell r="D625" t="str">
            <v>4236</v>
          </cell>
          <cell r="E625" t="str">
            <v>Consommation, Coke de pétrole</v>
          </cell>
          <cell r="F625">
            <v>0</v>
          </cell>
          <cell r="L625">
            <v>0</v>
          </cell>
          <cell r="P625">
            <v>0</v>
          </cell>
          <cell r="AC625">
            <v>0</v>
          </cell>
        </row>
        <row r="626">
          <cell r="D626" t="str">
            <v>4242</v>
          </cell>
          <cell r="E626" t="str">
            <v>Consommation, Produits de laboratoires</v>
          </cell>
          <cell r="F626">
            <v>0</v>
          </cell>
          <cell r="L626">
            <v>0</v>
          </cell>
          <cell r="P626">
            <v>0</v>
          </cell>
          <cell r="AC626">
            <v>0</v>
          </cell>
        </row>
        <row r="627">
          <cell r="D627" t="str">
            <v>4330</v>
          </cell>
          <cell r="E627" t="str">
            <v>Consommation, Emballages à usage mixte</v>
          </cell>
          <cell r="F627">
            <v>0</v>
          </cell>
          <cell r="L627">
            <v>0</v>
          </cell>
          <cell r="P627">
            <v>0</v>
          </cell>
          <cell r="AC627">
            <v>0</v>
          </cell>
        </row>
        <row r="628">
          <cell r="D628" t="str">
            <v>4512</v>
          </cell>
          <cell r="E628" t="str">
            <v>Fournitures non stockables - eau -</v>
          </cell>
          <cell r="F628">
            <v>0</v>
          </cell>
          <cell r="L628">
            <v>0</v>
          </cell>
          <cell r="P628">
            <v>0</v>
          </cell>
          <cell r="AC628">
            <v>0</v>
          </cell>
        </row>
        <row r="629">
          <cell r="D629" t="str">
            <v>4515</v>
          </cell>
          <cell r="E629" t="str">
            <v>Fournitures non stockables - gaz de chauffe-</v>
          </cell>
          <cell r="F629">
            <v>0</v>
          </cell>
          <cell r="L629">
            <v>0</v>
          </cell>
          <cell r="P629">
            <v>0</v>
          </cell>
          <cell r="AC629">
            <v>0</v>
          </cell>
        </row>
        <row r="630">
          <cell r="D630" t="str">
            <v>4610</v>
          </cell>
          <cell r="E630" t="str">
            <v>Travaux topographiques</v>
          </cell>
          <cell r="F630">
            <v>0</v>
          </cell>
          <cell r="L630">
            <v>0</v>
          </cell>
          <cell r="P630">
            <v>0</v>
          </cell>
          <cell r="AC630">
            <v>0</v>
          </cell>
        </row>
        <row r="631">
          <cell r="D631" t="str">
            <v>4620</v>
          </cell>
          <cell r="E631" t="str">
            <v>Etudes</v>
          </cell>
          <cell r="F631">
            <v>0</v>
          </cell>
          <cell r="L631">
            <v>0</v>
          </cell>
          <cell r="P631">
            <v>0</v>
          </cell>
          <cell r="AC631">
            <v>0</v>
          </cell>
        </row>
        <row r="632">
          <cell r="D632" t="str">
            <v>4630</v>
          </cell>
          <cell r="E632" t="str">
            <v>Prestations de service</v>
          </cell>
          <cell r="F632">
            <v>0</v>
          </cell>
          <cell r="L632">
            <v>0</v>
          </cell>
          <cell r="P632">
            <v>0</v>
          </cell>
          <cell r="AC632">
            <v>0</v>
          </cell>
        </row>
        <row r="633">
          <cell r="D633" t="str">
            <v>4750</v>
          </cell>
          <cell r="E633" t="str">
            <v>Acide prétraité</v>
          </cell>
          <cell r="F633">
            <v>0</v>
          </cell>
          <cell r="L633">
            <v>0</v>
          </cell>
          <cell r="P633">
            <v>0</v>
          </cell>
          <cell r="AC633">
            <v>0</v>
          </cell>
        </row>
        <row r="634">
          <cell r="D634" t="str">
            <v>4760</v>
          </cell>
          <cell r="E634" t="str">
            <v>Acide de retour</v>
          </cell>
          <cell r="F634">
            <v>0</v>
          </cell>
          <cell r="L634">
            <v>0</v>
          </cell>
          <cell r="P634">
            <v>0</v>
          </cell>
          <cell r="AC634">
            <v>0</v>
          </cell>
        </row>
        <row r="635">
          <cell r="D635" t="str">
            <v>4920</v>
          </cell>
          <cell r="E635" t="str">
            <v>R.R.R.O sur achats de soufre</v>
          </cell>
          <cell r="F635">
            <v>0</v>
          </cell>
          <cell r="L635">
            <v>0</v>
          </cell>
          <cell r="P635">
            <v>0</v>
          </cell>
          <cell r="AC635">
            <v>0</v>
          </cell>
        </row>
        <row r="636">
          <cell r="D636" t="str">
            <v>4922</v>
          </cell>
          <cell r="E636" t="str">
            <v>R.R.R.O sur achats de KCL</v>
          </cell>
          <cell r="F636">
            <v>0</v>
          </cell>
          <cell r="L636">
            <v>0</v>
          </cell>
          <cell r="P636">
            <v>0</v>
          </cell>
          <cell r="AC636">
            <v>0</v>
          </cell>
        </row>
        <row r="637">
          <cell r="D637" t="str">
            <v>4923</v>
          </cell>
          <cell r="E637" t="str">
            <v>R.R.R.O sur achats d'ammoniac</v>
          </cell>
          <cell r="F637">
            <v>0</v>
          </cell>
          <cell r="L637">
            <v>0</v>
          </cell>
          <cell r="P637">
            <v>0</v>
          </cell>
          <cell r="AC637">
            <v>0</v>
          </cell>
        </row>
        <row r="638">
          <cell r="D638" t="str">
            <v>4948</v>
          </cell>
          <cell r="E638" t="str">
            <v>R.R.R.O sur achats de matières et fournitures consonsommables</v>
          </cell>
          <cell r="F638">
            <v>0</v>
          </cell>
          <cell r="L638">
            <v>0</v>
          </cell>
          <cell r="P638">
            <v>0</v>
          </cell>
          <cell r="AC638">
            <v>0</v>
          </cell>
        </row>
        <row r="639">
          <cell r="D639" t="str">
            <v>4970</v>
          </cell>
          <cell r="E639" t="str">
            <v>R.R.R.O sur achats d'emballages</v>
          </cell>
          <cell r="F639">
            <v>0</v>
          </cell>
          <cell r="L639">
            <v>0</v>
          </cell>
          <cell r="P639">
            <v>0</v>
          </cell>
          <cell r="AC639">
            <v>0</v>
          </cell>
        </row>
        <row r="640">
          <cell r="D640" t="str">
            <v>4996</v>
          </cell>
          <cell r="E640" t="str">
            <v>R.R.R.O sur achats de travaux, études et prestations de service</v>
          </cell>
          <cell r="F640">
            <v>0</v>
          </cell>
          <cell r="L640">
            <v>0</v>
          </cell>
          <cell r="P640">
            <v>0</v>
          </cell>
          <cell r="AC640">
            <v>0</v>
          </cell>
        </row>
        <row r="641">
          <cell r="D641" t="str">
            <v>5335</v>
          </cell>
          <cell r="E641" t="str">
            <v>Maintenance contrat annuel</v>
          </cell>
          <cell r="F641">
            <v>0</v>
          </cell>
          <cell r="L641">
            <v>0</v>
          </cell>
          <cell r="P641">
            <v>0</v>
          </cell>
          <cell r="AC641">
            <v>0</v>
          </cell>
        </row>
        <row r="642">
          <cell r="D642" t="str">
            <v>5341</v>
          </cell>
          <cell r="E642" t="str">
            <v>Assurances multirisques</v>
          </cell>
          <cell r="F642">
            <v>0</v>
          </cell>
          <cell r="L642">
            <v>0</v>
          </cell>
          <cell r="P642">
            <v>0</v>
          </cell>
          <cell r="AC642">
            <v>0</v>
          </cell>
        </row>
        <row r="643">
          <cell r="D643" t="str">
            <v>5350</v>
          </cell>
          <cell r="E643" t="str">
            <v>Rémunérations des agents makhzen mobile</v>
          </cell>
          <cell r="F643">
            <v>0</v>
          </cell>
          <cell r="L643">
            <v>0</v>
          </cell>
          <cell r="P643">
            <v>0</v>
          </cell>
          <cell r="AC643">
            <v>0</v>
          </cell>
        </row>
        <row r="644">
          <cell r="D644" t="str">
            <v>5351</v>
          </cell>
          <cell r="E644" t="str">
            <v>Rémunérations du personnel occasionnel</v>
          </cell>
          <cell r="F644">
            <v>0</v>
          </cell>
          <cell r="L644">
            <v>0</v>
          </cell>
          <cell r="P644">
            <v>0</v>
          </cell>
          <cell r="AC644">
            <v>0</v>
          </cell>
        </row>
        <row r="645">
          <cell r="D645" t="str">
            <v>5352</v>
          </cell>
          <cell r="E645" t="str">
            <v>Rémunérations du personnel intérimaire</v>
          </cell>
          <cell r="F645">
            <v>0</v>
          </cell>
          <cell r="L645">
            <v>0</v>
          </cell>
          <cell r="P645">
            <v>0</v>
          </cell>
          <cell r="AC645">
            <v>0</v>
          </cell>
        </row>
        <row r="646">
          <cell r="D646" t="str">
            <v>5353</v>
          </cell>
          <cell r="E646" t="str">
            <v>Rémunerations du personnel dettaché</v>
          </cell>
          <cell r="F646">
            <v>0</v>
          </cell>
          <cell r="L646">
            <v>0</v>
          </cell>
          <cell r="P646">
            <v>0</v>
          </cell>
          <cell r="AC646">
            <v>0</v>
          </cell>
        </row>
        <row r="647">
          <cell r="D647" t="str">
            <v>5361</v>
          </cell>
          <cell r="E647" t="str">
            <v>Commissions et courtages sur achats</v>
          </cell>
          <cell r="F647">
            <v>0</v>
          </cell>
          <cell r="L647">
            <v>0</v>
          </cell>
          <cell r="P647">
            <v>0</v>
          </cell>
          <cell r="AC647">
            <v>0</v>
          </cell>
        </row>
        <row r="648">
          <cell r="D648" t="str">
            <v>5362</v>
          </cell>
          <cell r="E648" t="str">
            <v>Commissions et courtages sur ventes</v>
          </cell>
          <cell r="F648">
            <v>0</v>
          </cell>
          <cell r="L648">
            <v>0</v>
          </cell>
          <cell r="P648">
            <v>0</v>
          </cell>
          <cell r="AC648">
            <v>0</v>
          </cell>
        </row>
        <row r="649">
          <cell r="D649" t="str">
            <v>5366</v>
          </cell>
          <cell r="E649" t="str">
            <v>Débours et intermédiaires</v>
          </cell>
          <cell r="F649">
            <v>0</v>
          </cell>
          <cell r="L649">
            <v>0</v>
          </cell>
          <cell r="P649">
            <v>0</v>
          </cell>
          <cell r="AC649">
            <v>0</v>
          </cell>
        </row>
        <row r="650">
          <cell r="D650" t="str">
            <v>5367</v>
          </cell>
          <cell r="E650" t="str">
            <v>Frais d'actes et de contentieux</v>
          </cell>
          <cell r="F650">
            <v>0</v>
          </cell>
          <cell r="L650">
            <v>0</v>
          </cell>
          <cell r="P650">
            <v>0</v>
          </cell>
          <cell r="AC650">
            <v>0</v>
          </cell>
        </row>
        <row r="651">
          <cell r="D651" t="str">
            <v>5378</v>
          </cell>
          <cell r="E651" t="str">
            <v>Autres redevances</v>
          </cell>
          <cell r="F651">
            <v>0</v>
          </cell>
          <cell r="L651">
            <v>0</v>
          </cell>
          <cell r="P651">
            <v>0</v>
          </cell>
          <cell r="AC651">
            <v>0</v>
          </cell>
        </row>
        <row r="652">
          <cell r="D652" t="str">
            <v>5393</v>
          </cell>
          <cell r="E652" t="str">
            <v>Charges externes de façonnage GP</v>
          </cell>
          <cell r="F652">
            <v>0</v>
          </cell>
          <cell r="L652">
            <v>0</v>
          </cell>
          <cell r="P652">
            <v>0</v>
          </cell>
          <cell r="AC652">
            <v>0</v>
          </cell>
        </row>
        <row r="653">
          <cell r="D653" t="str">
            <v>5413</v>
          </cell>
          <cell r="E653" t="str">
            <v>Recherches</v>
          </cell>
          <cell r="F653">
            <v>0</v>
          </cell>
          <cell r="L653">
            <v>0</v>
          </cell>
          <cell r="P653">
            <v>0</v>
          </cell>
          <cell r="AC653">
            <v>0</v>
          </cell>
        </row>
        <row r="654">
          <cell r="D654" t="str">
            <v>5610</v>
          </cell>
          <cell r="E654" t="str">
            <v>Transports phosphates ONCF, Axe Khouribga-Jorf Lasfar</v>
          </cell>
          <cell r="F654">
            <v>0</v>
          </cell>
          <cell r="L654">
            <v>0</v>
          </cell>
          <cell r="P654">
            <v>0</v>
          </cell>
          <cell r="AC654">
            <v>0</v>
          </cell>
        </row>
        <row r="655">
          <cell r="D655" t="str">
            <v>5611</v>
          </cell>
          <cell r="E655" t="str">
            <v>Transports phosphates ONCF, Axe Bni idir-Jorf Lasfar</v>
          </cell>
          <cell r="F655">
            <v>0</v>
          </cell>
          <cell r="L655">
            <v>0</v>
          </cell>
          <cell r="P655">
            <v>0</v>
          </cell>
          <cell r="AC655">
            <v>0</v>
          </cell>
        </row>
        <row r="656">
          <cell r="D656" t="str">
            <v>5612</v>
          </cell>
          <cell r="E656" t="str">
            <v>Transports phosphates ONCF, Axe Daoui-Jorf lasfar</v>
          </cell>
          <cell r="F656">
            <v>0</v>
          </cell>
          <cell r="L656">
            <v>0</v>
          </cell>
          <cell r="P656">
            <v>0</v>
          </cell>
          <cell r="AC656">
            <v>0</v>
          </cell>
        </row>
        <row r="657">
          <cell r="D657" t="str">
            <v>5613</v>
          </cell>
          <cell r="E657" t="str">
            <v>Transports phosphates ONCF, Axe Benguerir-Safi</v>
          </cell>
          <cell r="F657">
            <v>0</v>
          </cell>
          <cell r="L657">
            <v>0</v>
          </cell>
          <cell r="P657">
            <v>0</v>
          </cell>
          <cell r="AC657">
            <v>0</v>
          </cell>
        </row>
        <row r="658">
          <cell r="D658" t="str">
            <v>5614</v>
          </cell>
          <cell r="E658" t="str">
            <v>Transports phosphates ONCF, Axe Benguerir-Jorf Lasfar</v>
          </cell>
          <cell r="F658">
            <v>0</v>
          </cell>
          <cell r="L658">
            <v>0</v>
          </cell>
          <cell r="P658">
            <v>0</v>
          </cell>
          <cell r="AC658">
            <v>0</v>
          </cell>
        </row>
        <row r="659">
          <cell r="D659" t="str">
            <v>5615</v>
          </cell>
          <cell r="E659" t="str">
            <v>Transports phosphates ONCF, Axe Benguerir-Casa</v>
          </cell>
          <cell r="F659">
            <v>0</v>
          </cell>
          <cell r="L659">
            <v>0</v>
          </cell>
          <cell r="P659">
            <v>0</v>
          </cell>
          <cell r="AC659">
            <v>0</v>
          </cell>
        </row>
        <row r="660">
          <cell r="D660" t="str">
            <v>5616</v>
          </cell>
          <cell r="E660" t="str">
            <v>Transports phosphates ONCF, Axe Youssoufia-Safi</v>
          </cell>
          <cell r="F660">
            <v>0</v>
          </cell>
          <cell r="L660">
            <v>0</v>
          </cell>
          <cell r="P660">
            <v>0</v>
          </cell>
          <cell r="AC660">
            <v>0</v>
          </cell>
        </row>
        <row r="661">
          <cell r="D661" t="str">
            <v>5617</v>
          </cell>
          <cell r="E661" t="str">
            <v>Transports phosphates ONCF, Axe Youssoufia-Casa</v>
          </cell>
          <cell r="F661">
            <v>0</v>
          </cell>
          <cell r="L661">
            <v>0</v>
          </cell>
          <cell r="P661">
            <v>0</v>
          </cell>
          <cell r="AC661">
            <v>0</v>
          </cell>
        </row>
        <row r="662">
          <cell r="D662" t="str">
            <v>5618</v>
          </cell>
          <cell r="E662" t="str">
            <v>Transports phosphates ONCF, Axe Youssoufia-Jorf lasfar</v>
          </cell>
          <cell r="F662">
            <v>0</v>
          </cell>
          <cell r="L662">
            <v>0</v>
          </cell>
          <cell r="P662">
            <v>0</v>
          </cell>
          <cell r="AC662">
            <v>0</v>
          </cell>
        </row>
        <row r="663">
          <cell r="D663" t="str">
            <v>5619</v>
          </cell>
          <cell r="E663" t="str">
            <v>Transports phosphates ONCF, Axe Khouribga-Casa</v>
          </cell>
          <cell r="F663">
            <v>0</v>
          </cell>
          <cell r="L663">
            <v>0</v>
          </cell>
          <cell r="P663">
            <v>0</v>
          </cell>
          <cell r="AC663">
            <v>0</v>
          </cell>
        </row>
        <row r="664">
          <cell r="D664" t="str">
            <v>5620</v>
          </cell>
          <cell r="E664" t="str">
            <v>Transports phosphates ONCF, Axe Daoui-Casa</v>
          </cell>
          <cell r="F664">
            <v>0</v>
          </cell>
          <cell r="L664">
            <v>0</v>
          </cell>
          <cell r="P664">
            <v>0</v>
          </cell>
          <cell r="AC664">
            <v>0</v>
          </cell>
        </row>
        <row r="665">
          <cell r="D665" t="str">
            <v>5621</v>
          </cell>
          <cell r="E665" t="str">
            <v>Transports phosphates ONCF, Axe Bni idir-Casa</v>
          </cell>
          <cell r="F665">
            <v>0</v>
          </cell>
          <cell r="L665">
            <v>0</v>
          </cell>
          <cell r="P665">
            <v>0</v>
          </cell>
          <cell r="AC665">
            <v>0</v>
          </cell>
        </row>
        <row r="666">
          <cell r="D666" t="str">
            <v>5622</v>
          </cell>
          <cell r="E666" t="str">
            <v>Transports phosphates ONCF, Axe Benguérir-Youssoufia</v>
          </cell>
          <cell r="F666">
            <v>0</v>
          </cell>
          <cell r="L666">
            <v>0</v>
          </cell>
          <cell r="P666">
            <v>0</v>
          </cell>
          <cell r="AC666">
            <v>0</v>
          </cell>
        </row>
        <row r="667">
          <cell r="D667" t="str">
            <v>5623</v>
          </cell>
          <cell r="E667" t="str">
            <v>Brouettage ONCF, TSP-Export</v>
          </cell>
          <cell r="F667">
            <v>0</v>
          </cell>
          <cell r="L667">
            <v>0</v>
          </cell>
          <cell r="P667">
            <v>0</v>
          </cell>
          <cell r="AC667">
            <v>0</v>
          </cell>
        </row>
        <row r="668">
          <cell r="D668" t="str">
            <v>5630</v>
          </cell>
          <cell r="E668" t="str">
            <v>Brouettage ONCF, P205-Export</v>
          </cell>
          <cell r="F668">
            <v>0</v>
          </cell>
          <cell r="L668">
            <v>0</v>
          </cell>
          <cell r="P668">
            <v>0</v>
          </cell>
          <cell r="AC668">
            <v>0</v>
          </cell>
        </row>
        <row r="669">
          <cell r="D669" t="str">
            <v>5640</v>
          </cell>
          <cell r="E669" t="str">
            <v>Brouettage ONCF, MAP-Export</v>
          </cell>
          <cell r="F669">
            <v>0</v>
          </cell>
          <cell r="L669">
            <v>0</v>
          </cell>
          <cell r="P669">
            <v>0</v>
          </cell>
          <cell r="AC669">
            <v>0</v>
          </cell>
        </row>
        <row r="670">
          <cell r="D670" t="str">
            <v>5641</v>
          </cell>
          <cell r="E670" t="str">
            <v>Brouittage ONCF-DAP-Export</v>
          </cell>
          <cell r="F670">
            <v>0</v>
          </cell>
          <cell r="L670">
            <v>0</v>
          </cell>
          <cell r="P670">
            <v>0</v>
          </cell>
          <cell r="AC670">
            <v>0</v>
          </cell>
        </row>
        <row r="671">
          <cell r="D671" t="str">
            <v>5650</v>
          </cell>
          <cell r="E671" t="str">
            <v>Transport terrestre sur ventes</v>
          </cell>
          <cell r="F671">
            <v>0</v>
          </cell>
          <cell r="L671">
            <v>0</v>
          </cell>
          <cell r="P671">
            <v>0</v>
          </cell>
          <cell r="AC671">
            <v>0</v>
          </cell>
        </row>
        <row r="672">
          <cell r="D672" t="str">
            <v>5651</v>
          </cell>
          <cell r="E672" t="str">
            <v>Transports maritimes sur ventes</v>
          </cell>
          <cell r="F672">
            <v>0</v>
          </cell>
          <cell r="L672">
            <v>0</v>
          </cell>
          <cell r="P672">
            <v>0</v>
          </cell>
          <cell r="AC672">
            <v>0</v>
          </cell>
        </row>
        <row r="673">
          <cell r="D673" t="str">
            <v>5658</v>
          </cell>
          <cell r="E673" t="str">
            <v>Transport phosphates par cammion</v>
          </cell>
          <cell r="F673">
            <v>0</v>
          </cell>
          <cell r="L673">
            <v>0</v>
          </cell>
          <cell r="P673">
            <v>0</v>
          </cell>
          <cell r="AC673">
            <v>0</v>
          </cell>
        </row>
        <row r="674">
          <cell r="D674" t="str">
            <v>5659</v>
          </cell>
          <cell r="E674" t="str">
            <v>Transport colonnie de vacances</v>
          </cell>
          <cell r="F674">
            <v>0</v>
          </cell>
          <cell r="L674">
            <v>0</v>
          </cell>
          <cell r="P674">
            <v>0</v>
          </cell>
          <cell r="AC674">
            <v>0</v>
          </cell>
        </row>
        <row r="675">
          <cell r="D675" t="str">
            <v>5673</v>
          </cell>
          <cell r="E675" t="str">
            <v>Transport excursion et déplacemt activités sociales et sportives</v>
          </cell>
          <cell r="F675">
            <v>0</v>
          </cell>
          <cell r="L675">
            <v>0</v>
          </cell>
          <cell r="P675">
            <v>0</v>
          </cell>
          <cell r="AC675">
            <v>0</v>
          </cell>
        </row>
        <row r="676">
          <cell r="D676" t="str">
            <v>5733</v>
          </cell>
          <cell r="E676" t="str">
            <v>Frais de demenagement du personnel</v>
          </cell>
          <cell r="F676">
            <v>0</v>
          </cell>
          <cell r="L676">
            <v>0</v>
          </cell>
          <cell r="P676">
            <v>0</v>
          </cell>
          <cell r="AC676">
            <v>0</v>
          </cell>
        </row>
        <row r="677">
          <cell r="D677" t="str">
            <v>5741</v>
          </cell>
          <cell r="E677" t="str">
            <v>Annonces et insertions</v>
          </cell>
          <cell r="F677">
            <v>0</v>
          </cell>
          <cell r="L677">
            <v>0</v>
          </cell>
          <cell r="P677">
            <v>0</v>
          </cell>
          <cell r="AC677">
            <v>0</v>
          </cell>
        </row>
        <row r="678">
          <cell r="D678" t="str">
            <v>5742</v>
          </cell>
          <cell r="E678" t="str">
            <v>Echantillons,catalogues et imprimes publicitaires</v>
          </cell>
          <cell r="F678">
            <v>0</v>
          </cell>
          <cell r="L678">
            <v>0</v>
          </cell>
          <cell r="P678">
            <v>0</v>
          </cell>
          <cell r="AC678">
            <v>0</v>
          </cell>
        </row>
        <row r="679">
          <cell r="D679" t="str">
            <v>5743</v>
          </cell>
          <cell r="E679" t="str">
            <v>Foires et expositions</v>
          </cell>
          <cell r="F679">
            <v>0</v>
          </cell>
          <cell r="L679">
            <v>0</v>
          </cell>
          <cell r="P679">
            <v>0</v>
          </cell>
          <cell r="AC679">
            <v>0</v>
          </cell>
        </row>
        <row r="680">
          <cell r="D680" t="str">
            <v>5744</v>
          </cell>
          <cell r="E680" t="str">
            <v>Primes de publicite</v>
          </cell>
          <cell r="F680">
            <v>0</v>
          </cell>
          <cell r="L680">
            <v>0</v>
          </cell>
          <cell r="P680">
            <v>0</v>
          </cell>
          <cell r="AC680">
            <v>0</v>
          </cell>
        </row>
        <row r="681">
          <cell r="D681" t="str">
            <v>5746</v>
          </cell>
          <cell r="E681" t="str">
            <v>Publications</v>
          </cell>
          <cell r="F681">
            <v>0</v>
          </cell>
          <cell r="L681">
            <v>0</v>
          </cell>
          <cell r="P681">
            <v>0</v>
          </cell>
          <cell r="AC681">
            <v>0</v>
          </cell>
        </row>
        <row r="682">
          <cell r="D682" t="str">
            <v>5748</v>
          </cell>
          <cell r="E682" t="str">
            <v>Autres charges de publicite et relations publiques</v>
          </cell>
          <cell r="F682">
            <v>0</v>
          </cell>
          <cell r="L682">
            <v>0</v>
          </cell>
          <cell r="P682">
            <v>0</v>
          </cell>
          <cell r="AC682">
            <v>0</v>
          </cell>
        </row>
        <row r="683">
          <cell r="D683" t="str">
            <v>5751</v>
          </cell>
          <cell r="E683" t="str">
            <v>Affranchissements</v>
          </cell>
          <cell r="F683">
            <v>0</v>
          </cell>
          <cell r="L683">
            <v>0</v>
          </cell>
          <cell r="P683">
            <v>0</v>
          </cell>
          <cell r="AC683">
            <v>0</v>
          </cell>
        </row>
        <row r="684">
          <cell r="D684" t="str">
            <v>5756</v>
          </cell>
          <cell r="E684" t="str">
            <v>Telex et telegrammes</v>
          </cell>
          <cell r="F684">
            <v>0</v>
          </cell>
          <cell r="L684">
            <v>0</v>
          </cell>
          <cell r="P684">
            <v>0</v>
          </cell>
          <cell r="AC684">
            <v>0</v>
          </cell>
        </row>
        <row r="685">
          <cell r="D685" t="str">
            <v>5757</v>
          </cell>
          <cell r="E685" t="str">
            <v>Abonnement internet</v>
          </cell>
          <cell r="F685">
            <v>0</v>
          </cell>
          <cell r="L685">
            <v>0</v>
          </cell>
          <cell r="P685">
            <v>0</v>
          </cell>
          <cell r="AC685">
            <v>0</v>
          </cell>
        </row>
        <row r="686">
          <cell r="D686" t="str">
            <v>5761</v>
          </cell>
          <cell r="E686" t="str">
            <v>Cotisations</v>
          </cell>
          <cell r="F686">
            <v>0</v>
          </cell>
          <cell r="L686">
            <v>0</v>
          </cell>
          <cell r="P686">
            <v>0</v>
          </cell>
          <cell r="AC686">
            <v>0</v>
          </cell>
        </row>
        <row r="687">
          <cell r="D687" t="str">
            <v>5762</v>
          </cell>
          <cell r="E687" t="str">
            <v>Dons</v>
          </cell>
          <cell r="F687">
            <v>0</v>
          </cell>
          <cell r="L687">
            <v>0</v>
          </cell>
          <cell r="P687">
            <v>0</v>
          </cell>
          <cell r="AC687">
            <v>0</v>
          </cell>
        </row>
        <row r="688">
          <cell r="D688" t="str">
            <v>5771</v>
          </cell>
          <cell r="E688" t="str">
            <v>Frais d'achat et de vente de titres</v>
          </cell>
          <cell r="F688">
            <v>0</v>
          </cell>
          <cell r="L688">
            <v>0</v>
          </cell>
          <cell r="P688">
            <v>0</v>
          </cell>
          <cell r="AC688">
            <v>0</v>
          </cell>
        </row>
        <row r="689">
          <cell r="D689" t="str">
            <v>5772</v>
          </cell>
          <cell r="E689" t="str">
            <v>Frais sur effets de commerce</v>
          </cell>
          <cell r="F689">
            <v>0</v>
          </cell>
          <cell r="L689">
            <v>0</v>
          </cell>
          <cell r="P689">
            <v>0</v>
          </cell>
          <cell r="AC689">
            <v>0</v>
          </cell>
        </row>
        <row r="690">
          <cell r="D690" t="str">
            <v>5773</v>
          </cell>
          <cell r="E690" t="str">
            <v>Frais et commissions sur CREDOC</v>
          </cell>
          <cell r="F690">
            <v>0</v>
          </cell>
          <cell r="L690">
            <v>0</v>
          </cell>
          <cell r="P690">
            <v>0</v>
          </cell>
          <cell r="AC690">
            <v>0</v>
          </cell>
        </row>
        <row r="691">
          <cell r="D691" t="str">
            <v>5774</v>
          </cell>
          <cell r="E691" t="str">
            <v>Frais et commissions sur REMDOC</v>
          </cell>
          <cell r="F691">
            <v>0</v>
          </cell>
          <cell r="L691">
            <v>0</v>
          </cell>
          <cell r="P691">
            <v>0</v>
          </cell>
          <cell r="AC691">
            <v>0</v>
          </cell>
        </row>
        <row r="692">
          <cell r="D692" t="str">
            <v>5775</v>
          </cell>
          <cell r="E692" t="str">
            <v>Frais et commissions sur opérations effectuées selon les conditions générales d'achat</v>
          </cell>
          <cell r="F692">
            <v>0</v>
          </cell>
          <cell r="L692">
            <v>0</v>
          </cell>
          <cell r="P692">
            <v>0</v>
          </cell>
          <cell r="AC692">
            <v>0</v>
          </cell>
        </row>
        <row r="693">
          <cell r="D693" t="str">
            <v>5776</v>
          </cell>
          <cell r="E693" t="str">
            <v>Frais sur cautions bancaires</v>
          </cell>
          <cell r="F693">
            <v>0</v>
          </cell>
          <cell r="L693">
            <v>0</v>
          </cell>
          <cell r="P693">
            <v>0</v>
          </cell>
          <cell r="AC693">
            <v>0</v>
          </cell>
        </row>
        <row r="694">
          <cell r="D694" t="str">
            <v>5778</v>
          </cell>
          <cell r="E694" t="str">
            <v>Autres services bancaires</v>
          </cell>
          <cell r="F694">
            <v>0</v>
          </cell>
          <cell r="L694">
            <v>0</v>
          </cell>
          <cell r="P694">
            <v>0</v>
          </cell>
          <cell r="AC694">
            <v>0</v>
          </cell>
        </row>
        <row r="695">
          <cell r="D695" t="str">
            <v>6111</v>
          </cell>
          <cell r="E695" t="str">
            <v>Taxe urbaine</v>
          </cell>
          <cell r="F695">
            <v>0</v>
          </cell>
          <cell r="L695">
            <v>0</v>
          </cell>
          <cell r="P695">
            <v>0</v>
          </cell>
          <cell r="AC695">
            <v>0</v>
          </cell>
        </row>
        <row r="696">
          <cell r="D696" t="str">
            <v>6112</v>
          </cell>
          <cell r="E696" t="str">
            <v>Patente</v>
          </cell>
          <cell r="F696">
            <v>0</v>
          </cell>
          <cell r="L696">
            <v>0</v>
          </cell>
          <cell r="P696">
            <v>0</v>
          </cell>
          <cell r="AC696">
            <v>0</v>
          </cell>
        </row>
        <row r="697">
          <cell r="D697" t="str">
            <v>6115</v>
          </cell>
          <cell r="E697" t="str">
            <v>Taxes locales</v>
          </cell>
          <cell r="F697">
            <v>0</v>
          </cell>
          <cell r="L697">
            <v>0</v>
          </cell>
          <cell r="P697">
            <v>0</v>
          </cell>
          <cell r="AC697">
            <v>0</v>
          </cell>
        </row>
        <row r="698">
          <cell r="D698" t="str">
            <v>6116</v>
          </cell>
          <cell r="E698" t="str">
            <v>Redevance sur l'exploitation des phosphates</v>
          </cell>
          <cell r="F698">
            <v>0</v>
          </cell>
          <cell r="L698">
            <v>0</v>
          </cell>
          <cell r="P698">
            <v>0</v>
          </cell>
          <cell r="AC698">
            <v>0</v>
          </cell>
        </row>
        <row r="699">
          <cell r="D699" t="str">
            <v>6171</v>
          </cell>
          <cell r="E699" t="str">
            <v>Droits d'enregistrement et timbres</v>
          </cell>
          <cell r="F699">
            <v>0</v>
          </cell>
          <cell r="L699">
            <v>0</v>
          </cell>
          <cell r="P699">
            <v>0</v>
          </cell>
          <cell r="AC699">
            <v>0</v>
          </cell>
        </row>
        <row r="700">
          <cell r="D700" t="str">
            <v>6172</v>
          </cell>
          <cell r="E700" t="str">
            <v>Droits d'enregistrement des actes et marchés</v>
          </cell>
          <cell r="F700">
            <v>0</v>
          </cell>
          <cell r="L700">
            <v>0</v>
          </cell>
          <cell r="P700">
            <v>0</v>
          </cell>
          <cell r="AC700">
            <v>0</v>
          </cell>
        </row>
        <row r="701">
          <cell r="D701" t="str">
            <v>6173</v>
          </cell>
          <cell r="E701" t="str">
            <v>Taxes sur les véhicules</v>
          </cell>
          <cell r="F701">
            <v>0</v>
          </cell>
          <cell r="L701">
            <v>0</v>
          </cell>
          <cell r="P701">
            <v>0</v>
          </cell>
          <cell r="AC701">
            <v>0</v>
          </cell>
        </row>
        <row r="702">
          <cell r="D702" t="str">
            <v>6174</v>
          </cell>
          <cell r="E702" t="str">
            <v>Taxes sur les services</v>
          </cell>
          <cell r="F702">
            <v>0</v>
          </cell>
          <cell r="L702">
            <v>0</v>
          </cell>
          <cell r="P702">
            <v>0</v>
          </cell>
          <cell r="AC702">
            <v>0</v>
          </cell>
        </row>
        <row r="703">
          <cell r="D703" t="str">
            <v>6175</v>
          </cell>
          <cell r="E703" t="str">
            <v>Taxes à l'exportation</v>
          </cell>
          <cell r="F703">
            <v>0</v>
          </cell>
          <cell r="L703">
            <v>0</v>
          </cell>
          <cell r="P703">
            <v>0</v>
          </cell>
          <cell r="AC703">
            <v>0</v>
          </cell>
        </row>
        <row r="704">
          <cell r="D704" t="str">
            <v>6176</v>
          </cell>
          <cell r="E704" t="str">
            <v>Impôts et taxes exigibles à l'étranger</v>
          </cell>
          <cell r="F704">
            <v>0</v>
          </cell>
          <cell r="L704">
            <v>0</v>
          </cell>
          <cell r="P704">
            <v>0</v>
          </cell>
          <cell r="AC704">
            <v>0</v>
          </cell>
        </row>
        <row r="705">
          <cell r="D705" t="str">
            <v>6177</v>
          </cell>
          <cell r="E705" t="str">
            <v>Impôts et taxes directs</v>
          </cell>
          <cell r="F705">
            <v>0</v>
          </cell>
          <cell r="L705">
            <v>0</v>
          </cell>
          <cell r="P705">
            <v>0</v>
          </cell>
          <cell r="AC705">
            <v>0</v>
          </cell>
        </row>
        <row r="706">
          <cell r="D706" t="str">
            <v>6178</v>
          </cell>
          <cell r="E706" t="str">
            <v>Autres impôts, taxes et droits assimilés</v>
          </cell>
          <cell r="F706">
            <v>0</v>
          </cell>
          <cell r="L706">
            <v>0</v>
          </cell>
          <cell r="P706">
            <v>0</v>
          </cell>
          <cell r="AC706">
            <v>0</v>
          </cell>
        </row>
        <row r="707">
          <cell r="D707" t="str">
            <v>6282</v>
          </cell>
          <cell r="E707" t="str">
            <v>Pertes sur créances irrécouvrables</v>
          </cell>
          <cell r="F707">
            <v>0</v>
          </cell>
          <cell r="L707">
            <v>0</v>
          </cell>
          <cell r="P707">
            <v>0</v>
          </cell>
          <cell r="AC707">
            <v>0</v>
          </cell>
        </row>
        <row r="708">
          <cell r="D708" t="str">
            <v>6283</v>
          </cell>
          <cell r="E708" t="str">
            <v>Rejets de TVA liquidées</v>
          </cell>
          <cell r="F708">
            <v>0</v>
          </cell>
          <cell r="L708">
            <v>0</v>
          </cell>
          <cell r="P708">
            <v>0</v>
          </cell>
          <cell r="AC708">
            <v>0</v>
          </cell>
        </row>
        <row r="709">
          <cell r="D709" t="str">
            <v>6284</v>
          </cell>
          <cell r="E709" t="str">
            <v>Prorata de déductions sur TVA à récupérer</v>
          </cell>
          <cell r="F709">
            <v>0</v>
          </cell>
          <cell r="L709">
            <v>0</v>
          </cell>
          <cell r="P709">
            <v>0</v>
          </cell>
          <cell r="AC709">
            <v>0</v>
          </cell>
        </row>
        <row r="710">
          <cell r="D710" t="str">
            <v>6286</v>
          </cell>
          <cell r="E710" t="str">
            <v>Transferts de profits sur opérations faites en commun</v>
          </cell>
          <cell r="F710">
            <v>0</v>
          </cell>
          <cell r="L710">
            <v>0</v>
          </cell>
          <cell r="P710">
            <v>0</v>
          </cell>
          <cell r="AC710">
            <v>0</v>
          </cell>
        </row>
        <row r="711">
          <cell r="D711" t="str">
            <v>6288</v>
          </cell>
          <cell r="E711" t="str">
            <v>Autres charges d'exploitation</v>
          </cell>
          <cell r="F711">
            <v>0</v>
          </cell>
          <cell r="L711">
            <v>0</v>
          </cell>
          <cell r="P711">
            <v>0</v>
          </cell>
          <cell r="AC711">
            <v>0</v>
          </cell>
        </row>
        <row r="712">
          <cell r="D712" t="str">
            <v>6385</v>
          </cell>
          <cell r="E712" t="str">
            <v>D.E.P. pour risques et charges durables</v>
          </cell>
          <cell r="F712">
            <v>0</v>
          </cell>
          <cell r="L712">
            <v>0</v>
          </cell>
          <cell r="P712">
            <v>0</v>
          </cell>
          <cell r="AC712">
            <v>0</v>
          </cell>
        </row>
        <row r="713">
          <cell r="D713" t="str">
            <v>6386</v>
          </cell>
          <cell r="E713" t="str">
            <v>D.E.P. pour risques et charges momentanes</v>
          </cell>
          <cell r="F713">
            <v>0</v>
          </cell>
          <cell r="L713">
            <v>0</v>
          </cell>
          <cell r="P713">
            <v>0</v>
          </cell>
          <cell r="AC713">
            <v>0</v>
          </cell>
        </row>
        <row r="714">
          <cell r="D714" t="str">
            <v>6387</v>
          </cell>
          <cell r="E714" t="str">
            <v>D.E.P. pour dépréciation des stocks</v>
          </cell>
          <cell r="F714">
            <v>0</v>
          </cell>
          <cell r="L714">
            <v>0</v>
          </cell>
          <cell r="P714">
            <v>0</v>
          </cell>
          <cell r="AC714">
            <v>0</v>
          </cell>
        </row>
        <row r="715">
          <cell r="D715" t="str">
            <v>6388</v>
          </cell>
          <cell r="E715" t="str">
            <v>D.E.P. des créances de l'actif circulant</v>
          </cell>
          <cell r="F715">
            <v>0</v>
          </cell>
          <cell r="L715">
            <v>0</v>
          </cell>
          <cell r="P715">
            <v>0</v>
          </cell>
          <cell r="AC715">
            <v>0</v>
          </cell>
        </row>
        <row r="716">
          <cell r="D716" t="str">
            <v>6391</v>
          </cell>
          <cell r="E716" t="str">
            <v>D.E.A. des exer. antérieurs</v>
          </cell>
          <cell r="F716">
            <v>0</v>
          </cell>
          <cell r="L716">
            <v>0</v>
          </cell>
          <cell r="P716">
            <v>0</v>
          </cell>
          <cell r="AC716">
            <v>0</v>
          </cell>
        </row>
        <row r="717">
          <cell r="D717" t="str">
            <v>6411</v>
          </cell>
          <cell r="E717" t="str">
            <v>Intérêts des emprunts des crédit financiers</v>
          </cell>
          <cell r="F717">
            <v>0</v>
          </cell>
          <cell r="L717">
            <v>0</v>
          </cell>
          <cell r="P717">
            <v>0</v>
          </cell>
          <cell r="AC717">
            <v>0</v>
          </cell>
        </row>
        <row r="718">
          <cell r="D718" t="str">
            <v>6413</v>
          </cell>
          <cell r="E718" t="str">
            <v>Intérêts des emprunts des crédits acheteurs</v>
          </cell>
          <cell r="F718">
            <v>0</v>
          </cell>
          <cell r="L718">
            <v>0</v>
          </cell>
          <cell r="P718">
            <v>0</v>
          </cell>
          <cell r="AC718">
            <v>0</v>
          </cell>
        </row>
        <row r="719">
          <cell r="D719" t="str">
            <v>6414</v>
          </cell>
          <cell r="E719" t="str">
            <v>Intérêts des emprunts des crédits gouvernementaux</v>
          </cell>
          <cell r="F719">
            <v>0</v>
          </cell>
          <cell r="L719">
            <v>0</v>
          </cell>
          <cell r="P719">
            <v>0</v>
          </cell>
          <cell r="AC719">
            <v>0</v>
          </cell>
        </row>
        <row r="720">
          <cell r="D720" t="str">
            <v>6421</v>
          </cell>
          <cell r="E720" t="str">
            <v>Intérêts des crédits financiers rééchelonnés</v>
          </cell>
          <cell r="F720">
            <v>0</v>
          </cell>
          <cell r="L720">
            <v>0</v>
          </cell>
          <cell r="P720">
            <v>0</v>
          </cell>
          <cell r="AC720">
            <v>0</v>
          </cell>
        </row>
        <row r="721">
          <cell r="D721" t="str">
            <v>6422</v>
          </cell>
          <cell r="E721" t="str">
            <v>Intérêts des crédits acheteurs rééchelonnés</v>
          </cell>
          <cell r="F721">
            <v>0</v>
          </cell>
          <cell r="L721">
            <v>0</v>
          </cell>
          <cell r="P721">
            <v>0</v>
          </cell>
          <cell r="AC721">
            <v>0</v>
          </cell>
        </row>
        <row r="722">
          <cell r="D722" t="str">
            <v>6423</v>
          </cell>
          <cell r="E722" t="str">
            <v>Intérêts des emprunts des charges rééchelonnées à compenser en MAD</v>
          </cell>
          <cell r="F722">
            <v>0</v>
          </cell>
          <cell r="L722">
            <v>0</v>
          </cell>
          <cell r="P722">
            <v>0</v>
          </cell>
          <cell r="AC722">
            <v>0</v>
          </cell>
        </row>
        <row r="723">
          <cell r="D723" t="str">
            <v>6424</v>
          </cell>
          <cell r="E723" t="str">
            <v>Intérêts des dettes rattachées à des participations</v>
          </cell>
          <cell r="F723">
            <v>0</v>
          </cell>
          <cell r="L723">
            <v>0</v>
          </cell>
          <cell r="P723">
            <v>0</v>
          </cell>
          <cell r="AC723">
            <v>0</v>
          </cell>
        </row>
        <row r="724">
          <cell r="D724" t="str">
            <v>6425</v>
          </cell>
          <cell r="E724" t="str">
            <v>Intérêts des comptes ordinaires</v>
          </cell>
          <cell r="F724">
            <v>0</v>
          </cell>
          <cell r="L724">
            <v>0</v>
          </cell>
          <cell r="P724">
            <v>0</v>
          </cell>
          <cell r="AC724">
            <v>0</v>
          </cell>
        </row>
        <row r="725">
          <cell r="D725" t="str">
            <v>6426</v>
          </cell>
          <cell r="E725" t="str">
            <v>Intérêts bancaires sur opérations de financements comptes ordinaires</v>
          </cell>
          <cell r="F725">
            <v>0</v>
          </cell>
          <cell r="L725">
            <v>0</v>
          </cell>
          <cell r="P725">
            <v>0</v>
          </cell>
          <cell r="AC725">
            <v>0</v>
          </cell>
        </row>
        <row r="726">
          <cell r="D726" t="str">
            <v>6427</v>
          </cell>
          <cell r="E726" t="str">
            <v>Intérêts de capitalisation caisse de retraite</v>
          </cell>
          <cell r="F726">
            <v>0</v>
          </cell>
          <cell r="L726">
            <v>0</v>
          </cell>
          <cell r="P726">
            <v>0</v>
          </cell>
          <cell r="AC726">
            <v>0</v>
          </cell>
        </row>
        <row r="727">
          <cell r="D727" t="str">
            <v>6428</v>
          </cell>
          <cell r="E727" t="str">
            <v>Remises sur crédits des quittances douanières</v>
          </cell>
          <cell r="F727">
            <v>0</v>
          </cell>
          <cell r="L727">
            <v>0</v>
          </cell>
          <cell r="P727">
            <v>0</v>
          </cell>
          <cell r="AC727">
            <v>0</v>
          </cell>
        </row>
        <row r="728">
          <cell r="D728" t="str">
            <v>6456</v>
          </cell>
          <cell r="E728" t="str">
            <v>Pertes de change sur remboursement des emprunts</v>
          </cell>
          <cell r="F728">
            <v>0</v>
          </cell>
          <cell r="L728">
            <v>0</v>
          </cell>
          <cell r="P728">
            <v>0</v>
          </cell>
          <cell r="AC728">
            <v>0</v>
          </cell>
        </row>
        <row r="729">
          <cell r="D729" t="str">
            <v>6457</v>
          </cell>
          <cell r="E729" t="str">
            <v>Pertes de change sur opérations de trésorerie</v>
          </cell>
          <cell r="F729">
            <v>0</v>
          </cell>
          <cell r="L729">
            <v>0</v>
          </cell>
          <cell r="P729">
            <v>0</v>
          </cell>
          <cell r="AC729">
            <v>0</v>
          </cell>
        </row>
        <row r="730">
          <cell r="D730" t="str">
            <v>6458</v>
          </cell>
          <cell r="E730" t="str">
            <v>Pertes de change sur opérations commerciales</v>
          </cell>
          <cell r="F730">
            <v>0</v>
          </cell>
          <cell r="L730">
            <v>0</v>
          </cell>
          <cell r="P730">
            <v>0</v>
          </cell>
          <cell r="AC730">
            <v>0</v>
          </cell>
        </row>
        <row r="731">
          <cell r="D731" t="str">
            <v>6482</v>
          </cell>
          <cell r="E731" t="str">
            <v>Pertes sur créances liées à des participations</v>
          </cell>
          <cell r="F731">
            <v>0</v>
          </cell>
          <cell r="L731">
            <v>0</v>
          </cell>
          <cell r="P731">
            <v>0</v>
          </cell>
          <cell r="AC731">
            <v>0</v>
          </cell>
        </row>
        <row r="732">
          <cell r="D732" t="str">
            <v>6485</v>
          </cell>
          <cell r="E732" t="str">
            <v>Charges nettes sur cessions de titres &amp; valeur de placement</v>
          </cell>
          <cell r="F732">
            <v>0</v>
          </cell>
          <cell r="L732">
            <v>0</v>
          </cell>
          <cell r="P732">
            <v>0</v>
          </cell>
          <cell r="AC732">
            <v>0</v>
          </cell>
        </row>
        <row r="733">
          <cell r="D733" t="str">
            <v>6486</v>
          </cell>
          <cell r="E733" t="str">
            <v>Escomptes accordés</v>
          </cell>
          <cell r="F733">
            <v>0</v>
          </cell>
          <cell r="L733">
            <v>0</v>
          </cell>
          <cell r="P733">
            <v>0</v>
          </cell>
          <cell r="AC733">
            <v>0</v>
          </cell>
        </row>
        <row r="734">
          <cell r="D734" t="str">
            <v>6491</v>
          </cell>
          <cell r="E734" t="str">
            <v>Dotations aux amortissements des primes de remboursements</v>
          </cell>
          <cell r="F734">
            <v>0</v>
          </cell>
          <cell r="L734">
            <v>0</v>
          </cell>
          <cell r="P734">
            <v>0</v>
          </cell>
          <cell r="AC734">
            <v>0</v>
          </cell>
        </row>
        <row r="735">
          <cell r="D735" t="str">
            <v>6492</v>
          </cell>
          <cell r="E735" t="str">
            <v>Dotations aux provisions pour dépréciation des immobilisations financières</v>
          </cell>
          <cell r="F735">
            <v>0</v>
          </cell>
          <cell r="L735">
            <v>0</v>
          </cell>
          <cell r="P735">
            <v>0</v>
          </cell>
          <cell r="AC735">
            <v>0</v>
          </cell>
        </row>
        <row r="736">
          <cell r="D736" t="str">
            <v>6493</v>
          </cell>
          <cell r="E736" t="str">
            <v>Dotations financières aux provisions pour risques de change des crédits financiers</v>
          </cell>
          <cell r="F736">
            <v>0</v>
          </cell>
          <cell r="L736">
            <v>0</v>
          </cell>
          <cell r="P736">
            <v>0</v>
          </cell>
          <cell r="AC736">
            <v>0</v>
          </cell>
        </row>
        <row r="737">
          <cell r="D737" t="str">
            <v>6494</v>
          </cell>
          <cell r="E737" t="str">
            <v>Dotations financières aux provisions pour risques de change des crédits acheteurs</v>
          </cell>
          <cell r="F737">
            <v>0</v>
          </cell>
          <cell r="L737">
            <v>0</v>
          </cell>
          <cell r="P737">
            <v>0</v>
          </cell>
          <cell r="AC737">
            <v>0</v>
          </cell>
        </row>
        <row r="738">
          <cell r="D738" t="str">
            <v>6495</v>
          </cell>
          <cell r="E738" t="str">
            <v>Dotations financières aux provisions pour risques de change des emprunts des crédits gouvernementaux</v>
          </cell>
          <cell r="F738">
            <v>0</v>
          </cell>
          <cell r="L738">
            <v>0</v>
          </cell>
          <cell r="P738">
            <v>0</v>
          </cell>
          <cell r="AC738">
            <v>0</v>
          </cell>
        </row>
        <row r="739">
          <cell r="D739" t="str">
            <v>6496</v>
          </cell>
          <cell r="E739" t="str">
            <v>Dotations financières aux provisions pour risques de change des crédits financiers rééchelonés</v>
          </cell>
          <cell r="F739">
            <v>0</v>
          </cell>
          <cell r="L739">
            <v>0</v>
          </cell>
          <cell r="P739">
            <v>0</v>
          </cell>
          <cell r="AC739">
            <v>0</v>
          </cell>
        </row>
        <row r="740">
          <cell r="D740" t="str">
            <v>6497</v>
          </cell>
          <cell r="E740" t="str">
            <v>Dotations financières aux provisions pour risques de change des crédits acheteurs rééchelonnés</v>
          </cell>
          <cell r="F740">
            <v>0</v>
          </cell>
          <cell r="L740">
            <v>0</v>
          </cell>
          <cell r="P740">
            <v>0</v>
          </cell>
          <cell r="AC740">
            <v>0</v>
          </cell>
        </row>
        <row r="741">
          <cell r="D741" t="str">
            <v>6501</v>
          </cell>
          <cell r="E741" t="str">
            <v>Dotations aux provisions pour dépréciation des titres &amp; valeurs de placement</v>
          </cell>
          <cell r="F741">
            <v>0</v>
          </cell>
          <cell r="L741">
            <v>0</v>
          </cell>
          <cell r="P741">
            <v>0</v>
          </cell>
          <cell r="AC741">
            <v>0</v>
          </cell>
        </row>
        <row r="742">
          <cell r="D742" t="str">
            <v>6502</v>
          </cell>
          <cell r="E742" t="str">
            <v>Dotations aux provisions pour dépréciation des comptes de trésorerie</v>
          </cell>
          <cell r="F742">
            <v>0</v>
          </cell>
          <cell r="L742">
            <v>0</v>
          </cell>
          <cell r="P742">
            <v>0</v>
          </cell>
          <cell r="AC742">
            <v>0</v>
          </cell>
        </row>
        <row r="743">
          <cell r="D743" t="str">
            <v>6512</v>
          </cell>
          <cell r="E743" t="str">
            <v>V.N.A des immobilisations incorporelles cedées</v>
          </cell>
          <cell r="F743">
            <v>0</v>
          </cell>
          <cell r="L743">
            <v>0</v>
          </cell>
          <cell r="P743">
            <v>0</v>
          </cell>
          <cell r="AC743">
            <v>0</v>
          </cell>
        </row>
        <row r="744">
          <cell r="D744" t="str">
            <v>6513</v>
          </cell>
          <cell r="E744" t="str">
            <v>V.N.A des immobilisations corporelles</v>
          </cell>
          <cell r="F744">
            <v>0</v>
          </cell>
          <cell r="L744">
            <v>0</v>
          </cell>
          <cell r="P744">
            <v>0</v>
          </cell>
          <cell r="AC744">
            <v>0</v>
          </cell>
        </row>
        <row r="745">
          <cell r="D745" t="str">
            <v>6514</v>
          </cell>
          <cell r="E745" t="str">
            <v>V.N.A des immobilisations financières cedées</v>
          </cell>
          <cell r="F745">
            <v>0</v>
          </cell>
          <cell r="L745">
            <v>0</v>
          </cell>
          <cell r="P745">
            <v>0</v>
          </cell>
          <cell r="AC745">
            <v>0</v>
          </cell>
        </row>
        <row r="746">
          <cell r="D746" t="str">
            <v>6523</v>
          </cell>
          <cell r="E746" t="str">
            <v>Charges sur cessions d'immobilisations</v>
          </cell>
          <cell r="F746">
            <v>0</v>
          </cell>
          <cell r="L746">
            <v>0</v>
          </cell>
          <cell r="P746">
            <v>0</v>
          </cell>
          <cell r="AC746">
            <v>0</v>
          </cell>
        </row>
        <row r="747">
          <cell r="D747" t="str">
            <v>6561</v>
          </cell>
          <cell r="E747" t="str">
            <v>Subventions accordées de l'exercice</v>
          </cell>
          <cell r="F747">
            <v>0</v>
          </cell>
          <cell r="L747">
            <v>0</v>
          </cell>
          <cell r="P747">
            <v>0</v>
          </cell>
          <cell r="AC747">
            <v>0</v>
          </cell>
        </row>
        <row r="748">
          <cell r="D748" t="str">
            <v>6581</v>
          </cell>
          <cell r="E748" t="str">
            <v>Autres charges non courantes -pénalités sur marchés et dédits -</v>
          </cell>
          <cell r="F748">
            <v>0</v>
          </cell>
          <cell r="L748">
            <v>0</v>
          </cell>
          <cell r="P748">
            <v>0</v>
          </cell>
          <cell r="AC748">
            <v>0</v>
          </cell>
        </row>
        <row r="749">
          <cell r="D749" t="str">
            <v>6582</v>
          </cell>
          <cell r="E749" t="str">
            <v>Autres charges non courantes -rappels d'impôts -</v>
          </cell>
          <cell r="F749">
            <v>0</v>
          </cell>
          <cell r="L749">
            <v>0</v>
          </cell>
          <cell r="P749">
            <v>0</v>
          </cell>
          <cell r="AC749">
            <v>0</v>
          </cell>
        </row>
        <row r="750">
          <cell r="D750" t="str">
            <v>6583</v>
          </cell>
          <cell r="E750" t="str">
            <v>Pénalités et amendes fiscales ou pénales</v>
          </cell>
          <cell r="F750">
            <v>0</v>
          </cell>
          <cell r="L750">
            <v>0</v>
          </cell>
          <cell r="P750">
            <v>0</v>
          </cell>
          <cell r="AC750">
            <v>0</v>
          </cell>
        </row>
        <row r="751">
          <cell r="D751" t="str">
            <v>6585</v>
          </cell>
          <cell r="E751" t="str">
            <v>Créances devenues irrécouvrables</v>
          </cell>
          <cell r="F751">
            <v>0</v>
          </cell>
          <cell r="L751">
            <v>0</v>
          </cell>
          <cell r="P751">
            <v>0</v>
          </cell>
          <cell r="AC751">
            <v>0</v>
          </cell>
        </row>
        <row r="752">
          <cell r="D752" t="str">
            <v>6586</v>
          </cell>
          <cell r="E752" t="str">
            <v>Dons, libéralités et lots</v>
          </cell>
          <cell r="F752">
            <v>0</v>
          </cell>
          <cell r="L752">
            <v>0</v>
          </cell>
          <cell r="P752">
            <v>0</v>
          </cell>
          <cell r="AC752">
            <v>0</v>
          </cell>
        </row>
        <row r="753">
          <cell r="D753" t="str">
            <v>6587</v>
          </cell>
          <cell r="E753" t="str">
            <v>Charges diverses non courantes</v>
          </cell>
          <cell r="F753">
            <v>0</v>
          </cell>
          <cell r="L753">
            <v>0</v>
          </cell>
          <cell r="P753">
            <v>0</v>
          </cell>
          <cell r="AC753">
            <v>0</v>
          </cell>
        </row>
        <row r="754">
          <cell r="D754" t="str">
            <v>6942</v>
          </cell>
          <cell r="E754" t="str">
            <v>Dotations non courantes pour value en instance d'imposition</v>
          </cell>
          <cell r="F754">
            <v>0</v>
          </cell>
          <cell r="L754">
            <v>0</v>
          </cell>
          <cell r="P754">
            <v>0</v>
          </cell>
          <cell r="AC754">
            <v>0</v>
          </cell>
        </row>
        <row r="755">
          <cell r="D755" t="str">
            <v>6944</v>
          </cell>
          <cell r="E755" t="str">
            <v>Dotations non courantes pour investissements</v>
          </cell>
          <cell r="F755">
            <v>0</v>
          </cell>
          <cell r="L755">
            <v>0</v>
          </cell>
          <cell r="P755">
            <v>0</v>
          </cell>
          <cell r="AC755">
            <v>0</v>
          </cell>
        </row>
        <row r="756">
          <cell r="D756" t="str">
            <v>6945</v>
          </cell>
          <cell r="E756" t="str">
            <v>Dotations non courantes pour reconstitution de gisements</v>
          </cell>
          <cell r="F756">
            <v>0</v>
          </cell>
          <cell r="L756">
            <v>0</v>
          </cell>
          <cell r="P756">
            <v>0</v>
          </cell>
          <cell r="AC756">
            <v>0</v>
          </cell>
        </row>
        <row r="757">
          <cell r="D757" t="str">
            <v>6946</v>
          </cell>
          <cell r="E757" t="str">
            <v>Dotations non courantes pour acquisition et construction de gis.</v>
          </cell>
          <cell r="F757">
            <v>0</v>
          </cell>
          <cell r="L757">
            <v>0</v>
          </cell>
          <cell r="P757">
            <v>0</v>
          </cell>
          <cell r="AC757">
            <v>0</v>
          </cell>
        </row>
        <row r="758">
          <cell r="D758" t="str">
            <v>6955</v>
          </cell>
          <cell r="E758" t="str">
            <v>Dotations non courantes aux provi.pour ris. et charges durables</v>
          </cell>
          <cell r="F758">
            <v>0</v>
          </cell>
          <cell r="L758">
            <v>0</v>
          </cell>
          <cell r="P758">
            <v>0</v>
          </cell>
          <cell r="AC758">
            <v>0</v>
          </cell>
        </row>
        <row r="759">
          <cell r="D759" t="str">
            <v>6957</v>
          </cell>
          <cell r="E759" t="str">
            <v>Dotations non courantes aux provi. pour ris. et char.momentanes</v>
          </cell>
          <cell r="F759">
            <v>0</v>
          </cell>
          <cell r="L759">
            <v>0</v>
          </cell>
          <cell r="P759">
            <v>0</v>
          </cell>
          <cell r="AC759">
            <v>0</v>
          </cell>
        </row>
        <row r="760">
          <cell r="D760" t="str">
            <v>6962</v>
          </cell>
          <cell r="E760" t="str">
            <v>Dotations non courantes aux provisions pour depre. de l'actif immo.</v>
          </cell>
          <cell r="F760">
            <v>0</v>
          </cell>
          <cell r="L760">
            <v>0</v>
          </cell>
          <cell r="P760">
            <v>0</v>
          </cell>
          <cell r="AC760">
            <v>0</v>
          </cell>
        </row>
        <row r="761">
          <cell r="D761" t="str">
            <v>6991</v>
          </cell>
          <cell r="E761" t="str">
            <v>Impôts sur les bénéfices</v>
          </cell>
          <cell r="F761">
            <v>0</v>
          </cell>
          <cell r="L761">
            <v>0</v>
          </cell>
          <cell r="P761">
            <v>0</v>
          </cell>
          <cell r="AC761">
            <v>0</v>
          </cell>
        </row>
        <row r="762">
          <cell r="D762" t="str">
            <v>6995</v>
          </cell>
          <cell r="E762" t="str">
            <v>Imposition minimale annuelle des sociétés</v>
          </cell>
          <cell r="F762">
            <v>0</v>
          </cell>
          <cell r="L762">
            <v>0</v>
          </cell>
          <cell r="P762">
            <v>0</v>
          </cell>
          <cell r="AC762">
            <v>0</v>
          </cell>
        </row>
        <row r="763">
          <cell r="D763" t="str">
            <v>6998</v>
          </cell>
          <cell r="E763" t="str">
            <v>Rappels et dégrèvements des impôts sur les résultats</v>
          </cell>
          <cell r="F763">
            <v>0</v>
          </cell>
          <cell r="L763">
            <v>0</v>
          </cell>
          <cell r="P763">
            <v>0</v>
          </cell>
          <cell r="AC763">
            <v>0</v>
          </cell>
        </row>
        <row r="764">
          <cell r="D764" t="str">
            <v>7001</v>
          </cell>
          <cell r="E764" t="str">
            <v>Ventes de marchandises au Maroc</v>
          </cell>
          <cell r="F764">
            <v>0</v>
          </cell>
          <cell r="L764">
            <v>0</v>
          </cell>
          <cell r="P764">
            <v>0</v>
          </cell>
          <cell r="AC764">
            <v>0</v>
          </cell>
        </row>
        <row r="765">
          <cell r="D765" t="str">
            <v>7003</v>
          </cell>
          <cell r="E765" t="str">
            <v>Ventes de marchandises à l'étranger</v>
          </cell>
          <cell r="F765">
            <v>0</v>
          </cell>
          <cell r="L765">
            <v>0</v>
          </cell>
          <cell r="P765">
            <v>0</v>
          </cell>
          <cell r="AC765">
            <v>0</v>
          </cell>
        </row>
        <row r="766">
          <cell r="D766" t="str">
            <v>7009</v>
          </cell>
          <cell r="E766" t="str">
            <v>R.R.R. Accordées</v>
          </cell>
          <cell r="F766">
            <v>0</v>
          </cell>
          <cell r="L766">
            <v>0</v>
          </cell>
          <cell r="P766">
            <v>0</v>
          </cell>
          <cell r="AC766">
            <v>0</v>
          </cell>
        </row>
        <row r="767">
          <cell r="D767" t="str">
            <v>7011</v>
          </cell>
          <cell r="E767" t="str">
            <v>Ventes de produits finis Maroc</v>
          </cell>
          <cell r="F767">
            <v>0</v>
          </cell>
          <cell r="L767">
            <v>0</v>
          </cell>
          <cell r="P767">
            <v>0</v>
          </cell>
          <cell r="AC767">
            <v>0</v>
          </cell>
        </row>
        <row r="768">
          <cell r="D768" t="str">
            <v>7012</v>
          </cell>
          <cell r="E768" t="str">
            <v>Ventes de produits intermédiaires Maroc</v>
          </cell>
          <cell r="F768">
            <v>0</v>
          </cell>
          <cell r="L768">
            <v>0</v>
          </cell>
          <cell r="P768">
            <v>0</v>
          </cell>
          <cell r="AC768">
            <v>0</v>
          </cell>
        </row>
        <row r="769">
          <cell r="D769" t="str">
            <v>7017</v>
          </cell>
          <cell r="E769" t="str">
            <v>Ventes de produits résiduels Maroc</v>
          </cell>
          <cell r="F769">
            <v>0</v>
          </cell>
          <cell r="L769">
            <v>0</v>
          </cell>
          <cell r="P769">
            <v>0</v>
          </cell>
          <cell r="AC769">
            <v>0</v>
          </cell>
        </row>
        <row r="770">
          <cell r="D770" t="str">
            <v>7024</v>
          </cell>
          <cell r="E770" t="str">
            <v>Ventes de produits finis étranger</v>
          </cell>
          <cell r="F770">
            <v>0</v>
          </cell>
          <cell r="L770">
            <v>0</v>
          </cell>
          <cell r="P770">
            <v>0</v>
          </cell>
          <cell r="AC770">
            <v>0</v>
          </cell>
        </row>
        <row r="771">
          <cell r="D771" t="str">
            <v>7025</v>
          </cell>
          <cell r="E771" t="str">
            <v>Ventes de produits intermédiaires étranger</v>
          </cell>
          <cell r="F771">
            <v>0</v>
          </cell>
          <cell r="L771">
            <v>0</v>
          </cell>
          <cell r="P771">
            <v>0</v>
          </cell>
          <cell r="AC771">
            <v>0</v>
          </cell>
        </row>
        <row r="772">
          <cell r="D772" t="str">
            <v>7031</v>
          </cell>
          <cell r="E772" t="str">
            <v>Travaux au Maroc</v>
          </cell>
          <cell r="F772">
            <v>0</v>
          </cell>
          <cell r="L772">
            <v>0</v>
          </cell>
          <cell r="P772">
            <v>0</v>
          </cell>
          <cell r="AC772">
            <v>0</v>
          </cell>
        </row>
        <row r="773">
          <cell r="D773" t="str">
            <v>7032</v>
          </cell>
          <cell r="E773" t="str">
            <v>Etudes au Maroc</v>
          </cell>
          <cell r="F773">
            <v>0</v>
          </cell>
          <cell r="L773">
            <v>0</v>
          </cell>
          <cell r="P773">
            <v>0</v>
          </cell>
          <cell r="AC773">
            <v>0</v>
          </cell>
        </row>
        <row r="774">
          <cell r="D774" t="str">
            <v>7033</v>
          </cell>
          <cell r="E774" t="str">
            <v>Prestations de services au Maroc</v>
          </cell>
          <cell r="F774">
            <v>0</v>
          </cell>
          <cell r="L774">
            <v>0</v>
          </cell>
          <cell r="P774">
            <v>0</v>
          </cell>
          <cell r="AC774">
            <v>0</v>
          </cell>
        </row>
        <row r="775">
          <cell r="D775" t="str">
            <v>7034</v>
          </cell>
          <cell r="E775" t="str">
            <v>Travaux à l'étranger</v>
          </cell>
          <cell r="F775">
            <v>0</v>
          </cell>
          <cell r="L775">
            <v>0</v>
          </cell>
          <cell r="P775">
            <v>0</v>
          </cell>
          <cell r="AC775">
            <v>0</v>
          </cell>
        </row>
        <row r="776">
          <cell r="D776" t="str">
            <v>7035</v>
          </cell>
          <cell r="E776" t="str">
            <v>Etudes à l'étranger</v>
          </cell>
          <cell r="F776">
            <v>0</v>
          </cell>
          <cell r="L776">
            <v>0</v>
          </cell>
          <cell r="P776">
            <v>0</v>
          </cell>
          <cell r="AC776">
            <v>0</v>
          </cell>
        </row>
        <row r="777">
          <cell r="D777" t="str">
            <v>7036</v>
          </cell>
          <cell r="E777" t="str">
            <v>Prestations de services à l'étranger</v>
          </cell>
          <cell r="F777">
            <v>0</v>
          </cell>
          <cell r="L777">
            <v>0</v>
          </cell>
          <cell r="P777">
            <v>0</v>
          </cell>
          <cell r="AC777">
            <v>0</v>
          </cell>
        </row>
        <row r="778">
          <cell r="D778" t="str">
            <v>7046</v>
          </cell>
          <cell r="E778" t="str">
            <v>Redevances pour brevets, marques, droits et valeurs similaires</v>
          </cell>
          <cell r="F778">
            <v>0</v>
          </cell>
          <cell r="L778">
            <v>0</v>
          </cell>
          <cell r="P778">
            <v>0</v>
          </cell>
          <cell r="AC778">
            <v>0</v>
          </cell>
        </row>
        <row r="779">
          <cell r="D779" t="str">
            <v>7051</v>
          </cell>
          <cell r="E779" t="str">
            <v>Commissions et courtages reçus</v>
          </cell>
          <cell r="F779">
            <v>0</v>
          </cell>
          <cell r="L779">
            <v>0</v>
          </cell>
          <cell r="P779">
            <v>0</v>
          </cell>
          <cell r="AC779">
            <v>0</v>
          </cell>
        </row>
        <row r="780">
          <cell r="D780" t="str">
            <v>7052</v>
          </cell>
          <cell r="E780" t="str">
            <v>Loyer du personnel logé</v>
          </cell>
          <cell r="F780">
            <v>0</v>
          </cell>
          <cell r="L780">
            <v>0</v>
          </cell>
          <cell r="P780">
            <v>0</v>
          </cell>
          <cell r="AC780">
            <v>0</v>
          </cell>
        </row>
        <row r="781">
          <cell r="D781" t="str">
            <v>7054</v>
          </cell>
          <cell r="E781" t="str">
            <v>Formation et perfectionnement du personnel</v>
          </cell>
          <cell r="F781">
            <v>0</v>
          </cell>
          <cell r="L781">
            <v>0</v>
          </cell>
          <cell r="P781">
            <v>0</v>
          </cell>
          <cell r="AC781">
            <v>0</v>
          </cell>
        </row>
        <row r="782">
          <cell r="D782" t="str">
            <v>7056</v>
          </cell>
          <cell r="E782" t="str">
            <v>Centres d'estivage et colonies de vacances</v>
          </cell>
          <cell r="F782">
            <v>0</v>
          </cell>
          <cell r="L782">
            <v>0</v>
          </cell>
          <cell r="P782">
            <v>0</v>
          </cell>
          <cell r="AC782">
            <v>0</v>
          </cell>
        </row>
        <row r="783">
          <cell r="D783" t="str">
            <v>7057</v>
          </cell>
          <cell r="E783" t="str">
            <v>Prestations médicales</v>
          </cell>
          <cell r="F783">
            <v>0</v>
          </cell>
          <cell r="L783">
            <v>0</v>
          </cell>
          <cell r="P783">
            <v>0</v>
          </cell>
          <cell r="AC783">
            <v>0</v>
          </cell>
        </row>
        <row r="784">
          <cell r="D784" t="str">
            <v>7058</v>
          </cell>
          <cell r="E784" t="str">
            <v>Prestations club et économat</v>
          </cell>
          <cell r="F784">
            <v>0</v>
          </cell>
          <cell r="L784">
            <v>0</v>
          </cell>
          <cell r="P784">
            <v>0</v>
          </cell>
          <cell r="AC784">
            <v>0</v>
          </cell>
        </row>
        <row r="785">
          <cell r="D785" t="str">
            <v>7059</v>
          </cell>
          <cell r="E785" t="str">
            <v>Restauration</v>
          </cell>
          <cell r="F785">
            <v>0</v>
          </cell>
          <cell r="L785">
            <v>0</v>
          </cell>
          <cell r="P785">
            <v>0</v>
          </cell>
          <cell r="AC785">
            <v>0</v>
          </cell>
        </row>
        <row r="786">
          <cell r="D786" t="str">
            <v>7060</v>
          </cell>
          <cell r="E786" t="str">
            <v>Frais du personnel</v>
          </cell>
          <cell r="F786">
            <v>0</v>
          </cell>
          <cell r="L786">
            <v>0</v>
          </cell>
          <cell r="P786">
            <v>0</v>
          </cell>
          <cell r="AC786">
            <v>0</v>
          </cell>
        </row>
        <row r="787">
          <cell r="D787" t="str">
            <v>7065</v>
          </cell>
          <cell r="E787" t="str">
            <v>Bonis sur reprises d'emballages consignés</v>
          </cell>
          <cell r="F787">
            <v>0</v>
          </cell>
          <cell r="L787">
            <v>0</v>
          </cell>
          <cell r="P787">
            <v>0</v>
          </cell>
          <cell r="AC787">
            <v>0</v>
          </cell>
        </row>
        <row r="788">
          <cell r="D788" t="str">
            <v>7066</v>
          </cell>
          <cell r="E788" t="str">
            <v>Ports et frais accessoires facturés</v>
          </cell>
          <cell r="F788">
            <v>0</v>
          </cell>
          <cell r="L788">
            <v>0</v>
          </cell>
          <cell r="P788">
            <v>0</v>
          </cell>
          <cell r="AC788">
            <v>0</v>
          </cell>
        </row>
        <row r="789">
          <cell r="D789" t="str">
            <v>7071</v>
          </cell>
          <cell r="E789" t="str">
            <v>Dédouanement</v>
          </cell>
          <cell r="F789">
            <v>0</v>
          </cell>
          <cell r="L789">
            <v>0</v>
          </cell>
          <cell r="P789">
            <v>0</v>
          </cell>
          <cell r="AC789">
            <v>0</v>
          </cell>
        </row>
        <row r="790">
          <cell r="D790" t="str">
            <v>7072</v>
          </cell>
          <cell r="E790" t="str">
            <v>Prestations garage et station de service</v>
          </cell>
          <cell r="F790">
            <v>0</v>
          </cell>
          <cell r="L790">
            <v>0</v>
          </cell>
          <cell r="P790">
            <v>0</v>
          </cell>
          <cell r="AC790">
            <v>0</v>
          </cell>
        </row>
        <row r="791">
          <cell r="D791" t="str">
            <v>7073</v>
          </cell>
          <cell r="E791" t="str">
            <v>Imprimerie</v>
          </cell>
          <cell r="F791">
            <v>0</v>
          </cell>
          <cell r="L791">
            <v>0</v>
          </cell>
          <cell r="P791">
            <v>0</v>
          </cell>
          <cell r="AC791">
            <v>0</v>
          </cell>
        </row>
        <row r="792">
          <cell r="D792" t="str">
            <v>7074</v>
          </cell>
          <cell r="E792" t="str">
            <v>Prestations maritimes</v>
          </cell>
          <cell r="F792">
            <v>0</v>
          </cell>
          <cell r="L792">
            <v>0</v>
          </cell>
          <cell r="P792">
            <v>0</v>
          </cell>
          <cell r="AC792">
            <v>0</v>
          </cell>
        </row>
        <row r="793">
          <cell r="D793" t="str">
            <v>7075</v>
          </cell>
          <cell r="E793" t="str">
            <v>Prestations ateliers</v>
          </cell>
          <cell r="F793">
            <v>0</v>
          </cell>
          <cell r="L793">
            <v>0</v>
          </cell>
          <cell r="P793">
            <v>0</v>
          </cell>
          <cell r="AC793">
            <v>0</v>
          </cell>
        </row>
        <row r="794">
          <cell r="D794" t="str">
            <v>7076</v>
          </cell>
          <cell r="E794" t="str">
            <v>Prestations siège</v>
          </cell>
          <cell r="F794">
            <v>0</v>
          </cell>
          <cell r="L794">
            <v>0</v>
          </cell>
          <cell r="P794">
            <v>0</v>
          </cell>
          <cell r="AC794">
            <v>0</v>
          </cell>
        </row>
        <row r="795">
          <cell r="D795" t="str">
            <v>7077</v>
          </cell>
          <cell r="E795" t="str">
            <v>Retraite</v>
          </cell>
          <cell r="F795">
            <v>0</v>
          </cell>
          <cell r="L795">
            <v>0</v>
          </cell>
          <cell r="P795">
            <v>0</v>
          </cell>
          <cell r="AC795">
            <v>0</v>
          </cell>
        </row>
        <row r="796">
          <cell r="D796" t="str">
            <v>7078</v>
          </cell>
          <cell r="E796" t="str">
            <v>Téléphone</v>
          </cell>
          <cell r="F796">
            <v>0</v>
          </cell>
          <cell r="L796">
            <v>0</v>
          </cell>
          <cell r="P796">
            <v>0</v>
          </cell>
          <cell r="AC796">
            <v>0</v>
          </cell>
        </row>
        <row r="797">
          <cell r="D797" t="str">
            <v>7079</v>
          </cell>
          <cell r="E797" t="str">
            <v>Transport</v>
          </cell>
          <cell r="F797">
            <v>0</v>
          </cell>
          <cell r="L797">
            <v>0</v>
          </cell>
          <cell r="P797">
            <v>0</v>
          </cell>
          <cell r="AC797">
            <v>0</v>
          </cell>
        </row>
        <row r="798">
          <cell r="D798" t="str">
            <v>7080</v>
          </cell>
          <cell r="E798" t="str">
            <v>Vapeur</v>
          </cell>
          <cell r="F798">
            <v>0</v>
          </cell>
          <cell r="L798">
            <v>0</v>
          </cell>
          <cell r="P798">
            <v>0</v>
          </cell>
          <cell r="AC798">
            <v>0</v>
          </cell>
        </row>
        <row r="799">
          <cell r="D799" t="str">
            <v>7089</v>
          </cell>
          <cell r="E799" t="str">
            <v>Autres ventes et produits accessoires</v>
          </cell>
          <cell r="F799">
            <v>0</v>
          </cell>
          <cell r="L799">
            <v>0</v>
          </cell>
          <cell r="P799">
            <v>0</v>
          </cell>
          <cell r="AC799">
            <v>0</v>
          </cell>
        </row>
        <row r="800">
          <cell r="D800" t="str">
            <v>7091</v>
          </cell>
          <cell r="E800" t="str">
            <v>R.R.R accordés sur ventes au Maroc des biens produits</v>
          </cell>
          <cell r="F800">
            <v>0</v>
          </cell>
          <cell r="L800">
            <v>0</v>
          </cell>
          <cell r="P800">
            <v>0</v>
          </cell>
          <cell r="AC800">
            <v>0</v>
          </cell>
        </row>
        <row r="801">
          <cell r="D801" t="str">
            <v>7092</v>
          </cell>
          <cell r="E801" t="str">
            <v>R.R.R accordés sur ventes à l'étranger des biens produits</v>
          </cell>
          <cell r="F801">
            <v>0</v>
          </cell>
          <cell r="L801">
            <v>0</v>
          </cell>
          <cell r="P801">
            <v>0</v>
          </cell>
          <cell r="AC801">
            <v>0</v>
          </cell>
        </row>
        <row r="802">
          <cell r="D802" t="str">
            <v>7094</v>
          </cell>
          <cell r="E802" t="str">
            <v>R.R.R accordés sur ventes au Maroc des services produits</v>
          </cell>
          <cell r="F802">
            <v>0</v>
          </cell>
          <cell r="L802">
            <v>0</v>
          </cell>
          <cell r="P802">
            <v>0</v>
          </cell>
          <cell r="AC802">
            <v>0</v>
          </cell>
        </row>
        <row r="803">
          <cell r="D803" t="str">
            <v>7095</v>
          </cell>
          <cell r="E803" t="str">
            <v>R.R.R accordés sur ventes à l'étranger des services produits</v>
          </cell>
          <cell r="F803">
            <v>0</v>
          </cell>
          <cell r="L803">
            <v>0</v>
          </cell>
          <cell r="P803">
            <v>0</v>
          </cell>
          <cell r="AC803">
            <v>0</v>
          </cell>
        </row>
        <row r="804">
          <cell r="D804" t="str">
            <v>7110</v>
          </cell>
          <cell r="E804" t="str">
            <v>Variation des stocks de produits en cours</v>
          </cell>
          <cell r="F804">
            <v>0</v>
          </cell>
          <cell r="L804">
            <v>0</v>
          </cell>
          <cell r="P804">
            <v>0</v>
          </cell>
          <cell r="AC804">
            <v>0</v>
          </cell>
        </row>
        <row r="805">
          <cell r="D805" t="str">
            <v>7112</v>
          </cell>
          <cell r="E805" t="str">
            <v>Variation des stocks de produits intermédiaires en cours</v>
          </cell>
          <cell r="F805">
            <v>0</v>
          </cell>
          <cell r="L805">
            <v>0</v>
          </cell>
          <cell r="P805">
            <v>0</v>
          </cell>
          <cell r="AC805">
            <v>0</v>
          </cell>
        </row>
        <row r="806">
          <cell r="D806" t="str">
            <v>7117</v>
          </cell>
          <cell r="E806" t="str">
            <v>Variation des stocks de produits résiduels en cours</v>
          </cell>
          <cell r="F806">
            <v>0</v>
          </cell>
          <cell r="L806">
            <v>0</v>
          </cell>
          <cell r="P806">
            <v>0</v>
          </cell>
          <cell r="AC806">
            <v>0</v>
          </cell>
        </row>
        <row r="807">
          <cell r="D807" t="str">
            <v>7121</v>
          </cell>
          <cell r="E807" t="str">
            <v>Variation des stocks de produits finis</v>
          </cell>
          <cell r="F807">
            <v>0</v>
          </cell>
          <cell r="L807">
            <v>0</v>
          </cell>
          <cell r="P807">
            <v>0</v>
          </cell>
          <cell r="AC807">
            <v>0</v>
          </cell>
        </row>
        <row r="808">
          <cell r="D808" t="str">
            <v>7122</v>
          </cell>
          <cell r="E808" t="str">
            <v>Variation des stocks de produits intermédiaires</v>
          </cell>
          <cell r="F808">
            <v>0</v>
          </cell>
          <cell r="L808">
            <v>0</v>
          </cell>
          <cell r="P808">
            <v>0</v>
          </cell>
          <cell r="AC808">
            <v>0</v>
          </cell>
        </row>
        <row r="809">
          <cell r="D809" t="str">
            <v>7127</v>
          </cell>
          <cell r="E809" t="str">
            <v>Variation des stocks de produits résiduels</v>
          </cell>
          <cell r="F809">
            <v>0</v>
          </cell>
          <cell r="L809">
            <v>0</v>
          </cell>
          <cell r="P809">
            <v>0</v>
          </cell>
          <cell r="AC809">
            <v>0</v>
          </cell>
        </row>
        <row r="810">
          <cell r="D810" t="str">
            <v>7131</v>
          </cell>
          <cell r="E810" t="str">
            <v>Variation des stocks de travaux en cours</v>
          </cell>
          <cell r="F810">
            <v>0</v>
          </cell>
          <cell r="L810">
            <v>0</v>
          </cell>
          <cell r="P810">
            <v>0</v>
          </cell>
          <cell r="AC810">
            <v>0</v>
          </cell>
        </row>
        <row r="811">
          <cell r="D811" t="str">
            <v>7132</v>
          </cell>
          <cell r="E811" t="str">
            <v>Variation des stocks d'études en cours</v>
          </cell>
          <cell r="F811">
            <v>0</v>
          </cell>
          <cell r="L811">
            <v>0</v>
          </cell>
          <cell r="P811">
            <v>0</v>
          </cell>
          <cell r="AC811">
            <v>0</v>
          </cell>
        </row>
        <row r="812">
          <cell r="D812" t="str">
            <v>7133</v>
          </cell>
          <cell r="E812" t="str">
            <v>Variation des stocks de prestations en cours</v>
          </cell>
          <cell r="F812">
            <v>0</v>
          </cell>
          <cell r="L812">
            <v>0</v>
          </cell>
          <cell r="P812">
            <v>0</v>
          </cell>
          <cell r="AC812">
            <v>0</v>
          </cell>
        </row>
        <row r="813">
          <cell r="D813" t="str">
            <v>7141</v>
          </cell>
          <cell r="E813" t="str">
            <v>Immobilisations en non-valeur produites</v>
          </cell>
          <cell r="F813">
            <v>0</v>
          </cell>
          <cell r="L813">
            <v>0</v>
          </cell>
          <cell r="P813">
            <v>0</v>
          </cell>
          <cell r="AC813">
            <v>0</v>
          </cell>
        </row>
        <row r="814">
          <cell r="D814" t="str">
            <v>7142</v>
          </cell>
          <cell r="E814" t="str">
            <v>Immobilisations incorporelles produites</v>
          </cell>
          <cell r="F814">
            <v>0</v>
          </cell>
          <cell r="L814">
            <v>0</v>
          </cell>
          <cell r="P814">
            <v>0</v>
          </cell>
          <cell r="AC814">
            <v>0</v>
          </cell>
        </row>
        <row r="815">
          <cell r="D815" t="str">
            <v>7143</v>
          </cell>
          <cell r="E815" t="str">
            <v>Immobilisations corporelles produites</v>
          </cell>
          <cell r="F815">
            <v>0</v>
          </cell>
          <cell r="L815">
            <v>0</v>
          </cell>
          <cell r="P815">
            <v>0</v>
          </cell>
          <cell r="AC815">
            <v>0</v>
          </cell>
        </row>
        <row r="816">
          <cell r="D816" t="str">
            <v>7152</v>
          </cell>
          <cell r="E816" t="str">
            <v>Production d'articles codifiés mis en stocks</v>
          </cell>
          <cell r="F816">
            <v>0</v>
          </cell>
          <cell r="L816">
            <v>0</v>
          </cell>
          <cell r="P816">
            <v>0</v>
          </cell>
          <cell r="AC816">
            <v>0</v>
          </cell>
        </row>
        <row r="817">
          <cell r="D817" t="str">
            <v>7161</v>
          </cell>
          <cell r="E817" t="str">
            <v>Subventions d'exploitation reçues de l'exercice</v>
          </cell>
          <cell r="F817">
            <v>0</v>
          </cell>
          <cell r="L817">
            <v>0</v>
          </cell>
          <cell r="P817">
            <v>0</v>
          </cell>
          <cell r="AC817">
            <v>0</v>
          </cell>
        </row>
        <row r="818">
          <cell r="D818" t="str">
            <v>7181</v>
          </cell>
          <cell r="E818" t="str">
            <v>Jetons de présence reçus</v>
          </cell>
          <cell r="F818">
            <v>0</v>
          </cell>
          <cell r="L818">
            <v>0</v>
          </cell>
          <cell r="P818">
            <v>0</v>
          </cell>
          <cell r="AC818">
            <v>0</v>
          </cell>
        </row>
        <row r="819">
          <cell r="D819" t="str">
            <v>7182</v>
          </cell>
          <cell r="E819" t="str">
            <v>Revenus des immeubles non affectés à l'exploitation</v>
          </cell>
          <cell r="F819">
            <v>0</v>
          </cell>
          <cell r="L819">
            <v>0</v>
          </cell>
          <cell r="P819">
            <v>0</v>
          </cell>
          <cell r="AC819">
            <v>0</v>
          </cell>
        </row>
        <row r="820">
          <cell r="D820" t="str">
            <v>7185</v>
          </cell>
          <cell r="E820" t="str">
            <v>Profits sur opérations faites en commun</v>
          </cell>
          <cell r="F820">
            <v>0</v>
          </cell>
          <cell r="L820">
            <v>0</v>
          </cell>
          <cell r="P820">
            <v>0</v>
          </cell>
          <cell r="AC820">
            <v>0</v>
          </cell>
        </row>
        <row r="821">
          <cell r="D821" t="str">
            <v>7186</v>
          </cell>
          <cell r="E821" t="str">
            <v>Transfert de pertes sur opérations faites en commun</v>
          </cell>
          <cell r="F821">
            <v>0</v>
          </cell>
          <cell r="L821">
            <v>0</v>
          </cell>
          <cell r="P821">
            <v>0</v>
          </cell>
          <cell r="AC821">
            <v>0</v>
          </cell>
        </row>
        <row r="822">
          <cell r="D822" t="str">
            <v>7195</v>
          </cell>
          <cell r="E822" t="str">
            <v>Reprises sur provisions pour risques et charges</v>
          </cell>
          <cell r="F822">
            <v>0</v>
          </cell>
          <cell r="L822">
            <v>0</v>
          </cell>
          <cell r="P822">
            <v>0</v>
          </cell>
          <cell r="AC822">
            <v>0</v>
          </cell>
        </row>
        <row r="823">
          <cell r="D823" t="str">
            <v>7196</v>
          </cell>
          <cell r="E823" t="str">
            <v>Reprises sur provisions pour dépréciation de l'actif circulant</v>
          </cell>
          <cell r="F823">
            <v>0</v>
          </cell>
          <cell r="L823">
            <v>0</v>
          </cell>
          <cell r="P823">
            <v>0</v>
          </cell>
          <cell r="AC823">
            <v>0</v>
          </cell>
        </row>
        <row r="824">
          <cell r="D824" t="str">
            <v>7271</v>
          </cell>
          <cell r="E824" t="str">
            <v>T.C.E. achats de marchandises</v>
          </cell>
          <cell r="F824">
            <v>0</v>
          </cell>
          <cell r="L824">
            <v>0</v>
          </cell>
          <cell r="P824">
            <v>0</v>
          </cell>
          <cell r="AC824">
            <v>0</v>
          </cell>
        </row>
        <row r="825">
          <cell r="D825" t="str">
            <v>7272</v>
          </cell>
          <cell r="E825" t="str">
            <v>T.C.E. achats consommés de matières premières et fournitures</v>
          </cell>
          <cell r="F825">
            <v>0</v>
          </cell>
          <cell r="L825">
            <v>0</v>
          </cell>
          <cell r="P825">
            <v>0</v>
          </cell>
          <cell r="AC825">
            <v>0</v>
          </cell>
        </row>
        <row r="826">
          <cell r="D826" t="str">
            <v>7273</v>
          </cell>
          <cell r="E826" t="str">
            <v>T.C.E. autres charges externes</v>
          </cell>
          <cell r="F826">
            <v>0</v>
          </cell>
          <cell r="L826">
            <v>0</v>
          </cell>
          <cell r="P826">
            <v>0</v>
          </cell>
          <cell r="AC826">
            <v>0</v>
          </cell>
        </row>
        <row r="827">
          <cell r="D827" t="str">
            <v>7275</v>
          </cell>
          <cell r="E827" t="str">
            <v>T.C.E. impôts et taxes</v>
          </cell>
          <cell r="F827">
            <v>0</v>
          </cell>
          <cell r="L827">
            <v>0</v>
          </cell>
          <cell r="P827">
            <v>0</v>
          </cell>
          <cell r="AC827">
            <v>0</v>
          </cell>
        </row>
        <row r="828">
          <cell r="D828" t="str">
            <v>7276</v>
          </cell>
          <cell r="E828" t="str">
            <v>T.C.E. charges du personnel</v>
          </cell>
          <cell r="F828">
            <v>0</v>
          </cell>
          <cell r="L828">
            <v>0</v>
          </cell>
          <cell r="P828">
            <v>0</v>
          </cell>
          <cell r="AC828">
            <v>0</v>
          </cell>
        </row>
        <row r="829">
          <cell r="D829" t="str">
            <v>7278</v>
          </cell>
          <cell r="E829" t="str">
            <v>T.C.E. autres charges d'exploitation</v>
          </cell>
          <cell r="F829">
            <v>0</v>
          </cell>
          <cell r="L829">
            <v>0</v>
          </cell>
          <cell r="P829">
            <v>0</v>
          </cell>
          <cell r="AC829">
            <v>0</v>
          </cell>
        </row>
        <row r="830">
          <cell r="D830" t="str">
            <v>7321</v>
          </cell>
          <cell r="E830" t="str">
            <v>Revenus des titres de participation</v>
          </cell>
          <cell r="F830">
            <v>0</v>
          </cell>
          <cell r="L830">
            <v>0</v>
          </cell>
          <cell r="P830">
            <v>0</v>
          </cell>
          <cell r="AC830">
            <v>0</v>
          </cell>
        </row>
        <row r="831">
          <cell r="D831" t="str">
            <v>7325</v>
          </cell>
          <cell r="E831" t="str">
            <v>Revenus des titres immobilisés</v>
          </cell>
          <cell r="F831">
            <v>0</v>
          </cell>
          <cell r="L831">
            <v>0</v>
          </cell>
          <cell r="P831">
            <v>0</v>
          </cell>
          <cell r="AC831">
            <v>0</v>
          </cell>
        </row>
        <row r="832">
          <cell r="D832" t="str">
            <v>7329</v>
          </cell>
          <cell r="E832" t="str">
            <v>Gains de change sur remboursement des dettes de financement</v>
          </cell>
          <cell r="F832">
            <v>0</v>
          </cell>
          <cell r="L832">
            <v>0</v>
          </cell>
          <cell r="P832">
            <v>0</v>
          </cell>
          <cell r="AC832">
            <v>0</v>
          </cell>
        </row>
        <row r="833">
          <cell r="D833" t="str">
            <v>7331</v>
          </cell>
          <cell r="E833" t="str">
            <v>Gains de change sur opérations de trésorerie</v>
          </cell>
          <cell r="F833">
            <v>0</v>
          </cell>
          <cell r="L833">
            <v>0</v>
          </cell>
          <cell r="P833">
            <v>0</v>
          </cell>
          <cell r="AC833">
            <v>0</v>
          </cell>
        </row>
        <row r="834">
          <cell r="D834" t="str">
            <v>7332</v>
          </cell>
          <cell r="E834" t="str">
            <v>Gains de change sur opérations commerciales</v>
          </cell>
          <cell r="F834">
            <v>0</v>
          </cell>
          <cell r="L834">
            <v>0</v>
          </cell>
          <cell r="P834">
            <v>0</v>
          </cell>
          <cell r="AC834">
            <v>0</v>
          </cell>
        </row>
        <row r="835">
          <cell r="D835" t="str">
            <v>7342</v>
          </cell>
          <cell r="E835" t="str">
            <v>Intérêts des prêts hypothécaires accordés au personnel OE</v>
          </cell>
          <cell r="F835">
            <v>0</v>
          </cell>
          <cell r="L835">
            <v>0</v>
          </cell>
          <cell r="P835">
            <v>0</v>
          </cell>
          <cell r="AC835">
            <v>0</v>
          </cell>
        </row>
        <row r="836">
          <cell r="D836" t="str">
            <v>7346</v>
          </cell>
          <cell r="E836" t="str">
            <v>Intérêts des prêts hypothécaires accordés au personnel TAMCA</v>
          </cell>
          <cell r="F836">
            <v>0</v>
          </cell>
          <cell r="L836">
            <v>0</v>
          </cell>
          <cell r="P836">
            <v>0</v>
          </cell>
          <cell r="AC836">
            <v>0</v>
          </cell>
        </row>
        <row r="837">
          <cell r="D837" t="str">
            <v>7349</v>
          </cell>
          <cell r="E837" t="str">
            <v>Intérêts des prêts hypothécaires accordés au personnel hors cadres</v>
          </cell>
          <cell r="F837">
            <v>0</v>
          </cell>
          <cell r="L837">
            <v>0</v>
          </cell>
          <cell r="P837">
            <v>0</v>
          </cell>
          <cell r="AC837">
            <v>0</v>
          </cell>
        </row>
        <row r="838">
          <cell r="D838" t="str">
            <v>7352</v>
          </cell>
          <cell r="E838" t="str">
            <v>Intérêts des prêts achats de véhicules accordés au personnel OE</v>
          </cell>
          <cell r="F838">
            <v>0</v>
          </cell>
          <cell r="L838">
            <v>0</v>
          </cell>
          <cell r="P838">
            <v>0</v>
          </cell>
          <cell r="AC838">
            <v>0</v>
          </cell>
        </row>
        <row r="839">
          <cell r="D839" t="str">
            <v>7356</v>
          </cell>
          <cell r="E839" t="str">
            <v>Intérêts des prêts achats de véhicules accordés au personnel tamca</v>
          </cell>
          <cell r="F839">
            <v>0</v>
          </cell>
          <cell r="L839">
            <v>0</v>
          </cell>
          <cell r="P839">
            <v>0</v>
          </cell>
          <cell r="AC839">
            <v>0</v>
          </cell>
        </row>
        <row r="840">
          <cell r="D840" t="str">
            <v>7359</v>
          </cell>
          <cell r="E840" t="str">
            <v>Intérêts des prêts achats de véhicules accordés au personnel hors cadres</v>
          </cell>
          <cell r="F840">
            <v>0</v>
          </cell>
          <cell r="L840">
            <v>0</v>
          </cell>
          <cell r="P840">
            <v>0</v>
          </cell>
          <cell r="AC840">
            <v>0</v>
          </cell>
        </row>
        <row r="841">
          <cell r="D841" t="str">
            <v>7362</v>
          </cell>
          <cell r="E841" t="str">
            <v>Intérêts des prêts ménagers rémunérés pl OE</v>
          </cell>
          <cell r="F841">
            <v>0</v>
          </cell>
          <cell r="L841">
            <v>0</v>
          </cell>
          <cell r="P841">
            <v>0</v>
          </cell>
          <cell r="AC841">
            <v>0</v>
          </cell>
        </row>
        <row r="842">
          <cell r="D842" t="str">
            <v>7366</v>
          </cell>
          <cell r="E842" t="str">
            <v>Intérêts des prêts ménagers rémunérés pl TAMCA</v>
          </cell>
          <cell r="F842">
            <v>0</v>
          </cell>
          <cell r="L842">
            <v>0</v>
          </cell>
          <cell r="P842">
            <v>0</v>
          </cell>
          <cell r="AC842">
            <v>0</v>
          </cell>
        </row>
        <row r="843">
          <cell r="D843" t="str">
            <v>7369</v>
          </cell>
          <cell r="E843" t="str">
            <v>Intérêts des prêts ménagers rémunérés pl hors cadres</v>
          </cell>
          <cell r="F843">
            <v>0</v>
          </cell>
          <cell r="L843">
            <v>0</v>
          </cell>
          <cell r="P843">
            <v>0</v>
          </cell>
          <cell r="AC843">
            <v>0</v>
          </cell>
        </row>
        <row r="844">
          <cell r="D844" t="str">
            <v>7372</v>
          </cell>
          <cell r="E844" t="str">
            <v>Intérêts des prêts de cessions logements pl OE</v>
          </cell>
          <cell r="F844">
            <v>0</v>
          </cell>
          <cell r="L844">
            <v>0</v>
          </cell>
          <cell r="P844">
            <v>0</v>
          </cell>
          <cell r="AC844">
            <v>0</v>
          </cell>
        </row>
        <row r="845">
          <cell r="D845" t="str">
            <v>7376</v>
          </cell>
          <cell r="E845" t="str">
            <v>Intérêts des prêts de cessions logements personnel TAMCA</v>
          </cell>
          <cell r="F845">
            <v>0</v>
          </cell>
          <cell r="L845">
            <v>0</v>
          </cell>
          <cell r="P845">
            <v>0</v>
          </cell>
          <cell r="AC845">
            <v>0</v>
          </cell>
        </row>
        <row r="846">
          <cell r="D846" t="str">
            <v>7379</v>
          </cell>
          <cell r="E846" t="str">
            <v>Intérêts des prêts de cessions logements personnel hors cadres</v>
          </cell>
          <cell r="F846">
            <v>0</v>
          </cell>
          <cell r="L846">
            <v>0</v>
          </cell>
          <cell r="P846">
            <v>0</v>
          </cell>
          <cell r="AC846">
            <v>0</v>
          </cell>
        </row>
        <row r="847">
          <cell r="D847" t="str">
            <v>7382</v>
          </cell>
          <cell r="E847" t="str">
            <v>Intérêts des autres prêts au personnel OE</v>
          </cell>
          <cell r="F847">
            <v>0</v>
          </cell>
          <cell r="L847">
            <v>0</v>
          </cell>
          <cell r="P847">
            <v>0</v>
          </cell>
          <cell r="AC847">
            <v>0</v>
          </cell>
        </row>
        <row r="848">
          <cell r="D848" t="str">
            <v>7386</v>
          </cell>
          <cell r="E848" t="str">
            <v>Intérêts des autres prêts au personnel TAMCA</v>
          </cell>
          <cell r="F848">
            <v>0</v>
          </cell>
          <cell r="L848">
            <v>0</v>
          </cell>
          <cell r="P848">
            <v>0</v>
          </cell>
          <cell r="AC848">
            <v>0</v>
          </cell>
        </row>
        <row r="849">
          <cell r="D849" t="str">
            <v>7389</v>
          </cell>
          <cell r="E849" t="str">
            <v>Intérêts des autres prêts au personnel hors cadres</v>
          </cell>
          <cell r="F849">
            <v>0</v>
          </cell>
          <cell r="L849">
            <v>0</v>
          </cell>
          <cell r="P849">
            <v>0</v>
          </cell>
          <cell r="AC849">
            <v>0</v>
          </cell>
        </row>
        <row r="850">
          <cell r="D850" t="str">
            <v>7391</v>
          </cell>
          <cell r="E850" t="str">
            <v>Intérêts bancaires Maroc</v>
          </cell>
          <cell r="F850">
            <v>0</v>
          </cell>
          <cell r="L850">
            <v>0</v>
          </cell>
          <cell r="P850">
            <v>0</v>
          </cell>
          <cell r="AC850">
            <v>0</v>
          </cell>
        </row>
        <row r="851">
          <cell r="D851" t="str">
            <v>7392</v>
          </cell>
          <cell r="E851" t="str">
            <v>Intérêts bancaires bureau de Paris</v>
          </cell>
          <cell r="F851">
            <v>0</v>
          </cell>
          <cell r="L851">
            <v>0</v>
          </cell>
          <cell r="P851">
            <v>0</v>
          </cell>
          <cell r="AC851">
            <v>0</v>
          </cell>
        </row>
        <row r="852">
          <cell r="D852" t="str">
            <v>7393</v>
          </cell>
          <cell r="E852" t="str">
            <v>Intérêts des placements en devises</v>
          </cell>
          <cell r="F852">
            <v>0</v>
          </cell>
          <cell r="L852">
            <v>0</v>
          </cell>
          <cell r="P852">
            <v>0</v>
          </cell>
          <cell r="AC852">
            <v>0</v>
          </cell>
        </row>
        <row r="853">
          <cell r="D853" t="str">
            <v>7394</v>
          </cell>
          <cell r="E853" t="str">
            <v>Intérêts bancaires créditeurs</v>
          </cell>
          <cell r="F853">
            <v>0</v>
          </cell>
          <cell r="L853">
            <v>0</v>
          </cell>
          <cell r="P853">
            <v>0</v>
          </cell>
          <cell r="AC853">
            <v>0</v>
          </cell>
        </row>
        <row r="854">
          <cell r="D854" t="str">
            <v>7403</v>
          </cell>
          <cell r="E854" t="str">
            <v>Revenus des créances rattachées a des participations</v>
          </cell>
          <cell r="F854">
            <v>0</v>
          </cell>
          <cell r="L854">
            <v>0</v>
          </cell>
          <cell r="P854">
            <v>0</v>
          </cell>
          <cell r="AC854">
            <v>0</v>
          </cell>
        </row>
        <row r="855">
          <cell r="D855" t="str">
            <v>7404</v>
          </cell>
          <cell r="E855" t="str">
            <v>Revenus des titres et valeurs de placement</v>
          </cell>
          <cell r="F855">
            <v>0</v>
          </cell>
          <cell r="L855">
            <v>0</v>
          </cell>
          <cell r="P855">
            <v>0</v>
          </cell>
          <cell r="AC855">
            <v>0</v>
          </cell>
        </row>
        <row r="856">
          <cell r="D856" t="str">
            <v>7405</v>
          </cell>
          <cell r="E856" t="str">
            <v>Produits nets sur cessions de titres et valeurs de placement</v>
          </cell>
          <cell r="F856">
            <v>0</v>
          </cell>
          <cell r="L856">
            <v>0</v>
          </cell>
          <cell r="P856">
            <v>0</v>
          </cell>
          <cell r="AC856">
            <v>0</v>
          </cell>
        </row>
        <row r="857">
          <cell r="D857" t="str">
            <v>7406</v>
          </cell>
          <cell r="E857" t="str">
            <v>Escomptes obtenus</v>
          </cell>
          <cell r="F857">
            <v>0</v>
          </cell>
          <cell r="L857">
            <v>0</v>
          </cell>
          <cell r="P857">
            <v>0</v>
          </cell>
          <cell r="AC857">
            <v>0</v>
          </cell>
        </row>
        <row r="858">
          <cell r="D858" t="str">
            <v>7410</v>
          </cell>
          <cell r="E858" t="str">
            <v>Reprises sur amortissements des primes</v>
          </cell>
          <cell r="F858">
            <v>0</v>
          </cell>
          <cell r="L858">
            <v>0</v>
          </cell>
          <cell r="P858">
            <v>0</v>
          </cell>
          <cell r="AC858">
            <v>0</v>
          </cell>
        </row>
        <row r="859">
          <cell r="D859" t="str">
            <v>7420</v>
          </cell>
          <cell r="E859" t="str">
            <v>Reprises sur provisions pour dépréciation des immo.financières</v>
          </cell>
          <cell r="F859">
            <v>0</v>
          </cell>
          <cell r="L859">
            <v>0</v>
          </cell>
          <cell r="P859">
            <v>0</v>
          </cell>
          <cell r="AC859">
            <v>0</v>
          </cell>
        </row>
        <row r="860">
          <cell r="D860" t="str">
            <v>7430</v>
          </cell>
          <cell r="E860" t="str">
            <v>Reprises sur provisions pour risques et charges financiers</v>
          </cell>
          <cell r="F860">
            <v>0</v>
          </cell>
          <cell r="L860">
            <v>0</v>
          </cell>
          <cell r="P860">
            <v>0</v>
          </cell>
          <cell r="AC860">
            <v>0</v>
          </cell>
        </row>
        <row r="861">
          <cell r="D861" t="str">
            <v>7431</v>
          </cell>
          <cell r="E861" t="str">
            <v>Reprises sur provisions pour risques et charges financieres sur dettes financières</v>
          </cell>
          <cell r="F861">
            <v>0</v>
          </cell>
          <cell r="L861">
            <v>0</v>
          </cell>
          <cell r="P861">
            <v>0</v>
          </cell>
          <cell r="AC861">
            <v>0</v>
          </cell>
        </row>
        <row r="862">
          <cell r="D862" t="str">
            <v>7432</v>
          </cell>
          <cell r="E862" t="str">
            <v>Reprises sur provisions pour risques et charges financières</v>
          </cell>
          <cell r="F862">
            <v>0</v>
          </cell>
          <cell r="L862">
            <v>0</v>
          </cell>
          <cell r="P862">
            <v>0</v>
          </cell>
          <cell r="AC862">
            <v>0</v>
          </cell>
        </row>
        <row r="863">
          <cell r="D863" t="str">
            <v>7440</v>
          </cell>
          <cell r="E863" t="str">
            <v>Reprises sur provisions pour dépréciation des titres et valeurs de placement</v>
          </cell>
          <cell r="F863">
            <v>0</v>
          </cell>
          <cell r="L863">
            <v>0</v>
          </cell>
          <cell r="P863">
            <v>0</v>
          </cell>
          <cell r="AC863">
            <v>0</v>
          </cell>
        </row>
        <row r="864">
          <cell r="D864" t="str">
            <v>7441</v>
          </cell>
          <cell r="E864" t="str">
            <v>Reprises sur provisions pour dépréciation des VPM SICAV</v>
          </cell>
          <cell r="F864">
            <v>0</v>
          </cell>
          <cell r="L864">
            <v>0</v>
          </cell>
          <cell r="P864">
            <v>0</v>
          </cell>
          <cell r="AC864">
            <v>0</v>
          </cell>
        </row>
        <row r="865">
          <cell r="D865" t="str">
            <v>7460</v>
          </cell>
          <cell r="E865" t="str">
            <v>Reprises sur provisions pour dépréciation des comptes de trésorerie</v>
          </cell>
          <cell r="F865">
            <v>0</v>
          </cell>
          <cell r="L865">
            <v>0</v>
          </cell>
          <cell r="P865">
            <v>0</v>
          </cell>
          <cell r="AC865">
            <v>0</v>
          </cell>
        </row>
        <row r="866">
          <cell r="D866" t="str">
            <v>7471</v>
          </cell>
          <cell r="E866" t="str">
            <v>Transferts - charges d'intérêts</v>
          </cell>
          <cell r="F866">
            <v>0</v>
          </cell>
          <cell r="L866">
            <v>0</v>
          </cell>
          <cell r="P866">
            <v>0</v>
          </cell>
          <cell r="AC866">
            <v>0</v>
          </cell>
        </row>
        <row r="867">
          <cell r="D867" t="str">
            <v>7473</v>
          </cell>
          <cell r="E867" t="str">
            <v>Transferts - pertes de change</v>
          </cell>
          <cell r="F867">
            <v>0</v>
          </cell>
          <cell r="L867">
            <v>0</v>
          </cell>
          <cell r="P867">
            <v>0</v>
          </cell>
          <cell r="AC867">
            <v>0</v>
          </cell>
        </row>
        <row r="868">
          <cell r="D868" t="str">
            <v>7478</v>
          </cell>
          <cell r="E868" t="str">
            <v>Transferts - autres charges financières</v>
          </cell>
          <cell r="F868">
            <v>0</v>
          </cell>
          <cell r="L868">
            <v>0</v>
          </cell>
          <cell r="P868">
            <v>0</v>
          </cell>
          <cell r="AC868">
            <v>0</v>
          </cell>
        </row>
        <row r="869">
          <cell r="D869" t="str">
            <v>7514</v>
          </cell>
          <cell r="E869" t="str">
            <v>Produits de cession des immobilisations financières droits de propriété</v>
          </cell>
          <cell r="F869">
            <v>0</v>
          </cell>
          <cell r="L869">
            <v>0</v>
          </cell>
          <cell r="P869">
            <v>0</v>
          </cell>
          <cell r="AC869">
            <v>0</v>
          </cell>
        </row>
        <row r="870">
          <cell r="D870" t="str">
            <v>7561</v>
          </cell>
          <cell r="E870" t="str">
            <v>Subventions d'équilibre reçues de l'exercice</v>
          </cell>
          <cell r="F870">
            <v>0</v>
          </cell>
          <cell r="L870">
            <v>0</v>
          </cell>
          <cell r="P870">
            <v>0</v>
          </cell>
          <cell r="AC870">
            <v>0</v>
          </cell>
        </row>
        <row r="871">
          <cell r="D871" t="str">
            <v>7580</v>
          </cell>
          <cell r="E871" t="str">
            <v>Valeur net des amortissements des immobilisations</v>
          </cell>
          <cell r="F871">
            <v>0</v>
          </cell>
          <cell r="L871">
            <v>0</v>
          </cell>
          <cell r="P871">
            <v>0</v>
          </cell>
          <cell r="AC871">
            <v>0</v>
          </cell>
        </row>
        <row r="872">
          <cell r="D872" t="str">
            <v>7581</v>
          </cell>
          <cell r="E872" t="str">
            <v>Pénalités et dédits reçus</v>
          </cell>
          <cell r="F872">
            <v>0</v>
          </cell>
          <cell r="L872">
            <v>0</v>
          </cell>
          <cell r="P872">
            <v>0</v>
          </cell>
          <cell r="AC872">
            <v>0</v>
          </cell>
        </row>
        <row r="873">
          <cell r="D873" t="str">
            <v>7584</v>
          </cell>
          <cell r="E873" t="str">
            <v>Dégrèvements d'impôts autres qu'impôts sur les résultats</v>
          </cell>
          <cell r="F873">
            <v>0</v>
          </cell>
          <cell r="L873">
            <v>0</v>
          </cell>
          <cell r="P873">
            <v>0</v>
          </cell>
          <cell r="AC873">
            <v>0</v>
          </cell>
        </row>
        <row r="874">
          <cell r="D874" t="str">
            <v>7585</v>
          </cell>
          <cell r="E874" t="str">
            <v>Rentrées sur créances soldées</v>
          </cell>
          <cell r="F874">
            <v>0</v>
          </cell>
          <cell r="L874">
            <v>0</v>
          </cell>
          <cell r="P874">
            <v>0</v>
          </cell>
          <cell r="AC874">
            <v>0</v>
          </cell>
        </row>
        <row r="875">
          <cell r="D875" t="str">
            <v>7586</v>
          </cell>
          <cell r="E875" t="str">
            <v>Dons, libéralités et lots reçus</v>
          </cell>
          <cell r="F875">
            <v>0</v>
          </cell>
          <cell r="L875">
            <v>0</v>
          </cell>
          <cell r="P875">
            <v>0</v>
          </cell>
          <cell r="AC875">
            <v>0</v>
          </cell>
        </row>
        <row r="876">
          <cell r="D876" t="str">
            <v>7641</v>
          </cell>
          <cell r="E876" t="str">
            <v>Reprises sur amortissements dérogatoires</v>
          </cell>
          <cell r="F876">
            <v>0</v>
          </cell>
          <cell r="L876">
            <v>0</v>
          </cell>
          <cell r="P876">
            <v>0</v>
          </cell>
          <cell r="AC876">
            <v>0</v>
          </cell>
        </row>
        <row r="877">
          <cell r="D877" t="str">
            <v>7642</v>
          </cell>
          <cell r="E877" t="str">
            <v>Reprises sur plus values en instance d'imposition</v>
          </cell>
          <cell r="F877">
            <v>0</v>
          </cell>
          <cell r="L877">
            <v>0</v>
          </cell>
          <cell r="P877">
            <v>0</v>
          </cell>
          <cell r="AC877">
            <v>0</v>
          </cell>
        </row>
        <row r="878">
          <cell r="D878" t="str">
            <v>7644</v>
          </cell>
          <cell r="E878" t="str">
            <v>Reprises sur provisions pour investissements</v>
          </cell>
          <cell r="F878">
            <v>0</v>
          </cell>
          <cell r="L878">
            <v>0</v>
          </cell>
          <cell r="P878">
            <v>0</v>
          </cell>
          <cell r="AC878">
            <v>0</v>
          </cell>
        </row>
        <row r="879">
          <cell r="D879" t="str">
            <v>7645</v>
          </cell>
          <cell r="E879" t="str">
            <v>Reprises sur provisions pour reconstitution de gisements</v>
          </cell>
          <cell r="F879">
            <v>0</v>
          </cell>
          <cell r="L879">
            <v>0</v>
          </cell>
          <cell r="P879">
            <v>0</v>
          </cell>
          <cell r="AC879">
            <v>0</v>
          </cell>
        </row>
        <row r="880">
          <cell r="D880" t="str">
            <v>7646</v>
          </cell>
          <cell r="E880" t="str">
            <v>Reprises sur provisions pour acquisition et construction de logements</v>
          </cell>
          <cell r="F880">
            <v>0</v>
          </cell>
          <cell r="L880">
            <v>0</v>
          </cell>
          <cell r="P880">
            <v>0</v>
          </cell>
          <cell r="AC880">
            <v>0</v>
          </cell>
        </row>
        <row r="881">
          <cell r="D881" t="str">
            <v>7655</v>
          </cell>
          <cell r="E881" t="str">
            <v>Reprises sur provisions pour risques et charges durables</v>
          </cell>
          <cell r="F881">
            <v>0</v>
          </cell>
          <cell r="L881">
            <v>0</v>
          </cell>
          <cell r="P881">
            <v>0</v>
          </cell>
          <cell r="AC881">
            <v>0</v>
          </cell>
        </row>
        <row r="882">
          <cell r="D882" t="str">
            <v>7657</v>
          </cell>
          <cell r="E882" t="str">
            <v>Reprises sur provisions pour risques et charges momentanés</v>
          </cell>
          <cell r="F882">
            <v>0</v>
          </cell>
          <cell r="L882">
            <v>0</v>
          </cell>
          <cell r="P882">
            <v>0</v>
          </cell>
          <cell r="AC882">
            <v>0</v>
          </cell>
        </row>
        <row r="883">
          <cell r="D883" t="str">
            <v>7662</v>
          </cell>
          <cell r="E883" t="str">
            <v>R.N.C sur provisions pour dépréciation de l'actif immobilisé</v>
          </cell>
          <cell r="F883">
            <v>0</v>
          </cell>
          <cell r="L883">
            <v>0</v>
          </cell>
          <cell r="P883">
            <v>0</v>
          </cell>
          <cell r="AC883">
            <v>0</v>
          </cell>
        </row>
        <row r="884">
          <cell r="D884" t="str">
            <v>7663</v>
          </cell>
          <cell r="E884" t="str">
            <v>R.N.C sur provisions pour dépréciation de l'actif circulant</v>
          </cell>
          <cell r="F884">
            <v>0</v>
          </cell>
          <cell r="L884">
            <v>0</v>
          </cell>
          <cell r="P884">
            <v>0</v>
          </cell>
          <cell r="AC884">
            <v>0</v>
          </cell>
        </row>
        <row r="885">
          <cell r="D885" t="str">
            <v>7670</v>
          </cell>
          <cell r="E885" t="str">
            <v>Transferts de charges non courantes</v>
          </cell>
          <cell r="F885">
            <v>0</v>
          </cell>
          <cell r="L885">
            <v>0</v>
          </cell>
          <cell r="P885">
            <v>0</v>
          </cell>
          <cell r="AC885">
            <v>0</v>
          </cell>
        </row>
        <row r="886">
          <cell r="D886" t="str">
            <v>8101</v>
          </cell>
          <cell r="E886" t="str">
            <v>Recettes ligne 2101</v>
          </cell>
          <cell r="F886">
            <v>0</v>
          </cell>
          <cell r="L886">
            <v>0</v>
          </cell>
          <cell r="P886">
            <v>0</v>
          </cell>
          <cell r="AC886">
            <v>0</v>
          </cell>
        </row>
        <row r="887">
          <cell r="D887" t="str">
            <v>8104</v>
          </cell>
          <cell r="E887" t="str">
            <v>Recettes ligne 2104</v>
          </cell>
          <cell r="F887">
            <v>0</v>
          </cell>
          <cell r="L887">
            <v>0</v>
          </cell>
          <cell r="P887">
            <v>0</v>
          </cell>
          <cell r="AC887">
            <v>0</v>
          </cell>
        </row>
        <row r="888">
          <cell r="D888" t="str">
            <v>8105</v>
          </cell>
          <cell r="E888" t="str">
            <v>Recettes ligne 2105</v>
          </cell>
          <cell r="F888">
            <v>0</v>
          </cell>
          <cell r="L888">
            <v>0</v>
          </cell>
          <cell r="P888">
            <v>0</v>
          </cell>
          <cell r="AC888">
            <v>0</v>
          </cell>
        </row>
        <row r="889">
          <cell r="D889" t="str">
            <v>8110</v>
          </cell>
          <cell r="E889" t="str">
            <v>Recettes ligne 2110</v>
          </cell>
          <cell r="F889">
            <v>0</v>
          </cell>
          <cell r="L889">
            <v>0</v>
          </cell>
          <cell r="P889">
            <v>0</v>
          </cell>
          <cell r="AC889">
            <v>0</v>
          </cell>
        </row>
        <row r="890">
          <cell r="D890" t="str">
            <v>8121</v>
          </cell>
          <cell r="E890" t="str">
            <v>Recette ligne 2121</v>
          </cell>
          <cell r="F890">
            <v>0</v>
          </cell>
          <cell r="L890">
            <v>0</v>
          </cell>
          <cell r="P890">
            <v>0</v>
          </cell>
          <cell r="AC890">
            <v>0</v>
          </cell>
        </row>
        <row r="891">
          <cell r="D891" t="str">
            <v>8122</v>
          </cell>
          <cell r="E891" t="str">
            <v>Recette ligne 2122</v>
          </cell>
          <cell r="F891">
            <v>0</v>
          </cell>
          <cell r="L891">
            <v>0</v>
          </cell>
          <cell r="P891">
            <v>0</v>
          </cell>
          <cell r="AC891">
            <v>0</v>
          </cell>
        </row>
        <row r="892">
          <cell r="D892" t="str">
            <v>8123</v>
          </cell>
          <cell r="E892" t="str">
            <v>Recette ligne 2123</v>
          </cell>
          <cell r="F892">
            <v>0</v>
          </cell>
          <cell r="L892">
            <v>0</v>
          </cell>
          <cell r="P892">
            <v>0</v>
          </cell>
          <cell r="AC892">
            <v>0</v>
          </cell>
        </row>
        <row r="893">
          <cell r="D893" t="str">
            <v>8124</v>
          </cell>
          <cell r="E893" t="str">
            <v>Recette ligne 2124</v>
          </cell>
          <cell r="F893">
            <v>0</v>
          </cell>
          <cell r="L893">
            <v>0</v>
          </cell>
          <cell r="P893">
            <v>0</v>
          </cell>
          <cell r="AC893">
            <v>0</v>
          </cell>
        </row>
        <row r="894">
          <cell r="D894" t="str">
            <v>8125</v>
          </cell>
          <cell r="E894" t="str">
            <v>Recette ligne 2125</v>
          </cell>
          <cell r="F894">
            <v>0</v>
          </cell>
          <cell r="L894">
            <v>0</v>
          </cell>
          <cell r="P894">
            <v>0</v>
          </cell>
          <cell r="AC894">
            <v>0</v>
          </cell>
        </row>
        <row r="895">
          <cell r="D895" t="str">
            <v>8126</v>
          </cell>
          <cell r="E895" t="str">
            <v>Recette ligne 2126</v>
          </cell>
          <cell r="F895">
            <v>0</v>
          </cell>
          <cell r="L895">
            <v>0</v>
          </cell>
          <cell r="P895">
            <v>0</v>
          </cell>
          <cell r="AC895">
            <v>0</v>
          </cell>
        </row>
        <row r="896">
          <cell r="D896" t="str">
            <v>8130</v>
          </cell>
          <cell r="E896" t="str">
            <v>Recette ligne 2130</v>
          </cell>
          <cell r="F896">
            <v>0</v>
          </cell>
          <cell r="L896">
            <v>0</v>
          </cell>
          <cell r="P896">
            <v>0</v>
          </cell>
          <cell r="AC896">
            <v>0</v>
          </cell>
        </row>
        <row r="897">
          <cell r="D897" t="str">
            <v>8140</v>
          </cell>
          <cell r="E897" t="str">
            <v>Recette ligne 2140</v>
          </cell>
          <cell r="F897">
            <v>0</v>
          </cell>
          <cell r="L897">
            <v>0</v>
          </cell>
          <cell r="P897">
            <v>0</v>
          </cell>
          <cell r="AC897">
            <v>0</v>
          </cell>
        </row>
        <row r="898">
          <cell r="D898" t="str">
            <v>8141</v>
          </cell>
          <cell r="E898" t="str">
            <v>Recette ligne 2141</v>
          </cell>
          <cell r="F898">
            <v>0</v>
          </cell>
          <cell r="L898">
            <v>0</v>
          </cell>
          <cell r="P898">
            <v>0</v>
          </cell>
          <cell r="AC898">
            <v>0</v>
          </cell>
        </row>
        <row r="899">
          <cell r="D899" t="str">
            <v>8142</v>
          </cell>
          <cell r="E899" t="str">
            <v>Recette ligne 2142</v>
          </cell>
          <cell r="F899">
            <v>0</v>
          </cell>
          <cell r="L899">
            <v>0</v>
          </cell>
          <cell r="P899">
            <v>0</v>
          </cell>
          <cell r="AC899">
            <v>0</v>
          </cell>
        </row>
        <row r="900">
          <cell r="D900" t="str">
            <v>8149</v>
          </cell>
          <cell r="E900" t="str">
            <v>Recette ligne 2142 à 2149</v>
          </cell>
          <cell r="F900">
            <v>0</v>
          </cell>
          <cell r="L900">
            <v>0</v>
          </cell>
          <cell r="P900">
            <v>0</v>
          </cell>
          <cell r="AC900">
            <v>0</v>
          </cell>
        </row>
        <row r="901">
          <cell r="D901" t="str">
            <v>8150</v>
          </cell>
          <cell r="E901" t="str">
            <v>Recettes ligne 2150</v>
          </cell>
          <cell r="F901">
            <v>0</v>
          </cell>
          <cell r="L901">
            <v>0</v>
          </cell>
          <cell r="P901">
            <v>0</v>
          </cell>
          <cell r="AC901">
            <v>0</v>
          </cell>
        </row>
        <row r="902">
          <cell r="D902" t="str">
            <v>8151</v>
          </cell>
          <cell r="E902" t="str">
            <v>Recettes ligne 2151</v>
          </cell>
          <cell r="F902">
            <v>0</v>
          </cell>
          <cell r="L902">
            <v>0</v>
          </cell>
          <cell r="P902">
            <v>0</v>
          </cell>
          <cell r="AC902">
            <v>0</v>
          </cell>
        </row>
        <row r="903">
          <cell r="D903" t="str">
            <v>8152</v>
          </cell>
          <cell r="E903" t="str">
            <v>Recettes ligne 2152</v>
          </cell>
          <cell r="F903">
            <v>0</v>
          </cell>
          <cell r="L903">
            <v>0</v>
          </cell>
          <cell r="P903">
            <v>0</v>
          </cell>
          <cell r="AC903">
            <v>0</v>
          </cell>
        </row>
        <row r="904">
          <cell r="D904" t="str">
            <v>8153</v>
          </cell>
          <cell r="E904" t="str">
            <v>Recettes ligne 2153</v>
          </cell>
          <cell r="F904">
            <v>0</v>
          </cell>
          <cell r="L904">
            <v>0</v>
          </cell>
          <cell r="P904">
            <v>0</v>
          </cell>
          <cell r="AC904">
            <v>0</v>
          </cell>
        </row>
        <row r="905">
          <cell r="D905" t="str">
            <v>8154</v>
          </cell>
          <cell r="E905" t="str">
            <v>Recettes ligne 2154</v>
          </cell>
          <cell r="F905">
            <v>0</v>
          </cell>
          <cell r="L905">
            <v>0</v>
          </cell>
          <cell r="P905">
            <v>0</v>
          </cell>
          <cell r="AC905">
            <v>0</v>
          </cell>
        </row>
        <row r="906">
          <cell r="D906" t="str">
            <v>8155</v>
          </cell>
          <cell r="E906" t="str">
            <v>Recettes ligne 2155</v>
          </cell>
          <cell r="F906">
            <v>0</v>
          </cell>
          <cell r="L906">
            <v>0</v>
          </cell>
          <cell r="P906">
            <v>0</v>
          </cell>
          <cell r="AC906">
            <v>0</v>
          </cell>
        </row>
        <row r="907">
          <cell r="D907" t="str">
            <v>8156</v>
          </cell>
          <cell r="E907" t="str">
            <v>Recettes ligne 2156</v>
          </cell>
          <cell r="F907">
            <v>0</v>
          </cell>
          <cell r="L907">
            <v>0</v>
          </cell>
          <cell r="P907">
            <v>0</v>
          </cell>
          <cell r="AC907">
            <v>0</v>
          </cell>
        </row>
        <row r="908">
          <cell r="D908" t="str">
            <v>8157</v>
          </cell>
          <cell r="E908" t="str">
            <v>Recettes ligne 2157</v>
          </cell>
          <cell r="F908">
            <v>0</v>
          </cell>
          <cell r="L908">
            <v>0</v>
          </cell>
          <cell r="P908">
            <v>0</v>
          </cell>
          <cell r="AC908">
            <v>0</v>
          </cell>
        </row>
        <row r="909">
          <cell r="D909" t="str">
            <v>8158</v>
          </cell>
          <cell r="E909" t="str">
            <v>Recettes ligne 2158</v>
          </cell>
          <cell r="F909">
            <v>0</v>
          </cell>
          <cell r="L909">
            <v>0</v>
          </cell>
          <cell r="P909">
            <v>0</v>
          </cell>
          <cell r="AC909">
            <v>0</v>
          </cell>
        </row>
        <row r="910">
          <cell r="D910" t="str">
            <v>8159</v>
          </cell>
          <cell r="E910" t="str">
            <v>Recettes ligne 2159</v>
          </cell>
          <cell r="F910">
            <v>0</v>
          </cell>
          <cell r="L910">
            <v>0</v>
          </cell>
          <cell r="P910">
            <v>0</v>
          </cell>
          <cell r="AC910">
            <v>0</v>
          </cell>
        </row>
        <row r="911">
          <cell r="D911" t="str">
            <v>8160</v>
          </cell>
          <cell r="E911" t="str">
            <v>Recettes ligne 2160</v>
          </cell>
          <cell r="F911">
            <v>0</v>
          </cell>
          <cell r="L911">
            <v>0</v>
          </cell>
          <cell r="P911">
            <v>0</v>
          </cell>
          <cell r="AC911">
            <v>0</v>
          </cell>
        </row>
        <row r="912">
          <cell r="D912" t="str">
            <v>8161</v>
          </cell>
          <cell r="E912" t="str">
            <v>Recettes ligne 2161</v>
          </cell>
          <cell r="F912">
            <v>0</v>
          </cell>
          <cell r="L912">
            <v>0</v>
          </cell>
          <cell r="P912">
            <v>0</v>
          </cell>
          <cell r="AC912">
            <v>0</v>
          </cell>
        </row>
        <row r="913">
          <cell r="D913" t="str">
            <v>8162</v>
          </cell>
          <cell r="E913" t="str">
            <v>Recettes ligne 2162</v>
          </cell>
          <cell r="F913">
            <v>0</v>
          </cell>
          <cell r="L913">
            <v>0</v>
          </cell>
          <cell r="P913">
            <v>0</v>
          </cell>
          <cell r="AC913">
            <v>0</v>
          </cell>
        </row>
        <row r="914">
          <cell r="D914" t="str">
            <v>8163</v>
          </cell>
          <cell r="E914" t="str">
            <v>Recettes ligne 2163</v>
          </cell>
          <cell r="F914">
            <v>0</v>
          </cell>
          <cell r="L914">
            <v>0</v>
          </cell>
          <cell r="P914">
            <v>0</v>
          </cell>
          <cell r="AC914">
            <v>0</v>
          </cell>
        </row>
        <row r="915">
          <cell r="D915" t="str">
            <v>8164</v>
          </cell>
          <cell r="E915" t="str">
            <v>Recettes ligne 2164</v>
          </cell>
          <cell r="F915">
            <v>0</v>
          </cell>
          <cell r="L915">
            <v>0</v>
          </cell>
          <cell r="P915">
            <v>0</v>
          </cell>
          <cell r="AC915">
            <v>0</v>
          </cell>
        </row>
        <row r="916">
          <cell r="D916" t="str">
            <v>8169</v>
          </cell>
          <cell r="E916" t="str">
            <v>Recettes ligne 2169</v>
          </cell>
          <cell r="F916">
            <v>0</v>
          </cell>
          <cell r="L916">
            <v>0</v>
          </cell>
          <cell r="P916">
            <v>0</v>
          </cell>
          <cell r="AC916">
            <v>0</v>
          </cell>
        </row>
        <row r="917">
          <cell r="D917" t="str">
            <v>8600</v>
          </cell>
          <cell r="E917" t="str">
            <v>Recette d'équilibrage des SA d'exécution, contrepartie LPR 2600</v>
          </cell>
          <cell r="F917">
            <v>0</v>
          </cell>
          <cell r="L917">
            <v>0</v>
          </cell>
          <cell r="P917">
            <v>0</v>
          </cell>
          <cell r="AC917">
            <v>0</v>
          </cell>
        </row>
        <row r="918">
          <cell r="D918" t="str">
            <v>9099</v>
          </cell>
          <cell r="E918" t="str">
            <v>Achats de matières premières</v>
          </cell>
          <cell r="F918">
            <v>0</v>
          </cell>
          <cell r="L918">
            <v>0</v>
          </cell>
          <cell r="P918">
            <v>0</v>
          </cell>
          <cell r="AC918">
            <v>0</v>
          </cell>
        </row>
        <row r="919">
          <cell r="D919" t="str">
            <v>9100</v>
          </cell>
          <cell r="E919" t="str">
            <v>Phosphate y1</v>
          </cell>
          <cell r="F919">
            <v>0</v>
          </cell>
          <cell r="L919">
            <v>0</v>
          </cell>
          <cell r="P919">
            <v>0</v>
          </cell>
          <cell r="AC919">
            <v>0</v>
          </cell>
        </row>
        <row r="920">
          <cell r="D920" t="str">
            <v>9101</v>
          </cell>
          <cell r="E920" t="str">
            <v>Phosphate y12</v>
          </cell>
          <cell r="F920">
            <v>0</v>
          </cell>
          <cell r="L920">
            <v>0</v>
          </cell>
          <cell r="P920">
            <v>0</v>
          </cell>
          <cell r="AC920">
            <v>0</v>
          </cell>
        </row>
        <row r="921">
          <cell r="D921" t="str">
            <v>9102</v>
          </cell>
          <cell r="E921" t="str">
            <v>Phosphate y2</v>
          </cell>
          <cell r="F921">
            <v>0</v>
          </cell>
          <cell r="L921">
            <v>0</v>
          </cell>
          <cell r="P921">
            <v>0</v>
          </cell>
          <cell r="AC921">
            <v>0</v>
          </cell>
        </row>
        <row r="922">
          <cell r="D922" t="str">
            <v>9103</v>
          </cell>
          <cell r="E922" t="str">
            <v>Phosphate y21</v>
          </cell>
          <cell r="F922">
            <v>0</v>
          </cell>
          <cell r="L922">
            <v>0</v>
          </cell>
          <cell r="P922">
            <v>0</v>
          </cell>
          <cell r="AC922">
            <v>0</v>
          </cell>
        </row>
        <row r="923">
          <cell r="D923" t="str">
            <v>9104</v>
          </cell>
          <cell r="E923" t="str">
            <v>Phosphate y23</v>
          </cell>
          <cell r="F923">
            <v>0</v>
          </cell>
          <cell r="L923">
            <v>0</v>
          </cell>
          <cell r="P923">
            <v>0</v>
          </cell>
          <cell r="AC923">
            <v>0</v>
          </cell>
        </row>
        <row r="924">
          <cell r="D924" t="str">
            <v>9105</v>
          </cell>
          <cell r="E924" t="str">
            <v>Phosphate noir seché yns</v>
          </cell>
          <cell r="F924">
            <v>0</v>
          </cell>
          <cell r="L924">
            <v>0</v>
          </cell>
          <cell r="P924">
            <v>0</v>
          </cell>
          <cell r="AC924">
            <v>0</v>
          </cell>
        </row>
        <row r="925">
          <cell r="D925" t="str">
            <v>9106</v>
          </cell>
          <cell r="E925" t="str">
            <v>Phosphate humide BG standard BG st</v>
          </cell>
          <cell r="F925">
            <v>0</v>
          </cell>
          <cell r="L925">
            <v>0</v>
          </cell>
          <cell r="P925">
            <v>0</v>
          </cell>
          <cell r="AC925">
            <v>0</v>
          </cell>
        </row>
        <row r="926">
          <cell r="D926" t="str">
            <v>9107</v>
          </cell>
          <cell r="E926" t="str">
            <v>Phosphate humide BG spécial BG sp</v>
          </cell>
          <cell r="F926">
            <v>0</v>
          </cell>
          <cell r="L926">
            <v>0</v>
          </cell>
          <cell r="P926">
            <v>0</v>
          </cell>
          <cell r="AC926">
            <v>0</v>
          </cell>
        </row>
        <row r="927">
          <cell r="D927" t="str">
            <v>9108</v>
          </cell>
          <cell r="E927" t="str">
            <v>Phosphate C4 BG sec</v>
          </cell>
          <cell r="F927">
            <v>0</v>
          </cell>
          <cell r="L927">
            <v>0</v>
          </cell>
          <cell r="P927">
            <v>0</v>
          </cell>
          <cell r="AC927">
            <v>0</v>
          </cell>
        </row>
        <row r="928">
          <cell r="D928" t="str">
            <v>9109</v>
          </cell>
          <cell r="E928" t="str">
            <v>Phosphate C4 BG Humide Criblé</v>
          </cell>
          <cell r="F928">
            <v>0</v>
          </cell>
          <cell r="L928">
            <v>0</v>
          </cell>
          <cell r="P928">
            <v>0</v>
          </cell>
          <cell r="AC928">
            <v>0</v>
          </cell>
        </row>
        <row r="929">
          <cell r="D929" t="str">
            <v>9110</v>
          </cell>
          <cell r="E929" t="str">
            <v>Phosphate K02</v>
          </cell>
          <cell r="F929">
            <v>0</v>
          </cell>
          <cell r="L929">
            <v>0</v>
          </cell>
          <cell r="P929">
            <v>0</v>
          </cell>
          <cell r="AC929">
            <v>0</v>
          </cell>
        </row>
        <row r="930">
          <cell r="D930" t="str">
            <v>9111</v>
          </cell>
          <cell r="E930" t="str">
            <v>Phosphate K09</v>
          </cell>
          <cell r="F930">
            <v>0</v>
          </cell>
          <cell r="L930">
            <v>0</v>
          </cell>
          <cell r="P930">
            <v>0</v>
          </cell>
          <cell r="AC930">
            <v>0</v>
          </cell>
        </row>
        <row r="931">
          <cell r="D931" t="str">
            <v>9112</v>
          </cell>
          <cell r="E931" t="str">
            <v>Phosphate K10</v>
          </cell>
          <cell r="F931">
            <v>0</v>
          </cell>
          <cell r="L931">
            <v>0</v>
          </cell>
          <cell r="P931">
            <v>0</v>
          </cell>
          <cell r="AC931">
            <v>0</v>
          </cell>
        </row>
        <row r="932">
          <cell r="D932" t="str">
            <v>9113</v>
          </cell>
          <cell r="E932" t="str">
            <v>Phosphate K12 Grande Paroisse</v>
          </cell>
          <cell r="F932">
            <v>0</v>
          </cell>
          <cell r="L932">
            <v>0</v>
          </cell>
          <cell r="P932">
            <v>0</v>
          </cell>
          <cell r="AC932">
            <v>0</v>
          </cell>
        </row>
        <row r="933">
          <cell r="D933" t="str">
            <v>9114</v>
          </cell>
          <cell r="E933" t="str">
            <v>Phosphate K20 Grande Paroisse</v>
          </cell>
          <cell r="F933">
            <v>0</v>
          </cell>
          <cell r="L933">
            <v>0</v>
          </cell>
          <cell r="P933">
            <v>0</v>
          </cell>
          <cell r="AC933">
            <v>0</v>
          </cell>
        </row>
        <row r="934">
          <cell r="D934" t="str">
            <v>9115</v>
          </cell>
          <cell r="E934" t="str">
            <v>Phosphates boucraa 80°/° bpl</v>
          </cell>
          <cell r="F934">
            <v>0</v>
          </cell>
          <cell r="L934">
            <v>0</v>
          </cell>
          <cell r="P934">
            <v>0</v>
          </cell>
          <cell r="AC934">
            <v>0</v>
          </cell>
        </row>
        <row r="935">
          <cell r="D935" t="str">
            <v>9120</v>
          </cell>
          <cell r="E935" t="str">
            <v>Soufre solide</v>
          </cell>
          <cell r="F935">
            <v>0</v>
          </cell>
          <cell r="L935">
            <v>0</v>
          </cell>
          <cell r="P935">
            <v>0</v>
          </cell>
          <cell r="AC935">
            <v>0</v>
          </cell>
        </row>
        <row r="936">
          <cell r="D936" t="str">
            <v>9121</v>
          </cell>
          <cell r="E936" t="str">
            <v>Soufre liquide</v>
          </cell>
          <cell r="F936">
            <v>0</v>
          </cell>
          <cell r="L936">
            <v>0</v>
          </cell>
          <cell r="P936">
            <v>0</v>
          </cell>
          <cell r="AC936">
            <v>0</v>
          </cell>
        </row>
        <row r="937">
          <cell r="D937" t="str">
            <v>9122</v>
          </cell>
          <cell r="E937" t="str">
            <v>KCL chlorure de potasse</v>
          </cell>
          <cell r="F937">
            <v>0</v>
          </cell>
          <cell r="L937">
            <v>0</v>
          </cell>
          <cell r="P937">
            <v>0</v>
          </cell>
          <cell r="AC937">
            <v>0</v>
          </cell>
        </row>
        <row r="938">
          <cell r="D938" t="str">
            <v>9123</v>
          </cell>
          <cell r="E938" t="str">
            <v>Ammoniac import</v>
          </cell>
          <cell r="F938">
            <v>0</v>
          </cell>
          <cell r="L938">
            <v>0</v>
          </cell>
          <cell r="P938">
            <v>0</v>
          </cell>
          <cell r="AC938">
            <v>0</v>
          </cell>
        </row>
        <row r="939">
          <cell r="D939" t="str">
            <v>9140</v>
          </cell>
          <cell r="E939" t="str">
            <v>Acide sulfurique import</v>
          </cell>
          <cell r="F939">
            <v>0</v>
          </cell>
          <cell r="L939">
            <v>0</v>
          </cell>
          <cell r="P939">
            <v>0</v>
          </cell>
          <cell r="AC939">
            <v>0</v>
          </cell>
        </row>
        <row r="940">
          <cell r="D940" t="str">
            <v>9151</v>
          </cell>
          <cell r="E940" t="str">
            <v>Transport de phosphates</v>
          </cell>
          <cell r="F940">
            <v>0</v>
          </cell>
          <cell r="L940">
            <v>0</v>
          </cell>
          <cell r="P940">
            <v>0</v>
          </cell>
          <cell r="AC940">
            <v>0</v>
          </cell>
        </row>
        <row r="941">
          <cell r="D941" t="str">
            <v>9161</v>
          </cell>
          <cell r="E941" t="str">
            <v>Frêt et frais sur importations soufre</v>
          </cell>
          <cell r="F941">
            <v>0</v>
          </cell>
          <cell r="L941">
            <v>0</v>
          </cell>
          <cell r="P941">
            <v>0</v>
          </cell>
          <cell r="AC941">
            <v>0</v>
          </cell>
        </row>
        <row r="942">
          <cell r="D942" t="str">
            <v>9164</v>
          </cell>
          <cell r="E942" t="str">
            <v>Frêt et frais sur importation KCL</v>
          </cell>
          <cell r="F942">
            <v>0</v>
          </cell>
          <cell r="L942">
            <v>0</v>
          </cell>
          <cell r="P942">
            <v>0</v>
          </cell>
          <cell r="AC942">
            <v>0</v>
          </cell>
        </row>
        <row r="943">
          <cell r="D943" t="str">
            <v>9166</v>
          </cell>
          <cell r="E943" t="str">
            <v>Frêt et frais sur importations ammoniac</v>
          </cell>
          <cell r="F943">
            <v>0</v>
          </cell>
          <cell r="L943">
            <v>0</v>
          </cell>
          <cell r="P943">
            <v>0</v>
          </cell>
          <cell r="AC943">
            <v>0</v>
          </cell>
        </row>
        <row r="944">
          <cell r="D944" t="str">
            <v>9168</v>
          </cell>
          <cell r="E944" t="str">
            <v>Frêt et frais sur importations acide sulfurique</v>
          </cell>
          <cell r="F944">
            <v>0</v>
          </cell>
          <cell r="L944">
            <v>0</v>
          </cell>
          <cell r="P944">
            <v>0</v>
          </cell>
          <cell r="AC944">
            <v>0</v>
          </cell>
        </row>
        <row r="945">
          <cell r="D945" t="str">
            <v>9199</v>
          </cell>
          <cell r="E945" t="str">
            <v>Achats de matières et fournitures consommables</v>
          </cell>
          <cell r="F945">
            <v>0</v>
          </cell>
          <cell r="L945">
            <v>0</v>
          </cell>
          <cell r="P945">
            <v>0</v>
          </cell>
          <cell r="AC945">
            <v>0</v>
          </cell>
        </row>
        <row r="946">
          <cell r="D946" t="str">
            <v>9220</v>
          </cell>
          <cell r="E946" t="str">
            <v>Matières auxiliaires</v>
          </cell>
          <cell r="F946">
            <v>0</v>
          </cell>
          <cell r="L946">
            <v>0</v>
          </cell>
          <cell r="P946">
            <v>0</v>
          </cell>
          <cell r="AC946">
            <v>0</v>
          </cell>
        </row>
        <row r="947">
          <cell r="D947" t="str">
            <v>9232</v>
          </cell>
          <cell r="E947" t="str">
            <v>Essence légère</v>
          </cell>
          <cell r="F947">
            <v>0</v>
          </cell>
          <cell r="L947">
            <v>0</v>
          </cell>
          <cell r="P947">
            <v>0</v>
          </cell>
          <cell r="AC947">
            <v>0</v>
          </cell>
        </row>
        <row r="948">
          <cell r="D948" t="str">
            <v>9233</v>
          </cell>
          <cell r="E948" t="str">
            <v>Gasoil</v>
          </cell>
          <cell r="F948">
            <v>0</v>
          </cell>
          <cell r="L948">
            <v>0</v>
          </cell>
          <cell r="P948">
            <v>0</v>
          </cell>
          <cell r="AC948">
            <v>0</v>
          </cell>
        </row>
        <row r="949">
          <cell r="D949" t="str">
            <v>9234</v>
          </cell>
          <cell r="E949" t="str">
            <v>Lubrifiants</v>
          </cell>
          <cell r="F949">
            <v>0</v>
          </cell>
          <cell r="L949">
            <v>0</v>
          </cell>
          <cell r="P949">
            <v>0</v>
          </cell>
          <cell r="AC949">
            <v>0</v>
          </cell>
        </row>
        <row r="950">
          <cell r="D950" t="str">
            <v>9241</v>
          </cell>
          <cell r="E950" t="str">
            <v>Produits d'entretien</v>
          </cell>
          <cell r="F950">
            <v>0</v>
          </cell>
          <cell r="L950">
            <v>0</v>
          </cell>
          <cell r="P950">
            <v>0</v>
          </cell>
          <cell r="AC950">
            <v>0</v>
          </cell>
        </row>
        <row r="951">
          <cell r="D951" t="str">
            <v>9242</v>
          </cell>
          <cell r="E951" t="str">
            <v>Produits de laboratoires</v>
          </cell>
          <cell r="F951">
            <v>0</v>
          </cell>
          <cell r="L951">
            <v>0</v>
          </cell>
          <cell r="P951">
            <v>0</v>
          </cell>
          <cell r="AC951">
            <v>0</v>
          </cell>
        </row>
        <row r="952">
          <cell r="D952" t="str">
            <v>9243</v>
          </cell>
          <cell r="E952" t="str">
            <v>Aciers et gaz industriels</v>
          </cell>
          <cell r="F952">
            <v>0</v>
          </cell>
          <cell r="L952">
            <v>0</v>
          </cell>
          <cell r="P952">
            <v>0</v>
          </cell>
          <cell r="AC952">
            <v>0</v>
          </cell>
        </row>
        <row r="953">
          <cell r="D953" t="str">
            <v>9244</v>
          </cell>
          <cell r="E953" t="str">
            <v>Habillement et produits de sécurité</v>
          </cell>
          <cell r="F953">
            <v>0</v>
          </cell>
          <cell r="L953">
            <v>0</v>
          </cell>
          <cell r="P953">
            <v>0</v>
          </cell>
          <cell r="AC953">
            <v>0</v>
          </cell>
        </row>
        <row r="954">
          <cell r="D954" t="str">
            <v>9245</v>
          </cell>
          <cell r="E954" t="str">
            <v>Matériaux et produits de construction</v>
          </cell>
          <cell r="F954">
            <v>0</v>
          </cell>
          <cell r="L954">
            <v>0</v>
          </cell>
          <cell r="P954">
            <v>0</v>
          </cell>
          <cell r="AC954">
            <v>0</v>
          </cell>
        </row>
        <row r="955">
          <cell r="D955" t="str">
            <v>9248</v>
          </cell>
          <cell r="E955" t="str">
            <v>Matières et fournitures consommables diverses</v>
          </cell>
          <cell r="F955">
            <v>0</v>
          </cell>
          <cell r="L955">
            <v>0</v>
          </cell>
          <cell r="P955">
            <v>0</v>
          </cell>
          <cell r="AC955">
            <v>0</v>
          </cell>
        </row>
        <row r="956">
          <cell r="D956" t="str">
            <v>9250</v>
          </cell>
          <cell r="E956" t="str">
            <v>Bois de mine</v>
          </cell>
          <cell r="F956">
            <v>0</v>
          </cell>
          <cell r="L956">
            <v>0</v>
          </cell>
          <cell r="P956">
            <v>0</v>
          </cell>
          <cell r="AC956">
            <v>0</v>
          </cell>
        </row>
        <row r="957">
          <cell r="D957" t="str">
            <v>9251</v>
          </cell>
          <cell r="E957" t="str">
            <v>Courroies transporteuses</v>
          </cell>
          <cell r="F957">
            <v>0</v>
          </cell>
          <cell r="L957">
            <v>0</v>
          </cell>
          <cell r="P957">
            <v>0</v>
          </cell>
          <cell r="AC957">
            <v>0</v>
          </cell>
        </row>
        <row r="958">
          <cell r="D958" t="str">
            <v>9252</v>
          </cell>
          <cell r="E958" t="str">
            <v>Explosifs</v>
          </cell>
          <cell r="F958">
            <v>0</v>
          </cell>
          <cell r="L958">
            <v>0</v>
          </cell>
          <cell r="P958">
            <v>0</v>
          </cell>
          <cell r="AC958">
            <v>0</v>
          </cell>
        </row>
        <row r="959">
          <cell r="D959" t="str">
            <v>9253</v>
          </cell>
          <cell r="E959" t="str">
            <v>Rouleaux de convoyeurs</v>
          </cell>
          <cell r="F959">
            <v>0</v>
          </cell>
          <cell r="L959">
            <v>0</v>
          </cell>
          <cell r="P959">
            <v>0</v>
          </cell>
          <cell r="AC959">
            <v>0</v>
          </cell>
        </row>
        <row r="960">
          <cell r="D960" t="str">
            <v>9254</v>
          </cell>
          <cell r="E960" t="str">
            <v>Lames d'usure de bulls et niveleuses</v>
          </cell>
          <cell r="F960">
            <v>0</v>
          </cell>
          <cell r="L960">
            <v>0</v>
          </cell>
          <cell r="P960">
            <v>0</v>
          </cell>
          <cell r="AC960">
            <v>0</v>
          </cell>
        </row>
        <row r="961">
          <cell r="D961" t="str">
            <v>9255</v>
          </cell>
          <cell r="E961" t="str">
            <v>Tiges, drill - collar</v>
          </cell>
          <cell r="F961">
            <v>0</v>
          </cell>
          <cell r="L961">
            <v>0</v>
          </cell>
          <cell r="P961">
            <v>0</v>
          </cell>
          <cell r="AC961">
            <v>0</v>
          </cell>
        </row>
        <row r="962">
          <cell r="D962" t="str">
            <v>9256</v>
          </cell>
          <cell r="E962" t="str">
            <v>Tricones de sondeuses</v>
          </cell>
          <cell r="F962">
            <v>0</v>
          </cell>
          <cell r="L962">
            <v>0</v>
          </cell>
          <cell r="P962">
            <v>0</v>
          </cell>
          <cell r="AC962">
            <v>0</v>
          </cell>
        </row>
        <row r="963">
          <cell r="D963" t="str">
            <v>9257</v>
          </cell>
          <cell r="E963" t="str">
            <v>Cables de draglines</v>
          </cell>
          <cell r="F963">
            <v>0</v>
          </cell>
          <cell r="L963">
            <v>0</v>
          </cell>
          <cell r="P963">
            <v>0</v>
          </cell>
          <cell r="AC963">
            <v>0</v>
          </cell>
        </row>
        <row r="964">
          <cell r="D964" t="str">
            <v>9258</v>
          </cell>
          <cell r="E964" t="str">
            <v>Godets et dents de draglines</v>
          </cell>
          <cell r="F964">
            <v>0</v>
          </cell>
          <cell r="L964">
            <v>0</v>
          </cell>
          <cell r="P964">
            <v>0</v>
          </cell>
          <cell r="AC964">
            <v>0</v>
          </cell>
        </row>
        <row r="965">
          <cell r="D965" t="str">
            <v>9259</v>
          </cell>
          <cell r="E965" t="str">
            <v>Cables éléctriques</v>
          </cell>
          <cell r="F965">
            <v>0</v>
          </cell>
          <cell r="L965">
            <v>0</v>
          </cell>
          <cell r="P965">
            <v>0</v>
          </cell>
          <cell r="AC965">
            <v>0</v>
          </cell>
        </row>
        <row r="966">
          <cell r="D966" t="str">
            <v>9261</v>
          </cell>
          <cell r="E966" t="str">
            <v>Pneumatiques pour engins lourds</v>
          </cell>
          <cell r="F966">
            <v>0</v>
          </cell>
          <cell r="L966">
            <v>0</v>
          </cell>
          <cell r="P966">
            <v>0</v>
          </cell>
          <cell r="AC966">
            <v>0</v>
          </cell>
        </row>
        <row r="967">
          <cell r="D967" t="str">
            <v>9262</v>
          </cell>
          <cell r="E967" t="str">
            <v>Pneumatiques pour voitures légères</v>
          </cell>
          <cell r="F967">
            <v>0</v>
          </cell>
          <cell r="L967">
            <v>0</v>
          </cell>
          <cell r="P967">
            <v>0</v>
          </cell>
          <cell r="AC967">
            <v>0</v>
          </cell>
        </row>
        <row r="968">
          <cell r="D968" t="str">
            <v>9263</v>
          </cell>
          <cell r="E968" t="str">
            <v>Pièces de rechange du matériel</v>
          </cell>
          <cell r="F968">
            <v>0</v>
          </cell>
          <cell r="L968">
            <v>0</v>
          </cell>
          <cell r="P968">
            <v>0</v>
          </cell>
          <cell r="AC968">
            <v>0</v>
          </cell>
        </row>
        <row r="969">
          <cell r="D969" t="str">
            <v>9264</v>
          </cell>
          <cell r="E969" t="str">
            <v>Pièces détachées automobiles</v>
          </cell>
          <cell r="F969">
            <v>0</v>
          </cell>
          <cell r="L969">
            <v>0</v>
          </cell>
          <cell r="P969">
            <v>0</v>
          </cell>
          <cell r="AC969">
            <v>0</v>
          </cell>
        </row>
        <row r="970">
          <cell r="D970" t="str">
            <v>9265</v>
          </cell>
          <cell r="E970" t="str">
            <v>Petit outillage</v>
          </cell>
          <cell r="F970">
            <v>0</v>
          </cell>
          <cell r="L970">
            <v>0</v>
          </cell>
          <cell r="P970">
            <v>0</v>
          </cell>
          <cell r="AC970">
            <v>0</v>
          </cell>
        </row>
        <row r="971">
          <cell r="D971" t="str">
            <v>9266</v>
          </cell>
          <cell r="E971" t="str">
            <v>Produits pharmaceutiques</v>
          </cell>
          <cell r="F971">
            <v>0</v>
          </cell>
          <cell r="L971">
            <v>0</v>
          </cell>
          <cell r="P971">
            <v>0</v>
          </cell>
          <cell r="AC971">
            <v>0</v>
          </cell>
        </row>
        <row r="972">
          <cell r="D972" t="str">
            <v>9267</v>
          </cell>
          <cell r="E972" t="str">
            <v>Petit matériel à usage médical</v>
          </cell>
          <cell r="F972">
            <v>0</v>
          </cell>
          <cell r="L972">
            <v>0</v>
          </cell>
          <cell r="P972">
            <v>0</v>
          </cell>
          <cell r="AC972">
            <v>0</v>
          </cell>
        </row>
        <row r="973">
          <cell r="D973" t="str">
            <v>9270</v>
          </cell>
          <cell r="E973" t="str">
            <v>Fournitures de bureau</v>
          </cell>
          <cell r="F973">
            <v>0</v>
          </cell>
          <cell r="L973">
            <v>0</v>
          </cell>
          <cell r="P973">
            <v>0</v>
          </cell>
          <cell r="AC973">
            <v>0</v>
          </cell>
        </row>
        <row r="974">
          <cell r="D974" t="str">
            <v>9284</v>
          </cell>
          <cell r="E974" t="str">
            <v>Frêt et frais sur importations de matières et fournitures consommables</v>
          </cell>
          <cell r="F974">
            <v>0</v>
          </cell>
          <cell r="L974">
            <v>0</v>
          </cell>
          <cell r="P974">
            <v>0</v>
          </cell>
          <cell r="AC974">
            <v>0</v>
          </cell>
        </row>
        <row r="975">
          <cell r="D975" t="str">
            <v>9286</v>
          </cell>
          <cell r="E975" t="str">
            <v>Droits de douane sur importations de matières et fournitures consom.</v>
          </cell>
          <cell r="F975">
            <v>0</v>
          </cell>
          <cell r="L975">
            <v>0</v>
          </cell>
          <cell r="P975">
            <v>0</v>
          </cell>
          <cell r="AC975">
            <v>0</v>
          </cell>
        </row>
        <row r="976">
          <cell r="D976" t="str">
            <v>9330</v>
          </cell>
          <cell r="E976" t="str">
            <v>Emballages à usage mixte</v>
          </cell>
          <cell r="F976">
            <v>0</v>
          </cell>
          <cell r="L976">
            <v>0</v>
          </cell>
          <cell r="P976">
            <v>0</v>
          </cell>
          <cell r="AC976">
            <v>0</v>
          </cell>
        </row>
        <row r="977">
          <cell r="D977" t="str">
            <v>9541</v>
          </cell>
          <cell r="E977" t="str">
            <v>Tonnage initial</v>
          </cell>
          <cell r="F977">
            <v>0</v>
          </cell>
          <cell r="L977">
            <v>0</v>
          </cell>
          <cell r="P977">
            <v>0</v>
          </cell>
          <cell r="AC977">
            <v>0</v>
          </cell>
        </row>
        <row r="978">
          <cell r="D978" t="str">
            <v>9542</v>
          </cell>
          <cell r="E978" t="str">
            <v>Tonnage final</v>
          </cell>
          <cell r="F978">
            <v>0</v>
          </cell>
          <cell r="L978">
            <v>0</v>
          </cell>
          <cell r="P978">
            <v>0</v>
          </cell>
          <cell r="AC978">
            <v>0</v>
          </cell>
        </row>
        <row r="979">
          <cell r="D979" t="str">
            <v>9543</v>
          </cell>
          <cell r="E979" t="str">
            <v>Tonnage déclassé</v>
          </cell>
          <cell r="F979">
            <v>0</v>
          </cell>
          <cell r="L979">
            <v>0</v>
          </cell>
          <cell r="P979">
            <v>0</v>
          </cell>
          <cell r="AC979">
            <v>0</v>
          </cell>
        </row>
        <row r="980">
          <cell r="D980" t="str">
            <v>9544</v>
          </cell>
          <cell r="E980" t="str">
            <v>Tonnage surclassé</v>
          </cell>
          <cell r="F980">
            <v>0</v>
          </cell>
          <cell r="L980">
            <v>0</v>
          </cell>
          <cell r="P980">
            <v>0</v>
          </cell>
          <cell r="AC980">
            <v>0</v>
          </cell>
        </row>
        <row r="981">
          <cell r="D981" t="str">
            <v>9545</v>
          </cell>
          <cell r="E981" t="str">
            <v>Tonnage sortant</v>
          </cell>
          <cell r="F981">
            <v>0</v>
          </cell>
          <cell r="L981">
            <v>0</v>
          </cell>
          <cell r="P981">
            <v>0</v>
          </cell>
          <cell r="AC981">
            <v>0</v>
          </cell>
        </row>
        <row r="982">
          <cell r="D982" t="str">
            <v>9546</v>
          </cell>
          <cell r="E982" t="str">
            <v>Tonnage entrant</v>
          </cell>
          <cell r="F982">
            <v>0</v>
          </cell>
          <cell r="L982">
            <v>0</v>
          </cell>
          <cell r="P982">
            <v>0</v>
          </cell>
          <cell r="AC982">
            <v>0</v>
          </cell>
        </row>
        <row r="983">
          <cell r="L983">
            <v>0</v>
          </cell>
          <cell r="P983">
            <v>0</v>
          </cell>
          <cell r="AC983">
            <v>0</v>
          </cell>
        </row>
        <row r="984">
          <cell r="L984">
            <v>0</v>
          </cell>
          <cell r="P984">
            <v>0</v>
          </cell>
          <cell r="AC984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-P"/>
      <sheetName val="BAL-P"/>
      <sheetName val="PR-P"/>
      <sheetName val="budg-PP-06"/>
      <sheetName val="TB-MP"/>
      <sheetName val="IT-R"/>
      <sheetName val="BAL-R"/>
      <sheetName val="PR-R"/>
      <sheetName val="APPR-PHOS"/>
      <sheetName val="SUIV-CA"/>
      <sheetName val="BAL-12-2006"/>
      <sheetName val="bal-12-06-PP"/>
      <sheetName val="amortiss-06"/>
    </sheetNames>
    <sheetDataSet>
      <sheetData sheetId="0"/>
      <sheetData sheetId="1"/>
      <sheetData sheetId="2" refreshError="1">
        <row r="131">
          <cell r="P131" t="str">
            <v xml:space="preserve"> STOCK INITIAL D . I . S .</v>
          </cell>
          <cell r="Q131">
            <v>26252.989999999743</v>
          </cell>
          <cell r="R131">
            <v>923.20621987341781</v>
          </cell>
          <cell r="S131">
            <v>24236923.658274401</v>
          </cell>
        </row>
        <row r="132">
          <cell r="P132" t="str">
            <v xml:space="preserve"> C . M . P .</v>
          </cell>
          <cell r="Q132">
            <v>1494871.9899999998</v>
          </cell>
          <cell r="R132">
            <v>996.16422148836546</v>
          </cell>
          <cell r="S132">
            <v>1489137992.1431134</v>
          </cell>
        </row>
        <row r="133">
          <cell r="Q133">
            <v>15681.990000000002</v>
          </cell>
        </row>
        <row r="140">
          <cell r="P140" t="str">
            <v>PCS / PP</v>
          </cell>
          <cell r="T140" t="str">
            <v>PAGE  N°4</v>
          </cell>
        </row>
        <row r="141">
          <cell r="S141" t="str">
            <v xml:space="preserve"> PREVISIONNEL  2006</v>
          </cell>
        </row>
        <row r="142">
          <cell r="P142" t="str">
            <v xml:space="preserve"> ATELIER  SULFURIQUE </v>
          </cell>
        </row>
        <row r="143">
          <cell r="P143" t="str">
            <v>PRODUCTION    H2SO4</v>
          </cell>
        </row>
        <row r="144">
          <cell r="P144" t="str">
            <v>DESIGNATIONS</v>
          </cell>
          <cell r="Q144" t="str">
            <v xml:space="preserve">  QUANTITE</v>
          </cell>
          <cell r="R144" t="str">
            <v>P  U</v>
          </cell>
          <cell r="S144" t="str">
            <v xml:space="preserve">    VALEURS</v>
          </cell>
          <cell r="T144" t="str">
            <v>C U</v>
          </cell>
        </row>
        <row r="145">
          <cell r="P145" t="str">
            <v xml:space="preserve"> MATIERES PREMIERES</v>
          </cell>
        </row>
        <row r="146">
          <cell r="P146" t="str">
            <v xml:space="preserve"> - SOUFRE LIQUIDE</v>
          </cell>
          <cell r="Q146">
            <v>578289</v>
          </cell>
          <cell r="R146">
            <v>996.16422148836546</v>
          </cell>
          <cell r="S146">
            <v>576070811.48028541</v>
          </cell>
          <cell r="T146">
            <v>332.2207678663699</v>
          </cell>
        </row>
        <row r="147">
          <cell r="P147" t="str">
            <v xml:space="preserve">  S/ total</v>
          </cell>
          <cell r="S147">
            <v>576070811.48028541</v>
          </cell>
          <cell r="T147">
            <v>332.2207678663699</v>
          </cell>
        </row>
        <row r="148">
          <cell r="P148" t="str">
            <v xml:space="preserve"> - MATIERES AUXILIAIRES</v>
          </cell>
          <cell r="S148">
            <v>6020278</v>
          </cell>
          <cell r="T148">
            <v>3.4719019607843138</v>
          </cell>
        </row>
        <row r="149">
          <cell r="P149" t="str">
            <v xml:space="preserve"> - CONS. MAT.CONSOMM.</v>
          </cell>
          <cell r="S149">
            <v>6456994.1431999998</v>
          </cell>
          <cell r="T149">
            <v>3.723756714648212</v>
          </cell>
        </row>
        <row r="150">
          <cell r="P150" t="str">
            <v xml:space="preserve"> - CONS PIECES DE RECH. </v>
          </cell>
          <cell r="S150">
            <v>3899070.4975999999</v>
          </cell>
          <cell r="T150">
            <v>2.2485989028835061</v>
          </cell>
        </row>
        <row r="151">
          <cell r="P151" t="str">
            <v xml:space="preserve"> - HEURES SUPPLEMENT.</v>
          </cell>
          <cell r="S151">
            <v>477383.97519999999</v>
          </cell>
          <cell r="T151">
            <v>0.27530794417531718</v>
          </cell>
        </row>
        <row r="152">
          <cell r="P152" t="str">
            <v xml:space="preserve"> - CHARGES SOCI COMPL</v>
          </cell>
          <cell r="S152">
            <v>3355366.0872</v>
          </cell>
          <cell r="T152">
            <v>1.9350438795847751</v>
          </cell>
        </row>
        <row r="153">
          <cell r="P153" t="str">
            <v xml:space="preserve"> - FRAIS DE PERSONNEL</v>
          </cell>
          <cell r="S153">
            <v>5061612.4040000001</v>
          </cell>
          <cell r="T153">
            <v>2.9190382952710499</v>
          </cell>
        </row>
        <row r="154">
          <cell r="P154" t="str">
            <v xml:space="preserve"> - AMORTISSEMENTS</v>
          </cell>
          <cell r="R154">
            <v>0</v>
          </cell>
          <cell r="S154">
            <v>19097317.091800001</v>
          </cell>
          <cell r="T154">
            <v>11.013446996424452</v>
          </cell>
        </row>
        <row r="155">
          <cell r="P155" t="str">
            <v xml:space="preserve">  PRESTATIONS INTERNES</v>
          </cell>
          <cell r="S155">
            <v>4963811.2072000001</v>
          </cell>
          <cell r="T155">
            <v>2.8626362209919263</v>
          </cell>
        </row>
        <row r="156">
          <cell r="P156" t="str">
            <v xml:space="preserve">  DONT LABORATOIRE</v>
          </cell>
          <cell r="R156">
            <v>0</v>
          </cell>
          <cell r="S156">
            <v>500633.15</v>
          </cell>
          <cell r="T156">
            <v>0.28871577277970012</v>
          </cell>
        </row>
        <row r="157">
          <cell r="P157" t="str">
            <v xml:space="preserve"> FOURNIT. ET ABONN.</v>
          </cell>
          <cell r="R157">
            <v>0</v>
          </cell>
          <cell r="S157">
            <v>0</v>
          </cell>
          <cell r="T157">
            <v>0</v>
          </cell>
        </row>
        <row r="158">
          <cell r="P158" t="str">
            <v xml:space="preserve"> - ENERGIE ELECTRIQUE</v>
          </cell>
          <cell r="Q158">
            <v>14277654</v>
          </cell>
          <cell r="R158">
            <v>0.26419938621410616</v>
          </cell>
          <cell r="S158">
            <v>3772147.4233773774</v>
          </cell>
          <cell r="T158">
            <v>2.1754022049465847</v>
          </cell>
        </row>
        <row r="159">
          <cell r="P159" t="str">
            <v xml:space="preserve"> - EAU FILTREE</v>
          </cell>
          <cell r="Q159">
            <v>0</v>
          </cell>
          <cell r="R159">
            <v>0.68962296676929946</v>
          </cell>
          <cell r="S159">
            <v>0</v>
          </cell>
          <cell r="T159">
            <v>0</v>
          </cell>
        </row>
        <row r="160">
          <cell r="P160" t="str">
            <v xml:space="preserve"> - EAU DEMINERALISEE</v>
          </cell>
          <cell r="Q160">
            <v>294780</v>
          </cell>
          <cell r="R160">
            <v>7.2789311654299524</v>
          </cell>
          <cell r="S160">
            <v>2145683.3289454412</v>
          </cell>
          <cell r="T160">
            <v>1.2374182981230919</v>
          </cell>
        </row>
        <row r="161">
          <cell r="P161" t="str">
            <v xml:space="preserve"> - EAU DESLICIEE</v>
          </cell>
          <cell r="Q161">
            <v>0</v>
          </cell>
          <cell r="R161">
            <v>16.337809607510167</v>
          </cell>
          <cell r="S161">
            <v>0</v>
          </cell>
          <cell r="T161">
            <v>0</v>
          </cell>
        </row>
        <row r="162">
          <cell r="Q162">
            <v>0</v>
          </cell>
          <cell r="R162">
            <v>0</v>
          </cell>
          <cell r="S162">
            <v>0</v>
          </cell>
          <cell r="T162">
            <v>0</v>
          </cell>
        </row>
        <row r="163">
          <cell r="P163" t="str">
            <v xml:space="preserve"> - EAU DE MER HP</v>
          </cell>
          <cell r="Q163">
            <v>52020000</v>
          </cell>
          <cell r="R163">
            <v>0.18520897103784492</v>
          </cell>
          <cell r="S163">
            <v>9634570.6733886935</v>
          </cell>
          <cell r="T163">
            <v>5.5562691311353483</v>
          </cell>
        </row>
        <row r="164">
          <cell r="P164" t="str">
            <v xml:space="preserve"> - EAU POTABLE</v>
          </cell>
          <cell r="Q164">
            <v>12824</v>
          </cell>
          <cell r="R164">
            <v>12.914474147298041</v>
          </cell>
          <cell r="S164">
            <v>165615.21646495006</v>
          </cell>
          <cell r="T164">
            <v>9.5510505458448705E-2</v>
          </cell>
        </row>
        <row r="165">
          <cell r="Q165">
            <v>0</v>
          </cell>
          <cell r="S165">
            <v>0</v>
          </cell>
          <cell r="T165">
            <v>0</v>
          </cell>
        </row>
        <row r="166">
          <cell r="S166">
            <v>0</v>
          </cell>
          <cell r="T166">
            <v>0</v>
          </cell>
        </row>
        <row r="167">
          <cell r="P167" t="str">
            <v xml:space="preserve"> - AIR INSTRUMENTATION</v>
          </cell>
          <cell r="Q167">
            <v>1730107</v>
          </cell>
          <cell r="R167">
            <v>8.613331248082623E-2</v>
          </cell>
          <cell r="S167">
            <v>149019.84685626483</v>
          </cell>
          <cell r="T167">
            <v>8.5939934749864375E-2</v>
          </cell>
        </row>
        <row r="168">
          <cell r="P168" t="str">
            <v xml:space="preserve">    S / T O T A L</v>
          </cell>
          <cell r="Q168">
            <v>0</v>
          </cell>
          <cell r="S168">
            <v>15867036.489032727</v>
          </cell>
          <cell r="T168">
            <v>9.1505400744133372</v>
          </cell>
        </row>
        <row r="169">
          <cell r="P169" t="str">
            <v xml:space="preserve"> CHARGES INDIRECTES</v>
          </cell>
          <cell r="S169">
            <v>43290025.495218948</v>
          </cell>
          <cell r="T169">
            <v>24.965412627000546</v>
          </cell>
        </row>
        <row r="170">
          <cell r="P170" t="str">
            <v xml:space="preserve">  PRODUCTION</v>
          </cell>
          <cell r="Q170">
            <v>1734000</v>
          </cell>
        </row>
        <row r="171">
          <cell r="P171" t="str">
            <v xml:space="preserve">  COUT DE PRODUCTION </v>
          </cell>
          <cell r="R171">
            <v>394.78645148254742</v>
          </cell>
          <cell r="S171">
            <v>684559706.8707372</v>
          </cell>
          <cell r="T171">
            <v>394.78645148254731</v>
          </cell>
        </row>
        <row r="172">
          <cell r="P172" t="str">
            <v xml:space="preserve">  STOCK INITIAL</v>
          </cell>
          <cell r="Q172">
            <v>11449.433000000194</v>
          </cell>
          <cell r="R172">
            <v>378.44356349957013</v>
          </cell>
          <cell r="S172">
            <v>4332964.2245696466</v>
          </cell>
        </row>
        <row r="397">
          <cell r="P397">
            <v>2484.2087043804045</v>
          </cell>
        </row>
        <row r="398">
          <cell r="P398" t="str">
            <v>PCS / PP</v>
          </cell>
          <cell r="T398" t="str">
            <v>PAGE N° 10</v>
          </cell>
        </row>
        <row r="399">
          <cell r="P399" t="str">
            <v xml:space="preserve">ATELIER  : PHOSPHORIQUE </v>
          </cell>
        </row>
        <row r="400">
          <cell r="P400" t="str">
            <v>PRODUCTION  P205       (GLOBAL)</v>
          </cell>
        </row>
        <row r="401">
          <cell r="S401" t="str">
            <v xml:space="preserve"> PREVISIONNEL  2006</v>
          </cell>
        </row>
        <row r="402">
          <cell r="P402">
            <v>0</v>
          </cell>
        </row>
        <row r="403">
          <cell r="P403" t="str">
            <v>DESIGNATIONS</v>
          </cell>
          <cell r="Q403" t="str">
            <v xml:space="preserve">  QUANTITE</v>
          </cell>
          <cell r="R403" t="str">
            <v>P  U</v>
          </cell>
          <cell r="S403" t="str">
            <v xml:space="preserve">    VALEURS</v>
          </cell>
          <cell r="T403" t="str">
            <v>C U</v>
          </cell>
        </row>
        <row r="404">
          <cell r="P404" t="str">
            <v xml:space="preserve"> MATIERES PREMIERES</v>
          </cell>
        </row>
        <row r="405">
          <cell r="P405" t="str">
            <v xml:space="preserve"> - PHOSPHATE BROYE</v>
          </cell>
          <cell r="Q405">
            <v>1911300</v>
          </cell>
          <cell r="R405">
            <v>392.36388719889288</v>
          </cell>
          <cell r="S405">
            <v>749925097.60324395</v>
          </cell>
          <cell r="T405">
            <v>1353.6554108361804</v>
          </cell>
        </row>
        <row r="406">
          <cell r="P406" t="str">
            <v xml:space="preserve"> - H2SO4</v>
          </cell>
          <cell r="Q406">
            <v>1728480</v>
          </cell>
          <cell r="R406">
            <v>394.67924883465059</v>
          </cell>
          <cell r="S406">
            <v>682195188.0257169</v>
          </cell>
          <cell r="T406">
            <v>1231.39925636411</v>
          </cell>
        </row>
        <row r="407">
          <cell r="P407" t="str">
            <v xml:space="preserve">    S / T O T A L</v>
          </cell>
          <cell r="Q407">
            <v>0</v>
          </cell>
          <cell r="R407">
            <v>0</v>
          </cell>
          <cell r="S407">
            <v>1432120285.6289608</v>
          </cell>
          <cell r="T407">
            <v>2585.0546672002902</v>
          </cell>
        </row>
        <row r="408">
          <cell r="P408" t="str">
            <v xml:space="preserve"> AUTRES CHARGES DIRECTES</v>
          </cell>
        </row>
        <row r="409">
          <cell r="P409" t="str">
            <v xml:space="preserve"> - MATIERES AUXILIAIRES</v>
          </cell>
          <cell r="S409">
            <v>809205.64266666665</v>
          </cell>
          <cell r="T409">
            <v>1.4606600048134777</v>
          </cell>
        </row>
        <row r="410">
          <cell r="P410" t="str">
            <v xml:space="preserve"> - CONS PIECES DE RECH. </v>
          </cell>
          <cell r="S410">
            <v>19233537.496133335</v>
          </cell>
          <cell r="T410">
            <v>34.717576707821905</v>
          </cell>
        </row>
        <row r="411">
          <cell r="P411" t="str">
            <v xml:space="preserve"> - CONS MATIERES CONSOM</v>
          </cell>
          <cell r="S411">
            <v>7278354.6554666655</v>
          </cell>
          <cell r="T411">
            <v>13.137824287845966</v>
          </cell>
        </row>
        <row r="412">
          <cell r="P412" t="str">
            <v xml:space="preserve">  - HEURES  SUPPL</v>
          </cell>
          <cell r="S412">
            <v>2007706.6191999998</v>
          </cell>
          <cell r="T412">
            <v>3.6240191682310465</v>
          </cell>
        </row>
        <row r="413">
          <cell r="P413" t="str">
            <v xml:space="preserve"> - CHARGES SOC SOMPL</v>
          </cell>
          <cell r="S413">
            <v>11087583.877866667</v>
          </cell>
          <cell r="T413">
            <v>20.013689310228639</v>
          </cell>
        </row>
        <row r="414">
          <cell r="P414" t="str">
            <v xml:space="preserve"> - FRAIS DE PERSONNEL</v>
          </cell>
          <cell r="S414">
            <v>16438200.517333336</v>
          </cell>
          <cell r="T414">
            <v>29.671842089049342</v>
          </cell>
        </row>
        <row r="415">
          <cell r="P415" t="str">
            <v xml:space="preserve"> - AMORTISSEMENTS</v>
          </cell>
          <cell r="S415">
            <v>22321841.272399999</v>
          </cell>
          <cell r="T415">
            <v>40.292132260649815</v>
          </cell>
        </row>
        <row r="416">
          <cell r="P416" t="str">
            <v xml:space="preserve">  PRESTATIONS</v>
          </cell>
          <cell r="S416">
            <v>4257195.0911999997</v>
          </cell>
          <cell r="T416">
            <v>7.6844676736462088</v>
          </cell>
        </row>
        <row r="417">
          <cell r="P417" t="str">
            <v xml:space="preserve">  DONT LABORATOIRE</v>
          </cell>
          <cell r="Q417">
            <v>0</v>
          </cell>
          <cell r="R417">
            <v>0</v>
          </cell>
          <cell r="S417">
            <v>401875.05000000005</v>
          </cell>
          <cell r="T417">
            <v>0.72540622743682315</v>
          </cell>
        </row>
        <row r="418">
          <cell r="P418" t="str">
            <v xml:space="preserve"> FOURNITURES ET ABON</v>
          </cell>
        </row>
        <row r="419">
          <cell r="P419" t="str">
            <v xml:space="preserve"> - ENERGIE ELECTRIQUE</v>
          </cell>
          <cell r="Q419">
            <v>85415720</v>
          </cell>
          <cell r="R419">
            <v>0.26419938621410616</v>
          </cell>
          <cell r="S419">
            <v>22566780.797035951</v>
          </cell>
          <cell r="T419">
            <v>40.734261366490884</v>
          </cell>
        </row>
        <row r="420">
          <cell r="P420" t="str">
            <v xml:space="preserve"> - EAU FILTREE</v>
          </cell>
          <cell r="Q420">
            <v>5844700</v>
          </cell>
          <cell r="R420">
            <v>0.68962296676929946</v>
          </cell>
          <cell r="S420">
            <v>4030639.3538765246</v>
          </cell>
          <cell r="T420">
            <v>7.2755222994161093</v>
          </cell>
        </row>
        <row r="421">
          <cell r="R421">
            <v>0</v>
          </cell>
          <cell r="S421">
            <v>0</v>
          </cell>
          <cell r="T421">
            <v>0</v>
          </cell>
        </row>
        <row r="422">
          <cell r="R422">
            <v>0</v>
          </cell>
          <cell r="S422">
            <v>0</v>
          </cell>
          <cell r="T422">
            <v>0</v>
          </cell>
        </row>
        <row r="423">
          <cell r="R423">
            <v>0</v>
          </cell>
          <cell r="S423">
            <v>0</v>
          </cell>
          <cell r="T423">
            <v>0</v>
          </cell>
        </row>
        <row r="424">
          <cell r="P424" t="str">
            <v xml:space="preserve"> - EAU DE MER HP</v>
          </cell>
          <cell r="Q424">
            <v>41550000</v>
          </cell>
          <cell r="R424">
            <v>0.18520897103784492</v>
          </cell>
          <cell r="S424">
            <v>7695432.7466224562</v>
          </cell>
          <cell r="T424">
            <v>13.890672827838369</v>
          </cell>
        </row>
        <row r="425">
          <cell r="P425" t="str">
            <v xml:space="preserve"> - EAU POTABLE</v>
          </cell>
          <cell r="Q425">
            <v>3200</v>
          </cell>
          <cell r="R425">
            <v>12.914474147298041</v>
          </cell>
          <cell r="S425">
            <v>41326.317271353728</v>
          </cell>
          <cell r="T425">
            <v>7.4596240562010335E-2</v>
          </cell>
        </row>
        <row r="426">
          <cell r="P426" t="str">
            <v xml:space="preserve"> - VAPEUR MP</v>
          </cell>
          <cell r="Q426">
            <v>1385000</v>
          </cell>
          <cell r="R426">
            <v>7.3572398756432156</v>
          </cell>
          <cell r="S426">
            <v>10189777.227765854</v>
          </cell>
          <cell r="T426">
            <v>18.393099689108041</v>
          </cell>
        </row>
        <row r="427">
          <cell r="R427">
            <v>0</v>
          </cell>
          <cell r="S427">
            <v>0</v>
          </cell>
          <cell r="T427">
            <v>0</v>
          </cell>
        </row>
        <row r="428">
          <cell r="P428" t="str">
            <v xml:space="preserve"> - AIR INSTRUMENTATION</v>
          </cell>
          <cell r="Q428">
            <v>11085540</v>
          </cell>
          <cell r="R428">
            <v>8.613331248082623E-2</v>
          </cell>
          <cell r="S428">
            <v>954834.28083869838</v>
          </cell>
          <cell r="T428">
            <v>1.7235275827413328</v>
          </cell>
        </row>
        <row r="429">
          <cell r="P429" t="str">
            <v xml:space="preserve">    S / T O T A L</v>
          </cell>
          <cell r="S429">
            <v>45478790.72341083</v>
          </cell>
          <cell r="T429">
            <v>82.091680006156736</v>
          </cell>
        </row>
        <row r="430">
          <cell r="P430" t="str">
            <v xml:space="preserve"> CHARGES INDIRECTES</v>
          </cell>
          <cell r="Q430">
            <v>548460</v>
          </cell>
          <cell r="S430">
            <v>67340039.659229487</v>
          </cell>
          <cell r="T430">
            <v>121.55241815745394</v>
          </cell>
        </row>
        <row r="431">
          <cell r="P431" t="str">
            <v xml:space="preserve">  PRODUCTION</v>
          </cell>
          <cell r="Q431">
            <v>554000</v>
          </cell>
        </row>
        <row r="432">
          <cell r="P432" t="str">
            <v xml:space="preserve">  COUT DE PRODUCTION </v>
          </cell>
          <cell r="Q432">
            <v>11634000</v>
          </cell>
          <cell r="R432">
            <v>2939.3009768661877</v>
          </cell>
          <cell r="S432">
            <v>1628372741.1838679</v>
          </cell>
          <cell r="T432">
            <v>2939.3009768661873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QUE"/>
      <sheetName val="PRODUCTION"/>
      <sheetName val="RATIOS"/>
      <sheetName val="GASOIL"/>
      <sheetName val="ENERGIE ELEC"/>
      <sheetName val="BANDE "/>
      <sheetName val="bois "/>
      <sheetName val="effectif"/>
      <sheetName val="salaire moyen"/>
      <sheetName val="ETAT SOTREG"/>
      <sheetName val="PR-P"/>
      <sheetName val="bBal June 02"/>
      <sheetName val="MANQUE"/>
      <sheetName val="Feuil2"/>
      <sheetName val="FACTURE RECUE"/>
    </sheetNames>
    <sheetDataSet>
      <sheetData sheetId="0" refreshError="1"/>
      <sheetData sheetId="1" refreshError="1"/>
      <sheetData sheetId="2" refreshError="1"/>
      <sheetData sheetId="3" refreshError="1">
        <row r="55">
          <cell r="Z55" t="str">
            <v>TOTAL</v>
          </cell>
          <cell r="AA55" t="e">
            <v>#REF!</v>
          </cell>
          <cell r="AC55" t="e">
            <v>#REF!</v>
          </cell>
          <cell r="AE55" t="e">
            <v>#REF!</v>
          </cell>
          <cell r="AG55" t="e">
            <v>#REF!</v>
          </cell>
          <cell r="AI55" t="e">
            <v>#REF!</v>
          </cell>
        </row>
        <row r="56">
          <cell r="Y56" t="str">
            <v>ENERG</v>
          </cell>
          <cell r="Z56" t="str">
            <v>Y1</v>
          </cell>
          <cell r="AA56">
            <v>0</v>
          </cell>
          <cell r="AC56" t="e">
            <v>#REF!</v>
          </cell>
          <cell r="AE56" t="e">
            <v>#REF!</v>
          </cell>
          <cell r="AI56" t="e">
            <v>#REF!</v>
          </cell>
        </row>
        <row r="57">
          <cell r="Z57" t="str">
            <v>Y2</v>
          </cell>
          <cell r="AA57" t="e">
            <v>#REF!</v>
          </cell>
          <cell r="AC57" t="e">
            <v>#REF!</v>
          </cell>
          <cell r="AE57" t="e">
            <v>#REF!</v>
          </cell>
          <cell r="AG57" t="e">
            <v>#REF!</v>
          </cell>
          <cell r="AI57" t="e">
            <v>#REF!</v>
          </cell>
        </row>
        <row r="61">
          <cell r="Z61" t="str">
            <v>TOTAL</v>
          </cell>
          <cell r="AA61">
            <v>2.1375999999999999</v>
          </cell>
          <cell r="AC61" t="e">
            <v>#REF!</v>
          </cell>
          <cell r="AE61" t="e">
            <v>#REF!</v>
          </cell>
          <cell r="AG61" t="e">
            <v>#REF!</v>
          </cell>
          <cell r="AI61" t="e">
            <v>#REF!</v>
          </cell>
        </row>
        <row r="62">
          <cell r="Y62" t="str">
            <v>BANDE</v>
          </cell>
          <cell r="Z62" t="str">
            <v>Y1</v>
          </cell>
          <cell r="AA62">
            <v>0</v>
          </cell>
          <cell r="AC62" t="e">
            <v>#REF!</v>
          </cell>
          <cell r="AE62" t="e">
            <v>#REF!</v>
          </cell>
          <cell r="AI62" t="e">
            <v>#REF!</v>
          </cell>
        </row>
        <row r="63">
          <cell r="Z63" t="str">
            <v>Y2</v>
          </cell>
          <cell r="AA63">
            <v>2.1375999999999999</v>
          </cell>
          <cell r="AC63" t="e">
            <v>#REF!</v>
          </cell>
          <cell r="AE63" t="e">
            <v>#REF!</v>
          </cell>
          <cell r="AG63" t="e">
            <v>#REF!</v>
          </cell>
          <cell r="AI63" t="e">
            <v>#REF!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GAG. AU 31-08-04"/>
      <sheetName val="ENGAG. AU 28-06-04"/>
      <sheetName val="AE au 31-08-2004"/>
      <sheetName val="Feuil2"/>
      <sheetName val="RECAP.DSD  au 31-08-2004"/>
      <sheetName val="RECAP. ENTITES"/>
      <sheetName val="RECAP. RUBRIQUES"/>
      <sheetName val="AE Fin 02-2004"/>
      <sheetName val="ENGAG. Fin 02-2004"/>
      <sheetName val="Suivi global"/>
      <sheetName val="Acivité 01et0204"/>
      <sheetName val="AE Fin 03-2004"/>
      <sheetName val="ENGAG. Fin 03-2004"/>
      <sheetName val="DAL 2004"/>
      <sheetName val="DAC 2004"/>
      <sheetName val="Crédits antérieurs à 2004"/>
      <sheetName val="DIB reclassées de L2 à L1"/>
      <sheetName val="DIB-C 2004"/>
      <sheetName val="DIB-N 2004"/>
      <sheetName val="Base 2004"/>
      <sheetName val="B.E"/>
      <sheetName val="Formulation "/>
      <sheetName val="Doc."/>
      <sheetName val="Feuil3"/>
      <sheetName val="Feuil4"/>
      <sheetName val="Feuil1"/>
      <sheetName val="Feuil"/>
      <sheetName val="23-04-04"/>
      <sheetName val="13-04-04"/>
      <sheetName val="Synthè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PC_2006"/>
      <sheetName val="Synthése"/>
      <sheetName val="Gros projet"/>
      <sheetName val="dépoussiérage"/>
      <sheetName val="P"/>
      <sheetName val="T"/>
      <sheetName val="TC"/>
      <sheetName val="L"/>
      <sheetName val="AK"/>
      <sheetName val="Liste Global"/>
      <sheetName val="Nature"/>
      <sheetName val="GLOBAL INV"/>
      <sheetName val=" INV"/>
      <sheetName val="Source"/>
      <sheetName val="RECAP. ENT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1">
          <cell r="A1">
            <v>2722</v>
          </cell>
          <cell r="B1">
            <v>7000000</v>
          </cell>
          <cell r="C1" t="str">
            <v>ELBOUCHRIFI</v>
          </cell>
          <cell r="D1" t="str">
            <v>R2</v>
          </cell>
          <cell r="E1" t="str">
            <v>ORD</v>
          </cell>
          <cell r="F1" t="str">
            <v>RN</v>
          </cell>
          <cell r="G1" t="str">
            <v>P</v>
          </cell>
          <cell r="H1" t="str">
            <v>R</v>
          </cell>
        </row>
        <row r="2">
          <cell r="A2">
            <v>2723</v>
          </cell>
          <cell r="B2">
            <v>8000000</v>
          </cell>
          <cell r="C2" t="str">
            <v>MAGHRAOUI</v>
          </cell>
          <cell r="D2" t="str">
            <v>R2</v>
          </cell>
          <cell r="E2" t="str">
            <v>ORD</v>
          </cell>
          <cell r="F2" t="str">
            <v>RN</v>
          </cell>
          <cell r="G2" t="str">
            <v>P</v>
          </cell>
          <cell r="H2" t="str">
            <v>R</v>
          </cell>
        </row>
        <row r="3">
          <cell r="A3">
            <v>2724</v>
          </cell>
          <cell r="B3">
            <v>4000000</v>
          </cell>
          <cell r="C3" t="str">
            <v>ELBOUCHRIFI</v>
          </cell>
          <cell r="D3" t="str">
            <v>R2</v>
          </cell>
          <cell r="E3" t="str">
            <v>ORD</v>
          </cell>
          <cell r="F3" t="str">
            <v>RN</v>
          </cell>
          <cell r="G3" t="str">
            <v>P</v>
          </cell>
          <cell r="H3" t="str">
            <v>R</v>
          </cell>
        </row>
        <row r="4">
          <cell r="A4">
            <v>2728</v>
          </cell>
          <cell r="B4">
            <v>100000</v>
          </cell>
          <cell r="C4" t="str">
            <v>CHEHTANE</v>
          </cell>
          <cell r="D4" t="str">
            <v>R3</v>
          </cell>
          <cell r="E4" t="str">
            <v>ORD</v>
          </cell>
          <cell r="F4" t="str">
            <v>RN</v>
          </cell>
          <cell r="G4" t="str">
            <v>P</v>
          </cell>
          <cell r="H4" t="str">
            <v>R</v>
          </cell>
        </row>
        <row r="5">
          <cell r="A5">
            <v>2730</v>
          </cell>
          <cell r="B5">
            <v>300000</v>
          </cell>
          <cell r="C5" t="str">
            <v>DRIBA</v>
          </cell>
          <cell r="D5" t="str">
            <v>R3</v>
          </cell>
          <cell r="E5" t="str">
            <v>ORD</v>
          </cell>
          <cell r="F5" t="str">
            <v>RN</v>
          </cell>
          <cell r="G5" t="str">
            <v>P</v>
          </cell>
          <cell r="H5" t="str">
            <v>R</v>
          </cell>
        </row>
        <row r="6">
          <cell r="A6">
            <v>2732</v>
          </cell>
          <cell r="B6">
            <v>100000</v>
          </cell>
          <cell r="C6" t="str">
            <v>KABBAGE</v>
          </cell>
          <cell r="D6" t="str">
            <v>R2</v>
          </cell>
          <cell r="E6" t="str">
            <v>ORD</v>
          </cell>
          <cell r="F6" t="str">
            <v>RN</v>
          </cell>
          <cell r="G6" t="str">
            <v>T</v>
          </cell>
          <cell r="H6" t="str">
            <v>R</v>
          </cell>
        </row>
        <row r="7">
          <cell r="A7">
            <v>2736</v>
          </cell>
          <cell r="B7">
            <v>9800</v>
          </cell>
          <cell r="C7" t="str">
            <v>RAOUIA</v>
          </cell>
          <cell r="D7" t="str">
            <v>R2</v>
          </cell>
          <cell r="E7" t="str">
            <v>ORD</v>
          </cell>
          <cell r="F7" t="str">
            <v>RN</v>
          </cell>
          <cell r="G7" t="str">
            <v>TC</v>
          </cell>
          <cell r="H7" t="str">
            <v>R</v>
          </cell>
        </row>
        <row r="8">
          <cell r="A8">
            <v>2738</v>
          </cell>
          <cell r="B8">
            <v>4000000</v>
          </cell>
          <cell r="C8" t="str">
            <v>BOUZZIT</v>
          </cell>
          <cell r="D8" t="str">
            <v>R2</v>
          </cell>
          <cell r="E8" t="str">
            <v>ORD</v>
          </cell>
          <cell r="F8" t="str">
            <v>RN</v>
          </cell>
          <cell r="G8" t="str">
            <v>L</v>
          </cell>
          <cell r="H8" t="str">
            <v>R</v>
          </cell>
        </row>
        <row r="9">
          <cell r="A9">
            <v>2740</v>
          </cell>
          <cell r="B9">
            <v>0</v>
          </cell>
          <cell r="C9" t="str">
            <v>ECHAARANI</v>
          </cell>
          <cell r="D9" t="str">
            <v>R11</v>
          </cell>
          <cell r="E9" t="str">
            <v>TERRAIN</v>
          </cell>
          <cell r="F9" t="str">
            <v>DN</v>
          </cell>
          <cell r="G9" t="str">
            <v>P</v>
          </cell>
          <cell r="H9" t="str">
            <v>R</v>
          </cell>
        </row>
        <row r="10">
          <cell r="A10">
            <v>2741</v>
          </cell>
          <cell r="B10">
            <v>1000000</v>
          </cell>
          <cell r="C10" t="str">
            <v>ECHAARANI</v>
          </cell>
          <cell r="D10" t="str">
            <v>R11</v>
          </cell>
          <cell r="E10" t="str">
            <v>TERRAIN</v>
          </cell>
          <cell r="F10" t="str">
            <v>DN</v>
          </cell>
          <cell r="G10" t="str">
            <v>P</v>
          </cell>
          <cell r="H10" t="str">
            <v>R</v>
          </cell>
        </row>
        <row r="11">
          <cell r="A11">
            <v>2742</v>
          </cell>
          <cell r="B11">
            <v>5753900</v>
          </cell>
          <cell r="C11" t="str">
            <v>ECHAARANI</v>
          </cell>
          <cell r="D11" t="str">
            <v>R11</v>
          </cell>
          <cell r="E11" t="str">
            <v>TERRAIN</v>
          </cell>
          <cell r="F11" t="str">
            <v>DN</v>
          </cell>
          <cell r="G11" t="str">
            <v>P</v>
          </cell>
          <cell r="H11" t="str">
            <v>R</v>
          </cell>
        </row>
        <row r="12">
          <cell r="A12">
            <v>2743</v>
          </cell>
          <cell r="B12">
            <v>8000000</v>
          </cell>
          <cell r="C12" t="str">
            <v>KHOUILI</v>
          </cell>
          <cell r="D12" t="str">
            <v>R2</v>
          </cell>
          <cell r="E12" t="str">
            <v>ORD</v>
          </cell>
          <cell r="F12" t="str">
            <v>DN</v>
          </cell>
          <cell r="G12" t="str">
            <v>P</v>
          </cell>
          <cell r="H12" t="str">
            <v>R</v>
          </cell>
        </row>
        <row r="13">
          <cell r="A13">
            <v>2744</v>
          </cell>
          <cell r="B13">
            <v>2000000</v>
          </cell>
          <cell r="C13" t="str">
            <v>CHEHTANE</v>
          </cell>
          <cell r="D13" t="str">
            <v>R5</v>
          </cell>
          <cell r="E13" t="str">
            <v>ETUDES ET ESSAIS</v>
          </cell>
          <cell r="F13" t="str">
            <v>DN</v>
          </cell>
          <cell r="G13" t="str">
            <v>P</v>
          </cell>
          <cell r="H13" t="str">
            <v>R</v>
          </cell>
        </row>
        <row r="14">
          <cell r="A14">
            <v>2746</v>
          </cell>
          <cell r="B14">
            <v>41309740.75</v>
          </cell>
          <cell r="C14" t="str">
            <v>EL OUAHHABI</v>
          </cell>
          <cell r="D14" t="str">
            <v>R1</v>
          </cell>
          <cell r="E14" t="str">
            <v>IMP</v>
          </cell>
          <cell r="F14" t="str">
            <v>DN</v>
          </cell>
          <cell r="G14" t="str">
            <v>T</v>
          </cell>
          <cell r="H14" t="str">
            <v>R</v>
          </cell>
        </row>
        <row r="15">
          <cell r="A15">
            <v>2747</v>
          </cell>
          <cell r="B15">
            <v>21639333.379999999</v>
          </cell>
          <cell r="C15" t="str">
            <v>ALOUANI</v>
          </cell>
          <cell r="D15" t="str">
            <v>R1</v>
          </cell>
          <cell r="E15" t="str">
            <v>IMP</v>
          </cell>
          <cell r="F15" t="str">
            <v>DN</v>
          </cell>
          <cell r="G15" t="str">
            <v>T</v>
          </cell>
          <cell r="H15" t="str">
            <v>R</v>
          </cell>
        </row>
        <row r="16">
          <cell r="A16">
            <v>2748</v>
          </cell>
          <cell r="B16">
            <v>6000000</v>
          </cell>
          <cell r="C16" t="str">
            <v>JERRAR</v>
          </cell>
          <cell r="D16" t="str">
            <v>R2</v>
          </cell>
          <cell r="E16" t="str">
            <v>ORD</v>
          </cell>
          <cell r="F16" t="str">
            <v>DN</v>
          </cell>
          <cell r="G16" t="str">
            <v>T</v>
          </cell>
          <cell r="H16" t="str">
            <v>R</v>
          </cell>
        </row>
        <row r="17">
          <cell r="A17">
            <v>2748</v>
          </cell>
          <cell r="C17" t="str">
            <v>JERRAR</v>
          </cell>
          <cell r="D17" t="str">
            <v>R2</v>
          </cell>
          <cell r="E17" t="str">
            <v>ORD</v>
          </cell>
          <cell r="F17" t="str">
            <v>DN</v>
          </cell>
          <cell r="G17" t="str">
            <v>T</v>
          </cell>
          <cell r="H17" t="str">
            <v>R</v>
          </cell>
        </row>
        <row r="18">
          <cell r="A18">
            <v>2748</v>
          </cell>
          <cell r="C18" t="str">
            <v>JERRAR</v>
          </cell>
          <cell r="D18" t="str">
            <v>R2</v>
          </cell>
          <cell r="E18" t="str">
            <v>ORD</v>
          </cell>
          <cell r="F18" t="str">
            <v>DN</v>
          </cell>
          <cell r="G18" t="str">
            <v>T</v>
          </cell>
          <cell r="H18" t="str">
            <v>R</v>
          </cell>
        </row>
        <row r="19">
          <cell r="A19">
            <v>2748</v>
          </cell>
          <cell r="C19" t="str">
            <v>JERRAR</v>
          </cell>
          <cell r="D19" t="str">
            <v>R2</v>
          </cell>
          <cell r="E19" t="str">
            <v>ORD</v>
          </cell>
          <cell r="F19" t="str">
            <v>DN</v>
          </cell>
          <cell r="G19" t="str">
            <v>T</v>
          </cell>
          <cell r="H19" t="str">
            <v>R</v>
          </cell>
        </row>
        <row r="20">
          <cell r="A20">
            <v>2748</v>
          </cell>
          <cell r="C20" t="str">
            <v>JERRAR</v>
          </cell>
          <cell r="D20" t="str">
            <v>R2</v>
          </cell>
          <cell r="E20" t="str">
            <v>ORD</v>
          </cell>
          <cell r="F20" t="str">
            <v>DN</v>
          </cell>
          <cell r="G20" t="str">
            <v>T</v>
          </cell>
          <cell r="H20" t="str">
            <v>R</v>
          </cell>
        </row>
        <row r="21">
          <cell r="A21">
            <v>2748</v>
          </cell>
          <cell r="C21" t="str">
            <v>JERRAR</v>
          </cell>
          <cell r="D21" t="str">
            <v>R2</v>
          </cell>
          <cell r="E21" t="str">
            <v>ORD</v>
          </cell>
          <cell r="F21" t="str">
            <v>DN</v>
          </cell>
          <cell r="G21" t="str">
            <v>T</v>
          </cell>
          <cell r="H21" t="str">
            <v>R</v>
          </cell>
        </row>
        <row r="22">
          <cell r="A22">
            <v>2748</v>
          </cell>
          <cell r="C22" t="str">
            <v>JERRAR</v>
          </cell>
          <cell r="D22" t="str">
            <v>R2</v>
          </cell>
          <cell r="E22" t="str">
            <v>ORD</v>
          </cell>
          <cell r="F22" t="str">
            <v>DN</v>
          </cell>
          <cell r="G22" t="str">
            <v>T</v>
          </cell>
          <cell r="H22" t="str">
            <v>R</v>
          </cell>
        </row>
        <row r="23">
          <cell r="A23">
            <v>2748</v>
          </cell>
          <cell r="C23" t="str">
            <v>JERRAR</v>
          </cell>
          <cell r="D23" t="str">
            <v>R2</v>
          </cell>
          <cell r="E23" t="str">
            <v>ORD</v>
          </cell>
          <cell r="F23" t="str">
            <v>DN</v>
          </cell>
          <cell r="G23" t="str">
            <v>T</v>
          </cell>
          <cell r="H23" t="str">
            <v>R</v>
          </cell>
        </row>
        <row r="24">
          <cell r="A24">
            <v>2748</v>
          </cell>
          <cell r="C24" t="str">
            <v>JERRAR</v>
          </cell>
          <cell r="D24" t="str">
            <v>R2</v>
          </cell>
          <cell r="E24" t="str">
            <v>ORD</v>
          </cell>
          <cell r="F24" t="str">
            <v>DN</v>
          </cell>
          <cell r="G24" t="str">
            <v>T</v>
          </cell>
          <cell r="H24" t="str">
            <v>R</v>
          </cell>
        </row>
        <row r="25">
          <cell r="A25">
            <v>2748</v>
          </cell>
          <cell r="C25" t="str">
            <v>JERRAR</v>
          </cell>
          <cell r="D25" t="str">
            <v>R2</v>
          </cell>
          <cell r="E25" t="str">
            <v>ORD</v>
          </cell>
          <cell r="F25" t="str">
            <v>DN</v>
          </cell>
          <cell r="G25" t="str">
            <v>T</v>
          </cell>
          <cell r="H25" t="str">
            <v>R</v>
          </cell>
        </row>
        <row r="26">
          <cell r="A26">
            <v>2748</v>
          </cell>
          <cell r="C26" t="str">
            <v>JERRAR</v>
          </cell>
          <cell r="D26" t="str">
            <v>R2</v>
          </cell>
          <cell r="E26" t="str">
            <v>ORD</v>
          </cell>
          <cell r="F26" t="str">
            <v>DN</v>
          </cell>
          <cell r="G26" t="str">
            <v>T</v>
          </cell>
          <cell r="H26" t="str">
            <v>R</v>
          </cell>
        </row>
        <row r="27">
          <cell r="A27">
            <v>2748</v>
          </cell>
          <cell r="C27" t="str">
            <v>JERRAR</v>
          </cell>
          <cell r="D27" t="str">
            <v>R2</v>
          </cell>
          <cell r="E27" t="str">
            <v>ORD</v>
          </cell>
          <cell r="F27" t="str">
            <v>DN</v>
          </cell>
          <cell r="G27" t="str">
            <v>T</v>
          </cell>
          <cell r="H27" t="str">
            <v>R</v>
          </cell>
        </row>
        <row r="28">
          <cell r="A28">
            <v>2750</v>
          </cell>
          <cell r="B28">
            <v>4500000</v>
          </cell>
          <cell r="C28" t="str">
            <v>ZNAIDI</v>
          </cell>
          <cell r="D28" t="str">
            <v>R2</v>
          </cell>
          <cell r="E28" t="str">
            <v>ORD</v>
          </cell>
          <cell r="F28" t="str">
            <v>DN</v>
          </cell>
          <cell r="G28" t="str">
            <v>T</v>
          </cell>
          <cell r="H28" t="str">
            <v>R</v>
          </cell>
        </row>
        <row r="29">
          <cell r="A29">
            <v>2752</v>
          </cell>
          <cell r="B29">
            <v>300000</v>
          </cell>
          <cell r="C29" t="str">
            <v>KABBAGE</v>
          </cell>
          <cell r="D29" t="str">
            <v>R2</v>
          </cell>
          <cell r="E29" t="str">
            <v>ORD</v>
          </cell>
          <cell r="F29" t="str">
            <v>DN</v>
          </cell>
          <cell r="G29" t="str">
            <v>T</v>
          </cell>
          <cell r="H29" t="str">
            <v>R</v>
          </cell>
        </row>
        <row r="30">
          <cell r="A30">
            <v>2753</v>
          </cell>
          <cell r="B30">
            <v>50000</v>
          </cell>
          <cell r="C30" t="str">
            <v>BENAMEUR</v>
          </cell>
          <cell r="D30" t="str">
            <v>R2</v>
          </cell>
          <cell r="E30" t="str">
            <v>ORD</v>
          </cell>
          <cell r="F30" t="str">
            <v>DN</v>
          </cell>
          <cell r="G30" t="str">
            <v>T</v>
          </cell>
          <cell r="H30" t="str">
            <v>R</v>
          </cell>
        </row>
        <row r="31">
          <cell r="A31">
            <v>2754</v>
          </cell>
          <cell r="B31">
            <v>33000000</v>
          </cell>
          <cell r="C31" t="str">
            <v>ZAID</v>
          </cell>
          <cell r="D31" t="str">
            <v>R7</v>
          </cell>
          <cell r="E31" t="str">
            <v>ORD</v>
          </cell>
          <cell r="F31" t="str">
            <v>DN</v>
          </cell>
          <cell r="G31" t="str">
            <v>TC</v>
          </cell>
          <cell r="H31" t="str">
            <v>R</v>
          </cell>
        </row>
        <row r="32">
          <cell r="A32">
            <v>2754</v>
          </cell>
          <cell r="C32" t="str">
            <v>ZAID</v>
          </cell>
          <cell r="D32" t="str">
            <v>R7</v>
          </cell>
          <cell r="E32" t="str">
            <v>ORD</v>
          </cell>
          <cell r="F32" t="str">
            <v>DN</v>
          </cell>
          <cell r="G32" t="str">
            <v>TC</v>
          </cell>
          <cell r="H32" t="str">
            <v>R</v>
          </cell>
        </row>
        <row r="33">
          <cell r="A33">
            <v>2755</v>
          </cell>
          <cell r="B33">
            <v>400000</v>
          </cell>
          <cell r="C33" t="str">
            <v>EL FATTAHI</v>
          </cell>
          <cell r="D33" t="str">
            <v>R2</v>
          </cell>
          <cell r="E33" t="str">
            <v>ORD</v>
          </cell>
          <cell r="F33" t="str">
            <v>DN</v>
          </cell>
          <cell r="G33" t="str">
            <v>TC</v>
          </cell>
          <cell r="H33" t="str">
            <v>R</v>
          </cell>
        </row>
        <row r="34">
          <cell r="A34">
            <v>2756</v>
          </cell>
          <cell r="B34">
            <v>270000</v>
          </cell>
          <cell r="C34" t="str">
            <v>RAOUIA</v>
          </cell>
          <cell r="D34" t="str">
            <v>R2</v>
          </cell>
          <cell r="E34" t="str">
            <v>ORD</v>
          </cell>
          <cell r="F34" t="str">
            <v>DN</v>
          </cell>
          <cell r="G34" t="str">
            <v>TC</v>
          </cell>
          <cell r="H34" t="str">
            <v>R</v>
          </cell>
        </row>
        <row r="35">
          <cell r="A35">
            <v>2757</v>
          </cell>
          <cell r="B35">
            <v>280000</v>
          </cell>
          <cell r="C35" t="str">
            <v>RAOUIA</v>
          </cell>
          <cell r="D35" t="str">
            <v>R2</v>
          </cell>
          <cell r="E35" t="str">
            <v>ORD</v>
          </cell>
          <cell r="F35" t="str">
            <v>DN</v>
          </cell>
          <cell r="G35" t="str">
            <v>TC</v>
          </cell>
          <cell r="H35" t="str">
            <v>R</v>
          </cell>
        </row>
        <row r="36">
          <cell r="A36">
            <v>2758</v>
          </cell>
          <cell r="B36">
            <v>27000</v>
          </cell>
          <cell r="C36" t="str">
            <v>MOUMEN</v>
          </cell>
          <cell r="D36" t="str">
            <v>R6</v>
          </cell>
          <cell r="E36" t="str">
            <v>ADM</v>
          </cell>
          <cell r="F36" t="str">
            <v>DN</v>
          </cell>
          <cell r="G36" t="str">
            <v>TC</v>
          </cell>
          <cell r="H36" t="str">
            <v>R</v>
          </cell>
        </row>
        <row r="37">
          <cell r="A37">
            <v>2761</v>
          </cell>
          <cell r="B37">
            <v>2376000</v>
          </cell>
          <cell r="C37" t="str">
            <v>RHOLAM</v>
          </cell>
          <cell r="D37" t="str">
            <v>R10</v>
          </cell>
          <cell r="E37" t="str">
            <v>MED</v>
          </cell>
          <cell r="F37" t="str">
            <v>RN</v>
          </cell>
          <cell r="G37" t="str">
            <v>AK</v>
          </cell>
          <cell r="H37" t="str">
            <v>R</v>
          </cell>
        </row>
        <row r="38">
          <cell r="A38">
            <v>2763</v>
          </cell>
          <cell r="B38">
            <v>250000</v>
          </cell>
          <cell r="C38" t="str">
            <v>RAOUIA</v>
          </cell>
          <cell r="D38" t="str">
            <v>R2</v>
          </cell>
          <cell r="E38" t="str">
            <v>ORD</v>
          </cell>
          <cell r="F38" t="str">
            <v>DN</v>
          </cell>
          <cell r="G38" t="str">
            <v>TC</v>
          </cell>
          <cell r="H38" t="str">
            <v>R</v>
          </cell>
        </row>
        <row r="39">
          <cell r="A39">
            <v>2764</v>
          </cell>
          <cell r="B39">
            <v>220000</v>
          </cell>
          <cell r="C39" t="str">
            <v>RAOUIA</v>
          </cell>
          <cell r="D39" t="str">
            <v>R2</v>
          </cell>
          <cell r="E39" t="str">
            <v>ORD</v>
          </cell>
          <cell r="F39" t="str">
            <v>DN</v>
          </cell>
          <cell r="G39" t="str">
            <v>TC</v>
          </cell>
          <cell r="H39" t="str">
            <v>R</v>
          </cell>
        </row>
        <row r="40">
          <cell r="A40">
            <v>2765</v>
          </cell>
          <cell r="B40">
            <v>319440</v>
          </cell>
          <cell r="C40" t="str">
            <v>DERDAKI</v>
          </cell>
          <cell r="D40" t="str">
            <v>R6</v>
          </cell>
          <cell r="E40" t="str">
            <v>SOC</v>
          </cell>
          <cell r="F40" t="str">
            <v>RN</v>
          </cell>
          <cell r="G40" t="str">
            <v>AK</v>
          </cell>
          <cell r="H40" t="str">
            <v>R</v>
          </cell>
        </row>
        <row r="41">
          <cell r="A41">
            <v>2766</v>
          </cell>
          <cell r="B41">
            <v>20000</v>
          </cell>
          <cell r="C41" t="str">
            <v>RAOUIA</v>
          </cell>
          <cell r="D41" t="str">
            <v>R2</v>
          </cell>
          <cell r="E41" t="str">
            <v>ORD</v>
          </cell>
          <cell r="F41" t="str">
            <v>DN</v>
          </cell>
          <cell r="G41" t="str">
            <v>TC</v>
          </cell>
          <cell r="H41" t="str">
            <v>R</v>
          </cell>
        </row>
        <row r="42">
          <cell r="A42">
            <v>2768</v>
          </cell>
          <cell r="B42">
            <v>364000</v>
          </cell>
          <cell r="C42" t="str">
            <v>RAOUIA</v>
          </cell>
          <cell r="D42" t="str">
            <v>R2</v>
          </cell>
          <cell r="E42" t="str">
            <v>ORD</v>
          </cell>
          <cell r="F42" t="str">
            <v>DN</v>
          </cell>
          <cell r="G42" t="str">
            <v>TC</v>
          </cell>
          <cell r="H42" t="str">
            <v>R</v>
          </cell>
        </row>
        <row r="43">
          <cell r="A43">
            <v>2770</v>
          </cell>
          <cell r="B43">
            <v>139392</v>
          </cell>
          <cell r="C43" t="str">
            <v>DAOUDI</v>
          </cell>
          <cell r="D43" t="str">
            <v>R6</v>
          </cell>
          <cell r="E43" t="str">
            <v>ADM</v>
          </cell>
          <cell r="F43" t="str">
            <v>RN</v>
          </cell>
          <cell r="G43" t="str">
            <v>AK</v>
          </cell>
          <cell r="H43" t="str">
            <v>R</v>
          </cell>
        </row>
        <row r="44">
          <cell r="A44">
            <v>2771</v>
          </cell>
          <cell r="B44">
            <v>125000</v>
          </cell>
          <cell r="C44" t="str">
            <v>MOUMEN</v>
          </cell>
          <cell r="D44" t="str">
            <v>R6</v>
          </cell>
          <cell r="E44" t="str">
            <v>ADM</v>
          </cell>
          <cell r="F44" t="str">
            <v>RN</v>
          </cell>
          <cell r="G44" t="str">
            <v>TC</v>
          </cell>
          <cell r="H44" t="str">
            <v>R</v>
          </cell>
        </row>
        <row r="45">
          <cell r="A45">
            <v>2771</v>
          </cell>
          <cell r="C45" t="str">
            <v>MOUMEN</v>
          </cell>
          <cell r="D45" t="str">
            <v>R6</v>
          </cell>
          <cell r="E45" t="str">
            <v>ADM</v>
          </cell>
          <cell r="F45" t="str">
            <v>RN</v>
          </cell>
          <cell r="G45" t="str">
            <v>TC</v>
          </cell>
          <cell r="H45" t="str">
            <v>R</v>
          </cell>
        </row>
        <row r="46">
          <cell r="A46">
            <v>2771</v>
          </cell>
          <cell r="C46" t="str">
            <v>MOUMEN</v>
          </cell>
          <cell r="D46" t="str">
            <v>R6</v>
          </cell>
          <cell r="E46" t="str">
            <v>ADM</v>
          </cell>
          <cell r="F46" t="str">
            <v>RN</v>
          </cell>
          <cell r="G46" t="str">
            <v>TC</v>
          </cell>
          <cell r="H46" t="str">
            <v>R</v>
          </cell>
        </row>
        <row r="47">
          <cell r="A47">
            <v>2771</v>
          </cell>
          <cell r="C47" t="str">
            <v>MOUMEN</v>
          </cell>
          <cell r="D47" t="str">
            <v>R6</v>
          </cell>
          <cell r="E47" t="str">
            <v>ADM</v>
          </cell>
          <cell r="F47" t="str">
            <v>RN</v>
          </cell>
          <cell r="G47" t="str">
            <v>TC</v>
          </cell>
          <cell r="H47" t="str">
            <v>R</v>
          </cell>
        </row>
        <row r="48">
          <cell r="A48">
            <v>2771</v>
          </cell>
          <cell r="C48" t="str">
            <v>MOUMEN</v>
          </cell>
          <cell r="D48" t="str">
            <v>R6</v>
          </cell>
          <cell r="E48" t="str">
            <v>ADM</v>
          </cell>
          <cell r="F48" t="str">
            <v>RN</v>
          </cell>
          <cell r="G48" t="str">
            <v>TC</v>
          </cell>
          <cell r="H48" t="str">
            <v>R</v>
          </cell>
        </row>
        <row r="49">
          <cell r="A49">
            <v>2774</v>
          </cell>
          <cell r="B49">
            <v>58080</v>
          </cell>
          <cell r="C49" t="str">
            <v>DAOUDI</v>
          </cell>
          <cell r="D49" t="str">
            <v>R6</v>
          </cell>
          <cell r="E49" t="str">
            <v>ADM</v>
          </cell>
          <cell r="F49" t="str">
            <v>DN</v>
          </cell>
          <cell r="G49" t="str">
            <v>AK</v>
          </cell>
          <cell r="H49" t="str">
            <v>R</v>
          </cell>
        </row>
        <row r="50">
          <cell r="A50">
            <v>2778</v>
          </cell>
          <cell r="B50">
            <v>5000000</v>
          </cell>
          <cell r="C50" t="str">
            <v>KHOUILI</v>
          </cell>
          <cell r="D50" t="str">
            <v>R2</v>
          </cell>
          <cell r="E50" t="str">
            <v>ORD</v>
          </cell>
          <cell r="F50" t="str">
            <v>RN</v>
          </cell>
          <cell r="G50" t="str">
            <v>P</v>
          </cell>
          <cell r="H50" t="str">
            <v>R</v>
          </cell>
        </row>
        <row r="51">
          <cell r="A51">
            <v>2779</v>
          </cell>
          <cell r="B51">
            <v>7000000</v>
          </cell>
          <cell r="C51" t="str">
            <v>MAGHRAOUI</v>
          </cell>
          <cell r="D51" t="str">
            <v>R2</v>
          </cell>
          <cell r="E51" t="str">
            <v>ORD</v>
          </cell>
          <cell r="F51" t="str">
            <v>RN</v>
          </cell>
          <cell r="G51" t="str">
            <v>P</v>
          </cell>
          <cell r="H51" t="str">
            <v>R</v>
          </cell>
        </row>
        <row r="52">
          <cell r="A52">
            <v>2780</v>
          </cell>
          <cell r="B52">
            <v>5000000</v>
          </cell>
          <cell r="C52" t="str">
            <v>HALMI</v>
          </cell>
          <cell r="D52" t="str">
            <v>R2</v>
          </cell>
          <cell r="E52" t="str">
            <v>ORD</v>
          </cell>
          <cell r="F52" t="str">
            <v>RN</v>
          </cell>
          <cell r="G52" t="str">
            <v>P</v>
          </cell>
          <cell r="H52" t="str">
            <v>R</v>
          </cell>
        </row>
        <row r="53">
          <cell r="A53">
            <v>2781</v>
          </cell>
          <cell r="B53">
            <v>270000</v>
          </cell>
          <cell r="C53" t="str">
            <v>CHARKI</v>
          </cell>
          <cell r="D53" t="str">
            <v>R2</v>
          </cell>
          <cell r="E53" t="str">
            <v>ORD</v>
          </cell>
          <cell r="F53" t="str">
            <v>RN</v>
          </cell>
          <cell r="G53" t="str">
            <v>P</v>
          </cell>
          <cell r="H53" t="str">
            <v>R</v>
          </cell>
        </row>
        <row r="54">
          <cell r="A54">
            <v>2784</v>
          </cell>
          <cell r="B54">
            <v>2000000</v>
          </cell>
          <cell r="C54" t="str">
            <v>MAGHRAOUI</v>
          </cell>
          <cell r="D54" t="str">
            <v>R2</v>
          </cell>
          <cell r="E54" t="str">
            <v>ORD</v>
          </cell>
          <cell r="F54" t="str">
            <v>DN</v>
          </cell>
          <cell r="G54" t="str">
            <v>P</v>
          </cell>
          <cell r="H54" t="str">
            <v>R</v>
          </cell>
        </row>
        <row r="55">
          <cell r="A55">
            <v>2788</v>
          </cell>
          <cell r="B55">
            <v>180000</v>
          </cell>
          <cell r="C55" t="str">
            <v>MAGHRAOUI</v>
          </cell>
          <cell r="D55" t="str">
            <v>R3</v>
          </cell>
          <cell r="E55" t="str">
            <v>ORD</v>
          </cell>
          <cell r="F55" t="str">
            <v>RN</v>
          </cell>
          <cell r="G55" t="str">
            <v>P</v>
          </cell>
          <cell r="H55" t="str">
            <v>R</v>
          </cell>
        </row>
        <row r="56">
          <cell r="A56">
            <v>2789</v>
          </cell>
          <cell r="B56">
            <v>24000000</v>
          </cell>
          <cell r="C56" t="str">
            <v>LEBBARDI</v>
          </cell>
          <cell r="D56" t="str">
            <v>R7</v>
          </cell>
          <cell r="E56" t="str">
            <v>ORD</v>
          </cell>
          <cell r="F56" t="str">
            <v>DN</v>
          </cell>
          <cell r="G56" t="str">
            <v>T</v>
          </cell>
          <cell r="H56" t="str">
            <v>R</v>
          </cell>
        </row>
        <row r="57">
          <cell r="A57">
            <v>2794</v>
          </cell>
          <cell r="B57">
            <v>492000</v>
          </cell>
          <cell r="C57" t="str">
            <v>BENAMEUR</v>
          </cell>
          <cell r="D57" t="str">
            <v>R2</v>
          </cell>
          <cell r="E57" t="str">
            <v>ORD</v>
          </cell>
          <cell r="F57" t="str">
            <v>DN</v>
          </cell>
          <cell r="G57" t="str">
            <v>T</v>
          </cell>
          <cell r="H57" t="str">
            <v>R</v>
          </cell>
        </row>
        <row r="58">
          <cell r="A58">
            <v>2797</v>
          </cell>
          <cell r="B58">
            <v>400000</v>
          </cell>
          <cell r="C58" t="str">
            <v>AIT HSSAINE</v>
          </cell>
          <cell r="D58" t="str">
            <v>R2</v>
          </cell>
          <cell r="E58" t="str">
            <v>ORD</v>
          </cell>
          <cell r="F58" t="str">
            <v>DN</v>
          </cell>
          <cell r="G58" t="str">
            <v>T</v>
          </cell>
          <cell r="H58" t="str">
            <v>R</v>
          </cell>
        </row>
        <row r="59">
          <cell r="A59">
            <v>2798</v>
          </cell>
          <cell r="B59">
            <v>200000</v>
          </cell>
          <cell r="C59" t="str">
            <v>BENAMEUR</v>
          </cell>
          <cell r="D59" t="str">
            <v>R2</v>
          </cell>
          <cell r="E59" t="str">
            <v>ORD</v>
          </cell>
          <cell r="F59" t="str">
            <v>DN</v>
          </cell>
          <cell r="G59" t="str">
            <v>T</v>
          </cell>
          <cell r="H59" t="str">
            <v>R</v>
          </cell>
        </row>
        <row r="60">
          <cell r="A60">
            <v>2799</v>
          </cell>
          <cell r="B60">
            <v>20000</v>
          </cell>
          <cell r="C60" t="str">
            <v>CHNANI</v>
          </cell>
          <cell r="D60" t="str">
            <v>R2</v>
          </cell>
          <cell r="E60" t="str">
            <v>ORD</v>
          </cell>
          <cell r="F60" t="str">
            <v>DN</v>
          </cell>
          <cell r="G60" t="str">
            <v>T</v>
          </cell>
          <cell r="H60" t="str">
            <v>R</v>
          </cell>
        </row>
        <row r="61">
          <cell r="A61">
            <v>2800</v>
          </cell>
          <cell r="B61">
            <v>130000</v>
          </cell>
          <cell r="C61" t="str">
            <v>BERRADA</v>
          </cell>
          <cell r="D61" t="str">
            <v>R2</v>
          </cell>
          <cell r="E61" t="str">
            <v>ORD</v>
          </cell>
          <cell r="F61" t="str">
            <v>DN</v>
          </cell>
          <cell r="G61" t="str">
            <v>T</v>
          </cell>
          <cell r="H61" t="str">
            <v>R</v>
          </cell>
        </row>
        <row r="62">
          <cell r="A62">
            <v>2802</v>
          </cell>
          <cell r="B62">
            <v>350000</v>
          </cell>
          <cell r="C62" t="str">
            <v>BENZAKI</v>
          </cell>
          <cell r="D62" t="str">
            <v>R2</v>
          </cell>
          <cell r="E62" t="str">
            <v>ORD</v>
          </cell>
          <cell r="F62" t="str">
            <v>DN</v>
          </cell>
          <cell r="G62" t="str">
            <v>L</v>
          </cell>
          <cell r="H62" t="str">
            <v>R</v>
          </cell>
        </row>
        <row r="63">
          <cell r="A63">
            <v>2804</v>
          </cell>
          <cell r="B63">
            <v>1400000</v>
          </cell>
          <cell r="C63" t="str">
            <v>SAOUD</v>
          </cell>
          <cell r="D63" t="str">
            <v>R2</v>
          </cell>
          <cell r="E63" t="str">
            <v>ORD</v>
          </cell>
          <cell r="F63" t="str">
            <v>DN</v>
          </cell>
          <cell r="G63" t="str">
            <v>L</v>
          </cell>
          <cell r="H63" t="str">
            <v>R</v>
          </cell>
        </row>
        <row r="64">
          <cell r="A64">
            <v>2806</v>
          </cell>
          <cell r="B64">
            <v>100000</v>
          </cell>
          <cell r="C64" t="str">
            <v>BOUZZIT</v>
          </cell>
          <cell r="D64" t="str">
            <v>R2</v>
          </cell>
          <cell r="E64" t="str">
            <v>ORD</v>
          </cell>
          <cell r="F64" t="str">
            <v>DN</v>
          </cell>
          <cell r="G64" t="str">
            <v>L</v>
          </cell>
          <cell r="H64" t="str">
            <v>R</v>
          </cell>
        </row>
        <row r="65">
          <cell r="A65">
            <v>2808</v>
          </cell>
          <cell r="B65">
            <v>250000</v>
          </cell>
          <cell r="C65" t="str">
            <v>BENZAKI</v>
          </cell>
          <cell r="D65" t="str">
            <v>R2</v>
          </cell>
          <cell r="E65" t="str">
            <v>ORD</v>
          </cell>
          <cell r="F65" t="str">
            <v>DN</v>
          </cell>
          <cell r="G65" t="str">
            <v>L</v>
          </cell>
          <cell r="H65" t="str">
            <v>R</v>
          </cell>
        </row>
        <row r="66">
          <cell r="A66">
            <v>2809</v>
          </cell>
          <cell r="B66">
            <v>20000</v>
          </cell>
          <cell r="C66" t="str">
            <v>BOUZZIT</v>
          </cell>
          <cell r="D66" t="str">
            <v>R2</v>
          </cell>
          <cell r="E66" t="str">
            <v>ORD</v>
          </cell>
          <cell r="F66" t="str">
            <v>DN</v>
          </cell>
          <cell r="G66" t="str">
            <v>L</v>
          </cell>
          <cell r="H66" t="str">
            <v>R</v>
          </cell>
        </row>
        <row r="67">
          <cell r="A67">
            <v>2811</v>
          </cell>
          <cell r="B67">
            <v>600000</v>
          </cell>
          <cell r="C67" t="str">
            <v>BENZAKI</v>
          </cell>
          <cell r="D67" t="str">
            <v>R3</v>
          </cell>
          <cell r="E67" t="str">
            <v>ORD</v>
          </cell>
          <cell r="F67" t="str">
            <v>DN</v>
          </cell>
          <cell r="G67" t="str">
            <v>L</v>
          </cell>
          <cell r="H67" t="str">
            <v>R</v>
          </cell>
        </row>
        <row r="68">
          <cell r="A68">
            <v>2811</v>
          </cell>
          <cell r="C68" t="str">
            <v>BENZAKI</v>
          </cell>
          <cell r="D68" t="str">
            <v>R3</v>
          </cell>
          <cell r="E68" t="str">
            <v>ORD</v>
          </cell>
          <cell r="F68" t="str">
            <v>DN</v>
          </cell>
          <cell r="G68" t="str">
            <v>L</v>
          </cell>
          <cell r="H68" t="str">
            <v>R</v>
          </cell>
        </row>
        <row r="69">
          <cell r="A69">
            <v>2811</v>
          </cell>
          <cell r="C69" t="str">
            <v>BENZAKI</v>
          </cell>
          <cell r="D69" t="str">
            <v>R3</v>
          </cell>
          <cell r="E69" t="str">
            <v>ORD</v>
          </cell>
          <cell r="F69" t="str">
            <v>DN</v>
          </cell>
          <cell r="G69" t="str">
            <v>L</v>
          </cell>
          <cell r="H69" t="str">
            <v>R</v>
          </cell>
        </row>
        <row r="70">
          <cell r="A70">
            <v>2811</v>
          </cell>
          <cell r="C70" t="str">
            <v>BENZAKI</v>
          </cell>
          <cell r="D70" t="str">
            <v>R3</v>
          </cell>
          <cell r="E70" t="str">
            <v>ORD</v>
          </cell>
          <cell r="F70" t="str">
            <v>DN</v>
          </cell>
          <cell r="G70" t="str">
            <v>L</v>
          </cell>
          <cell r="H70" t="str">
            <v>R</v>
          </cell>
        </row>
        <row r="71">
          <cell r="A71">
            <v>2812</v>
          </cell>
          <cell r="B71">
            <v>480000</v>
          </cell>
          <cell r="C71" t="str">
            <v>BENZAKI</v>
          </cell>
          <cell r="D71" t="str">
            <v>R3</v>
          </cell>
          <cell r="E71" t="str">
            <v>ORD</v>
          </cell>
          <cell r="F71" t="str">
            <v>DN</v>
          </cell>
          <cell r="G71" t="str">
            <v>L</v>
          </cell>
          <cell r="H71" t="str">
            <v>R</v>
          </cell>
        </row>
        <row r="72">
          <cell r="A72">
            <v>2813</v>
          </cell>
          <cell r="B72">
            <v>50000</v>
          </cell>
          <cell r="C72" t="str">
            <v>BOUZZIT</v>
          </cell>
          <cell r="D72" t="str">
            <v>R3</v>
          </cell>
          <cell r="E72" t="str">
            <v>ORD</v>
          </cell>
          <cell r="F72" t="str">
            <v>DN</v>
          </cell>
          <cell r="G72" t="str">
            <v>L</v>
          </cell>
          <cell r="H72" t="str">
            <v>R</v>
          </cell>
        </row>
        <row r="73">
          <cell r="A73">
            <v>2821</v>
          </cell>
          <cell r="B73">
            <v>480000</v>
          </cell>
          <cell r="C73" t="str">
            <v>SAOUD</v>
          </cell>
          <cell r="D73" t="str">
            <v>R3</v>
          </cell>
          <cell r="E73" t="str">
            <v>ORD</v>
          </cell>
          <cell r="F73" t="str">
            <v>DN</v>
          </cell>
          <cell r="G73" t="str">
            <v>L</v>
          </cell>
          <cell r="H73" t="str">
            <v>R</v>
          </cell>
        </row>
        <row r="74">
          <cell r="A74">
            <v>2823</v>
          </cell>
          <cell r="B74">
            <v>420000</v>
          </cell>
          <cell r="C74" t="str">
            <v>SAOUD</v>
          </cell>
          <cell r="D74" t="str">
            <v>R2</v>
          </cell>
          <cell r="E74" t="str">
            <v>ORD</v>
          </cell>
          <cell r="F74" t="str">
            <v>DN</v>
          </cell>
          <cell r="G74" t="str">
            <v>L</v>
          </cell>
          <cell r="H74" t="str">
            <v>R</v>
          </cell>
        </row>
        <row r="75">
          <cell r="A75">
            <v>2824</v>
          </cell>
          <cell r="B75">
            <v>3000000</v>
          </cell>
          <cell r="C75" t="str">
            <v>SAOUD</v>
          </cell>
          <cell r="D75" t="str">
            <v>R2</v>
          </cell>
          <cell r="E75" t="str">
            <v>ORD</v>
          </cell>
          <cell r="F75" t="str">
            <v>RN</v>
          </cell>
          <cell r="G75" t="str">
            <v>L</v>
          </cell>
          <cell r="H75" t="str">
            <v>R</v>
          </cell>
        </row>
        <row r="76">
          <cell r="A76">
            <v>2827</v>
          </cell>
          <cell r="B76">
            <v>353650</v>
          </cell>
          <cell r="C76" t="str">
            <v>DERDAKI</v>
          </cell>
          <cell r="D76" t="str">
            <v>R6</v>
          </cell>
          <cell r="E76" t="str">
            <v>SOC</v>
          </cell>
          <cell r="F76" t="str">
            <v>DN</v>
          </cell>
          <cell r="G76" t="str">
            <v>AK</v>
          </cell>
          <cell r="H76" t="str">
            <v>R</v>
          </cell>
        </row>
        <row r="77">
          <cell r="A77">
            <v>2828</v>
          </cell>
          <cell r="B77">
            <v>239580</v>
          </cell>
          <cell r="C77" t="str">
            <v>DERDAKI</v>
          </cell>
          <cell r="D77" t="str">
            <v>R6</v>
          </cell>
          <cell r="E77" t="str">
            <v>SOC</v>
          </cell>
          <cell r="F77" t="str">
            <v>DN</v>
          </cell>
          <cell r="G77" t="str">
            <v>AK</v>
          </cell>
          <cell r="H77" t="str">
            <v>R</v>
          </cell>
        </row>
        <row r="78">
          <cell r="A78">
            <v>2829</v>
          </cell>
          <cell r="B78">
            <v>47190</v>
          </cell>
          <cell r="C78" t="str">
            <v>OUHMIZ</v>
          </cell>
          <cell r="D78" t="str">
            <v>R6</v>
          </cell>
          <cell r="E78" t="str">
            <v>ADM</v>
          </cell>
          <cell r="F78" t="str">
            <v>DN</v>
          </cell>
          <cell r="G78" t="str">
            <v>AK</v>
          </cell>
          <cell r="H78" t="str">
            <v>R</v>
          </cell>
        </row>
        <row r="79">
          <cell r="A79">
            <v>2831</v>
          </cell>
          <cell r="B79">
            <v>440000</v>
          </cell>
          <cell r="C79" t="str">
            <v>LAGHRIB</v>
          </cell>
          <cell r="D79" t="str">
            <v>R10</v>
          </cell>
          <cell r="E79" t="str">
            <v>MED</v>
          </cell>
          <cell r="F79" t="str">
            <v>RN</v>
          </cell>
          <cell r="G79" t="str">
            <v>AK</v>
          </cell>
          <cell r="H79" t="str">
            <v>R</v>
          </cell>
        </row>
        <row r="80">
          <cell r="A80">
            <v>2832</v>
          </cell>
          <cell r="B80">
            <v>720000</v>
          </cell>
          <cell r="C80" t="str">
            <v>RHOLAM</v>
          </cell>
          <cell r="D80" t="str">
            <v>R10</v>
          </cell>
          <cell r="E80" t="str">
            <v>MED</v>
          </cell>
          <cell r="F80" t="str">
            <v>RN</v>
          </cell>
          <cell r="G80" t="str">
            <v>AK</v>
          </cell>
          <cell r="H80" t="str">
            <v>R</v>
          </cell>
        </row>
        <row r="81">
          <cell r="A81">
            <v>2833</v>
          </cell>
          <cell r="B81">
            <v>600000</v>
          </cell>
          <cell r="C81" t="str">
            <v>BERRADA</v>
          </cell>
          <cell r="D81" t="str">
            <v>R2</v>
          </cell>
          <cell r="E81" t="str">
            <v>ORD</v>
          </cell>
          <cell r="F81" t="str">
            <v>DN</v>
          </cell>
          <cell r="G81" t="str">
            <v>T</v>
          </cell>
          <cell r="H81" t="str">
            <v>R</v>
          </cell>
        </row>
        <row r="82">
          <cell r="A82">
            <v>2834</v>
          </cell>
          <cell r="B82">
            <v>483000</v>
          </cell>
          <cell r="C82" t="str">
            <v>CHNANI</v>
          </cell>
          <cell r="D82" t="str">
            <v>R2</v>
          </cell>
          <cell r="E82" t="str">
            <v>ORD</v>
          </cell>
          <cell r="F82" t="str">
            <v>DN</v>
          </cell>
          <cell r="G82" t="str">
            <v>T</v>
          </cell>
          <cell r="H82" t="str">
            <v>R</v>
          </cell>
        </row>
        <row r="83">
          <cell r="A83">
            <v>2834</v>
          </cell>
          <cell r="C83" t="str">
            <v>CHNANI</v>
          </cell>
          <cell r="D83" t="str">
            <v>R2</v>
          </cell>
          <cell r="E83" t="str">
            <v>ORD</v>
          </cell>
          <cell r="F83" t="str">
            <v>DN</v>
          </cell>
          <cell r="G83" t="str">
            <v>T</v>
          </cell>
          <cell r="H83" t="str">
            <v>R</v>
          </cell>
        </row>
        <row r="84">
          <cell r="A84">
            <v>2834</v>
          </cell>
          <cell r="C84" t="str">
            <v>CHNANI</v>
          </cell>
          <cell r="D84" t="str">
            <v>R2</v>
          </cell>
          <cell r="E84" t="str">
            <v>ORD</v>
          </cell>
          <cell r="F84" t="str">
            <v>DN</v>
          </cell>
          <cell r="G84" t="str">
            <v>T</v>
          </cell>
          <cell r="H84" t="str">
            <v>R</v>
          </cell>
        </row>
        <row r="85">
          <cell r="A85">
            <v>2835</v>
          </cell>
          <cell r="B85">
            <v>7000000</v>
          </cell>
          <cell r="C85" t="str">
            <v>BERRADA</v>
          </cell>
          <cell r="D85" t="str">
            <v>R2</v>
          </cell>
          <cell r="E85" t="str">
            <v>ORD</v>
          </cell>
          <cell r="F85" t="str">
            <v>DN</v>
          </cell>
          <cell r="G85" t="str">
            <v>T</v>
          </cell>
          <cell r="H85" t="str">
            <v>R</v>
          </cell>
        </row>
        <row r="86">
          <cell r="A86">
            <v>2836</v>
          </cell>
          <cell r="B86">
            <v>90000</v>
          </cell>
          <cell r="C86" t="str">
            <v>BERRADA</v>
          </cell>
          <cell r="D86" t="str">
            <v>R2</v>
          </cell>
          <cell r="E86" t="str">
            <v>ORD</v>
          </cell>
          <cell r="F86" t="str">
            <v>RN</v>
          </cell>
          <cell r="G86" t="str">
            <v>T</v>
          </cell>
          <cell r="H86" t="str">
            <v>R</v>
          </cell>
        </row>
        <row r="87">
          <cell r="A87">
            <v>2837</v>
          </cell>
          <cell r="B87">
            <v>320000</v>
          </cell>
          <cell r="C87" t="str">
            <v>BERRADA</v>
          </cell>
          <cell r="D87" t="str">
            <v>R2</v>
          </cell>
          <cell r="E87" t="str">
            <v>ORD</v>
          </cell>
          <cell r="F87" t="str">
            <v>RN</v>
          </cell>
          <cell r="G87" t="str">
            <v>T</v>
          </cell>
          <cell r="H87" t="str">
            <v>R</v>
          </cell>
        </row>
        <row r="88">
          <cell r="A88">
            <v>2838</v>
          </cell>
          <cell r="B88">
            <v>6000</v>
          </cell>
          <cell r="C88" t="str">
            <v>OUHMIZ</v>
          </cell>
          <cell r="D88" t="str">
            <v>R6</v>
          </cell>
          <cell r="E88" t="str">
            <v>ADM</v>
          </cell>
          <cell r="F88" t="str">
            <v>DN</v>
          </cell>
          <cell r="G88" t="str">
            <v>AK</v>
          </cell>
          <cell r="H88" t="str">
            <v>R</v>
          </cell>
        </row>
        <row r="89">
          <cell r="A89">
            <v>2842</v>
          </cell>
          <cell r="B89">
            <v>432575</v>
          </cell>
          <cell r="C89" t="str">
            <v>DERDAKI</v>
          </cell>
          <cell r="D89" t="str">
            <v>R6</v>
          </cell>
          <cell r="E89" t="str">
            <v>SOC</v>
          </cell>
          <cell r="F89" t="str">
            <v>RN</v>
          </cell>
          <cell r="G89" t="str">
            <v>AK</v>
          </cell>
          <cell r="H89" t="str">
            <v>R</v>
          </cell>
        </row>
        <row r="90">
          <cell r="A90">
            <v>2843</v>
          </cell>
          <cell r="B90">
            <v>356042.5</v>
          </cell>
          <cell r="C90" t="str">
            <v>DERDAKI</v>
          </cell>
          <cell r="D90" t="str">
            <v>R6</v>
          </cell>
          <cell r="E90" t="str">
            <v>SOC</v>
          </cell>
          <cell r="F90" t="str">
            <v>RN</v>
          </cell>
          <cell r="G90" t="str">
            <v>AK</v>
          </cell>
          <cell r="H90" t="str">
            <v>R</v>
          </cell>
        </row>
        <row r="91">
          <cell r="A91">
            <v>2847</v>
          </cell>
          <cell r="B91">
            <v>467726.6</v>
          </cell>
          <cell r="C91" t="str">
            <v>DERDAKI</v>
          </cell>
          <cell r="D91" t="str">
            <v>R6</v>
          </cell>
          <cell r="E91" t="str">
            <v>SOC</v>
          </cell>
          <cell r="F91" t="str">
            <v>DN</v>
          </cell>
          <cell r="G91" t="str">
            <v>AK</v>
          </cell>
          <cell r="H91" t="str">
            <v>R</v>
          </cell>
        </row>
        <row r="92">
          <cell r="A92">
            <v>2852</v>
          </cell>
          <cell r="B92">
            <v>150000</v>
          </cell>
          <cell r="C92" t="str">
            <v>BENZAKI</v>
          </cell>
          <cell r="D92" t="str">
            <v>R3</v>
          </cell>
          <cell r="E92" t="str">
            <v>ORD</v>
          </cell>
          <cell r="F92" t="str">
            <v>DN</v>
          </cell>
          <cell r="G92" t="str">
            <v>L</v>
          </cell>
          <cell r="H92" t="str">
            <v>R</v>
          </cell>
        </row>
        <row r="93">
          <cell r="A93">
            <v>2857</v>
          </cell>
          <cell r="B93">
            <v>400000</v>
          </cell>
          <cell r="C93" t="str">
            <v>BOUZZIT</v>
          </cell>
          <cell r="D93" t="str">
            <v>R6</v>
          </cell>
          <cell r="E93" t="str">
            <v>ADM</v>
          </cell>
          <cell r="F93" t="str">
            <v>DN</v>
          </cell>
          <cell r="G93" t="str">
            <v>L</v>
          </cell>
          <cell r="H93" t="str">
            <v>R</v>
          </cell>
        </row>
        <row r="94">
          <cell r="A94">
            <v>2858</v>
          </cell>
          <cell r="B94">
            <v>300000</v>
          </cell>
          <cell r="C94" t="str">
            <v>BERRADA</v>
          </cell>
          <cell r="D94" t="str">
            <v>R2</v>
          </cell>
          <cell r="E94" t="str">
            <v>ORD</v>
          </cell>
          <cell r="F94" t="str">
            <v>RN</v>
          </cell>
          <cell r="G94" t="str">
            <v>T</v>
          </cell>
          <cell r="H94" t="str">
            <v>R</v>
          </cell>
        </row>
        <row r="95">
          <cell r="A95">
            <v>2861</v>
          </cell>
          <cell r="B95">
            <v>200000</v>
          </cell>
          <cell r="C95" t="str">
            <v>BERRADA</v>
          </cell>
          <cell r="D95" t="str">
            <v>R2</v>
          </cell>
          <cell r="E95" t="str">
            <v>ORD</v>
          </cell>
          <cell r="F95" t="str">
            <v>DN</v>
          </cell>
          <cell r="G95" t="str">
            <v>T</v>
          </cell>
          <cell r="H95" t="str">
            <v>R</v>
          </cell>
        </row>
        <row r="96">
          <cell r="A96">
            <v>2862</v>
          </cell>
          <cell r="B96">
            <v>1260000</v>
          </cell>
          <cell r="C96" t="str">
            <v>BERRADA</v>
          </cell>
          <cell r="D96" t="str">
            <v>R2</v>
          </cell>
          <cell r="E96" t="str">
            <v>ORD</v>
          </cell>
          <cell r="F96" t="str">
            <v>DN</v>
          </cell>
          <cell r="G96" t="str">
            <v>T</v>
          </cell>
          <cell r="H96" t="str">
            <v>R</v>
          </cell>
        </row>
        <row r="97">
          <cell r="A97">
            <v>2863</v>
          </cell>
          <cell r="B97">
            <v>60000</v>
          </cell>
          <cell r="C97" t="str">
            <v>OUAMALICH</v>
          </cell>
          <cell r="D97" t="str">
            <v>R2</v>
          </cell>
          <cell r="E97" t="str">
            <v>ORD</v>
          </cell>
          <cell r="F97" t="str">
            <v>DN</v>
          </cell>
          <cell r="G97" t="str">
            <v>T</v>
          </cell>
          <cell r="H97" t="str">
            <v>R</v>
          </cell>
        </row>
        <row r="98">
          <cell r="A98">
            <v>2864</v>
          </cell>
          <cell r="B98">
            <v>100000000</v>
          </cell>
          <cell r="C98" t="str">
            <v>NAJAM</v>
          </cell>
          <cell r="D98" t="str">
            <v>R1</v>
          </cell>
          <cell r="E98" t="str">
            <v>IMP</v>
          </cell>
          <cell r="F98" t="str">
            <v>DN</v>
          </cell>
          <cell r="G98" t="str">
            <v>P</v>
          </cell>
          <cell r="H98" t="str">
            <v>R</v>
          </cell>
        </row>
        <row r="99">
          <cell r="A99">
            <v>2865</v>
          </cell>
          <cell r="B99">
            <v>200000000</v>
          </cell>
          <cell r="C99" t="str">
            <v>AMRAOUZA</v>
          </cell>
          <cell r="D99" t="str">
            <v>R1</v>
          </cell>
          <cell r="E99" t="str">
            <v>IMP</v>
          </cell>
          <cell r="F99" t="str">
            <v>DN</v>
          </cell>
          <cell r="G99" t="str">
            <v>P</v>
          </cell>
          <cell r="H99" t="str">
            <v>R</v>
          </cell>
        </row>
        <row r="100">
          <cell r="A100">
            <v>2868</v>
          </cell>
          <cell r="B100">
            <v>4200000</v>
          </cell>
          <cell r="C100" t="str">
            <v>CHARKI</v>
          </cell>
          <cell r="D100" t="str">
            <v>R2</v>
          </cell>
          <cell r="E100" t="str">
            <v>ORD</v>
          </cell>
          <cell r="F100" t="str">
            <v>RN</v>
          </cell>
          <cell r="G100" t="str">
            <v>P</v>
          </cell>
          <cell r="H100" t="str">
            <v>R</v>
          </cell>
        </row>
        <row r="101">
          <cell r="A101">
            <v>2869</v>
          </cell>
          <cell r="B101">
            <v>5000000</v>
          </cell>
          <cell r="C101" t="str">
            <v>HALMI</v>
          </cell>
          <cell r="D101" t="str">
            <v>R2</v>
          </cell>
          <cell r="E101" t="str">
            <v>ORD</v>
          </cell>
          <cell r="F101" t="str">
            <v>RN</v>
          </cell>
          <cell r="G101" t="str">
            <v>P</v>
          </cell>
          <cell r="H101" t="str">
            <v>R</v>
          </cell>
        </row>
        <row r="102">
          <cell r="A102">
            <v>2870</v>
          </cell>
          <cell r="B102">
            <v>2400000</v>
          </cell>
          <cell r="C102" t="str">
            <v>MAHSOUN</v>
          </cell>
          <cell r="D102" t="str">
            <v>R2</v>
          </cell>
          <cell r="E102" t="str">
            <v>ORD</v>
          </cell>
          <cell r="F102" t="str">
            <v>RN</v>
          </cell>
          <cell r="G102" t="str">
            <v>P</v>
          </cell>
          <cell r="H102" t="str">
            <v>R</v>
          </cell>
        </row>
        <row r="103">
          <cell r="A103">
            <v>2872</v>
          </cell>
          <cell r="B103">
            <v>6000000</v>
          </cell>
          <cell r="C103" t="str">
            <v>EL KASSI</v>
          </cell>
          <cell r="D103" t="str">
            <v>R2</v>
          </cell>
          <cell r="E103" t="str">
            <v>ORD</v>
          </cell>
          <cell r="F103" t="str">
            <v>RN</v>
          </cell>
          <cell r="G103" t="str">
            <v>P</v>
          </cell>
          <cell r="H103" t="str">
            <v>R</v>
          </cell>
        </row>
        <row r="104">
          <cell r="A104">
            <v>2873</v>
          </cell>
          <cell r="B104">
            <v>1000000</v>
          </cell>
          <cell r="C104" t="str">
            <v>KHOUILI</v>
          </cell>
          <cell r="D104" t="str">
            <v>R2</v>
          </cell>
          <cell r="E104" t="str">
            <v>ORD</v>
          </cell>
          <cell r="F104" t="str">
            <v>RN</v>
          </cell>
          <cell r="G104" t="str">
            <v>P</v>
          </cell>
          <cell r="H104" t="str">
            <v>R</v>
          </cell>
        </row>
        <row r="105">
          <cell r="A105">
            <v>2878</v>
          </cell>
          <cell r="B105">
            <v>1500000</v>
          </cell>
          <cell r="C105" t="str">
            <v>HALMI</v>
          </cell>
          <cell r="D105" t="str">
            <v>R3</v>
          </cell>
          <cell r="E105" t="str">
            <v>ORD</v>
          </cell>
          <cell r="F105" t="str">
            <v>DN</v>
          </cell>
          <cell r="G105" t="str">
            <v>P</v>
          </cell>
          <cell r="H105" t="str">
            <v>R</v>
          </cell>
        </row>
        <row r="106">
          <cell r="A106">
            <v>2882</v>
          </cell>
          <cell r="B106">
            <v>480000</v>
          </cell>
          <cell r="C106" t="str">
            <v>BOUTABBA</v>
          </cell>
          <cell r="D106" t="str">
            <v>R3</v>
          </cell>
          <cell r="E106" t="str">
            <v>ORD</v>
          </cell>
          <cell r="F106" t="str">
            <v>DN</v>
          </cell>
          <cell r="G106" t="str">
            <v>P</v>
          </cell>
          <cell r="H106" t="str">
            <v>R</v>
          </cell>
        </row>
        <row r="107">
          <cell r="A107">
            <v>2884</v>
          </cell>
          <cell r="B107">
            <v>400000</v>
          </cell>
          <cell r="C107" t="str">
            <v>HASSAR</v>
          </cell>
          <cell r="D107" t="str">
            <v>R3</v>
          </cell>
          <cell r="E107" t="str">
            <v>ORD</v>
          </cell>
          <cell r="F107" t="str">
            <v>DN</v>
          </cell>
          <cell r="G107" t="str">
            <v>P</v>
          </cell>
          <cell r="H107" t="str">
            <v>R</v>
          </cell>
        </row>
        <row r="108">
          <cell r="A108">
            <v>2885</v>
          </cell>
          <cell r="B108">
            <v>350000</v>
          </cell>
          <cell r="C108" t="str">
            <v>EL BOUCHRIFI</v>
          </cell>
          <cell r="D108" t="str">
            <v>R3</v>
          </cell>
          <cell r="E108" t="str">
            <v>ORD</v>
          </cell>
          <cell r="F108" t="str">
            <v>DN</v>
          </cell>
          <cell r="G108" t="str">
            <v>P</v>
          </cell>
          <cell r="H108" t="str">
            <v>R</v>
          </cell>
        </row>
        <row r="109">
          <cell r="A109">
            <v>2885</v>
          </cell>
          <cell r="C109" t="str">
            <v>EL BOUCHRIFI</v>
          </cell>
          <cell r="D109" t="str">
            <v>R3</v>
          </cell>
          <cell r="E109" t="str">
            <v>ORD</v>
          </cell>
          <cell r="F109" t="str">
            <v>DN</v>
          </cell>
          <cell r="G109" t="str">
            <v>P</v>
          </cell>
          <cell r="H109" t="str">
            <v>R</v>
          </cell>
        </row>
        <row r="110">
          <cell r="A110">
            <v>2885</v>
          </cell>
          <cell r="C110" t="str">
            <v>EL BOUCHRIFI</v>
          </cell>
          <cell r="D110" t="str">
            <v>R3</v>
          </cell>
          <cell r="E110" t="str">
            <v>ORD</v>
          </cell>
          <cell r="F110" t="str">
            <v>DN</v>
          </cell>
          <cell r="G110" t="str">
            <v>P</v>
          </cell>
          <cell r="H110" t="str">
            <v>R</v>
          </cell>
        </row>
        <row r="111">
          <cell r="A111">
            <v>2886</v>
          </cell>
          <cell r="B111">
            <v>5000</v>
          </cell>
          <cell r="C111" t="str">
            <v>SABRI</v>
          </cell>
          <cell r="D111" t="str">
            <v>R3</v>
          </cell>
          <cell r="E111" t="str">
            <v>ORD</v>
          </cell>
          <cell r="F111" t="str">
            <v>DN</v>
          </cell>
          <cell r="G111" t="str">
            <v>P</v>
          </cell>
          <cell r="H111" t="str">
            <v>R</v>
          </cell>
        </row>
        <row r="112">
          <cell r="A112">
            <v>2886</v>
          </cell>
          <cell r="C112" t="str">
            <v>SABRI</v>
          </cell>
          <cell r="D112" t="str">
            <v>R3</v>
          </cell>
          <cell r="E112" t="str">
            <v>ORD</v>
          </cell>
          <cell r="F112" t="str">
            <v>DN</v>
          </cell>
          <cell r="G112" t="str">
            <v>P</v>
          </cell>
          <cell r="H112" t="str">
            <v>R</v>
          </cell>
        </row>
        <row r="113">
          <cell r="A113">
            <v>2886</v>
          </cell>
          <cell r="C113" t="str">
            <v>SABRI</v>
          </cell>
          <cell r="D113" t="str">
            <v>R3</v>
          </cell>
          <cell r="E113" t="str">
            <v>ORD</v>
          </cell>
          <cell r="F113" t="str">
            <v>DN</v>
          </cell>
          <cell r="G113" t="str">
            <v>P</v>
          </cell>
          <cell r="H113" t="str">
            <v>R</v>
          </cell>
        </row>
        <row r="114">
          <cell r="A114">
            <v>2888</v>
          </cell>
          <cell r="B114">
            <v>700000</v>
          </cell>
          <cell r="C114" t="str">
            <v>CHNANI</v>
          </cell>
          <cell r="D114" t="str">
            <v>R2</v>
          </cell>
          <cell r="E114" t="str">
            <v>ORD</v>
          </cell>
          <cell r="F114" t="str">
            <v>RN</v>
          </cell>
          <cell r="G114" t="str">
            <v>T</v>
          </cell>
          <cell r="H114" t="str">
            <v>R</v>
          </cell>
        </row>
        <row r="115">
          <cell r="A115">
            <v>2890</v>
          </cell>
          <cell r="B115">
            <v>310000</v>
          </cell>
          <cell r="C115" t="str">
            <v>CHNANI</v>
          </cell>
          <cell r="D115" t="str">
            <v>R2</v>
          </cell>
          <cell r="E115" t="str">
            <v>ORD</v>
          </cell>
          <cell r="F115" t="str">
            <v>RN</v>
          </cell>
          <cell r="G115" t="str">
            <v>T</v>
          </cell>
          <cell r="H115" t="str">
            <v>R</v>
          </cell>
        </row>
        <row r="116">
          <cell r="A116">
            <v>2890</v>
          </cell>
          <cell r="C116" t="str">
            <v>CHNANI</v>
          </cell>
          <cell r="D116" t="str">
            <v>R2</v>
          </cell>
          <cell r="E116" t="str">
            <v>ORD</v>
          </cell>
          <cell r="F116" t="str">
            <v>RN</v>
          </cell>
          <cell r="G116" t="str">
            <v>T</v>
          </cell>
          <cell r="H116" t="str">
            <v>R</v>
          </cell>
        </row>
        <row r="117">
          <cell r="A117">
            <v>2890</v>
          </cell>
          <cell r="C117" t="str">
            <v>CHNANI</v>
          </cell>
          <cell r="D117" t="str">
            <v>R2</v>
          </cell>
          <cell r="E117" t="str">
            <v>ORD</v>
          </cell>
          <cell r="F117" t="str">
            <v>RN</v>
          </cell>
          <cell r="G117" t="str">
            <v>T</v>
          </cell>
          <cell r="H117" t="str">
            <v>R</v>
          </cell>
        </row>
        <row r="118">
          <cell r="A118">
            <v>2895</v>
          </cell>
          <cell r="B118">
            <v>100000</v>
          </cell>
          <cell r="C118" t="str">
            <v>KABBAGE</v>
          </cell>
          <cell r="D118" t="str">
            <v>R2</v>
          </cell>
          <cell r="E118" t="str">
            <v>ORD</v>
          </cell>
          <cell r="F118" t="str">
            <v>RN</v>
          </cell>
          <cell r="G118" t="str">
            <v>T</v>
          </cell>
          <cell r="H118" t="str">
            <v>R</v>
          </cell>
        </row>
        <row r="119">
          <cell r="A119">
            <v>2896</v>
          </cell>
          <cell r="B119">
            <v>150000</v>
          </cell>
          <cell r="C119" t="str">
            <v>KABBAGE</v>
          </cell>
          <cell r="D119" t="str">
            <v>R2</v>
          </cell>
          <cell r="E119" t="str">
            <v>ORD</v>
          </cell>
          <cell r="F119" t="str">
            <v>RN</v>
          </cell>
          <cell r="G119" t="str">
            <v>T</v>
          </cell>
          <cell r="H119" t="str">
            <v>R</v>
          </cell>
        </row>
        <row r="120">
          <cell r="A120">
            <v>2897</v>
          </cell>
          <cell r="B120">
            <v>4760000</v>
          </cell>
          <cell r="C120" t="str">
            <v>TOGHZAOUI</v>
          </cell>
          <cell r="D120" t="str">
            <v>R2</v>
          </cell>
          <cell r="E120" t="str">
            <v>ORD</v>
          </cell>
          <cell r="F120" t="str">
            <v>RN</v>
          </cell>
          <cell r="G120" t="str">
            <v>T</v>
          </cell>
          <cell r="H120" t="str">
            <v>R</v>
          </cell>
        </row>
        <row r="121">
          <cell r="A121">
            <v>2900</v>
          </cell>
          <cell r="B121">
            <v>6000</v>
          </cell>
          <cell r="C121" t="str">
            <v>AIT HSSAINE</v>
          </cell>
          <cell r="D121" t="str">
            <v>R2</v>
          </cell>
          <cell r="E121" t="str">
            <v>ORD</v>
          </cell>
          <cell r="F121" t="str">
            <v>DN</v>
          </cell>
          <cell r="G121" t="str">
            <v>T</v>
          </cell>
          <cell r="H121" t="str">
            <v>R</v>
          </cell>
        </row>
        <row r="122">
          <cell r="A122">
            <v>2903</v>
          </cell>
          <cell r="B122">
            <v>250000</v>
          </cell>
          <cell r="C122" t="str">
            <v>ELBOUCHRIFI</v>
          </cell>
          <cell r="D122" t="str">
            <v>R3</v>
          </cell>
          <cell r="E122" t="str">
            <v>ORD</v>
          </cell>
          <cell r="F122" t="str">
            <v>DN</v>
          </cell>
          <cell r="G122" t="str">
            <v>P</v>
          </cell>
          <cell r="H122" t="str">
            <v>R</v>
          </cell>
        </row>
        <row r="123">
          <cell r="A123">
            <v>2906</v>
          </cell>
          <cell r="B123">
            <v>442500</v>
          </cell>
          <cell r="C123" t="str">
            <v>CHEHTANE</v>
          </cell>
          <cell r="D123" t="str">
            <v>R6</v>
          </cell>
          <cell r="E123" t="str">
            <v>ADM</v>
          </cell>
          <cell r="F123" t="str">
            <v>RN</v>
          </cell>
          <cell r="G123" t="str">
            <v>P</v>
          </cell>
          <cell r="H123" t="str">
            <v>R</v>
          </cell>
        </row>
        <row r="124">
          <cell r="A124">
            <v>2907</v>
          </cell>
          <cell r="B124">
            <v>6000</v>
          </cell>
          <cell r="C124" t="str">
            <v>MAGHRAOUI</v>
          </cell>
          <cell r="D124" t="str">
            <v>R6</v>
          </cell>
          <cell r="E124" t="str">
            <v>ADM</v>
          </cell>
          <cell r="F124" t="str">
            <v>DN</v>
          </cell>
          <cell r="G124" t="str">
            <v>P</v>
          </cell>
          <cell r="H124" t="str">
            <v>R</v>
          </cell>
        </row>
        <row r="125">
          <cell r="A125">
            <v>2911</v>
          </cell>
          <cell r="B125">
            <v>14000000</v>
          </cell>
          <cell r="C125" t="str">
            <v>LEBBARDI</v>
          </cell>
          <cell r="D125" t="str">
            <v>R2</v>
          </cell>
          <cell r="E125" t="str">
            <v>ORD</v>
          </cell>
          <cell r="F125" t="str">
            <v>DN</v>
          </cell>
          <cell r="G125" t="str">
            <v>T</v>
          </cell>
          <cell r="H125" t="str">
            <v>R</v>
          </cell>
        </row>
        <row r="126">
          <cell r="A126">
            <v>2911</v>
          </cell>
          <cell r="C126" t="str">
            <v>LEBBARDI</v>
          </cell>
          <cell r="D126" t="str">
            <v>R2</v>
          </cell>
          <cell r="E126" t="str">
            <v>ORD</v>
          </cell>
          <cell r="F126" t="str">
            <v>DN</v>
          </cell>
          <cell r="G126" t="str">
            <v>T</v>
          </cell>
          <cell r="H126" t="str">
            <v>R</v>
          </cell>
        </row>
        <row r="127">
          <cell r="A127">
            <v>2911</v>
          </cell>
          <cell r="C127" t="str">
            <v>LEBBARDI</v>
          </cell>
          <cell r="D127" t="str">
            <v>R2</v>
          </cell>
          <cell r="E127" t="str">
            <v>ORD</v>
          </cell>
          <cell r="F127" t="str">
            <v>DN</v>
          </cell>
          <cell r="G127" t="str">
            <v>T</v>
          </cell>
          <cell r="H127" t="str">
            <v>R</v>
          </cell>
        </row>
        <row r="128">
          <cell r="A128">
            <v>2911</v>
          </cell>
          <cell r="C128" t="str">
            <v>LEBBARDI</v>
          </cell>
          <cell r="D128" t="str">
            <v>R2</v>
          </cell>
          <cell r="E128" t="str">
            <v>ORD</v>
          </cell>
          <cell r="F128" t="str">
            <v>DN</v>
          </cell>
          <cell r="G128" t="str">
            <v>T</v>
          </cell>
          <cell r="H128" t="str">
            <v>R</v>
          </cell>
        </row>
        <row r="129">
          <cell r="A129">
            <v>2913</v>
          </cell>
          <cell r="B129">
            <v>130000</v>
          </cell>
          <cell r="C129" t="str">
            <v>ZNAIDI</v>
          </cell>
          <cell r="D129" t="str">
            <v>R6</v>
          </cell>
          <cell r="E129" t="str">
            <v>ADM</v>
          </cell>
          <cell r="F129" t="str">
            <v>DN</v>
          </cell>
          <cell r="G129" t="str">
            <v>T</v>
          </cell>
          <cell r="H129" t="str">
            <v>R</v>
          </cell>
        </row>
        <row r="130">
          <cell r="A130">
            <v>2915</v>
          </cell>
          <cell r="B130">
            <v>500000</v>
          </cell>
          <cell r="C130" t="str">
            <v>ZNAIDI</v>
          </cell>
          <cell r="D130" t="str">
            <v>R2</v>
          </cell>
          <cell r="E130" t="str">
            <v>ORD</v>
          </cell>
          <cell r="F130" t="str">
            <v>RN</v>
          </cell>
          <cell r="G130" t="str">
            <v>T</v>
          </cell>
          <cell r="H130" t="str">
            <v>R</v>
          </cell>
        </row>
        <row r="131">
          <cell r="A131">
            <v>2917</v>
          </cell>
          <cell r="B131">
            <v>1230000</v>
          </cell>
          <cell r="C131" t="str">
            <v>TOGHZAOUI</v>
          </cell>
          <cell r="D131" t="str">
            <v>R2</v>
          </cell>
          <cell r="E131" t="str">
            <v>ORD</v>
          </cell>
          <cell r="F131" t="str">
            <v>DN</v>
          </cell>
          <cell r="G131" t="str">
            <v>T</v>
          </cell>
          <cell r="H131" t="str">
            <v>R</v>
          </cell>
        </row>
        <row r="132">
          <cell r="A132">
            <v>2918</v>
          </cell>
          <cell r="B132">
            <v>220000</v>
          </cell>
          <cell r="C132" t="str">
            <v>TOGHZAOUI</v>
          </cell>
          <cell r="D132" t="str">
            <v>R2</v>
          </cell>
          <cell r="E132" t="str">
            <v>ORD</v>
          </cell>
          <cell r="F132" t="str">
            <v>RN</v>
          </cell>
          <cell r="G132" t="str">
            <v>T</v>
          </cell>
          <cell r="H132" t="str">
            <v>R</v>
          </cell>
        </row>
        <row r="133">
          <cell r="A133">
            <v>2919</v>
          </cell>
          <cell r="B133">
            <v>240000</v>
          </cell>
          <cell r="C133" t="str">
            <v>AIT HSSAINE</v>
          </cell>
          <cell r="D133" t="str">
            <v>R2</v>
          </cell>
          <cell r="E133" t="str">
            <v>ORD</v>
          </cell>
          <cell r="F133" t="str">
            <v>DN</v>
          </cell>
          <cell r="G133" t="str">
            <v>T</v>
          </cell>
          <cell r="H133" t="str">
            <v>R</v>
          </cell>
        </row>
        <row r="134">
          <cell r="A134">
            <v>2920</v>
          </cell>
          <cell r="B134">
            <v>100000</v>
          </cell>
          <cell r="C134" t="str">
            <v>ZNAIDI</v>
          </cell>
          <cell r="D134" t="str">
            <v>R6</v>
          </cell>
          <cell r="E134" t="str">
            <v>ADM</v>
          </cell>
          <cell r="F134" t="str">
            <v>RN</v>
          </cell>
          <cell r="G134" t="str">
            <v>T</v>
          </cell>
          <cell r="H134" t="str">
            <v>R</v>
          </cell>
        </row>
        <row r="135">
          <cell r="A135">
            <v>2921</v>
          </cell>
          <cell r="B135">
            <v>21000</v>
          </cell>
          <cell r="C135" t="str">
            <v>BERRADA</v>
          </cell>
          <cell r="D135" t="str">
            <v>R2</v>
          </cell>
          <cell r="E135" t="str">
            <v>ORD</v>
          </cell>
          <cell r="F135" t="str">
            <v>RN</v>
          </cell>
          <cell r="G135" t="str">
            <v>T</v>
          </cell>
          <cell r="H135" t="str">
            <v>R</v>
          </cell>
        </row>
        <row r="136">
          <cell r="A136">
            <v>2924</v>
          </cell>
          <cell r="B136">
            <v>50000</v>
          </cell>
          <cell r="C136" t="str">
            <v>ZNAIDI</v>
          </cell>
          <cell r="D136" t="str">
            <v>R2</v>
          </cell>
          <cell r="E136" t="str">
            <v>ORD</v>
          </cell>
          <cell r="F136" t="str">
            <v>DN</v>
          </cell>
          <cell r="G136" t="str">
            <v>T</v>
          </cell>
          <cell r="H136" t="str">
            <v>R</v>
          </cell>
        </row>
        <row r="137">
          <cell r="A137">
            <v>2925</v>
          </cell>
          <cell r="B137">
            <v>46000</v>
          </cell>
          <cell r="C137" t="str">
            <v>ZNAIDI</v>
          </cell>
          <cell r="D137" t="str">
            <v>R2</v>
          </cell>
          <cell r="E137" t="str">
            <v>ORD</v>
          </cell>
          <cell r="F137" t="str">
            <v>DN</v>
          </cell>
          <cell r="G137" t="str">
            <v>T</v>
          </cell>
          <cell r="H137" t="str">
            <v>R</v>
          </cell>
        </row>
        <row r="138">
          <cell r="A138">
            <v>2926</v>
          </cell>
          <cell r="B138">
            <v>400000</v>
          </cell>
          <cell r="C138" t="str">
            <v>KABBAJE</v>
          </cell>
          <cell r="D138" t="str">
            <v>R2</v>
          </cell>
          <cell r="E138" t="str">
            <v>ORD</v>
          </cell>
          <cell r="F138" t="str">
            <v>DN</v>
          </cell>
          <cell r="G138" t="str">
            <v>T</v>
          </cell>
          <cell r="H138" t="str">
            <v>R</v>
          </cell>
        </row>
        <row r="139">
          <cell r="A139">
            <v>2926</v>
          </cell>
          <cell r="C139" t="str">
            <v>KABBAJE</v>
          </cell>
          <cell r="D139" t="str">
            <v>R2</v>
          </cell>
          <cell r="E139" t="str">
            <v>ORD</v>
          </cell>
          <cell r="F139" t="str">
            <v>DN</v>
          </cell>
          <cell r="G139" t="str">
            <v>T</v>
          </cell>
          <cell r="H139" t="str">
            <v>R</v>
          </cell>
        </row>
        <row r="140">
          <cell r="A140">
            <v>2926</v>
          </cell>
          <cell r="C140" t="str">
            <v>KABBAJE</v>
          </cell>
          <cell r="D140" t="str">
            <v>R2</v>
          </cell>
          <cell r="E140" t="str">
            <v>ORD</v>
          </cell>
          <cell r="F140" t="str">
            <v>DN</v>
          </cell>
          <cell r="G140" t="str">
            <v>T</v>
          </cell>
          <cell r="H140" t="str">
            <v>R</v>
          </cell>
        </row>
        <row r="141">
          <cell r="A141">
            <v>2926</v>
          </cell>
          <cell r="C141" t="str">
            <v>KABBAJE</v>
          </cell>
          <cell r="D141" t="str">
            <v>R2</v>
          </cell>
          <cell r="E141" t="str">
            <v>ORD</v>
          </cell>
          <cell r="F141" t="str">
            <v>DN</v>
          </cell>
          <cell r="G141" t="str">
            <v>T</v>
          </cell>
          <cell r="H141" t="str">
            <v>R</v>
          </cell>
        </row>
        <row r="142">
          <cell r="A142">
            <v>2926</v>
          </cell>
          <cell r="C142" t="str">
            <v>KABBAJE</v>
          </cell>
          <cell r="D142" t="str">
            <v>R2</v>
          </cell>
          <cell r="E142" t="str">
            <v>ORD</v>
          </cell>
          <cell r="F142" t="str">
            <v>DN</v>
          </cell>
          <cell r="G142" t="str">
            <v>T</v>
          </cell>
          <cell r="H142" t="str">
            <v>R</v>
          </cell>
        </row>
        <row r="143">
          <cell r="A143">
            <v>2926</v>
          </cell>
          <cell r="C143" t="str">
            <v>KABBAJE</v>
          </cell>
          <cell r="D143" t="str">
            <v>R2</v>
          </cell>
          <cell r="E143" t="str">
            <v>ORD</v>
          </cell>
          <cell r="F143" t="str">
            <v>DN</v>
          </cell>
          <cell r="G143" t="str">
            <v>T</v>
          </cell>
          <cell r="H143" t="str">
            <v>R</v>
          </cell>
        </row>
        <row r="144">
          <cell r="A144">
            <v>2926</v>
          </cell>
          <cell r="C144" t="str">
            <v>KABBAJE</v>
          </cell>
          <cell r="D144" t="str">
            <v>R2</v>
          </cell>
          <cell r="E144" t="str">
            <v>ORD</v>
          </cell>
          <cell r="F144" t="str">
            <v>DN</v>
          </cell>
          <cell r="G144" t="str">
            <v>T</v>
          </cell>
          <cell r="H144" t="str">
            <v>R</v>
          </cell>
        </row>
        <row r="145">
          <cell r="A145">
            <v>2926</v>
          </cell>
          <cell r="C145" t="str">
            <v>KABBAJE</v>
          </cell>
          <cell r="D145" t="str">
            <v>R2</v>
          </cell>
          <cell r="E145" t="str">
            <v>ORD</v>
          </cell>
          <cell r="F145" t="str">
            <v>DN</v>
          </cell>
          <cell r="G145" t="str">
            <v>T</v>
          </cell>
          <cell r="H145" t="str">
            <v>R</v>
          </cell>
        </row>
        <row r="146">
          <cell r="A146">
            <v>2926</v>
          </cell>
          <cell r="C146" t="str">
            <v>KABBAJE</v>
          </cell>
          <cell r="D146" t="str">
            <v>R2</v>
          </cell>
          <cell r="E146" t="str">
            <v>ORD</v>
          </cell>
          <cell r="F146" t="str">
            <v>DN</v>
          </cell>
          <cell r="G146" t="str">
            <v>T</v>
          </cell>
          <cell r="H146" t="str">
            <v>R</v>
          </cell>
        </row>
        <row r="147">
          <cell r="A147">
            <v>2926</v>
          </cell>
          <cell r="C147" t="str">
            <v>KABBAJE</v>
          </cell>
          <cell r="D147" t="str">
            <v>R2</v>
          </cell>
          <cell r="E147" t="str">
            <v>ORD</v>
          </cell>
          <cell r="F147" t="str">
            <v>DN</v>
          </cell>
          <cell r="G147" t="str">
            <v>T</v>
          </cell>
          <cell r="H147" t="str">
            <v>R</v>
          </cell>
        </row>
        <row r="148">
          <cell r="A148">
            <v>2926</v>
          </cell>
          <cell r="C148" t="str">
            <v>KABBAJE</v>
          </cell>
          <cell r="D148" t="str">
            <v>R2</v>
          </cell>
          <cell r="E148" t="str">
            <v>ORD</v>
          </cell>
          <cell r="F148" t="str">
            <v>DN</v>
          </cell>
          <cell r="G148" t="str">
            <v>T</v>
          </cell>
          <cell r="H148" t="str">
            <v>R</v>
          </cell>
        </row>
        <row r="149">
          <cell r="A149">
            <v>2926</v>
          </cell>
          <cell r="C149" t="str">
            <v>KABBAJE</v>
          </cell>
          <cell r="D149" t="str">
            <v>R2</v>
          </cell>
          <cell r="E149" t="str">
            <v>ORD</v>
          </cell>
          <cell r="F149" t="str">
            <v>DN</v>
          </cell>
          <cell r="G149" t="str">
            <v>T</v>
          </cell>
          <cell r="H149" t="str">
            <v>R</v>
          </cell>
        </row>
        <row r="150">
          <cell r="A150">
            <v>2926</v>
          </cell>
          <cell r="C150" t="str">
            <v>KABBAJE</v>
          </cell>
          <cell r="D150" t="str">
            <v>R2</v>
          </cell>
          <cell r="E150" t="str">
            <v>ORD</v>
          </cell>
          <cell r="F150" t="str">
            <v>DN</v>
          </cell>
          <cell r="G150" t="str">
            <v>T</v>
          </cell>
          <cell r="H150" t="str">
            <v>R</v>
          </cell>
        </row>
        <row r="151">
          <cell r="A151">
            <v>2927</v>
          </cell>
          <cell r="B151">
            <v>450000</v>
          </cell>
          <cell r="C151" t="str">
            <v>ASSOUD</v>
          </cell>
          <cell r="D151" t="str">
            <v>R7</v>
          </cell>
          <cell r="E151" t="str">
            <v>ORD</v>
          </cell>
          <cell r="F151" t="str">
            <v>DN</v>
          </cell>
          <cell r="G151" t="str">
            <v>T</v>
          </cell>
          <cell r="H151" t="str">
            <v>R</v>
          </cell>
        </row>
        <row r="152">
          <cell r="A152">
            <v>2928</v>
          </cell>
          <cell r="B152">
            <v>100000</v>
          </cell>
          <cell r="C152" t="str">
            <v>TOGHZAOUI</v>
          </cell>
          <cell r="D152" t="str">
            <v>R3</v>
          </cell>
          <cell r="E152" t="str">
            <v>ORD</v>
          </cell>
          <cell r="F152" t="str">
            <v>DN</v>
          </cell>
          <cell r="G152" t="str">
            <v>T</v>
          </cell>
          <cell r="H152" t="str">
            <v>R</v>
          </cell>
        </row>
        <row r="153">
          <cell r="A153">
            <v>2929</v>
          </cell>
          <cell r="B153">
            <v>120000</v>
          </cell>
          <cell r="C153" t="str">
            <v>TOGHZAOUI</v>
          </cell>
          <cell r="D153" t="str">
            <v>R2</v>
          </cell>
          <cell r="E153" t="str">
            <v>ORD</v>
          </cell>
          <cell r="F153" t="str">
            <v>RN</v>
          </cell>
          <cell r="G153" t="str">
            <v>T</v>
          </cell>
          <cell r="H153" t="str">
            <v>R</v>
          </cell>
        </row>
        <row r="154">
          <cell r="A154">
            <v>2931</v>
          </cell>
          <cell r="B154">
            <v>440000</v>
          </cell>
          <cell r="C154" t="str">
            <v>ZNAIDI</v>
          </cell>
          <cell r="D154" t="str">
            <v>R2</v>
          </cell>
          <cell r="E154" t="str">
            <v>ORD</v>
          </cell>
          <cell r="F154" t="str">
            <v>RN</v>
          </cell>
          <cell r="G154" t="str">
            <v>T</v>
          </cell>
          <cell r="H154" t="str">
            <v>R</v>
          </cell>
        </row>
        <row r="155">
          <cell r="A155">
            <v>2934</v>
          </cell>
          <cell r="B155">
            <v>418000</v>
          </cell>
          <cell r="C155" t="str">
            <v>ZNAIDI</v>
          </cell>
          <cell r="D155" t="str">
            <v>R2</v>
          </cell>
          <cell r="E155" t="str">
            <v>ORD</v>
          </cell>
          <cell r="F155" t="str">
            <v>DN</v>
          </cell>
          <cell r="G155" t="str">
            <v>T</v>
          </cell>
          <cell r="H155" t="str">
            <v>R</v>
          </cell>
        </row>
        <row r="156">
          <cell r="A156">
            <v>2936</v>
          </cell>
          <cell r="B156">
            <v>480000</v>
          </cell>
          <cell r="C156" t="str">
            <v>LEBBARDI</v>
          </cell>
          <cell r="D156" t="str">
            <v>R2</v>
          </cell>
          <cell r="E156" t="str">
            <v>ORD</v>
          </cell>
          <cell r="F156" t="str">
            <v>DN</v>
          </cell>
          <cell r="G156" t="str">
            <v>T</v>
          </cell>
          <cell r="H156" t="str">
            <v>R</v>
          </cell>
        </row>
        <row r="157">
          <cell r="A157">
            <v>2940</v>
          </cell>
          <cell r="B157">
            <v>480000</v>
          </cell>
          <cell r="C157" t="str">
            <v>KABBAGE</v>
          </cell>
          <cell r="D157" t="str">
            <v>R2</v>
          </cell>
          <cell r="E157" t="str">
            <v>ORD</v>
          </cell>
          <cell r="F157" t="str">
            <v>RN</v>
          </cell>
          <cell r="G157" t="str">
            <v>T</v>
          </cell>
          <cell r="H157" t="str">
            <v>R</v>
          </cell>
        </row>
        <row r="158">
          <cell r="A158">
            <v>2941</v>
          </cell>
          <cell r="B158">
            <v>50000</v>
          </cell>
          <cell r="C158" t="str">
            <v>ZNAIDI</v>
          </cell>
          <cell r="D158" t="str">
            <v>R2</v>
          </cell>
          <cell r="E158" t="str">
            <v>ORD</v>
          </cell>
          <cell r="F158" t="str">
            <v>RN</v>
          </cell>
          <cell r="G158" t="str">
            <v>T</v>
          </cell>
          <cell r="H158" t="str">
            <v>R</v>
          </cell>
        </row>
        <row r="159">
          <cell r="A159">
            <v>2944</v>
          </cell>
          <cell r="B159">
            <v>700000</v>
          </cell>
          <cell r="C159" t="str">
            <v>BERRADA</v>
          </cell>
          <cell r="D159" t="str">
            <v>R2</v>
          </cell>
          <cell r="E159" t="str">
            <v>ORD</v>
          </cell>
          <cell r="F159" t="str">
            <v>RN</v>
          </cell>
          <cell r="G159" t="str">
            <v>T</v>
          </cell>
          <cell r="H159" t="str">
            <v>R</v>
          </cell>
        </row>
        <row r="160">
          <cell r="A160">
            <v>2947</v>
          </cell>
          <cell r="B160">
            <v>555900</v>
          </cell>
          <cell r="C160" t="str">
            <v>ASSOUD</v>
          </cell>
          <cell r="D160" t="str">
            <v>R7</v>
          </cell>
          <cell r="E160" t="str">
            <v>ORD</v>
          </cell>
          <cell r="F160" t="str">
            <v>DN</v>
          </cell>
          <cell r="G160" t="str">
            <v>T</v>
          </cell>
          <cell r="H160" t="str">
            <v>R</v>
          </cell>
        </row>
        <row r="161">
          <cell r="A161">
            <v>2948</v>
          </cell>
          <cell r="B161">
            <v>480000</v>
          </cell>
          <cell r="C161" t="str">
            <v>AIT HSSAINE</v>
          </cell>
          <cell r="D161" t="str">
            <v>R2</v>
          </cell>
          <cell r="E161" t="str">
            <v>ORD</v>
          </cell>
          <cell r="F161" t="str">
            <v>DN</v>
          </cell>
          <cell r="G161" t="str">
            <v>T</v>
          </cell>
          <cell r="H161" t="str">
            <v>R</v>
          </cell>
        </row>
        <row r="162">
          <cell r="A162">
            <v>2949</v>
          </cell>
          <cell r="B162">
            <v>4500000</v>
          </cell>
          <cell r="C162" t="str">
            <v>RAOUIA</v>
          </cell>
          <cell r="D162" t="str">
            <v>R2</v>
          </cell>
          <cell r="E162" t="str">
            <v>ORD</v>
          </cell>
          <cell r="F162" t="str">
            <v>DN</v>
          </cell>
          <cell r="G162" t="str">
            <v>TC</v>
          </cell>
          <cell r="H162" t="str">
            <v>R</v>
          </cell>
        </row>
        <row r="163">
          <cell r="A163">
            <v>2950</v>
          </cell>
          <cell r="B163">
            <v>4200000</v>
          </cell>
          <cell r="C163" t="str">
            <v>ZAID</v>
          </cell>
          <cell r="D163" t="str">
            <v>R2</v>
          </cell>
          <cell r="E163" t="str">
            <v>ORD</v>
          </cell>
          <cell r="F163" t="str">
            <v>DN</v>
          </cell>
          <cell r="G163" t="str">
            <v>TC</v>
          </cell>
          <cell r="H163" t="str">
            <v>R</v>
          </cell>
        </row>
        <row r="164">
          <cell r="A164">
            <v>2951</v>
          </cell>
          <cell r="B164">
            <v>52340</v>
          </cell>
          <cell r="C164" t="str">
            <v>RAOUIA</v>
          </cell>
          <cell r="D164" t="str">
            <v>R2</v>
          </cell>
          <cell r="E164" t="str">
            <v>ORD</v>
          </cell>
          <cell r="F164" t="str">
            <v>DN</v>
          </cell>
          <cell r="G164" t="str">
            <v>TC</v>
          </cell>
          <cell r="H164" t="str">
            <v>R</v>
          </cell>
        </row>
        <row r="165">
          <cell r="A165">
            <v>2952</v>
          </cell>
          <cell r="B165">
            <v>1100000</v>
          </cell>
          <cell r="C165" t="str">
            <v>RAOUIA</v>
          </cell>
          <cell r="D165" t="str">
            <v>R2</v>
          </cell>
          <cell r="E165" t="str">
            <v>ORD</v>
          </cell>
          <cell r="F165" t="str">
            <v>DN</v>
          </cell>
          <cell r="G165" t="str">
            <v>TC</v>
          </cell>
          <cell r="H165" t="str">
            <v>R</v>
          </cell>
        </row>
        <row r="166">
          <cell r="A166">
            <v>2957</v>
          </cell>
          <cell r="B166">
            <v>20000</v>
          </cell>
          <cell r="C166" t="str">
            <v>RAOUIA</v>
          </cell>
          <cell r="D166" t="str">
            <v>R2</v>
          </cell>
          <cell r="E166" t="str">
            <v>ORD</v>
          </cell>
          <cell r="F166" t="str">
            <v>DN</v>
          </cell>
          <cell r="G166" t="str">
            <v>TC</v>
          </cell>
          <cell r="H166" t="str">
            <v>R</v>
          </cell>
        </row>
        <row r="167">
          <cell r="A167">
            <v>2961</v>
          </cell>
          <cell r="B167">
            <v>20000</v>
          </cell>
          <cell r="C167" t="str">
            <v>MOUMEN</v>
          </cell>
          <cell r="D167" t="str">
            <v>R6</v>
          </cell>
          <cell r="E167" t="str">
            <v>ADM</v>
          </cell>
          <cell r="F167" t="str">
            <v>DN</v>
          </cell>
          <cell r="G167" t="str">
            <v>TC</v>
          </cell>
          <cell r="H167" t="str">
            <v>R</v>
          </cell>
        </row>
        <row r="168">
          <cell r="A168">
            <v>2962</v>
          </cell>
          <cell r="B168">
            <v>4000</v>
          </cell>
          <cell r="C168" t="str">
            <v>MOUMEN</v>
          </cell>
          <cell r="D168" t="str">
            <v>R6</v>
          </cell>
          <cell r="E168" t="str">
            <v>ADM</v>
          </cell>
          <cell r="F168" t="str">
            <v>DN</v>
          </cell>
          <cell r="G168" t="str">
            <v>TC</v>
          </cell>
          <cell r="H168" t="str">
            <v>R</v>
          </cell>
        </row>
        <row r="169">
          <cell r="A169">
            <v>2962</v>
          </cell>
          <cell r="C169" t="str">
            <v>MOUMEN</v>
          </cell>
          <cell r="D169" t="str">
            <v>R6</v>
          </cell>
          <cell r="E169" t="str">
            <v>ADM</v>
          </cell>
          <cell r="F169" t="str">
            <v>DN</v>
          </cell>
          <cell r="G169" t="str">
            <v>TC</v>
          </cell>
          <cell r="H169" t="str">
            <v>R</v>
          </cell>
        </row>
        <row r="170">
          <cell r="A170">
            <v>2963</v>
          </cell>
          <cell r="B170">
            <v>21000</v>
          </cell>
          <cell r="C170" t="str">
            <v>TIBAR</v>
          </cell>
          <cell r="D170" t="str">
            <v>R6</v>
          </cell>
          <cell r="E170" t="str">
            <v>ADM</v>
          </cell>
          <cell r="F170" t="str">
            <v>DN</v>
          </cell>
          <cell r="G170" t="str">
            <v>TC</v>
          </cell>
          <cell r="H170" t="str">
            <v>R</v>
          </cell>
        </row>
        <row r="171">
          <cell r="A171">
            <v>2966</v>
          </cell>
          <cell r="B171">
            <v>450000</v>
          </cell>
          <cell r="C171" t="str">
            <v>ASSOUD</v>
          </cell>
          <cell r="D171" t="str">
            <v>R7</v>
          </cell>
          <cell r="E171" t="str">
            <v>ORD</v>
          </cell>
          <cell r="F171" t="str">
            <v>RN</v>
          </cell>
          <cell r="G171" t="str">
            <v>T</v>
          </cell>
          <cell r="H171" t="str">
            <v>R</v>
          </cell>
        </row>
        <row r="172">
          <cell r="A172">
            <v>2967</v>
          </cell>
          <cell r="B172">
            <v>300000</v>
          </cell>
          <cell r="C172" t="str">
            <v>LEBBARDI</v>
          </cell>
          <cell r="D172" t="str">
            <v>R3</v>
          </cell>
          <cell r="E172" t="str">
            <v>ORD</v>
          </cell>
          <cell r="F172" t="str">
            <v>DN</v>
          </cell>
          <cell r="G172" t="str">
            <v>T</v>
          </cell>
          <cell r="H172" t="str">
            <v>R</v>
          </cell>
        </row>
        <row r="173">
          <cell r="A173">
            <v>2968</v>
          </cell>
          <cell r="B173">
            <v>480000</v>
          </cell>
          <cell r="C173" t="str">
            <v>BERRADA</v>
          </cell>
          <cell r="D173" t="str">
            <v>R2</v>
          </cell>
          <cell r="E173" t="str">
            <v>ORD</v>
          </cell>
          <cell r="F173" t="str">
            <v>DN</v>
          </cell>
          <cell r="G173" t="str">
            <v>T</v>
          </cell>
          <cell r="H173" t="str">
            <v>R</v>
          </cell>
        </row>
        <row r="174">
          <cell r="A174">
            <v>2969</v>
          </cell>
          <cell r="B174">
            <v>290000</v>
          </cell>
          <cell r="C174" t="str">
            <v>BERRADA</v>
          </cell>
          <cell r="D174" t="str">
            <v>R2</v>
          </cell>
          <cell r="E174" t="str">
            <v>ORD</v>
          </cell>
          <cell r="F174" t="str">
            <v>RN</v>
          </cell>
          <cell r="G174" t="str">
            <v>T</v>
          </cell>
          <cell r="H174" t="str">
            <v>R</v>
          </cell>
        </row>
        <row r="175">
          <cell r="A175">
            <v>2970</v>
          </cell>
          <cell r="B175">
            <v>211600</v>
          </cell>
          <cell r="C175" t="str">
            <v>BERRADA</v>
          </cell>
          <cell r="D175" t="str">
            <v>R2</v>
          </cell>
          <cell r="E175" t="str">
            <v>ORD</v>
          </cell>
          <cell r="F175" t="str">
            <v>RN</v>
          </cell>
          <cell r="G175" t="str">
            <v>T</v>
          </cell>
          <cell r="H175" t="str">
            <v>R</v>
          </cell>
        </row>
        <row r="176">
          <cell r="A176">
            <v>2974</v>
          </cell>
          <cell r="B176">
            <v>23000</v>
          </cell>
          <cell r="C176" t="str">
            <v>OUAMALICH</v>
          </cell>
          <cell r="D176" t="str">
            <v>R2</v>
          </cell>
          <cell r="E176" t="str">
            <v>ORD</v>
          </cell>
          <cell r="F176" t="str">
            <v>RN</v>
          </cell>
          <cell r="G176" t="str">
            <v>T</v>
          </cell>
          <cell r="H176" t="str">
            <v>R</v>
          </cell>
        </row>
        <row r="177">
          <cell r="A177">
            <v>2974</v>
          </cell>
          <cell r="C177" t="str">
            <v>OUAMALICH</v>
          </cell>
          <cell r="D177" t="str">
            <v>R2</v>
          </cell>
          <cell r="E177" t="str">
            <v>ORD</v>
          </cell>
          <cell r="F177" t="str">
            <v>RN</v>
          </cell>
          <cell r="G177" t="str">
            <v>T</v>
          </cell>
          <cell r="H177" t="str">
            <v>R</v>
          </cell>
        </row>
        <row r="178">
          <cell r="A178">
            <v>2974</v>
          </cell>
          <cell r="C178" t="str">
            <v>OUAMALICH</v>
          </cell>
          <cell r="D178" t="str">
            <v>R2</v>
          </cell>
          <cell r="E178" t="str">
            <v>ORD</v>
          </cell>
          <cell r="F178" t="str">
            <v>RN</v>
          </cell>
          <cell r="G178" t="str">
            <v>T</v>
          </cell>
          <cell r="H178" t="str">
            <v>R</v>
          </cell>
        </row>
        <row r="179">
          <cell r="A179">
            <v>2975</v>
          </cell>
          <cell r="B179">
            <v>700000</v>
          </cell>
          <cell r="C179" t="str">
            <v>CHNANI</v>
          </cell>
          <cell r="D179" t="str">
            <v>R2</v>
          </cell>
          <cell r="E179" t="str">
            <v>ORD</v>
          </cell>
          <cell r="F179" t="str">
            <v>RN</v>
          </cell>
          <cell r="G179" t="str">
            <v>T</v>
          </cell>
          <cell r="H179" t="str">
            <v>R</v>
          </cell>
        </row>
        <row r="180">
          <cell r="A180">
            <v>2976</v>
          </cell>
          <cell r="B180">
            <v>840000</v>
          </cell>
          <cell r="C180" t="str">
            <v>CHNANI</v>
          </cell>
          <cell r="D180" t="str">
            <v>R2</v>
          </cell>
          <cell r="E180" t="str">
            <v>ORD</v>
          </cell>
          <cell r="F180" t="str">
            <v>RN</v>
          </cell>
          <cell r="G180" t="str">
            <v>T</v>
          </cell>
          <cell r="H180" t="str">
            <v>R</v>
          </cell>
        </row>
        <row r="181">
          <cell r="A181">
            <v>2977</v>
          </cell>
          <cell r="B181">
            <v>4000000</v>
          </cell>
          <cell r="C181" t="str">
            <v>LAHMIDI</v>
          </cell>
          <cell r="D181" t="str">
            <v>R2</v>
          </cell>
          <cell r="E181" t="str">
            <v>ORD</v>
          </cell>
          <cell r="F181" t="str">
            <v>RN</v>
          </cell>
          <cell r="G181" t="str">
            <v>T</v>
          </cell>
          <cell r="H181" t="str">
            <v>R</v>
          </cell>
        </row>
        <row r="182">
          <cell r="A182">
            <v>2979</v>
          </cell>
          <cell r="B182">
            <v>100000</v>
          </cell>
          <cell r="C182" t="str">
            <v>CHNANI</v>
          </cell>
          <cell r="D182" t="str">
            <v>R2</v>
          </cell>
          <cell r="E182" t="str">
            <v>ORD</v>
          </cell>
          <cell r="F182" t="str">
            <v>DN</v>
          </cell>
          <cell r="G182" t="str">
            <v>T</v>
          </cell>
          <cell r="H182" t="str">
            <v>R</v>
          </cell>
        </row>
        <row r="183">
          <cell r="A183">
            <v>2980</v>
          </cell>
          <cell r="B183">
            <v>15000</v>
          </cell>
          <cell r="C183" t="str">
            <v>CHNANI</v>
          </cell>
          <cell r="D183" t="str">
            <v>R2</v>
          </cell>
          <cell r="E183" t="str">
            <v>ORD</v>
          </cell>
          <cell r="F183" t="str">
            <v>RN</v>
          </cell>
          <cell r="G183" t="str">
            <v>T</v>
          </cell>
          <cell r="H183" t="str">
            <v>R</v>
          </cell>
        </row>
        <row r="184">
          <cell r="A184">
            <v>2981</v>
          </cell>
          <cell r="B184">
            <v>490000</v>
          </cell>
          <cell r="C184" t="str">
            <v>CHNANI</v>
          </cell>
          <cell r="D184" t="str">
            <v>R2</v>
          </cell>
          <cell r="E184" t="str">
            <v>ORD</v>
          </cell>
          <cell r="F184" t="str">
            <v>RN</v>
          </cell>
          <cell r="G184" t="str">
            <v>T</v>
          </cell>
          <cell r="H184" t="str">
            <v>R</v>
          </cell>
        </row>
        <row r="185">
          <cell r="A185">
            <v>2982</v>
          </cell>
          <cell r="B185">
            <v>950000</v>
          </cell>
          <cell r="C185" t="str">
            <v>CHNANI</v>
          </cell>
          <cell r="D185" t="str">
            <v>R2</v>
          </cell>
          <cell r="E185" t="str">
            <v>ORD</v>
          </cell>
          <cell r="F185" t="str">
            <v>RN</v>
          </cell>
          <cell r="G185" t="str">
            <v>T</v>
          </cell>
          <cell r="H185" t="str">
            <v>R</v>
          </cell>
        </row>
        <row r="186">
          <cell r="A186">
            <v>2983</v>
          </cell>
          <cell r="B186">
            <v>450000</v>
          </cell>
          <cell r="C186" t="str">
            <v>OUAMALICH</v>
          </cell>
          <cell r="D186" t="str">
            <v>R2</v>
          </cell>
          <cell r="E186" t="str">
            <v>ORD</v>
          </cell>
          <cell r="F186" t="str">
            <v>DN</v>
          </cell>
          <cell r="G186" t="str">
            <v>T</v>
          </cell>
          <cell r="H186" t="str">
            <v>R</v>
          </cell>
        </row>
        <row r="187">
          <cell r="A187">
            <v>2984</v>
          </cell>
          <cell r="B187">
            <v>30000</v>
          </cell>
          <cell r="C187" t="str">
            <v>OUAMALICH</v>
          </cell>
          <cell r="D187" t="str">
            <v>R2</v>
          </cell>
          <cell r="E187" t="str">
            <v>ORD</v>
          </cell>
          <cell r="F187" t="str">
            <v>RN</v>
          </cell>
          <cell r="G187" t="str">
            <v>T</v>
          </cell>
          <cell r="H187" t="str">
            <v>R</v>
          </cell>
        </row>
        <row r="188">
          <cell r="A188">
            <v>2984</v>
          </cell>
          <cell r="C188" t="str">
            <v>OUAMALICH</v>
          </cell>
          <cell r="D188" t="str">
            <v>R2</v>
          </cell>
          <cell r="E188" t="str">
            <v>ORD</v>
          </cell>
          <cell r="F188" t="str">
            <v>RN</v>
          </cell>
          <cell r="G188" t="str">
            <v>T</v>
          </cell>
          <cell r="H188" t="str">
            <v>R</v>
          </cell>
        </row>
        <row r="189">
          <cell r="A189">
            <v>2985</v>
          </cell>
          <cell r="B189">
            <v>5000</v>
          </cell>
          <cell r="C189" t="str">
            <v>KARMOUNI</v>
          </cell>
          <cell r="D189" t="str">
            <v>R6</v>
          </cell>
          <cell r="E189" t="str">
            <v>ADM</v>
          </cell>
          <cell r="F189" t="str">
            <v>RN</v>
          </cell>
          <cell r="G189" t="str">
            <v>T</v>
          </cell>
          <cell r="H189" t="str">
            <v>R</v>
          </cell>
        </row>
        <row r="190">
          <cell r="A190">
            <v>2986</v>
          </cell>
          <cell r="B190">
            <v>57000</v>
          </cell>
          <cell r="C190" t="str">
            <v>KARMOUNI</v>
          </cell>
          <cell r="D190" t="str">
            <v>R6</v>
          </cell>
          <cell r="E190" t="str">
            <v>ADM</v>
          </cell>
          <cell r="F190" t="str">
            <v>RN</v>
          </cell>
          <cell r="G190" t="str">
            <v>T</v>
          </cell>
          <cell r="H190" t="str">
            <v>R</v>
          </cell>
        </row>
        <row r="191">
          <cell r="A191">
            <v>2986</v>
          </cell>
          <cell r="C191" t="str">
            <v>KARMOUNI</v>
          </cell>
          <cell r="D191" t="str">
            <v>R6</v>
          </cell>
          <cell r="E191" t="str">
            <v>ADM</v>
          </cell>
          <cell r="F191" t="str">
            <v>RN</v>
          </cell>
          <cell r="G191" t="str">
            <v>T</v>
          </cell>
          <cell r="H191" t="str">
            <v>R</v>
          </cell>
        </row>
        <row r="192">
          <cell r="A192">
            <v>2987</v>
          </cell>
          <cell r="B192">
            <v>25000</v>
          </cell>
          <cell r="C192" t="str">
            <v>KARMOUNI</v>
          </cell>
          <cell r="D192" t="str">
            <v>R2</v>
          </cell>
          <cell r="E192" t="str">
            <v>ORD</v>
          </cell>
          <cell r="F192" t="str">
            <v>RN</v>
          </cell>
          <cell r="G192" t="str">
            <v>T</v>
          </cell>
          <cell r="H192" t="str">
            <v>R</v>
          </cell>
        </row>
        <row r="193">
          <cell r="A193">
            <v>2988</v>
          </cell>
          <cell r="B193">
            <v>295000</v>
          </cell>
          <cell r="C193" t="str">
            <v>KARMOUNI</v>
          </cell>
          <cell r="D193" t="str">
            <v>R6</v>
          </cell>
          <cell r="E193" t="str">
            <v>ADM</v>
          </cell>
          <cell r="F193" t="str">
            <v>RN</v>
          </cell>
          <cell r="G193" t="str">
            <v>T</v>
          </cell>
          <cell r="H193" t="str">
            <v>R</v>
          </cell>
        </row>
        <row r="194">
          <cell r="A194">
            <v>2988</v>
          </cell>
          <cell r="C194" t="str">
            <v>KARMOUNI</v>
          </cell>
          <cell r="D194" t="str">
            <v>R6</v>
          </cell>
          <cell r="E194" t="str">
            <v>ADM</v>
          </cell>
          <cell r="F194" t="str">
            <v>RN</v>
          </cell>
          <cell r="G194" t="str">
            <v>T</v>
          </cell>
          <cell r="H194" t="str">
            <v>R</v>
          </cell>
        </row>
        <row r="195">
          <cell r="A195">
            <v>2990</v>
          </cell>
          <cell r="B195">
            <v>2000000</v>
          </cell>
          <cell r="C195" t="str">
            <v>CHNANI</v>
          </cell>
          <cell r="D195" t="str">
            <v>R2</v>
          </cell>
          <cell r="E195" t="str">
            <v>ORD</v>
          </cell>
          <cell r="F195" t="str">
            <v>DN</v>
          </cell>
          <cell r="G195" t="str">
            <v>T</v>
          </cell>
          <cell r="H195" t="str">
            <v>R</v>
          </cell>
        </row>
        <row r="196">
          <cell r="A196">
            <v>2991</v>
          </cell>
          <cell r="B196">
            <v>120000</v>
          </cell>
          <cell r="C196" t="str">
            <v>AIT HSSAINE</v>
          </cell>
          <cell r="D196" t="str">
            <v>R2</v>
          </cell>
          <cell r="E196" t="str">
            <v>ORD</v>
          </cell>
          <cell r="F196" t="str">
            <v>DN</v>
          </cell>
          <cell r="G196" t="str">
            <v>T</v>
          </cell>
          <cell r="H196" t="str">
            <v>R</v>
          </cell>
        </row>
        <row r="197">
          <cell r="A197">
            <v>2992</v>
          </cell>
          <cell r="B197">
            <v>360000</v>
          </cell>
          <cell r="D197" t="str">
            <v>R2</v>
          </cell>
          <cell r="E197" t="str">
            <v>ORD</v>
          </cell>
          <cell r="F197" t="str">
            <v>RN</v>
          </cell>
          <cell r="G197" t="str">
            <v>T</v>
          </cell>
          <cell r="H197" t="str">
            <v>R</v>
          </cell>
        </row>
        <row r="198">
          <cell r="A198">
            <v>2993</v>
          </cell>
          <cell r="B198">
            <v>490000</v>
          </cell>
          <cell r="C198" t="str">
            <v>AIT HSSAINE</v>
          </cell>
          <cell r="D198" t="str">
            <v>R2</v>
          </cell>
          <cell r="E198" t="str">
            <v>ORD</v>
          </cell>
          <cell r="F198" t="str">
            <v>DN</v>
          </cell>
          <cell r="G198" t="str">
            <v>T</v>
          </cell>
          <cell r="H198" t="str">
            <v>R</v>
          </cell>
        </row>
        <row r="199">
          <cell r="A199">
            <v>2994</v>
          </cell>
          <cell r="B199">
            <v>1800000</v>
          </cell>
          <cell r="C199" t="str">
            <v>AIT HSSAINE</v>
          </cell>
          <cell r="D199" t="str">
            <v>R2</v>
          </cell>
          <cell r="E199" t="str">
            <v>ORD</v>
          </cell>
          <cell r="F199" t="str">
            <v>RN</v>
          </cell>
          <cell r="G199" t="str">
            <v>T</v>
          </cell>
          <cell r="H199" t="str">
            <v>R</v>
          </cell>
        </row>
        <row r="200">
          <cell r="A200">
            <v>2995</v>
          </cell>
          <cell r="B200">
            <v>400000</v>
          </cell>
          <cell r="C200" t="str">
            <v>BERRADA</v>
          </cell>
          <cell r="D200" t="str">
            <v>R2</v>
          </cell>
          <cell r="E200" t="str">
            <v>ORD</v>
          </cell>
          <cell r="F200" t="str">
            <v>DN</v>
          </cell>
          <cell r="G200" t="str">
            <v>T</v>
          </cell>
          <cell r="H200" t="str">
            <v>R</v>
          </cell>
        </row>
        <row r="201">
          <cell r="A201">
            <v>2996</v>
          </cell>
          <cell r="B201">
            <v>266500</v>
          </cell>
          <cell r="C201" t="str">
            <v>BERRADA</v>
          </cell>
          <cell r="D201" t="str">
            <v>R2</v>
          </cell>
          <cell r="E201" t="str">
            <v>ORD</v>
          </cell>
          <cell r="F201" t="str">
            <v>DN</v>
          </cell>
          <cell r="G201" t="str">
            <v>T</v>
          </cell>
          <cell r="H201" t="str">
            <v>R</v>
          </cell>
        </row>
        <row r="202">
          <cell r="A202">
            <v>2996</v>
          </cell>
          <cell r="C202" t="str">
            <v>CHNANI</v>
          </cell>
          <cell r="D202" t="str">
            <v>R2</v>
          </cell>
          <cell r="E202" t="str">
            <v>ORD</v>
          </cell>
          <cell r="F202" t="str">
            <v>DN</v>
          </cell>
          <cell r="G202" t="str">
            <v>T</v>
          </cell>
          <cell r="H202" t="str">
            <v>R</v>
          </cell>
        </row>
        <row r="203">
          <cell r="A203">
            <v>2996</v>
          </cell>
          <cell r="C203" t="str">
            <v>BERRADA</v>
          </cell>
          <cell r="D203" t="str">
            <v>R2</v>
          </cell>
          <cell r="E203" t="str">
            <v>ORD</v>
          </cell>
          <cell r="F203" t="str">
            <v>DN</v>
          </cell>
          <cell r="G203" t="str">
            <v>T</v>
          </cell>
          <cell r="H203" t="str">
            <v>R</v>
          </cell>
        </row>
        <row r="204">
          <cell r="A204">
            <v>2996</v>
          </cell>
          <cell r="C204" t="str">
            <v>BERRADA</v>
          </cell>
          <cell r="D204" t="str">
            <v>R2</v>
          </cell>
          <cell r="E204" t="str">
            <v>ORD</v>
          </cell>
          <cell r="F204" t="str">
            <v>DN</v>
          </cell>
          <cell r="G204" t="str">
            <v>T</v>
          </cell>
          <cell r="H204" t="str">
            <v>R</v>
          </cell>
        </row>
        <row r="205">
          <cell r="A205">
            <v>2996</v>
          </cell>
          <cell r="C205" t="str">
            <v>BERRADA</v>
          </cell>
          <cell r="D205" t="str">
            <v>R2</v>
          </cell>
          <cell r="E205" t="str">
            <v>ORD</v>
          </cell>
          <cell r="F205" t="str">
            <v>DN</v>
          </cell>
          <cell r="G205" t="str">
            <v>T</v>
          </cell>
          <cell r="H205" t="str">
            <v>R</v>
          </cell>
        </row>
        <row r="206">
          <cell r="A206">
            <v>2997</v>
          </cell>
          <cell r="B206">
            <v>480000</v>
          </cell>
          <cell r="C206" t="str">
            <v>TOGHZAOUI</v>
          </cell>
          <cell r="D206" t="str">
            <v>R2</v>
          </cell>
          <cell r="E206" t="str">
            <v>ORD</v>
          </cell>
          <cell r="F206" t="str">
            <v>DN</v>
          </cell>
          <cell r="G206" t="str">
            <v>T</v>
          </cell>
          <cell r="H206" t="str">
            <v>R</v>
          </cell>
        </row>
        <row r="207">
          <cell r="A207">
            <v>2998</v>
          </cell>
          <cell r="B207">
            <v>9000000</v>
          </cell>
          <cell r="C207" t="str">
            <v>CHNANI</v>
          </cell>
          <cell r="D207" t="str">
            <v>R2</v>
          </cell>
          <cell r="E207" t="str">
            <v>ORD</v>
          </cell>
          <cell r="F207" t="str">
            <v>DN</v>
          </cell>
          <cell r="G207" t="str">
            <v>T</v>
          </cell>
          <cell r="H207" t="str">
            <v>R</v>
          </cell>
        </row>
        <row r="208">
          <cell r="A208">
            <v>2999</v>
          </cell>
          <cell r="B208">
            <v>170000</v>
          </cell>
          <cell r="C208" t="str">
            <v>LEBBARDI</v>
          </cell>
          <cell r="D208" t="str">
            <v>R2</v>
          </cell>
          <cell r="E208" t="str">
            <v>ORD</v>
          </cell>
          <cell r="F208" t="str">
            <v>DN</v>
          </cell>
          <cell r="G208" t="str">
            <v>T</v>
          </cell>
          <cell r="H208" t="str">
            <v>R</v>
          </cell>
        </row>
        <row r="209">
          <cell r="A209">
            <v>3001</v>
          </cell>
          <cell r="B209">
            <v>480000</v>
          </cell>
          <cell r="C209" t="str">
            <v>TOGHZAOUI</v>
          </cell>
          <cell r="D209" t="str">
            <v>R2</v>
          </cell>
          <cell r="E209" t="str">
            <v>ORD</v>
          </cell>
          <cell r="F209" t="str">
            <v>DN</v>
          </cell>
          <cell r="G209" t="str">
            <v>T</v>
          </cell>
          <cell r="H209" t="str">
            <v>R</v>
          </cell>
        </row>
        <row r="210">
          <cell r="A210">
            <v>3004</v>
          </cell>
          <cell r="B210">
            <v>4500000</v>
          </cell>
          <cell r="C210" t="str">
            <v>TOGHZAOUI</v>
          </cell>
          <cell r="D210" t="str">
            <v>R2</v>
          </cell>
          <cell r="E210" t="str">
            <v>ORD</v>
          </cell>
          <cell r="F210" t="str">
            <v>DN</v>
          </cell>
          <cell r="G210" t="str">
            <v>T</v>
          </cell>
          <cell r="H210" t="str">
            <v>R</v>
          </cell>
        </row>
        <row r="211">
          <cell r="A211">
            <v>3005</v>
          </cell>
          <cell r="B211">
            <v>495000</v>
          </cell>
          <cell r="C211" t="str">
            <v>TOGHZAOUI</v>
          </cell>
          <cell r="D211" t="str">
            <v>R2</v>
          </cell>
          <cell r="E211" t="str">
            <v>ORD</v>
          </cell>
          <cell r="F211" t="str">
            <v>DN</v>
          </cell>
          <cell r="G211" t="str">
            <v>T</v>
          </cell>
          <cell r="H211" t="str">
            <v>R</v>
          </cell>
        </row>
        <row r="212">
          <cell r="A212">
            <v>3006</v>
          </cell>
          <cell r="B212">
            <v>300000</v>
          </cell>
          <cell r="C212" t="str">
            <v>TOGHZAOUI</v>
          </cell>
          <cell r="D212" t="str">
            <v>R2</v>
          </cell>
          <cell r="E212" t="str">
            <v>ORD</v>
          </cell>
          <cell r="F212" t="str">
            <v>DN</v>
          </cell>
          <cell r="G212" t="str">
            <v>T</v>
          </cell>
          <cell r="H212" t="str">
            <v>R</v>
          </cell>
        </row>
        <row r="213">
          <cell r="A213">
            <v>3006</v>
          </cell>
          <cell r="D213" t="str">
            <v>R2</v>
          </cell>
          <cell r="E213" t="str">
            <v>ORD</v>
          </cell>
          <cell r="G213" t="str">
            <v>T</v>
          </cell>
          <cell r="H213" t="str">
            <v>R</v>
          </cell>
        </row>
        <row r="214">
          <cell r="A214">
            <v>3006</v>
          </cell>
          <cell r="D214" t="str">
            <v>R2</v>
          </cell>
          <cell r="E214" t="str">
            <v>ORD</v>
          </cell>
          <cell r="G214" t="str">
            <v>T</v>
          </cell>
          <cell r="H214" t="str">
            <v>R</v>
          </cell>
        </row>
        <row r="215">
          <cell r="A215">
            <v>3006</v>
          </cell>
          <cell r="D215" t="str">
            <v>R2</v>
          </cell>
          <cell r="E215" t="str">
            <v>ORD</v>
          </cell>
          <cell r="G215" t="str">
            <v>T</v>
          </cell>
          <cell r="H215" t="str">
            <v>R</v>
          </cell>
        </row>
        <row r="216">
          <cell r="A216">
            <v>3006</v>
          </cell>
          <cell r="D216" t="str">
            <v>R2</v>
          </cell>
          <cell r="E216" t="str">
            <v>ORD</v>
          </cell>
          <cell r="G216" t="str">
            <v>T</v>
          </cell>
          <cell r="H216" t="str">
            <v>R</v>
          </cell>
        </row>
        <row r="217">
          <cell r="A217">
            <v>3006</v>
          </cell>
          <cell r="C217" t="str">
            <v>TOGHZAOUI</v>
          </cell>
          <cell r="D217" t="str">
            <v>R2</v>
          </cell>
          <cell r="E217" t="str">
            <v>ORD</v>
          </cell>
          <cell r="F217" t="str">
            <v>DN</v>
          </cell>
          <cell r="G217" t="str">
            <v>T</v>
          </cell>
          <cell r="H217" t="str">
            <v>R</v>
          </cell>
        </row>
        <row r="218">
          <cell r="A218">
            <v>3006</v>
          </cell>
          <cell r="C218" t="str">
            <v>TOGHZAOUI</v>
          </cell>
          <cell r="D218" t="str">
            <v>R2</v>
          </cell>
          <cell r="E218" t="str">
            <v>ORD</v>
          </cell>
          <cell r="F218" t="str">
            <v>DN</v>
          </cell>
          <cell r="G218" t="str">
            <v>T</v>
          </cell>
          <cell r="H218" t="str">
            <v>R</v>
          </cell>
        </row>
        <row r="219">
          <cell r="A219">
            <v>3006</v>
          </cell>
          <cell r="C219" t="str">
            <v>TOGHZAOUI</v>
          </cell>
          <cell r="D219" t="str">
            <v>R2</v>
          </cell>
          <cell r="E219" t="str">
            <v>ORD</v>
          </cell>
          <cell r="F219" t="str">
            <v>DN</v>
          </cell>
          <cell r="G219" t="str">
            <v>T</v>
          </cell>
          <cell r="H219" t="str">
            <v>R</v>
          </cell>
        </row>
        <row r="220">
          <cell r="A220">
            <v>3006</v>
          </cell>
          <cell r="E220" t="str">
            <v>ORD</v>
          </cell>
          <cell r="G220" t="str">
            <v>T</v>
          </cell>
          <cell r="H220" t="str">
            <v>R</v>
          </cell>
        </row>
        <row r="221">
          <cell r="A221">
            <v>3007</v>
          </cell>
          <cell r="B221">
            <v>30000</v>
          </cell>
          <cell r="C221" t="str">
            <v>TOGHZAOUI</v>
          </cell>
          <cell r="D221" t="str">
            <v>R2</v>
          </cell>
          <cell r="E221" t="str">
            <v>ORD</v>
          </cell>
          <cell r="F221" t="str">
            <v>DN</v>
          </cell>
          <cell r="G221" t="str">
            <v>T</v>
          </cell>
          <cell r="H221" t="str">
            <v>R</v>
          </cell>
        </row>
        <row r="222">
          <cell r="A222">
            <v>3008</v>
          </cell>
          <cell r="B222">
            <v>450000</v>
          </cell>
          <cell r="C222" t="str">
            <v>TOGHZAOUI</v>
          </cell>
          <cell r="D222" t="str">
            <v>R2</v>
          </cell>
          <cell r="E222" t="str">
            <v>ORD</v>
          </cell>
          <cell r="F222" t="str">
            <v>RN</v>
          </cell>
          <cell r="G222" t="str">
            <v>T</v>
          </cell>
          <cell r="H222" t="str">
            <v>R</v>
          </cell>
        </row>
        <row r="223">
          <cell r="A223">
            <v>3010</v>
          </cell>
          <cell r="B223">
            <v>135000</v>
          </cell>
          <cell r="C223" t="str">
            <v>BENMAKHLOUF</v>
          </cell>
          <cell r="D223" t="str">
            <v>R2</v>
          </cell>
          <cell r="E223" t="str">
            <v>ORD</v>
          </cell>
          <cell r="F223" t="str">
            <v>RN</v>
          </cell>
          <cell r="G223" t="str">
            <v>T</v>
          </cell>
          <cell r="H223" t="str">
            <v>R</v>
          </cell>
        </row>
        <row r="224">
          <cell r="A224">
            <v>3011</v>
          </cell>
          <cell r="B224">
            <v>300000</v>
          </cell>
          <cell r="C224" t="str">
            <v>BENMAKHLOUF</v>
          </cell>
          <cell r="D224" t="str">
            <v>R2</v>
          </cell>
          <cell r="E224" t="str">
            <v>ORD</v>
          </cell>
          <cell r="F224" t="str">
            <v>RN</v>
          </cell>
          <cell r="G224" t="str">
            <v>T</v>
          </cell>
          <cell r="H224" t="str">
            <v>R</v>
          </cell>
        </row>
        <row r="225">
          <cell r="A225">
            <v>3012</v>
          </cell>
          <cell r="B225">
            <v>217071.39</v>
          </cell>
          <cell r="C225" t="str">
            <v>BENZAKI</v>
          </cell>
          <cell r="D225" t="str">
            <v>R2</v>
          </cell>
          <cell r="E225" t="str">
            <v>ORD</v>
          </cell>
          <cell r="F225" t="str">
            <v>DN</v>
          </cell>
          <cell r="G225" t="str">
            <v>L</v>
          </cell>
          <cell r="H225" t="str">
            <v>R</v>
          </cell>
        </row>
        <row r="226">
          <cell r="A226">
            <v>3013</v>
          </cell>
          <cell r="B226">
            <v>450000</v>
          </cell>
          <cell r="C226" t="str">
            <v>BENZAKI</v>
          </cell>
          <cell r="D226" t="str">
            <v>R2</v>
          </cell>
          <cell r="E226" t="str">
            <v>ORD</v>
          </cell>
          <cell r="F226" t="str">
            <v>DN</v>
          </cell>
          <cell r="G226" t="str">
            <v>L</v>
          </cell>
          <cell r="H226" t="str">
            <v>R</v>
          </cell>
        </row>
        <row r="227">
          <cell r="A227">
            <v>3014</v>
          </cell>
          <cell r="B227">
            <v>490000</v>
          </cell>
          <cell r="C227" t="str">
            <v>TOGHZAOUI</v>
          </cell>
          <cell r="D227" t="str">
            <v>R6</v>
          </cell>
          <cell r="E227" t="str">
            <v>ADM</v>
          </cell>
          <cell r="F227" t="str">
            <v>DN</v>
          </cell>
          <cell r="G227" t="str">
            <v>T</v>
          </cell>
          <cell r="H227" t="str">
            <v>R</v>
          </cell>
        </row>
        <row r="228">
          <cell r="A228">
            <v>3015</v>
          </cell>
          <cell r="B228">
            <v>40000</v>
          </cell>
          <cell r="C228" t="str">
            <v>BOUZZIT</v>
          </cell>
          <cell r="D228" t="str">
            <v>R2</v>
          </cell>
          <cell r="E228" t="str">
            <v>ORD</v>
          </cell>
          <cell r="F228" t="str">
            <v>DN</v>
          </cell>
          <cell r="G228" t="str">
            <v>L</v>
          </cell>
          <cell r="H228" t="str">
            <v>R</v>
          </cell>
        </row>
        <row r="229">
          <cell r="A229">
            <v>3016</v>
          </cell>
          <cell r="B229">
            <v>2000000</v>
          </cell>
          <cell r="C229" t="str">
            <v>TOGHZAOUI</v>
          </cell>
          <cell r="D229" t="str">
            <v>R2</v>
          </cell>
          <cell r="E229" t="str">
            <v>ORD</v>
          </cell>
          <cell r="F229" t="str">
            <v>DN</v>
          </cell>
          <cell r="G229" t="str">
            <v>T</v>
          </cell>
          <cell r="H229" t="str">
            <v>R</v>
          </cell>
        </row>
        <row r="230">
          <cell r="A230">
            <v>3017</v>
          </cell>
          <cell r="B230">
            <v>60000</v>
          </cell>
          <cell r="C230" t="str">
            <v>BOUZZIT</v>
          </cell>
          <cell r="D230" t="str">
            <v>R2</v>
          </cell>
          <cell r="E230" t="str">
            <v>ORD</v>
          </cell>
          <cell r="F230" t="str">
            <v>DN</v>
          </cell>
          <cell r="G230" t="str">
            <v>L</v>
          </cell>
          <cell r="H230" t="str">
            <v>R</v>
          </cell>
        </row>
        <row r="231">
          <cell r="A231">
            <v>3020</v>
          </cell>
          <cell r="B231">
            <v>120000</v>
          </cell>
          <cell r="C231" t="str">
            <v>SAOUD</v>
          </cell>
          <cell r="D231" t="str">
            <v>R2</v>
          </cell>
          <cell r="E231" t="str">
            <v>ORD</v>
          </cell>
          <cell r="F231" t="str">
            <v>DN</v>
          </cell>
          <cell r="G231" t="str">
            <v>L</v>
          </cell>
          <cell r="H231" t="str">
            <v>R</v>
          </cell>
        </row>
        <row r="232">
          <cell r="A232">
            <v>3021</v>
          </cell>
          <cell r="B232">
            <v>206000</v>
          </cell>
          <cell r="C232" t="str">
            <v>TOGHZAOUI</v>
          </cell>
          <cell r="D232" t="str">
            <v>R2</v>
          </cell>
          <cell r="E232" t="str">
            <v>ORD</v>
          </cell>
          <cell r="F232" t="str">
            <v>DN</v>
          </cell>
          <cell r="G232" t="str">
            <v>T</v>
          </cell>
          <cell r="H232" t="str">
            <v>R</v>
          </cell>
        </row>
        <row r="233">
          <cell r="A233">
            <v>3023</v>
          </cell>
          <cell r="B233">
            <v>480000</v>
          </cell>
          <cell r="C233" t="str">
            <v>SAOUD</v>
          </cell>
          <cell r="D233" t="str">
            <v>R2</v>
          </cell>
          <cell r="E233" t="str">
            <v>ORD</v>
          </cell>
          <cell r="F233" t="str">
            <v>RN</v>
          </cell>
          <cell r="G233" t="str">
            <v>L</v>
          </cell>
          <cell r="H233" t="str">
            <v>R</v>
          </cell>
        </row>
        <row r="234">
          <cell r="A234">
            <v>4124</v>
          </cell>
          <cell r="B234">
            <v>30000</v>
          </cell>
          <cell r="C234" t="str">
            <v>RAOUIA</v>
          </cell>
          <cell r="D234" t="str">
            <v>R2</v>
          </cell>
          <cell r="E234" t="str">
            <v>ORD</v>
          </cell>
          <cell r="F234" t="str">
            <v>DN</v>
          </cell>
          <cell r="G234" t="str">
            <v>TC</v>
          </cell>
          <cell r="H234" t="str">
            <v>R</v>
          </cell>
        </row>
        <row r="235">
          <cell r="A235">
            <v>4124</v>
          </cell>
          <cell r="C235" t="str">
            <v>RAOUIA</v>
          </cell>
          <cell r="D235" t="str">
            <v>R2</v>
          </cell>
          <cell r="E235" t="str">
            <v>ORD</v>
          </cell>
          <cell r="F235" t="str">
            <v>DN</v>
          </cell>
          <cell r="G235" t="str">
            <v>TC</v>
          </cell>
          <cell r="H235" t="str">
            <v>R</v>
          </cell>
        </row>
        <row r="236">
          <cell r="A236">
            <v>4124</v>
          </cell>
          <cell r="C236" t="str">
            <v>RAOUIA</v>
          </cell>
          <cell r="D236" t="str">
            <v>R2</v>
          </cell>
          <cell r="E236" t="str">
            <v>ORD</v>
          </cell>
          <cell r="F236" t="str">
            <v>DN</v>
          </cell>
          <cell r="G236" t="str">
            <v>TC</v>
          </cell>
          <cell r="H236" t="str">
            <v>R</v>
          </cell>
        </row>
        <row r="237">
          <cell r="A237">
            <v>4124</v>
          </cell>
          <cell r="C237" t="str">
            <v>RAOUIA</v>
          </cell>
          <cell r="D237" t="str">
            <v>R2</v>
          </cell>
          <cell r="E237" t="str">
            <v>ORD</v>
          </cell>
          <cell r="F237" t="str">
            <v>DN</v>
          </cell>
          <cell r="G237" t="str">
            <v>TC</v>
          </cell>
          <cell r="H237" t="str">
            <v>R</v>
          </cell>
        </row>
        <row r="238">
          <cell r="A238">
            <v>3025</v>
          </cell>
          <cell r="B238">
            <v>2200000</v>
          </cell>
          <cell r="C238" t="str">
            <v>SAOUD</v>
          </cell>
          <cell r="D238" t="str">
            <v>R2</v>
          </cell>
          <cell r="E238" t="str">
            <v>ORD</v>
          </cell>
          <cell r="F238" t="str">
            <v>RN</v>
          </cell>
          <cell r="G238" t="str">
            <v>L</v>
          </cell>
          <cell r="H238" t="str">
            <v>R</v>
          </cell>
        </row>
        <row r="239">
          <cell r="A239">
            <v>4201</v>
          </cell>
          <cell r="B239">
            <v>26000</v>
          </cell>
          <cell r="C239" t="str">
            <v>RAOUIA</v>
          </cell>
          <cell r="D239" t="str">
            <v>R2</v>
          </cell>
          <cell r="E239" t="str">
            <v>ORD</v>
          </cell>
          <cell r="F239" t="str">
            <v>DN</v>
          </cell>
          <cell r="G239" t="str">
            <v>TC</v>
          </cell>
          <cell r="H239" t="str">
            <v>R</v>
          </cell>
        </row>
        <row r="240">
          <cell r="A240">
            <v>4201</v>
          </cell>
          <cell r="C240" t="str">
            <v>RAOUIA</v>
          </cell>
          <cell r="D240" t="str">
            <v>R2</v>
          </cell>
          <cell r="E240" t="str">
            <v>ORD</v>
          </cell>
          <cell r="F240" t="str">
            <v>DN</v>
          </cell>
          <cell r="G240" t="str">
            <v>TC</v>
          </cell>
          <cell r="H240" t="str">
            <v>R</v>
          </cell>
        </row>
        <row r="241">
          <cell r="A241">
            <v>4201</v>
          </cell>
          <cell r="C241" t="str">
            <v>RAOUIA</v>
          </cell>
          <cell r="D241" t="str">
            <v>R2</v>
          </cell>
          <cell r="E241" t="str">
            <v>ORD</v>
          </cell>
          <cell r="F241" t="str">
            <v>DN</v>
          </cell>
          <cell r="G241" t="str">
            <v>TC</v>
          </cell>
          <cell r="H241" t="str">
            <v>R</v>
          </cell>
        </row>
        <row r="242">
          <cell r="A242">
            <v>4201</v>
          </cell>
          <cell r="C242" t="str">
            <v>RAOUIA</v>
          </cell>
          <cell r="D242" t="str">
            <v>R2</v>
          </cell>
          <cell r="E242" t="str">
            <v>ORD</v>
          </cell>
          <cell r="F242" t="str">
            <v>DN</v>
          </cell>
          <cell r="G242" t="str">
            <v>TC</v>
          </cell>
          <cell r="H242" t="str">
            <v>R</v>
          </cell>
        </row>
        <row r="243">
          <cell r="A243">
            <v>3026</v>
          </cell>
          <cell r="B243">
            <v>2700000</v>
          </cell>
          <cell r="C243" t="str">
            <v>SAOUD</v>
          </cell>
          <cell r="D243" t="str">
            <v>R2</v>
          </cell>
          <cell r="E243" t="str">
            <v>ORD</v>
          </cell>
          <cell r="F243" t="str">
            <v>DN</v>
          </cell>
          <cell r="G243" t="str">
            <v>L</v>
          </cell>
          <cell r="H243" t="str">
            <v>R</v>
          </cell>
        </row>
        <row r="244">
          <cell r="A244">
            <v>3027</v>
          </cell>
          <cell r="B244">
            <v>1600000</v>
          </cell>
          <cell r="C244" t="str">
            <v>RAOUIA</v>
          </cell>
          <cell r="D244" t="str">
            <v>R2</v>
          </cell>
          <cell r="E244" t="str">
            <v>ORD</v>
          </cell>
          <cell r="F244" t="str">
            <v>DN</v>
          </cell>
          <cell r="G244" t="str">
            <v>TC</v>
          </cell>
          <cell r="H244" t="str">
            <v>R</v>
          </cell>
        </row>
        <row r="245">
          <cell r="A245">
            <v>3027</v>
          </cell>
          <cell r="C245" t="str">
            <v>RAOUIA</v>
          </cell>
          <cell r="D245" t="str">
            <v>R2</v>
          </cell>
          <cell r="E245" t="str">
            <v>ORD</v>
          </cell>
          <cell r="F245" t="str">
            <v>DN</v>
          </cell>
          <cell r="G245" t="str">
            <v>TC</v>
          </cell>
          <cell r="H245" t="str">
            <v>R</v>
          </cell>
        </row>
        <row r="246">
          <cell r="A246">
            <v>3030</v>
          </cell>
          <cell r="B246">
            <v>400000</v>
          </cell>
          <cell r="C246" t="str">
            <v>JERRAR</v>
          </cell>
          <cell r="D246" t="str">
            <v>R2</v>
          </cell>
          <cell r="E246" t="str">
            <v>ORD</v>
          </cell>
          <cell r="F246" t="str">
            <v>RN</v>
          </cell>
          <cell r="G246" t="str">
            <v>T</v>
          </cell>
          <cell r="H246" t="str">
            <v>R</v>
          </cell>
        </row>
        <row r="247">
          <cell r="A247">
            <v>3031</v>
          </cell>
          <cell r="B247">
            <v>100000</v>
          </cell>
          <cell r="C247" t="str">
            <v>JERRAR</v>
          </cell>
          <cell r="D247" t="str">
            <v>R2</v>
          </cell>
          <cell r="E247" t="str">
            <v>ORD</v>
          </cell>
          <cell r="F247" t="str">
            <v>RN</v>
          </cell>
          <cell r="G247" t="str">
            <v>T</v>
          </cell>
          <cell r="H247" t="str">
            <v>R</v>
          </cell>
        </row>
        <row r="248">
          <cell r="A248">
            <v>3032</v>
          </cell>
          <cell r="B248">
            <v>440000</v>
          </cell>
          <cell r="C248" t="str">
            <v>JERRAR</v>
          </cell>
          <cell r="D248" t="str">
            <v>R2</v>
          </cell>
          <cell r="E248" t="str">
            <v>ORD</v>
          </cell>
          <cell r="F248" t="str">
            <v>RN</v>
          </cell>
          <cell r="G248" t="str">
            <v>T</v>
          </cell>
          <cell r="H248" t="str">
            <v>R</v>
          </cell>
        </row>
        <row r="249">
          <cell r="A249">
            <v>3033</v>
          </cell>
          <cell r="B249">
            <v>8000</v>
          </cell>
          <cell r="C249" t="str">
            <v>RAOUIA</v>
          </cell>
          <cell r="D249" t="str">
            <v>R2</v>
          </cell>
          <cell r="E249" t="str">
            <v>ORD</v>
          </cell>
          <cell r="F249" t="str">
            <v>RN</v>
          </cell>
          <cell r="G249" t="str">
            <v>TC</v>
          </cell>
          <cell r="H249" t="str">
            <v>R</v>
          </cell>
        </row>
        <row r="250">
          <cell r="A250">
            <v>3038</v>
          </cell>
          <cell r="B250">
            <v>10000</v>
          </cell>
          <cell r="C250" t="str">
            <v>MOUMEN</v>
          </cell>
          <cell r="D250" t="str">
            <v>R6</v>
          </cell>
          <cell r="E250" t="str">
            <v>ADM</v>
          </cell>
          <cell r="F250" t="str">
            <v>DN</v>
          </cell>
          <cell r="G250" t="str">
            <v>TC</v>
          </cell>
          <cell r="H250" t="str">
            <v>R</v>
          </cell>
        </row>
        <row r="251">
          <cell r="A251">
            <v>3040</v>
          </cell>
          <cell r="B251">
            <v>5000</v>
          </cell>
          <cell r="C251" t="str">
            <v>MOUMEN</v>
          </cell>
          <cell r="D251" t="str">
            <v>R6</v>
          </cell>
          <cell r="E251" t="str">
            <v>ORD</v>
          </cell>
          <cell r="F251" t="str">
            <v>DN</v>
          </cell>
          <cell r="G251" t="str">
            <v>TC</v>
          </cell>
          <cell r="H251" t="str">
            <v>R</v>
          </cell>
        </row>
        <row r="252">
          <cell r="A252">
            <v>3041</v>
          </cell>
          <cell r="B252">
            <v>1500000</v>
          </cell>
          <cell r="C252" t="str">
            <v>JERRAR</v>
          </cell>
          <cell r="D252" t="str">
            <v>R2</v>
          </cell>
          <cell r="E252" t="str">
            <v>ORD</v>
          </cell>
          <cell r="F252" t="str">
            <v>DN</v>
          </cell>
          <cell r="G252" t="str">
            <v>T</v>
          </cell>
          <cell r="H252" t="str">
            <v>R</v>
          </cell>
        </row>
        <row r="253">
          <cell r="A253">
            <v>3043</v>
          </cell>
          <cell r="B253">
            <v>6000000</v>
          </cell>
          <cell r="C253" t="str">
            <v>EL KASSI</v>
          </cell>
          <cell r="D253" t="str">
            <v>R2</v>
          </cell>
          <cell r="E253" t="str">
            <v>ORD</v>
          </cell>
          <cell r="F253" t="str">
            <v>RN</v>
          </cell>
          <cell r="G253" t="str">
            <v>P</v>
          </cell>
          <cell r="H253" t="str">
            <v>R</v>
          </cell>
        </row>
        <row r="254">
          <cell r="A254">
            <v>3044</v>
          </cell>
          <cell r="B254">
            <v>8000000</v>
          </cell>
          <cell r="C254" t="str">
            <v>MAGHRAOUI</v>
          </cell>
          <cell r="D254" t="str">
            <v>R2</v>
          </cell>
          <cell r="E254" t="str">
            <v>ORD</v>
          </cell>
          <cell r="F254" t="str">
            <v>RN</v>
          </cell>
          <cell r="G254" t="str">
            <v>P</v>
          </cell>
          <cell r="H254" t="str">
            <v>R</v>
          </cell>
        </row>
        <row r="255">
          <cell r="A255">
            <v>3046</v>
          </cell>
          <cell r="B255">
            <v>10000000</v>
          </cell>
          <cell r="C255" t="str">
            <v>KHOUILI</v>
          </cell>
          <cell r="D255" t="str">
            <v>R2</v>
          </cell>
          <cell r="E255" t="str">
            <v>ORD</v>
          </cell>
          <cell r="F255" t="str">
            <v>RN</v>
          </cell>
          <cell r="G255" t="str">
            <v>P</v>
          </cell>
          <cell r="H255" t="str">
            <v>R</v>
          </cell>
        </row>
        <row r="256">
          <cell r="A256">
            <v>3047</v>
          </cell>
          <cell r="B256">
            <v>6400000</v>
          </cell>
          <cell r="C256" t="str">
            <v>KHOUILI</v>
          </cell>
          <cell r="D256" t="str">
            <v>R2</v>
          </cell>
          <cell r="E256" t="str">
            <v>ORD</v>
          </cell>
          <cell r="F256" t="str">
            <v>RN</v>
          </cell>
          <cell r="G256" t="str">
            <v>P</v>
          </cell>
          <cell r="H256" t="str">
            <v>R</v>
          </cell>
        </row>
        <row r="257">
          <cell r="A257">
            <v>3048</v>
          </cell>
          <cell r="B257">
            <v>800000</v>
          </cell>
          <cell r="C257" t="str">
            <v>KHOUILI</v>
          </cell>
          <cell r="D257" t="str">
            <v>R2</v>
          </cell>
          <cell r="E257" t="str">
            <v>ORD</v>
          </cell>
          <cell r="F257" t="str">
            <v>RN</v>
          </cell>
          <cell r="G257" t="str">
            <v>P</v>
          </cell>
          <cell r="H257" t="str">
            <v>R</v>
          </cell>
        </row>
        <row r="258">
          <cell r="A258">
            <v>3052</v>
          </cell>
          <cell r="B258">
            <v>900000</v>
          </cell>
          <cell r="C258" t="str">
            <v>KHOUILI</v>
          </cell>
          <cell r="D258" t="str">
            <v>R3</v>
          </cell>
          <cell r="E258" t="str">
            <v>ORD</v>
          </cell>
          <cell r="F258" t="str">
            <v>DN</v>
          </cell>
          <cell r="G258" t="str">
            <v>P</v>
          </cell>
          <cell r="H258" t="str">
            <v>R</v>
          </cell>
        </row>
        <row r="259">
          <cell r="A259">
            <v>3054</v>
          </cell>
          <cell r="B259">
            <v>400</v>
          </cell>
          <cell r="C259" t="str">
            <v>CHARKI</v>
          </cell>
          <cell r="D259" t="str">
            <v>R6</v>
          </cell>
          <cell r="E259" t="str">
            <v>ADM</v>
          </cell>
          <cell r="F259" t="str">
            <v>DN</v>
          </cell>
          <cell r="G259" t="str">
            <v>P</v>
          </cell>
          <cell r="H259" t="str">
            <v>R</v>
          </cell>
        </row>
        <row r="260">
          <cell r="A260">
            <v>3057</v>
          </cell>
          <cell r="B260">
            <v>3500000</v>
          </cell>
          <cell r="C260" t="str">
            <v>HALMI</v>
          </cell>
          <cell r="D260" t="str">
            <v>R3</v>
          </cell>
          <cell r="E260" t="str">
            <v>ORD</v>
          </cell>
          <cell r="F260" t="str">
            <v>DN</v>
          </cell>
          <cell r="G260" t="str">
            <v>P</v>
          </cell>
          <cell r="H260" t="str">
            <v>R</v>
          </cell>
        </row>
        <row r="261">
          <cell r="A261">
            <v>3058</v>
          </cell>
          <cell r="B261">
            <v>416000</v>
          </cell>
          <cell r="C261" t="str">
            <v>BOUTABBA</v>
          </cell>
          <cell r="D261" t="str">
            <v>R2</v>
          </cell>
          <cell r="E261" t="str">
            <v>ORD</v>
          </cell>
          <cell r="F261" t="str">
            <v>RN</v>
          </cell>
          <cell r="G261" t="str">
            <v>P</v>
          </cell>
          <cell r="H261" t="str">
            <v>R</v>
          </cell>
        </row>
        <row r="262">
          <cell r="A262">
            <v>3058</v>
          </cell>
          <cell r="C262" t="str">
            <v>BOUTABBA</v>
          </cell>
          <cell r="D262" t="str">
            <v>R2</v>
          </cell>
          <cell r="E262" t="str">
            <v>ORD</v>
          </cell>
          <cell r="F262" t="str">
            <v>RN</v>
          </cell>
          <cell r="G262" t="str">
            <v>P</v>
          </cell>
          <cell r="H262" t="str">
            <v>R</v>
          </cell>
        </row>
        <row r="263">
          <cell r="A263">
            <v>3058</v>
          </cell>
          <cell r="C263" t="str">
            <v>BOUTABBA</v>
          </cell>
          <cell r="D263" t="str">
            <v>R2</v>
          </cell>
          <cell r="E263" t="str">
            <v>ORD</v>
          </cell>
          <cell r="F263" t="str">
            <v>RN</v>
          </cell>
          <cell r="G263" t="str">
            <v>P</v>
          </cell>
          <cell r="H263" t="str">
            <v>R</v>
          </cell>
        </row>
        <row r="264">
          <cell r="A264">
            <v>3059</v>
          </cell>
          <cell r="B264">
            <v>4000</v>
          </cell>
          <cell r="C264" t="str">
            <v>MAHSOUN</v>
          </cell>
          <cell r="D264" t="str">
            <v>R6</v>
          </cell>
          <cell r="E264" t="str">
            <v>ADM</v>
          </cell>
          <cell r="F264" t="str">
            <v>RN</v>
          </cell>
          <cell r="G264" t="str">
            <v>P</v>
          </cell>
          <cell r="H264" t="str">
            <v>R</v>
          </cell>
        </row>
        <row r="265">
          <cell r="A265">
            <v>3060</v>
          </cell>
          <cell r="B265">
            <v>1100000</v>
          </cell>
          <cell r="C265" t="str">
            <v>HALMI</v>
          </cell>
          <cell r="D265" t="str">
            <v>R2</v>
          </cell>
          <cell r="E265" t="str">
            <v>ORD</v>
          </cell>
          <cell r="F265" t="str">
            <v>RN</v>
          </cell>
          <cell r="G265" t="str">
            <v>P</v>
          </cell>
          <cell r="H265" t="str">
            <v>R</v>
          </cell>
        </row>
        <row r="266">
          <cell r="A266">
            <v>3061</v>
          </cell>
          <cell r="B266">
            <v>360000</v>
          </cell>
          <cell r="C266" t="str">
            <v>BOUTABBA</v>
          </cell>
          <cell r="D266" t="str">
            <v>R3</v>
          </cell>
          <cell r="E266" t="str">
            <v>ORD</v>
          </cell>
          <cell r="F266" t="str">
            <v>DN</v>
          </cell>
          <cell r="G266" t="str">
            <v>P</v>
          </cell>
          <cell r="H266" t="str">
            <v>R</v>
          </cell>
        </row>
        <row r="267">
          <cell r="A267">
            <v>3062</v>
          </cell>
          <cell r="B267">
            <v>300000</v>
          </cell>
          <cell r="C267" t="str">
            <v>BOUTABBA</v>
          </cell>
          <cell r="D267" t="str">
            <v>R3</v>
          </cell>
          <cell r="E267" t="str">
            <v>ORD</v>
          </cell>
          <cell r="F267" t="str">
            <v>DN</v>
          </cell>
          <cell r="G267" t="str">
            <v>P</v>
          </cell>
          <cell r="H267" t="str">
            <v>R</v>
          </cell>
        </row>
        <row r="268">
          <cell r="A268">
            <v>3063</v>
          </cell>
          <cell r="B268">
            <v>2800000</v>
          </cell>
          <cell r="C268" t="str">
            <v>HALMI</v>
          </cell>
          <cell r="D268" t="str">
            <v>R3</v>
          </cell>
          <cell r="E268" t="str">
            <v>ORD</v>
          </cell>
          <cell r="F268" t="str">
            <v>DN</v>
          </cell>
          <cell r="G268" t="str">
            <v>P</v>
          </cell>
          <cell r="H268" t="str">
            <v>R</v>
          </cell>
        </row>
        <row r="269">
          <cell r="A269">
            <v>3064</v>
          </cell>
          <cell r="B269">
            <v>1305600</v>
          </cell>
          <cell r="C269" t="str">
            <v>BOUTABBA</v>
          </cell>
          <cell r="D269" t="str">
            <v>R3</v>
          </cell>
          <cell r="E269" t="str">
            <v>ORD</v>
          </cell>
          <cell r="F269" t="str">
            <v>DN</v>
          </cell>
          <cell r="G269" t="str">
            <v>P</v>
          </cell>
          <cell r="H269" t="str">
            <v>R</v>
          </cell>
        </row>
        <row r="270">
          <cell r="A270">
            <v>3064</v>
          </cell>
          <cell r="C270" t="str">
            <v>BOUTABBA</v>
          </cell>
          <cell r="D270" t="str">
            <v>R3</v>
          </cell>
          <cell r="E270" t="str">
            <v>ORD</v>
          </cell>
          <cell r="F270" t="str">
            <v>DN</v>
          </cell>
          <cell r="G270" t="str">
            <v>P</v>
          </cell>
          <cell r="H270" t="str">
            <v>R</v>
          </cell>
        </row>
        <row r="271">
          <cell r="A271">
            <v>3064</v>
          </cell>
          <cell r="C271" t="str">
            <v>BOUTABBA</v>
          </cell>
          <cell r="D271" t="str">
            <v>R3</v>
          </cell>
          <cell r="E271" t="str">
            <v>ORD</v>
          </cell>
          <cell r="F271" t="str">
            <v>DN</v>
          </cell>
          <cell r="G271" t="str">
            <v>P</v>
          </cell>
          <cell r="H271" t="str">
            <v>R</v>
          </cell>
        </row>
        <row r="272">
          <cell r="A272">
            <v>3065</v>
          </cell>
          <cell r="B272">
            <v>180000</v>
          </cell>
          <cell r="C272" t="str">
            <v>BOUTABBA</v>
          </cell>
          <cell r="D272" t="str">
            <v>R3</v>
          </cell>
          <cell r="E272" t="str">
            <v>ORD</v>
          </cell>
          <cell r="F272" t="str">
            <v>DN</v>
          </cell>
          <cell r="G272" t="str">
            <v>P</v>
          </cell>
          <cell r="H272" t="str">
            <v>R</v>
          </cell>
        </row>
        <row r="273">
          <cell r="A273">
            <v>3066</v>
          </cell>
          <cell r="B273">
            <v>700000</v>
          </cell>
          <cell r="C273" t="str">
            <v>KHOUILI</v>
          </cell>
          <cell r="D273" t="str">
            <v>R3</v>
          </cell>
          <cell r="E273" t="str">
            <v>ORD</v>
          </cell>
          <cell r="F273" t="str">
            <v>DN</v>
          </cell>
          <cell r="G273" t="str">
            <v>P</v>
          </cell>
          <cell r="H273" t="str">
            <v>R</v>
          </cell>
        </row>
        <row r="274">
          <cell r="A274">
            <v>3069</v>
          </cell>
          <cell r="B274">
            <v>100000</v>
          </cell>
          <cell r="C274" t="str">
            <v>DRIBA</v>
          </cell>
          <cell r="D274" t="str">
            <v>R2</v>
          </cell>
          <cell r="E274" t="str">
            <v>ORD</v>
          </cell>
          <cell r="F274" t="str">
            <v>RN</v>
          </cell>
          <cell r="G274" t="str">
            <v>P</v>
          </cell>
          <cell r="H274" t="str">
            <v>R</v>
          </cell>
        </row>
        <row r="275">
          <cell r="A275">
            <v>3070</v>
          </cell>
          <cell r="B275">
            <v>100000</v>
          </cell>
          <cell r="C275" t="str">
            <v>DRIBA</v>
          </cell>
          <cell r="D275" t="str">
            <v>R2</v>
          </cell>
          <cell r="E275" t="str">
            <v>ORD</v>
          </cell>
          <cell r="F275" t="str">
            <v>RN</v>
          </cell>
          <cell r="G275" t="str">
            <v>P</v>
          </cell>
          <cell r="H275" t="str">
            <v>R</v>
          </cell>
        </row>
        <row r="276">
          <cell r="A276">
            <v>3072</v>
          </cell>
          <cell r="B276">
            <v>1010000</v>
          </cell>
          <cell r="C276" t="str">
            <v>HALMI</v>
          </cell>
          <cell r="D276" t="str">
            <v>R3</v>
          </cell>
          <cell r="E276" t="str">
            <v>ORD</v>
          </cell>
          <cell r="F276" t="str">
            <v>DN</v>
          </cell>
          <cell r="G276" t="str">
            <v>P</v>
          </cell>
          <cell r="H276" t="str">
            <v>R</v>
          </cell>
        </row>
        <row r="277">
          <cell r="A277">
            <v>3072</v>
          </cell>
          <cell r="C277" t="str">
            <v>HALMI</v>
          </cell>
          <cell r="D277" t="str">
            <v>R3</v>
          </cell>
          <cell r="E277" t="str">
            <v>ORD</v>
          </cell>
          <cell r="F277" t="str">
            <v>DN</v>
          </cell>
          <cell r="G277" t="str">
            <v>P</v>
          </cell>
          <cell r="H277" t="str">
            <v>R</v>
          </cell>
        </row>
        <row r="278">
          <cell r="A278">
            <v>3072</v>
          </cell>
          <cell r="C278" t="str">
            <v>KARROUACHE</v>
          </cell>
          <cell r="D278" t="str">
            <v>R3</v>
          </cell>
          <cell r="E278" t="str">
            <v>ORD</v>
          </cell>
          <cell r="F278" t="str">
            <v>DN</v>
          </cell>
          <cell r="G278" t="str">
            <v>P</v>
          </cell>
          <cell r="H278" t="str">
            <v>R</v>
          </cell>
        </row>
        <row r="279">
          <cell r="A279">
            <v>3073</v>
          </cell>
          <cell r="B279">
            <v>650000</v>
          </cell>
          <cell r="C279" t="str">
            <v>EL BOUCHRIFI</v>
          </cell>
          <cell r="D279" t="str">
            <v>R3</v>
          </cell>
          <cell r="E279" t="str">
            <v>ORD</v>
          </cell>
          <cell r="F279" t="str">
            <v>DN</v>
          </cell>
          <cell r="G279" t="str">
            <v>P</v>
          </cell>
          <cell r="H279" t="str">
            <v>R</v>
          </cell>
        </row>
        <row r="280">
          <cell r="A280">
            <v>3073</v>
          </cell>
          <cell r="C280" t="str">
            <v>EL BOUCHRIFI</v>
          </cell>
          <cell r="D280" t="str">
            <v>R3</v>
          </cell>
          <cell r="E280" t="str">
            <v>ORD</v>
          </cell>
          <cell r="F280" t="str">
            <v>DN</v>
          </cell>
          <cell r="G280" t="str">
            <v>P</v>
          </cell>
          <cell r="H280" t="str">
            <v>R</v>
          </cell>
        </row>
        <row r="281">
          <cell r="A281">
            <v>3075</v>
          </cell>
          <cell r="B281">
            <v>300000</v>
          </cell>
          <cell r="C281" t="str">
            <v>ELBOUCHRIFI</v>
          </cell>
          <cell r="D281" t="str">
            <v>R3</v>
          </cell>
          <cell r="E281" t="str">
            <v>ORD</v>
          </cell>
          <cell r="F281" t="str">
            <v>DN</v>
          </cell>
          <cell r="G281" t="str">
            <v>P</v>
          </cell>
          <cell r="H281" t="str">
            <v>R</v>
          </cell>
        </row>
        <row r="282">
          <cell r="A282">
            <v>3076</v>
          </cell>
          <cell r="B282">
            <v>100000</v>
          </cell>
          <cell r="C282" t="str">
            <v>HASSAR</v>
          </cell>
          <cell r="D282" t="str">
            <v>R3</v>
          </cell>
          <cell r="E282" t="str">
            <v>ORD</v>
          </cell>
          <cell r="F282" t="str">
            <v>DN</v>
          </cell>
          <cell r="G282" t="str">
            <v>P</v>
          </cell>
          <cell r="H282" t="str">
            <v>R</v>
          </cell>
        </row>
        <row r="283">
          <cell r="A283">
            <v>3077</v>
          </cell>
          <cell r="B283">
            <v>100000</v>
          </cell>
          <cell r="C283" t="str">
            <v>MAHSOUN</v>
          </cell>
          <cell r="D283" t="str">
            <v>R3</v>
          </cell>
          <cell r="E283" t="str">
            <v>ORD</v>
          </cell>
          <cell r="F283" t="str">
            <v>DN</v>
          </cell>
          <cell r="G283" t="str">
            <v>P</v>
          </cell>
          <cell r="H283" t="str">
            <v>R</v>
          </cell>
        </row>
        <row r="284">
          <cell r="A284">
            <v>3078</v>
          </cell>
          <cell r="B284">
            <v>8000</v>
          </cell>
          <cell r="C284" t="str">
            <v>BOUZEKKOURA</v>
          </cell>
          <cell r="D284" t="str">
            <v>R3</v>
          </cell>
          <cell r="E284" t="str">
            <v>ORD</v>
          </cell>
          <cell r="F284" t="str">
            <v>DN</v>
          </cell>
          <cell r="G284" t="str">
            <v>P</v>
          </cell>
          <cell r="H284" t="str">
            <v>R</v>
          </cell>
        </row>
        <row r="285">
          <cell r="A285">
            <v>3078</v>
          </cell>
          <cell r="B285">
            <v>8000</v>
          </cell>
          <cell r="C285" t="str">
            <v>BOUZEKKOURA</v>
          </cell>
          <cell r="D285" t="str">
            <v>R3</v>
          </cell>
          <cell r="E285" t="str">
            <v>ORD</v>
          </cell>
          <cell r="F285" t="str">
            <v>DN</v>
          </cell>
          <cell r="G285" t="str">
            <v>P</v>
          </cell>
          <cell r="H285" t="str">
            <v>R</v>
          </cell>
        </row>
        <row r="286">
          <cell r="A286">
            <v>3079</v>
          </cell>
          <cell r="B286">
            <v>78000</v>
          </cell>
          <cell r="C286" t="str">
            <v>HASSAR</v>
          </cell>
          <cell r="D286" t="str">
            <v>R3</v>
          </cell>
          <cell r="E286" t="str">
            <v>ORD</v>
          </cell>
          <cell r="F286" t="str">
            <v>DN</v>
          </cell>
          <cell r="G286" t="str">
            <v>P</v>
          </cell>
          <cell r="H286" t="str">
            <v>R</v>
          </cell>
        </row>
        <row r="287">
          <cell r="A287">
            <v>3079</v>
          </cell>
          <cell r="C287" t="str">
            <v>HASSAR</v>
          </cell>
          <cell r="D287" t="str">
            <v>R3</v>
          </cell>
          <cell r="E287" t="str">
            <v>ORD</v>
          </cell>
          <cell r="F287" t="str">
            <v>DN</v>
          </cell>
          <cell r="G287" t="str">
            <v>P</v>
          </cell>
          <cell r="H287" t="str">
            <v>R</v>
          </cell>
        </row>
        <row r="288">
          <cell r="A288">
            <v>3079</v>
          </cell>
          <cell r="C288" t="str">
            <v>HASSAR</v>
          </cell>
          <cell r="D288" t="str">
            <v>R3</v>
          </cell>
          <cell r="E288" t="str">
            <v>ORD</v>
          </cell>
          <cell r="F288" t="str">
            <v>DN</v>
          </cell>
          <cell r="G288" t="str">
            <v>P</v>
          </cell>
          <cell r="H288" t="str">
            <v>R</v>
          </cell>
        </row>
        <row r="289">
          <cell r="A289">
            <v>3079</v>
          </cell>
          <cell r="C289" t="str">
            <v>HASSAR</v>
          </cell>
          <cell r="D289" t="str">
            <v>R3</v>
          </cell>
          <cell r="E289" t="str">
            <v>ORD</v>
          </cell>
          <cell r="F289" t="str">
            <v>DN</v>
          </cell>
          <cell r="G289" t="str">
            <v>P</v>
          </cell>
          <cell r="H289" t="str">
            <v>R</v>
          </cell>
        </row>
        <row r="290">
          <cell r="A290">
            <v>3079</v>
          </cell>
          <cell r="C290" t="str">
            <v>HASSAR</v>
          </cell>
          <cell r="D290" t="str">
            <v>R3</v>
          </cell>
          <cell r="E290" t="str">
            <v>ORD</v>
          </cell>
          <cell r="F290" t="str">
            <v>DN</v>
          </cell>
          <cell r="G290" t="str">
            <v>P</v>
          </cell>
          <cell r="H290" t="str">
            <v>R</v>
          </cell>
        </row>
        <row r="291">
          <cell r="A291">
            <v>3079</v>
          </cell>
          <cell r="C291" t="str">
            <v>HASSAR</v>
          </cell>
          <cell r="D291" t="str">
            <v>R3</v>
          </cell>
          <cell r="E291" t="str">
            <v>ORD</v>
          </cell>
          <cell r="F291" t="str">
            <v>DN</v>
          </cell>
          <cell r="G291" t="str">
            <v>P</v>
          </cell>
          <cell r="H291" t="str">
            <v>R</v>
          </cell>
        </row>
        <row r="292">
          <cell r="A292">
            <v>3080</v>
          </cell>
          <cell r="B292">
            <v>160000</v>
          </cell>
          <cell r="C292" t="str">
            <v>SABRI</v>
          </cell>
          <cell r="D292" t="str">
            <v>R3</v>
          </cell>
          <cell r="E292" t="str">
            <v>ORD</v>
          </cell>
          <cell r="F292" t="str">
            <v>DN</v>
          </cell>
          <cell r="G292" t="str">
            <v>P</v>
          </cell>
          <cell r="H292" t="str">
            <v>R</v>
          </cell>
        </row>
        <row r="293">
          <cell r="A293">
            <v>3080</v>
          </cell>
          <cell r="C293" t="str">
            <v>SABRI</v>
          </cell>
          <cell r="D293" t="str">
            <v>R3</v>
          </cell>
          <cell r="E293" t="str">
            <v>ORD</v>
          </cell>
          <cell r="F293" t="str">
            <v>DN</v>
          </cell>
          <cell r="G293" t="str">
            <v>P</v>
          </cell>
          <cell r="H293" t="str">
            <v>R</v>
          </cell>
        </row>
        <row r="294">
          <cell r="A294">
            <v>3080</v>
          </cell>
          <cell r="C294" t="str">
            <v>SABRI</v>
          </cell>
          <cell r="D294" t="str">
            <v>R3</v>
          </cell>
          <cell r="E294" t="str">
            <v>ORD</v>
          </cell>
          <cell r="F294" t="str">
            <v>DN</v>
          </cell>
          <cell r="G294" t="str">
            <v>P</v>
          </cell>
          <cell r="H294" t="str">
            <v>R</v>
          </cell>
        </row>
        <row r="295">
          <cell r="A295">
            <v>3080</v>
          </cell>
          <cell r="C295" t="str">
            <v>SABRI</v>
          </cell>
          <cell r="D295" t="str">
            <v>R3</v>
          </cell>
          <cell r="E295" t="str">
            <v>ORD</v>
          </cell>
          <cell r="F295" t="str">
            <v>DN</v>
          </cell>
          <cell r="G295" t="str">
            <v>P</v>
          </cell>
          <cell r="H295" t="str">
            <v>R</v>
          </cell>
        </row>
        <row r="296">
          <cell r="A296">
            <v>3080</v>
          </cell>
          <cell r="C296" t="str">
            <v>SABRI</v>
          </cell>
          <cell r="D296" t="str">
            <v>R3</v>
          </cell>
          <cell r="E296" t="str">
            <v>ORD</v>
          </cell>
          <cell r="F296" t="str">
            <v>DN</v>
          </cell>
          <cell r="G296" t="str">
            <v>P</v>
          </cell>
          <cell r="H296" t="str">
            <v>R</v>
          </cell>
        </row>
        <row r="297">
          <cell r="A297">
            <v>3080</v>
          </cell>
          <cell r="C297" t="str">
            <v>SABRI</v>
          </cell>
          <cell r="D297" t="str">
            <v>R3</v>
          </cell>
          <cell r="E297" t="str">
            <v>ORD</v>
          </cell>
          <cell r="F297" t="str">
            <v>DN</v>
          </cell>
          <cell r="G297" t="str">
            <v>P</v>
          </cell>
          <cell r="H297" t="str">
            <v>R</v>
          </cell>
        </row>
        <row r="298">
          <cell r="A298">
            <v>3080</v>
          </cell>
          <cell r="C298" t="str">
            <v>SABRI</v>
          </cell>
          <cell r="D298" t="str">
            <v>R3</v>
          </cell>
          <cell r="E298" t="str">
            <v>ORD</v>
          </cell>
          <cell r="F298" t="str">
            <v>DN</v>
          </cell>
          <cell r="G298" t="str">
            <v>P</v>
          </cell>
          <cell r="H298" t="str">
            <v>R</v>
          </cell>
        </row>
        <row r="299">
          <cell r="A299">
            <v>3080</v>
          </cell>
          <cell r="C299" t="str">
            <v>SABRI</v>
          </cell>
          <cell r="D299" t="str">
            <v>R3</v>
          </cell>
          <cell r="E299" t="str">
            <v>ORD</v>
          </cell>
          <cell r="F299" t="str">
            <v>DN</v>
          </cell>
          <cell r="G299" t="str">
            <v>P</v>
          </cell>
          <cell r="H299" t="str">
            <v>R</v>
          </cell>
        </row>
        <row r="300">
          <cell r="A300">
            <v>3080</v>
          </cell>
          <cell r="C300" t="str">
            <v>SABRI</v>
          </cell>
          <cell r="D300" t="str">
            <v>R3</v>
          </cell>
          <cell r="E300" t="str">
            <v>ORD</v>
          </cell>
          <cell r="F300" t="str">
            <v>DN</v>
          </cell>
          <cell r="G300" t="str">
            <v>P</v>
          </cell>
          <cell r="H300" t="str">
            <v>R</v>
          </cell>
        </row>
        <row r="301">
          <cell r="A301">
            <v>3080</v>
          </cell>
          <cell r="C301" t="str">
            <v>SABRI</v>
          </cell>
          <cell r="D301" t="str">
            <v>R3</v>
          </cell>
          <cell r="E301" t="str">
            <v>ORD</v>
          </cell>
          <cell r="F301" t="str">
            <v>DN</v>
          </cell>
          <cell r="G301" t="str">
            <v>P</v>
          </cell>
          <cell r="H301" t="str">
            <v>R</v>
          </cell>
        </row>
        <row r="302">
          <cell r="A302">
            <v>3081</v>
          </cell>
          <cell r="B302">
            <v>100000</v>
          </cell>
          <cell r="C302" t="str">
            <v>HASSAR</v>
          </cell>
          <cell r="D302" t="str">
            <v>R3</v>
          </cell>
          <cell r="E302" t="str">
            <v>ORD</v>
          </cell>
          <cell r="F302" t="str">
            <v>DN</v>
          </cell>
          <cell r="G302" t="str">
            <v>P</v>
          </cell>
          <cell r="H302" t="str">
            <v>R</v>
          </cell>
        </row>
        <row r="303">
          <cell r="A303">
            <v>3082</v>
          </cell>
          <cell r="B303">
            <v>7700</v>
          </cell>
          <cell r="C303" t="str">
            <v>CHARKI</v>
          </cell>
          <cell r="D303" t="str">
            <v>R6</v>
          </cell>
          <cell r="E303" t="str">
            <v>ADM</v>
          </cell>
          <cell r="F303" t="str">
            <v>DN</v>
          </cell>
          <cell r="G303" t="str">
            <v>P</v>
          </cell>
          <cell r="H303" t="str">
            <v>R</v>
          </cell>
        </row>
        <row r="304">
          <cell r="A304">
            <v>3082</v>
          </cell>
          <cell r="C304" t="str">
            <v>CHARKI</v>
          </cell>
          <cell r="D304" t="str">
            <v>R6</v>
          </cell>
          <cell r="E304" t="str">
            <v>ADM</v>
          </cell>
          <cell r="F304" t="str">
            <v>DN</v>
          </cell>
          <cell r="G304" t="str">
            <v>P</v>
          </cell>
          <cell r="H304" t="str">
            <v>R</v>
          </cell>
        </row>
        <row r="305">
          <cell r="A305">
            <v>3083</v>
          </cell>
          <cell r="B305">
            <v>633000</v>
          </cell>
          <cell r="C305" t="str">
            <v>SABRI</v>
          </cell>
          <cell r="D305" t="str">
            <v>R3</v>
          </cell>
          <cell r="E305" t="str">
            <v>ORD</v>
          </cell>
          <cell r="F305" t="str">
            <v>DN</v>
          </cell>
          <cell r="G305" t="str">
            <v>P</v>
          </cell>
          <cell r="H305" t="str">
            <v>R</v>
          </cell>
        </row>
        <row r="306">
          <cell r="A306">
            <v>3084</v>
          </cell>
          <cell r="B306">
            <v>29000</v>
          </cell>
          <cell r="C306" t="str">
            <v>CHARKI</v>
          </cell>
          <cell r="D306" t="str">
            <v>R6</v>
          </cell>
          <cell r="E306" t="str">
            <v>ADM</v>
          </cell>
          <cell r="F306" t="str">
            <v>DN</v>
          </cell>
          <cell r="G306" t="str">
            <v>P</v>
          </cell>
          <cell r="H306" t="str">
            <v>R</v>
          </cell>
        </row>
        <row r="307">
          <cell r="A307">
            <v>3084</v>
          </cell>
          <cell r="C307" t="str">
            <v>CHARKI</v>
          </cell>
          <cell r="D307" t="str">
            <v>R6</v>
          </cell>
          <cell r="E307" t="str">
            <v>ADM</v>
          </cell>
          <cell r="F307" t="str">
            <v>DN</v>
          </cell>
          <cell r="G307" t="str">
            <v>P</v>
          </cell>
          <cell r="H307" t="str">
            <v>R</v>
          </cell>
        </row>
        <row r="308">
          <cell r="A308">
            <v>3085</v>
          </cell>
          <cell r="B308">
            <v>300000</v>
          </cell>
          <cell r="C308" t="str">
            <v>HALMI</v>
          </cell>
          <cell r="D308" t="str">
            <v>R3</v>
          </cell>
          <cell r="E308" t="str">
            <v>ORD</v>
          </cell>
          <cell r="F308" t="str">
            <v>DN</v>
          </cell>
          <cell r="G308" t="str">
            <v>P</v>
          </cell>
          <cell r="H308" t="str">
            <v>R</v>
          </cell>
        </row>
        <row r="309">
          <cell r="A309">
            <v>3086</v>
          </cell>
          <cell r="B309">
            <v>0</v>
          </cell>
          <cell r="C309" t="str">
            <v>EL KASSI</v>
          </cell>
          <cell r="D309" t="str">
            <v>R3</v>
          </cell>
          <cell r="E309" t="str">
            <v>ORD</v>
          </cell>
          <cell r="F309" t="str">
            <v>DN</v>
          </cell>
          <cell r="G309" t="str">
            <v>P</v>
          </cell>
          <cell r="H309" t="str">
            <v>R</v>
          </cell>
        </row>
        <row r="310">
          <cell r="A310">
            <v>3089</v>
          </cell>
          <cell r="B310">
            <v>406000</v>
          </cell>
          <cell r="C310" t="str">
            <v>EL BOUCHRIFI</v>
          </cell>
          <cell r="D310" t="str">
            <v>R6</v>
          </cell>
          <cell r="E310" t="str">
            <v>ADM</v>
          </cell>
          <cell r="F310" t="str">
            <v>DN</v>
          </cell>
          <cell r="G310" t="str">
            <v>P</v>
          </cell>
          <cell r="H310" t="str">
            <v>R</v>
          </cell>
        </row>
        <row r="311">
          <cell r="A311">
            <v>3091</v>
          </cell>
          <cell r="B311">
            <v>69000</v>
          </cell>
          <cell r="C311" t="str">
            <v>CHARKI</v>
          </cell>
          <cell r="D311" t="str">
            <v>R6</v>
          </cell>
          <cell r="E311" t="str">
            <v>ADM</v>
          </cell>
          <cell r="F311" t="str">
            <v>DN</v>
          </cell>
          <cell r="G311" t="str">
            <v>P</v>
          </cell>
          <cell r="H311" t="str">
            <v>R</v>
          </cell>
        </row>
        <row r="312">
          <cell r="A312">
            <v>3091</v>
          </cell>
          <cell r="C312" t="str">
            <v>CHARKI</v>
          </cell>
          <cell r="D312" t="str">
            <v>R6</v>
          </cell>
          <cell r="E312" t="str">
            <v>ADM</v>
          </cell>
          <cell r="F312" t="str">
            <v>DN</v>
          </cell>
          <cell r="G312" t="str">
            <v>P</v>
          </cell>
          <cell r="H312" t="str">
            <v>R</v>
          </cell>
        </row>
        <row r="313">
          <cell r="A313">
            <v>3091</v>
          </cell>
          <cell r="C313" t="str">
            <v>CHARKI</v>
          </cell>
          <cell r="D313" t="str">
            <v>R6</v>
          </cell>
          <cell r="E313" t="str">
            <v>ADM</v>
          </cell>
          <cell r="F313" t="str">
            <v>DN</v>
          </cell>
          <cell r="G313" t="str">
            <v>P</v>
          </cell>
          <cell r="H313" t="str">
            <v>R</v>
          </cell>
        </row>
        <row r="314">
          <cell r="A314">
            <v>3091</v>
          </cell>
          <cell r="C314" t="str">
            <v>CHARKI</v>
          </cell>
          <cell r="D314" t="str">
            <v>R6</v>
          </cell>
          <cell r="E314" t="str">
            <v>ADM</v>
          </cell>
          <cell r="F314" t="str">
            <v>DN</v>
          </cell>
          <cell r="G314" t="str">
            <v>P</v>
          </cell>
          <cell r="H314" t="str">
            <v>R</v>
          </cell>
        </row>
        <row r="315">
          <cell r="A315">
            <v>3091</v>
          </cell>
          <cell r="C315" t="str">
            <v>CHARKI</v>
          </cell>
          <cell r="D315" t="str">
            <v>R6</v>
          </cell>
          <cell r="E315" t="str">
            <v>ADM</v>
          </cell>
          <cell r="F315" t="str">
            <v>DN</v>
          </cell>
          <cell r="G315" t="str">
            <v>P</v>
          </cell>
          <cell r="H315" t="str">
            <v>R</v>
          </cell>
        </row>
        <row r="316">
          <cell r="A316">
            <v>3092</v>
          </cell>
          <cell r="B316">
            <v>1100000</v>
          </cell>
          <cell r="C316" t="str">
            <v>ZNAIDI</v>
          </cell>
          <cell r="D316" t="str">
            <v>R2</v>
          </cell>
          <cell r="E316" t="str">
            <v>ORD</v>
          </cell>
          <cell r="F316" t="str">
            <v>RN</v>
          </cell>
          <cell r="G316" t="str">
            <v>T</v>
          </cell>
          <cell r="H316" t="str">
            <v>R</v>
          </cell>
        </row>
        <row r="317">
          <cell r="A317">
            <v>3093</v>
          </cell>
          <cell r="B317">
            <v>1000</v>
          </cell>
          <cell r="C317" t="str">
            <v>CHARKI</v>
          </cell>
          <cell r="D317" t="str">
            <v>R6</v>
          </cell>
          <cell r="E317" t="str">
            <v>ADM</v>
          </cell>
          <cell r="F317" t="str">
            <v>RN</v>
          </cell>
          <cell r="G317" t="str">
            <v>P</v>
          </cell>
          <cell r="H317" t="str">
            <v>R</v>
          </cell>
        </row>
        <row r="318">
          <cell r="A318">
            <v>3095</v>
          </cell>
          <cell r="B318">
            <v>980000</v>
          </cell>
          <cell r="C318" t="str">
            <v>SAOUD</v>
          </cell>
          <cell r="D318" t="str">
            <v>R2</v>
          </cell>
          <cell r="E318" t="str">
            <v>ORD</v>
          </cell>
          <cell r="F318" t="str">
            <v>RN</v>
          </cell>
          <cell r="G318" t="str">
            <v>L</v>
          </cell>
          <cell r="H318" t="str">
            <v>R</v>
          </cell>
        </row>
        <row r="319">
          <cell r="A319">
            <v>3096</v>
          </cell>
          <cell r="B319">
            <v>300000</v>
          </cell>
          <cell r="C319" t="str">
            <v>MEFTAH</v>
          </cell>
          <cell r="D319" t="str">
            <v>R3</v>
          </cell>
          <cell r="E319" t="str">
            <v>ORD</v>
          </cell>
          <cell r="F319" t="str">
            <v>DN</v>
          </cell>
          <cell r="G319" t="str">
            <v>P</v>
          </cell>
          <cell r="H319" t="str">
            <v>R</v>
          </cell>
        </row>
        <row r="320">
          <cell r="A320">
            <v>3100</v>
          </cell>
          <cell r="B320">
            <v>5000</v>
          </cell>
          <cell r="C320" t="str">
            <v>CHARKI</v>
          </cell>
          <cell r="D320" t="str">
            <v>R6</v>
          </cell>
          <cell r="E320" t="str">
            <v>ADM</v>
          </cell>
          <cell r="F320" t="str">
            <v>RN</v>
          </cell>
          <cell r="G320" t="str">
            <v>P</v>
          </cell>
          <cell r="H320" t="str">
            <v>R</v>
          </cell>
        </row>
        <row r="321">
          <cell r="A321">
            <v>3101</v>
          </cell>
          <cell r="B321">
            <v>240000</v>
          </cell>
          <cell r="C321" t="str">
            <v>CHARKI</v>
          </cell>
          <cell r="D321" t="str">
            <v>R6</v>
          </cell>
          <cell r="E321" t="str">
            <v>ADM</v>
          </cell>
          <cell r="F321" t="str">
            <v>RN</v>
          </cell>
          <cell r="G321" t="str">
            <v>P</v>
          </cell>
          <cell r="H321" t="str">
            <v>R</v>
          </cell>
        </row>
        <row r="322">
          <cell r="A322">
            <v>3104</v>
          </cell>
          <cell r="B322">
            <v>480000</v>
          </cell>
          <cell r="C322" t="str">
            <v>BENZAKI</v>
          </cell>
          <cell r="D322" t="str">
            <v>R2</v>
          </cell>
          <cell r="E322" t="str">
            <v>ORD</v>
          </cell>
          <cell r="F322" t="str">
            <v>DN</v>
          </cell>
          <cell r="G322" t="str">
            <v>L</v>
          </cell>
          <cell r="H322" t="str">
            <v>R</v>
          </cell>
        </row>
        <row r="323">
          <cell r="A323">
            <v>3105</v>
          </cell>
          <cell r="B323">
            <v>480000</v>
          </cell>
          <cell r="C323" t="str">
            <v>BENZAKI</v>
          </cell>
          <cell r="D323" t="str">
            <v>R2</v>
          </cell>
          <cell r="E323" t="str">
            <v>ORD</v>
          </cell>
          <cell r="F323" t="str">
            <v>DN</v>
          </cell>
          <cell r="G323" t="str">
            <v>L</v>
          </cell>
          <cell r="H323" t="str">
            <v>R</v>
          </cell>
        </row>
        <row r="324">
          <cell r="A324">
            <v>3106</v>
          </cell>
          <cell r="B324">
            <v>450000</v>
          </cell>
          <cell r="C324" t="str">
            <v>KHOUILI</v>
          </cell>
          <cell r="D324" t="str">
            <v>R3</v>
          </cell>
          <cell r="E324" t="str">
            <v>ORD</v>
          </cell>
          <cell r="F324" t="str">
            <v>DN</v>
          </cell>
          <cell r="G324" t="str">
            <v>P</v>
          </cell>
          <cell r="H324" t="str">
            <v>R</v>
          </cell>
        </row>
        <row r="325">
          <cell r="A325">
            <v>3108</v>
          </cell>
          <cell r="B325">
            <v>80000</v>
          </cell>
          <cell r="C325" t="str">
            <v>SAOUD</v>
          </cell>
          <cell r="D325" t="str">
            <v>R6</v>
          </cell>
          <cell r="E325" t="str">
            <v>ADM</v>
          </cell>
          <cell r="F325" t="str">
            <v>DN</v>
          </cell>
          <cell r="G325" t="str">
            <v>L</v>
          </cell>
          <cell r="H325" t="str">
            <v>R</v>
          </cell>
        </row>
        <row r="326">
          <cell r="A326">
            <v>3109</v>
          </cell>
          <cell r="B326">
            <v>490000</v>
          </cell>
          <cell r="C326" t="str">
            <v>OUAMALICH</v>
          </cell>
          <cell r="D326" t="str">
            <v>R6</v>
          </cell>
          <cell r="E326" t="str">
            <v>ADM</v>
          </cell>
          <cell r="F326" t="str">
            <v>DN</v>
          </cell>
          <cell r="G326" t="str">
            <v>T</v>
          </cell>
          <cell r="H326" t="str">
            <v>R</v>
          </cell>
        </row>
        <row r="327">
          <cell r="A327">
            <v>3110</v>
          </cell>
          <cell r="B327">
            <v>420000</v>
          </cell>
          <cell r="C327" t="str">
            <v>MANSOURI</v>
          </cell>
          <cell r="D327" t="str">
            <v>R3</v>
          </cell>
          <cell r="E327" t="str">
            <v>ORD</v>
          </cell>
          <cell r="F327" t="str">
            <v>DN</v>
          </cell>
          <cell r="G327" t="str">
            <v>T</v>
          </cell>
          <cell r="H327" t="str">
            <v>R</v>
          </cell>
        </row>
        <row r="328">
          <cell r="A328">
            <v>3112</v>
          </cell>
          <cell r="B328">
            <v>45000</v>
          </cell>
          <cell r="C328" t="str">
            <v>MAHSOUN</v>
          </cell>
          <cell r="D328" t="str">
            <v>R2</v>
          </cell>
          <cell r="E328" t="str">
            <v>ORD</v>
          </cell>
          <cell r="F328" t="str">
            <v>RN</v>
          </cell>
          <cell r="G328" t="str">
            <v>P</v>
          </cell>
          <cell r="H328" t="str">
            <v>R</v>
          </cell>
        </row>
        <row r="329">
          <cell r="A329">
            <v>3113</v>
          </cell>
          <cell r="B329">
            <v>15000</v>
          </cell>
          <cell r="C329" t="str">
            <v>MAHSOUN</v>
          </cell>
          <cell r="D329" t="str">
            <v>R3</v>
          </cell>
          <cell r="E329" t="str">
            <v>ORD</v>
          </cell>
          <cell r="F329" t="str">
            <v>DN</v>
          </cell>
          <cell r="G329" t="str">
            <v>P</v>
          </cell>
          <cell r="H329" t="str">
            <v>R</v>
          </cell>
        </row>
        <row r="330">
          <cell r="A330">
            <v>3114</v>
          </cell>
          <cell r="B330">
            <v>52000</v>
          </cell>
          <cell r="C330" t="str">
            <v>ZNAIDI</v>
          </cell>
          <cell r="D330" t="str">
            <v>R7</v>
          </cell>
          <cell r="E330" t="str">
            <v>ORD</v>
          </cell>
          <cell r="F330" t="str">
            <v>DN</v>
          </cell>
          <cell r="G330" t="str">
            <v>T</v>
          </cell>
          <cell r="H330" t="str">
            <v>R</v>
          </cell>
        </row>
        <row r="331">
          <cell r="A331">
            <v>3116</v>
          </cell>
          <cell r="B331">
            <v>180000</v>
          </cell>
          <cell r="C331" t="str">
            <v>ZNAIDI</v>
          </cell>
          <cell r="D331" t="str">
            <v>R3</v>
          </cell>
          <cell r="E331" t="str">
            <v>ORD</v>
          </cell>
          <cell r="F331" t="str">
            <v>DN</v>
          </cell>
          <cell r="G331" t="str">
            <v>T</v>
          </cell>
          <cell r="H331" t="str">
            <v>R</v>
          </cell>
        </row>
        <row r="332">
          <cell r="A332">
            <v>3117</v>
          </cell>
          <cell r="B332">
            <v>40000</v>
          </cell>
          <cell r="C332" t="str">
            <v>ZNAIDI</v>
          </cell>
          <cell r="D332" t="str">
            <v>R7</v>
          </cell>
          <cell r="E332" t="str">
            <v>ORD</v>
          </cell>
          <cell r="F332" t="str">
            <v>DN</v>
          </cell>
          <cell r="G332" t="str">
            <v>T</v>
          </cell>
          <cell r="H332" t="str">
            <v>R</v>
          </cell>
        </row>
        <row r="333">
          <cell r="A333">
            <v>3118</v>
          </cell>
          <cell r="B333">
            <v>410000</v>
          </cell>
          <cell r="C333" t="str">
            <v>KARMOUNI</v>
          </cell>
          <cell r="D333" t="str">
            <v>R6</v>
          </cell>
          <cell r="E333" t="str">
            <v>ADM</v>
          </cell>
          <cell r="F333" t="str">
            <v>RN</v>
          </cell>
          <cell r="G333" t="str">
            <v>T</v>
          </cell>
          <cell r="H333" t="str">
            <v>R</v>
          </cell>
        </row>
        <row r="334">
          <cell r="A334">
            <v>3119</v>
          </cell>
          <cell r="B334">
            <v>3500000</v>
          </cell>
          <cell r="C334" t="str">
            <v>CHNANI</v>
          </cell>
          <cell r="D334" t="str">
            <v>R2</v>
          </cell>
          <cell r="E334" t="str">
            <v>ORD</v>
          </cell>
          <cell r="F334" t="str">
            <v>RN</v>
          </cell>
          <cell r="G334" t="str">
            <v>T</v>
          </cell>
          <cell r="H334" t="str">
            <v>R</v>
          </cell>
        </row>
        <row r="335">
          <cell r="A335">
            <v>3120</v>
          </cell>
          <cell r="B335">
            <v>300300</v>
          </cell>
          <cell r="C335" t="str">
            <v>DERDAKI</v>
          </cell>
          <cell r="D335" t="str">
            <v>R6</v>
          </cell>
          <cell r="E335" t="str">
            <v>ADM</v>
          </cell>
          <cell r="F335" t="str">
            <v>RN</v>
          </cell>
          <cell r="G335" t="str">
            <v>AK</v>
          </cell>
          <cell r="H335" t="str">
            <v>R</v>
          </cell>
        </row>
        <row r="336">
          <cell r="A336">
            <v>3121</v>
          </cell>
          <cell r="B336">
            <v>594000</v>
          </cell>
          <cell r="C336" t="str">
            <v>DERDAKI</v>
          </cell>
          <cell r="D336" t="str">
            <v>R6</v>
          </cell>
          <cell r="E336" t="str">
            <v>ADM</v>
          </cell>
          <cell r="F336" t="str">
            <v>RN</v>
          </cell>
          <cell r="G336" t="str">
            <v>AK</v>
          </cell>
          <cell r="H336" t="str">
            <v>R</v>
          </cell>
        </row>
        <row r="337">
          <cell r="A337">
            <v>3122</v>
          </cell>
          <cell r="B337">
            <v>99000</v>
          </cell>
          <cell r="C337" t="str">
            <v>DERDAKI</v>
          </cell>
          <cell r="D337" t="str">
            <v>R6</v>
          </cell>
          <cell r="E337" t="str">
            <v>SOC</v>
          </cell>
          <cell r="F337" t="str">
            <v>DN</v>
          </cell>
          <cell r="G337" t="str">
            <v>AK</v>
          </cell>
          <cell r="H337" t="str">
            <v>R</v>
          </cell>
        </row>
        <row r="338">
          <cell r="A338">
            <v>3123</v>
          </cell>
          <cell r="B338">
            <v>416900</v>
          </cell>
          <cell r="C338" t="str">
            <v>CHARBI</v>
          </cell>
          <cell r="D338" t="str">
            <v>R6</v>
          </cell>
          <cell r="E338" t="str">
            <v>SOC</v>
          </cell>
          <cell r="F338" t="str">
            <v>DN</v>
          </cell>
          <cell r="G338" t="str">
            <v>AK</v>
          </cell>
          <cell r="H338" t="str">
            <v>R</v>
          </cell>
        </row>
        <row r="339">
          <cell r="A339">
            <v>3124</v>
          </cell>
          <cell r="B339">
            <v>630300</v>
          </cell>
          <cell r="C339" t="str">
            <v>DERDAKI</v>
          </cell>
          <cell r="D339" t="str">
            <v>R6</v>
          </cell>
          <cell r="E339" t="str">
            <v>SOC</v>
          </cell>
          <cell r="F339" t="str">
            <v>RN</v>
          </cell>
          <cell r="G339" t="str">
            <v>AK</v>
          </cell>
          <cell r="H339" t="str">
            <v>R</v>
          </cell>
        </row>
        <row r="340">
          <cell r="A340">
            <v>3125</v>
          </cell>
          <cell r="B340">
            <v>22000</v>
          </cell>
          <cell r="C340" t="str">
            <v>DERDAKI</v>
          </cell>
          <cell r="D340" t="str">
            <v>R6</v>
          </cell>
          <cell r="E340" t="str">
            <v>ADM</v>
          </cell>
          <cell r="F340" t="str">
            <v>RN</v>
          </cell>
          <cell r="G340" t="str">
            <v>AK</v>
          </cell>
          <cell r="H340" t="str">
            <v>R</v>
          </cell>
        </row>
        <row r="341">
          <cell r="A341">
            <v>3125</v>
          </cell>
          <cell r="C341" t="str">
            <v>DERDAKI</v>
          </cell>
          <cell r="D341" t="str">
            <v>R6</v>
          </cell>
          <cell r="E341" t="str">
            <v>ADM</v>
          </cell>
          <cell r="F341" t="str">
            <v>RN</v>
          </cell>
          <cell r="G341" t="str">
            <v>AK</v>
          </cell>
          <cell r="H341" t="str">
            <v>R</v>
          </cell>
        </row>
        <row r="342">
          <cell r="A342">
            <v>3126</v>
          </cell>
          <cell r="B342">
            <v>48950</v>
          </cell>
          <cell r="C342" t="str">
            <v>DERDAKI</v>
          </cell>
          <cell r="D342" t="str">
            <v>R6</v>
          </cell>
          <cell r="E342" t="str">
            <v>ADM</v>
          </cell>
          <cell r="F342" t="str">
            <v>RN</v>
          </cell>
          <cell r="G342" t="str">
            <v>AK</v>
          </cell>
          <cell r="H342" t="str">
            <v>R</v>
          </cell>
        </row>
        <row r="343">
          <cell r="A343">
            <v>3127</v>
          </cell>
          <cell r="B343">
            <v>176000</v>
          </cell>
          <cell r="C343" t="str">
            <v>DERDAKI</v>
          </cell>
          <cell r="D343" t="str">
            <v>R6</v>
          </cell>
          <cell r="E343" t="str">
            <v>SOC</v>
          </cell>
          <cell r="F343" t="str">
            <v>DN</v>
          </cell>
          <cell r="G343" t="str">
            <v>AK</v>
          </cell>
          <cell r="H343" t="str">
            <v>R</v>
          </cell>
        </row>
        <row r="344">
          <cell r="A344">
            <v>3128</v>
          </cell>
          <cell r="B344">
            <v>77000</v>
          </cell>
          <cell r="C344" t="str">
            <v>DERDAKI</v>
          </cell>
          <cell r="D344" t="str">
            <v>R6</v>
          </cell>
          <cell r="E344" t="str">
            <v>SOC</v>
          </cell>
          <cell r="F344" t="str">
            <v>DN</v>
          </cell>
          <cell r="G344" t="str">
            <v>AK</v>
          </cell>
          <cell r="H344" t="str">
            <v>R</v>
          </cell>
        </row>
        <row r="345">
          <cell r="A345">
            <v>3129</v>
          </cell>
          <cell r="B345">
            <v>165000</v>
          </cell>
          <cell r="C345" t="str">
            <v>DERDAKI</v>
          </cell>
          <cell r="D345" t="str">
            <v>R5</v>
          </cell>
          <cell r="E345" t="str">
            <v>ETUDES ET ESSAIS</v>
          </cell>
          <cell r="F345" t="str">
            <v>DN</v>
          </cell>
          <cell r="G345" t="str">
            <v>AK</v>
          </cell>
          <cell r="H345" t="str">
            <v>R</v>
          </cell>
        </row>
        <row r="346">
          <cell r="A346">
            <v>3130</v>
          </cell>
          <cell r="B346">
            <v>39600</v>
          </cell>
          <cell r="C346" t="str">
            <v>DERDAKI</v>
          </cell>
          <cell r="D346" t="str">
            <v>R5</v>
          </cell>
          <cell r="E346" t="str">
            <v>ETUDES ET ESSAIS</v>
          </cell>
          <cell r="F346" t="str">
            <v>RN</v>
          </cell>
          <cell r="G346" t="str">
            <v>AK</v>
          </cell>
          <cell r="H346" t="str">
            <v>R</v>
          </cell>
        </row>
        <row r="347">
          <cell r="A347">
            <v>3131</v>
          </cell>
          <cell r="B347">
            <v>18700</v>
          </cell>
          <cell r="C347" t="str">
            <v>DERDAKI</v>
          </cell>
          <cell r="D347" t="str">
            <v>R5</v>
          </cell>
          <cell r="E347" t="str">
            <v>ETUDES ET ESSAIS</v>
          </cell>
          <cell r="F347" t="str">
            <v>DN</v>
          </cell>
          <cell r="G347" t="str">
            <v>AK</v>
          </cell>
          <cell r="H347" t="str">
            <v>R</v>
          </cell>
        </row>
        <row r="348">
          <cell r="A348">
            <v>3132</v>
          </cell>
          <cell r="B348">
            <v>304700</v>
          </cell>
          <cell r="C348" t="str">
            <v>DERDAKI</v>
          </cell>
          <cell r="D348" t="str">
            <v>R6</v>
          </cell>
          <cell r="E348" t="str">
            <v>SOC</v>
          </cell>
          <cell r="F348" t="str">
            <v>RN</v>
          </cell>
          <cell r="G348" t="str">
            <v>AK</v>
          </cell>
          <cell r="H348" t="str">
            <v>R</v>
          </cell>
        </row>
        <row r="349">
          <cell r="A349">
            <v>3133</v>
          </cell>
          <cell r="B349">
            <v>132000</v>
          </cell>
          <cell r="C349" t="str">
            <v>DERDAKI</v>
          </cell>
          <cell r="D349" t="str">
            <v>R7</v>
          </cell>
          <cell r="E349" t="str">
            <v>ORD</v>
          </cell>
          <cell r="F349" t="str">
            <v>DN</v>
          </cell>
          <cell r="G349" t="str">
            <v>AK</v>
          </cell>
          <cell r="H349" t="str">
            <v>R</v>
          </cell>
        </row>
        <row r="350">
          <cell r="A350">
            <v>3134</v>
          </cell>
          <cell r="B350">
            <v>325600</v>
          </cell>
          <cell r="C350" t="str">
            <v>DERDAKI</v>
          </cell>
          <cell r="D350" t="str">
            <v>R6</v>
          </cell>
          <cell r="E350" t="str">
            <v>SOC</v>
          </cell>
          <cell r="F350" t="str">
            <v>DN</v>
          </cell>
          <cell r="G350" t="str">
            <v>AK</v>
          </cell>
          <cell r="H350" t="str">
            <v>R</v>
          </cell>
        </row>
        <row r="351">
          <cell r="A351">
            <v>3135</v>
          </cell>
          <cell r="B351">
            <v>261800</v>
          </cell>
          <cell r="C351" t="str">
            <v>DERDAKI</v>
          </cell>
          <cell r="D351" t="str">
            <v>R6</v>
          </cell>
          <cell r="E351" t="str">
            <v>SOC</v>
          </cell>
          <cell r="F351" t="str">
            <v>RN</v>
          </cell>
          <cell r="G351" t="str">
            <v>AK</v>
          </cell>
          <cell r="H351" t="str">
            <v>R</v>
          </cell>
        </row>
        <row r="352">
          <cell r="A352">
            <v>3136</v>
          </cell>
          <cell r="B352">
            <v>110000</v>
          </cell>
          <cell r="C352" t="str">
            <v>DERDAKI</v>
          </cell>
          <cell r="D352" t="str">
            <v>R6</v>
          </cell>
          <cell r="E352" t="str">
            <v>SOC</v>
          </cell>
          <cell r="F352" t="str">
            <v>RN</v>
          </cell>
          <cell r="G352" t="str">
            <v>AK</v>
          </cell>
          <cell r="H352" t="str">
            <v>R</v>
          </cell>
        </row>
        <row r="353">
          <cell r="A353">
            <v>3137</v>
          </cell>
          <cell r="B353">
            <v>13200</v>
          </cell>
          <cell r="C353" t="str">
            <v>DERDAKI</v>
          </cell>
          <cell r="D353" t="str">
            <v>R6</v>
          </cell>
          <cell r="E353" t="str">
            <v>SOC</v>
          </cell>
          <cell r="F353" t="str">
            <v>RN</v>
          </cell>
          <cell r="G353" t="str">
            <v>AK</v>
          </cell>
          <cell r="H353" t="str">
            <v>R</v>
          </cell>
        </row>
        <row r="354">
          <cell r="A354">
            <v>3139</v>
          </cell>
          <cell r="B354">
            <v>57000</v>
          </cell>
          <cell r="C354" t="str">
            <v>EL HOUSANI</v>
          </cell>
          <cell r="D354" t="str">
            <v>R6</v>
          </cell>
          <cell r="E354" t="str">
            <v>ADM</v>
          </cell>
          <cell r="F354" t="str">
            <v>RN</v>
          </cell>
          <cell r="G354" t="str">
            <v>AK</v>
          </cell>
          <cell r="H354" t="str">
            <v>R</v>
          </cell>
        </row>
        <row r="355">
          <cell r="A355">
            <v>3140</v>
          </cell>
          <cell r="B355">
            <v>600000</v>
          </cell>
          <cell r="C355" t="str">
            <v>LEBBARDI</v>
          </cell>
          <cell r="D355" t="str">
            <v>R6</v>
          </cell>
          <cell r="E355" t="str">
            <v>ADM</v>
          </cell>
          <cell r="F355" t="str">
            <v>RN</v>
          </cell>
          <cell r="G355" t="str">
            <v>T</v>
          </cell>
          <cell r="H355" t="str">
            <v>R</v>
          </cell>
        </row>
        <row r="356">
          <cell r="A356">
            <v>3141</v>
          </cell>
          <cell r="B356">
            <v>20000000</v>
          </cell>
          <cell r="C356" t="str">
            <v>ALOUANI</v>
          </cell>
          <cell r="D356" t="str">
            <v>R7</v>
          </cell>
          <cell r="E356" t="str">
            <v>IMP</v>
          </cell>
          <cell r="F356" t="str">
            <v>DN</v>
          </cell>
          <cell r="G356" t="str">
            <v>T</v>
          </cell>
          <cell r="H356" t="str">
            <v>R</v>
          </cell>
        </row>
        <row r="357">
          <cell r="A357">
            <v>3142</v>
          </cell>
          <cell r="B357">
            <v>14000000</v>
          </cell>
          <cell r="C357" t="str">
            <v>ALOUANI</v>
          </cell>
          <cell r="D357" t="str">
            <v>R1</v>
          </cell>
          <cell r="E357" t="str">
            <v>IMP</v>
          </cell>
          <cell r="F357" t="str">
            <v>DN</v>
          </cell>
          <cell r="G357" t="str">
            <v>T</v>
          </cell>
          <cell r="H357" t="str">
            <v>R</v>
          </cell>
        </row>
        <row r="358">
          <cell r="A358">
            <v>3143</v>
          </cell>
          <cell r="B358">
            <v>4200000</v>
          </cell>
          <cell r="C358" t="str">
            <v>DADI</v>
          </cell>
          <cell r="D358" t="str">
            <v>R2</v>
          </cell>
          <cell r="E358" t="str">
            <v>ORD</v>
          </cell>
          <cell r="F358" t="str">
            <v>RN</v>
          </cell>
          <cell r="G358" t="str">
            <v>T</v>
          </cell>
          <cell r="H358" t="str">
            <v>R</v>
          </cell>
        </row>
        <row r="359">
          <cell r="A359">
            <v>3144</v>
          </cell>
          <cell r="B359">
            <v>8000000</v>
          </cell>
          <cell r="C359" t="str">
            <v>BOUZIAN</v>
          </cell>
          <cell r="D359" t="str">
            <v>R7</v>
          </cell>
          <cell r="E359" t="str">
            <v>ORD</v>
          </cell>
          <cell r="F359" t="str">
            <v>DN</v>
          </cell>
          <cell r="G359" t="str">
            <v>T</v>
          </cell>
          <cell r="H359" t="str">
            <v>R</v>
          </cell>
        </row>
        <row r="360">
          <cell r="A360">
            <v>3145</v>
          </cell>
          <cell r="B360">
            <v>950000</v>
          </cell>
          <cell r="C360" t="str">
            <v>JERRAR</v>
          </cell>
          <cell r="D360" t="str">
            <v>R2</v>
          </cell>
          <cell r="E360" t="str">
            <v>ORD</v>
          </cell>
          <cell r="F360" t="str">
            <v>DN</v>
          </cell>
          <cell r="G360" t="str">
            <v>T</v>
          </cell>
          <cell r="H360" t="str">
            <v>R</v>
          </cell>
        </row>
        <row r="361">
          <cell r="A361">
            <v>3145</v>
          </cell>
          <cell r="C361" t="str">
            <v>JERRAR</v>
          </cell>
          <cell r="D361" t="str">
            <v>R2</v>
          </cell>
          <cell r="E361" t="str">
            <v>ORD</v>
          </cell>
          <cell r="F361" t="str">
            <v>DN</v>
          </cell>
          <cell r="G361" t="str">
            <v>T</v>
          </cell>
          <cell r="H361" t="str">
            <v>R</v>
          </cell>
        </row>
        <row r="362">
          <cell r="A362">
            <v>3145</v>
          </cell>
          <cell r="C362" t="str">
            <v>JERRAR</v>
          </cell>
          <cell r="D362" t="str">
            <v>R2</v>
          </cell>
          <cell r="E362" t="str">
            <v>ORD</v>
          </cell>
          <cell r="F362" t="str">
            <v>DN</v>
          </cell>
          <cell r="G362" t="str">
            <v>T</v>
          </cell>
          <cell r="H362" t="str">
            <v>R</v>
          </cell>
        </row>
        <row r="363">
          <cell r="A363">
            <v>3145</v>
          </cell>
          <cell r="C363" t="str">
            <v>JERRAR</v>
          </cell>
          <cell r="D363" t="str">
            <v>R2</v>
          </cell>
          <cell r="E363" t="str">
            <v>ORD</v>
          </cell>
          <cell r="F363" t="str">
            <v>DN</v>
          </cell>
          <cell r="G363" t="str">
            <v>T</v>
          </cell>
          <cell r="H363" t="str">
            <v>R</v>
          </cell>
        </row>
        <row r="364">
          <cell r="A364">
            <v>3145</v>
          </cell>
          <cell r="C364" t="str">
            <v>JERRAR</v>
          </cell>
          <cell r="D364" t="str">
            <v>R2</v>
          </cell>
          <cell r="E364" t="str">
            <v>ORD</v>
          </cell>
          <cell r="F364" t="str">
            <v>DN</v>
          </cell>
          <cell r="G364" t="str">
            <v>T</v>
          </cell>
          <cell r="H364" t="str">
            <v>R</v>
          </cell>
        </row>
        <row r="365">
          <cell r="A365">
            <v>3146</v>
          </cell>
          <cell r="B365">
            <v>4800000</v>
          </cell>
          <cell r="C365" t="str">
            <v>JERRAR</v>
          </cell>
          <cell r="D365" t="str">
            <v>R2</v>
          </cell>
          <cell r="E365" t="str">
            <v>ORD</v>
          </cell>
          <cell r="F365" t="str">
            <v>RN</v>
          </cell>
          <cell r="G365" t="str">
            <v>T</v>
          </cell>
          <cell r="H365" t="str">
            <v>R</v>
          </cell>
        </row>
        <row r="366">
          <cell r="A366">
            <v>3146</v>
          </cell>
          <cell r="C366" t="str">
            <v>JERRAR</v>
          </cell>
          <cell r="D366" t="str">
            <v>R2</v>
          </cell>
          <cell r="E366" t="str">
            <v>ORD</v>
          </cell>
          <cell r="F366" t="str">
            <v>RN</v>
          </cell>
          <cell r="G366" t="str">
            <v>T</v>
          </cell>
          <cell r="H366" t="str">
            <v>R</v>
          </cell>
        </row>
        <row r="367">
          <cell r="A367">
            <v>3147</v>
          </cell>
          <cell r="B367">
            <v>2500000</v>
          </cell>
          <cell r="C367" t="str">
            <v>BOUZIAN</v>
          </cell>
          <cell r="D367" t="str">
            <v>R7</v>
          </cell>
          <cell r="E367" t="str">
            <v>ORD</v>
          </cell>
          <cell r="F367" t="str">
            <v>DN</v>
          </cell>
          <cell r="G367" t="str">
            <v>T</v>
          </cell>
          <cell r="H367" t="str">
            <v>R</v>
          </cell>
        </row>
        <row r="368">
          <cell r="A368">
            <v>3147</v>
          </cell>
          <cell r="C368" t="str">
            <v>BOUZIAN</v>
          </cell>
          <cell r="D368" t="str">
            <v>R7</v>
          </cell>
          <cell r="E368" t="str">
            <v>ORD</v>
          </cell>
          <cell r="F368" t="str">
            <v>DN</v>
          </cell>
          <cell r="G368" t="str">
            <v>T</v>
          </cell>
          <cell r="H368" t="str">
            <v>R</v>
          </cell>
        </row>
        <row r="369">
          <cell r="A369">
            <v>3147</v>
          </cell>
          <cell r="C369" t="str">
            <v>BOUZIAN</v>
          </cell>
          <cell r="D369" t="str">
            <v>R7</v>
          </cell>
          <cell r="E369" t="str">
            <v>ORD</v>
          </cell>
          <cell r="F369" t="str">
            <v>DN</v>
          </cell>
          <cell r="G369" t="str">
            <v>T</v>
          </cell>
          <cell r="H369" t="str">
            <v>R</v>
          </cell>
        </row>
        <row r="370">
          <cell r="A370">
            <v>3147</v>
          </cell>
          <cell r="C370" t="str">
            <v>BOUZIAN</v>
          </cell>
          <cell r="D370" t="str">
            <v>R7</v>
          </cell>
          <cell r="E370" t="str">
            <v>ORD</v>
          </cell>
          <cell r="F370" t="str">
            <v>DN</v>
          </cell>
          <cell r="G370" t="str">
            <v>T</v>
          </cell>
          <cell r="H370" t="str">
            <v>R</v>
          </cell>
        </row>
        <row r="371">
          <cell r="A371">
            <v>3147</v>
          </cell>
          <cell r="C371" t="str">
            <v>BOUZIAN</v>
          </cell>
          <cell r="D371" t="str">
            <v>R7</v>
          </cell>
          <cell r="E371" t="str">
            <v>ORD</v>
          </cell>
          <cell r="F371" t="str">
            <v>DN</v>
          </cell>
          <cell r="G371" t="str">
            <v>T</v>
          </cell>
          <cell r="H371" t="str">
            <v>R</v>
          </cell>
        </row>
        <row r="372">
          <cell r="A372">
            <v>3148</v>
          </cell>
          <cell r="B372">
            <v>100000</v>
          </cell>
          <cell r="C372" t="str">
            <v>JERRAR</v>
          </cell>
          <cell r="D372" t="str">
            <v>R2</v>
          </cell>
          <cell r="E372" t="str">
            <v>ORD</v>
          </cell>
          <cell r="F372" t="str">
            <v>DN</v>
          </cell>
          <cell r="G372" t="str">
            <v>T</v>
          </cell>
          <cell r="H372" t="str">
            <v>R</v>
          </cell>
        </row>
        <row r="373">
          <cell r="A373">
            <v>3150</v>
          </cell>
          <cell r="B373">
            <v>20000</v>
          </cell>
          <cell r="C373" t="str">
            <v>EL M'HAMDI</v>
          </cell>
          <cell r="D373" t="str">
            <v>R6</v>
          </cell>
          <cell r="E373" t="str">
            <v>ADM</v>
          </cell>
          <cell r="F373" t="str">
            <v>DN</v>
          </cell>
          <cell r="G373" t="str">
            <v>L</v>
          </cell>
          <cell r="H373" t="str">
            <v>R</v>
          </cell>
        </row>
        <row r="374">
          <cell r="A374">
            <v>3152</v>
          </cell>
          <cell r="B374">
            <v>49500</v>
          </cell>
          <cell r="C374" t="str">
            <v>DERDAKI</v>
          </cell>
          <cell r="D374" t="str">
            <v>R6</v>
          </cell>
          <cell r="E374" t="str">
            <v>SOC</v>
          </cell>
          <cell r="F374" t="str">
            <v>DN</v>
          </cell>
          <cell r="G374" t="str">
            <v>AK</v>
          </cell>
          <cell r="H374" t="str">
            <v>R</v>
          </cell>
        </row>
        <row r="375">
          <cell r="A375">
            <v>3155</v>
          </cell>
          <cell r="B375">
            <v>120000000</v>
          </cell>
          <cell r="C375" t="str">
            <v>BOUALAM</v>
          </cell>
          <cell r="D375" t="str">
            <v>R1</v>
          </cell>
          <cell r="E375" t="str">
            <v>IMP</v>
          </cell>
          <cell r="F375" t="str">
            <v>DN</v>
          </cell>
          <cell r="G375" t="str">
            <v>T</v>
          </cell>
          <cell r="H375" t="str">
            <v>R</v>
          </cell>
        </row>
        <row r="376">
          <cell r="A376">
            <v>3158</v>
          </cell>
          <cell r="B376">
            <v>196000</v>
          </cell>
          <cell r="C376" t="str">
            <v>CHARKI</v>
          </cell>
          <cell r="D376" t="str">
            <v>R6</v>
          </cell>
          <cell r="E376" t="str">
            <v>ADM</v>
          </cell>
          <cell r="F376" t="str">
            <v>RN</v>
          </cell>
          <cell r="G376" t="str">
            <v>P</v>
          </cell>
          <cell r="H376" t="str">
            <v>R</v>
          </cell>
        </row>
        <row r="377">
          <cell r="A377">
            <v>3159</v>
          </cell>
          <cell r="B377">
            <v>68000</v>
          </cell>
          <cell r="C377" t="str">
            <v>CHEHTANE</v>
          </cell>
          <cell r="D377" t="str">
            <v>R7</v>
          </cell>
          <cell r="E377" t="str">
            <v>ORD</v>
          </cell>
          <cell r="F377" t="str">
            <v>DN</v>
          </cell>
          <cell r="G377" t="str">
            <v>P</v>
          </cell>
          <cell r="H377" t="str">
            <v>R</v>
          </cell>
        </row>
        <row r="378">
          <cell r="A378">
            <v>3160</v>
          </cell>
          <cell r="B378">
            <v>269000</v>
          </cell>
          <cell r="C378" t="str">
            <v>CHARKI</v>
          </cell>
          <cell r="D378" t="str">
            <v>R6</v>
          </cell>
          <cell r="E378" t="str">
            <v>ORD</v>
          </cell>
          <cell r="F378" t="str">
            <v>DN</v>
          </cell>
          <cell r="G378" t="str">
            <v>P</v>
          </cell>
          <cell r="H378" t="str">
            <v>R</v>
          </cell>
        </row>
        <row r="379">
          <cell r="A379">
            <v>3161</v>
          </cell>
          <cell r="B379">
            <v>368800</v>
          </cell>
          <cell r="C379" t="str">
            <v>CHARKI</v>
          </cell>
          <cell r="D379" t="str">
            <v>R6</v>
          </cell>
          <cell r="E379" t="str">
            <v>ADM</v>
          </cell>
          <cell r="F379" t="str">
            <v>DN</v>
          </cell>
          <cell r="G379" t="str">
            <v>P</v>
          </cell>
          <cell r="H379" t="str">
            <v>R</v>
          </cell>
        </row>
        <row r="380">
          <cell r="A380">
            <v>3162</v>
          </cell>
          <cell r="B380">
            <v>500000</v>
          </cell>
          <cell r="C380" t="str">
            <v>CHARKI</v>
          </cell>
          <cell r="D380" t="str">
            <v>R2</v>
          </cell>
          <cell r="E380" t="str">
            <v>ORD</v>
          </cell>
          <cell r="F380" t="str">
            <v>DN</v>
          </cell>
          <cell r="G380" t="str">
            <v>P</v>
          </cell>
          <cell r="H380" t="str">
            <v>R</v>
          </cell>
        </row>
        <row r="381">
          <cell r="A381">
            <v>3163</v>
          </cell>
          <cell r="B381">
            <v>1500000</v>
          </cell>
          <cell r="C381" t="str">
            <v>KHOUILI</v>
          </cell>
          <cell r="D381" t="str">
            <v>R2</v>
          </cell>
          <cell r="E381" t="str">
            <v>ORD</v>
          </cell>
          <cell r="F381" t="str">
            <v>DN</v>
          </cell>
          <cell r="G381" t="str">
            <v>P</v>
          </cell>
          <cell r="H381" t="str">
            <v>R</v>
          </cell>
        </row>
        <row r="382">
          <cell r="A382">
            <v>3164</v>
          </cell>
          <cell r="B382">
            <v>361000</v>
          </cell>
          <cell r="C382" t="str">
            <v>MAGHRAOUI</v>
          </cell>
          <cell r="D382" t="str">
            <v>R2</v>
          </cell>
          <cell r="E382" t="str">
            <v>ORD</v>
          </cell>
          <cell r="F382" t="str">
            <v>DN</v>
          </cell>
          <cell r="G382" t="str">
            <v>P</v>
          </cell>
          <cell r="H382" t="str">
            <v>R</v>
          </cell>
        </row>
        <row r="383">
          <cell r="A383">
            <v>3164</v>
          </cell>
          <cell r="C383" t="str">
            <v>MAGHRAOUI</v>
          </cell>
          <cell r="D383" t="str">
            <v>R2</v>
          </cell>
          <cell r="E383" t="str">
            <v>ORD</v>
          </cell>
          <cell r="F383" t="str">
            <v>DN</v>
          </cell>
          <cell r="G383" t="str">
            <v>P</v>
          </cell>
          <cell r="H383" t="str">
            <v>R</v>
          </cell>
        </row>
        <row r="384">
          <cell r="A384">
            <v>3164</v>
          </cell>
          <cell r="C384" t="str">
            <v>MAGHRAOUI</v>
          </cell>
          <cell r="D384" t="str">
            <v>R2</v>
          </cell>
          <cell r="E384" t="str">
            <v>ORD</v>
          </cell>
          <cell r="F384" t="str">
            <v>DN</v>
          </cell>
          <cell r="G384" t="str">
            <v>P</v>
          </cell>
          <cell r="H384" t="str">
            <v>R</v>
          </cell>
        </row>
        <row r="385">
          <cell r="A385">
            <v>3164</v>
          </cell>
          <cell r="C385" t="str">
            <v>MAGHRAOUI</v>
          </cell>
          <cell r="D385" t="str">
            <v>R2</v>
          </cell>
          <cell r="E385" t="str">
            <v>ORD</v>
          </cell>
          <cell r="F385" t="str">
            <v>DN</v>
          </cell>
          <cell r="G385" t="str">
            <v>P</v>
          </cell>
          <cell r="H385" t="str">
            <v>R</v>
          </cell>
        </row>
        <row r="386">
          <cell r="A386">
            <v>3164</v>
          </cell>
          <cell r="C386" t="str">
            <v>MAGHRAOUI</v>
          </cell>
          <cell r="D386" t="str">
            <v>R2</v>
          </cell>
          <cell r="E386" t="str">
            <v>ORD</v>
          </cell>
          <cell r="F386" t="str">
            <v>DN</v>
          </cell>
          <cell r="G386" t="str">
            <v>P</v>
          </cell>
          <cell r="H386" t="str">
            <v>R</v>
          </cell>
        </row>
        <row r="387">
          <cell r="A387">
            <v>3165</v>
          </cell>
          <cell r="B387">
            <v>1800000</v>
          </cell>
          <cell r="C387" t="str">
            <v>KHOUILI</v>
          </cell>
          <cell r="D387" t="str">
            <v>R2</v>
          </cell>
          <cell r="E387" t="str">
            <v>ORD</v>
          </cell>
          <cell r="F387" t="str">
            <v>DN</v>
          </cell>
          <cell r="G387" t="str">
            <v>P</v>
          </cell>
          <cell r="H387" t="str">
            <v>R</v>
          </cell>
        </row>
        <row r="388">
          <cell r="A388">
            <v>3166</v>
          </cell>
          <cell r="B388">
            <v>1500000</v>
          </cell>
          <cell r="C388" t="str">
            <v>KHOUILI</v>
          </cell>
          <cell r="D388" t="str">
            <v>R2</v>
          </cell>
          <cell r="E388" t="str">
            <v>ORD</v>
          </cell>
          <cell r="F388" t="str">
            <v>RN</v>
          </cell>
          <cell r="G388" t="str">
            <v>P</v>
          </cell>
          <cell r="H388" t="str">
            <v>R</v>
          </cell>
        </row>
        <row r="389">
          <cell r="A389">
            <v>3167</v>
          </cell>
          <cell r="B389">
            <v>4000</v>
          </cell>
          <cell r="C389" t="str">
            <v>EL BARAKA</v>
          </cell>
          <cell r="D389" t="str">
            <v>R6</v>
          </cell>
          <cell r="E389" t="str">
            <v>ADM</v>
          </cell>
          <cell r="F389" t="str">
            <v>DN</v>
          </cell>
          <cell r="G389" t="str">
            <v>L</v>
          </cell>
          <cell r="H389" t="str">
            <v>R</v>
          </cell>
        </row>
        <row r="390">
          <cell r="A390">
            <v>3168</v>
          </cell>
          <cell r="B390">
            <v>45000</v>
          </cell>
          <cell r="C390" t="str">
            <v>ZAHRI</v>
          </cell>
          <cell r="D390" t="str">
            <v>R6</v>
          </cell>
          <cell r="E390" t="str">
            <v>ADM</v>
          </cell>
          <cell r="F390" t="str">
            <v>DN</v>
          </cell>
          <cell r="G390" t="str">
            <v>L</v>
          </cell>
          <cell r="H390" t="str">
            <v>R</v>
          </cell>
        </row>
        <row r="391">
          <cell r="A391">
            <v>3169</v>
          </cell>
          <cell r="B391">
            <v>10000</v>
          </cell>
          <cell r="C391" t="str">
            <v>ZAHRI</v>
          </cell>
          <cell r="D391" t="str">
            <v>R6</v>
          </cell>
          <cell r="E391" t="str">
            <v>ADM</v>
          </cell>
          <cell r="F391" t="str">
            <v>RN</v>
          </cell>
          <cell r="G391" t="str">
            <v>L</v>
          </cell>
          <cell r="H391" t="str">
            <v>R</v>
          </cell>
        </row>
        <row r="392">
          <cell r="A392">
            <v>3170</v>
          </cell>
          <cell r="B392">
            <v>43000</v>
          </cell>
          <cell r="C392" t="str">
            <v>MOUMEN</v>
          </cell>
          <cell r="D392" t="str">
            <v>R6</v>
          </cell>
          <cell r="E392" t="str">
            <v>ADM</v>
          </cell>
          <cell r="F392" t="str">
            <v>DN</v>
          </cell>
          <cell r="G392" t="str">
            <v>TC</v>
          </cell>
          <cell r="H392" t="str">
            <v>R</v>
          </cell>
        </row>
        <row r="393">
          <cell r="A393">
            <v>3171</v>
          </cell>
          <cell r="B393">
            <v>12000</v>
          </cell>
          <cell r="C393" t="str">
            <v>BOUYA</v>
          </cell>
          <cell r="D393" t="str">
            <v>R6</v>
          </cell>
          <cell r="E393" t="str">
            <v>ADM</v>
          </cell>
          <cell r="F393" t="str">
            <v>RN</v>
          </cell>
          <cell r="G393" t="str">
            <v>AK</v>
          </cell>
          <cell r="H393" t="str">
            <v>R</v>
          </cell>
        </row>
        <row r="394">
          <cell r="A394">
            <v>3172</v>
          </cell>
          <cell r="B394">
            <v>64500</v>
          </cell>
          <cell r="C394" t="str">
            <v>ZAHRI</v>
          </cell>
          <cell r="D394" t="str">
            <v>R6</v>
          </cell>
          <cell r="E394" t="str">
            <v>ADM</v>
          </cell>
          <cell r="F394" t="str">
            <v>RN</v>
          </cell>
          <cell r="G394" t="str">
            <v>L</v>
          </cell>
          <cell r="H394" t="str">
            <v>R</v>
          </cell>
        </row>
        <row r="395">
          <cell r="A395">
            <v>3173</v>
          </cell>
          <cell r="B395">
            <v>203500</v>
          </cell>
          <cell r="C395" t="str">
            <v>MOUMEN</v>
          </cell>
          <cell r="D395" t="str">
            <v>R6</v>
          </cell>
          <cell r="E395" t="str">
            <v>ADM</v>
          </cell>
          <cell r="F395" t="str">
            <v>DN</v>
          </cell>
          <cell r="G395" t="str">
            <v>TC</v>
          </cell>
          <cell r="H395" t="str">
            <v>R</v>
          </cell>
        </row>
        <row r="396">
          <cell r="A396">
            <v>3174</v>
          </cell>
          <cell r="B396">
            <v>6000</v>
          </cell>
          <cell r="C396" t="str">
            <v>MAHSOUN</v>
          </cell>
          <cell r="D396" t="str">
            <v>R6</v>
          </cell>
          <cell r="E396" t="str">
            <v>ADM</v>
          </cell>
          <cell r="F396" t="str">
            <v>RN</v>
          </cell>
          <cell r="G396" t="str">
            <v>P</v>
          </cell>
          <cell r="H396" t="str">
            <v>R</v>
          </cell>
        </row>
        <row r="397">
          <cell r="A397">
            <v>3175</v>
          </cell>
          <cell r="B397">
            <v>194500</v>
          </cell>
          <cell r="C397" t="str">
            <v>MOUMEN</v>
          </cell>
          <cell r="D397" t="str">
            <v>R6</v>
          </cell>
          <cell r="E397" t="str">
            <v>ADM</v>
          </cell>
          <cell r="F397" t="str">
            <v>DN</v>
          </cell>
          <cell r="G397" t="str">
            <v>TC</v>
          </cell>
          <cell r="H397" t="str">
            <v>R</v>
          </cell>
        </row>
        <row r="398">
          <cell r="A398">
            <v>3176</v>
          </cell>
          <cell r="B398">
            <v>129000</v>
          </cell>
          <cell r="C398" t="str">
            <v>MOUMEN</v>
          </cell>
          <cell r="D398" t="str">
            <v>R6</v>
          </cell>
          <cell r="E398" t="str">
            <v>ADM</v>
          </cell>
          <cell r="F398" t="str">
            <v>RN</v>
          </cell>
          <cell r="G398" t="str">
            <v>TC</v>
          </cell>
          <cell r="H398" t="str">
            <v>R</v>
          </cell>
        </row>
        <row r="399">
          <cell r="A399">
            <v>3177</v>
          </cell>
          <cell r="B399">
            <v>40000</v>
          </cell>
          <cell r="C399" t="str">
            <v>MOUMEN</v>
          </cell>
          <cell r="D399" t="str">
            <v>R6</v>
          </cell>
          <cell r="E399" t="str">
            <v>ADM</v>
          </cell>
          <cell r="F399" t="str">
            <v>RN</v>
          </cell>
          <cell r="G399" t="str">
            <v>TC</v>
          </cell>
          <cell r="H399" t="str">
            <v>R</v>
          </cell>
        </row>
        <row r="400">
          <cell r="A400">
            <v>3178</v>
          </cell>
          <cell r="B400">
            <v>201000</v>
          </cell>
          <cell r="C400" t="str">
            <v>MOUMEN</v>
          </cell>
          <cell r="D400" t="str">
            <v>R6</v>
          </cell>
          <cell r="E400" t="str">
            <v>ADM</v>
          </cell>
          <cell r="F400" t="str">
            <v>DN</v>
          </cell>
          <cell r="G400" t="str">
            <v>TC</v>
          </cell>
          <cell r="H400" t="str">
            <v>R</v>
          </cell>
        </row>
        <row r="401">
          <cell r="A401">
            <v>3179</v>
          </cell>
          <cell r="B401">
            <v>48000</v>
          </cell>
          <cell r="C401" t="str">
            <v>MOUMEN</v>
          </cell>
          <cell r="D401" t="str">
            <v>R6</v>
          </cell>
          <cell r="E401" t="str">
            <v>ADM</v>
          </cell>
          <cell r="F401" t="str">
            <v>DN</v>
          </cell>
          <cell r="G401" t="str">
            <v>TC</v>
          </cell>
          <cell r="H401" t="str">
            <v>R</v>
          </cell>
        </row>
        <row r="402">
          <cell r="A402">
            <v>3180</v>
          </cell>
          <cell r="B402">
            <v>10000</v>
          </cell>
          <cell r="C402" t="str">
            <v>MOUMEN</v>
          </cell>
          <cell r="D402" t="str">
            <v>R6</v>
          </cell>
          <cell r="E402" t="str">
            <v>ADM</v>
          </cell>
          <cell r="F402" t="str">
            <v>RN</v>
          </cell>
          <cell r="G402" t="str">
            <v>TC</v>
          </cell>
          <cell r="H402" t="str">
            <v>R</v>
          </cell>
        </row>
        <row r="403">
          <cell r="A403">
            <v>3181</v>
          </cell>
          <cell r="B403">
            <v>220000</v>
          </cell>
          <cell r="C403" t="str">
            <v>MAHSOUN</v>
          </cell>
          <cell r="D403" t="str">
            <v>R2</v>
          </cell>
          <cell r="E403" t="str">
            <v>ORD</v>
          </cell>
          <cell r="F403" t="str">
            <v>DN</v>
          </cell>
          <cell r="G403" t="str">
            <v>P</v>
          </cell>
          <cell r="H403" t="str">
            <v>R</v>
          </cell>
        </row>
        <row r="404">
          <cell r="A404">
            <v>3182</v>
          </cell>
          <cell r="B404">
            <v>950000</v>
          </cell>
          <cell r="C404" t="str">
            <v>BOUZZIT</v>
          </cell>
          <cell r="D404" t="str">
            <v>R2</v>
          </cell>
          <cell r="E404" t="str">
            <v>ORD</v>
          </cell>
          <cell r="F404" t="str">
            <v>DN</v>
          </cell>
          <cell r="G404" t="str">
            <v>L</v>
          </cell>
          <cell r="H404" t="str">
            <v>R</v>
          </cell>
        </row>
        <row r="405">
          <cell r="A405">
            <v>3183</v>
          </cell>
          <cell r="B405">
            <v>349000</v>
          </cell>
          <cell r="C405" t="str">
            <v>MAHSOUN</v>
          </cell>
          <cell r="D405" t="str">
            <v>R2</v>
          </cell>
          <cell r="E405" t="str">
            <v>ORD</v>
          </cell>
          <cell r="F405" t="str">
            <v>DN</v>
          </cell>
          <cell r="G405" t="str">
            <v>P</v>
          </cell>
          <cell r="H405" t="str">
            <v>R</v>
          </cell>
        </row>
        <row r="406">
          <cell r="A406">
            <v>3183</v>
          </cell>
          <cell r="C406" t="str">
            <v>MAHSOUN</v>
          </cell>
          <cell r="D406" t="str">
            <v>R2</v>
          </cell>
          <cell r="E406" t="str">
            <v>ORD</v>
          </cell>
          <cell r="F406" t="str">
            <v>DN</v>
          </cell>
          <cell r="G406" t="str">
            <v>P</v>
          </cell>
          <cell r="H406" t="str">
            <v>R</v>
          </cell>
        </row>
        <row r="407">
          <cell r="A407">
            <v>3184</v>
          </cell>
          <cell r="B407">
            <v>360000</v>
          </cell>
          <cell r="C407" t="str">
            <v>BOUZZIT</v>
          </cell>
          <cell r="D407" t="str">
            <v>R2</v>
          </cell>
          <cell r="E407" t="str">
            <v>ORD</v>
          </cell>
          <cell r="F407" t="str">
            <v>RN</v>
          </cell>
          <cell r="G407" t="str">
            <v>L</v>
          </cell>
          <cell r="H407" t="str">
            <v>R</v>
          </cell>
        </row>
        <row r="408">
          <cell r="A408">
            <v>3185</v>
          </cell>
          <cell r="B408">
            <v>230000</v>
          </cell>
          <cell r="C408" t="str">
            <v>MAHSOUN</v>
          </cell>
          <cell r="D408" t="str">
            <v>R2</v>
          </cell>
          <cell r="E408" t="str">
            <v>ORD</v>
          </cell>
          <cell r="F408" t="str">
            <v>DN</v>
          </cell>
          <cell r="G408" t="str">
            <v>P</v>
          </cell>
          <cell r="H408" t="str">
            <v>R</v>
          </cell>
        </row>
        <row r="409">
          <cell r="A409">
            <v>3186</v>
          </cell>
          <cell r="B409">
            <v>438000</v>
          </cell>
          <cell r="C409" t="str">
            <v>MAHSOUN</v>
          </cell>
          <cell r="D409" t="str">
            <v>R2</v>
          </cell>
          <cell r="E409" t="str">
            <v>ORD</v>
          </cell>
          <cell r="F409" t="str">
            <v>DN</v>
          </cell>
          <cell r="G409" t="str">
            <v>P</v>
          </cell>
          <cell r="H409" t="str">
            <v>R</v>
          </cell>
        </row>
        <row r="410">
          <cell r="A410">
            <v>3187</v>
          </cell>
          <cell r="B410">
            <v>260000</v>
          </cell>
          <cell r="C410" t="str">
            <v>SABRI</v>
          </cell>
          <cell r="D410" t="str">
            <v>R2</v>
          </cell>
          <cell r="E410" t="str">
            <v>ORD</v>
          </cell>
          <cell r="F410" t="str">
            <v>DN</v>
          </cell>
          <cell r="G410" t="str">
            <v>P</v>
          </cell>
          <cell r="H410" t="str">
            <v>R</v>
          </cell>
        </row>
        <row r="411">
          <cell r="A411">
            <v>3188</v>
          </cell>
          <cell r="B411">
            <v>1460000</v>
          </cell>
          <cell r="C411" t="str">
            <v>MHADI</v>
          </cell>
          <cell r="D411" t="str">
            <v>R2</v>
          </cell>
          <cell r="E411" t="str">
            <v>ORD</v>
          </cell>
          <cell r="F411" t="str">
            <v>DN</v>
          </cell>
          <cell r="G411" t="str">
            <v>P</v>
          </cell>
          <cell r="H411" t="str">
            <v>R</v>
          </cell>
        </row>
        <row r="412">
          <cell r="A412">
            <v>3188</v>
          </cell>
          <cell r="C412" t="str">
            <v>MHADI</v>
          </cell>
          <cell r="D412" t="str">
            <v>R2</v>
          </cell>
          <cell r="E412" t="str">
            <v>ORD</v>
          </cell>
          <cell r="F412" t="str">
            <v>DN</v>
          </cell>
          <cell r="G412" t="str">
            <v>P</v>
          </cell>
          <cell r="H412" t="str">
            <v>R</v>
          </cell>
        </row>
        <row r="413">
          <cell r="A413">
            <v>3189</v>
          </cell>
          <cell r="B413">
            <v>413000</v>
          </cell>
          <cell r="C413" t="str">
            <v>MHADI</v>
          </cell>
          <cell r="D413" t="str">
            <v>R2</v>
          </cell>
          <cell r="E413" t="str">
            <v>ORD</v>
          </cell>
          <cell r="F413" t="str">
            <v>DN</v>
          </cell>
          <cell r="G413" t="str">
            <v>P</v>
          </cell>
          <cell r="H413" t="str">
            <v>R</v>
          </cell>
        </row>
        <row r="414">
          <cell r="A414">
            <v>3190</v>
          </cell>
          <cell r="B414">
            <v>100000</v>
          </cell>
          <cell r="C414" t="str">
            <v>KHOUILI</v>
          </cell>
          <cell r="D414" t="str">
            <v>R2</v>
          </cell>
          <cell r="E414" t="str">
            <v>ORD</v>
          </cell>
          <cell r="F414" t="str">
            <v>RN</v>
          </cell>
          <cell r="G414" t="str">
            <v>P</v>
          </cell>
          <cell r="H414" t="str">
            <v>R</v>
          </cell>
        </row>
        <row r="415">
          <cell r="A415">
            <v>3190</v>
          </cell>
          <cell r="C415" t="str">
            <v>KHOUILI</v>
          </cell>
          <cell r="D415" t="str">
            <v>R2</v>
          </cell>
          <cell r="E415" t="str">
            <v>ORD</v>
          </cell>
          <cell r="F415" t="str">
            <v>RN</v>
          </cell>
          <cell r="G415" t="str">
            <v>P</v>
          </cell>
          <cell r="H415" t="str">
            <v>R</v>
          </cell>
        </row>
        <row r="416">
          <cell r="A416">
            <v>3190</v>
          </cell>
          <cell r="C416" t="str">
            <v>KHOUILI</v>
          </cell>
          <cell r="D416" t="str">
            <v>R2</v>
          </cell>
          <cell r="E416" t="str">
            <v>ORD</v>
          </cell>
          <cell r="F416" t="str">
            <v>RN</v>
          </cell>
          <cell r="G416" t="str">
            <v>P</v>
          </cell>
          <cell r="H416" t="str">
            <v>R</v>
          </cell>
        </row>
        <row r="417">
          <cell r="A417">
            <v>3191</v>
          </cell>
          <cell r="B417">
            <v>30000000</v>
          </cell>
          <cell r="C417" t="str">
            <v>KARROUACHE</v>
          </cell>
          <cell r="D417" t="str">
            <v>R2</v>
          </cell>
          <cell r="E417" t="str">
            <v>ORD</v>
          </cell>
          <cell r="F417" t="str">
            <v>RN</v>
          </cell>
          <cell r="G417" t="str">
            <v>P</v>
          </cell>
          <cell r="H417" t="str">
            <v>R</v>
          </cell>
        </row>
        <row r="418">
          <cell r="A418">
            <v>3192</v>
          </cell>
          <cell r="B418">
            <v>30000</v>
          </cell>
          <cell r="C418" t="str">
            <v>RAOUIA</v>
          </cell>
          <cell r="D418" t="str">
            <v>R2</v>
          </cell>
          <cell r="E418" t="str">
            <v>ORD</v>
          </cell>
          <cell r="F418" t="str">
            <v>DN</v>
          </cell>
          <cell r="G418" t="str">
            <v>TC</v>
          </cell>
          <cell r="H418" t="str">
            <v>R</v>
          </cell>
        </row>
        <row r="419">
          <cell r="A419">
            <v>3193</v>
          </cell>
          <cell r="B419">
            <v>120000</v>
          </cell>
          <cell r="C419" t="str">
            <v>RAOUIA</v>
          </cell>
          <cell r="D419" t="str">
            <v>R2</v>
          </cell>
          <cell r="E419" t="str">
            <v>ORD</v>
          </cell>
          <cell r="F419" t="str">
            <v>RN</v>
          </cell>
          <cell r="G419" t="str">
            <v>TC</v>
          </cell>
          <cell r="H419" t="str">
            <v>R</v>
          </cell>
        </row>
        <row r="420">
          <cell r="A420">
            <v>3194</v>
          </cell>
          <cell r="B420">
            <v>3000000</v>
          </cell>
          <cell r="C420" t="str">
            <v>RAOUIA</v>
          </cell>
          <cell r="D420" t="str">
            <v>R2</v>
          </cell>
          <cell r="E420" t="str">
            <v>ORD</v>
          </cell>
          <cell r="F420" t="str">
            <v>RN</v>
          </cell>
          <cell r="G420" t="str">
            <v>TC</v>
          </cell>
          <cell r="H420" t="str">
            <v>R</v>
          </cell>
        </row>
        <row r="421">
          <cell r="A421">
            <v>3195</v>
          </cell>
          <cell r="B421">
            <v>3600000</v>
          </cell>
          <cell r="C421" t="str">
            <v>RAOUIA</v>
          </cell>
          <cell r="D421" t="str">
            <v>R2</v>
          </cell>
          <cell r="E421" t="str">
            <v>ORD</v>
          </cell>
          <cell r="F421" t="str">
            <v>RN</v>
          </cell>
          <cell r="G421" t="str">
            <v>TC</v>
          </cell>
          <cell r="H421" t="str">
            <v>R</v>
          </cell>
        </row>
        <row r="422">
          <cell r="A422">
            <v>3196</v>
          </cell>
          <cell r="B422">
            <v>1580000</v>
          </cell>
          <cell r="C422" t="str">
            <v>RAOUIA</v>
          </cell>
          <cell r="D422" t="str">
            <v>R2</v>
          </cell>
          <cell r="E422" t="str">
            <v>ORD</v>
          </cell>
          <cell r="F422" t="str">
            <v>RN</v>
          </cell>
          <cell r="G422" t="str">
            <v>TC</v>
          </cell>
          <cell r="H422" t="str">
            <v>R</v>
          </cell>
        </row>
        <row r="423">
          <cell r="A423">
            <v>3197</v>
          </cell>
          <cell r="B423">
            <v>450000</v>
          </cell>
          <cell r="C423" t="str">
            <v>SAOUD</v>
          </cell>
          <cell r="D423" t="str">
            <v>R2</v>
          </cell>
          <cell r="E423" t="str">
            <v>ORD</v>
          </cell>
          <cell r="F423" t="str">
            <v>RN</v>
          </cell>
          <cell r="G423" t="str">
            <v>L</v>
          </cell>
          <cell r="H423" t="str">
            <v>R</v>
          </cell>
        </row>
        <row r="424">
          <cell r="A424">
            <v>3198</v>
          </cell>
          <cell r="B424">
            <v>400000</v>
          </cell>
          <cell r="C424" t="str">
            <v>SAOUD</v>
          </cell>
          <cell r="D424" t="str">
            <v>R2</v>
          </cell>
          <cell r="E424" t="str">
            <v>ORD</v>
          </cell>
          <cell r="F424" t="str">
            <v>DN</v>
          </cell>
          <cell r="G424" t="str">
            <v>L</v>
          </cell>
          <cell r="H424" t="str">
            <v>R</v>
          </cell>
        </row>
        <row r="425">
          <cell r="A425">
            <v>3199</v>
          </cell>
          <cell r="B425">
            <v>230000</v>
          </cell>
          <cell r="C425" t="str">
            <v>SAOUD</v>
          </cell>
          <cell r="D425" t="str">
            <v>R2</v>
          </cell>
          <cell r="E425" t="str">
            <v>ORD</v>
          </cell>
          <cell r="F425" t="str">
            <v>DN</v>
          </cell>
          <cell r="G425" t="str">
            <v>L</v>
          </cell>
          <cell r="H425" t="str">
            <v>R</v>
          </cell>
        </row>
        <row r="426">
          <cell r="A426">
            <v>3200</v>
          </cell>
          <cell r="B426">
            <v>300000</v>
          </cell>
          <cell r="C426" t="str">
            <v>SAOUD</v>
          </cell>
          <cell r="D426" t="str">
            <v>R6</v>
          </cell>
          <cell r="E426" t="str">
            <v>ADM</v>
          </cell>
          <cell r="F426" t="str">
            <v>DN</v>
          </cell>
          <cell r="G426" t="str">
            <v>L</v>
          </cell>
          <cell r="H426" t="str">
            <v>R</v>
          </cell>
        </row>
        <row r="427">
          <cell r="A427">
            <v>3201</v>
          </cell>
          <cell r="B427">
            <v>80000</v>
          </cell>
          <cell r="C427" t="str">
            <v>SAOUD</v>
          </cell>
          <cell r="D427" t="str">
            <v>R2</v>
          </cell>
          <cell r="E427" t="str">
            <v>ORD</v>
          </cell>
          <cell r="F427" t="str">
            <v>DN</v>
          </cell>
          <cell r="G427" t="str">
            <v>L</v>
          </cell>
          <cell r="H427" t="str">
            <v>R</v>
          </cell>
        </row>
        <row r="428">
          <cell r="A428">
            <v>3202</v>
          </cell>
          <cell r="B428">
            <v>950000</v>
          </cell>
          <cell r="C428" t="str">
            <v>SAOUD</v>
          </cell>
          <cell r="D428" t="str">
            <v>R2</v>
          </cell>
          <cell r="E428" t="str">
            <v>ORD</v>
          </cell>
          <cell r="F428" t="str">
            <v>DN</v>
          </cell>
          <cell r="G428" t="str">
            <v>L</v>
          </cell>
          <cell r="H428" t="str">
            <v>R</v>
          </cell>
        </row>
        <row r="429">
          <cell r="A429">
            <v>3202</v>
          </cell>
          <cell r="C429" t="str">
            <v>SAOUD</v>
          </cell>
          <cell r="D429" t="str">
            <v>R2</v>
          </cell>
          <cell r="E429" t="str">
            <v>ORD</v>
          </cell>
          <cell r="F429" t="str">
            <v>DN</v>
          </cell>
          <cell r="G429" t="str">
            <v>L</v>
          </cell>
          <cell r="H429" t="str">
            <v>R</v>
          </cell>
        </row>
        <row r="430">
          <cell r="A430">
            <v>3203</v>
          </cell>
          <cell r="B430">
            <v>18000</v>
          </cell>
          <cell r="C430" t="str">
            <v>CHARKI</v>
          </cell>
          <cell r="D430" t="str">
            <v>R6</v>
          </cell>
          <cell r="E430" t="str">
            <v>ADM</v>
          </cell>
          <cell r="F430" t="str">
            <v>DN</v>
          </cell>
          <cell r="G430" t="str">
            <v>P</v>
          </cell>
          <cell r="H430" t="str">
            <v>R</v>
          </cell>
        </row>
        <row r="431">
          <cell r="A431">
            <v>3204</v>
          </cell>
          <cell r="B431">
            <v>300000</v>
          </cell>
          <cell r="C431" t="str">
            <v>MHADI</v>
          </cell>
          <cell r="D431" t="str">
            <v>R2</v>
          </cell>
          <cell r="E431" t="str">
            <v>ORD</v>
          </cell>
          <cell r="F431" t="str">
            <v>DN</v>
          </cell>
          <cell r="G431" t="str">
            <v>P</v>
          </cell>
          <cell r="H431" t="str">
            <v>R</v>
          </cell>
        </row>
        <row r="432">
          <cell r="A432">
            <v>3205</v>
          </cell>
          <cell r="B432">
            <v>430000</v>
          </cell>
          <cell r="C432" t="str">
            <v>ELBOUCHRIFI</v>
          </cell>
          <cell r="D432" t="str">
            <v>R2</v>
          </cell>
          <cell r="E432" t="str">
            <v>ORD</v>
          </cell>
          <cell r="F432" t="str">
            <v>DN</v>
          </cell>
          <cell r="G432" t="str">
            <v>P</v>
          </cell>
          <cell r="H432" t="str">
            <v>R</v>
          </cell>
        </row>
        <row r="433">
          <cell r="A433">
            <v>3206</v>
          </cell>
          <cell r="B433">
            <v>605000</v>
          </cell>
          <cell r="C433" t="str">
            <v>ELBOUCHRIFI</v>
          </cell>
          <cell r="D433" t="str">
            <v>R2</v>
          </cell>
          <cell r="E433" t="str">
            <v>ORD</v>
          </cell>
          <cell r="F433" t="str">
            <v>DN</v>
          </cell>
          <cell r="G433" t="str">
            <v>P</v>
          </cell>
          <cell r="H433" t="str">
            <v>R</v>
          </cell>
        </row>
        <row r="434">
          <cell r="A434">
            <v>3206</v>
          </cell>
          <cell r="C434" t="str">
            <v>ELBOUCHRIFI</v>
          </cell>
          <cell r="D434" t="str">
            <v>R2</v>
          </cell>
          <cell r="E434" t="str">
            <v>ORD</v>
          </cell>
          <cell r="F434" t="str">
            <v>DN</v>
          </cell>
          <cell r="G434" t="str">
            <v>P</v>
          </cell>
          <cell r="H434" t="str">
            <v>R</v>
          </cell>
        </row>
        <row r="435">
          <cell r="A435">
            <v>3206</v>
          </cell>
          <cell r="C435" t="str">
            <v>ELBOUCHRIFI</v>
          </cell>
          <cell r="D435" t="str">
            <v>R2</v>
          </cell>
          <cell r="E435" t="str">
            <v>ORD</v>
          </cell>
          <cell r="F435" t="str">
            <v>DN</v>
          </cell>
          <cell r="G435" t="str">
            <v>P</v>
          </cell>
          <cell r="H435" t="str">
            <v>R</v>
          </cell>
        </row>
        <row r="436">
          <cell r="A436">
            <v>3206</v>
          </cell>
          <cell r="C436" t="str">
            <v>ELBOUCHRIFI</v>
          </cell>
          <cell r="D436" t="str">
            <v>R2</v>
          </cell>
          <cell r="E436" t="str">
            <v>ORD</v>
          </cell>
          <cell r="F436" t="str">
            <v>DN</v>
          </cell>
          <cell r="G436" t="str">
            <v>P</v>
          </cell>
          <cell r="H436" t="str">
            <v>R</v>
          </cell>
        </row>
        <row r="437">
          <cell r="A437">
            <v>3207</v>
          </cell>
          <cell r="B437">
            <v>200000</v>
          </cell>
          <cell r="C437" t="str">
            <v>EL KASSI</v>
          </cell>
          <cell r="D437" t="str">
            <v>R2</v>
          </cell>
          <cell r="E437" t="str">
            <v>ORD</v>
          </cell>
          <cell r="F437" t="str">
            <v>DN</v>
          </cell>
          <cell r="G437" t="str">
            <v>P</v>
          </cell>
          <cell r="H437" t="str">
            <v>R</v>
          </cell>
        </row>
        <row r="438">
          <cell r="A438">
            <v>3207</v>
          </cell>
          <cell r="C438" t="str">
            <v>EL KASSI</v>
          </cell>
          <cell r="D438" t="str">
            <v>R2</v>
          </cell>
          <cell r="E438" t="str">
            <v>ORD</v>
          </cell>
          <cell r="F438" t="str">
            <v>DN</v>
          </cell>
          <cell r="G438" t="str">
            <v>P</v>
          </cell>
          <cell r="H438" t="str">
            <v>R</v>
          </cell>
        </row>
        <row r="439">
          <cell r="A439">
            <v>3208</v>
          </cell>
          <cell r="B439">
            <v>150000</v>
          </cell>
          <cell r="C439" t="str">
            <v>AMRAOUZA</v>
          </cell>
          <cell r="D439" t="str">
            <v>R6</v>
          </cell>
          <cell r="E439" t="str">
            <v>ADM</v>
          </cell>
          <cell r="F439" t="str">
            <v>DN</v>
          </cell>
          <cell r="G439" t="str">
            <v>P</v>
          </cell>
          <cell r="H439" t="str">
            <v>R</v>
          </cell>
        </row>
        <row r="440">
          <cell r="A440">
            <v>3209</v>
          </cell>
          <cell r="B440">
            <v>445200</v>
          </cell>
          <cell r="C440" t="str">
            <v>CHARKI</v>
          </cell>
          <cell r="D440" t="str">
            <v>R6</v>
          </cell>
          <cell r="E440" t="str">
            <v>ADM</v>
          </cell>
          <cell r="F440" t="str">
            <v>DN</v>
          </cell>
          <cell r="G440" t="str">
            <v>P</v>
          </cell>
          <cell r="H440" t="str">
            <v>R</v>
          </cell>
        </row>
        <row r="441">
          <cell r="A441">
            <v>3210</v>
          </cell>
          <cell r="B441">
            <v>450000</v>
          </cell>
          <cell r="C441" t="str">
            <v>BENZAKI</v>
          </cell>
          <cell r="D441" t="str">
            <v>R2</v>
          </cell>
          <cell r="E441" t="str">
            <v>ORD</v>
          </cell>
          <cell r="F441" t="str">
            <v>DN</v>
          </cell>
          <cell r="G441" t="str">
            <v>L</v>
          </cell>
          <cell r="H441" t="str">
            <v>R</v>
          </cell>
        </row>
        <row r="442">
          <cell r="A442">
            <v>3211</v>
          </cell>
          <cell r="B442">
            <v>66000</v>
          </cell>
          <cell r="C442" t="str">
            <v>LAGHRIB</v>
          </cell>
          <cell r="D442" t="str">
            <v>R10</v>
          </cell>
          <cell r="E442" t="str">
            <v>MED</v>
          </cell>
          <cell r="F442" t="str">
            <v>DN</v>
          </cell>
          <cell r="G442" t="str">
            <v>AK</v>
          </cell>
          <cell r="H442" t="str">
            <v>R</v>
          </cell>
        </row>
        <row r="443">
          <cell r="A443">
            <v>3212</v>
          </cell>
          <cell r="B443">
            <v>30000</v>
          </cell>
          <cell r="C443" t="str">
            <v>LAGHRIB</v>
          </cell>
          <cell r="D443" t="str">
            <v>R10</v>
          </cell>
          <cell r="E443" t="str">
            <v>MED</v>
          </cell>
          <cell r="F443" t="str">
            <v>RN</v>
          </cell>
          <cell r="G443" t="str">
            <v>AK</v>
          </cell>
          <cell r="H443" t="str">
            <v>R</v>
          </cell>
        </row>
        <row r="444">
          <cell r="A444">
            <v>3213</v>
          </cell>
          <cell r="B444">
            <v>67000</v>
          </cell>
          <cell r="C444" t="str">
            <v>SEMMACH</v>
          </cell>
          <cell r="D444" t="str">
            <v>R6</v>
          </cell>
          <cell r="E444" t="str">
            <v>ADM</v>
          </cell>
          <cell r="F444" t="str">
            <v>RN</v>
          </cell>
          <cell r="G444" t="str">
            <v>AK</v>
          </cell>
          <cell r="H444" t="str">
            <v>R</v>
          </cell>
        </row>
        <row r="445">
          <cell r="A445">
            <v>3214</v>
          </cell>
          <cell r="B445">
            <v>100000</v>
          </cell>
          <cell r="C445" t="str">
            <v>RAOUIA</v>
          </cell>
          <cell r="D445" t="str">
            <v>R3</v>
          </cell>
          <cell r="E445" t="str">
            <v>ORD</v>
          </cell>
          <cell r="F445" t="str">
            <v>DN</v>
          </cell>
          <cell r="G445" t="str">
            <v>TC</v>
          </cell>
          <cell r="H445" t="str">
            <v>R</v>
          </cell>
        </row>
        <row r="446">
          <cell r="A446">
            <v>3215</v>
          </cell>
          <cell r="B446">
            <v>480000</v>
          </cell>
          <cell r="C446" t="str">
            <v>TOGHZAOUI</v>
          </cell>
          <cell r="D446" t="str">
            <v>R2</v>
          </cell>
          <cell r="E446" t="str">
            <v>ORD</v>
          </cell>
          <cell r="F446" t="str">
            <v>RN</v>
          </cell>
          <cell r="G446" t="str">
            <v>T</v>
          </cell>
          <cell r="H446" t="str">
            <v>R</v>
          </cell>
        </row>
        <row r="447">
          <cell r="A447">
            <v>3216</v>
          </cell>
          <cell r="B447">
            <v>2000000</v>
          </cell>
          <cell r="C447" t="str">
            <v>TOGHZAOUI</v>
          </cell>
          <cell r="D447" t="str">
            <v>R2</v>
          </cell>
          <cell r="E447" t="str">
            <v>ORD</v>
          </cell>
          <cell r="F447" t="str">
            <v>DN</v>
          </cell>
          <cell r="G447" t="str">
            <v>T</v>
          </cell>
          <cell r="H447" t="str">
            <v>R</v>
          </cell>
        </row>
        <row r="448">
          <cell r="A448">
            <v>3217</v>
          </cell>
          <cell r="B448">
            <v>480000</v>
          </cell>
          <cell r="C448" t="str">
            <v>TOGHZAOUI</v>
          </cell>
          <cell r="D448" t="str">
            <v>R2</v>
          </cell>
          <cell r="E448" t="str">
            <v>ORD</v>
          </cell>
          <cell r="F448" t="str">
            <v>DN</v>
          </cell>
          <cell r="G448" t="str">
            <v>T</v>
          </cell>
          <cell r="H448" t="str">
            <v>R</v>
          </cell>
        </row>
        <row r="449">
          <cell r="A449">
            <v>3218</v>
          </cell>
          <cell r="B449">
            <v>480000</v>
          </cell>
          <cell r="C449" t="str">
            <v>TOGHZAOUI</v>
          </cell>
          <cell r="D449" t="str">
            <v>R2</v>
          </cell>
          <cell r="E449" t="str">
            <v>ORD</v>
          </cell>
          <cell r="F449" t="str">
            <v>DN</v>
          </cell>
          <cell r="G449" t="str">
            <v>T</v>
          </cell>
          <cell r="H449" t="str">
            <v>R</v>
          </cell>
        </row>
        <row r="450">
          <cell r="A450">
            <v>3219</v>
          </cell>
          <cell r="B450">
            <v>350000</v>
          </cell>
          <cell r="C450" t="str">
            <v>TOGHZAOUI</v>
          </cell>
          <cell r="D450" t="str">
            <v>R2</v>
          </cell>
          <cell r="E450" t="str">
            <v>ORD</v>
          </cell>
          <cell r="F450" t="str">
            <v>RN</v>
          </cell>
          <cell r="G450" t="str">
            <v>T</v>
          </cell>
          <cell r="H450" t="str">
            <v>R</v>
          </cell>
        </row>
        <row r="451">
          <cell r="A451">
            <v>3220</v>
          </cell>
          <cell r="B451">
            <v>1400000</v>
          </cell>
          <cell r="C451" t="str">
            <v>TOGHZAOUI</v>
          </cell>
          <cell r="D451" t="str">
            <v>R2</v>
          </cell>
          <cell r="E451" t="str">
            <v>ORD</v>
          </cell>
          <cell r="F451" t="str">
            <v>DN</v>
          </cell>
          <cell r="G451" t="str">
            <v>T</v>
          </cell>
          <cell r="H451" t="str">
            <v>R</v>
          </cell>
        </row>
        <row r="452">
          <cell r="A452">
            <v>3221</v>
          </cell>
          <cell r="B452">
            <v>1320000</v>
          </cell>
          <cell r="C452" t="str">
            <v>TOGHZAOUI</v>
          </cell>
          <cell r="D452" t="str">
            <v>R2</v>
          </cell>
          <cell r="E452" t="str">
            <v>ORD</v>
          </cell>
          <cell r="F452" t="str">
            <v>DN</v>
          </cell>
          <cell r="G452" t="str">
            <v>T</v>
          </cell>
          <cell r="H452" t="str">
            <v>R</v>
          </cell>
        </row>
        <row r="453">
          <cell r="A453">
            <v>3222</v>
          </cell>
          <cell r="B453">
            <v>490000</v>
          </cell>
          <cell r="C453" t="str">
            <v>TOGHZAOUI</v>
          </cell>
          <cell r="D453" t="str">
            <v>R2</v>
          </cell>
          <cell r="E453" t="str">
            <v>ORD</v>
          </cell>
          <cell r="F453" t="str">
            <v>DN</v>
          </cell>
          <cell r="G453" t="str">
            <v>T</v>
          </cell>
          <cell r="H453" t="str">
            <v>R</v>
          </cell>
        </row>
        <row r="454">
          <cell r="A454">
            <v>3223</v>
          </cell>
          <cell r="B454">
            <v>480000</v>
          </cell>
          <cell r="C454" t="str">
            <v>TOGHZAOUI</v>
          </cell>
          <cell r="D454" t="str">
            <v>R2</v>
          </cell>
          <cell r="E454" t="str">
            <v>ORD</v>
          </cell>
          <cell r="F454" t="str">
            <v>DN</v>
          </cell>
          <cell r="G454" t="str">
            <v>T</v>
          </cell>
          <cell r="H454" t="str">
            <v>R</v>
          </cell>
        </row>
        <row r="455">
          <cell r="A455">
            <v>3225</v>
          </cell>
          <cell r="B455">
            <v>300000</v>
          </cell>
          <cell r="C455" t="str">
            <v>TOGHZAOUI</v>
          </cell>
          <cell r="D455" t="str">
            <v>R2</v>
          </cell>
          <cell r="E455" t="str">
            <v>ORD</v>
          </cell>
          <cell r="F455" t="str">
            <v>DN</v>
          </cell>
          <cell r="G455" t="str">
            <v>T</v>
          </cell>
          <cell r="H455" t="str">
            <v>R</v>
          </cell>
        </row>
        <row r="456">
          <cell r="A456">
            <v>3226</v>
          </cell>
          <cell r="B456">
            <v>490000</v>
          </cell>
          <cell r="C456" t="str">
            <v>TOGHZAOUI</v>
          </cell>
          <cell r="D456" t="str">
            <v>R2</v>
          </cell>
          <cell r="E456" t="str">
            <v>ORD</v>
          </cell>
          <cell r="F456" t="str">
            <v>DN</v>
          </cell>
          <cell r="G456" t="str">
            <v>T</v>
          </cell>
          <cell r="H456" t="str">
            <v>R</v>
          </cell>
        </row>
        <row r="457">
          <cell r="A457">
            <v>3227</v>
          </cell>
          <cell r="B457">
            <v>350000</v>
          </cell>
          <cell r="C457" t="str">
            <v>TOGHZAOUI</v>
          </cell>
          <cell r="D457" t="str">
            <v>R2</v>
          </cell>
          <cell r="E457" t="str">
            <v>ORD</v>
          </cell>
          <cell r="F457" t="str">
            <v>DN</v>
          </cell>
          <cell r="G457" t="str">
            <v>T</v>
          </cell>
          <cell r="H457" t="str">
            <v>R</v>
          </cell>
        </row>
        <row r="458">
          <cell r="A458">
            <v>3228</v>
          </cell>
          <cell r="B458">
            <v>350000</v>
          </cell>
          <cell r="C458" t="str">
            <v>TOGHZAOUI</v>
          </cell>
          <cell r="D458" t="str">
            <v>R2</v>
          </cell>
          <cell r="E458" t="str">
            <v>ORD</v>
          </cell>
          <cell r="F458" t="str">
            <v>DN</v>
          </cell>
          <cell r="G458" t="str">
            <v>T</v>
          </cell>
          <cell r="H458" t="str">
            <v>R</v>
          </cell>
        </row>
        <row r="459">
          <cell r="A459">
            <v>3229</v>
          </cell>
          <cell r="B459">
            <v>4800000</v>
          </cell>
          <cell r="C459" t="str">
            <v>TOGHZAOUI</v>
          </cell>
          <cell r="D459" t="str">
            <v>R2</v>
          </cell>
          <cell r="E459" t="str">
            <v>ORD</v>
          </cell>
          <cell r="F459" t="str">
            <v>DN</v>
          </cell>
          <cell r="G459" t="str">
            <v>T</v>
          </cell>
          <cell r="H459" t="str">
            <v>R</v>
          </cell>
        </row>
        <row r="460">
          <cell r="A460">
            <v>3230</v>
          </cell>
          <cell r="B460">
            <v>480000</v>
          </cell>
          <cell r="C460" t="str">
            <v>TOGHZAOUI</v>
          </cell>
          <cell r="D460" t="str">
            <v>R2</v>
          </cell>
          <cell r="E460" t="str">
            <v>ORD</v>
          </cell>
          <cell r="F460" t="str">
            <v>DN</v>
          </cell>
          <cell r="G460" t="str">
            <v>T</v>
          </cell>
          <cell r="H460" t="str">
            <v>R</v>
          </cell>
        </row>
        <row r="461">
          <cell r="A461">
            <v>3231</v>
          </cell>
          <cell r="B461">
            <v>134000</v>
          </cell>
          <cell r="C461" t="str">
            <v>MANSOURI</v>
          </cell>
          <cell r="D461" t="str">
            <v>R6</v>
          </cell>
          <cell r="E461" t="str">
            <v>ADM</v>
          </cell>
          <cell r="F461" t="str">
            <v>RN</v>
          </cell>
          <cell r="G461" t="str">
            <v>T</v>
          </cell>
          <cell r="H461" t="str">
            <v>R</v>
          </cell>
        </row>
        <row r="462">
          <cell r="A462">
            <v>3232</v>
          </cell>
          <cell r="B462">
            <v>30000</v>
          </cell>
          <cell r="C462" t="str">
            <v>MANSOURI</v>
          </cell>
          <cell r="D462" t="str">
            <v>R6</v>
          </cell>
          <cell r="E462" t="str">
            <v>ADM</v>
          </cell>
          <cell r="F462" t="str">
            <v>RN</v>
          </cell>
          <cell r="G462" t="str">
            <v>T</v>
          </cell>
          <cell r="H462" t="str">
            <v>R</v>
          </cell>
        </row>
        <row r="463">
          <cell r="A463">
            <v>3233</v>
          </cell>
          <cell r="B463">
            <v>388000</v>
          </cell>
          <cell r="C463" t="str">
            <v>MANSOURI</v>
          </cell>
          <cell r="D463" t="str">
            <v>R6</v>
          </cell>
          <cell r="E463" t="str">
            <v>ADM</v>
          </cell>
          <cell r="F463" t="str">
            <v>RN</v>
          </cell>
          <cell r="G463" t="str">
            <v>T</v>
          </cell>
          <cell r="H463" t="str">
            <v>R</v>
          </cell>
        </row>
        <row r="464">
          <cell r="A464">
            <v>3234</v>
          </cell>
          <cell r="B464">
            <v>183000</v>
          </cell>
          <cell r="C464" t="str">
            <v>MANSOURI</v>
          </cell>
          <cell r="D464" t="str">
            <v>R6</v>
          </cell>
          <cell r="E464" t="str">
            <v>ADM</v>
          </cell>
          <cell r="F464" t="str">
            <v>DN</v>
          </cell>
          <cell r="G464" t="str">
            <v>T</v>
          </cell>
          <cell r="H464" t="str">
            <v>R</v>
          </cell>
        </row>
        <row r="465">
          <cell r="A465">
            <v>3235</v>
          </cell>
          <cell r="B465">
            <v>375000</v>
          </cell>
          <cell r="C465" t="str">
            <v>OUAMALICH</v>
          </cell>
          <cell r="D465" t="str">
            <v>R2</v>
          </cell>
          <cell r="E465" t="str">
            <v>ORD</v>
          </cell>
          <cell r="F465" t="str">
            <v>DN</v>
          </cell>
          <cell r="G465" t="str">
            <v>T</v>
          </cell>
          <cell r="H465" t="str">
            <v>R</v>
          </cell>
        </row>
        <row r="466">
          <cell r="A466">
            <v>3236</v>
          </cell>
          <cell r="B466">
            <v>175000</v>
          </cell>
          <cell r="C466" t="str">
            <v>OUAMALICH</v>
          </cell>
          <cell r="D466" t="str">
            <v>R2</v>
          </cell>
          <cell r="E466" t="str">
            <v>ORD</v>
          </cell>
          <cell r="F466" t="str">
            <v>DN</v>
          </cell>
          <cell r="G466" t="str">
            <v>T</v>
          </cell>
          <cell r="H466" t="str">
            <v>R</v>
          </cell>
        </row>
        <row r="467">
          <cell r="A467">
            <v>3237</v>
          </cell>
          <cell r="B467">
            <v>480000</v>
          </cell>
          <cell r="C467" t="str">
            <v>JERRAR</v>
          </cell>
          <cell r="D467" t="str">
            <v>R2</v>
          </cell>
          <cell r="E467" t="str">
            <v>ORD</v>
          </cell>
          <cell r="F467" t="str">
            <v>RN</v>
          </cell>
          <cell r="G467" t="str">
            <v>T</v>
          </cell>
          <cell r="H467" t="str">
            <v>R</v>
          </cell>
        </row>
        <row r="468">
          <cell r="A468">
            <v>3238</v>
          </cell>
          <cell r="B468">
            <v>5400000</v>
          </cell>
          <cell r="C468" t="str">
            <v>JERRAR</v>
          </cell>
          <cell r="D468" t="str">
            <v>R2</v>
          </cell>
          <cell r="E468" t="str">
            <v>ORD</v>
          </cell>
          <cell r="F468" t="str">
            <v>RN</v>
          </cell>
          <cell r="G468" t="str">
            <v>T</v>
          </cell>
          <cell r="H468" t="str">
            <v>R</v>
          </cell>
        </row>
        <row r="469">
          <cell r="A469">
            <v>3239</v>
          </cell>
          <cell r="B469">
            <v>25000000</v>
          </cell>
          <cell r="C469" t="str">
            <v>BENCHEKROUN</v>
          </cell>
          <cell r="D469" t="str">
            <v>R7</v>
          </cell>
          <cell r="E469" t="str">
            <v>ORD</v>
          </cell>
          <cell r="F469" t="str">
            <v>DN</v>
          </cell>
          <cell r="G469" t="str">
            <v>T</v>
          </cell>
          <cell r="H469" t="str">
            <v>R</v>
          </cell>
        </row>
        <row r="470">
          <cell r="A470">
            <v>3240</v>
          </cell>
          <cell r="B470">
            <v>0</v>
          </cell>
          <cell r="C470" t="str">
            <v>ALOUANI</v>
          </cell>
          <cell r="D470" t="str">
            <v>R1</v>
          </cell>
          <cell r="E470" t="str">
            <v>ORD</v>
          </cell>
          <cell r="F470" t="str">
            <v>DN</v>
          </cell>
          <cell r="G470" t="str">
            <v>T</v>
          </cell>
          <cell r="H470" t="str">
            <v>R</v>
          </cell>
        </row>
        <row r="471">
          <cell r="A471">
            <v>3242</v>
          </cell>
          <cell r="B471">
            <v>30000000</v>
          </cell>
          <cell r="C471" t="str">
            <v>BOUALAM</v>
          </cell>
          <cell r="D471" t="str">
            <v>R1</v>
          </cell>
          <cell r="E471" t="str">
            <v>IMP</v>
          </cell>
          <cell r="F471" t="str">
            <v>DN</v>
          </cell>
          <cell r="G471" t="str">
            <v>T</v>
          </cell>
          <cell r="H471" t="str">
            <v>R</v>
          </cell>
        </row>
        <row r="472">
          <cell r="A472">
            <v>3243</v>
          </cell>
          <cell r="B472">
            <v>15000000</v>
          </cell>
          <cell r="C472" t="str">
            <v>NOUARI</v>
          </cell>
          <cell r="D472" t="str">
            <v>R1</v>
          </cell>
          <cell r="E472" t="str">
            <v>IMP</v>
          </cell>
          <cell r="F472" t="str">
            <v>DN</v>
          </cell>
          <cell r="G472" t="str">
            <v>T</v>
          </cell>
          <cell r="H472" t="str">
            <v>R</v>
          </cell>
        </row>
        <row r="473">
          <cell r="A473">
            <v>3244</v>
          </cell>
          <cell r="B473">
            <v>172300</v>
          </cell>
          <cell r="C473" t="str">
            <v>ABBOUDE</v>
          </cell>
          <cell r="D473" t="str">
            <v>R7</v>
          </cell>
          <cell r="E473" t="str">
            <v>ORD</v>
          </cell>
          <cell r="F473" t="str">
            <v>DN</v>
          </cell>
          <cell r="G473" t="str">
            <v>T</v>
          </cell>
          <cell r="H473" t="str">
            <v>R</v>
          </cell>
        </row>
        <row r="474">
          <cell r="A474">
            <v>3245</v>
          </cell>
          <cell r="B474">
            <v>15000</v>
          </cell>
          <cell r="C474" t="str">
            <v>ASSOUD</v>
          </cell>
          <cell r="D474" t="str">
            <v>R7</v>
          </cell>
          <cell r="E474" t="str">
            <v>ORD</v>
          </cell>
          <cell r="F474" t="str">
            <v>RN</v>
          </cell>
          <cell r="G474" t="str">
            <v>T</v>
          </cell>
          <cell r="H474" t="str">
            <v>R</v>
          </cell>
        </row>
        <row r="475">
          <cell r="A475">
            <v>3246</v>
          </cell>
          <cell r="B475">
            <v>80000</v>
          </cell>
          <cell r="C475" t="str">
            <v>ASSOUD</v>
          </cell>
          <cell r="D475" t="str">
            <v>R7</v>
          </cell>
          <cell r="E475" t="str">
            <v>ORD</v>
          </cell>
          <cell r="F475" t="str">
            <v>RN</v>
          </cell>
          <cell r="G475" t="str">
            <v>T</v>
          </cell>
          <cell r="H475" t="str">
            <v>R</v>
          </cell>
        </row>
        <row r="476">
          <cell r="A476">
            <v>3247</v>
          </cell>
          <cell r="B476">
            <v>102000</v>
          </cell>
          <cell r="C476" t="str">
            <v>ASSOUD</v>
          </cell>
          <cell r="D476" t="str">
            <v>R7</v>
          </cell>
          <cell r="E476" t="str">
            <v>ORD</v>
          </cell>
          <cell r="F476" t="str">
            <v>DN</v>
          </cell>
          <cell r="G476" t="str">
            <v>T</v>
          </cell>
          <cell r="H476" t="str">
            <v>R</v>
          </cell>
        </row>
        <row r="477">
          <cell r="A477">
            <v>3248</v>
          </cell>
          <cell r="B477">
            <v>1000000</v>
          </cell>
          <cell r="C477" t="str">
            <v>ASSOUD</v>
          </cell>
          <cell r="D477" t="str">
            <v>R7</v>
          </cell>
          <cell r="E477" t="str">
            <v>ORD</v>
          </cell>
          <cell r="F477" t="str">
            <v>RN</v>
          </cell>
          <cell r="G477" t="str">
            <v>T</v>
          </cell>
          <cell r="H477" t="str">
            <v>R</v>
          </cell>
        </row>
        <row r="478">
          <cell r="A478">
            <v>3249</v>
          </cell>
          <cell r="B478">
            <v>180000</v>
          </cell>
          <cell r="C478" t="str">
            <v>ASSOUD</v>
          </cell>
          <cell r="D478" t="str">
            <v>R7</v>
          </cell>
          <cell r="E478" t="str">
            <v>ORD</v>
          </cell>
          <cell r="F478" t="str">
            <v>RN</v>
          </cell>
          <cell r="G478" t="str">
            <v>T</v>
          </cell>
          <cell r="H478" t="str">
            <v>R</v>
          </cell>
        </row>
        <row r="479">
          <cell r="A479">
            <v>3250</v>
          </cell>
          <cell r="B479">
            <v>168000</v>
          </cell>
          <cell r="C479" t="str">
            <v>ASSOUD</v>
          </cell>
          <cell r="D479" t="str">
            <v>R7</v>
          </cell>
          <cell r="E479" t="str">
            <v>ORD</v>
          </cell>
          <cell r="F479" t="str">
            <v>RN</v>
          </cell>
          <cell r="G479" t="str">
            <v>T</v>
          </cell>
          <cell r="H479" t="str">
            <v>R</v>
          </cell>
        </row>
        <row r="480">
          <cell r="A480">
            <v>3251</v>
          </cell>
          <cell r="B480">
            <v>239000</v>
          </cell>
          <cell r="C480" t="str">
            <v>ASSOUD</v>
          </cell>
          <cell r="D480" t="str">
            <v>R7</v>
          </cell>
          <cell r="E480" t="str">
            <v>ORD</v>
          </cell>
          <cell r="F480" t="str">
            <v>DN</v>
          </cell>
          <cell r="G480" t="str">
            <v>T</v>
          </cell>
          <cell r="H480" t="str">
            <v>R</v>
          </cell>
        </row>
        <row r="481">
          <cell r="A481">
            <v>3252</v>
          </cell>
          <cell r="B481">
            <v>3000000</v>
          </cell>
          <cell r="C481" t="str">
            <v>LAHMIDI</v>
          </cell>
          <cell r="D481" t="str">
            <v>R2</v>
          </cell>
          <cell r="E481" t="str">
            <v>ORD</v>
          </cell>
          <cell r="F481" t="str">
            <v>RN</v>
          </cell>
          <cell r="G481" t="str">
            <v>T</v>
          </cell>
          <cell r="H481" t="str">
            <v>R</v>
          </cell>
        </row>
        <row r="482">
          <cell r="A482">
            <v>3254</v>
          </cell>
          <cell r="B482">
            <v>150000000</v>
          </cell>
          <cell r="C482" t="str">
            <v>MOUNTASSIR</v>
          </cell>
          <cell r="D482" t="str">
            <v>R1</v>
          </cell>
          <cell r="E482" t="str">
            <v>IMP</v>
          </cell>
          <cell r="F482" t="str">
            <v>DN</v>
          </cell>
          <cell r="G482" t="str">
            <v>T</v>
          </cell>
          <cell r="H482" t="str">
            <v>R</v>
          </cell>
        </row>
        <row r="483">
          <cell r="A483">
            <v>3255</v>
          </cell>
          <cell r="B483">
            <v>40000000</v>
          </cell>
          <cell r="C483" t="str">
            <v>MOUNTASSIR</v>
          </cell>
          <cell r="D483" t="str">
            <v>R1</v>
          </cell>
          <cell r="E483" t="str">
            <v>IMP</v>
          </cell>
          <cell r="F483" t="str">
            <v>DN</v>
          </cell>
          <cell r="G483" t="str">
            <v>T</v>
          </cell>
          <cell r="H483" t="str">
            <v>R</v>
          </cell>
        </row>
        <row r="484">
          <cell r="A484">
            <v>3256</v>
          </cell>
          <cell r="B484">
            <v>80000</v>
          </cell>
          <cell r="C484" t="str">
            <v>AAKIL</v>
          </cell>
          <cell r="D484" t="str">
            <v>R5</v>
          </cell>
          <cell r="E484" t="str">
            <v>ETUDES ET ESSAIS</v>
          </cell>
          <cell r="F484" t="str">
            <v>RN</v>
          </cell>
          <cell r="G484" t="str">
            <v>T</v>
          </cell>
          <cell r="H484" t="str">
            <v>R</v>
          </cell>
        </row>
        <row r="485">
          <cell r="A485">
            <v>3257</v>
          </cell>
          <cell r="B485">
            <v>40000</v>
          </cell>
          <cell r="C485" t="str">
            <v>MOUNTASSIR</v>
          </cell>
          <cell r="D485" t="str">
            <v>R5</v>
          </cell>
          <cell r="E485" t="str">
            <v>ETUDES ET ESSAIS</v>
          </cell>
          <cell r="F485" t="str">
            <v>RN</v>
          </cell>
          <cell r="G485" t="str">
            <v>T</v>
          </cell>
          <cell r="H485" t="str">
            <v>R</v>
          </cell>
        </row>
        <row r="486">
          <cell r="A486">
            <v>3258</v>
          </cell>
          <cell r="B486">
            <v>30000</v>
          </cell>
          <cell r="C486" t="str">
            <v>MOUNTASSIR</v>
          </cell>
          <cell r="D486" t="str">
            <v>R5</v>
          </cell>
          <cell r="E486" t="str">
            <v>ETUDES ET ESSAIS</v>
          </cell>
          <cell r="F486" t="str">
            <v>DN</v>
          </cell>
          <cell r="G486" t="str">
            <v>T</v>
          </cell>
          <cell r="H486" t="str">
            <v>R</v>
          </cell>
        </row>
        <row r="487">
          <cell r="A487">
            <v>3259</v>
          </cell>
          <cell r="B487">
            <v>950000</v>
          </cell>
          <cell r="C487" t="str">
            <v>CHNANI</v>
          </cell>
          <cell r="D487" t="str">
            <v>R2</v>
          </cell>
          <cell r="E487" t="str">
            <v>ORD</v>
          </cell>
          <cell r="F487" t="str">
            <v>RN</v>
          </cell>
          <cell r="G487" t="str">
            <v>T</v>
          </cell>
          <cell r="H487" t="str">
            <v>R</v>
          </cell>
        </row>
        <row r="488">
          <cell r="A488">
            <v>3260</v>
          </cell>
          <cell r="B488">
            <v>935000</v>
          </cell>
          <cell r="C488" t="str">
            <v>CHNANI</v>
          </cell>
          <cell r="D488" t="str">
            <v>R2</v>
          </cell>
          <cell r="E488" t="str">
            <v>ORD</v>
          </cell>
          <cell r="F488" t="str">
            <v>RN</v>
          </cell>
          <cell r="G488" t="str">
            <v>T</v>
          </cell>
          <cell r="H488" t="str">
            <v>R</v>
          </cell>
        </row>
        <row r="489">
          <cell r="A489">
            <v>3262</v>
          </cell>
          <cell r="B489">
            <v>980000</v>
          </cell>
          <cell r="C489" t="str">
            <v>CHNANI</v>
          </cell>
          <cell r="D489" t="str">
            <v>R2</v>
          </cell>
          <cell r="E489" t="str">
            <v>ORD</v>
          </cell>
          <cell r="F489" t="str">
            <v>DN</v>
          </cell>
          <cell r="G489" t="str">
            <v>T</v>
          </cell>
          <cell r="H489" t="str">
            <v>R</v>
          </cell>
        </row>
        <row r="490">
          <cell r="A490">
            <v>3263</v>
          </cell>
          <cell r="B490">
            <v>490000</v>
          </cell>
          <cell r="C490" t="str">
            <v>BERRADA</v>
          </cell>
          <cell r="D490" t="str">
            <v>R2</v>
          </cell>
          <cell r="E490" t="str">
            <v>ORD</v>
          </cell>
          <cell r="F490" t="str">
            <v>DN</v>
          </cell>
          <cell r="G490" t="str">
            <v>T</v>
          </cell>
          <cell r="H490" t="str">
            <v>R</v>
          </cell>
        </row>
        <row r="491">
          <cell r="A491">
            <v>3264</v>
          </cell>
          <cell r="B491">
            <v>850000</v>
          </cell>
          <cell r="C491" t="str">
            <v>CHNANI</v>
          </cell>
          <cell r="D491" t="str">
            <v>R2</v>
          </cell>
          <cell r="E491" t="str">
            <v>ORD</v>
          </cell>
          <cell r="F491" t="str">
            <v>RN</v>
          </cell>
          <cell r="G491" t="str">
            <v>T</v>
          </cell>
          <cell r="H491" t="str">
            <v>R</v>
          </cell>
        </row>
        <row r="492">
          <cell r="A492">
            <v>3265</v>
          </cell>
          <cell r="B492">
            <v>24000000</v>
          </cell>
          <cell r="C492" t="str">
            <v>LEBBARDI</v>
          </cell>
          <cell r="D492" t="str">
            <v>R2</v>
          </cell>
          <cell r="E492" t="str">
            <v>ORD</v>
          </cell>
          <cell r="F492" t="str">
            <v>DN</v>
          </cell>
          <cell r="G492" t="str">
            <v>T</v>
          </cell>
          <cell r="H492" t="str">
            <v>R</v>
          </cell>
        </row>
        <row r="493">
          <cell r="A493">
            <v>3266</v>
          </cell>
          <cell r="B493">
            <v>4900000</v>
          </cell>
          <cell r="C493" t="str">
            <v>BERRADA</v>
          </cell>
          <cell r="D493" t="str">
            <v>R2</v>
          </cell>
          <cell r="E493" t="str">
            <v>ORD</v>
          </cell>
          <cell r="F493" t="str">
            <v>DN</v>
          </cell>
          <cell r="G493" t="str">
            <v>T</v>
          </cell>
          <cell r="H493" t="str">
            <v>R</v>
          </cell>
        </row>
        <row r="494">
          <cell r="A494">
            <v>3267</v>
          </cell>
          <cell r="B494">
            <v>13200000</v>
          </cell>
          <cell r="C494" t="str">
            <v>CHNANI</v>
          </cell>
          <cell r="D494" t="str">
            <v>R2</v>
          </cell>
          <cell r="E494" t="str">
            <v>ORD</v>
          </cell>
          <cell r="F494" t="str">
            <v>RN</v>
          </cell>
          <cell r="G494" t="str">
            <v>T</v>
          </cell>
          <cell r="H494" t="str">
            <v>R</v>
          </cell>
        </row>
        <row r="495">
          <cell r="A495">
            <v>3268</v>
          </cell>
          <cell r="B495">
            <v>150000</v>
          </cell>
          <cell r="C495" t="str">
            <v>BERRADA</v>
          </cell>
          <cell r="D495" t="str">
            <v>R2</v>
          </cell>
          <cell r="E495" t="str">
            <v>ORD</v>
          </cell>
          <cell r="F495" t="str">
            <v>DN</v>
          </cell>
          <cell r="G495" t="str">
            <v>T</v>
          </cell>
          <cell r="H495" t="str">
            <v>R</v>
          </cell>
        </row>
        <row r="496">
          <cell r="A496">
            <v>3269</v>
          </cell>
          <cell r="B496">
            <v>490000</v>
          </cell>
          <cell r="C496" t="str">
            <v>CHNANI</v>
          </cell>
          <cell r="D496" t="str">
            <v>R2</v>
          </cell>
          <cell r="E496" t="str">
            <v>ORD</v>
          </cell>
          <cell r="F496" t="str">
            <v>RN</v>
          </cell>
          <cell r="G496" t="str">
            <v>T</v>
          </cell>
          <cell r="H496" t="str">
            <v>R</v>
          </cell>
        </row>
        <row r="497">
          <cell r="A497">
            <v>3270</v>
          </cell>
          <cell r="B497">
            <v>2340000</v>
          </cell>
          <cell r="C497" t="str">
            <v>BERRADA</v>
          </cell>
          <cell r="D497" t="str">
            <v>R2</v>
          </cell>
          <cell r="E497" t="str">
            <v>ORD</v>
          </cell>
          <cell r="F497" t="str">
            <v>DN</v>
          </cell>
          <cell r="G497" t="str">
            <v>T</v>
          </cell>
          <cell r="H497" t="str">
            <v>R</v>
          </cell>
        </row>
        <row r="498">
          <cell r="A498">
            <v>3271</v>
          </cell>
          <cell r="B498">
            <v>4510000</v>
          </cell>
          <cell r="C498" t="str">
            <v>CHNANI</v>
          </cell>
          <cell r="D498" t="str">
            <v>R2</v>
          </cell>
          <cell r="E498" t="str">
            <v>ORD</v>
          </cell>
          <cell r="F498" t="str">
            <v>RN</v>
          </cell>
          <cell r="G498" t="str">
            <v>T</v>
          </cell>
          <cell r="H498" t="str">
            <v>R</v>
          </cell>
        </row>
        <row r="499">
          <cell r="A499">
            <v>3272</v>
          </cell>
          <cell r="B499">
            <v>990000</v>
          </cell>
          <cell r="C499" t="str">
            <v>CHNANI</v>
          </cell>
          <cell r="D499" t="str">
            <v>R2</v>
          </cell>
          <cell r="E499" t="str">
            <v>ORD</v>
          </cell>
          <cell r="F499" t="str">
            <v>RN</v>
          </cell>
          <cell r="G499" t="str">
            <v>T</v>
          </cell>
          <cell r="H499" t="str">
            <v>R</v>
          </cell>
        </row>
        <row r="500">
          <cell r="A500">
            <v>3273</v>
          </cell>
          <cell r="B500">
            <v>2750000</v>
          </cell>
          <cell r="C500" t="str">
            <v>CHNANI</v>
          </cell>
          <cell r="D500" t="str">
            <v>R2</v>
          </cell>
          <cell r="E500" t="str">
            <v>ORD</v>
          </cell>
          <cell r="F500" t="str">
            <v>DN</v>
          </cell>
          <cell r="G500" t="str">
            <v>T</v>
          </cell>
          <cell r="H500" t="str">
            <v>R</v>
          </cell>
        </row>
        <row r="501">
          <cell r="A501">
            <v>3274</v>
          </cell>
          <cell r="B501">
            <v>490000</v>
          </cell>
          <cell r="C501" t="str">
            <v>BENMAKHLOUF</v>
          </cell>
          <cell r="D501" t="str">
            <v>R2</v>
          </cell>
          <cell r="E501" t="str">
            <v>ORD</v>
          </cell>
          <cell r="F501" t="str">
            <v>DN</v>
          </cell>
          <cell r="G501" t="str">
            <v>T</v>
          </cell>
          <cell r="H501" t="str">
            <v>R</v>
          </cell>
        </row>
        <row r="502">
          <cell r="A502">
            <v>3275</v>
          </cell>
          <cell r="B502">
            <v>1200000</v>
          </cell>
          <cell r="C502" t="str">
            <v>BENMAKHLOUF</v>
          </cell>
          <cell r="D502" t="str">
            <v>R2</v>
          </cell>
          <cell r="E502" t="str">
            <v>ORD</v>
          </cell>
          <cell r="F502" t="str">
            <v>DN</v>
          </cell>
          <cell r="G502" t="str">
            <v>T</v>
          </cell>
          <cell r="H502" t="str">
            <v>R</v>
          </cell>
        </row>
        <row r="503">
          <cell r="A503">
            <v>3276</v>
          </cell>
          <cell r="B503">
            <v>490000</v>
          </cell>
          <cell r="C503" t="str">
            <v>BENMAKHLOUF</v>
          </cell>
          <cell r="D503" t="str">
            <v>R2</v>
          </cell>
          <cell r="E503" t="str">
            <v>ORD</v>
          </cell>
          <cell r="F503" t="str">
            <v>DN</v>
          </cell>
          <cell r="G503" t="str">
            <v>T</v>
          </cell>
          <cell r="H503" t="str">
            <v>R</v>
          </cell>
        </row>
        <row r="504">
          <cell r="A504">
            <v>3276</v>
          </cell>
          <cell r="C504" t="str">
            <v>BENMAKHLOUF</v>
          </cell>
          <cell r="D504" t="str">
            <v>R2</v>
          </cell>
          <cell r="E504" t="str">
            <v>ORD</v>
          </cell>
          <cell r="F504" t="str">
            <v>DN</v>
          </cell>
          <cell r="G504" t="str">
            <v>T</v>
          </cell>
          <cell r="H504" t="str">
            <v>R</v>
          </cell>
        </row>
        <row r="505">
          <cell r="A505">
            <v>3276</v>
          </cell>
          <cell r="C505" t="str">
            <v>BENMAKHLOUF</v>
          </cell>
          <cell r="D505" t="str">
            <v>R2</v>
          </cell>
          <cell r="E505" t="str">
            <v>ORD</v>
          </cell>
          <cell r="F505" t="str">
            <v>DN</v>
          </cell>
          <cell r="G505" t="str">
            <v>T</v>
          </cell>
          <cell r="H505" t="str">
            <v>R</v>
          </cell>
        </row>
        <row r="506">
          <cell r="A506">
            <v>3277</v>
          </cell>
          <cell r="B506">
            <v>10000000</v>
          </cell>
          <cell r="C506" t="str">
            <v>BENMAKHLOUF</v>
          </cell>
          <cell r="D506" t="str">
            <v>R2</v>
          </cell>
          <cell r="E506" t="str">
            <v>ORD</v>
          </cell>
          <cell r="F506" t="str">
            <v>DN</v>
          </cell>
          <cell r="G506" t="str">
            <v>T</v>
          </cell>
          <cell r="H506" t="str">
            <v>R</v>
          </cell>
        </row>
        <row r="507">
          <cell r="A507">
            <v>3278</v>
          </cell>
          <cell r="B507">
            <v>490000</v>
          </cell>
          <cell r="C507" t="str">
            <v>AIT HSSAINE</v>
          </cell>
          <cell r="D507" t="str">
            <v>R2</v>
          </cell>
          <cell r="E507" t="str">
            <v>ORD</v>
          </cell>
          <cell r="F507" t="str">
            <v>RN</v>
          </cell>
          <cell r="G507" t="str">
            <v>T</v>
          </cell>
          <cell r="H507" t="str">
            <v>R</v>
          </cell>
        </row>
        <row r="508">
          <cell r="A508">
            <v>3279</v>
          </cell>
          <cell r="B508">
            <v>3930000</v>
          </cell>
          <cell r="C508" t="str">
            <v>AIT HSSAINE</v>
          </cell>
          <cell r="D508" t="str">
            <v>R2</v>
          </cell>
          <cell r="E508" t="str">
            <v>ORD</v>
          </cell>
          <cell r="F508" t="str">
            <v>DN</v>
          </cell>
          <cell r="G508" t="str">
            <v>T</v>
          </cell>
          <cell r="H508" t="str">
            <v>R</v>
          </cell>
        </row>
        <row r="509">
          <cell r="A509">
            <v>3280</v>
          </cell>
          <cell r="B509">
            <v>450000</v>
          </cell>
          <cell r="C509" t="str">
            <v>AIT HSSAINE</v>
          </cell>
          <cell r="D509" t="str">
            <v>R2</v>
          </cell>
          <cell r="E509" t="str">
            <v>ORD</v>
          </cell>
          <cell r="F509" t="str">
            <v>DN</v>
          </cell>
          <cell r="G509" t="str">
            <v>T</v>
          </cell>
          <cell r="H509" t="str">
            <v>R</v>
          </cell>
        </row>
        <row r="510">
          <cell r="A510">
            <v>3281</v>
          </cell>
          <cell r="B510">
            <v>400000</v>
          </cell>
          <cell r="C510" t="str">
            <v>AIT HSSAINE</v>
          </cell>
          <cell r="D510" t="str">
            <v>R2</v>
          </cell>
          <cell r="E510" t="str">
            <v>ORD</v>
          </cell>
          <cell r="F510" t="str">
            <v>DN</v>
          </cell>
          <cell r="G510" t="str">
            <v>T</v>
          </cell>
          <cell r="H510" t="str">
            <v>R</v>
          </cell>
        </row>
        <row r="511">
          <cell r="A511">
            <v>3282</v>
          </cell>
          <cell r="B511">
            <v>280000</v>
          </cell>
          <cell r="C511" t="str">
            <v>AIT HSSAINE</v>
          </cell>
          <cell r="D511" t="str">
            <v>R2</v>
          </cell>
          <cell r="E511" t="str">
            <v>ORD</v>
          </cell>
          <cell r="F511" t="str">
            <v>DN</v>
          </cell>
          <cell r="G511" t="str">
            <v>T</v>
          </cell>
          <cell r="H511" t="str">
            <v>R</v>
          </cell>
        </row>
        <row r="512">
          <cell r="A512">
            <v>3282</v>
          </cell>
          <cell r="C512" t="str">
            <v>AIT HSSAINE</v>
          </cell>
          <cell r="D512" t="str">
            <v>R2</v>
          </cell>
          <cell r="E512" t="str">
            <v>ORD</v>
          </cell>
          <cell r="F512" t="str">
            <v>DN</v>
          </cell>
          <cell r="G512" t="str">
            <v>T</v>
          </cell>
          <cell r="H512" t="str">
            <v>R</v>
          </cell>
        </row>
        <row r="513">
          <cell r="A513">
            <v>3282</v>
          </cell>
          <cell r="C513" t="str">
            <v>AIT HSSAINE</v>
          </cell>
          <cell r="D513" t="str">
            <v>R2</v>
          </cell>
          <cell r="E513" t="str">
            <v>ORD</v>
          </cell>
          <cell r="F513" t="str">
            <v>DN</v>
          </cell>
          <cell r="G513" t="str">
            <v>T</v>
          </cell>
          <cell r="H513" t="str">
            <v>R</v>
          </cell>
        </row>
        <row r="514">
          <cell r="A514">
            <v>3282</v>
          </cell>
          <cell r="C514" t="str">
            <v>AIT HSSAINE</v>
          </cell>
          <cell r="D514" t="str">
            <v>R2</v>
          </cell>
          <cell r="E514" t="str">
            <v>ORD</v>
          </cell>
          <cell r="F514" t="str">
            <v>DN</v>
          </cell>
          <cell r="G514" t="str">
            <v>T</v>
          </cell>
          <cell r="H514" t="str">
            <v>R</v>
          </cell>
        </row>
        <row r="515">
          <cell r="A515">
            <v>3283</v>
          </cell>
          <cell r="B515">
            <v>450000</v>
          </cell>
          <cell r="C515" t="str">
            <v>AIT HSSAINE</v>
          </cell>
          <cell r="D515" t="str">
            <v>R2</v>
          </cell>
          <cell r="E515" t="str">
            <v>ORD</v>
          </cell>
          <cell r="F515" t="str">
            <v>RN</v>
          </cell>
          <cell r="G515" t="str">
            <v>T</v>
          </cell>
          <cell r="H515" t="str">
            <v>R</v>
          </cell>
        </row>
        <row r="516">
          <cell r="A516">
            <v>3284</v>
          </cell>
          <cell r="B516">
            <v>4800000</v>
          </cell>
          <cell r="C516" t="str">
            <v>AIT HSSAINE</v>
          </cell>
          <cell r="D516" t="str">
            <v>R2</v>
          </cell>
          <cell r="E516" t="str">
            <v>ORD</v>
          </cell>
          <cell r="F516" t="str">
            <v>RN</v>
          </cell>
          <cell r="G516" t="str">
            <v>T</v>
          </cell>
          <cell r="H516" t="str">
            <v>R</v>
          </cell>
        </row>
        <row r="517">
          <cell r="A517">
            <v>3285</v>
          </cell>
          <cell r="B517">
            <v>480000</v>
          </cell>
          <cell r="C517" t="str">
            <v>AIT HSSAINE</v>
          </cell>
          <cell r="D517" t="str">
            <v>R2</v>
          </cell>
          <cell r="E517" t="str">
            <v>ORD</v>
          </cell>
          <cell r="F517" t="str">
            <v>DN</v>
          </cell>
          <cell r="G517" t="str">
            <v>T</v>
          </cell>
          <cell r="H517" t="str">
            <v>R</v>
          </cell>
        </row>
        <row r="518">
          <cell r="A518">
            <v>3286</v>
          </cell>
          <cell r="B518">
            <v>440000</v>
          </cell>
          <cell r="C518" t="str">
            <v>AIT HSSAINE</v>
          </cell>
          <cell r="D518" t="str">
            <v>R2</v>
          </cell>
          <cell r="E518" t="str">
            <v>ORD</v>
          </cell>
          <cell r="F518" t="str">
            <v>RN</v>
          </cell>
          <cell r="G518" t="str">
            <v>T</v>
          </cell>
          <cell r="H518" t="str">
            <v>R</v>
          </cell>
        </row>
        <row r="519">
          <cell r="A519">
            <v>3287</v>
          </cell>
          <cell r="B519">
            <v>2800000</v>
          </cell>
          <cell r="C519" t="str">
            <v>AIT HSSAINE</v>
          </cell>
          <cell r="D519" t="str">
            <v>R2</v>
          </cell>
          <cell r="E519" t="str">
            <v>ORD</v>
          </cell>
          <cell r="F519" t="str">
            <v>DN</v>
          </cell>
          <cell r="G519" t="str">
            <v>T</v>
          </cell>
          <cell r="H519" t="str">
            <v>R</v>
          </cell>
        </row>
        <row r="520">
          <cell r="A520">
            <v>3288</v>
          </cell>
          <cell r="B520">
            <v>480000</v>
          </cell>
          <cell r="C520" t="str">
            <v>AIT HSSAINE</v>
          </cell>
          <cell r="D520" t="str">
            <v>R2</v>
          </cell>
          <cell r="E520" t="str">
            <v>ORD</v>
          </cell>
          <cell r="F520" t="str">
            <v>RN</v>
          </cell>
          <cell r="G520" t="str">
            <v>T</v>
          </cell>
          <cell r="H520" t="str">
            <v>R</v>
          </cell>
        </row>
        <row r="521">
          <cell r="A521">
            <v>3289</v>
          </cell>
          <cell r="B521">
            <v>4700000</v>
          </cell>
          <cell r="C521" t="str">
            <v>AIT HSSAINE</v>
          </cell>
          <cell r="D521" t="str">
            <v>R2</v>
          </cell>
          <cell r="E521" t="str">
            <v>ORD</v>
          </cell>
          <cell r="F521" t="str">
            <v>RN</v>
          </cell>
          <cell r="G521" t="str">
            <v>T</v>
          </cell>
          <cell r="H521" t="str">
            <v>R</v>
          </cell>
        </row>
        <row r="522">
          <cell r="A522">
            <v>3290</v>
          </cell>
          <cell r="B522">
            <v>200000</v>
          </cell>
          <cell r="C522" t="str">
            <v>AIT HSSAINE</v>
          </cell>
          <cell r="D522" t="str">
            <v>R2</v>
          </cell>
          <cell r="E522" t="str">
            <v>ORD</v>
          </cell>
          <cell r="F522" t="str">
            <v>DN</v>
          </cell>
          <cell r="G522" t="str">
            <v>T</v>
          </cell>
          <cell r="H522" t="str">
            <v>R</v>
          </cell>
        </row>
        <row r="523">
          <cell r="A523">
            <v>3291</v>
          </cell>
          <cell r="B523">
            <v>450000</v>
          </cell>
          <cell r="C523" t="str">
            <v>AIT HSSAINE</v>
          </cell>
          <cell r="D523" t="str">
            <v>R2</v>
          </cell>
          <cell r="E523" t="str">
            <v>ORD</v>
          </cell>
          <cell r="F523" t="str">
            <v>DN</v>
          </cell>
          <cell r="G523" t="str">
            <v>T</v>
          </cell>
          <cell r="H523" t="str">
            <v>R</v>
          </cell>
        </row>
        <row r="524">
          <cell r="A524">
            <v>3292</v>
          </cell>
          <cell r="B524">
            <v>200000</v>
          </cell>
          <cell r="C524" t="str">
            <v>LEBBARDI</v>
          </cell>
          <cell r="D524" t="str">
            <v>R5</v>
          </cell>
          <cell r="E524" t="str">
            <v>ETUDES ET ESSAIS</v>
          </cell>
          <cell r="F524" t="str">
            <v>DN</v>
          </cell>
          <cell r="G524" t="str">
            <v>T</v>
          </cell>
          <cell r="H524" t="str">
            <v>R</v>
          </cell>
        </row>
        <row r="525">
          <cell r="A525">
            <v>3294</v>
          </cell>
          <cell r="B525">
            <v>2000000</v>
          </cell>
          <cell r="C525" t="str">
            <v>SAOUD</v>
          </cell>
          <cell r="D525" t="str">
            <v>R2</v>
          </cell>
          <cell r="E525" t="str">
            <v>ORD</v>
          </cell>
          <cell r="F525" t="str">
            <v>RN</v>
          </cell>
          <cell r="G525" t="str">
            <v>L</v>
          </cell>
          <cell r="H525" t="str">
            <v>R</v>
          </cell>
        </row>
        <row r="526">
          <cell r="A526">
            <v>3295</v>
          </cell>
          <cell r="B526">
            <v>90000000</v>
          </cell>
          <cell r="C526" t="str">
            <v>BOUKAISSI</v>
          </cell>
          <cell r="D526" t="str">
            <v>R1</v>
          </cell>
          <cell r="E526" t="str">
            <v>IMP</v>
          </cell>
          <cell r="F526" t="str">
            <v>DN</v>
          </cell>
          <cell r="G526" t="str">
            <v>T</v>
          </cell>
          <cell r="H526" t="str">
            <v>R</v>
          </cell>
        </row>
        <row r="527">
          <cell r="A527">
            <v>3295</v>
          </cell>
          <cell r="C527" t="str">
            <v>BOUKAISSI</v>
          </cell>
          <cell r="D527" t="str">
            <v>R1</v>
          </cell>
          <cell r="E527" t="str">
            <v>IMP</v>
          </cell>
          <cell r="F527" t="str">
            <v>DN</v>
          </cell>
          <cell r="G527" t="str">
            <v>T</v>
          </cell>
          <cell r="H527" t="str">
            <v>R</v>
          </cell>
        </row>
        <row r="528">
          <cell r="A528">
            <v>3295</v>
          </cell>
          <cell r="C528" t="str">
            <v>BOUKAISSI</v>
          </cell>
          <cell r="D528" t="str">
            <v>R1</v>
          </cell>
          <cell r="E528" t="str">
            <v>IMP</v>
          </cell>
          <cell r="F528" t="str">
            <v>DN</v>
          </cell>
          <cell r="G528" t="str">
            <v>T</v>
          </cell>
          <cell r="H528" t="str">
            <v>R</v>
          </cell>
        </row>
        <row r="529">
          <cell r="A529">
            <v>3295</v>
          </cell>
          <cell r="C529" t="str">
            <v>BOUKAISSI</v>
          </cell>
          <cell r="D529" t="str">
            <v>R1</v>
          </cell>
          <cell r="E529" t="str">
            <v>IMP</v>
          </cell>
          <cell r="F529" t="str">
            <v>DN</v>
          </cell>
          <cell r="G529" t="str">
            <v>T</v>
          </cell>
          <cell r="H529" t="str">
            <v>R</v>
          </cell>
        </row>
        <row r="530">
          <cell r="A530">
            <v>3295</v>
          </cell>
          <cell r="C530" t="str">
            <v>BOUKAISSI</v>
          </cell>
          <cell r="D530" t="str">
            <v>R1</v>
          </cell>
          <cell r="E530" t="str">
            <v>IMP</v>
          </cell>
          <cell r="F530" t="str">
            <v>DN</v>
          </cell>
          <cell r="G530" t="str">
            <v>T</v>
          </cell>
          <cell r="H530" t="str">
            <v>R</v>
          </cell>
        </row>
        <row r="531">
          <cell r="A531">
            <v>3295</v>
          </cell>
          <cell r="C531" t="str">
            <v>BOUKAISSI</v>
          </cell>
          <cell r="D531" t="str">
            <v>R1</v>
          </cell>
          <cell r="E531" t="str">
            <v>IMP</v>
          </cell>
          <cell r="F531" t="str">
            <v>DN</v>
          </cell>
          <cell r="G531" t="str">
            <v>T</v>
          </cell>
          <cell r="H531" t="str">
            <v>R</v>
          </cell>
        </row>
        <row r="532">
          <cell r="A532">
            <v>3295</v>
          </cell>
          <cell r="C532" t="str">
            <v>BOUKAISSI</v>
          </cell>
          <cell r="D532" t="str">
            <v>R1</v>
          </cell>
          <cell r="E532" t="str">
            <v>IMP</v>
          </cell>
          <cell r="F532" t="str">
            <v>DN</v>
          </cell>
          <cell r="G532" t="str">
            <v>T</v>
          </cell>
          <cell r="H532" t="str">
            <v>R</v>
          </cell>
        </row>
        <row r="533">
          <cell r="A533">
            <v>3296</v>
          </cell>
          <cell r="B533">
            <v>140000</v>
          </cell>
          <cell r="C533" t="str">
            <v>BOUTABBA</v>
          </cell>
          <cell r="D533" t="str">
            <v>R2</v>
          </cell>
          <cell r="E533" t="str">
            <v>ORD</v>
          </cell>
          <cell r="F533" t="str">
            <v>RN</v>
          </cell>
          <cell r="G533" t="str">
            <v>P</v>
          </cell>
          <cell r="H533" t="str">
            <v>R</v>
          </cell>
        </row>
        <row r="534">
          <cell r="A534">
            <v>3298</v>
          </cell>
          <cell r="B534">
            <v>490000</v>
          </cell>
          <cell r="C534" t="str">
            <v>TOGHZAOUI</v>
          </cell>
          <cell r="D534" t="str">
            <v>R2</v>
          </cell>
          <cell r="E534" t="str">
            <v>ORD</v>
          </cell>
          <cell r="F534" t="str">
            <v>RN</v>
          </cell>
          <cell r="G534" t="str">
            <v>T</v>
          </cell>
          <cell r="H534" t="str">
            <v>R</v>
          </cell>
        </row>
        <row r="535">
          <cell r="A535">
            <v>3299</v>
          </cell>
          <cell r="B535">
            <v>600000</v>
          </cell>
          <cell r="C535" t="str">
            <v>OUAMALICH</v>
          </cell>
          <cell r="D535" t="str">
            <v>R2</v>
          </cell>
          <cell r="E535" t="str">
            <v>ORD</v>
          </cell>
          <cell r="F535" t="str">
            <v>RN</v>
          </cell>
          <cell r="G535" t="str">
            <v>T</v>
          </cell>
          <cell r="H535" t="str">
            <v>R</v>
          </cell>
        </row>
        <row r="536">
          <cell r="A536">
            <v>3300</v>
          </cell>
          <cell r="B536">
            <v>1600000</v>
          </cell>
          <cell r="C536" t="str">
            <v>OUAMALICH</v>
          </cell>
          <cell r="D536" t="str">
            <v>R2</v>
          </cell>
          <cell r="E536" t="str">
            <v>ORD</v>
          </cell>
          <cell r="F536" t="str">
            <v>RN</v>
          </cell>
          <cell r="G536" t="str">
            <v>T</v>
          </cell>
          <cell r="H536" t="str">
            <v>R</v>
          </cell>
        </row>
        <row r="537">
          <cell r="A537">
            <v>3301</v>
          </cell>
          <cell r="B537">
            <v>198000</v>
          </cell>
          <cell r="C537" t="str">
            <v>DERDAKI</v>
          </cell>
          <cell r="D537" t="str">
            <v>R6</v>
          </cell>
          <cell r="E537" t="str">
            <v>SOC</v>
          </cell>
          <cell r="F537" t="str">
            <v>RN</v>
          </cell>
          <cell r="G537" t="str">
            <v>AK</v>
          </cell>
          <cell r="H537" t="str">
            <v>R</v>
          </cell>
        </row>
        <row r="538">
          <cell r="A538">
            <v>3302</v>
          </cell>
          <cell r="B538">
            <v>88000</v>
          </cell>
          <cell r="C538" t="str">
            <v>DERDAKI</v>
          </cell>
          <cell r="D538" t="str">
            <v>R6</v>
          </cell>
          <cell r="E538" t="str">
            <v>SOC</v>
          </cell>
          <cell r="F538" t="str">
            <v>RN</v>
          </cell>
          <cell r="G538" t="str">
            <v>AK</v>
          </cell>
          <cell r="H538" t="str">
            <v>R</v>
          </cell>
        </row>
        <row r="539">
          <cell r="A539">
            <v>3303</v>
          </cell>
          <cell r="B539">
            <v>220000</v>
          </cell>
          <cell r="C539" t="str">
            <v>DERDAKI</v>
          </cell>
          <cell r="D539" t="str">
            <v>R6</v>
          </cell>
          <cell r="E539" t="str">
            <v>SOC</v>
          </cell>
          <cell r="F539" t="str">
            <v>DN</v>
          </cell>
          <cell r="G539" t="str">
            <v>AK</v>
          </cell>
          <cell r="H539" t="str">
            <v>R</v>
          </cell>
        </row>
        <row r="540">
          <cell r="A540">
            <v>3304</v>
          </cell>
          <cell r="B540">
            <v>75000</v>
          </cell>
          <cell r="C540" t="str">
            <v>CHARKI</v>
          </cell>
          <cell r="D540" t="str">
            <v>R2</v>
          </cell>
          <cell r="E540" t="str">
            <v>ORD</v>
          </cell>
          <cell r="F540" t="str">
            <v>RN</v>
          </cell>
          <cell r="G540" t="str">
            <v>P</v>
          </cell>
          <cell r="H540" t="str">
            <v>R</v>
          </cell>
        </row>
        <row r="541">
          <cell r="A541">
            <v>3306</v>
          </cell>
          <cell r="B541">
            <v>36000000</v>
          </cell>
          <cell r="C541" t="str">
            <v>CHEHTANE</v>
          </cell>
          <cell r="D541" t="str">
            <v>R2</v>
          </cell>
          <cell r="E541" t="str">
            <v>ORD</v>
          </cell>
          <cell r="F541" t="str">
            <v>RN</v>
          </cell>
          <cell r="G541" t="str">
            <v>P</v>
          </cell>
          <cell r="H541" t="str">
            <v>R</v>
          </cell>
        </row>
        <row r="542">
          <cell r="A542">
            <v>3307</v>
          </cell>
          <cell r="B542">
            <v>4000000</v>
          </cell>
          <cell r="C542" t="str">
            <v>BENAMEUR</v>
          </cell>
          <cell r="D542" t="str">
            <v>R2</v>
          </cell>
          <cell r="E542" t="str">
            <v>ORD</v>
          </cell>
          <cell r="F542" t="str">
            <v>RN</v>
          </cell>
          <cell r="G542" t="str">
            <v>T</v>
          </cell>
          <cell r="H542" t="str">
            <v>R</v>
          </cell>
        </row>
        <row r="543">
          <cell r="A543">
            <v>3308</v>
          </cell>
          <cell r="B543">
            <v>280000</v>
          </cell>
          <cell r="C543" t="str">
            <v>BENAMEUR</v>
          </cell>
          <cell r="D543" t="str">
            <v>R2</v>
          </cell>
          <cell r="E543" t="str">
            <v>ORD</v>
          </cell>
          <cell r="F543" t="str">
            <v>DN</v>
          </cell>
          <cell r="G543" t="str">
            <v>T</v>
          </cell>
          <cell r="H543" t="str">
            <v>R</v>
          </cell>
        </row>
        <row r="544">
          <cell r="A544">
            <v>3309</v>
          </cell>
          <cell r="B544">
            <v>135000</v>
          </cell>
          <cell r="C544" t="str">
            <v>BENAMEUR</v>
          </cell>
          <cell r="D544" t="str">
            <v>R6</v>
          </cell>
          <cell r="E544" t="str">
            <v>ADM</v>
          </cell>
          <cell r="F544" t="str">
            <v>DN</v>
          </cell>
          <cell r="G544" t="str">
            <v>T</v>
          </cell>
          <cell r="H544" t="str">
            <v>R</v>
          </cell>
        </row>
        <row r="545">
          <cell r="A545">
            <v>3309</v>
          </cell>
          <cell r="C545" t="str">
            <v>BENAMEUR</v>
          </cell>
          <cell r="D545" t="str">
            <v>R6</v>
          </cell>
          <cell r="E545" t="str">
            <v>ADM</v>
          </cell>
          <cell r="F545" t="str">
            <v>DN</v>
          </cell>
          <cell r="G545" t="str">
            <v>T</v>
          </cell>
          <cell r="H545" t="str">
            <v>R</v>
          </cell>
        </row>
        <row r="546">
          <cell r="A546">
            <v>3310</v>
          </cell>
          <cell r="B546">
            <v>490000</v>
          </cell>
          <cell r="C546" t="str">
            <v>BENAMEUR</v>
          </cell>
          <cell r="D546" t="str">
            <v>R5</v>
          </cell>
          <cell r="E546" t="str">
            <v>ETUDES ET ESSAIS</v>
          </cell>
          <cell r="F546" t="str">
            <v>DN</v>
          </cell>
          <cell r="G546" t="str">
            <v>T</v>
          </cell>
          <cell r="H546" t="str">
            <v>R</v>
          </cell>
        </row>
        <row r="547">
          <cell r="A547">
            <v>3311</v>
          </cell>
          <cell r="B547">
            <v>490000</v>
          </cell>
          <cell r="C547" t="str">
            <v>BENAMEUR</v>
          </cell>
          <cell r="D547" t="str">
            <v>R6</v>
          </cell>
          <cell r="E547" t="str">
            <v>ADM</v>
          </cell>
          <cell r="F547" t="str">
            <v>DN</v>
          </cell>
          <cell r="G547" t="str">
            <v>T</v>
          </cell>
          <cell r="H547" t="str">
            <v>R</v>
          </cell>
        </row>
        <row r="548">
          <cell r="A548">
            <v>3312</v>
          </cell>
          <cell r="B548">
            <v>300000</v>
          </cell>
          <cell r="C548" t="str">
            <v>BENAMEUR</v>
          </cell>
          <cell r="D548" t="str">
            <v>R5</v>
          </cell>
          <cell r="E548" t="str">
            <v>ETUDES ET ESSAIS</v>
          </cell>
          <cell r="F548" t="str">
            <v>DN</v>
          </cell>
          <cell r="G548" t="str">
            <v>T</v>
          </cell>
          <cell r="H548" t="str">
            <v>R</v>
          </cell>
        </row>
        <row r="549">
          <cell r="A549">
            <v>3314</v>
          </cell>
          <cell r="B549">
            <v>490000</v>
          </cell>
          <cell r="C549" t="str">
            <v>BENAMEUR</v>
          </cell>
          <cell r="D549" t="str">
            <v>R6</v>
          </cell>
          <cell r="E549" t="str">
            <v>ADM</v>
          </cell>
          <cell r="F549" t="str">
            <v>RN</v>
          </cell>
          <cell r="G549" t="str">
            <v>T</v>
          </cell>
          <cell r="H549" t="str">
            <v>R</v>
          </cell>
        </row>
        <row r="550">
          <cell r="A550">
            <v>3315</v>
          </cell>
          <cell r="B550">
            <v>480000</v>
          </cell>
          <cell r="C550" t="str">
            <v>BENAMEUR</v>
          </cell>
          <cell r="D550" t="str">
            <v>R2</v>
          </cell>
          <cell r="E550" t="str">
            <v>ORD</v>
          </cell>
          <cell r="F550" t="str">
            <v>DN</v>
          </cell>
          <cell r="G550" t="str">
            <v>T</v>
          </cell>
          <cell r="H550" t="str">
            <v>R</v>
          </cell>
        </row>
        <row r="551">
          <cell r="A551">
            <v>3316</v>
          </cell>
          <cell r="B551">
            <v>77000</v>
          </cell>
          <cell r="C551" t="str">
            <v>EL HOUSANI</v>
          </cell>
          <cell r="D551" t="str">
            <v>R6</v>
          </cell>
          <cell r="E551" t="str">
            <v>ADM</v>
          </cell>
          <cell r="F551" t="str">
            <v>RN</v>
          </cell>
          <cell r="G551" t="str">
            <v>AK</v>
          </cell>
          <cell r="H551" t="str">
            <v>R</v>
          </cell>
        </row>
        <row r="552">
          <cell r="A552">
            <v>3317</v>
          </cell>
          <cell r="B552">
            <v>8000</v>
          </cell>
          <cell r="C552" t="str">
            <v>EL HOUSANI</v>
          </cell>
          <cell r="D552" t="str">
            <v>R6</v>
          </cell>
          <cell r="E552" t="str">
            <v>ADM</v>
          </cell>
          <cell r="F552" t="str">
            <v>RN</v>
          </cell>
          <cell r="G552" t="str">
            <v>AK</v>
          </cell>
          <cell r="H552" t="str">
            <v>R</v>
          </cell>
        </row>
        <row r="553">
          <cell r="A553">
            <v>3318</v>
          </cell>
          <cell r="B553">
            <v>34000</v>
          </cell>
          <cell r="C553" t="str">
            <v>FIKRI</v>
          </cell>
          <cell r="D553" t="str">
            <v>R6</v>
          </cell>
          <cell r="E553" t="str">
            <v>ADM</v>
          </cell>
          <cell r="F553" t="str">
            <v>DN</v>
          </cell>
          <cell r="G553" t="str">
            <v>L</v>
          </cell>
          <cell r="H553" t="str">
            <v>R</v>
          </cell>
        </row>
        <row r="554">
          <cell r="A554">
            <v>3319</v>
          </cell>
          <cell r="B554">
            <v>35000</v>
          </cell>
          <cell r="C554" t="str">
            <v>FIKRI</v>
          </cell>
          <cell r="D554" t="str">
            <v>R6</v>
          </cell>
          <cell r="E554" t="str">
            <v>ADM</v>
          </cell>
          <cell r="F554" t="str">
            <v>DN</v>
          </cell>
          <cell r="G554" t="str">
            <v>L</v>
          </cell>
          <cell r="H554" t="str">
            <v>R</v>
          </cell>
        </row>
        <row r="555">
          <cell r="A555">
            <v>3320</v>
          </cell>
          <cell r="B555">
            <v>77000</v>
          </cell>
          <cell r="C555" t="str">
            <v>BENYESSEF</v>
          </cell>
          <cell r="D555" t="str">
            <v>R6</v>
          </cell>
          <cell r="E555" t="str">
            <v>ADM</v>
          </cell>
          <cell r="F555" t="str">
            <v>DN</v>
          </cell>
          <cell r="G555" t="str">
            <v>AK</v>
          </cell>
          <cell r="H555" t="str">
            <v>R</v>
          </cell>
        </row>
        <row r="556">
          <cell r="A556">
            <v>3321</v>
          </cell>
          <cell r="B556">
            <v>400000</v>
          </cell>
          <cell r="C556" t="str">
            <v>EL KASSI</v>
          </cell>
          <cell r="D556" t="str">
            <v>R2</v>
          </cell>
          <cell r="E556" t="str">
            <v>ORD</v>
          </cell>
          <cell r="F556" t="str">
            <v>DN</v>
          </cell>
          <cell r="G556" t="str">
            <v>P</v>
          </cell>
          <cell r="H556" t="str">
            <v>R</v>
          </cell>
        </row>
        <row r="557">
          <cell r="A557">
            <v>3322</v>
          </cell>
          <cell r="B557">
            <v>4000</v>
          </cell>
          <cell r="C557" t="str">
            <v>EL HOUSANI</v>
          </cell>
          <cell r="D557" t="str">
            <v>R6</v>
          </cell>
          <cell r="E557" t="str">
            <v>ADM</v>
          </cell>
          <cell r="F557" t="str">
            <v>DN</v>
          </cell>
          <cell r="G557" t="str">
            <v>AK</v>
          </cell>
          <cell r="H557" t="str">
            <v>R</v>
          </cell>
        </row>
        <row r="558">
          <cell r="A558">
            <v>3323</v>
          </cell>
          <cell r="B558">
            <v>5500</v>
          </cell>
          <cell r="C558" t="str">
            <v>EL HOUSANI</v>
          </cell>
          <cell r="D558" t="str">
            <v>R6</v>
          </cell>
          <cell r="E558" t="str">
            <v>ADM</v>
          </cell>
          <cell r="F558" t="str">
            <v>DN</v>
          </cell>
          <cell r="G558" t="str">
            <v>AK</v>
          </cell>
          <cell r="H558" t="str">
            <v>R</v>
          </cell>
        </row>
        <row r="559">
          <cell r="A559">
            <v>3324</v>
          </cell>
          <cell r="B559">
            <v>25000</v>
          </cell>
          <cell r="C559" t="str">
            <v>EL HOUSANI</v>
          </cell>
          <cell r="D559" t="str">
            <v>R6</v>
          </cell>
          <cell r="E559" t="str">
            <v>ADM</v>
          </cell>
          <cell r="F559" t="str">
            <v>RN</v>
          </cell>
          <cell r="G559" t="str">
            <v>AK</v>
          </cell>
          <cell r="H559" t="str">
            <v>R</v>
          </cell>
        </row>
        <row r="560">
          <cell r="A560">
            <v>3325</v>
          </cell>
          <cell r="B560">
            <v>30000</v>
          </cell>
          <cell r="C560" t="str">
            <v>EL HOUSANI</v>
          </cell>
          <cell r="D560" t="str">
            <v>R6</v>
          </cell>
          <cell r="E560" t="str">
            <v>ADM</v>
          </cell>
          <cell r="F560" t="str">
            <v>DN</v>
          </cell>
          <cell r="G560" t="str">
            <v>AK</v>
          </cell>
          <cell r="H560" t="str">
            <v>R</v>
          </cell>
        </row>
        <row r="561">
          <cell r="A561">
            <v>3326</v>
          </cell>
          <cell r="B561">
            <v>10000</v>
          </cell>
          <cell r="C561" t="str">
            <v>EL HOUSANI</v>
          </cell>
          <cell r="D561" t="str">
            <v>R2</v>
          </cell>
          <cell r="E561" t="str">
            <v>ORD</v>
          </cell>
          <cell r="F561" t="str">
            <v>DN</v>
          </cell>
          <cell r="G561" t="str">
            <v>AK</v>
          </cell>
          <cell r="H561" t="str">
            <v>R</v>
          </cell>
        </row>
        <row r="562">
          <cell r="A562">
            <v>3327</v>
          </cell>
          <cell r="B562">
            <v>480000</v>
          </cell>
          <cell r="C562" t="str">
            <v>BENMAKHLOUF</v>
          </cell>
          <cell r="D562" t="str">
            <v>R6</v>
          </cell>
          <cell r="E562" t="str">
            <v>ADM</v>
          </cell>
          <cell r="F562" t="str">
            <v>DN</v>
          </cell>
          <cell r="G562" t="str">
            <v>T</v>
          </cell>
          <cell r="H562" t="str">
            <v>R</v>
          </cell>
        </row>
        <row r="563">
          <cell r="A563">
            <v>3327</v>
          </cell>
          <cell r="C563" t="str">
            <v>NAJAM</v>
          </cell>
          <cell r="D563" t="str">
            <v>R6</v>
          </cell>
          <cell r="E563" t="str">
            <v>ADM</v>
          </cell>
          <cell r="F563" t="str">
            <v>DN</v>
          </cell>
          <cell r="G563" t="str">
            <v>T</v>
          </cell>
          <cell r="H563" t="str">
            <v>R</v>
          </cell>
        </row>
        <row r="564">
          <cell r="A564">
            <v>3328</v>
          </cell>
          <cell r="B564">
            <v>600000</v>
          </cell>
          <cell r="C564" t="str">
            <v>KHOUILI</v>
          </cell>
          <cell r="D564" t="str">
            <v>R2</v>
          </cell>
          <cell r="E564" t="str">
            <v>ORD</v>
          </cell>
          <cell r="F564" t="str">
            <v>DN</v>
          </cell>
          <cell r="G564" t="str">
            <v>P</v>
          </cell>
          <cell r="H564" t="str">
            <v>R</v>
          </cell>
        </row>
        <row r="565">
          <cell r="A565">
            <v>3329</v>
          </cell>
          <cell r="B565">
            <v>200000</v>
          </cell>
          <cell r="C565" t="str">
            <v>SAOUD</v>
          </cell>
          <cell r="D565" t="str">
            <v>R2</v>
          </cell>
          <cell r="E565" t="str">
            <v>ORD</v>
          </cell>
          <cell r="F565" t="str">
            <v>DN</v>
          </cell>
          <cell r="G565" t="str">
            <v>L</v>
          </cell>
          <cell r="H565" t="str">
            <v>R</v>
          </cell>
        </row>
        <row r="566">
          <cell r="A566">
            <v>3330</v>
          </cell>
          <cell r="B566">
            <v>1500000</v>
          </cell>
          <cell r="C566" t="str">
            <v>SAOUD</v>
          </cell>
          <cell r="D566" t="str">
            <v>R2</v>
          </cell>
          <cell r="E566" t="str">
            <v>ORD</v>
          </cell>
          <cell r="F566" t="str">
            <v>DN</v>
          </cell>
          <cell r="G566" t="str">
            <v>L</v>
          </cell>
          <cell r="H566" t="str">
            <v>R</v>
          </cell>
        </row>
        <row r="567">
          <cell r="A567">
            <v>3331</v>
          </cell>
          <cell r="B567">
            <v>500000</v>
          </cell>
          <cell r="C567" t="str">
            <v>SAOUD</v>
          </cell>
          <cell r="D567" t="str">
            <v>R2</v>
          </cell>
          <cell r="E567" t="str">
            <v>ORD</v>
          </cell>
          <cell r="F567" t="str">
            <v>DN</v>
          </cell>
          <cell r="G567" t="str">
            <v>L</v>
          </cell>
          <cell r="H567" t="str">
            <v>R</v>
          </cell>
        </row>
        <row r="568">
          <cell r="A568">
            <v>3332</v>
          </cell>
          <cell r="B568">
            <v>150000</v>
          </cell>
          <cell r="C568" t="str">
            <v>BENCHEKROUN</v>
          </cell>
          <cell r="D568" t="str">
            <v>R2</v>
          </cell>
          <cell r="E568" t="str">
            <v>ORD</v>
          </cell>
          <cell r="F568" t="str">
            <v>DN</v>
          </cell>
          <cell r="G568" t="str">
            <v>T</v>
          </cell>
          <cell r="H568" t="str">
            <v>R</v>
          </cell>
        </row>
        <row r="569">
          <cell r="A569">
            <v>3333</v>
          </cell>
          <cell r="B569">
            <v>300000</v>
          </cell>
          <cell r="C569" t="str">
            <v>OUAMALICH</v>
          </cell>
          <cell r="D569" t="str">
            <v>R2</v>
          </cell>
          <cell r="E569" t="str">
            <v>ORD</v>
          </cell>
          <cell r="F569" t="str">
            <v>RN</v>
          </cell>
          <cell r="G569" t="str">
            <v>T</v>
          </cell>
          <cell r="H569" t="str">
            <v>R</v>
          </cell>
        </row>
        <row r="570">
          <cell r="A570">
            <v>3334</v>
          </cell>
          <cell r="B570">
            <v>400000</v>
          </cell>
          <cell r="C570" t="str">
            <v>ASSOUD</v>
          </cell>
          <cell r="D570" t="str">
            <v>R2</v>
          </cell>
          <cell r="E570" t="str">
            <v>ORD</v>
          </cell>
          <cell r="F570" t="str">
            <v>RN</v>
          </cell>
          <cell r="G570" t="str">
            <v>T</v>
          </cell>
          <cell r="H570" t="str">
            <v>R</v>
          </cell>
        </row>
        <row r="571">
          <cell r="A571">
            <v>3335</v>
          </cell>
          <cell r="B571">
            <v>244000</v>
          </cell>
          <cell r="C571" t="str">
            <v>BENCHEKROUN</v>
          </cell>
          <cell r="D571" t="str">
            <v>R6</v>
          </cell>
          <cell r="E571" t="str">
            <v>ADM</v>
          </cell>
          <cell r="F571" t="str">
            <v>DN</v>
          </cell>
          <cell r="G571" t="str">
            <v>T</v>
          </cell>
          <cell r="H571" t="str">
            <v>R</v>
          </cell>
        </row>
        <row r="572">
          <cell r="A572">
            <v>3336</v>
          </cell>
          <cell r="B572">
            <v>980000</v>
          </cell>
          <cell r="C572" t="str">
            <v>KARMOUNI</v>
          </cell>
          <cell r="D572" t="str">
            <v>R6</v>
          </cell>
          <cell r="E572" t="str">
            <v>ADM</v>
          </cell>
          <cell r="F572" t="str">
            <v>DN</v>
          </cell>
          <cell r="G572" t="str">
            <v>T</v>
          </cell>
          <cell r="H572" t="str">
            <v>R</v>
          </cell>
        </row>
        <row r="573">
          <cell r="A573">
            <v>3336</v>
          </cell>
          <cell r="C573" t="str">
            <v>KARMOUNI</v>
          </cell>
          <cell r="D573" t="str">
            <v>R6</v>
          </cell>
          <cell r="E573" t="str">
            <v>ADM</v>
          </cell>
          <cell r="F573" t="str">
            <v>DN</v>
          </cell>
          <cell r="G573" t="str">
            <v>T</v>
          </cell>
          <cell r="H573" t="str">
            <v>R</v>
          </cell>
        </row>
        <row r="574">
          <cell r="A574">
            <v>3336</v>
          </cell>
          <cell r="C574" t="str">
            <v>KARMOUNI</v>
          </cell>
          <cell r="D574" t="str">
            <v>R6</v>
          </cell>
          <cell r="E574" t="str">
            <v>ADM</v>
          </cell>
          <cell r="F574" t="str">
            <v>DN</v>
          </cell>
          <cell r="G574" t="str">
            <v>T</v>
          </cell>
          <cell r="H574" t="str">
            <v>R</v>
          </cell>
        </row>
        <row r="575">
          <cell r="A575">
            <v>3338</v>
          </cell>
          <cell r="B575">
            <v>45000</v>
          </cell>
          <cell r="C575" t="str">
            <v>BENZAKI</v>
          </cell>
          <cell r="D575" t="str">
            <v>R6</v>
          </cell>
          <cell r="E575" t="str">
            <v>ADM</v>
          </cell>
          <cell r="F575" t="str">
            <v>DN</v>
          </cell>
          <cell r="G575" t="str">
            <v>L</v>
          </cell>
          <cell r="H575" t="str">
            <v>R</v>
          </cell>
        </row>
        <row r="576">
          <cell r="A576">
            <v>3339</v>
          </cell>
          <cell r="B576">
            <v>48000</v>
          </cell>
          <cell r="C576" t="str">
            <v>BENZAKI</v>
          </cell>
          <cell r="D576" t="str">
            <v>R6</v>
          </cell>
          <cell r="E576" t="str">
            <v>ADM</v>
          </cell>
          <cell r="F576" t="str">
            <v>DN</v>
          </cell>
          <cell r="G576" t="str">
            <v>L</v>
          </cell>
          <cell r="H576" t="str">
            <v>R</v>
          </cell>
        </row>
        <row r="577">
          <cell r="A577">
            <v>3340</v>
          </cell>
          <cell r="B577">
            <v>5500</v>
          </cell>
          <cell r="C577" t="str">
            <v>BENZAKI</v>
          </cell>
          <cell r="D577" t="str">
            <v>R6</v>
          </cell>
          <cell r="E577" t="str">
            <v>ADM</v>
          </cell>
          <cell r="F577" t="str">
            <v>DN</v>
          </cell>
          <cell r="G577" t="str">
            <v>L</v>
          </cell>
          <cell r="H577" t="str">
            <v>R</v>
          </cell>
        </row>
        <row r="578">
          <cell r="A578">
            <v>3341</v>
          </cell>
          <cell r="B578">
            <v>165000</v>
          </cell>
          <cell r="C578" t="str">
            <v>MOUMEN</v>
          </cell>
          <cell r="D578" t="str">
            <v>R6</v>
          </cell>
          <cell r="E578" t="str">
            <v>ADM</v>
          </cell>
          <cell r="F578" t="str">
            <v>DN</v>
          </cell>
          <cell r="G578" t="str">
            <v>TC</v>
          </cell>
          <cell r="H578" t="str">
            <v>R</v>
          </cell>
        </row>
        <row r="579">
          <cell r="A579">
            <v>3342</v>
          </cell>
          <cell r="B579">
            <v>111500</v>
          </cell>
          <cell r="C579" t="str">
            <v>BENMAKHLOUF</v>
          </cell>
          <cell r="D579" t="str">
            <v>R2</v>
          </cell>
          <cell r="E579" t="str">
            <v>ORD</v>
          </cell>
          <cell r="F579" t="str">
            <v>DN</v>
          </cell>
          <cell r="G579" t="str">
            <v>T</v>
          </cell>
          <cell r="H579" t="str">
            <v>R</v>
          </cell>
        </row>
        <row r="580">
          <cell r="A580">
            <v>3343</v>
          </cell>
          <cell r="B580">
            <v>171000</v>
          </cell>
          <cell r="C580" t="str">
            <v>BENCHEKROUN</v>
          </cell>
          <cell r="D580" t="str">
            <v>R6</v>
          </cell>
          <cell r="E580" t="str">
            <v>ADM</v>
          </cell>
          <cell r="F580" t="str">
            <v>RN</v>
          </cell>
          <cell r="G580" t="str">
            <v>T</v>
          </cell>
          <cell r="H580" t="str">
            <v>R</v>
          </cell>
        </row>
        <row r="581">
          <cell r="A581">
            <v>3344</v>
          </cell>
          <cell r="B581">
            <v>440000</v>
          </cell>
          <cell r="C581" t="str">
            <v>DERDAKI</v>
          </cell>
          <cell r="D581" t="str">
            <v>R6</v>
          </cell>
          <cell r="E581" t="str">
            <v>SOC</v>
          </cell>
          <cell r="F581" t="str">
            <v>DN</v>
          </cell>
          <cell r="G581" t="str">
            <v>AK</v>
          </cell>
          <cell r="H581" t="str">
            <v>R</v>
          </cell>
        </row>
        <row r="582">
          <cell r="A582">
            <v>3345</v>
          </cell>
          <cell r="B582">
            <v>8400</v>
          </cell>
          <cell r="C582" t="str">
            <v>CHEHTANE</v>
          </cell>
          <cell r="D582" t="str">
            <v>R7</v>
          </cell>
          <cell r="E582" t="str">
            <v>ORD</v>
          </cell>
          <cell r="F582" t="str">
            <v>RN</v>
          </cell>
          <cell r="G582" t="str">
            <v>P</v>
          </cell>
          <cell r="H582" t="str">
            <v>R</v>
          </cell>
        </row>
        <row r="583">
          <cell r="A583">
            <v>3346</v>
          </cell>
          <cell r="B583">
            <v>4000000</v>
          </cell>
          <cell r="C583" t="str">
            <v>MANSOURI</v>
          </cell>
          <cell r="D583" t="str">
            <v>R8</v>
          </cell>
          <cell r="E583" t="str">
            <v>ADM</v>
          </cell>
          <cell r="F583" t="str">
            <v>DN</v>
          </cell>
          <cell r="G583" t="str">
            <v>T</v>
          </cell>
          <cell r="H583" t="str">
            <v>R</v>
          </cell>
        </row>
        <row r="584">
          <cell r="A584">
            <v>3347</v>
          </cell>
          <cell r="B584">
            <v>150000</v>
          </cell>
          <cell r="C584" t="str">
            <v>MANSOURI</v>
          </cell>
          <cell r="D584" t="str">
            <v>R6</v>
          </cell>
          <cell r="E584" t="str">
            <v>ADM</v>
          </cell>
          <cell r="F584" t="str">
            <v>DN</v>
          </cell>
          <cell r="G584" t="str">
            <v>T</v>
          </cell>
          <cell r="H584" t="str">
            <v>R</v>
          </cell>
        </row>
        <row r="585">
          <cell r="A585">
            <v>3348</v>
          </cell>
          <cell r="B585">
            <v>480000</v>
          </cell>
          <cell r="C585" t="str">
            <v>TOGHZAOUI</v>
          </cell>
          <cell r="D585" t="str">
            <v>R2</v>
          </cell>
          <cell r="E585" t="str">
            <v>ORD</v>
          </cell>
          <cell r="F585" t="str">
            <v>DN</v>
          </cell>
          <cell r="G585" t="str">
            <v>T</v>
          </cell>
          <cell r="H585" t="str">
            <v>R</v>
          </cell>
        </row>
        <row r="586">
          <cell r="A586">
            <v>3349</v>
          </cell>
          <cell r="B586">
            <v>300000</v>
          </cell>
          <cell r="C586" t="str">
            <v>TOGHZAOUI</v>
          </cell>
          <cell r="D586" t="str">
            <v>R6</v>
          </cell>
          <cell r="E586" t="str">
            <v>ADM</v>
          </cell>
          <cell r="F586" t="str">
            <v>DN</v>
          </cell>
          <cell r="G586" t="str">
            <v>T</v>
          </cell>
          <cell r="H586" t="str">
            <v>R</v>
          </cell>
        </row>
        <row r="587">
          <cell r="A587">
            <v>3350</v>
          </cell>
          <cell r="B587">
            <v>450000</v>
          </cell>
          <cell r="C587" t="str">
            <v>TOGHZAOUI</v>
          </cell>
          <cell r="D587" t="str">
            <v>R2</v>
          </cell>
          <cell r="E587" t="str">
            <v>ORD</v>
          </cell>
          <cell r="F587" t="str">
            <v>DN</v>
          </cell>
          <cell r="G587" t="str">
            <v>T</v>
          </cell>
          <cell r="H587" t="str">
            <v>R</v>
          </cell>
        </row>
        <row r="588">
          <cell r="A588">
            <v>3353</v>
          </cell>
          <cell r="B588">
            <v>48000</v>
          </cell>
          <cell r="C588" t="str">
            <v>MOUNTASSIR</v>
          </cell>
          <cell r="D588" t="str">
            <v>R5</v>
          </cell>
          <cell r="E588" t="str">
            <v>ETUDES ET ESSAIS</v>
          </cell>
          <cell r="F588" t="str">
            <v>DN</v>
          </cell>
          <cell r="G588" t="str">
            <v>T</v>
          </cell>
          <cell r="H588" t="str">
            <v>R</v>
          </cell>
        </row>
        <row r="589">
          <cell r="A589">
            <v>3354</v>
          </cell>
          <cell r="B589">
            <v>2000000</v>
          </cell>
          <cell r="C589" t="str">
            <v>KABBAGE</v>
          </cell>
          <cell r="D589" t="str">
            <v>R5</v>
          </cell>
          <cell r="E589" t="str">
            <v>ETUDES ET ESSAIS</v>
          </cell>
          <cell r="F589" t="str">
            <v>DN</v>
          </cell>
          <cell r="G589" t="str">
            <v>T</v>
          </cell>
          <cell r="H589" t="str">
            <v>R</v>
          </cell>
        </row>
        <row r="590">
          <cell r="A590">
            <v>3355</v>
          </cell>
          <cell r="B590">
            <v>50000</v>
          </cell>
          <cell r="C590" t="str">
            <v>LARHZAOUI</v>
          </cell>
          <cell r="D590" t="str">
            <v>R6</v>
          </cell>
          <cell r="E590" t="str">
            <v>ADM</v>
          </cell>
          <cell r="F590" t="str">
            <v>DN</v>
          </cell>
          <cell r="G590" t="str">
            <v>AK</v>
          </cell>
          <cell r="H590" t="str">
            <v>R</v>
          </cell>
        </row>
        <row r="591">
          <cell r="A591">
            <v>3356</v>
          </cell>
          <cell r="B591">
            <v>7500</v>
          </cell>
          <cell r="C591" t="str">
            <v>LARHZAOUI</v>
          </cell>
          <cell r="D591" t="str">
            <v>R6</v>
          </cell>
          <cell r="E591" t="str">
            <v>ADM</v>
          </cell>
          <cell r="F591" t="str">
            <v>DN</v>
          </cell>
          <cell r="G591" t="str">
            <v>AK</v>
          </cell>
          <cell r="H591" t="str">
            <v>R</v>
          </cell>
        </row>
        <row r="592">
          <cell r="A592">
            <v>3358</v>
          </cell>
          <cell r="B592">
            <v>60000</v>
          </cell>
          <cell r="C592" t="str">
            <v>LARHZAOUI</v>
          </cell>
          <cell r="D592" t="str">
            <v>R6</v>
          </cell>
          <cell r="E592" t="str">
            <v>ADM</v>
          </cell>
          <cell r="F592" t="str">
            <v>DN</v>
          </cell>
          <cell r="G592" t="str">
            <v>AK</v>
          </cell>
          <cell r="H592" t="str">
            <v>R</v>
          </cell>
        </row>
        <row r="593">
          <cell r="A593">
            <v>3359</v>
          </cell>
          <cell r="B593">
            <v>17000</v>
          </cell>
          <cell r="C593" t="str">
            <v>LARHZAOUI</v>
          </cell>
          <cell r="D593" t="str">
            <v>R6</v>
          </cell>
          <cell r="E593" t="str">
            <v>ADM</v>
          </cell>
          <cell r="F593" t="str">
            <v>DN</v>
          </cell>
          <cell r="G593" t="str">
            <v>AK</v>
          </cell>
          <cell r="H593" t="str">
            <v>R</v>
          </cell>
        </row>
        <row r="594">
          <cell r="A594">
            <v>3360</v>
          </cell>
          <cell r="B594">
            <v>40000</v>
          </cell>
          <cell r="C594" t="str">
            <v>LARHZAOUI</v>
          </cell>
          <cell r="D594" t="str">
            <v>R6</v>
          </cell>
          <cell r="E594" t="str">
            <v>ADM</v>
          </cell>
          <cell r="F594" t="str">
            <v>DN</v>
          </cell>
          <cell r="G594" t="str">
            <v>AK</v>
          </cell>
          <cell r="H594" t="str">
            <v>R</v>
          </cell>
        </row>
        <row r="595">
          <cell r="A595">
            <v>3363</v>
          </cell>
          <cell r="B595">
            <v>40000</v>
          </cell>
          <cell r="C595" t="str">
            <v>LARHZAOUI</v>
          </cell>
          <cell r="D595" t="str">
            <v>R6</v>
          </cell>
          <cell r="E595" t="str">
            <v>ADM</v>
          </cell>
          <cell r="F595" t="str">
            <v>DN</v>
          </cell>
          <cell r="G595" t="str">
            <v>AK</v>
          </cell>
          <cell r="H595" t="str">
            <v>R</v>
          </cell>
        </row>
        <row r="596">
          <cell r="A596">
            <v>3365</v>
          </cell>
          <cell r="B596">
            <v>9000</v>
          </cell>
          <cell r="C596" t="str">
            <v>BOUYA</v>
          </cell>
          <cell r="D596" t="str">
            <v>R6</v>
          </cell>
          <cell r="E596" t="str">
            <v>SOC</v>
          </cell>
          <cell r="F596" t="str">
            <v>RN</v>
          </cell>
          <cell r="G596" t="str">
            <v>AK</v>
          </cell>
          <cell r="H596" t="str">
            <v>R</v>
          </cell>
        </row>
        <row r="597">
          <cell r="A597">
            <v>3367</v>
          </cell>
          <cell r="B597">
            <v>40000000</v>
          </cell>
          <cell r="C597" t="str">
            <v>ZAID</v>
          </cell>
          <cell r="D597" t="str">
            <v>R7</v>
          </cell>
          <cell r="E597" t="str">
            <v>IMP</v>
          </cell>
          <cell r="F597" t="str">
            <v>DN</v>
          </cell>
          <cell r="G597" t="str">
            <v>TC</v>
          </cell>
          <cell r="H597" t="str">
            <v>R</v>
          </cell>
        </row>
        <row r="598">
          <cell r="A598">
            <v>3368</v>
          </cell>
          <cell r="B598">
            <v>143000</v>
          </cell>
          <cell r="C598" t="str">
            <v>ZAHRI</v>
          </cell>
          <cell r="D598" t="str">
            <v>R6</v>
          </cell>
          <cell r="E598" t="str">
            <v>ORD</v>
          </cell>
          <cell r="F598" t="str">
            <v>DN</v>
          </cell>
          <cell r="G598" t="str">
            <v>L</v>
          </cell>
          <cell r="H598" t="str">
            <v>R</v>
          </cell>
        </row>
        <row r="599">
          <cell r="A599">
            <v>3368</v>
          </cell>
          <cell r="C599" t="str">
            <v>ZAHRI</v>
          </cell>
          <cell r="D599" t="str">
            <v>R6</v>
          </cell>
          <cell r="E599" t="str">
            <v>ORD</v>
          </cell>
          <cell r="F599" t="str">
            <v>DN</v>
          </cell>
          <cell r="G599" t="str">
            <v>L</v>
          </cell>
          <cell r="H599" t="str">
            <v>R</v>
          </cell>
        </row>
        <row r="600">
          <cell r="A600">
            <v>3369</v>
          </cell>
          <cell r="B600">
            <v>20000</v>
          </cell>
          <cell r="C600" t="str">
            <v>RAOUIA</v>
          </cell>
          <cell r="D600" t="str">
            <v>R2</v>
          </cell>
          <cell r="E600" t="str">
            <v>ORD</v>
          </cell>
          <cell r="F600" t="str">
            <v>DN</v>
          </cell>
          <cell r="G600" t="str">
            <v>TC</v>
          </cell>
          <cell r="H600" t="str">
            <v>R</v>
          </cell>
        </row>
        <row r="601">
          <cell r="A601">
            <v>3370</v>
          </cell>
          <cell r="B601">
            <v>12000000</v>
          </cell>
          <cell r="C601" t="str">
            <v>ZAHRI</v>
          </cell>
          <cell r="D601" t="str">
            <v>R2</v>
          </cell>
          <cell r="E601" t="str">
            <v>ORD</v>
          </cell>
          <cell r="F601" t="str">
            <v>DN</v>
          </cell>
          <cell r="G601" t="str">
            <v>L</v>
          </cell>
          <cell r="H601" t="str">
            <v>R</v>
          </cell>
        </row>
        <row r="602">
          <cell r="A602">
            <v>3370</v>
          </cell>
          <cell r="C602" t="str">
            <v>ZAHRI</v>
          </cell>
          <cell r="D602" t="str">
            <v>R2</v>
          </cell>
          <cell r="E602" t="str">
            <v>ORD</v>
          </cell>
          <cell r="F602" t="str">
            <v>DN</v>
          </cell>
          <cell r="G602" t="str">
            <v>L</v>
          </cell>
          <cell r="H602" t="str">
            <v>R</v>
          </cell>
        </row>
        <row r="603">
          <cell r="A603">
            <v>3370</v>
          </cell>
          <cell r="C603" t="str">
            <v>ZAHRI</v>
          </cell>
          <cell r="D603" t="str">
            <v>R2</v>
          </cell>
          <cell r="E603" t="str">
            <v>ORD</v>
          </cell>
          <cell r="F603" t="str">
            <v>DN</v>
          </cell>
          <cell r="G603" t="str">
            <v>L</v>
          </cell>
          <cell r="H603" t="str">
            <v>R</v>
          </cell>
        </row>
        <row r="604">
          <cell r="A604">
            <v>3370</v>
          </cell>
          <cell r="C604" t="str">
            <v>ZAHRI</v>
          </cell>
          <cell r="D604" t="str">
            <v>R2</v>
          </cell>
          <cell r="E604" t="str">
            <v>ORD</v>
          </cell>
          <cell r="F604" t="str">
            <v>DN</v>
          </cell>
          <cell r="G604" t="str">
            <v>L</v>
          </cell>
          <cell r="H604" t="str">
            <v>R</v>
          </cell>
        </row>
        <row r="605">
          <cell r="A605">
            <v>3372</v>
          </cell>
          <cell r="B605">
            <v>12000</v>
          </cell>
          <cell r="C605" t="str">
            <v>EL HOUSANI</v>
          </cell>
          <cell r="D605" t="str">
            <v>R6</v>
          </cell>
          <cell r="E605" t="str">
            <v>ADM</v>
          </cell>
          <cell r="F605" t="str">
            <v>RN</v>
          </cell>
          <cell r="G605" t="str">
            <v>AK</v>
          </cell>
          <cell r="H605" t="str">
            <v>R</v>
          </cell>
        </row>
        <row r="606">
          <cell r="A606">
            <v>3373</v>
          </cell>
          <cell r="B606">
            <v>56000</v>
          </cell>
          <cell r="C606" t="str">
            <v>MANSOURI</v>
          </cell>
          <cell r="D606" t="str">
            <v>R6</v>
          </cell>
          <cell r="E606" t="str">
            <v>ADM</v>
          </cell>
          <cell r="F606" t="str">
            <v>DN</v>
          </cell>
          <cell r="G606" t="str">
            <v>T</v>
          </cell>
          <cell r="H606" t="str">
            <v>R</v>
          </cell>
        </row>
        <row r="607">
          <cell r="A607">
            <v>3374</v>
          </cell>
          <cell r="B607">
            <v>90000</v>
          </cell>
          <cell r="C607" t="str">
            <v>ASSOUD</v>
          </cell>
          <cell r="D607" t="str">
            <v>R6</v>
          </cell>
          <cell r="E607" t="str">
            <v>ADM</v>
          </cell>
          <cell r="F607" t="str">
            <v>DN</v>
          </cell>
          <cell r="G607" t="str">
            <v>T</v>
          </cell>
          <cell r="H607" t="str">
            <v>R</v>
          </cell>
        </row>
        <row r="608">
          <cell r="A608">
            <v>3375</v>
          </cell>
          <cell r="B608">
            <v>2500000</v>
          </cell>
          <cell r="C608" t="str">
            <v>EL BOUCHRIFI</v>
          </cell>
          <cell r="D608" t="str">
            <v>R2</v>
          </cell>
          <cell r="E608" t="str">
            <v>ORD</v>
          </cell>
          <cell r="F608" t="str">
            <v>RN</v>
          </cell>
          <cell r="G608" t="str">
            <v>P</v>
          </cell>
          <cell r="H608" t="str">
            <v>R</v>
          </cell>
        </row>
        <row r="609">
          <cell r="A609">
            <v>2965</v>
          </cell>
          <cell r="B609">
            <v>28000</v>
          </cell>
          <cell r="C609" t="str">
            <v>MANSOURI</v>
          </cell>
          <cell r="D609" t="str">
            <v>R6</v>
          </cell>
          <cell r="E609" t="str">
            <v>ADM</v>
          </cell>
          <cell r="F609" t="str">
            <v>DN</v>
          </cell>
          <cell r="G609" t="str">
            <v>T</v>
          </cell>
          <cell r="H609" t="str">
            <v>R</v>
          </cell>
        </row>
        <row r="610">
          <cell r="A610">
            <v>2871</v>
          </cell>
          <cell r="B610">
            <v>30000000</v>
          </cell>
          <cell r="C610" t="str">
            <v>KARROUACHE</v>
          </cell>
          <cell r="D610" t="str">
            <v>R2</v>
          </cell>
          <cell r="E610" t="str">
            <v>ORD</v>
          </cell>
          <cell r="F610" t="str">
            <v>RN</v>
          </cell>
          <cell r="G610" t="str">
            <v>P</v>
          </cell>
          <cell r="H610" t="str">
            <v>R</v>
          </cell>
        </row>
        <row r="611">
          <cell r="A611">
            <v>3571</v>
          </cell>
          <cell r="B611">
            <v>70000</v>
          </cell>
          <cell r="C611" t="str">
            <v>DAOUDI</v>
          </cell>
          <cell r="D611" t="str">
            <v>R6</v>
          </cell>
          <cell r="E611" t="str">
            <v>ADM</v>
          </cell>
          <cell r="F611" t="str">
            <v>DN</v>
          </cell>
          <cell r="G611" t="str">
            <v>L</v>
          </cell>
          <cell r="H611" t="str">
            <v>P</v>
          </cell>
        </row>
        <row r="612">
          <cell r="A612">
            <v>3577</v>
          </cell>
          <cell r="B612">
            <v>30000000</v>
          </cell>
          <cell r="C612" t="str">
            <v>BOUALAM</v>
          </cell>
          <cell r="D612" t="str">
            <v>R1</v>
          </cell>
          <cell r="E612" t="str">
            <v>ORD</v>
          </cell>
          <cell r="F612" t="str">
            <v>DN</v>
          </cell>
          <cell r="G612" t="str">
            <v>L</v>
          </cell>
          <cell r="H612" t="str">
            <v>P</v>
          </cell>
        </row>
        <row r="613">
          <cell r="A613">
            <v>3616</v>
          </cell>
          <cell r="B613">
            <v>42500</v>
          </cell>
          <cell r="C613" t="str">
            <v>RAOUIA</v>
          </cell>
          <cell r="D613" t="str">
            <v>R2</v>
          </cell>
          <cell r="E613" t="str">
            <v>ORD</v>
          </cell>
          <cell r="F613" t="str">
            <v>DN</v>
          </cell>
          <cell r="G613" t="str">
            <v>TC</v>
          </cell>
          <cell r="H613" t="str">
            <v>P</v>
          </cell>
        </row>
        <row r="614">
          <cell r="A614">
            <v>3616</v>
          </cell>
          <cell r="C614" t="str">
            <v>RAOUIA</v>
          </cell>
          <cell r="D614" t="str">
            <v>R2</v>
          </cell>
          <cell r="E614" t="str">
            <v>ORD</v>
          </cell>
          <cell r="F614" t="str">
            <v>DN</v>
          </cell>
          <cell r="G614" t="str">
            <v>TC</v>
          </cell>
          <cell r="H614" t="str">
            <v>P</v>
          </cell>
        </row>
        <row r="615">
          <cell r="A615">
            <v>3616</v>
          </cell>
          <cell r="C615" t="str">
            <v>RAOUIA</v>
          </cell>
          <cell r="D615" t="str">
            <v>R2</v>
          </cell>
          <cell r="E615" t="str">
            <v>ORD</v>
          </cell>
          <cell r="F615" t="str">
            <v>DN</v>
          </cell>
          <cell r="G615" t="str">
            <v>TC</v>
          </cell>
          <cell r="H615" t="str">
            <v>P</v>
          </cell>
        </row>
        <row r="616">
          <cell r="A616">
            <v>3620</v>
          </cell>
          <cell r="B616">
            <v>14500</v>
          </cell>
          <cell r="C616" t="str">
            <v>RAOUIA</v>
          </cell>
          <cell r="D616" t="str">
            <v>R2</v>
          </cell>
          <cell r="E616" t="str">
            <v>ORD</v>
          </cell>
          <cell r="F616" t="str">
            <v>DN</v>
          </cell>
          <cell r="G616" t="str">
            <v>TC</v>
          </cell>
          <cell r="H616" t="str">
            <v>P</v>
          </cell>
        </row>
        <row r="617">
          <cell r="A617">
            <v>3622</v>
          </cell>
          <cell r="B617">
            <v>60000</v>
          </cell>
          <cell r="C617" t="str">
            <v>RAOUIA</v>
          </cell>
          <cell r="D617" t="str">
            <v>R2</v>
          </cell>
          <cell r="E617" t="str">
            <v>ORD</v>
          </cell>
          <cell r="F617" t="str">
            <v>DN</v>
          </cell>
          <cell r="G617" t="str">
            <v>TC</v>
          </cell>
          <cell r="H617" t="str">
            <v>P</v>
          </cell>
        </row>
        <row r="618">
          <cell r="A618">
            <v>3623</v>
          </cell>
          <cell r="B618">
            <v>52500</v>
          </cell>
          <cell r="C618" t="str">
            <v>RAOUIA</v>
          </cell>
          <cell r="D618" t="str">
            <v>R2</v>
          </cell>
          <cell r="E618" t="str">
            <v>ORD</v>
          </cell>
          <cell r="F618" t="str">
            <v>DN</v>
          </cell>
          <cell r="G618" t="str">
            <v>TC</v>
          </cell>
          <cell r="H618" t="str">
            <v>P</v>
          </cell>
        </row>
        <row r="619">
          <cell r="A619">
            <v>3623</v>
          </cell>
          <cell r="C619" t="str">
            <v>RAOUIA</v>
          </cell>
          <cell r="D619" t="str">
            <v>R2</v>
          </cell>
          <cell r="E619" t="str">
            <v>ORD</v>
          </cell>
          <cell r="F619" t="str">
            <v>DN</v>
          </cell>
          <cell r="G619" t="str">
            <v>TC</v>
          </cell>
          <cell r="H619" t="str">
            <v>P</v>
          </cell>
        </row>
        <row r="620">
          <cell r="A620">
            <v>3623</v>
          </cell>
          <cell r="C620" t="str">
            <v>RAOUIA</v>
          </cell>
          <cell r="D620" t="str">
            <v>R2</v>
          </cell>
          <cell r="E620" t="str">
            <v>ORD</v>
          </cell>
          <cell r="F620" t="str">
            <v>DN</v>
          </cell>
          <cell r="G620" t="str">
            <v>TC</v>
          </cell>
          <cell r="H620" t="str">
            <v>P</v>
          </cell>
        </row>
        <row r="621">
          <cell r="A621">
            <v>3623</v>
          </cell>
          <cell r="C621" t="str">
            <v>RAOUIA</v>
          </cell>
          <cell r="D621" t="str">
            <v>R2</v>
          </cell>
          <cell r="E621" t="str">
            <v>ORD</v>
          </cell>
          <cell r="F621" t="str">
            <v>DN</v>
          </cell>
          <cell r="G621" t="str">
            <v>TC</v>
          </cell>
          <cell r="H621" t="str">
            <v>P</v>
          </cell>
        </row>
        <row r="622">
          <cell r="A622">
            <v>3624</v>
          </cell>
          <cell r="B622">
            <v>54000</v>
          </cell>
          <cell r="C622" t="str">
            <v>RAOUIA</v>
          </cell>
          <cell r="D622" t="str">
            <v>R2</v>
          </cell>
          <cell r="E622" t="str">
            <v>ORD</v>
          </cell>
          <cell r="F622" t="str">
            <v>DN</v>
          </cell>
          <cell r="G622" t="str">
            <v>TC</v>
          </cell>
          <cell r="H622" t="str">
            <v>P</v>
          </cell>
        </row>
        <row r="623">
          <cell r="A623">
            <v>3633</v>
          </cell>
          <cell r="B623">
            <v>840000</v>
          </cell>
          <cell r="C623" t="str">
            <v>RAOUIA</v>
          </cell>
          <cell r="D623" t="str">
            <v>R2</v>
          </cell>
          <cell r="E623" t="str">
            <v>ORD</v>
          </cell>
          <cell r="F623" t="str">
            <v>DN</v>
          </cell>
          <cell r="G623" t="str">
            <v>TC</v>
          </cell>
          <cell r="H623" t="str">
            <v>P</v>
          </cell>
        </row>
        <row r="624">
          <cell r="A624">
            <v>3636</v>
          </cell>
          <cell r="B624">
            <v>50000000</v>
          </cell>
          <cell r="C624" t="str">
            <v>ZAID</v>
          </cell>
          <cell r="D624" t="str">
            <v>R7</v>
          </cell>
          <cell r="E624" t="str">
            <v>IMP</v>
          </cell>
          <cell r="F624" t="str">
            <v>DN</v>
          </cell>
          <cell r="G624" t="str">
            <v>TC</v>
          </cell>
          <cell r="H624" t="str">
            <v>P</v>
          </cell>
        </row>
        <row r="625">
          <cell r="A625">
            <v>3642</v>
          </cell>
          <cell r="B625">
            <v>289900</v>
          </cell>
          <cell r="C625" t="str">
            <v>CHARKI</v>
          </cell>
          <cell r="D625" t="str">
            <v>R6</v>
          </cell>
          <cell r="E625" t="str">
            <v>ADM</v>
          </cell>
          <cell r="F625" t="str">
            <v>RN</v>
          </cell>
          <cell r="G625" t="str">
            <v>P</v>
          </cell>
          <cell r="H625" t="str">
            <v>P</v>
          </cell>
        </row>
        <row r="626">
          <cell r="A626">
            <v>3643</v>
          </cell>
          <cell r="B626">
            <v>140000</v>
          </cell>
          <cell r="C626" t="str">
            <v>CHARKI</v>
          </cell>
          <cell r="D626" t="str">
            <v>R8</v>
          </cell>
          <cell r="E626" t="str">
            <v>ADM</v>
          </cell>
          <cell r="F626" t="str">
            <v>RN</v>
          </cell>
          <cell r="G626" t="str">
            <v>P</v>
          </cell>
          <cell r="H626" t="str">
            <v>P</v>
          </cell>
        </row>
        <row r="627">
          <cell r="A627">
            <v>3645</v>
          </cell>
          <cell r="B627">
            <v>270000</v>
          </cell>
          <cell r="C627" t="str">
            <v>CHARKI</v>
          </cell>
          <cell r="D627" t="str">
            <v>R6</v>
          </cell>
          <cell r="E627" t="str">
            <v>ADM</v>
          </cell>
          <cell r="F627" t="str">
            <v>RN</v>
          </cell>
          <cell r="G627" t="str">
            <v>P</v>
          </cell>
          <cell r="H627" t="str">
            <v>P</v>
          </cell>
        </row>
        <row r="628">
          <cell r="A628">
            <v>3650</v>
          </cell>
          <cell r="B628">
            <v>440600</v>
          </cell>
          <cell r="C628" t="str">
            <v>CHARKI</v>
          </cell>
          <cell r="D628" t="str">
            <v>R6</v>
          </cell>
          <cell r="E628" t="str">
            <v>ADM</v>
          </cell>
          <cell r="F628" t="str">
            <v>DN</v>
          </cell>
          <cell r="G628" t="str">
            <v>P</v>
          </cell>
          <cell r="H628" t="str">
            <v>P</v>
          </cell>
        </row>
        <row r="629">
          <cell r="A629">
            <v>3652</v>
          </cell>
          <cell r="B629">
            <v>458500</v>
          </cell>
          <cell r="C629" t="str">
            <v>CHARKI</v>
          </cell>
          <cell r="D629" t="str">
            <v>R6</v>
          </cell>
          <cell r="E629" t="str">
            <v>ADM</v>
          </cell>
          <cell r="F629" t="str">
            <v>DN</v>
          </cell>
          <cell r="G629" t="str">
            <v>P</v>
          </cell>
          <cell r="H629" t="str">
            <v>P</v>
          </cell>
        </row>
        <row r="630">
          <cell r="A630">
            <v>3653</v>
          </cell>
          <cell r="B630">
            <v>96000</v>
          </cell>
          <cell r="C630" t="str">
            <v>DAOUDI</v>
          </cell>
          <cell r="D630" t="str">
            <v>R6</v>
          </cell>
          <cell r="E630" t="str">
            <v>ADM</v>
          </cell>
          <cell r="F630" t="str">
            <v>DN</v>
          </cell>
          <cell r="G630" t="str">
            <v>L</v>
          </cell>
          <cell r="H630" t="str">
            <v>P</v>
          </cell>
        </row>
        <row r="631">
          <cell r="A631">
            <v>3726</v>
          </cell>
          <cell r="B631">
            <v>680000</v>
          </cell>
          <cell r="C631" t="str">
            <v>SAOUD</v>
          </cell>
          <cell r="D631" t="str">
            <v>R2</v>
          </cell>
          <cell r="E631" t="str">
            <v>ORD</v>
          </cell>
          <cell r="F631" t="str">
            <v>DN</v>
          </cell>
          <cell r="G631" t="str">
            <v>L</v>
          </cell>
          <cell r="H631" t="str">
            <v>P</v>
          </cell>
        </row>
        <row r="632">
          <cell r="A632">
            <v>3745</v>
          </cell>
          <cell r="B632">
            <v>50000000</v>
          </cell>
          <cell r="C632" t="str">
            <v>MANSOURI</v>
          </cell>
          <cell r="D632" t="str">
            <v>R2</v>
          </cell>
          <cell r="E632" t="str">
            <v>ORD</v>
          </cell>
          <cell r="F632" t="str">
            <v>DN</v>
          </cell>
          <cell r="G632" t="str">
            <v>T</v>
          </cell>
          <cell r="H632" t="str">
            <v>P</v>
          </cell>
        </row>
        <row r="633">
          <cell r="A633">
            <v>3758</v>
          </cell>
          <cell r="B633">
            <v>350000</v>
          </cell>
          <cell r="C633" t="str">
            <v>SAOUD</v>
          </cell>
          <cell r="D633" t="str">
            <v>R2</v>
          </cell>
          <cell r="E633" t="str">
            <v>ORD</v>
          </cell>
          <cell r="F633" t="str">
            <v>RN</v>
          </cell>
          <cell r="G633" t="str">
            <v>L</v>
          </cell>
          <cell r="H633" t="str">
            <v>P</v>
          </cell>
        </row>
        <row r="634">
          <cell r="A634">
            <v>3762</v>
          </cell>
          <cell r="B634">
            <v>9000000</v>
          </cell>
          <cell r="C634" t="str">
            <v>SAOUD</v>
          </cell>
          <cell r="D634" t="str">
            <v>R4</v>
          </cell>
          <cell r="E634" t="str">
            <v>ORD</v>
          </cell>
          <cell r="F634" t="str">
            <v>DN</v>
          </cell>
          <cell r="G634" t="str">
            <v>L</v>
          </cell>
          <cell r="H634" t="str">
            <v>P</v>
          </cell>
        </row>
        <row r="635">
          <cell r="A635">
            <v>3766</v>
          </cell>
          <cell r="B635">
            <v>1000000</v>
          </cell>
          <cell r="C635" t="str">
            <v>SAOUD</v>
          </cell>
          <cell r="D635" t="str">
            <v>R2</v>
          </cell>
          <cell r="E635" t="str">
            <v>ORD</v>
          </cell>
          <cell r="F635" t="str">
            <v>RN</v>
          </cell>
          <cell r="G635" t="str">
            <v>L</v>
          </cell>
          <cell r="H635" t="str">
            <v>P</v>
          </cell>
        </row>
        <row r="636">
          <cell r="A636">
            <v>3768</v>
          </cell>
          <cell r="B636">
            <v>4200000</v>
          </cell>
          <cell r="C636" t="str">
            <v>SAOUD</v>
          </cell>
          <cell r="D636" t="str">
            <v>R2</v>
          </cell>
          <cell r="E636" t="str">
            <v>ORD</v>
          </cell>
          <cell r="F636" t="str">
            <v>DN</v>
          </cell>
          <cell r="G636" t="str">
            <v>L</v>
          </cell>
          <cell r="H636" t="str">
            <v>P</v>
          </cell>
        </row>
        <row r="637">
          <cell r="A637">
            <v>3788</v>
          </cell>
          <cell r="B637">
            <v>573000</v>
          </cell>
          <cell r="C637" t="str">
            <v>MAGHRAOUI</v>
          </cell>
          <cell r="D637" t="str">
            <v>R2</v>
          </cell>
          <cell r="E637" t="str">
            <v>ORD</v>
          </cell>
          <cell r="F637" t="str">
            <v>RN</v>
          </cell>
          <cell r="G637" t="str">
            <v>P</v>
          </cell>
          <cell r="H637" t="str">
            <v>P</v>
          </cell>
        </row>
        <row r="638">
          <cell r="A638">
            <v>3788</v>
          </cell>
          <cell r="C638" t="str">
            <v>MAGHRAOUI</v>
          </cell>
          <cell r="D638" t="str">
            <v>R2</v>
          </cell>
          <cell r="E638" t="str">
            <v>ORD</v>
          </cell>
          <cell r="F638" t="str">
            <v>RN</v>
          </cell>
          <cell r="G638" t="str">
            <v>P</v>
          </cell>
          <cell r="H638" t="str">
            <v>P</v>
          </cell>
        </row>
        <row r="639">
          <cell r="A639">
            <v>3788</v>
          </cell>
          <cell r="C639" t="str">
            <v>MAGHRAOUI</v>
          </cell>
          <cell r="D639" t="str">
            <v>R2</v>
          </cell>
          <cell r="E639" t="str">
            <v>ORD</v>
          </cell>
          <cell r="F639" t="str">
            <v>RN</v>
          </cell>
          <cell r="G639" t="str">
            <v>P</v>
          </cell>
          <cell r="H639" t="str">
            <v>P</v>
          </cell>
        </row>
        <row r="640">
          <cell r="A640">
            <v>3788</v>
          </cell>
          <cell r="C640" t="str">
            <v>MAGHRAOUI</v>
          </cell>
          <cell r="D640" t="str">
            <v>R2</v>
          </cell>
          <cell r="E640" t="str">
            <v>ORD</v>
          </cell>
          <cell r="F640" t="str">
            <v>RN</v>
          </cell>
          <cell r="G640" t="str">
            <v>P</v>
          </cell>
          <cell r="H640" t="str">
            <v>P</v>
          </cell>
        </row>
        <row r="641">
          <cell r="A641">
            <v>3789</v>
          </cell>
          <cell r="B641">
            <v>560000</v>
          </cell>
          <cell r="C641" t="str">
            <v>BOUZEKKOURA</v>
          </cell>
          <cell r="D641" t="str">
            <v>R2</v>
          </cell>
          <cell r="E641" t="str">
            <v>ORD</v>
          </cell>
          <cell r="F641" t="str">
            <v>RN</v>
          </cell>
          <cell r="G641" t="str">
            <v>P</v>
          </cell>
          <cell r="H641" t="str">
            <v>P</v>
          </cell>
        </row>
        <row r="642">
          <cell r="A642">
            <v>3790</v>
          </cell>
          <cell r="B642">
            <v>1200000</v>
          </cell>
          <cell r="C642" t="str">
            <v>MAGHRAOUI</v>
          </cell>
          <cell r="D642" t="str">
            <v>R4</v>
          </cell>
          <cell r="E642" t="str">
            <v>ORD</v>
          </cell>
          <cell r="F642" t="str">
            <v>DN</v>
          </cell>
          <cell r="G642" t="str">
            <v>P</v>
          </cell>
          <cell r="H642" t="str">
            <v>P</v>
          </cell>
        </row>
        <row r="643">
          <cell r="A643">
            <v>3791</v>
          </cell>
          <cell r="B643">
            <v>533000</v>
          </cell>
          <cell r="C643" t="str">
            <v>MAGHRAOUI</v>
          </cell>
          <cell r="D643" t="str">
            <v>R4</v>
          </cell>
          <cell r="E643" t="str">
            <v>ORD</v>
          </cell>
          <cell r="F643" t="str">
            <v>DN</v>
          </cell>
          <cell r="G643" t="str">
            <v>P</v>
          </cell>
          <cell r="H643" t="str">
            <v>P</v>
          </cell>
        </row>
        <row r="644">
          <cell r="A644">
            <v>3791</v>
          </cell>
          <cell r="C644" t="str">
            <v>MAGHRAOUI</v>
          </cell>
          <cell r="D644" t="str">
            <v>R4</v>
          </cell>
          <cell r="E644" t="str">
            <v>ORD</v>
          </cell>
          <cell r="F644" t="str">
            <v>DN</v>
          </cell>
          <cell r="G644" t="str">
            <v>P</v>
          </cell>
          <cell r="H644" t="str">
            <v>P</v>
          </cell>
        </row>
        <row r="645">
          <cell r="A645">
            <v>3791</v>
          </cell>
          <cell r="C645" t="str">
            <v>MAGHRAOUI</v>
          </cell>
          <cell r="D645" t="str">
            <v>R4</v>
          </cell>
          <cell r="E645" t="str">
            <v>ORD</v>
          </cell>
          <cell r="F645" t="str">
            <v>DN</v>
          </cell>
          <cell r="G645" t="str">
            <v>P</v>
          </cell>
          <cell r="H645" t="str">
            <v>P</v>
          </cell>
        </row>
        <row r="646">
          <cell r="A646">
            <v>3791</v>
          </cell>
          <cell r="C646" t="str">
            <v>MAGHRAOUI</v>
          </cell>
          <cell r="D646" t="str">
            <v>R4</v>
          </cell>
          <cell r="E646" t="str">
            <v>ORD</v>
          </cell>
          <cell r="F646" t="str">
            <v>DN</v>
          </cell>
          <cell r="G646" t="str">
            <v>P</v>
          </cell>
          <cell r="H646" t="str">
            <v>P</v>
          </cell>
        </row>
        <row r="647">
          <cell r="A647">
            <v>3791</v>
          </cell>
          <cell r="C647" t="str">
            <v>MAGHRAOUI</v>
          </cell>
          <cell r="D647" t="str">
            <v>R4</v>
          </cell>
          <cell r="E647" t="str">
            <v>ORD</v>
          </cell>
          <cell r="F647" t="str">
            <v>DN</v>
          </cell>
          <cell r="G647" t="str">
            <v>P</v>
          </cell>
          <cell r="H647" t="str">
            <v>P</v>
          </cell>
        </row>
        <row r="648">
          <cell r="A648">
            <v>3791</v>
          </cell>
          <cell r="C648" t="str">
            <v>MAGHRAOUI</v>
          </cell>
          <cell r="D648" t="str">
            <v>R4</v>
          </cell>
          <cell r="E648" t="str">
            <v>ORD</v>
          </cell>
          <cell r="F648" t="str">
            <v>DN</v>
          </cell>
          <cell r="G648" t="str">
            <v>P</v>
          </cell>
          <cell r="H648" t="str">
            <v>P</v>
          </cell>
        </row>
        <row r="649">
          <cell r="A649">
            <v>3791</v>
          </cell>
          <cell r="C649" t="str">
            <v>MAGHRAOUI</v>
          </cell>
          <cell r="D649" t="str">
            <v>R4</v>
          </cell>
          <cell r="E649" t="str">
            <v>ORD</v>
          </cell>
          <cell r="F649" t="str">
            <v>DN</v>
          </cell>
          <cell r="G649" t="str">
            <v>P</v>
          </cell>
          <cell r="H649" t="str">
            <v>P</v>
          </cell>
        </row>
        <row r="650">
          <cell r="A650">
            <v>3793</v>
          </cell>
          <cell r="B650">
            <v>240000</v>
          </cell>
          <cell r="C650" t="str">
            <v>MEFTAH</v>
          </cell>
          <cell r="D650" t="str">
            <v>R2</v>
          </cell>
          <cell r="E650" t="str">
            <v>ORD</v>
          </cell>
          <cell r="F650" t="str">
            <v>DN</v>
          </cell>
          <cell r="G650" t="str">
            <v>P</v>
          </cell>
          <cell r="H650" t="str">
            <v>P</v>
          </cell>
        </row>
        <row r="651">
          <cell r="A651">
            <v>3805</v>
          </cell>
          <cell r="B651">
            <v>400000</v>
          </cell>
          <cell r="C651" t="str">
            <v>ZAHRI</v>
          </cell>
          <cell r="D651" t="str">
            <v>R8</v>
          </cell>
          <cell r="E651" t="str">
            <v>ORD</v>
          </cell>
          <cell r="F651" t="str">
            <v>DN</v>
          </cell>
          <cell r="G651" t="str">
            <v>L</v>
          </cell>
          <cell r="H651" t="str">
            <v>P</v>
          </cell>
        </row>
        <row r="652">
          <cell r="A652">
            <v>3807</v>
          </cell>
          <cell r="B652">
            <v>10000000</v>
          </cell>
          <cell r="C652" t="str">
            <v>BOUALAM</v>
          </cell>
          <cell r="D652" t="str">
            <v>R5</v>
          </cell>
          <cell r="E652" t="str">
            <v>ETU</v>
          </cell>
          <cell r="F652" t="str">
            <v>DN</v>
          </cell>
          <cell r="G652" t="str">
            <v>L</v>
          </cell>
          <cell r="H652" t="str">
            <v>P</v>
          </cell>
        </row>
        <row r="653">
          <cell r="A653">
            <v>3824</v>
          </cell>
          <cell r="B653">
            <v>83200</v>
          </cell>
          <cell r="C653" t="str">
            <v>AFARID SAID</v>
          </cell>
          <cell r="D653" t="str">
            <v>R6</v>
          </cell>
          <cell r="E653" t="str">
            <v>ADM</v>
          </cell>
          <cell r="F653" t="str">
            <v>DN</v>
          </cell>
          <cell r="G653" t="str">
            <v>TC</v>
          </cell>
          <cell r="H653" t="str">
            <v>P</v>
          </cell>
        </row>
        <row r="654">
          <cell r="A654">
            <v>3826</v>
          </cell>
          <cell r="B654">
            <v>64500</v>
          </cell>
          <cell r="C654" t="str">
            <v>AFARID SAID</v>
          </cell>
          <cell r="D654" t="str">
            <v>R6</v>
          </cell>
          <cell r="E654" t="str">
            <v>ADM</v>
          </cell>
          <cell r="F654" t="str">
            <v>DN</v>
          </cell>
          <cell r="G654" t="str">
            <v>TC</v>
          </cell>
          <cell r="H654" t="str">
            <v>P</v>
          </cell>
        </row>
        <row r="655">
          <cell r="A655">
            <v>3849</v>
          </cell>
          <cell r="B655">
            <v>160000</v>
          </cell>
          <cell r="C655" t="str">
            <v>ASSOUD</v>
          </cell>
          <cell r="D655" t="str">
            <v>R7</v>
          </cell>
          <cell r="E655" t="str">
            <v>ORD</v>
          </cell>
          <cell r="F655" t="str">
            <v>RN</v>
          </cell>
          <cell r="G655" t="str">
            <v>T</v>
          </cell>
          <cell r="H655" t="str">
            <v>P</v>
          </cell>
        </row>
        <row r="656">
          <cell r="A656">
            <v>3863</v>
          </cell>
          <cell r="B656">
            <v>106000</v>
          </cell>
          <cell r="C656" t="str">
            <v>RAOUIA</v>
          </cell>
          <cell r="D656" t="str">
            <v>R2</v>
          </cell>
          <cell r="E656" t="str">
            <v>ORD</v>
          </cell>
          <cell r="F656" t="str">
            <v>DN</v>
          </cell>
          <cell r="G656" t="str">
            <v>TC</v>
          </cell>
          <cell r="H656" t="str">
            <v>P</v>
          </cell>
        </row>
        <row r="657">
          <cell r="A657">
            <v>3863</v>
          </cell>
          <cell r="C657" t="str">
            <v>RAOUIA</v>
          </cell>
          <cell r="D657" t="str">
            <v>R2</v>
          </cell>
          <cell r="E657" t="str">
            <v>ORD</v>
          </cell>
          <cell r="F657" t="str">
            <v>DN</v>
          </cell>
          <cell r="G657" t="str">
            <v>TC</v>
          </cell>
          <cell r="H657" t="str">
            <v>P</v>
          </cell>
        </row>
        <row r="658">
          <cell r="A658">
            <v>3863</v>
          </cell>
          <cell r="C658" t="str">
            <v>RAOUIA</v>
          </cell>
          <cell r="D658" t="str">
            <v>R2</v>
          </cell>
          <cell r="E658" t="str">
            <v>ORD</v>
          </cell>
          <cell r="F658" t="str">
            <v>DN</v>
          </cell>
          <cell r="G658" t="str">
            <v>TC</v>
          </cell>
          <cell r="H658" t="str">
            <v>P</v>
          </cell>
        </row>
        <row r="659">
          <cell r="A659">
            <v>3866</v>
          </cell>
          <cell r="B659">
            <v>1920000</v>
          </cell>
          <cell r="C659" t="str">
            <v>RAOUIA</v>
          </cell>
          <cell r="D659" t="str">
            <v>R2</v>
          </cell>
          <cell r="E659" t="str">
            <v>ORD</v>
          </cell>
          <cell r="F659" t="str">
            <v>DN</v>
          </cell>
          <cell r="G659" t="str">
            <v>TC</v>
          </cell>
          <cell r="H659" t="str">
            <v>P</v>
          </cell>
        </row>
        <row r="660">
          <cell r="A660">
            <v>3866</v>
          </cell>
          <cell r="C660" t="str">
            <v>RAOUIA</v>
          </cell>
          <cell r="D660" t="str">
            <v>R2</v>
          </cell>
          <cell r="E660" t="str">
            <v>ORD</v>
          </cell>
          <cell r="F660" t="str">
            <v>DN</v>
          </cell>
          <cell r="G660" t="str">
            <v>TC</v>
          </cell>
          <cell r="H660" t="str">
            <v>P</v>
          </cell>
        </row>
        <row r="661">
          <cell r="A661">
            <v>3866</v>
          </cell>
          <cell r="C661" t="str">
            <v>RAOUIA</v>
          </cell>
          <cell r="D661" t="str">
            <v>R2</v>
          </cell>
          <cell r="E661" t="str">
            <v>ORD</v>
          </cell>
          <cell r="F661" t="str">
            <v>DN</v>
          </cell>
          <cell r="G661" t="str">
            <v>TC</v>
          </cell>
          <cell r="H661" t="str">
            <v>P</v>
          </cell>
        </row>
        <row r="662">
          <cell r="A662">
            <v>3874</v>
          </cell>
          <cell r="B662">
            <v>700000</v>
          </cell>
          <cell r="C662" t="str">
            <v>RAOUIA</v>
          </cell>
          <cell r="D662" t="str">
            <v>R2</v>
          </cell>
          <cell r="E662" t="str">
            <v>ORD</v>
          </cell>
          <cell r="F662" t="str">
            <v>RN</v>
          </cell>
          <cell r="G662" t="str">
            <v>TC</v>
          </cell>
          <cell r="H662" t="str">
            <v>P</v>
          </cell>
        </row>
        <row r="663">
          <cell r="A663">
            <v>3875</v>
          </cell>
          <cell r="B663">
            <v>12500</v>
          </cell>
          <cell r="C663" t="str">
            <v>RAOUIA</v>
          </cell>
          <cell r="D663" t="str">
            <v>R2</v>
          </cell>
          <cell r="E663" t="str">
            <v>ORD</v>
          </cell>
          <cell r="F663" t="str">
            <v>DN</v>
          </cell>
          <cell r="G663" t="str">
            <v>TC</v>
          </cell>
          <cell r="H663" t="str">
            <v>P</v>
          </cell>
        </row>
        <row r="664">
          <cell r="A664">
            <v>3881</v>
          </cell>
          <cell r="B664">
            <v>300000</v>
          </cell>
          <cell r="C664" t="str">
            <v>DRIBA</v>
          </cell>
          <cell r="D664" t="str">
            <v>R2</v>
          </cell>
          <cell r="E664" t="str">
            <v>ORD</v>
          </cell>
          <cell r="F664" t="str">
            <v>RN</v>
          </cell>
          <cell r="G664" t="str">
            <v>P</v>
          </cell>
          <cell r="H664" t="str">
            <v>P</v>
          </cell>
        </row>
        <row r="665">
          <cell r="A665">
            <v>3883</v>
          </cell>
          <cell r="B665">
            <v>1650000</v>
          </cell>
          <cell r="C665" t="str">
            <v>BOUTABBA</v>
          </cell>
          <cell r="D665" t="str">
            <v>R3</v>
          </cell>
          <cell r="E665" t="str">
            <v>ORD</v>
          </cell>
          <cell r="F665" t="str">
            <v>DN</v>
          </cell>
          <cell r="G665" t="str">
            <v>P</v>
          </cell>
          <cell r="H665" t="str">
            <v>P</v>
          </cell>
        </row>
        <row r="666">
          <cell r="A666">
            <v>3883</v>
          </cell>
          <cell r="C666" t="str">
            <v>BOUTABBA</v>
          </cell>
          <cell r="D666" t="str">
            <v>R3</v>
          </cell>
          <cell r="E666" t="str">
            <v>ORD</v>
          </cell>
          <cell r="F666" t="str">
            <v>DN</v>
          </cell>
          <cell r="G666" t="str">
            <v>P</v>
          </cell>
          <cell r="H666" t="str">
            <v>P</v>
          </cell>
        </row>
        <row r="667">
          <cell r="A667">
            <v>3895</v>
          </cell>
          <cell r="B667">
            <v>535000</v>
          </cell>
          <cell r="C667" t="str">
            <v>EL BOUCHRIFI</v>
          </cell>
          <cell r="D667" t="str">
            <v>R4</v>
          </cell>
          <cell r="E667" t="str">
            <v>ORD</v>
          </cell>
          <cell r="F667" t="str">
            <v>DN</v>
          </cell>
          <cell r="G667" t="str">
            <v>P</v>
          </cell>
          <cell r="H667" t="str">
            <v>P</v>
          </cell>
        </row>
        <row r="668">
          <cell r="A668">
            <v>3895</v>
          </cell>
          <cell r="C668" t="str">
            <v>EL BOUCHRIFI</v>
          </cell>
          <cell r="D668" t="str">
            <v>R4</v>
          </cell>
          <cell r="E668" t="str">
            <v>ORD</v>
          </cell>
          <cell r="F668" t="str">
            <v>DN</v>
          </cell>
          <cell r="G668" t="str">
            <v>P</v>
          </cell>
          <cell r="H668" t="str">
            <v>P</v>
          </cell>
        </row>
        <row r="669">
          <cell r="A669">
            <v>3895</v>
          </cell>
          <cell r="C669" t="str">
            <v>EL BOUCHRIFI</v>
          </cell>
          <cell r="D669" t="str">
            <v>R4</v>
          </cell>
          <cell r="E669" t="str">
            <v>ORD</v>
          </cell>
          <cell r="F669" t="str">
            <v>DN</v>
          </cell>
          <cell r="G669" t="str">
            <v>P</v>
          </cell>
          <cell r="H669" t="str">
            <v>P</v>
          </cell>
        </row>
        <row r="670">
          <cell r="A670">
            <v>3896</v>
          </cell>
          <cell r="B670">
            <v>68500</v>
          </cell>
          <cell r="C670" t="str">
            <v>BOUTABBA</v>
          </cell>
          <cell r="D670" t="str">
            <v>R3</v>
          </cell>
          <cell r="E670" t="str">
            <v>ORD</v>
          </cell>
          <cell r="F670" t="str">
            <v>DN</v>
          </cell>
          <cell r="G670" t="str">
            <v>P</v>
          </cell>
          <cell r="H670" t="str">
            <v>P</v>
          </cell>
        </row>
        <row r="671">
          <cell r="A671">
            <v>3896</v>
          </cell>
          <cell r="C671" t="str">
            <v>BOUTABBA</v>
          </cell>
          <cell r="D671" t="str">
            <v>R3</v>
          </cell>
          <cell r="E671" t="str">
            <v>ORD</v>
          </cell>
          <cell r="F671" t="str">
            <v>DN</v>
          </cell>
          <cell r="G671" t="str">
            <v>P</v>
          </cell>
          <cell r="H671" t="str">
            <v>P</v>
          </cell>
        </row>
        <row r="672">
          <cell r="A672">
            <v>3900</v>
          </cell>
          <cell r="B672">
            <v>500000</v>
          </cell>
          <cell r="C672" t="str">
            <v>BOUTABBA</v>
          </cell>
          <cell r="D672" t="str">
            <v>R2</v>
          </cell>
          <cell r="E672" t="str">
            <v>ORD</v>
          </cell>
          <cell r="F672" t="str">
            <v>DN</v>
          </cell>
          <cell r="G672" t="str">
            <v>P</v>
          </cell>
          <cell r="H672" t="str">
            <v>P</v>
          </cell>
        </row>
        <row r="673">
          <cell r="A673">
            <v>3901</v>
          </cell>
          <cell r="B673">
            <v>385000</v>
          </cell>
          <cell r="C673" t="str">
            <v>MAHSOUN</v>
          </cell>
          <cell r="D673" t="str">
            <v>R3</v>
          </cell>
          <cell r="E673" t="str">
            <v>ORD</v>
          </cell>
          <cell r="F673" t="str">
            <v>DN</v>
          </cell>
          <cell r="G673" t="str">
            <v>P</v>
          </cell>
          <cell r="H673" t="str">
            <v>P</v>
          </cell>
        </row>
        <row r="674">
          <cell r="A674">
            <v>3901</v>
          </cell>
          <cell r="C674" t="str">
            <v>MAHSOUN</v>
          </cell>
          <cell r="D674" t="str">
            <v>R3</v>
          </cell>
          <cell r="E674" t="str">
            <v>ORD</v>
          </cell>
          <cell r="F674" t="str">
            <v>DN</v>
          </cell>
          <cell r="G674" t="str">
            <v>P</v>
          </cell>
          <cell r="H674" t="str">
            <v>P</v>
          </cell>
        </row>
        <row r="675">
          <cell r="A675">
            <v>3901</v>
          </cell>
          <cell r="C675" t="str">
            <v>MAHSOUN</v>
          </cell>
          <cell r="D675" t="str">
            <v>R3</v>
          </cell>
          <cell r="E675" t="str">
            <v>ORD</v>
          </cell>
          <cell r="F675" t="str">
            <v>DN</v>
          </cell>
          <cell r="G675" t="str">
            <v>P</v>
          </cell>
          <cell r="H675" t="str">
            <v>P</v>
          </cell>
        </row>
        <row r="676">
          <cell r="A676">
            <v>3902</v>
          </cell>
          <cell r="B676">
            <v>600000</v>
          </cell>
          <cell r="C676" t="str">
            <v>EL BOUCHRIFI</v>
          </cell>
          <cell r="D676" t="str">
            <v>R4</v>
          </cell>
          <cell r="E676" t="str">
            <v>ORD</v>
          </cell>
          <cell r="F676" t="str">
            <v>DN</v>
          </cell>
          <cell r="G676" t="str">
            <v>P</v>
          </cell>
          <cell r="H676" t="str">
            <v>P</v>
          </cell>
        </row>
        <row r="677">
          <cell r="A677">
            <v>3911</v>
          </cell>
          <cell r="B677">
            <v>800000</v>
          </cell>
          <cell r="C677" t="str">
            <v>HALMI</v>
          </cell>
          <cell r="D677" t="str">
            <v>R2</v>
          </cell>
          <cell r="E677" t="str">
            <v>ORD</v>
          </cell>
          <cell r="F677" t="str">
            <v>DN</v>
          </cell>
          <cell r="G677" t="str">
            <v>P</v>
          </cell>
          <cell r="H677" t="str">
            <v>P</v>
          </cell>
        </row>
        <row r="678">
          <cell r="A678">
            <v>3912</v>
          </cell>
          <cell r="B678">
            <v>300000</v>
          </cell>
          <cell r="C678" t="str">
            <v>SABRI</v>
          </cell>
          <cell r="D678" t="str">
            <v>R2</v>
          </cell>
          <cell r="E678" t="str">
            <v>ORD</v>
          </cell>
          <cell r="F678" t="str">
            <v>DN</v>
          </cell>
          <cell r="G678" t="str">
            <v>P</v>
          </cell>
          <cell r="H678" t="str">
            <v>P</v>
          </cell>
        </row>
        <row r="679">
          <cell r="A679">
            <v>3915</v>
          </cell>
          <cell r="B679">
            <v>320000</v>
          </cell>
          <cell r="C679" t="str">
            <v>CHARKI</v>
          </cell>
          <cell r="D679" t="str">
            <v>R6</v>
          </cell>
          <cell r="E679" t="str">
            <v>ADM</v>
          </cell>
          <cell r="F679" t="str">
            <v>DN</v>
          </cell>
          <cell r="G679" t="str">
            <v>P</v>
          </cell>
          <cell r="H679" t="str">
            <v>P</v>
          </cell>
        </row>
        <row r="680">
          <cell r="A680">
            <v>3916</v>
          </cell>
          <cell r="B680">
            <v>45000</v>
          </cell>
          <cell r="C680" t="str">
            <v>SAAD</v>
          </cell>
          <cell r="D680" t="str">
            <v>R7</v>
          </cell>
          <cell r="E680" t="str">
            <v>ORD</v>
          </cell>
          <cell r="F680" t="str">
            <v>DN</v>
          </cell>
          <cell r="G680" t="str">
            <v>P</v>
          </cell>
          <cell r="H680" t="str">
            <v>P</v>
          </cell>
        </row>
        <row r="681">
          <cell r="A681">
            <v>3917</v>
          </cell>
          <cell r="B681">
            <v>728100</v>
          </cell>
          <cell r="C681" t="str">
            <v>EL BOUCHRIFI</v>
          </cell>
          <cell r="D681" t="str">
            <v>R4</v>
          </cell>
          <cell r="E681" t="str">
            <v>ORD</v>
          </cell>
          <cell r="F681" t="str">
            <v>DN</v>
          </cell>
          <cell r="G681" t="str">
            <v>P</v>
          </cell>
          <cell r="H681" t="str">
            <v>P</v>
          </cell>
        </row>
        <row r="682">
          <cell r="A682">
            <v>3917</v>
          </cell>
          <cell r="C682" t="str">
            <v>EL BOUCHRIFI</v>
          </cell>
          <cell r="D682" t="str">
            <v>R4</v>
          </cell>
          <cell r="E682" t="str">
            <v>ORD</v>
          </cell>
          <cell r="F682" t="str">
            <v>DN</v>
          </cell>
          <cell r="G682" t="str">
            <v>P</v>
          </cell>
          <cell r="H682" t="str">
            <v>P</v>
          </cell>
        </row>
        <row r="683">
          <cell r="A683">
            <v>3917</v>
          </cell>
          <cell r="C683" t="str">
            <v>EL BOUCHRIFI</v>
          </cell>
          <cell r="D683" t="str">
            <v>R4</v>
          </cell>
          <cell r="E683" t="str">
            <v>ORD</v>
          </cell>
          <cell r="F683" t="str">
            <v>DN</v>
          </cell>
          <cell r="G683" t="str">
            <v>P</v>
          </cell>
          <cell r="H683" t="str">
            <v>P</v>
          </cell>
        </row>
        <row r="684">
          <cell r="A684">
            <v>3917</v>
          </cell>
          <cell r="C684" t="str">
            <v>EL BOUCHRIFI</v>
          </cell>
          <cell r="D684" t="str">
            <v>R4</v>
          </cell>
          <cell r="E684" t="str">
            <v>ORD</v>
          </cell>
          <cell r="F684" t="str">
            <v>DN</v>
          </cell>
          <cell r="G684" t="str">
            <v>P</v>
          </cell>
          <cell r="H684" t="str">
            <v>P</v>
          </cell>
        </row>
        <row r="685">
          <cell r="A685">
            <v>3917</v>
          </cell>
          <cell r="C685" t="str">
            <v>EL BOUCHRIFI</v>
          </cell>
          <cell r="D685" t="str">
            <v>R4</v>
          </cell>
          <cell r="E685" t="str">
            <v>ORD</v>
          </cell>
          <cell r="F685" t="str">
            <v>DN</v>
          </cell>
          <cell r="G685" t="str">
            <v>P</v>
          </cell>
          <cell r="H685" t="str">
            <v>P</v>
          </cell>
        </row>
        <row r="686">
          <cell r="A686">
            <v>3918</v>
          </cell>
          <cell r="B686">
            <v>1140000</v>
          </cell>
          <cell r="C686" t="str">
            <v>EL BOUCHRIFI</v>
          </cell>
          <cell r="D686" t="str">
            <v>R4</v>
          </cell>
          <cell r="E686" t="str">
            <v>ORD</v>
          </cell>
          <cell r="F686" t="str">
            <v>DN</v>
          </cell>
          <cell r="G686" t="str">
            <v>P</v>
          </cell>
          <cell r="H686" t="str">
            <v>P</v>
          </cell>
        </row>
        <row r="687">
          <cell r="A687">
            <v>3918</v>
          </cell>
          <cell r="C687" t="str">
            <v>EL BOUCHRIFI</v>
          </cell>
          <cell r="D687" t="str">
            <v>R4</v>
          </cell>
          <cell r="E687" t="str">
            <v>ORD</v>
          </cell>
          <cell r="F687" t="str">
            <v>DN</v>
          </cell>
          <cell r="G687" t="str">
            <v>P</v>
          </cell>
          <cell r="H687" t="str">
            <v>P</v>
          </cell>
        </row>
        <row r="688">
          <cell r="A688">
            <v>3918</v>
          </cell>
          <cell r="C688" t="str">
            <v>EL BOUCHRIFI</v>
          </cell>
          <cell r="D688" t="str">
            <v>R4</v>
          </cell>
          <cell r="E688" t="str">
            <v>ORD</v>
          </cell>
          <cell r="F688" t="str">
            <v>DN</v>
          </cell>
          <cell r="G688" t="str">
            <v>P</v>
          </cell>
          <cell r="H688" t="str">
            <v>P</v>
          </cell>
        </row>
        <row r="689">
          <cell r="A689">
            <v>3918</v>
          </cell>
          <cell r="C689" t="str">
            <v>EL BOUCHRIFI</v>
          </cell>
          <cell r="D689" t="str">
            <v>R4</v>
          </cell>
          <cell r="E689" t="str">
            <v>ORD</v>
          </cell>
          <cell r="F689" t="str">
            <v>DN</v>
          </cell>
          <cell r="G689" t="str">
            <v>P</v>
          </cell>
          <cell r="H689" t="str">
            <v>P</v>
          </cell>
        </row>
        <row r="690">
          <cell r="A690">
            <v>3929</v>
          </cell>
          <cell r="B690">
            <v>0</v>
          </cell>
          <cell r="C690" t="str">
            <v>RAMZI</v>
          </cell>
          <cell r="D690" t="str">
            <v>R2</v>
          </cell>
          <cell r="E690" t="str">
            <v>ORD</v>
          </cell>
          <cell r="F690" t="str">
            <v>RN</v>
          </cell>
          <cell r="G690" t="str">
            <v>P</v>
          </cell>
          <cell r="H690" t="str">
            <v>P</v>
          </cell>
        </row>
        <row r="691">
          <cell r="A691">
            <v>3940</v>
          </cell>
          <cell r="B691">
            <v>800000</v>
          </cell>
          <cell r="C691" t="str">
            <v>BOUZZIT</v>
          </cell>
          <cell r="D691" t="str">
            <v>R3</v>
          </cell>
          <cell r="E691" t="str">
            <v>ORD</v>
          </cell>
          <cell r="F691" t="str">
            <v>RN</v>
          </cell>
          <cell r="G691" t="str">
            <v>L</v>
          </cell>
          <cell r="H691" t="str">
            <v>P</v>
          </cell>
        </row>
        <row r="692">
          <cell r="A692">
            <v>3949</v>
          </cell>
          <cell r="B692">
            <v>250000</v>
          </cell>
          <cell r="C692" t="str">
            <v>BENZAKI</v>
          </cell>
          <cell r="D692" t="str">
            <v>R3</v>
          </cell>
          <cell r="E692" t="str">
            <v>ORD</v>
          </cell>
          <cell r="F692" t="str">
            <v>RN</v>
          </cell>
          <cell r="G692" t="str">
            <v>L</v>
          </cell>
          <cell r="H692" t="str">
            <v>P</v>
          </cell>
        </row>
        <row r="693">
          <cell r="A693">
            <v>3949</v>
          </cell>
          <cell r="C693" t="str">
            <v>BENZAKI</v>
          </cell>
          <cell r="D693" t="str">
            <v>R3</v>
          </cell>
          <cell r="E693" t="str">
            <v>ORD</v>
          </cell>
          <cell r="F693" t="str">
            <v>RN</v>
          </cell>
          <cell r="G693" t="str">
            <v>L</v>
          </cell>
          <cell r="H693" t="str">
            <v>P</v>
          </cell>
        </row>
        <row r="694">
          <cell r="A694">
            <v>3949</v>
          </cell>
          <cell r="C694" t="str">
            <v>BENZAKI</v>
          </cell>
          <cell r="D694" t="str">
            <v>R3</v>
          </cell>
          <cell r="E694" t="str">
            <v>ORD</v>
          </cell>
          <cell r="F694" t="str">
            <v>RN</v>
          </cell>
          <cell r="G694" t="str">
            <v>L</v>
          </cell>
          <cell r="H694" t="str">
            <v>P</v>
          </cell>
        </row>
        <row r="695">
          <cell r="A695">
            <v>3952</v>
          </cell>
          <cell r="B695">
            <v>2400000</v>
          </cell>
          <cell r="C695" t="str">
            <v>MAGHRANI</v>
          </cell>
          <cell r="D695" t="str">
            <v>R2</v>
          </cell>
          <cell r="E695" t="str">
            <v>ORD</v>
          </cell>
          <cell r="F695" t="str">
            <v>DN</v>
          </cell>
          <cell r="G695" t="str">
            <v>L</v>
          </cell>
          <cell r="H695" t="str">
            <v>P</v>
          </cell>
        </row>
        <row r="696">
          <cell r="A696">
            <v>3952</v>
          </cell>
          <cell r="C696" t="str">
            <v>MAGHRANI</v>
          </cell>
          <cell r="D696" t="str">
            <v>R2</v>
          </cell>
          <cell r="E696" t="str">
            <v>ORD</v>
          </cell>
          <cell r="F696" t="str">
            <v>DN</v>
          </cell>
          <cell r="G696" t="str">
            <v>L</v>
          </cell>
          <cell r="H696" t="str">
            <v>P</v>
          </cell>
        </row>
        <row r="697">
          <cell r="A697">
            <v>3952</v>
          </cell>
          <cell r="C697" t="str">
            <v>MAGHRANI</v>
          </cell>
          <cell r="D697" t="str">
            <v>R2</v>
          </cell>
          <cell r="E697" t="str">
            <v>ORD</v>
          </cell>
          <cell r="F697" t="str">
            <v>DN</v>
          </cell>
          <cell r="G697" t="str">
            <v>L</v>
          </cell>
          <cell r="H697" t="str">
            <v>P</v>
          </cell>
        </row>
        <row r="698">
          <cell r="A698">
            <v>3952</v>
          </cell>
          <cell r="C698" t="str">
            <v>MAGHRANI</v>
          </cell>
          <cell r="D698" t="str">
            <v>R2</v>
          </cell>
          <cell r="E698" t="str">
            <v>ORD</v>
          </cell>
          <cell r="F698" t="str">
            <v>DN</v>
          </cell>
          <cell r="G698" t="str">
            <v>L</v>
          </cell>
          <cell r="H698" t="str">
            <v>P</v>
          </cell>
        </row>
        <row r="699">
          <cell r="A699">
            <v>4039</v>
          </cell>
          <cell r="B699">
            <v>99000</v>
          </cell>
          <cell r="C699" t="str">
            <v>KAZZOUZI</v>
          </cell>
          <cell r="D699" t="str">
            <v>R6</v>
          </cell>
          <cell r="E699" t="str">
            <v>ADM</v>
          </cell>
          <cell r="F699" t="str">
            <v>DN</v>
          </cell>
          <cell r="G699" t="str">
            <v>AK</v>
          </cell>
          <cell r="H699" t="str">
            <v>P</v>
          </cell>
        </row>
        <row r="700">
          <cell r="A700">
            <v>4040</v>
          </cell>
          <cell r="B700">
            <v>1000000</v>
          </cell>
          <cell r="C700" t="str">
            <v>HALMI</v>
          </cell>
          <cell r="D700" t="str">
            <v>R7</v>
          </cell>
          <cell r="E700" t="str">
            <v>ORD</v>
          </cell>
          <cell r="F700" t="str">
            <v>DN</v>
          </cell>
          <cell r="G700" t="str">
            <v>P</v>
          </cell>
          <cell r="H700" t="str">
            <v>P</v>
          </cell>
        </row>
        <row r="701">
          <cell r="A701">
            <v>4070</v>
          </cell>
          <cell r="B701">
            <v>800000</v>
          </cell>
          <cell r="C701" t="str">
            <v>CHNANI</v>
          </cell>
          <cell r="D701" t="str">
            <v>R2</v>
          </cell>
          <cell r="E701" t="str">
            <v>ORD</v>
          </cell>
          <cell r="F701" t="str">
            <v>RN</v>
          </cell>
          <cell r="G701" t="str">
            <v>T</v>
          </cell>
          <cell r="H701" t="str">
            <v>P</v>
          </cell>
        </row>
        <row r="702">
          <cell r="A702">
            <v>4071</v>
          </cell>
          <cell r="B702">
            <v>800000</v>
          </cell>
          <cell r="C702" t="str">
            <v>CHNANI</v>
          </cell>
          <cell r="D702" t="str">
            <v>R2</v>
          </cell>
          <cell r="E702" t="str">
            <v>ORD</v>
          </cell>
          <cell r="F702" t="str">
            <v>RN</v>
          </cell>
          <cell r="G702" t="str">
            <v>T</v>
          </cell>
          <cell r="H702" t="str">
            <v>P</v>
          </cell>
        </row>
        <row r="703">
          <cell r="A703">
            <v>4073</v>
          </cell>
          <cell r="B703">
            <v>1880000</v>
          </cell>
          <cell r="C703" t="str">
            <v>CHNANI</v>
          </cell>
          <cell r="D703" t="str">
            <v>R2</v>
          </cell>
          <cell r="E703" t="str">
            <v>ORD</v>
          </cell>
          <cell r="F703" t="str">
            <v>RN</v>
          </cell>
          <cell r="G703" t="str">
            <v>T</v>
          </cell>
          <cell r="H703" t="str">
            <v>P</v>
          </cell>
        </row>
        <row r="704">
          <cell r="A704">
            <v>4074</v>
          </cell>
          <cell r="B704">
            <v>1690000</v>
          </cell>
          <cell r="C704" t="str">
            <v>DERDAKI</v>
          </cell>
          <cell r="D704" t="str">
            <v>R6</v>
          </cell>
          <cell r="E704" t="str">
            <v>SOC</v>
          </cell>
          <cell r="F704" t="str">
            <v>DN</v>
          </cell>
          <cell r="G704" t="str">
            <v>AK</v>
          </cell>
          <cell r="H704" t="str">
            <v>P</v>
          </cell>
        </row>
        <row r="705">
          <cell r="A705">
            <v>4077</v>
          </cell>
          <cell r="B705">
            <v>400000</v>
          </cell>
          <cell r="C705" t="str">
            <v>CHNANI</v>
          </cell>
          <cell r="D705" t="str">
            <v>R2</v>
          </cell>
          <cell r="E705" t="str">
            <v>ORD</v>
          </cell>
          <cell r="F705" t="str">
            <v>DN</v>
          </cell>
          <cell r="G705" t="str">
            <v>T</v>
          </cell>
          <cell r="H705" t="str">
            <v>P</v>
          </cell>
        </row>
        <row r="706">
          <cell r="A706">
            <v>4079</v>
          </cell>
          <cell r="B706">
            <v>5500</v>
          </cell>
          <cell r="C706" t="str">
            <v>RAOUIA</v>
          </cell>
          <cell r="D706" t="str">
            <v>R2</v>
          </cell>
          <cell r="E706" t="str">
            <v>ORD</v>
          </cell>
          <cell r="F706" t="str">
            <v>DN</v>
          </cell>
          <cell r="G706" t="str">
            <v>TC</v>
          </cell>
          <cell r="H706" t="str">
            <v>P</v>
          </cell>
        </row>
        <row r="707">
          <cell r="A707">
            <v>4080</v>
          </cell>
          <cell r="B707">
            <v>0</v>
          </cell>
          <cell r="C707" t="str">
            <v>CHNANI</v>
          </cell>
          <cell r="D707" t="str">
            <v>R2</v>
          </cell>
          <cell r="E707" t="str">
            <v>ORD</v>
          </cell>
          <cell r="F707" t="str">
            <v>DN</v>
          </cell>
          <cell r="G707" t="str">
            <v>T</v>
          </cell>
          <cell r="H707" t="str">
            <v>P</v>
          </cell>
        </row>
        <row r="708">
          <cell r="A708">
            <v>4081</v>
          </cell>
          <cell r="B708">
            <v>0</v>
          </cell>
          <cell r="C708" t="str">
            <v>CHNANI</v>
          </cell>
          <cell r="D708" t="str">
            <v>R2</v>
          </cell>
          <cell r="E708" t="str">
            <v>ORD</v>
          </cell>
          <cell r="F708" t="str">
            <v>RN</v>
          </cell>
          <cell r="G708" t="str">
            <v>T</v>
          </cell>
          <cell r="H708" t="str">
            <v>P</v>
          </cell>
        </row>
        <row r="709">
          <cell r="A709">
            <v>4085</v>
          </cell>
          <cell r="B709">
            <v>1200000</v>
          </cell>
          <cell r="C709" t="str">
            <v>BERRADA</v>
          </cell>
          <cell r="D709" t="str">
            <v>R2</v>
          </cell>
          <cell r="E709" t="str">
            <v>ORD</v>
          </cell>
          <cell r="F709" t="str">
            <v>RN</v>
          </cell>
          <cell r="G709" t="str">
            <v>T</v>
          </cell>
          <cell r="H709" t="str">
            <v>P</v>
          </cell>
        </row>
        <row r="710">
          <cell r="A710">
            <v>4087</v>
          </cell>
          <cell r="B710">
            <v>2000000</v>
          </cell>
          <cell r="C710" t="str">
            <v>BERRADA</v>
          </cell>
          <cell r="D710" t="str">
            <v>R2</v>
          </cell>
          <cell r="E710" t="str">
            <v>ORD</v>
          </cell>
          <cell r="F710" t="str">
            <v>DN</v>
          </cell>
          <cell r="G710" t="str">
            <v>T</v>
          </cell>
          <cell r="H710" t="str">
            <v>P</v>
          </cell>
        </row>
        <row r="711">
          <cell r="A711">
            <v>4088</v>
          </cell>
          <cell r="B711">
            <v>900000</v>
          </cell>
          <cell r="C711" t="str">
            <v>BERRADA</v>
          </cell>
          <cell r="D711" t="str">
            <v>R2</v>
          </cell>
          <cell r="E711" t="str">
            <v>ORD</v>
          </cell>
          <cell r="F711" t="str">
            <v>RN</v>
          </cell>
          <cell r="G711" t="str">
            <v>T</v>
          </cell>
          <cell r="H711" t="str">
            <v>P</v>
          </cell>
        </row>
        <row r="712">
          <cell r="A712">
            <v>4090</v>
          </cell>
          <cell r="B712">
            <v>2000000</v>
          </cell>
          <cell r="C712" t="str">
            <v>BERRADA</v>
          </cell>
          <cell r="D712" t="str">
            <v>R2</v>
          </cell>
          <cell r="E712" t="str">
            <v>ORD</v>
          </cell>
          <cell r="F712" t="str">
            <v>RN</v>
          </cell>
          <cell r="G712" t="str">
            <v>T</v>
          </cell>
          <cell r="H712" t="str">
            <v>P</v>
          </cell>
        </row>
        <row r="713">
          <cell r="A713">
            <v>4091</v>
          </cell>
          <cell r="B713">
            <v>4800000</v>
          </cell>
          <cell r="C713" t="str">
            <v>BERRADA</v>
          </cell>
          <cell r="D713" t="str">
            <v>R2</v>
          </cell>
          <cell r="E713" t="str">
            <v>ORD</v>
          </cell>
          <cell r="F713" t="str">
            <v>DN</v>
          </cell>
          <cell r="G713" t="str">
            <v>T</v>
          </cell>
          <cell r="H713" t="str">
            <v>P</v>
          </cell>
        </row>
        <row r="714">
          <cell r="A714">
            <v>4092</v>
          </cell>
          <cell r="B714">
            <v>3000000</v>
          </cell>
          <cell r="C714" t="str">
            <v>BOUZIAN</v>
          </cell>
          <cell r="D714" t="str">
            <v>R2</v>
          </cell>
          <cell r="E714" t="str">
            <v>ORD</v>
          </cell>
          <cell r="F714" t="str">
            <v>DN</v>
          </cell>
          <cell r="G714" t="str">
            <v>T</v>
          </cell>
          <cell r="H714" t="str">
            <v>P</v>
          </cell>
        </row>
        <row r="715">
          <cell r="A715">
            <v>4094</v>
          </cell>
          <cell r="B715">
            <v>300000</v>
          </cell>
          <cell r="C715" t="str">
            <v>DERDAKI</v>
          </cell>
          <cell r="D715" t="str">
            <v>R6</v>
          </cell>
          <cell r="E715" t="str">
            <v>SOC</v>
          </cell>
          <cell r="F715" t="str">
            <v>RN</v>
          </cell>
          <cell r="G715" t="str">
            <v>AK</v>
          </cell>
          <cell r="H715" t="str">
            <v>P</v>
          </cell>
        </row>
        <row r="716">
          <cell r="A716">
            <v>4098</v>
          </cell>
          <cell r="B716">
            <v>490000</v>
          </cell>
          <cell r="C716" t="str">
            <v>BENAMEUR</v>
          </cell>
          <cell r="D716" t="str">
            <v>R6</v>
          </cell>
          <cell r="E716" t="str">
            <v>ADM</v>
          </cell>
          <cell r="F716" t="str">
            <v>DN</v>
          </cell>
          <cell r="G716" t="str">
            <v>T</v>
          </cell>
          <cell r="H716" t="str">
            <v>P</v>
          </cell>
        </row>
        <row r="717">
          <cell r="A717">
            <v>4099</v>
          </cell>
          <cell r="B717">
            <v>390000</v>
          </cell>
          <cell r="C717" t="str">
            <v>LAGHRIB</v>
          </cell>
          <cell r="D717" t="str">
            <v>R10</v>
          </cell>
          <cell r="E717" t="str">
            <v>MED</v>
          </cell>
          <cell r="F717" t="str">
            <v>DN</v>
          </cell>
          <cell r="G717" t="str">
            <v>AK</v>
          </cell>
          <cell r="H717" t="str">
            <v>P</v>
          </cell>
        </row>
        <row r="718">
          <cell r="A718">
            <v>4100</v>
          </cell>
          <cell r="B718">
            <v>65000000</v>
          </cell>
          <cell r="C718" t="str">
            <v>BENAMEUR</v>
          </cell>
          <cell r="D718" t="str">
            <v>R2</v>
          </cell>
          <cell r="E718" t="str">
            <v>ORD</v>
          </cell>
          <cell r="F718" t="str">
            <v>DN</v>
          </cell>
          <cell r="G718" t="str">
            <v>T</v>
          </cell>
          <cell r="H718" t="str">
            <v>P</v>
          </cell>
        </row>
        <row r="719">
          <cell r="A719">
            <v>4101</v>
          </cell>
          <cell r="B719">
            <v>197500</v>
          </cell>
          <cell r="C719" t="str">
            <v>DERDAKI</v>
          </cell>
          <cell r="D719" t="str">
            <v>R6</v>
          </cell>
          <cell r="E719" t="str">
            <v>ADM</v>
          </cell>
          <cell r="F719" t="str">
            <v>RN</v>
          </cell>
          <cell r="G719" t="str">
            <v>AK</v>
          </cell>
          <cell r="H719" t="str">
            <v>P</v>
          </cell>
        </row>
        <row r="720">
          <cell r="A720">
            <v>4101</v>
          </cell>
          <cell r="C720" t="str">
            <v>DERDAKI</v>
          </cell>
          <cell r="D720" t="str">
            <v>R6</v>
          </cell>
          <cell r="E720" t="str">
            <v>ADM</v>
          </cell>
          <cell r="F720" t="str">
            <v>RN</v>
          </cell>
          <cell r="G720" t="str">
            <v>AK</v>
          </cell>
          <cell r="H720" t="str">
            <v>P</v>
          </cell>
        </row>
        <row r="721">
          <cell r="A721">
            <v>4101</v>
          </cell>
          <cell r="C721" t="str">
            <v>DERDAKI</v>
          </cell>
          <cell r="D721" t="str">
            <v>R6</v>
          </cell>
          <cell r="E721" t="str">
            <v>ADM</v>
          </cell>
          <cell r="F721" t="str">
            <v>RN</v>
          </cell>
          <cell r="G721" t="str">
            <v>AK</v>
          </cell>
          <cell r="H721" t="str">
            <v>P</v>
          </cell>
        </row>
        <row r="722">
          <cell r="A722">
            <v>4102</v>
          </cell>
          <cell r="B722">
            <v>307600</v>
          </cell>
          <cell r="C722" t="str">
            <v>BENAMEUR</v>
          </cell>
          <cell r="D722" t="str">
            <v>R6</v>
          </cell>
          <cell r="E722" t="str">
            <v>ADM</v>
          </cell>
          <cell r="F722" t="str">
            <v>DN</v>
          </cell>
          <cell r="G722" t="str">
            <v>T</v>
          </cell>
          <cell r="H722" t="str">
            <v>P</v>
          </cell>
        </row>
        <row r="723">
          <cell r="A723">
            <v>4103</v>
          </cell>
          <cell r="B723">
            <v>42400</v>
          </cell>
          <cell r="C723" t="str">
            <v>DERDAKI</v>
          </cell>
          <cell r="D723" t="str">
            <v>R6</v>
          </cell>
          <cell r="E723" t="str">
            <v>ADM</v>
          </cell>
          <cell r="F723" t="str">
            <v>RN</v>
          </cell>
          <cell r="G723" t="str">
            <v>AK</v>
          </cell>
          <cell r="H723" t="str">
            <v>P</v>
          </cell>
        </row>
        <row r="724">
          <cell r="A724">
            <v>4103</v>
          </cell>
          <cell r="B724">
            <v>16000</v>
          </cell>
          <cell r="C724" t="str">
            <v>DERDAKI</v>
          </cell>
          <cell r="D724" t="str">
            <v>R6</v>
          </cell>
          <cell r="E724" t="str">
            <v>ADM</v>
          </cell>
          <cell r="F724" t="str">
            <v>RN</v>
          </cell>
          <cell r="G724" t="str">
            <v>AK</v>
          </cell>
          <cell r="H724" t="str">
            <v>P</v>
          </cell>
        </row>
        <row r="725">
          <cell r="A725">
            <v>4104</v>
          </cell>
          <cell r="B725">
            <v>41100</v>
          </cell>
          <cell r="C725" t="str">
            <v>DERDAKI</v>
          </cell>
          <cell r="D725" t="str">
            <v>R6</v>
          </cell>
          <cell r="E725" t="str">
            <v>ADM</v>
          </cell>
          <cell r="F725" t="str">
            <v>DN</v>
          </cell>
          <cell r="G725" t="str">
            <v>AK</v>
          </cell>
          <cell r="H725" t="str">
            <v>P</v>
          </cell>
        </row>
        <row r="726">
          <cell r="A726">
            <v>4105</v>
          </cell>
          <cell r="B726">
            <v>55000</v>
          </cell>
          <cell r="C726" t="str">
            <v>DERDAKI</v>
          </cell>
          <cell r="D726" t="str">
            <v>R8</v>
          </cell>
          <cell r="E726" t="str">
            <v>ADM</v>
          </cell>
          <cell r="F726" t="str">
            <v>DN</v>
          </cell>
          <cell r="G726" t="str">
            <v>AK</v>
          </cell>
          <cell r="H726" t="str">
            <v>P</v>
          </cell>
        </row>
        <row r="727">
          <cell r="A727">
            <v>4107</v>
          </cell>
          <cell r="B727">
            <v>495000</v>
          </cell>
          <cell r="C727" t="str">
            <v>BENAMEUR</v>
          </cell>
          <cell r="D727" t="str">
            <v>R2</v>
          </cell>
          <cell r="E727" t="str">
            <v>ORD</v>
          </cell>
          <cell r="F727" t="str">
            <v>DN</v>
          </cell>
          <cell r="G727" t="str">
            <v>T</v>
          </cell>
          <cell r="H727" t="str">
            <v>P</v>
          </cell>
        </row>
        <row r="728">
          <cell r="A728">
            <v>4110</v>
          </cell>
          <cell r="B728">
            <v>4600000</v>
          </cell>
          <cell r="C728" t="str">
            <v>BOUZZIT</v>
          </cell>
          <cell r="D728" t="str">
            <v>R2</v>
          </cell>
          <cell r="E728" t="str">
            <v>ORD</v>
          </cell>
          <cell r="F728" t="str">
            <v>RN</v>
          </cell>
          <cell r="G728" t="str">
            <v>L</v>
          </cell>
          <cell r="H728" t="str">
            <v>P</v>
          </cell>
        </row>
        <row r="729">
          <cell r="A729">
            <v>4111</v>
          </cell>
          <cell r="B729">
            <v>1500000</v>
          </cell>
          <cell r="C729" t="str">
            <v>SAOUD</v>
          </cell>
          <cell r="D729" t="str">
            <v>R4</v>
          </cell>
          <cell r="E729" t="str">
            <v>ORD</v>
          </cell>
          <cell r="F729" t="str">
            <v>DN</v>
          </cell>
          <cell r="G729" t="str">
            <v>L</v>
          </cell>
          <cell r="H729" t="str">
            <v>P</v>
          </cell>
        </row>
        <row r="730">
          <cell r="A730">
            <v>4113</v>
          </cell>
          <cell r="B730">
            <v>500000</v>
          </cell>
          <cell r="C730" t="str">
            <v>CHARKI</v>
          </cell>
          <cell r="D730" t="str">
            <v>R7</v>
          </cell>
          <cell r="E730" t="str">
            <v>ORD</v>
          </cell>
          <cell r="F730" t="str">
            <v>DN</v>
          </cell>
          <cell r="G730" t="str">
            <v>P</v>
          </cell>
          <cell r="H730" t="str">
            <v>P</v>
          </cell>
        </row>
        <row r="731">
          <cell r="A731">
            <v>4114</v>
          </cell>
          <cell r="B731">
            <v>136000</v>
          </cell>
          <cell r="C731" t="str">
            <v>JARHOU</v>
          </cell>
          <cell r="D731" t="str">
            <v>R6</v>
          </cell>
          <cell r="E731" t="str">
            <v>ADM</v>
          </cell>
          <cell r="F731" t="str">
            <v>RN</v>
          </cell>
          <cell r="G731" t="str">
            <v>L</v>
          </cell>
          <cell r="H731" t="str">
            <v>P</v>
          </cell>
        </row>
        <row r="732">
          <cell r="A732">
            <v>4119</v>
          </cell>
          <cell r="B732">
            <v>0</v>
          </cell>
          <cell r="C732" t="str">
            <v>LEBBARDI</v>
          </cell>
          <cell r="D732" t="str">
            <v>R4</v>
          </cell>
          <cell r="E732" t="str">
            <v>ORD</v>
          </cell>
          <cell r="F732" t="str">
            <v>DN</v>
          </cell>
          <cell r="G732" t="str">
            <v>T</v>
          </cell>
          <cell r="H732" t="str">
            <v>P</v>
          </cell>
        </row>
        <row r="733">
          <cell r="A733">
            <v>4120</v>
          </cell>
          <cell r="B733">
            <v>0</v>
          </cell>
          <cell r="C733" t="str">
            <v>LEBBARDI</v>
          </cell>
          <cell r="D733" t="str">
            <v>R4</v>
          </cell>
          <cell r="E733" t="str">
            <v>ORD</v>
          </cell>
          <cell r="F733" t="str">
            <v>DN</v>
          </cell>
          <cell r="G733" t="str">
            <v>T</v>
          </cell>
          <cell r="H733" t="str">
            <v>P</v>
          </cell>
        </row>
        <row r="734">
          <cell r="A734">
            <v>4121</v>
          </cell>
          <cell r="B734">
            <v>160000</v>
          </cell>
          <cell r="C734" t="str">
            <v>LEBBARDI</v>
          </cell>
          <cell r="D734" t="str">
            <v>R9</v>
          </cell>
          <cell r="E734" t="str">
            <v>ORD</v>
          </cell>
          <cell r="F734" t="str">
            <v>DN</v>
          </cell>
          <cell r="G734" t="str">
            <v>T</v>
          </cell>
          <cell r="H734" t="str">
            <v>P</v>
          </cell>
        </row>
        <row r="735">
          <cell r="A735">
            <v>4129</v>
          </cell>
          <cell r="B735">
            <v>24000</v>
          </cell>
          <cell r="C735" t="str">
            <v>LEBBARDI</v>
          </cell>
          <cell r="D735" t="str">
            <v>R2</v>
          </cell>
          <cell r="E735" t="str">
            <v>ORD</v>
          </cell>
          <cell r="F735" t="str">
            <v>DN</v>
          </cell>
          <cell r="G735" t="str">
            <v>T</v>
          </cell>
          <cell r="H735" t="str">
            <v>P</v>
          </cell>
        </row>
        <row r="736">
          <cell r="A736">
            <v>4141</v>
          </cell>
          <cell r="B736">
            <v>1240000</v>
          </cell>
          <cell r="C736" t="str">
            <v>AIT HSSAINE</v>
          </cell>
          <cell r="D736" t="str">
            <v>R2</v>
          </cell>
          <cell r="E736" t="str">
            <v>ORD</v>
          </cell>
          <cell r="F736" t="str">
            <v>DN</v>
          </cell>
          <cell r="G736" t="str">
            <v>T</v>
          </cell>
          <cell r="H736" t="str">
            <v>P</v>
          </cell>
        </row>
        <row r="737">
          <cell r="A737">
            <v>4142</v>
          </cell>
          <cell r="B737">
            <v>1350000</v>
          </cell>
          <cell r="C737" t="str">
            <v>AIT HSSAINE</v>
          </cell>
          <cell r="D737" t="str">
            <v>R2</v>
          </cell>
          <cell r="E737" t="str">
            <v>ORD</v>
          </cell>
          <cell r="F737" t="str">
            <v>DN</v>
          </cell>
          <cell r="G737" t="str">
            <v>T</v>
          </cell>
          <cell r="H737" t="str">
            <v>P</v>
          </cell>
        </row>
        <row r="738">
          <cell r="A738">
            <v>4144</v>
          </cell>
          <cell r="B738">
            <v>1100000</v>
          </cell>
          <cell r="C738" t="str">
            <v>AIT HSSAINE</v>
          </cell>
          <cell r="D738" t="str">
            <v>R2</v>
          </cell>
          <cell r="E738" t="str">
            <v>ORD</v>
          </cell>
          <cell r="F738" t="str">
            <v>RN</v>
          </cell>
          <cell r="G738" t="str">
            <v>T</v>
          </cell>
          <cell r="H738" t="str">
            <v>P</v>
          </cell>
        </row>
        <row r="739">
          <cell r="A739">
            <v>4156</v>
          </cell>
          <cell r="B739">
            <v>108000</v>
          </cell>
          <cell r="C739" t="str">
            <v>ASSOUD</v>
          </cell>
          <cell r="D739" t="str">
            <v>R7</v>
          </cell>
          <cell r="E739" t="str">
            <v>ORD</v>
          </cell>
          <cell r="F739" t="str">
            <v>DN</v>
          </cell>
          <cell r="G739" t="str">
            <v>T</v>
          </cell>
          <cell r="H739" t="str">
            <v>P</v>
          </cell>
        </row>
        <row r="740">
          <cell r="A740">
            <v>4158</v>
          </cell>
          <cell r="B740">
            <v>80000</v>
          </cell>
          <cell r="C740" t="str">
            <v>MOUNTASSIR</v>
          </cell>
          <cell r="D740" t="str">
            <v>R5</v>
          </cell>
          <cell r="E740" t="str">
            <v>ETU</v>
          </cell>
          <cell r="F740" t="str">
            <v>DN</v>
          </cell>
          <cell r="G740" t="str">
            <v>T</v>
          </cell>
          <cell r="H740" t="str">
            <v>P</v>
          </cell>
        </row>
        <row r="741">
          <cell r="A741">
            <v>4163</v>
          </cell>
          <cell r="B741">
            <v>40000</v>
          </cell>
          <cell r="C741" t="str">
            <v>NOUARI</v>
          </cell>
          <cell r="D741" t="str">
            <v>R5</v>
          </cell>
          <cell r="E741" t="str">
            <v>ETU</v>
          </cell>
          <cell r="F741" t="str">
            <v>RN</v>
          </cell>
          <cell r="G741" t="str">
            <v>T</v>
          </cell>
          <cell r="H741" t="str">
            <v>P</v>
          </cell>
        </row>
        <row r="742">
          <cell r="A742">
            <v>4171</v>
          </cell>
          <cell r="B742">
            <v>3000000</v>
          </cell>
          <cell r="C742" t="str">
            <v>LATRACH</v>
          </cell>
          <cell r="D742" t="str">
            <v>R2</v>
          </cell>
          <cell r="E742" t="str">
            <v>ORD</v>
          </cell>
          <cell r="F742" t="str">
            <v>DN</v>
          </cell>
          <cell r="G742" t="str">
            <v>T</v>
          </cell>
          <cell r="H742" t="str">
            <v>P</v>
          </cell>
        </row>
        <row r="743">
          <cell r="A743">
            <v>4171</v>
          </cell>
          <cell r="C743" t="str">
            <v>LATRACH</v>
          </cell>
          <cell r="D743" t="str">
            <v>R2</v>
          </cell>
          <cell r="E743" t="str">
            <v>ORD</v>
          </cell>
          <cell r="F743" t="str">
            <v>DN</v>
          </cell>
          <cell r="G743" t="str">
            <v>T</v>
          </cell>
          <cell r="H743" t="str">
            <v>P</v>
          </cell>
        </row>
        <row r="744">
          <cell r="A744">
            <v>4175</v>
          </cell>
          <cell r="B744">
            <v>2800000</v>
          </cell>
          <cell r="C744" t="str">
            <v>LAHMIDI</v>
          </cell>
          <cell r="D744" t="str">
            <v>R2</v>
          </cell>
          <cell r="E744" t="str">
            <v>ORD</v>
          </cell>
          <cell r="F744" t="str">
            <v>DN</v>
          </cell>
          <cell r="G744" t="str">
            <v>T</v>
          </cell>
          <cell r="H744" t="str">
            <v>P</v>
          </cell>
        </row>
        <row r="745">
          <cell r="A745">
            <v>4175</v>
          </cell>
          <cell r="C745" t="str">
            <v>LAHMIDI</v>
          </cell>
          <cell r="D745" t="str">
            <v>R2</v>
          </cell>
          <cell r="E745" t="str">
            <v>ORD</v>
          </cell>
          <cell r="F745" t="str">
            <v>DN</v>
          </cell>
          <cell r="G745" t="str">
            <v>T</v>
          </cell>
          <cell r="H745" t="str">
            <v>P</v>
          </cell>
        </row>
        <row r="746">
          <cell r="A746">
            <v>4175</v>
          </cell>
          <cell r="C746" t="str">
            <v>LAHMIDI</v>
          </cell>
          <cell r="D746" t="str">
            <v>R2</v>
          </cell>
          <cell r="E746" t="str">
            <v>ORD</v>
          </cell>
          <cell r="F746" t="str">
            <v>DN</v>
          </cell>
          <cell r="G746" t="str">
            <v>T</v>
          </cell>
          <cell r="H746" t="str">
            <v>P</v>
          </cell>
        </row>
        <row r="747">
          <cell r="A747">
            <v>4175</v>
          </cell>
          <cell r="C747" t="str">
            <v>LAHMIDI</v>
          </cell>
          <cell r="D747" t="str">
            <v>R2</v>
          </cell>
          <cell r="E747" t="str">
            <v>ORD</v>
          </cell>
          <cell r="F747" t="str">
            <v>DN</v>
          </cell>
          <cell r="G747" t="str">
            <v>T</v>
          </cell>
          <cell r="H747" t="str">
            <v>P</v>
          </cell>
        </row>
        <row r="748">
          <cell r="A748">
            <v>4180</v>
          </cell>
          <cell r="B748">
            <v>490000</v>
          </cell>
          <cell r="C748" t="str">
            <v>HADINI</v>
          </cell>
          <cell r="D748" t="str">
            <v>R2</v>
          </cell>
          <cell r="E748" t="str">
            <v>ORD</v>
          </cell>
          <cell r="F748" t="str">
            <v>DN</v>
          </cell>
          <cell r="G748" t="str">
            <v>T</v>
          </cell>
          <cell r="H748" t="str">
            <v>P</v>
          </cell>
        </row>
        <row r="749">
          <cell r="A749">
            <v>4181</v>
          </cell>
          <cell r="B749">
            <v>1000000</v>
          </cell>
          <cell r="C749" t="str">
            <v>HADINI</v>
          </cell>
          <cell r="D749" t="str">
            <v>R2</v>
          </cell>
          <cell r="E749" t="str">
            <v>ORD</v>
          </cell>
          <cell r="F749" t="str">
            <v>DN</v>
          </cell>
          <cell r="G749" t="str">
            <v>T</v>
          </cell>
          <cell r="H749" t="str">
            <v>P</v>
          </cell>
        </row>
        <row r="750">
          <cell r="A750">
            <v>4182</v>
          </cell>
          <cell r="B750">
            <v>490000</v>
          </cell>
          <cell r="C750" t="str">
            <v>HADINI</v>
          </cell>
          <cell r="D750" t="str">
            <v>R2</v>
          </cell>
          <cell r="E750" t="str">
            <v>ORD</v>
          </cell>
          <cell r="F750" t="str">
            <v>DN</v>
          </cell>
          <cell r="G750" t="str">
            <v>T</v>
          </cell>
          <cell r="H750" t="str">
            <v>P</v>
          </cell>
        </row>
        <row r="751">
          <cell r="A751">
            <v>4185</v>
          </cell>
          <cell r="B751">
            <v>4500000</v>
          </cell>
          <cell r="C751" t="str">
            <v>JERRAR</v>
          </cell>
          <cell r="D751" t="str">
            <v>R2</v>
          </cell>
          <cell r="E751" t="str">
            <v>ORD</v>
          </cell>
          <cell r="F751" t="str">
            <v>DN</v>
          </cell>
          <cell r="G751" t="str">
            <v>T</v>
          </cell>
          <cell r="H751" t="str">
            <v>P</v>
          </cell>
        </row>
        <row r="752">
          <cell r="A752">
            <v>4186</v>
          </cell>
          <cell r="B752">
            <v>1000000</v>
          </cell>
          <cell r="C752" t="str">
            <v>JERRAR</v>
          </cell>
          <cell r="D752" t="str">
            <v>R2</v>
          </cell>
          <cell r="E752" t="str">
            <v>ORD</v>
          </cell>
          <cell r="F752" t="str">
            <v>RN</v>
          </cell>
          <cell r="G752" t="str">
            <v>T</v>
          </cell>
          <cell r="H752" t="str">
            <v>P</v>
          </cell>
        </row>
        <row r="753">
          <cell r="A753">
            <v>4188</v>
          </cell>
          <cell r="B753">
            <v>2000000</v>
          </cell>
          <cell r="C753" t="str">
            <v>JERRAR</v>
          </cell>
          <cell r="D753" t="str">
            <v>R2</v>
          </cell>
          <cell r="E753" t="str">
            <v>ORD</v>
          </cell>
          <cell r="F753" t="str">
            <v>RN</v>
          </cell>
          <cell r="G753" t="str">
            <v>T</v>
          </cell>
          <cell r="H753" t="str">
            <v>P</v>
          </cell>
        </row>
        <row r="754">
          <cell r="A754">
            <v>4189</v>
          </cell>
          <cell r="B754">
            <v>4000000</v>
          </cell>
          <cell r="C754" t="str">
            <v>JERRAR</v>
          </cell>
          <cell r="D754" t="str">
            <v>R2</v>
          </cell>
          <cell r="E754" t="str">
            <v>ORD</v>
          </cell>
          <cell r="F754" t="str">
            <v>RN</v>
          </cell>
          <cell r="G754" t="str">
            <v>T</v>
          </cell>
          <cell r="H754" t="str">
            <v>P</v>
          </cell>
        </row>
        <row r="755">
          <cell r="A755">
            <v>4192</v>
          </cell>
          <cell r="B755">
            <v>480000</v>
          </cell>
          <cell r="C755" t="str">
            <v>JERRAR</v>
          </cell>
          <cell r="D755" t="str">
            <v>R9</v>
          </cell>
          <cell r="E755" t="str">
            <v>ORD</v>
          </cell>
          <cell r="F755" t="str">
            <v>RN</v>
          </cell>
          <cell r="G755" t="str">
            <v>T</v>
          </cell>
          <cell r="H755" t="str">
            <v>P</v>
          </cell>
        </row>
        <row r="756">
          <cell r="A756">
            <v>4194</v>
          </cell>
          <cell r="B756">
            <v>2000000</v>
          </cell>
          <cell r="C756" t="str">
            <v>JERRAR</v>
          </cell>
          <cell r="D756" t="str">
            <v>R2</v>
          </cell>
          <cell r="E756" t="str">
            <v>ORD</v>
          </cell>
          <cell r="F756" t="str">
            <v>RN</v>
          </cell>
          <cell r="G756" t="str">
            <v>T</v>
          </cell>
          <cell r="H756" t="str">
            <v>P</v>
          </cell>
        </row>
        <row r="757">
          <cell r="A757">
            <v>4195</v>
          </cell>
          <cell r="B757">
            <v>3000000</v>
          </cell>
          <cell r="C757" t="str">
            <v>JERRAR</v>
          </cell>
          <cell r="D757" t="str">
            <v>R2</v>
          </cell>
          <cell r="E757" t="str">
            <v>ORD</v>
          </cell>
          <cell r="F757" t="str">
            <v>RN</v>
          </cell>
          <cell r="G757" t="str">
            <v>T</v>
          </cell>
          <cell r="H757" t="str">
            <v>P</v>
          </cell>
        </row>
        <row r="758">
          <cell r="A758">
            <v>4196</v>
          </cell>
          <cell r="B758">
            <v>1000000</v>
          </cell>
          <cell r="C758" t="str">
            <v>JERRAR</v>
          </cell>
          <cell r="D758" t="str">
            <v>R2</v>
          </cell>
          <cell r="E758" t="str">
            <v>ORD</v>
          </cell>
          <cell r="F758" t="str">
            <v>RN</v>
          </cell>
          <cell r="G758" t="str">
            <v>T</v>
          </cell>
          <cell r="H758" t="str">
            <v>P</v>
          </cell>
        </row>
        <row r="759">
          <cell r="A759">
            <v>4208</v>
          </cell>
          <cell r="B759">
            <v>480000</v>
          </cell>
          <cell r="C759" t="str">
            <v>HADINI</v>
          </cell>
          <cell r="D759" t="str">
            <v>R2</v>
          </cell>
          <cell r="E759" t="str">
            <v>ORD</v>
          </cell>
          <cell r="F759" t="str">
            <v>DN</v>
          </cell>
          <cell r="G759" t="str">
            <v>T</v>
          </cell>
          <cell r="H759" t="str">
            <v>P</v>
          </cell>
        </row>
        <row r="760">
          <cell r="A760">
            <v>4223</v>
          </cell>
          <cell r="B760">
            <v>11000</v>
          </cell>
          <cell r="C760" t="str">
            <v>DERDAKI</v>
          </cell>
          <cell r="D760" t="str">
            <v>R6</v>
          </cell>
          <cell r="E760" t="str">
            <v>ADM</v>
          </cell>
          <cell r="F760" t="str">
            <v>DN</v>
          </cell>
          <cell r="G760" t="str">
            <v>AK</v>
          </cell>
          <cell r="H760" t="str">
            <v>P</v>
          </cell>
        </row>
        <row r="761">
          <cell r="A761">
            <v>4226</v>
          </cell>
          <cell r="B761">
            <v>10000</v>
          </cell>
          <cell r="C761" t="str">
            <v>CHEHTANE</v>
          </cell>
          <cell r="D761" t="str">
            <v>R6</v>
          </cell>
          <cell r="E761" t="str">
            <v>ADM</v>
          </cell>
          <cell r="F761" t="str">
            <v>DN</v>
          </cell>
          <cell r="G761" t="str">
            <v>P</v>
          </cell>
          <cell r="H761" t="str">
            <v>P</v>
          </cell>
        </row>
        <row r="762">
          <cell r="A762">
            <v>4254</v>
          </cell>
          <cell r="B762">
            <v>550000</v>
          </cell>
          <cell r="C762" t="str">
            <v>BENZAKI</v>
          </cell>
          <cell r="D762" t="str">
            <v>R3</v>
          </cell>
          <cell r="E762" t="str">
            <v>ORD</v>
          </cell>
          <cell r="F762" t="str">
            <v>DN</v>
          </cell>
          <cell r="G762" t="str">
            <v>L</v>
          </cell>
          <cell r="H762" t="str">
            <v>P</v>
          </cell>
        </row>
        <row r="763">
          <cell r="A763">
            <v>4254</v>
          </cell>
          <cell r="C763" t="str">
            <v>BENZAKI</v>
          </cell>
          <cell r="D763" t="str">
            <v>R3</v>
          </cell>
          <cell r="E763" t="str">
            <v>ORD</v>
          </cell>
          <cell r="F763" t="str">
            <v>DN</v>
          </cell>
          <cell r="G763" t="str">
            <v>L</v>
          </cell>
          <cell r="H763" t="str">
            <v>P</v>
          </cell>
        </row>
        <row r="764">
          <cell r="A764">
            <v>4254</v>
          </cell>
          <cell r="C764" t="str">
            <v>BENZAKI</v>
          </cell>
          <cell r="D764" t="str">
            <v>R3</v>
          </cell>
          <cell r="E764" t="str">
            <v>ORD</v>
          </cell>
          <cell r="F764" t="str">
            <v>DN</v>
          </cell>
          <cell r="G764" t="str">
            <v>L</v>
          </cell>
          <cell r="H764" t="str">
            <v>P</v>
          </cell>
        </row>
        <row r="765">
          <cell r="A765">
            <v>4263</v>
          </cell>
          <cell r="B765">
            <v>490000</v>
          </cell>
          <cell r="C765" t="str">
            <v>HADINI</v>
          </cell>
          <cell r="D765" t="str">
            <v>R6</v>
          </cell>
          <cell r="E765" t="str">
            <v>ADM</v>
          </cell>
          <cell r="F765" t="str">
            <v>DN</v>
          </cell>
          <cell r="G765" t="str">
            <v>T</v>
          </cell>
          <cell r="H765" t="str">
            <v>P</v>
          </cell>
        </row>
        <row r="766">
          <cell r="A766">
            <v>4270</v>
          </cell>
          <cell r="B766">
            <v>100000000</v>
          </cell>
          <cell r="C766" t="str">
            <v>HALMI</v>
          </cell>
          <cell r="D766" t="str">
            <v>R2</v>
          </cell>
          <cell r="E766" t="str">
            <v>ORD</v>
          </cell>
          <cell r="F766" t="str">
            <v>RN</v>
          </cell>
          <cell r="G766" t="str">
            <v>P</v>
          </cell>
          <cell r="H766" t="str">
            <v>P</v>
          </cell>
        </row>
        <row r="767">
          <cell r="A767">
            <v>4275</v>
          </cell>
          <cell r="B767">
            <v>1400000</v>
          </cell>
          <cell r="C767" t="str">
            <v>CHNANI</v>
          </cell>
          <cell r="D767" t="str">
            <v>R6</v>
          </cell>
          <cell r="E767" t="str">
            <v>ADM</v>
          </cell>
          <cell r="F767" t="str">
            <v>DN</v>
          </cell>
          <cell r="G767" t="str">
            <v>T</v>
          </cell>
          <cell r="H767" t="str">
            <v>P</v>
          </cell>
        </row>
        <row r="768">
          <cell r="A768">
            <v>4301</v>
          </cell>
          <cell r="B768">
            <v>38400</v>
          </cell>
          <cell r="C768" t="str">
            <v>SAAD</v>
          </cell>
          <cell r="D768" t="str">
            <v>R7</v>
          </cell>
          <cell r="E768" t="str">
            <v>MED</v>
          </cell>
          <cell r="F768" t="str">
            <v>DN</v>
          </cell>
          <cell r="G768" t="str">
            <v>P</v>
          </cell>
          <cell r="H768" t="str">
            <v>P</v>
          </cell>
        </row>
        <row r="769">
          <cell r="A769">
            <v>4909</v>
          </cell>
          <cell r="B769">
            <v>4000000</v>
          </cell>
          <cell r="C769" t="str">
            <v>KHOUILI</v>
          </cell>
          <cell r="D769" t="str">
            <v>R2</v>
          </cell>
          <cell r="E769" t="str">
            <v>ORD</v>
          </cell>
          <cell r="F769" t="str">
            <v>RN</v>
          </cell>
          <cell r="G769" t="str">
            <v>P</v>
          </cell>
          <cell r="H769" t="str">
            <v>P</v>
          </cell>
        </row>
        <row r="770">
          <cell r="A770">
            <v>4975</v>
          </cell>
          <cell r="B770">
            <v>3500000</v>
          </cell>
          <cell r="C770" t="str">
            <v>SAOUD</v>
          </cell>
          <cell r="D770" t="str">
            <v>R4</v>
          </cell>
          <cell r="E770" t="str">
            <v>ORD</v>
          </cell>
          <cell r="F770" t="str">
            <v>DN</v>
          </cell>
          <cell r="G770" t="str">
            <v>L</v>
          </cell>
          <cell r="H770" t="str">
            <v>P</v>
          </cell>
        </row>
        <row r="771">
          <cell r="A771">
            <v>5010</v>
          </cell>
          <cell r="B771">
            <v>0</v>
          </cell>
          <cell r="C771" t="str">
            <v>SAAD</v>
          </cell>
          <cell r="D771" t="str">
            <v>R7</v>
          </cell>
          <cell r="E771" t="str">
            <v>ORD</v>
          </cell>
          <cell r="F771" t="str">
            <v>RN</v>
          </cell>
          <cell r="G771" t="str">
            <v>P</v>
          </cell>
          <cell r="H771" t="str">
            <v>P</v>
          </cell>
        </row>
        <row r="772">
          <cell r="A772">
            <v>5366</v>
          </cell>
          <cell r="B772">
            <v>8000000</v>
          </cell>
          <cell r="C772" t="str">
            <v>BENMAKHLOUF</v>
          </cell>
          <cell r="D772" t="str">
            <v>R2</v>
          </cell>
          <cell r="E772" t="str">
            <v>ORD</v>
          </cell>
          <cell r="F772" t="str">
            <v>DN</v>
          </cell>
          <cell r="G772" t="str">
            <v>T</v>
          </cell>
          <cell r="H772" t="str">
            <v>P</v>
          </cell>
        </row>
        <row r="773">
          <cell r="A773">
            <v>5367</v>
          </cell>
          <cell r="B773">
            <v>57000</v>
          </cell>
          <cell r="C773" t="str">
            <v>TIBAR</v>
          </cell>
          <cell r="D773" t="str">
            <v>R8</v>
          </cell>
          <cell r="E773" t="str">
            <v>ADM</v>
          </cell>
          <cell r="F773" t="str">
            <v>DN</v>
          </cell>
          <cell r="G773" t="str">
            <v>TC</v>
          </cell>
          <cell r="H773" t="str">
            <v>P</v>
          </cell>
        </row>
        <row r="774">
          <cell r="A774">
            <v>5373</v>
          </cell>
          <cell r="B774">
            <v>100000</v>
          </cell>
          <cell r="C774" t="str">
            <v>MANSOURI</v>
          </cell>
          <cell r="D774" t="str">
            <v>R6</v>
          </cell>
          <cell r="E774" t="str">
            <v>ADM</v>
          </cell>
          <cell r="F774" t="str">
            <v>DN</v>
          </cell>
          <cell r="G774" t="str">
            <v>T</v>
          </cell>
          <cell r="H774" t="str">
            <v>P</v>
          </cell>
        </row>
        <row r="775">
          <cell r="A775">
            <v>5382</v>
          </cell>
          <cell r="B775">
            <v>61000</v>
          </cell>
          <cell r="C775" t="str">
            <v>EL BOUCHRIFI</v>
          </cell>
          <cell r="D775" t="str">
            <v>R6</v>
          </cell>
          <cell r="E775" t="str">
            <v>ORD</v>
          </cell>
          <cell r="F775" t="str">
            <v>RN</v>
          </cell>
          <cell r="G775" t="str">
            <v>P</v>
          </cell>
          <cell r="H775" t="str">
            <v>P</v>
          </cell>
        </row>
        <row r="776">
          <cell r="A776">
            <v>5431</v>
          </cell>
          <cell r="B776">
            <v>1300000</v>
          </cell>
          <cell r="C776" t="str">
            <v>CHNANI</v>
          </cell>
          <cell r="D776" t="str">
            <v>R9</v>
          </cell>
          <cell r="E776" t="str">
            <v>ORD</v>
          </cell>
          <cell r="F776" t="str">
            <v>DN</v>
          </cell>
          <cell r="G776" t="str">
            <v>T</v>
          </cell>
          <cell r="H776" t="str">
            <v>P</v>
          </cell>
        </row>
        <row r="777">
          <cell r="A777">
            <v>5432</v>
          </cell>
          <cell r="B777">
            <v>700000</v>
          </cell>
          <cell r="C777" t="str">
            <v>CHNANI</v>
          </cell>
          <cell r="D777" t="str">
            <v>R2</v>
          </cell>
          <cell r="E777" t="str">
            <v>ORD</v>
          </cell>
          <cell r="F777" t="str">
            <v>RN</v>
          </cell>
          <cell r="G777" t="str">
            <v>T</v>
          </cell>
          <cell r="H777" t="str">
            <v>P</v>
          </cell>
        </row>
        <row r="778">
          <cell r="A778">
            <v>5457</v>
          </cell>
          <cell r="B778">
            <v>400000</v>
          </cell>
          <cell r="C778" t="str">
            <v>LAHMIDI</v>
          </cell>
          <cell r="D778" t="str">
            <v>R2</v>
          </cell>
          <cell r="E778" t="str">
            <v>ORD</v>
          </cell>
          <cell r="F778" t="str">
            <v>RN</v>
          </cell>
          <cell r="G778" t="str">
            <v>T</v>
          </cell>
          <cell r="H778" t="str">
            <v>P</v>
          </cell>
        </row>
        <row r="779">
          <cell r="A779">
            <v>5458</v>
          </cell>
          <cell r="B779">
            <v>2000000</v>
          </cell>
          <cell r="C779" t="str">
            <v>LAHMIDI</v>
          </cell>
          <cell r="D779" t="str">
            <v>R2</v>
          </cell>
          <cell r="E779" t="str">
            <v>ORD</v>
          </cell>
          <cell r="F779" t="str">
            <v>RN</v>
          </cell>
          <cell r="G779" t="str">
            <v>T</v>
          </cell>
          <cell r="H779" t="str">
            <v>P</v>
          </cell>
        </row>
        <row r="780">
          <cell r="A780">
            <v>5460</v>
          </cell>
          <cell r="B780">
            <v>1800000</v>
          </cell>
          <cell r="C780" t="str">
            <v>LAHMIDI</v>
          </cell>
          <cell r="D780" t="str">
            <v>R2</v>
          </cell>
          <cell r="E780" t="str">
            <v>ORD</v>
          </cell>
          <cell r="F780" t="str">
            <v>RN</v>
          </cell>
          <cell r="G780" t="str">
            <v>T</v>
          </cell>
          <cell r="H780" t="str">
            <v>P</v>
          </cell>
        </row>
        <row r="781">
          <cell r="A781">
            <v>5463</v>
          </cell>
          <cell r="B781">
            <v>4000000</v>
          </cell>
          <cell r="C781" t="str">
            <v>LEBBARDI</v>
          </cell>
          <cell r="D781" t="str">
            <v>R2</v>
          </cell>
          <cell r="E781" t="str">
            <v>ORD</v>
          </cell>
          <cell r="F781" t="str">
            <v>RN</v>
          </cell>
          <cell r="G781" t="str">
            <v>T</v>
          </cell>
          <cell r="H781" t="str">
            <v>P</v>
          </cell>
        </row>
        <row r="782">
          <cell r="A782">
            <v>5465</v>
          </cell>
          <cell r="B782">
            <v>4000000</v>
          </cell>
          <cell r="C782" t="str">
            <v>AIT HSSAINE</v>
          </cell>
          <cell r="D782" t="str">
            <v>R2</v>
          </cell>
          <cell r="E782" t="str">
            <v>ORD</v>
          </cell>
          <cell r="F782" t="str">
            <v>DN</v>
          </cell>
          <cell r="G782" t="str">
            <v>T</v>
          </cell>
          <cell r="H782" t="str">
            <v>P</v>
          </cell>
        </row>
        <row r="783">
          <cell r="A783">
            <v>5466</v>
          </cell>
          <cell r="B783">
            <v>360000</v>
          </cell>
          <cell r="C783" t="str">
            <v>KABBAGE</v>
          </cell>
          <cell r="D783" t="str">
            <v>R2</v>
          </cell>
          <cell r="E783" t="str">
            <v>ORD</v>
          </cell>
          <cell r="F783" t="str">
            <v>RN</v>
          </cell>
          <cell r="G783" t="str">
            <v>T</v>
          </cell>
          <cell r="H783" t="str">
            <v>P</v>
          </cell>
        </row>
        <row r="784">
          <cell r="A784">
            <v>5469</v>
          </cell>
          <cell r="B784">
            <v>70000</v>
          </cell>
          <cell r="C784" t="str">
            <v>DERDAKI</v>
          </cell>
          <cell r="D784" t="str">
            <v>R6</v>
          </cell>
          <cell r="E784" t="str">
            <v>ADM</v>
          </cell>
          <cell r="F784" t="str">
            <v>DN</v>
          </cell>
          <cell r="G784" t="str">
            <v>AK</v>
          </cell>
          <cell r="H784" t="str">
            <v>P</v>
          </cell>
        </row>
        <row r="785">
          <cell r="A785">
            <v>5589</v>
          </cell>
          <cell r="B785">
            <v>200000</v>
          </cell>
          <cell r="C785" t="str">
            <v>LARHZAOUI</v>
          </cell>
          <cell r="D785" t="str">
            <v>R6</v>
          </cell>
          <cell r="E785" t="str">
            <v>ADM</v>
          </cell>
          <cell r="F785" t="str">
            <v>DN</v>
          </cell>
          <cell r="G785" t="str">
            <v>AK</v>
          </cell>
          <cell r="H785" t="str">
            <v>P</v>
          </cell>
        </row>
        <row r="786">
          <cell r="A786">
            <v>5590</v>
          </cell>
          <cell r="B786">
            <v>200000</v>
          </cell>
          <cell r="C786" t="str">
            <v>LARHZAOUI</v>
          </cell>
          <cell r="D786" t="str">
            <v>R6</v>
          </cell>
          <cell r="E786" t="str">
            <v>ADM</v>
          </cell>
          <cell r="F786" t="str">
            <v>RN</v>
          </cell>
          <cell r="G786" t="str">
            <v>AK</v>
          </cell>
          <cell r="H786" t="str">
            <v>P</v>
          </cell>
        </row>
        <row r="787">
          <cell r="A787">
            <v>5591</v>
          </cell>
          <cell r="B787">
            <v>30000</v>
          </cell>
          <cell r="C787" t="str">
            <v>LARHZAOUI</v>
          </cell>
          <cell r="D787" t="str">
            <v>R6</v>
          </cell>
          <cell r="E787" t="str">
            <v>ADM</v>
          </cell>
          <cell r="F787" t="str">
            <v>DN</v>
          </cell>
          <cell r="G787" t="str">
            <v>AK</v>
          </cell>
          <cell r="H787" t="str">
            <v>P</v>
          </cell>
        </row>
      </sheetData>
      <sheetData sheetId="13" refreshError="1"/>
      <sheetData sheetId="14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 (2)"/>
      <sheetName val="Canevas.4"/>
      <sheetName val="Liste INV 2007"/>
      <sheetName val="Liste GT 2007"/>
      <sheetName val="Important"/>
      <sheetName val="Dépoussiérage"/>
      <sheetName val="MOP"/>
      <sheetName val="Canevas.1"/>
      <sheetName val="Feuil1"/>
      <sheetName val="Canevas.1 (2)"/>
      <sheetName val=" INV"/>
      <sheetName val="GT &amp; INV  2007"/>
      <sheetName val="Kf"/>
    </sheetNames>
    <sheetDataSet>
      <sheetData sheetId="0" refreshError="1">
        <row r="1">
          <cell r="A1" t="str">
            <v>Numéro</v>
          </cell>
          <cell r="B1" t="str">
            <v>aaa</v>
          </cell>
          <cell r="C1" t="str">
            <v>Nom</v>
          </cell>
          <cell r="D1" t="str">
            <v>Description projet</v>
          </cell>
          <cell r="E1" t="str">
            <v>Statut projet</v>
          </cell>
          <cell r="F1" t="str">
            <v>[SA]</v>
          </cell>
          <cell r="G1" t="str">
            <v>Num version budget</v>
          </cell>
          <cell r="H1" t="str">
            <v>nom de la version</v>
          </cell>
          <cell r="I1" t="str">
            <v>motif de modification</v>
          </cell>
          <cell r="J1" t="str">
            <v>statut version budget</v>
          </cell>
          <cell r="K1" t="str">
            <v>coût direct total</v>
          </cell>
          <cell r="L1" t="str">
            <v>coût complet total</v>
          </cell>
          <cell r="M1" t="str">
            <v>coût direct "N"</v>
          </cell>
          <cell r="N1" t="str">
            <v>coût complet "N"</v>
          </cell>
          <cell r="O1" t="str">
            <v>coût direct "N-1"</v>
          </cell>
          <cell r="P1" t="str">
            <v>coût direct "N-2"</v>
          </cell>
          <cell r="Q1" t="str">
            <v>coût direct "N+1"</v>
          </cell>
          <cell r="R1" t="str">
            <v>coût direct "N+2"</v>
          </cell>
          <cell r="S1" t="str">
            <v>Version ID</v>
          </cell>
          <cell r="T1" t="str">
            <v>chef de projet</v>
          </cell>
          <cell r="U1" t="str">
            <v>nature 1</v>
          </cell>
          <cell r="V1" t="str">
            <v>nature 2</v>
          </cell>
          <cell r="W1" t="str">
            <v>nature 3</v>
          </cell>
          <cell r="X1" t="str">
            <v>nature 4</v>
          </cell>
          <cell r="Y1" t="str">
            <v>prévu /imprévu</v>
          </cell>
          <cell r="Z1" t="str">
            <v>activité</v>
          </cell>
        </row>
        <row r="2">
          <cell r="A2">
            <v>2722</v>
          </cell>
          <cell r="B2">
            <v>1</v>
          </cell>
          <cell r="C2" t="str">
            <v>IV20043</v>
          </cell>
          <cell r="D2" t="str">
            <v>RENOUVELLEMENT DE 2 GRUES</v>
          </cell>
          <cell r="E2" t="str">
            <v>Approuvé</v>
          </cell>
          <cell r="F2" t="str">
            <v>K03300</v>
          </cell>
          <cell r="G2">
            <v>2</v>
          </cell>
          <cell r="H2" t="str">
            <v>Reprise</v>
          </cell>
          <cell r="I2" t="str">
            <v>REPRISE</v>
          </cell>
          <cell r="J2" t="str">
            <v>Budgété</v>
          </cell>
          <cell r="K2">
            <v>17302122.870000001</v>
          </cell>
          <cell r="L2">
            <v>17302122.870000001</v>
          </cell>
          <cell r="O2">
            <v>12000000</v>
          </cell>
          <cell r="P2">
            <v>5302122.87</v>
          </cell>
          <cell r="S2">
            <v>12802</v>
          </cell>
          <cell r="T2" t="str">
            <v>EL BOUCHRIFI Yagoub</v>
          </cell>
          <cell r="U2" t="str">
            <v>Ordinaire</v>
          </cell>
          <cell r="V2" t="str">
            <v>Reprise</v>
          </cell>
          <cell r="W2" t="str">
            <v>Renouvellement</v>
          </cell>
          <cell r="X2" t="str">
            <v>Aucune</v>
          </cell>
          <cell r="Y2" t="str">
            <v>Prévu</v>
          </cell>
          <cell r="Z2" t="str">
            <v>Reprise</v>
          </cell>
        </row>
        <row r="3">
          <cell r="A3">
            <v>2723</v>
          </cell>
          <cell r="B3">
            <v>1</v>
          </cell>
          <cell r="C3" t="str">
            <v>IV20044</v>
          </cell>
          <cell r="D3" t="str">
            <v>1 PORTE CHARS 110 T</v>
          </cell>
          <cell r="E3" t="str">
            <v>Approuvé</v>
          </cell>
          <cell r="F3" t="str">
            <v>K03500</v>
          </cell>
          <cell r="G3">
            <v>2</v>
          </cell>
          <cell r="H3" t="str">
            <v>Reprise</v>
          </cell>
          <cell r="I3" t="str">
            <v>REPRISE</v>
          </cell>
          <cell r="J3" t="str">
            <v>Budgété</v>
          </cell>
          <cell r="K3">
            <v>8000000</v>
          </cell>
          <cell r="L3">
            <v>8000000</v>
          </cell>
          <cell r="O3">
            <v>8000000</v>
          </cell>
          <cell r="S3">
            <v>12803</v>
          </cell>
          <cell r="T3" t="str">
            <v>MAGHRAOUI Brahim</v>
          </cell>
          <cell r="U3" t="str">
            <v>Ordinaire</v>
          </cell>
          <cell r="V3" t="str">
            <v>Reprise</v>
          </cell>
          <cell r="W3" t="str">
            <v>Renouvellement</v>
          </cell>
          <cell r="X3" t="str">
            <v>Aucune</v>
          </cell>
          <cell r="Y3" t="str">
            <v>Prévu</v>
          </cell>
          <cell r="Z3" t="str">
            <v>Reprise</v>
          </cell>
        </row>
        <row r="4">
          <cell r="A4">
            <v>2724</v>
          </cell>
          <cell r="B4">
            <v>1</v>
          </cell>
          <cell r="C4" t="str">
            <v>IV20045</v>
          </cell>
          <cell r="D4" t="str">
            <v>RENOUVELLEMENT DE 3 PETITES CHARGEUSES</v>
          </cell>
          <cell r="E4" t="str">
            <v>Approuvé</v>
          </cell>
          <cell r="F4" t="str">
            <v>K03300</v>
          </cell>
          <cell r="G4">
            <v>3</v>
          </cell>
          <cell r="H4" t="str">
            <v>Report</v>
          </cell>
          <cell r="I4" t="str">
            <v>REPORT</v>
          </cell>
          <cell r="J4" t="str">
            <v>Budgété</v>
          </cell>
          <cell r="K4">
            <v>3329170.34</v>
          </cell>
          <cell r="L4">
            <v>3329170.34</v>
          </cell>
          <cell r="M4">
            <v>2000000</v>
          </cell>
          <cell r="N4">
            <v>2000000</v>
          </cell>
          <cell r="O4">
            <v>0</v>
          </cell>
          <cell r="P4">
            <v>1329170.3400000001</v>
          </cell>
          <cell r="S4">
            <v>24460</v>
          </cell>
          <cell r="T4" t="str">
            <v>EL BOUCHRIFI Yagoub</v>
          </cell>
          <cell r="U4" t="str">
            <v>Ordinaire</v>
          </cell>
          <cell r="V4" t="str">
            <v>Reprise</v>
          </cell>
          <cell r="W4" t="str">
            <v>Renouvellement</v>
          </cell>
          <cell r="X4" t="str">
            <v>Aucune</v>
          </cell>
          <cell r="Y4" t="str">
            <v>Prévu</v>
          </cell>
          <cell r="Z4" t="str">
            <v>Reprise</v>
          </cell>
        </row>
        <row r="5">
          <cell r="A5">
            <v>2725</v>
          </cell>
          <cell r="B5">
            <v>1</v>
          </cell>
          <cell r="C5" t="str">
            <v>IV20048</v>
          </cell>
          <cell r="D5" t="str">
            <v>2 CHARIOTS ELEVATEURS</v>
          </cell>
          <cell r="E5" t="str">
            <v>Approuvé</v>
          </cell>
          <cell r="F5" t="str">
            <v>K03645</v>
          </cell>
          <cell r="G5">
            <v>2</v>
          </cell>
          <cell r="H5" t="str">
            <v>Reprise</v>
          </cell>
          <cell r="I5" t="str">
            <v>REPRISE</v>
          </cell>
          <cell r="J5" t="str">
            <v>Budgété</v>
          </cell>
          <cell r="K5">
            <v>2247000</v>
          </cell>
          <cell r="L5">
            <v>2247000</v>
          </cell>
          <cell r="P5">
            <v>2247000</v>
          </cell>
          <cell r="S5">
            <v>12808</v>
          </cell>
          <cell r="T5" t="str">
            <v>NABZAR AHMED</v>
          </cell>
          <cell r="U5" t="str">
            <v>Ordinaire</v>
          </cell>
          <cell r="V5" t="str">
            <v>Reprise</v>
          </cell>
          <cell r="W5" t="str">
            <v>Renouvellement</v>
          </cell>
          <cell r="X5" t="str">
            <v>Aucune</v>
          </cell>
          <cell r="Y5" t="str">
            <v>Prévu</v>
          </cell>
          <cell r="Z5" t="str">
            <v>Reprise</v>
          </cell>
        </row>
        <row r="6">
          <cell r="A6">
            <v>2726</v>
          </cell>
          <cell r="B6">
            <v>1</v>
          </cell>
          <cell r="C6" t="str">
            <v>IV20050</v>
          </cell>
          <cell r="D6" t="str">
            <v>3 CAMIONS GRUES</v>
          </cell>
          <cell r="E6" t="str">
            <v>Approuvé</v>
          </cell>
          <cell r="F6" t="str">
            <v>K03520</v>
          </cell>
          <cell r="G6">
            <v>2</v>
          </cell>
          <cell r="H6" t="str">
            <v>Reprise</v>
          </cell>
          <cell r="I6" t="str">
            <v>REPRISE</v>
          </cell>
          <cell r="J6" t="str">
            <v>Budgété</v>
          </cell>
          <cell r="K6">
            <v>3105000</v>
          </cell>
          <cell r="L6">
            <v>3105000</v>
          </cell>
          <cell r="O6">
            <v>600000</v>
          </cell>
          <cell r="P6">
            <v>2505000</v>
          </cell>
          <cell r="S6">
            <v>12812</v>
          </cell>
          <cell r="T6" t="str">
            <v>NABZAR AHMED</v>
          </cell>
          <cell r="U6" t="str">
            <v>Ordinaire</v>
          </cell>
          <cell r="V6" t="str">
            <v>Reprise</v>
          </cell>
          <cell r="W6" t="str">
            <v>Renouvellement</v>
          </cell>
          <cell r="X6" t="str">
            <v>Aucune</v>
          </cell>
          <cell r="Y6" t="str">
            <v>Prévu</v>
          </cell>
          <cell r="Z6" t="str">
            <v>Reprise</v>
          </cell>
        </row>
        <row r="7">
          <cell r="A7">
            <v>2727</v>
          </cell>
          <cell r="B7">
            <v>1</v>
          </cell>
          <cell r="C7" t="str">
            <v>IV20053</v>
          </cell>
          <cell r="D7" t="str">
            <v>3 CAMIONS DE TRANSPORT DU PERSONNEL</v>
          </cell>
          <cell r="E7" t="str">
            <v>Approuvé</v>
          </cell>
          <cell r="F7" t="str">
            <v>K03523</v>
          </cell>
          <cell r="G7">
            <v>2</v>
          </cell>
          <cell r="H7" t="str">
            <v>Reprise</v>
          </cell>
          <cell r="I7" t="str">
            <v>REPRISE</v>
          </cell>
          <cell r="J7" t="str">
            <v>Budgété</v>
          </cell>
          <cell r="K7">
            <v>1646112</v>
          </cell>
          <cell r="L7">
            <v>1646112</v>
          </cell>
          <cell r="P7">
            <v>1646112</v>
          </cell>
          <cell r="S7">
            <v>12814</v>
          </cell>
          <cell r="T7" t="str">
            <v>NABZAR AHMED</v>
          </cell>
          <cell r="U7" t="str">
            <v>Ordinaire</v>
          </cell>
          <cell r="V7" t="str">
            <v>Reprise</v>
          </cell>
          <cell r="W7" t="str">
            <v>Renouvellement</v>
          </cell>
          <cell r="X7" t="str">
            <v>Aucune</v>
          </cell>
          <cell r="Y7" t="str">
            <v>Prévu</v>
          </cell>
          <cell r="Z7" t="str">
            <v>Reprise</v>
          </cell>
        </row>
        <row r="8">
          <cell r="A8">
            <v>2728</v>
          </cell>
          <cell r="B8">
            <v>1</v>
          </cell>
          <cell r="C8" t="str">
            <v>IV20055</v>
          </cell>
          <cell r="D8" t="str">
            <v>8 APPAREILS TACHEOMETRIQUES</v>
          </cell>
          <cell r="E8" t="str">
            <v>Approuvé</v>
          </cell>
          <cell r="F8" t="str">
            <v>K03022</v>
          </cell>
          <cell r="G8">
            <v>2</v>
          </cell>
          <cell r="H8" t="str">
            <v>Reprise</v>
          </cell>
          <cell r="I8" t="str">
            <v>REPRISE</v>
          </cell>
          <cell r="J8" t="str">
            <v>Budgété</v>
          </cell>
          <cell r="K8">
            <v>2574103.96</v>
          </cell>
          <cell r="L8">
            <v>2574103.96</v>
          </cell>
          <cell r="O8">
            <v>1600000</v>
          </cell>
          <cell r="P8">
            <v>974103.96</v>
          </cell>
          <cell r="S8">
            <v>12817</v>
          </cell>
          <cell r="T8" t="str">
            <v>CHEHTANE Mohammed</v>
          </cell>
          <cell r="U8" t="str">
            <v>Ordinaire</v>
          </cell>
          <cell r="V8" t="str">
            <v>Reprise</v>
          </cell>
          <cell r="W8" t="str">
            <v>Renouvellement</v>
          </cell>
          <cell r="X8" t="str">
            <v>Aucune</v>
          </cell>
          <cell r="Y8" t="str">
            <v>Prévu</v>
          </cell>
          <cell r="Z8" t="str">
            <v>Reprise</v>
          </cell>
        </row>
        <row r="9">
          <cell r="A9">
            <v>2729</v>
          </cell>
          <cell r="B9">
            <v>1</v>
          </cell>
          <cell r="C9" t="str">
            <v>IV20056</v>
          </cell>
          <cell r="D9" t="str">
            <v>2 TRANSFORMATEURS 1000 KVA AU PYRALENE</v>
          </cell>
          <cell r="E9" t="str">
            <v>Approuvé</v>
          </cell>
          <cell r="F9" t="str">
            <v>K03735</v>
          </cell>
          <cell r="G9">
            <v>2</v>
          </cell>
          <cell r="H9" t="str">
            <v>Reprise</v>
          </cell>
          <cell r="I9" t="str">
            <v>REPRISE</v>
          </cell>
          <cell r="J9" t="str">
            <v>Budgété</v>
          </cell>
          <cell r="K9">
            <v>260200</v>
          </cell>
          <cell r="L9">
            <v>260200</v>
          </cell>
          <cell r="O9">
            <v>25000</v>
          </cell>
          <cell r="P9">
            <v>235200</v>
          </cell>
          <cell r="S9">
            <v>12820</v>
          </cell>
          <cell r="T9" t="str">
            <v>NABZAR AHMED</v>
          </cell>
          <cell r="U9" t="str">
            <v>Ordinaire</v>
          </cell>
          <cell r="V9" t="str">
            <v>Reprise</v>
          </cell>
          <cell r="W9" t="str">
            <v>Renouvellement</v>
          </cell>
          <cell r="X9" t="str">
            <v>Aucune</v>
          </cell>
          <cell r="Y9" t="str">
            <v>Prévu</v>
          </cell>
          <cell r="Z9" t="str">
            <v>Reprise</v>
          </cell>
        </row>
        <row r="10">
          <cell r="A10">
            <v>2730</v>
          </cell>
          <cell r="B10">
            <v>1</v>
          </cell>
          <cell r="C10" t="str">
            <v>IV20059</v>
          </cell>
          <cell r="D10" t="str">
            <v>2 BASCULES INTEGRATRICES</v>
          </cell>
          <cell r="E10" t="str">
            <v>Approuvé</v>
          </cell>
          <cell r="F10" t="str">
            <v>K03100</v>
          </cell>
          <cell r="G10">
            <v>2</v>
          </cell>
          <cell r="H10" t="str">
            <v>Reprise</v>
          </cell>
          <cell r="I10" t="str">
            <v>REPRISE</v>
          </cell>
          <cell r="J10" t="str">
            <v>Budgété</v>
          </cell>
          <cell r="K10">
            <v>300000</v>
          </cell>
          <cell r="L10">
            <v>300000</v>
          </cell>
          <cell r="O10">
            <v>300000</v>
          </cell>
          <cell r="S10">
            <v>12823</v>
          </cell>
          <cell r="T10" t="str">
            <v>DRIBA Hamid</v>
          </cell>
          <cell r="U10" t="str">
            <v>Ordinaire</v>
          </cell>
          <cell r="V10" t="str">
            <v>Reprise</v>
          </cell>
          <cell r="W10" t="str">
            <v>Renouvellement</v>
          </cell>
          <cell r="X10" t="str">
            <v>Aucune</v>
          </cell>
          <cell r="Y10" t="str">
            <v>Prévu</v>
          </cell>
          <cell r="Z10" t="str">
            <v>Reprise</v>
          </cell>
        </row>
        <row r="11">
          <cell r="A11">
            <v>2731</v>
          </cell>
          <cell r="B11">
            <v>1</v>
          </cell>
          <cell r="C11" t="str">
            <v>IV20069</v>
          </cell>
          <cell r="D11" t="str">
            <v>12 CELLULES DISJONCTEURS 5500V-400A</v>
          </cell>
          <cell r="E11" t="str">
            <v>Approuvé</v>
          </cell>
          <cell r="F11" t="str">
            <v>K04605</v>
          </cell>
          <cell r="G11">
            <v>2</v>
          </cell>
          <cell r="H11" t="str">
            <v>Reprise</v>
          </cell>
          <cell r="I11" t="str">
            <v>REPRISE</v>
          </cell>
          <cell r="J11" t="str">
            <v>Budgété</v>
          </cell>
          <cell r="K11">
            <v>2474000</v>
          </cell>
          <cell r="L11">
            <v>2474000</v>
          </cell>
          <cell r="P11">
            <v>2474000</v>
          </cell>
          <cell r="S11">
            <v>12826</v>
          </cell>
          <cell r="T11" t="str">
            <v>NABZAR AHMED</v>
          </cell>
          <cell r="U11" t="str">
            <v>Ordinaire</v>
          </cell>
          <cell r="V11" t="str">
            <v>Reprise</v>
          </cell>
          <cell r="W11" t="str">
            <v>Renouvellement</v>
          </cell>
          <cell r="X11" t="str">
            <v>Aucune</v>
          </cell>
          <cell r="Y11" t="str">
            <v>Prévu</v>
          </cell>
          <cell r="Z11" t="str">
            <v>Reprise</v>
          </cell>
        </row>
        <row r="12">
          <cell r="A12">
            <v>2732</v>
          </cell>
          <cell r="B12">
            <v>1</v>
          </cell>
          <cell r="C12" t="str">
            <v>IV20078</v>
          </cell>
          <cell r="D12" t="str">
            <v>RN D'UN AUTOANALYSEUR</v>
          </cell>
          <cell r="E12" t="str">
            <v>Approuvé</v>
          </cell>
          <cell r="F12" t="str">
            <v>K04013</v>
          </cell>
          <cell r="G12">
            <v>2</v>
          </cell>
          <cell r="H12" t="str">
            <v>Reprise</v>
          </cell>
          <cell r="I12" t="str">
            <v>REPRISE</v>
          </cell>
          <cell r="J12" t="str">
            <v>Budgété</v>
          </cell>
          <cell r="K12">
            <v>568811.5</v>
          </cell>
          <cell r="L12">
            <v>568811.5</v>
          </cell>
          <cell r="O12">
            <v>50000</v>
          </cell>
          <cell r="P12">
            <v>518811.5</v>
          </cell>
          <cell r="S12">
            <v>12829</v>
          </cell>
          <cell r="T12" t="str">
            <v>KABBAGE NADIA</v>
          </cell>
          <cell r="U12" t="str">
            <v>Ordinaire</v>
          </cell>
          <cell r="V12" t="str">
            <v>Reprise</v>
          </cell>
          <cell r="W12" t="str">
            <v>Renouvellement</v>
          </cell>
          <cell r="X12" t="str">
            <v>Aucune</v>
          </cell>
          <cell r="Y12" t="str">
            <v>Prévu</v>
          </cell>
          <cell r="Z12" t="str">
            <v>Reprise</v>
          </cell>
        </row>
        <row r="13">
          <cell r="A13">
            <v>2733</v>
          </cell>
          <cell r="B13">
            <v>1</v>
          </cell>
          <cell r="C13" t="str">
            <v>IV20081</v>
          </cell>
          <cell r="D13" t="str">
            <v>MATERIEL DE LABORATOIRE</v>
          </cell>
          <cell r="E13" t="str">
            <v>Approuvé</v>
          </cell>
          <cell r="F13" t="str">
            <v>K04013</v>
          </cell>
          <cell r="G13">
            <v>2</v>
          </cell>
          <cell r="H13" t="str">
            <v>Reprise</v>
          </cell>
          <cell r="I13" t="str">
            <v>REPRISE</v>
          </cell>
          <cell r="J13" t="str">
            <v>Budgété</v>
          </cell>
          <cell r="K13">
            <v>511751.66</v>
          </cell>
          <cell r="L13">
            <v>511751.66</v>
          </cell>
          <cell r="P13">
            <v>511751.66</v>
          </cell>
          <cell r="S13">
            <v>12832</v>
          </cell>
          <cell r="T13" t="str">
            <v>NABZAR AHMED</v>
          </cell>
          <cell r="U13" t="str">
            <v>Ordinaire</v>
          </cell>
          <cell r="V13" t="str">
            <v>Reprise</v>
          </cell>
          <cell r="W13" t="str">
            <v>Renouvellement</v>
          </cell>
          <cell r="X13" t="str">
            <v>Aucune</v>
          </cell>
          <cell r="Y13" t="str">
            <v>Prévu</v>
          </cell>
          <cell r="Z13" t="str">
            <v>Reprise</v>
          </cell>
        </row>
        <row r="14">
          <cell r="A14">
            <v>2734</v>
          </cell>
          <cell r="B14">
            <v>1</v>
          </cell>
          <cell r="C14" t="str">
            <v>IV20082</v>
          </cell>
          <cell r="D14" t="str">
            <v>113 EXTINCTEURS</v>
          </cell>
          <cell r="E14" t="str">
            <v>Approuvé</v>
          </cell>
          <cell r="F14" t="str">
            <v>K04012</v>
          </cell>
          <cell r="G14">
            <v>2</v>
          </cell>
          <cell r="H14" t="str">
            <v>Reprise</v>
          </cell>
          <cell r="I14" t="str">
            <v>REPRISE</v>
          </cell>
          <cell r="J14" t="str">
            <v>Budgété</v>
          </cell>
          <cell r="K14">
            <v>173232</v>
          </cell>
          <cell r="L14">
            <v>173232</v>
          </cell>
          <cell r="P14">
            <v>173232</v>
          </cell>
          <cell r="S14">
            <v>12835</v>
          </cell>
          <cell r="T14" t="str">
            <v>ASSOUD ABDERRAHIM</v>
          </cell>
          <cell r="U14" t="str">
            <v>Ordinaire</v>
          </cell>
          <cell r="V14" t="str">
            <v>Reprise</v>
          </cell>
          <cell r="W14" t="str">
            <v>Renouvellement</v>
          </cell>
          <cell r="X14" t="str">
            <v>Aucune</v>
          </cell>
          <cell r="Y14" t="str">
            <v>Prévu</v>
          </cell>
          <cell r="Z14" t="str">
            <v>Reprise</v>
          </cell>
        </row>
        <row r="15">
          <cell r="A15">
            <v>2735</v>
          </cell>
          <cell r="B15">
            <v>1</v>
          </cell>
          <cell r="C15" t="str">
            <v>IV20094</v>
          </cell>
          <cell r="D15" t="str">
            <v>MATERIEL ET LIGNES ELECTRIQUES</v>
          </cell>
          <cell r="E15" t="str">
            <v>Approuvé</v>
          </cell>
          <cell r="F15" t="str">
            <v>K07019</v>
          </cell>
          <cell r="G15">
            <v>2</v>
          </cell>
          <cell r="H15" t="str">
            <v>Reprise</v>
          </cell>
          <cell r="I15" t="str">
            <v>REPRISE</v>
          </cell>
          <cell r="J15" t="str">
            <v>Budgété</v>
          </cell>
          <cell r="K15">
            <v>132564</v>
          </cell>
          <cell r="L15">
            <v>132564</v>
          </cell>
          <cell r="P15">
            <v>132564</v>
          </cell>
          <cell r="S15">
            <v>12837</v>
          </cell>
          <cell r="T15" t="str">
            <v>NABZAR AHMED</v>
          </cell>
          <cell r="U15" t="str">
            <v>Ordinaire</v>
          </cell>
          <cell r="V15" t="str">
            <v>Reprise</v>
          </cell>
          <cell r="W15" t="str">
            <v>Renouvellement</v>
          </cell>
          <cell r="X15" t="str">
            <v>Aucune</v>
          </cell>
          <cell r="Y15" t="str">
            <v>Prévu</v>
          </cell>
          <cell r="Z15" t="str">
            <v>Reprise</v>
          </cell>
        </row>
        <row r="16">
          <cell r="A16">
            <v>2736</v>
          </cell>
          <cell r="B16">
            <v>1</v>
          </cell>
          <cell r="C16" t="str">
            <v>IV20095</v>
          </cell>
          <cell r="D16" t="str">
            <v>MATERIEL DIVERS A CARACTERE TECHNIQUE</v>
          </cell>
          <cell r="E16" t="str">
            <v>Approuvé</v>
          </cell>
          <cell r="F16" t="str">
            <v>K07111</v>
          </cell>
          <cell r="G16">
            <v>2</v>
          </cell>
          <cell r="H16" t="str">
            <v>Reprise</v>
          </cell>
          <cell r="I16" t="str">
            <v>REPRISE</v>
          </cell>
          <cell r="J16" t="str">
            <v>Budgété</v>
          </cell>
          <cell r="K16">
            <v>13865.54</v>
          </cell>
          <cell r="L16">
            <v>13865.54</v>
          </cell>
          <cell r="O16">
            <v>9800</v>
          </cell>
          <cell r="P16">
            <v>4065.54</v>
          </cell>
          <cell r="S16">
            <v>12840</v>
          </cell>
          <cell r="T16" t="str">
            <v>NABZAR AHMED</v>
          </cell>
          <cell r="U16" t="str">
            <v>Ordinaire</v>
          </cell>
          <cell r="V16" t="str">
            <v>Reprise</v>
          </cell>
          <cell r="W16" t="str">
            <v>Renouvellement</v>
          </cell>
          <cell r="X16" t="str">
            <v>Aucune</v>
          </cell>
          <cell r="Y16" t="str">
            <v>Prévu</v>
          </cell>
          <cell r="Z16" t="str">
            <v>Reprise</v>
          </cell>
        </row>
        <row r="17">
          <cell r="A17">
            <v>2737</v>
          </cell>
          <cell r="B17">
            <v>1</v>
          </cell>
          <cell r="C17" t="str">
            <v>IV20096</v>
          </cell>
          <cell r="D17" t="str">
            <v>MATERIEL DIVERS A CARACTERE ADMINISTRATIF</v>
          </cell>
          <cell r="E17" t="str">
            <v>Approuvé</v>
          </cell>
          <cell r="F17" t="str">
            <v>K07221</v>
          </cell>
          <cell r="G17">
            <v>2</v>
          </cell>
          <cell r="H17" t="str">
            <v>Reprise</v>
          </cell>
          <cell r="I17" t="str">
            <v>REPRISE</v>
          </cell>
          <cell r="J17" t="str">
            <v>Budgété</v>
          </cell>
          <cell r="K17">
            <v>5000</v>
          </cell>
          <cell r="L17">
            <v>5000</v>
          </cell>
          <cell r="O17">
            <v>5000</v>
          </cell>
          <cell r="S17">
            <v>12843</v>
          </cell>
          <cell r="T17" t="str">
            <v>NABZAR AHMED</v>
          </cell>
          <cell r="U17" t="str">
            <v>Administratif</v>
          </cell>
          <cell r="V17" t="str">
            <v>Reprise</v>
          </cell>
          <cell r="W17" t="str">
            <v>Renouvellement</v>
          </cell>
          <cell r="X17" t="str">
            <v>Aucune</v>
          </cell>
          <cell r="Y17" t="str">
            <v>Prévu</v>
          </cell>
          <cell r="Z17" t="str">
            <v>Reprise</v>
          </cell>
        </row>
        <row r="18">
          <cell r="A18">
            <v>2738</v>
          </cell>
          <cell r="B18">
            <v>1</v>
          </cell>
          <cell r="C18" t="str">
            <v>IV20098</v>
          </cell>
          <cell r="D18" t="str">
            <v>2 TOURS A COMMANDE ET 1 FRAISEUSE</v>
          </cell>
          <cell r="E18" t="str">
            <v>Approuvé</v>
          </cell>
          <cell r="F18" t="str">
            <v>K11602</v>
          </cell>
          <cell r="G18">
            <v>2</v>
          </cell>
          <cell r="H18" t="str">
            <v>Reprise</v>
          </cell>
          <cell r="I18" t="str">
            <v>REPRISE</v>
          </cell>
          <cell r="J18" t="str">
            <v>Budgété</v>
          </cell>
          <cell r="K18">
            <v>11197638</v>
          </cell>
          <cell r="L18">
            <v>11197638</v>
          </cell>
          <cell r="O18">
            <v>3000000</v>
          </cell>
          <cell r="P18">
            <v>8197638</v>
          </cell>
          <cell r="S18">
            <v>12846</v>
          </cell>
          <cell r="T18" t="str">
            <v>NABZAR AHMED</v>
          </cell>
          <cell r="U18" t="str">
            <v>Ordinaire</v>
          </cell>
          <cell r="V18" t="str">
            <v>Reprise</v>
          </cell>
          <cell r="W18" t="str">
            <v>Renouvellement</v>
          </cell>
          <cell r="X18" t="str">
            <v>Aucune</v>
          </cell>
          <cell r="Y18" t="str">
            <v>Prévu</v>
          </cell>
          <cell r="Z18" t="str">
            <v>Reprise</v>
          </cell>
        </row>
        <row r="19">
          <cell r="A19">
            <v>2739</v>
          </cell>
          <cell r="B19">
            <v>1</v>
          </cell>
          <cell r="C19" t="str">
            <v>IV20103</v>
          </cell>
          <cell r="D19" t="str">
            <v>MATERIEL TOPOGRAPHIQUE</v>
          </cell>
          <cell r="E19" t="str">
            <v>Approuvé</v>
          </cell>
          <cell r="F19" t="str">
            <v>K01369</v>
          </cell>
          <cell r="G19">
            <v>2</v>
          </cell>
          <cell r="H19" t="str">
            <v>Reprise</v>
          </cell>
          <cell r="I19" t="str">
            <v>REPRISE</v>
          </cell>
          <cell r="J19" t="str">
            <v>Budgété</v>
          </cell>
          <cell r="K19">
            <v>726000</v>
          </cell>
          <cell r="L19">
            <v>726000</v>
          </cell>
          <cell r="O19">
            <v>726000</v>
          </cell>
          <cell r="S19">
            <v>12849</v>
          </cell>
          <cell r="T19" t="str">
            <v>NABZAR AHMED</v>
          </cell>
          <cell r="U19" t="str">
            <v>Ordinaire</v>
          </cell>
          <cell r="V19" t="str">
            <v>Reprise</v>
          </cell>
          <cell r="W19" t="str">
            <v>Dotations nouvelles</v>
          </cell>
          <cell r="X19" t="str">
            <v>Aucune</v>
          </cell>
          <cell r="Y19" t="str">
            <v>Prévu</v>
          </cell>
          <cell r="Z19" t="str">
            <v>Reprise</v>
          </cell>
        </row>
        <row r="20">
          <cell r="A20">
            <v>2740</v>
          </cell>
          <cell r="B20">
            <v>1</v>
          </cell>
          <cell r="C20" t="str">
            <v>IV20114</v>
          </cell>
          <cell r="D20" t="str">
            <v>ACHAT DE TERRAINS (4150 HA A MEA ET KHOURIBGA SUD)</v>
          </cell>
          <cell r="E20" t="str">
            <v>Approuvé</v>
          </cell>
          <cell r="F20" t="str">
            <v>K03020</v>
          </cell>
          <cell r="G20">
            <v>2</v>
          </cell>
          <cell r="H20" t="str">
            <v>Reprise</v>
          </cell>
          <cell r="I20" t="str">
            <v>REPRISE</v>
          </cell>
          <cell r="J20" t="str">
            <v>Budgété</v>
          </cell>
          <cell r="K20">
            <v>152722400</v>
          </cell>
          <cell r="L20">
            <v>152722400</v>
          </cell>
          <cell r="O20">
            <v>152722400</v>
          </cell>
          <cell r="S20">
            <v>12743</v>
          </cell>
          <cell r="T20" t="str">
            <v>ECHAARANI Hicham</v>
          </cell>
          <cell r="U20" t="str">
            <v>Ordinaire</v>
          </cell>
          <cell r="V20" t="str">
            <v>Reprise</v>
          </cell>
          <cell r="W20" t="str">
            <v>Dotations nouvelles</v>
          </cell>
          <cell r="X20" t="str">
            <v>Aucune</v>
          </cell>
          <cell r="Y20" t="str">
            <v>Prévu</v>
          </cell>
          <cell r="Z20" t="str">
            <v>Reprise</v>
          </cell>
        </row>
        <row r="21">
          <cell r="A21">
            <v>2741</v>
          </cell>
          <cell r="B21">
            <v>1</v>
          </cell>
          <cell r="C21" t="str">
            <v>IV20115</v>
          </cell>
          <cell r="D21" t="str">
            <v>ACHAT DE TERRAINS (3420 HA A S.C ET 520 HA A MEA)</v>
          </cell>
          <cell r="E21" t="str">
            <v>Approuvé</v>
          </cell>
          <cell r="F21" t="str">
            <v>K03020</v>
          </cell>
          <cell r="G21">
            <v>2</v>
          </cell>
          <cell r="H21" t="str">
            <v>Reprise</v>
          </cell>
          <cell r="I21" t="str">
            <v>REPRISE</v>
          </cell>
          <cell r="J21" t="str">
            <v>Budgété</v>
          </cell>
          <cell r="K21">
            <v>44948610</v>
          </cell>
          <cell r="L21">
            <v>44948610</v>
          </cell>
          <cell r="O21">
            <v>7802800</v>
          </cell>
          <cell r="P21">
            <v>37145810</v>
          </cell>
          <cell r="S21">
            <v>12745</v>
          </cell>
          <cell r="T21" t="str">
            <v>ECHAARANI Hicham</v>
          </cell>
          <cell r="U21" t="str">
            <v>Ordinaire</v>
          </cell>
          <cell r="V21" t="str">
            <v>Reprise</v>
          </cell>
          <cell r="W21" t="str">
            <v>Dotations nouvelles</v>
          </cell>
          <cell r="X21" t="str">
            <v>Aucune</v>
          </cell>
          <cell r="Y21" t="str">
            <v>Prévu</v>
          </cell>
          <cell r="Z21" t="str">
            <v>Reprise</v>
          </cell>
        </row>
        <row r="22">
          <cell r="A22">
            <v>2742</v>
          </cell>
          <cell r="B22">
            <v>1</v>
          </cell>
          <cell r="C22" t="str">
            <v>IV20116</v>
          </cell>
          <cell r="D22" t="str">
            <v>ACHAT DE TERRAINS A MEA ET SIDI CHENNANE (4800 HA)</v>
          </cell>
          <cell r="E22" t="str">
            <v>Approuvé</v>
          </cell>
          <cell r="F22" t="str">
            <v>K03020</v>
          </cell>
          <cell r="G22">
            <v>4</v>
          </cell>
          <cell r="H22" t="str">
            <v>Report</v>
          </cell>
          <cell r="I22" t="str">
            <v>REPORT</v>
          </cell>
          <cell r="J22" t="str">
            <v>Budgété</v>
          </cell>
          <cell r="K22">
            <v>31520000</v>
          </cell>
          <cell r="L22">
            <v>31520000</v>
          </cell>
          <cell r="M22">
            <v>5753900</v>
          </cell>
          <cell r="N22">
            <v>5753900</v>
          </cell>
          <cell r="O22">
            <v>25766100</v>
          </cell>
          <cell r="S22">
            <v>24340</v>
          </cell>
          <cell r="T22" t="str">
            <v>ECHAARANI Hicham</v>
          </cell>
          <cell r="U22" t="str">
            <v>Ordinaire</v>
          </cell>
          <cell r="V22" t="str">
            <v>Reprise</v>
          </cell>
          <cell r="W22" t="str">
            <v>Dotations nouvelles</v>
          </cell>
          <cell r="X22" t="str">
            <v>Aucune</v>
          </cell>
          <cell r="Y22" t="str">
            <v>Prévu</v>
          </cell>
          <cell r="Z22" t="str">
            <v>Reprise</v>
          </cell>
        </row>
        <row r="23">
          <cell r="A23">
            <v>2743</v>
          </cell>
          <cell r="B23">
            <v>1</v>
          </cell>
          <cell r="C23" t="str">
            <v>IV20117</v>
          </cell>
          <cell r="D23" t="str">
            <v>6 MOTEURS DE RELAIS POUR LES BULLS</v>
          </cell>
          <cell r="E23" t="str">
            <v>Approuvé</v>
          </cell>
          <cell r="F23" t="str">
            <v>K03550</v>
          </cell>
          <cell r="G23">
            <v>4</v>
          </cell>
          <cell r="H23" t="str">
            <v>Report</v>
          </cell>
          <cell r="I23" t="str">
            <v>REPORT</v>
          </cell>
          <cell r="J23" t="str">
            <v>Budgété</v>
          </cell>
          <cell r="K23">
            <v>5779028.7999999998</v>
          </cell>
          <cell r="L23">
            <v>5779028.7999999998</v>
          </cell>
          <cell r="M23">
            <v>4000000</v>
          </cell>
          <cell r="N23">
            <v>4000000</v>
          </cell>
          <cell r="O23">
            <v>0</v>
          </cell>
          <cell r="P23">
            <v>1779028.8</v>
          </cell>
          <cell r="S23">
            <v>24453</v>
          </cell>
          <cell r="T23" t="str">
            <v>MAGHRAOUI Brahim</v>
          </cell>
          <cell r="U23" t="str">
            <v>Ordinaire</v>
          </cell>
          <cell r="V23" t="str">
            <v>Reprise</v>
          </cell>
          <cell r="W23" t="str">
            <v>Dotations nouvelles</v>
          </cell>
          <cell r="X23" t="str">
            <v>Aucune</v>
          </cell>
          <cell r="Y23" t="str">
            <v>Prévu</v>
          </cell>
          <cell r="Z23" t="str">
            <v>Reprise</v>
          </cell>
        </row>
        <row r="24">
          <cell r="A24">
            <v>2744</v>
          </cell>
          <cell r="B24">
            <v>1</v>
          </cell>
          <cell r="C24" t="str">
            <v>IV20118</v>
          </cell>
          <cell r="D24" t="str">
            <v>RECONNAISSANCE MINERALURGIQUE DE SIDI CHENNANE II</v>
          </cell>
          <cell r="E24" t="str">
            <v>Approuvé</v>
          </cell>
          <cell r="F24" t="str">
            <v>K03009</v>
          </cell>
          <cell r="G24">
            <v>3</v>
          </cell>
          <cell r="H24" t="str">
            <v>Report</v>
          </cell>
          <cell r="I24" t="str">
            <v>REPORT</v>
          </cell>
          <cell r="J24" t="str">
            <v>Budgété</v>
          </cell>
          <cell r="K24">
            <v>8850690</v>
          </cell>
          <cell r="L24">
            <v>8850690</v>
          </cell>
          <cell r="M24">
            <v>2000000</v>
          </cell>
          <cell r="N24">
            <v>2000000</v>
          </cell>
          <cell r="O24">
            <v>0</v>
          </cell>
          <cell r="P24">
            <v>6850690</v>
          </cell>
          <cell r="S24">
            <v>24461</v>
          </cell>
          <cell r="T24" t="str">
            <v>CHEHTANE Mohammed</v>
          </cell>
          <cell r="U24" t="str">
            <v>Etudes et essais</v>
          </cell>
          <cell r="V24" t="str">
            <v>Reprise</v>
          </cell>
          <cell r="W24" t="str">
            <v>Dotations nouvelles</v>
          </cell>
          <cell r="X24" t="str">
            <v>Aucune</v>
          </cell>
          <cell r="Y24" t="str">
            <v>Prévu</v>
          </cell>
          <cell r="Z24" t="str">
            <v>Reprise</v>
          </cell>
        </row>
        <row r="25">
          <cell r="A25">
            <v>2745</v>
          </cell>
          <cell r="B25">
            <v>1</v>
          </cell>
          <cell r="C25" t="str">
            <v>IV20122</v>
          </cell>
          <cell r="D25" t="str">
            <v>SYSTEME DE TELESURVEILLANCE TREMIE SIDI CHENNANE</v>
          </cell>
          <cell r="E25" t="str">
            <v>Approuvé</v>
          </cell>
          <cell r="F25" t="str">
            <v>K03300</v>
          </cell>
          <cell r="G25">
            <v>2</v>
          </cell>
          <cell r="H25" t="str">
            <v>Reprise</v>
          </cell>
          <cell r="I25" t="str">
            <v>REPRISE</v>
          </cell>
          <cell r="J25" t="str">
            <v>Budgété</v>
          </cell>
          <cell r="K25">
            <v>434999.2</v>
          </cell>
          <cell r="L25">
            <v>434999.2</v>
          </cell>
          <cell r="O25">
            <v>250000</v>
          </cell>
          <cell r="P25">
            <v>184999.2</v>
          </cell>
          <cell r="S25">
            <v>12757</v>
          </cell>
          <cell r="T25" t="str">
            <v>NABZAR AHMED</v>
          </cell>
          <cell r="U25" t="str">
            <v>Ordinaire</v>
          </cell>
          <cell r="V25" t="str">
            <v>Reprise</v>
          </cell>
          <cell r="W25" t="str">
            <v>Dotations nouvelles</v>
          </cell>
          <cell r="X25" t="str">
            <v>Aucune</v>
          </cell>
          <cell r="Y25" t="str">
            <v>Prévu</v>
          </cell>
          <cell r="Z25" t="str">
            <v>Reprise</v>
          </cell>
        </row>
        <row r="26">
          <cell r="A26">
            <v>2746</v>
          </cell>
          <cell r="B26">
            <v>1</v>
          </cell>
          <cell r="C26" t="str">
            <v>IV20129</v>
          </cell>
          <cell r="D26" t="str">
            <v>PROJET TRAITEMENT SIDI CHENNANE : ENRICHISSEMENT PAR LAVAGE, BROYAGE ET FLOTTATION DES PHOSPHATES C2 ET TYPE C3 DE DAOUI ET SIDI CHENNANE.</v>
          </cell>
          <cell r="E26" t="str">
            <v>Approuvé</v>
          </cell>
          <cell r="F26" t="str">
            <v>K04001</v>
          </cell>
          <cell r="G26">
            <v>6</v>
          </cell>
          <cell r="H26" t="str">
            <v>Report 2007</v>
          </cell>
          <cell r="I26" t="str">
            <v>REPORT</v>
          </cell>
          <cell r="J26" t="str">
            <v>Budgété</v>
          </cell>
          <cell r="K26">
            <v>314690311.20999998</v>
          </cell>
          <cell r="L26">
            <v>314690311.20999998</v>
          </cell>
          <cell r="M26">
            <v>12848288</v>
          </cell>
          <cell r="N26">
            <v>12848288</v>
          </cell>
          <cell r="O26">
            <v>39482607.200000003</v>
          </cell>
          <cell r="P26">
            <v>262359416.00999999</v>
          </cell>
          <cell r="S26">
            <v>24329</v>
          </cell>
          <cell r="T26" t="str">
            <v>NABZAR AHMED</v>
          </cell>
          <cell r="U26" t="str">
            <v>Important</v>
          </cell>
          <cell r="V26" t="str">
            <v>Reprise</v>
          </cell>
          <cell r="W26" t="str">
            <v>Dotations nouvelles</v>
          </cell>
          <cell r="X26" t="str">
            <v>Aucune</v>
          </cell>
          <cell r="Y26" t="str">
            <v>Prévu</v>
          </cell>
          <cell r="Z26" t="str">
            <v>Reprise</v>
          </cell>
        </row>
        <row r="27">
          <cell r="A27">
            <v>2747</v>
          </cell>
          <cell r="B27">
            <v>1</v>
          </cell>
          <cell r="C27" t="str">
            <v>IV20130</v>
          </cell>
          <cell r="D27" t="str">
            <v>Fourniture et installation des unités d'utilisation du coke de pétrole à PMK/T</v>
          </cell>
          <cell r="E27" t="str">
            <v>Approuvé</v>
          </cell>
          <cell r="F27" t="str">
            <v>K04001</v>
          </cell>
          <cell r="G27">
            <v>3</v>
          </cell>
          <cell r="H27" t="str">
            <v>Report 2007</v>
          </cell>
          <cell r="I27" t="str">
            <v>REPORT</v>
          </cell>
          <cell r="J27" t="str">
            <v>Budgété</v>
          </cell>
          <cell r="K27">
            <v>137023812.87</v>
          </cell>
          <cell r="L27">
            <v>137023812.87</v>
          </cell>
          <cell r="M27">
            <v>21639333.379999999</v>
          </cell>
          <cell r="N27">
            <v>21639333.379999999</v>
          </cell>
          <cell r="O27">
            <v>4360666.62</v>
          </cell>
          <cell r="P27">
            <v>111023812.87</v>
          </cell>
          <cell r="S27">
            <v>24327</v>
          </cell>
          <cell r="T27" t="str">
            <v>ALOUANI ABDELKADER</v>
          </cell>
          <cell r="U27" t="str">
            <v>Important</v>
          </cell>
          <cell r="V27" t="str">
            <v>Reprise</v>
          </cell>
          <cell r="W27" t="str">
            <v>Dotations nouvelles</v>
          </cell>
          <cell r="X27" t="str">
            <v>Aucune</v>
          </cell>
          <cell r="Y27" t="str">
            <v>Prévu</v>
          </cell>
          <cell r="Z27" t="str">
            <v>Reprise</v>
          </cell>
        </row>
        <row r="28">
          <cell r="A28">
            <v>2748</v>
          </cell>
          <cell r="B28">
            <v>1</v>
          </cell>
          <cell r="C28" t="str">
            <v>IV20131</v>
          </cell>
          <cell r="D28" t="str">
            <v>REALISATION DE LA MISE A TERRIL DE RELEVE DES USINES DE BENI IDIR</v>
          </cell>
          <cell r="E28" t="str">
            <v>Approuvé</v>
          </cell>
          <cell r="F28" t="str">
            <v>K04131</v>
          </cell>
          <cell r="G28">
            <v>3</v>
          </cell>
          <cell r="H28" t="str">
            <v>Report 2007</v>
          </cell>
          <cell r="I28" t="str">
            <v>REPORT</v>
          </cell>
          <cell r="J28" t="str">
            <v>Budgété</v>
          </cell>
          <cell r="K28">
            <v>6435282.4000000004</v>
          </cell>
          <cell r="L28">
            <v>6435282.4000000004</v>
          </cell>
          <cell r="M28">
            <v>4000000</v>
          </cell>
          <cell r="N28">
            <v>4000000</v>
          </cell>
          <cell r="O28">
            <v>778524</v>
          </cell>
          <cell r="P28">
            <v>1656758.4</v>
          </cell>
          <cell r="S28">
            <v>24347</v>
          </cell>
          <cell r="T28" t="str">
            <v>NABZAR AHMED</v>
          </cell>
          <cell r="U28" t="str">
            <v>Ordinaire</v>
          </cell>
          <cell r="V28" t="str">
            <v>Reprise</v>
          </cell>
          <cell r="W28" t="str">
            <v>Dotations nouvelles</v>
          </cell>
          <cell r="X28" t="str">
            <v>Aucune</v>
          </cell>
          <cell r="Y28" t="str">
            <v>Prévu</v>
          </cell>
          <cell r="Z28" t="str">
            <v>Reprise</v>
          </cell>
        </row>
        <row r="29">
          <cell r="A29">
            <v>2749</v>
          </cell>
          <cell r="B29">
            <v>1</v>
          </cell>
          <cell r="C29" t="str">
            <v>IV20133</v>
          </cell>
          <cell r="D29" t="str">
            <v>EQUIPEMENTS DE DEPOUSSIERAGE DES CIRCUITS DE MANUTENTION</v>
          </cell>
          <cell r="E29" t="str">
            <v>Approuvé</v>
          </cell>
          <cell r="F29" t="str">
            <v>K04131</v>
          </cell>
          <cell r="G29">
            <v>2</v>
          </cell>
          <cell r="H29" t="str">
            <v>Reprise</v>
          </cell>
          <cell r="I29" t="str">
            <v>REPRISE</v>
          </cell>
          <cell r="J29" t="str">
            <v>Budgété</v>
          </cell>
          <cell r="K29">
            <v>9000000</v>
          </cell>
          <cell r="L29">
            <v>9000000</v>
          </cell>
          <cell r="O29">
            <v>3753860</v>
          </cell>
          <cell r="P29">
            <v>5246140</v>
          </cell>
          <cell r="S29">
            <v>12767</v>
          </cell>
          <cell r="T29" t="str">
            <v>NABZAR AHMED</v>
          </cell>
          <cell r="U29" t="str">
            <v>Ordinaire</v>
          </cell>
          <cell r="V29" t="str">
            <v>Reprise</v>
          </cell>
          <cell r="W29" t="str">
            <v>Dotations nouvelles</v>
          </cell>
          <cell r="X29" t="str">
            <v>Aucune</v>
          </cell>
          <cell r="Y29" t="str">
            <v>Prévu</v>
          </cell>
          <cell r="Z29" t="str">
            <v>Reprise</v>
          </cell>
        </row>
        <row r="30">
          <cell r="A30">
            <v>2750</v>
          </cell>
          <cell r="B30">
            <v>1</v>
          </cell>
          <cell r="C30" t="str">
            <v>IV20134</v>
          </cell>
          <cell r="D30" t="str">
            <v>FOURNITURE ET INSTALLATION DES ECHANTILLONNEUSES DE PHOSPHATE A PMK/T</v>
          </cell>
          <cell r="E30" t="str">
            <v>Approuvé</v>
          </cell>
          <cell r="F30" t="str">
            <v>K04131</v>
          </cell>
          <cell r="G30">
            <v>2</v>
          </cell>
          <cell r="H30" t="str">
            <v>Reprise</v>
          </cell>
          <cell r="I30" t="str">
            <v>REPRISE</v>
          </cell>
          <cell r="J30" t="str">
            <v>Budgété</v>
          </cell>
          <cell r="K30">
            <v>4500000</v>
          </cell>
          <cell r="L30">
            <v>4500000</v>
          </cell>
          <cell r="O30">
            <v>4500000</v>
          </cell>
          <cell r="S30">
            <v>12770</v>
          </cell>
          <cell r="T30" t="str">
            <v>NABZAR AHMED</v>
          </cell>
          <cell r="U30" t="str">
            <v>Ordinaire</v>
          </cell>
          <cell r="V30" t="str">
            <v>Reprise</v>
          </cell>
          <cell r="W30" t="str">
            <v>Dotations nouvelles</v>
          </cell>
          <cell r="X30" t="str">
            <v>Aucune</v>
          </cell>
          <cell r="Y30" t="str">
            <v>Prévu</v>
          </cell>
          <cell r="Z30" t="str">
            <v>Reprise</v>
          </cell>
        </row>
        <row r="31">
          <cell r="A31">
            <v>2751</v>
          </cell>
          <cell r="B31">
            <v>1</v>
          </cell>
          <cell r="C31" t="str">
            <v>IV20143</v>
          </cell>
          <cell r="D31" t="str">
            <v>6 VERINS HYDRAULIQUES DE 300 T POUR L'ATELIER PMK/TM/C (POUR R.P)</v>
          </cell>
          <cell r="E31" t="str">
            <v>Approuvé</v>
          </cell>
          <cell r="F31" t="str">
            <v>K04530</v>
          </cell>
          <cell r="G31">
            <v>2</v>
          </cell>
          <cell r="H31" t="str">
            <v>Reprise</v>
          </cell>
          <cell r="I31" t="str">
            <v>REPRISE</v>
          </cell>
          <cell r="J31" t="str">
            <v>Budgété</v>
          </cell>
          <cell r="K31">
            <v>844240</v>
          </cell>
          <cell r="L31">
            <v>844240</v>
          </cell>
          <cell r="O31">
            <v>400000</v>
          </cell>
          <cell r="P31">
            <v>444240</v>
          </cell>
          <cell r="S31">
            <v>12772</v>
          </cell>
          <cell r="T31" t="str">
            <v>NABZAR AHMED</v>
          </cell>
          <cell r="U31" t="str">
            <v>Ordinaire</v>
          </cell>
          <cell r="V31" t="str">
            <v>Reprise</v>
          </cell>
          <cell r="W31" t="str">
            <v>Dotations nouvelles</v>
          </cell>
          <cell r="X31" t="str">
            <v>Aucune</v>
          </cell>
          <cell r="Y31" t="str">
            <v>Prévu</v>
          </cell>
          <cell r="Z31" t="str">
            <v>Reprise</v>
          </cell>
        </row>
        <row r="32">
          <cell r="A32">
            <v>2752</v>
          </cell>
          <cell r="B32">
            <v>1</v>
          </cell>
          <cell r="C32" t="str">
            <v>IV20147</v>
          </cell>
          <cell r="D32" t="str">
            <v>MATERIEL DE LABORATOIRE</v>
          </cell>
          <cell r="E32" t="str">
            <v>Approuvé</v>
          </cell>
          <cell r="F32" t="str">
            <v>K04013</v>
          </cell>
          <cell r="G32">
            <v>2</v>
          </cell>
          <cell r="H32" t="str">
            <v>Reprise</v>
          </cell>
          <cell r="I32" t="str">
            <v>REPRISE</v>
          </cell>
          <cell r="J32" t="str">
            <v>Budgété</v>
          </cell>
          <cell r="K32">
            <v>494500</v>
          </cell>
          <cell r="L32">
            <v>494500</v>
          </cell>
          <cell r="O32">
            <v>430000</v>
          </cell>
          <cell r="P32">
            <v>64500</v>
          </cell>
          <cell r="S32">
            <v>12775</v>
          </cell>
          <cell r="T32" t="str">
            <v>NABZAR AHMED</v>
          </cell>
          <cell r="U32" t="str">
            <v>Ordinaire</v>
          </cell>
          <cell r="V32" t="str">
            <v>Reprise</v>
          </cell>
          <cell r="W32" t="str">
            <v>Dotations nouvelles</v>
          </cell>
          <cell r="X32" t="str">
            <v>Aucune</v>
          </cell>
          <cell r="Y32" t="str">
            <v>Prévu</v>
          </cell>
          <cell r="Z32" t="str">
            <v>Reprise</v>
          </cell>
        </row>
        <row r="33">
          <cell r="A33">
            <v>2753</v>
          </cell>
          <cell r="B33">
            <v>1</v>
          </cell>
          <cell r="C33" t="str">
            <v>IV20157</v>
          </cell>
          <cell r="D33" t="str">
            <v>ACHAT DE 02 GROUPES REFRIGERANTS POUR LES REFECTOIRES DU PERSONNEL DE PMK/TD/D</v>
          </cell>
          <cell r="E33" t="str">
            <v>Approuvé</v>
          </cell>
          <cell r="F33" t="str">
            <v>K04240</v>
          </cell>
          <cell r="G33">
            <v>2</v>
          </cell>
          <cell r="H33" t="str">
            <v>Reprise</v>
          </cell>
          <cell r="I33" t="str">
            <v>REPRISE</v>
          </cell>
          <cell r="J33" t="str">
            <v>Budgété</v>
          </cell>
          <cell r="K33">
            <v>136320</v>
          </cell>
          <cell r="L33">
            <v>136320</v>
          </cell>
          <cell r="O33">
            <v>115200</v>
          </cell>
          <cell r="P33">
            <v>21120</v>
          </cell>
          <cell r="S33">
            <v>12778</v>
          </cell>
          <cell r="T33" t="str">
            <v>BENAMEUR Fayçal</v>
          </cell>
          <cell r="U33" t="str">
            <v>Ordinaire</v>
          </cell>
          <cell r="V33" t="str">
            <v>Reprise</v>
          </cell>
          <cell r="W33" t="str">
            <v>Dotations nouvelles</v>
          </cell>
          <cell r="X33" t="str">
            <v>Aucune</v>
          </cell>
          <cell r="Y33" t="str">
            <v>Prévu</v>
          </cell>
          <cell r="Z33" t="str">
            <v>Reprise</v>
          </cell>
        </row>
        <row r="34">
          <cell r="A34">
            <v>2754</v>
          </cell>
          <cell r="B34">
            <v>1</v>
          </cell>
          <cell r="C34" t="str">
            <v>IV20161</v>
          </cell>
          <cell r="D34" t="str">
            <v>DEPOUSSIERAGE DES INSTALLATIONS PORTUAIRES DES EMBARQUEMENTS CASABLANCA</v>
          </cell>
          <cell r="E34" t="str">
            <v>Approuvé</v>
          </cell>
          <cell r="F34" t="str">
            <v>K07019</v>
          </cell>
          <cell r="G34">
            <v>3</v>
          </cell>
          <cell r="H34" t="str">
            <v>version report</v>
          </cell>
          <cell r="I34" t="str">
            <v>REPORT</v>
          </cell>
          <cell r="J34" t="str">
            <v>Budgété</v>
          </cell>
          <cell r="K34">
            <v>50121672</v>
          </cell>
          <cell r="L34">
            <v>50121672</v>
          </cell>
          <cell r="M34">
            <v>33000000</v>
          </cell>
          <cell r="N34">
            <v>33000000</v>
          </cell>
          <cell r="O34">
            <v>0</v>
          </cell>
          <cell r="P34">
            <v>17121672</v>
          </cell>
          <cell r="S34">
            <v>24313</v>
          </cell>
          <cell r="T34" t="str">
            <v>NABZAR AHMED</v>
          </cell>
          <cell r="U34" t="str">
            <v>Ordinaire</v>
          </cell>
          <cell r="V34" t="str">
            <v>Reprise</v>
          </cell>
          <cell r="W34" t="str">
            <v>Dotations nouvelles</v>
          </cell>
          <cell r="X34" t="str">
            <v>Aucune</v>
          </cell>
          <cell r="Y34" t="str">
            <v>Prévu</v>
          </cell>
          <cell r="Z34" t="str">
            <v>Reprise</v>
          </cell>
        </row>
        <row r="35">
          <cell r="A35">
            <v>2755</v>
          </cell>
          <cell r="B35">
            <v>1</v>
          </cell>
          <cell r="C35" t="str">
            <v>IV20163</v>
          </cell>
          <cell r="D35" t="str">
            <v>FOURNITURE, INSTALLATION ET MISE EN SERVICE D'UN DETECTEUR D'INCENDIE</v>
          </cell>
          <cell r="E35" t="str">
            <v>Approuvé</v>
          </cell>
          <cell r="F35" t="str">
            <v>K07019</v>
          </cell>
          <cell r="G35">
            <v>2</v>
          </cell>
          <cell r="H35" t="str">
            <v>Reprise</v>
          </cell>
          <cell r="I35" t="str">
            <v>REPRISE</v>
          </cell>
          <cell r="J35" t="str">
            <v>Budgété</v>
          </cell>
          <cell r="K35">
            <v>400000</v>
          </cell>
          <cell r="L35">
            <v>400000</v>
          </cell>
          <cell r="O35">
            <v>400000</v>
          </cell>
          <cell r="S35">
            <v>12784</v>
          </cell>
          <cell r="T35" t="str">
            <v>NABZAR AHMED</v>
          </cell>
          <cell r="U35" t="str">
            <v>Ordinaire</v>
          </cell>
          <cell r="V35" t="str">
            <v>Reprise</v>
          </cell>
          <cell r="W35" t="str">
            <v>Dotations nouvelles</v>
          </cell>
          <cell r="X35" t="str">
            <v>Aucune</v>
          </cell>
          <cell r="Y35" t="str">
            <v>Prévu</v>
          </cell>
          <cell r="Z35" t="str">
            <v>Reprise</v>
          </cell>
        </row>
        <row r="36">
          <cell r="A36">
            <v>2756</v>
          </cell>
          <cell r="B36">
            <v>1</v>
          </cell>
          <cell r="C36" t="str">
            <v>IV20165</v>
          </cell>
          <cell r="D36" t="str">
            <v>MATERIEL ET LIGNES ELECTRIQUES</v>
          </cell>
          <cell r="E36" t="str">
            <v>Approuvé</v>
          </cell>
          <cell r="F36" t="str">
            <v>K07122</v>
          </cell>
          <cell r="G36">
            <v>2</v>
          </cell>
          <cell r="H36" t="str">
            <v>Reprise</v>
          </cell>
          <cell r="I36" t="str">
            <v>REPRISE</v>
          </cell>
          <cell r="J36" t="str">
            <v>Budgété</v>
          </cell>
          <cell r="K36">
            <v>270000</v>
          </cell>
          <cell r="L36">
            <v>270000</v>
          </cell>
          <cell r="O36">
            <v>270000</v>
          </cell>
          <cell r="S36">
            <v>12787</v>
          </cell>
          <cell r="T36" t="str">
            <v>NABZAR AHMED</v>
          </cell>
          <cell r="U36" t="str">
            <v>Ordinaire</v>
          </cell>
          <cell r="V36" t="str">
            <v>Reprise</v>
          </cell>
          <cell r="W36" t="str">
            <v>Dotations nouvelles</v>
          </cell>
          <cell r="X36" t="str">
            <v>Aucune</v>
          </cell>
          <cell r="Y36" t="str">
            <v>Prévu</v>
          </cell>
          <cell r="Z36" t="str">
            <v>Reprise</v>
          </cell>
        </row>
        <row r="37">
          <cell r="A37">
            <v>2757</v>
          </cell>
          <cell r="B37">
            <v>1</v>
          </cell>
          <cell r="C37" t="str">
            <v>IV20166</v>
          </cell>
          <cell r="D37" t="str">
            <v>MATERIEL DE LEVAGE ET DE MANUTENTION ATELIER</v>
          </cell>
          <cell r="E37" t="str">
            <v>Approuvé</v>
          </cell>
          <cell r="F37" t="str">
            <v>K07111</v>
          </cell>
          <cell r="G37">
            <v>2</v>
          </cell>
          <cell r="H37" t="str">
            <v>Reprise</v>
          </cell>
          <cell r="I37" t="str">
            <v>REPRISE</v>
          </cell>
          <cell r="J37" t="str">
            <v>Budgété</v>
          </cell>
          <cell r="K37">
            <v>280000</v>
          </cell>
          <cell r="L37">
            <v>280000</v>
          </cell>
          <cell r="O37">
            <v>280000</v>
          </cell>
          <cell r="S37">
            <v>12789</v>
          </cell>
          <cell r="T37" t="str">
            <v>NABZAR AHMED</v>
          </cell>
          <cell r="U37" t="str">
            <v>Ordinaire</v>
          </cell>
          <cell r="V37" t="str">
            <v>Reprise</v>
          </cell>
          <cell r="W37" t="str">
            <v>Dotations nouvelles</v>
          </cell>
          <cell r="X37" t="str">
            <v>Aucune</v>
          </cell>
          <cell r="Y37" t="str">
            <v>Prévu</v>
          </cell>
          <cell r="Z37" t="str">
            <v>Reprise</v>
          </cell>
        </row>
        <row r="38">
          <cell r="A38">
            <v>2758</v>
          </cell>
          <cell r="B38">
            <v>1</v>
          </cell>
          <cell r="C38" t="str">
            <v>IV20169</v>
          </cell>
          <cell r="D38" t="str">
            <v>MATERIEL DIVERS A CARACTERE ADMINISTRATIF</v>
          </cell>
          <cell r="E38" t="str">
            <v>Approuvé</v>
          </cell>
          <cell r="F38" t="str">
            <v>K07019</v>
          </cell>
          <cell r="G38">
            <v>2</v>
          </cell>
          <cell r="H38" t="str">
            <v>Reprise</v>
          </cell>
          <cell r="I38" t="str">
            <v>REPRISE</v>
          </cell>
          <cell r="J38" t="str">
            <v>Budgété</v>
          </cell>
          <cell r="K38">
            <v>65160.800000000003</v>
          </cell>
          <cell r="L38">
            <v>65160.800000000003</v>
          </cell>
          <cell r="O38">
            <v>20000</v>
          </cell>
          <cell r="P38">
            <v>45160.800000000003</v>
          </cell>
          <cell r="S38">
            <v>12792</v>
          </cell>
          <cell r="T38" t="str">
            <v>NABZAR AHMED</v>
          </cell>
          <cell r="U38" t="str">
            <v>Administratif</v>
          </cell>
          <cell r="V38" t="str">
            <v>Reprise</v>
          </cell>
          <cell r="W38" t="str">
            <v>Dotations nouvelles</v>
          </cell>
          <cell r="X38" t="str">
            <v>Aucune</v>
          </cell>
          <cell r="Y38" t="str">
            <v>Prévu</v>
          </cell>
          <cell r="Z38" t="str">
            <v>Reprise</v>
          </cell>
        </row>
        <row r="39">
          <cell r="A39">
            <v>2759</v>
          </cell>
          <cell r="B39">
            <v>1</v>
          </cell>
          <cell r="C39" t="str">
            <v>IV20170</v>
          </cell>
          <cell r="D39" t="str">
            <v>MATERIEL DIVERS A CARACTERE ADMINISTRATIF</v>
          </cell>
          <cell r="E39" t="str">
            <v>Approuvé</v>
          </cell>
          <cell r="F39" t="str">
            <v>K07031</v>
          </cell>
          <cell r="G39">
            <v>2</v>
          </cell>
          <cell r="H39" t="str">
            <v>Reprise</v>
          </cell>
          <cell r="I39" t="str">
            <v>REPRISE</v>
          </cell>
          <cell r="J39" t="str">
            <v>Budgété</v>
          </cell>
          <cell r="K39">
            <v>40000</v>
          </cell>
          <cell r="L39">
            <v>40000</v>
          </cell>
          <cell r="O39">
            <v>40000</v>
          </cell>
          <cell r="S39">
            <v>12795</v>
          </cell>
          <cell r="T39" t="str">
            <v>NABZAR AHMED</v>
          </cell>
          <cell r="U39" t="str">
            <v>Administratif</v>
          </cell>
          <cell r="V39" t="str">
            <v>Reprise</v>
          </cell>
          <cell r="W39" t="str">
            <v>Dotations nouvelles</v>
          </cell>
          <cell r="X39" t="str">
            <v>Aucune</v>
          </cell>
          <cell r="Y39" t="str">
            <v>Prévu</v>
          </cell>
          <cell r="Z39" t="str">
            <v>Reprise</v>
          </cell>
        </row>
        <row r="40">
          <cell r="A40">
            <v>2760</v>
          </cell>
          <cell r="B40">
            <v>1</v>
          </cell>
          <cell r="C40" t="str">
            <v>IV20177</v>
          </cell>
          <cell r="D40" t="str">
            <v>EQUIPEMENTS POUR ATELIER BOBINAGE DE PMK/LM/E</v>
          </cell>
          <cell r="E40" t="str">
            <v>Approuvé</v>
          </cell>
          <cell r="F40" t="str">
            <v>K11708</v>
          </cell>
          <cell r="G40">
            <v>2</v>
          </cell>
          <cell r="H40" t="str">
            <v>Reprise</v>
          </cell>
          <cell r="I40" t="str">
            <v>REPRISE</v>
          </cell>
          <cell r="J40" t="str">
            <v>Budgété</v>
          </cell>
          <cell r="K40">
            <v>300000</v>
          </cell>
          <cell r="L40">
            <v>300000</v>
          </cell>
          <cell r="O40">
            <v>300000</v>
          </cell>
          <cell r="S40">
            <v>12852</v>
          </cell>
          <cell r="T40" t="str">
            <v>NABZAR AHMED</v>
          </cell>
          <cell r="U40" t="str">
            <v>Ordinaire</v>
          </cell>
          <cell r="V40" t="str">
            <v>Reprise</v>
          </cell>
          <cell r="W40" t="str">
            <v>Dotations nouvelles</v>
          </cell>
          <cell r="X40" t="str">
            <v>Aucune</v>
          </cell>
          <cell r="Y40" t="str">
            <v>Prévu</v>
          </cell>
          <cell r="Z40" t="str">
            <v>Reprise</v>
          </cell>
        </row>
        <row r="41">
          <cell r="A41">
            <v>2761</v>
          </cell>
          <cell r="B41">
            <v>1</v>
          </cell>
          <cell r="C41" t="str">
            <v>IV20797</v>
          </cell>
          <cell r="D41" t="str">
            <v>1 RADIO PHOTO 10X10 MOBILE COMPLETE</v>
          </cell>
          <cell r="E41" t="str">
            <v>Approuvé</v>
          </cell>
          <cell r="F41" t="str">
            <v>K01414</v>
          </cell>
          <cell r="G41">
            <v>2</v>
          </cell>
          <cell r="H41" t="str">
            <v>Reprise</v>
          </cell>
          <cell r="I41" t="str">
            <v>REPRISE</v>
          </cell>
          <cell r="J41" t="str">
            <v>Budgété</v>
          </cell>
          <cell r="K41">
            <v>2376000</v>
          </cell>
          <cell r="L41">
            <v>2376000</v>
          </cell>
          <cell r="O41">
            <v>2376000</v>
          </cell>
          <cell r="S41">
            <v>12854</v>
          </cell>
          <cell r="T41" t="str">
            <v>NABZAR AHMED</v>
          </cell>
          <cell r="U41" t="str">
            <v>Médical</v>
          </cell>
          <cell r="V41" t="str">
            <v>Reprise</v>
          </cell>
          <cell r="W41" t="str">
            <v>Renouvellement</v>
          </cell>
          <cell r="X41" t="str">
            <v>Aucune</v>
          </cell>
          <cell r="Y41" t="str">
            <v>Prévu</v>
          </cell>
          <cell r="Z41" t="str">
            <v>Reprise</v>
          </cell>
        </row>
        <row r="42">
          <cell r="A42">
            <v>2762</v>
          </cell>
          <cell r="B42">
            <v>1</v>
          </cell>
          <cell r="C42" t="str">
            <v>IV20801</v>
          </cell>
          <cell r="D42" t="str">
            <v>1 MACHINE A LAVER ( EN R.P. )</v>
          </cell>
          <cell r="E42" t="str">
            <v>Approuvé</v>
          </cell>
          <cell r="F42" t="str">
            <v>K01419</v>
          </cell>
          <cell r="G42">
            <v>2</v>
          </cell>
          <cell r="H42" t="str">
            <v>Reprise</v>
          </cell>
          <cell r="I42" t="str">
            <v>REPRISE</v>
          </cell>
          <cell r="J42" t="str">
            <v>Budgété</v>
          </cell>
          <cell r="K42">
            <v>212040</v>
          </cell>
          <cell r="L42">
            <v>212040</v>
          </cell>
          <cell r="P42">
            <v>212040</v>
          </cell>
          <cell r="S42">
            <v>12855</v>
          </cell>
          <cell r="T42" t="str">
            <v>NABZAR AHMED</v>
          </cell>
          <cell r="U42" t="str">
            <v>Médical</v>
          </cell>
          <cell r="V42" t="str">
            <v>Reprise</v>
          </cell>
          <cell r="W42" t="str">
            <v>Renouvellement</v>
          </cell>
          <cell r="X42" t="str">
            <v>Aucune</v>
          </cell>
          <cell r="Y42" t="str">
            <v>Prévu</v>
          </cell>
          <cell r="Z42" t="str">
            <v>Reprise</v>
          </cell>
        </row>
        <row r="43">
          <cell r="A43">
            <v>2763</v>
          </cell>
          <cell r="B43">
            <v>1</v>
          </cell>
          <cell r="C43" t="str">
            <v>IV20804</v>
          </cell>
          <cell r="D43" t="str">
            <v>MATERIEL ET LIGNES ELECTRIQUES</v>
          </cell>
          <cell r="E43" t="str">
            <v>Approuvé</v>
          </cell>
          <cell r="F43" t="str">
            <v>K07121</v>
          </cell>
          <cell r="G43">
            <v>2</v>
          </cell>
          <cell r="H43" t="str">
            <v>Reprise</v>
          </cell>
          <cell r="I43" t="str">
            <v>REPRISE</v>
          </cell>
          <cell r="J43" t="str">
            <v>Budgété</v>
          </cell>
          <cell r="K43">
            <v>250000</v>
          </cell>
          <cell r="L43">
            <v>250000</v>
          </cell>
          <cell r="O43">
            <v>250000</v>
          </cell>
          <cell r="S43">
            <v>12858</v>
          </cell>
          <cell r="T43" t="str">
            <v>NABZAR AHMED</v>
          </cell>
          <cell r="U43" t="str">
            <v>Ordinaire</v>
          </cell>
          <cell r="V43" t="str">
            <v>Reprise</v>
          </cell>
          <cell r="W43" t="str">
            <v>Dotations nouvelles</v>
          </cell>
          <cell r="X43" t="str">
            <v>Aucune</v>
          </cell>
          <cell r="Y43" t="str">
            <v>Prévu</v>
          </cell>
          <cell r="Z43" t="str">
            <v>Reprise</v>
          </cell>
        </row>
        <row r="44">
          <cell r="A44">
            <v>2764</v>
          </cell>
          <cell r="B44">
            <v>1</v>
          </cell>
          <cell r="C44" t="str">
            <v>IV20805</v>
          </cell>
          <cell r="D44" t="str">
            <v>MATERIELS ET LIGNES ELECTRIQUES</v>
          </cell>
          <cell r="E44" t="str">
            <v>Approuvé</v>
          </cell>
          <cell r="F44" t="str">
            <v>K07122</v>
          </cell>
          <cell r="G44">
            <v>2</v>
          </cell>
          <cell r="H44" t="str">
            <v>Reprise</v>
          </cell>
          <cell r="I44" t="str">
            <v>REPRISE</v>
          </cell>
          <cell r="J44" t="str">
            <v>Budgété</v>
          </cell>
          <cell r="K44">
            <v>220000</v>
          </cell>
          <cell r="L44">
            <v>220000</v>
          </cell>
          <cell r="O44">
            <v>220000</v>
          </cell>
          <cell r="S44">
            <v>12861</v>
          </cell>
          <cell r="T44" t="str">
            <v>NABZAR AHMED</v>
          </cell>
          <cell r="U44" t="str">
            <v>Ordinaire</v>
          </cell>
          <cell r="V44" t="str">
            <v>Reprise</v>
          </cell>
          <cell r="W44" t="str">
            <v>Dotations nouvelles</v>
          </cell>
          <cell r="X44" t="str">
            <v>Aucune</v>
          </cell>
          <cell r="Y44" t="str">
            <v>Prévu</v>
          </cell>
          <cell r="Z44" t="str">
            <v>Reprise</v>
          </cell>
        </row>
        <row r="45">
          <cell r="A45">
            <v>2765</v>
          </cell>
          <cell r="B45">
            <v>1</v>
          </cell>
          <cell r="C45" t="str">
            <v>IV20811</v>
          </cell>
          <cell r="D45" t="str">
            <v>38 TAPIS ET 1 TREMPLIN DE GYMNASTIQUE</v>
          </cell>
          <cell r="E45" t="str">
            <v>Approuvé</v>
          </cell>
          <cell r="F45" t="str">
            <v>K01037</v>
          </cell>
          <cell r="G45">
            <v>2</v>
          </cell>
          <cell r="H45" t="str">
            <v>Reprise</v>
          </cell>
          <cell r="I45" t="str">
            <v>REPRISE</v>
          </cell>
          <cell r="J45" t="str">
            <v>Budgété</v>
          </cell>
          <cell r="K45">
            <v>290400</v>
          </cell>
          <cell r="L45">
            <v>290400</v>
          </cell>
          <cell r="O45">
            <v>290400</v>
          </cell>
          <cell r="S45">
            <v>12864</v>
          </cell>
          <cell r="T45" t="str">
            <v>NABZAR AHMED</v>
          </cell>
          <cell r="U45" t="str">
            <v>Social</v>
          </cell>
          <cell r="V45" t="str">
            <v>Reprise</v>
          </cell>
          <cell r="W45" t="str">
            <v>Renouvellement</v>
          </cell>
          <cell r="X45" t="str">
            <v>Aucune</v>
          </cell>
          <cell r="Y45" t="str">
            <v>Prévu</v>
          </cell>
          <cell r="Z45" t="str">
            <v>Reprise</v>
          </cell>
        </row>
        <row r="46">
          <cell r="A46">
            <v>2766</v>
          </cell>
          <cell r="B46">
            <v>1</v>
          </cell>
          <cell r="C46" t="str">
            <v>IV20812</v>
          </cell>
          <cell r="D46" t="str">
            <v>MOTEURS ET TAMBOURS MOTEURS</v>
          </cell>
          <cell r="E46" t="str">
            <v>Approuvé</v>
          </cell>
          <cell r="F46" t="str">
            <v>K07121</v>
          </cell>
          <cell r="G46">
            <v>2</v>
          </cell>
          <cell r="H46" t="str">
            <v>Reprise</v>
          </cell>
          <cell r="I46" t="str">
            <v>REPRISE</v>
          </cell>
          <cell r="J46" t="str">
            <v>Budgété</v>
          </cell>
          <cell r="K46">
            <v>173376.1</v>
          </cell>
          <cell r="L46">
            <v>173376.1</v>
          </cell>
          <cell r="O46">
            <v>140000</v>
          </cell>
          <cell r="P46">
            <v>33376.1</v>
          </cell>
          <cell r="S46">
            <v>12867</v>
          </cell>
          <cell r="T46" t="str">
            <v>NABZAR AHMED</v>
          </cell>
          <cell r="U46" t="str">
            <v>Ordinaire</v>
          </cell>
          <cell r="V46" t="str">
            <v>Reprise</v>
          </cell>
          <cell r="W46" t="str">
            <v>Dotations nouvelles</v>
          </cell>
          <cell r="X46" t="str">
            <v>Aucune</v>
          </cell>
          <cell r="Y46" t="str">
            <v>Prévu</v>
          </cell>
          <cell r="Z46" t="str">
            <v>Reprise</v>
          </cell>
        </row>
        <row r="47">
          <cell r="A47">
            <v>2767</v>
          </cell>
          <cell r="B47">
            <v>1</v>
          </cell>
          <cell r="C47" t="str">
            <v>IV20813</v>
          </cell>
          <cell r="D47" t="str">
            <v>MATERIEL INFORMATIQUE</v>
          </cell>
          <cell r="E47" t="str">
            <v>Approuvé</v>
          </cell>
          <cell r="F47" t="str">
            <v>K07019</v>
          </cell>
          <cell r="G47">
            <v>2</v>
          </cell>
          <cell r="H47" t="str">
            <v>Reprise</v>
          </cell>
          <cell r="I47" t="str">
            <v>REPRISE</v>
          </cell>
          <cell r="J47" t="str">
            <v>Budgété</v>
          </cell>
          <cell r="K47">
            <v>44000</v>
          </cell>
          <cell r="L47">
            <v>44000</v>
          </cell>
          <cell r="O47">
            <v>44000</v>
          </cell>
          <cell r="S47">
            <v>12872</v>
          </cell>
          <cell r="T47" t="str">
            <v>NABZAR AHMED</v>
          </cell>
          <cell r="U47" t="str">
            <v>Administratif</v>
          </cell>
          <cell r="V47" t="str">
            <v>Reprise</v>
          </cell>
          <cell r="W47" t="str">
            <v>Dotations nouvelles</v>
          </cell>
          <cell r="X47" t="str">
            <v>Aucune</v>
          </cell>
          <cell r="Y47" t="str">
            <v>Prévu</v>
          </cell>
          <cell r="Z47" t="str">
            <v>Reprise</v>
          </cell>
        </row>
        <row r="48">
          <cell r="A48">
            <v>2768</v>
          </cell>
          <cell r="B48">
            <v>1</v>
          </cell>
          <cell r="C48" t="str">
            <v>IV20814</v>
          </cell>
          <cell r="D48" t="str">
            <v>MATERIEL DE MANUTENTION ET DE TRAITEMENT</v>
          </cell>
          <cell r="E48" t="str">
            <v>Approuvé</v>
          </cell>
          <cell r="F48" t="str">
            <v>K07111</v>
          </cell>
          <cell r="G48">
            <v>2</v>
          </cell>
          <cell r="H48" t="str">
            <v>Reprise</v>
          </cell>
          <cell r="I48" t="str">
            <v>REPRISE</v>
          </cell>
          <cell r="J48" t="str">
            <v>Budgété</v>
          </cell>
          <cell r="K48">
            <v>1200000</v>
          </cell>
          <cell r="L48">
            <v>1200000</v>
          </cell>
          <cell r="O48">
            <v>1200000</v>
          </cell>
          <cell r="S48">
            <v>12876</v>
          </cell>
          <cell r="T48" t="str">
            <v>NABZAR AHMED</v>
          </cell>
          <cell r="U48" t="str">
            <v>Ordinaire</v>
          </cell>
          <cell r="V48" t="str">
            <v>Reprise</v>
          </cell>
          <cell r="W48" t="str">
            <v>Dotations nouvelles</v>
          </cell>
          <cell r="X48" t="str">
            <v>Aucune</v>
          </cell>
          <cell r="Y48" t="str">
            <v>Prévu</v>
          </cell>
          <cell r="Z48" t="str">
            <v>Reprise</v>
          </cell>
        </row>
        <row r="49">
          <cell r="A49">
            <v>2769</v>
          </cell>
          <cell r="B49">
            <v>1</v>
          </cell>
          <cell r="C49" t="str">
            <v>IV20816</v>
          </cell>
          <cell r="D49" t="str">
            <v>MATERIEL DE BUREAU POUR LE SERVICE DES AFFAIRES JURIDIQUES ET IMMOBLIERES  ( EN R.P. )</v>
          </cell>
          <cell r="E49" t="str">
            <v>Approuvé</v>
          </cell>
          <cell r="F49" t="str">
            <v>K01012</v>
          </cell>
          <cell r="G49">
            <v>2</v>
          </cell>
          <cell r="H49" t="str">
            <v>Reprise</v>
          </cell>
          <cell r="I49" t="str">
            <v>REPRISE</v>
          </cell>
          <cell r="J49" t="str">
            <v>Budgété</v>
          </cell>
          <cell r="K49">
            <v>106046.28</v>
          </cell>
          <cell r="L49">
            <v>106046.28</v>
          </cell>
          <cell r="O49">
            <v>11880</v>
          </cell>
          <cell r="P49">
            <v>94166.28</v>
          </cell>
          <cell r="S49">
            <v>12881</v>
          </cell>
          <cell r="T49" t="str">
            <v>NABZAR AHMED</v>
          </cell>
          <cell r="U49" t="str">
            <v>Administratif</v>
          </cell>
          <cell r="V49" t="str">
            <v>Reprise</v>
          </cell>
          <cell r="W49" t="str">
            <v>Renouvellement</v>
          </cell>
          <cell r="X49" t="str">
            <v>Aucune</v>
          </cell>
          <cell r="Y49" t="str">
            <v>Prévu</v>
          </cell>
          <cell r="Z49" t="str">
            <v>Reprise</v>
          </cell>
        </row>
        <row r="50">
          <cell r="A50">
            <v>2770</v>
          </cell>
          <cell r="B50">
            <v>1</v>
          </cell>
          <cell r="C50" t="str">
            <v>IV20817</v>
          </cell>
          <cell r="D50" t="str">
            <v>6 CLIMATISEURS SPLIT-SYSTEM POUR PMK / AK / J</v>
          </cell>
          <cell r="E50" t="str">
            <v>Approuvé</v>
          </cell>
          <cell r="F50" t="str">
            <v>K01012</v>
          </cell>
          <cell r="G50">
            <v>2</v>
          </cell>
          <cell r="H50" t="str">
            <v>Reprise</v>
          </cell>
          <cell r="I50" t="str">
            <v>REPRISE</v>
          </cell>
          <cell r="J50" t="str">
            <v>Budgété</v>
          </cell>
          <cell r="K50">
            <v>139392</v>
          </cell>
          <cell r="L50">
            <v>139392</v>
          </cell>
          <cell r="O50">
            <v>139392</v>
          </cell>
          <cell r="S50">
            <v>12884</v>
          </cell>
          <cell r="T50" t="str">
            <v>NABZAR AHMED</v>
          </cell>
          <cell r="U50" t="str">
            <v>Administratif</v>
          </cell>
          <cell r="V50" t="str">
            <v>Reprise</v>
          </cell>
          <cell r="W50" t="str">
            <v>Renouvellement</v>
          </cell>
          <cell r="X50" t="str">
            <v>Aucune</v>
          </cell>
          <cell r="Y50" t="str">
            <v>Prévu</v>
          </cell>
          <cell r="Z50" t="str">
            <v>Reprise</v>
          </cell>
        </row>
        <row r="51">
          <cell r="A51">
            <v>2771</v>
          </cell>
          <cell r="B51">
            <v>1</v>
          </cell>
          <cell r="C51" t="str">
            <v>IV20818</v>
          </cell>
          <cell r="D51" t="str">
            <v>MATERIEL A CARACTERE ADMINISTRATIF</v>
          </cell>
          <cell r="E51" t="str">
            <v>Approuvé</v>
          </cell>
          <cell r="F51" t="str">
            <v>K07019</v>
          </cell>
          <cell r="G51">
            <v>2</v>
          </cell>
          <cell r="H51" t="str">
            <v>Reprise</v>
          </cell>
          <cell r="I51" t="str">
            <v>REPRISE</v>
          </cell>
          <cell r="J51" t="str">
            <v>Budgété</v>
          </cell>
          <cell r="K51">
            <v>90000</v>
          </cell>
          <cell r="L51">
            <v>90000</v>
          </cell>
          <cell r="O51">
            <v>90000</v>
          </cell>
          <cell r="S51">
            <v>12888</v>
          </cell>
          <cell r="T51" t="str">
            <v>NABZAR AHMED</v>
          </cell>
          <cell r="U51" t="str">
            <v>Administratif</v>
          </cell>
          <cell r="V51" t="str">
            <v>Reprise</v>
          </cell>
          <cell r="W51" t="str">
            <v>Renouvellement</v>
          </cell>
          <cell r="X51" t="str">
            <v>Aucune</v>
          </cell>
          <cell r="Y51" t="str">
            <v>Prévu</v>
          </cell>
          <cell r="Z51" t="str">
            <v>Reprise</v>
          </cell>
        </row>
        <row r="52">
          <cell r="A52">
            <v>2772</v>
          </cell>
          <cell r="B52">
            <v>1</v>
          </cell>
          <cell r="C52" t="str">
            <v>IV20821</v>
          </cell>
          <cell r="D52" t="str">
            <v>10 TELEVISEURS</v>
          </cell>
          <cell r="E52" t="str">
            <v>Approuvé</v>
          </cell>
          <cell r="F52" t="str">
            <v>K01040</v>
          </cell>
          <cell r="G52">
            <v>2</v>
          </cell>
          <cell r="H52" t="str">
            <v>Reprise</v>
          </cell>
          <cell r="I52" t="str">
            <v>REPRISE</v>
          </cell>
          <cell r="J52" t="str">
            <v>Budgété</v>
          </cell>
          <cell r="K52">
            <v>81000</v>
          </cell>
          <cell r="L52">
            <v>81000</v>
          </cell>
          <cell r="P52">
            <v>81000</v>
          </cell>
          <cell r="S52">
            <v>12891</v>
          </cell>
          <cell r="T52" t="str">
            <v>NABZAR AHMED</v>
          </cell>
          <cell r="U52" t="str">
            <v>Social</v>
          </cell>
          <cell r="V52" t="str">
            <v>Reprise</v>
          </cell>
          <cell r="W52" t="str">
            <v>Dotations nouvelles</v>
          </cell>
          <cell r="X52" t="str">
            <v>Aucune</v>
          </cell>
          <cell r="Y52" t="str">
            <v>Prévu</v>
          </cell>
          <cell r="Z52" t="str">
            <v>Reprise</v>
          </cell>
        </row>
        <row r="53">
          <cell r="A53">
            <v>2773</v>
          </cell>
          <cell r="B53">
            <v>1</v>
          </cell>
          <cell r="C53" t="str">
            <v>IV20824</v>
          </cell>
          <cell r="D53" t="str">
            <v>4 CLIMATISEURS SPLIT-SYSTEM POUR SECRETARIAT AK</v>
          </cell>
          <cell r="E53" t="str">
            <v>Approuvé</v>
          </cell>
          <cell r="F53" t="str">
            <v>K01009</v>
          </cell>
          <cell r="G53">
            <v>2</v>
          </cell>
          <cell r="H53" t="str">
            <v>Reprise</v>
          </cell>
          <cell r="I53" t="str">
            <v>REPRISE</v>
          </cell>
          <cell r="J53" t="str">
            <v>Budgété</v>
          </cell>
          <cell r="K53">
            <v>116160</v>
          </cell>
          <cell r="L53">
            <v>116160</v>
          </cell>
          <cell r="O53">
            <v>116160</v>
          </cell>
          <cell r="S53">
            <v>12894</v>
          </cell>
          <cell r="T53" t="str">
            <v>NABZAR AHMED</v>
          </cell>
          <cell r="U53" t="str">
            <v>Administratif</v>
          </cell>
          <cell r="V53" t="str">
            <v>Reprise</v>
          </cell>
          <cell r="W53" t="str">
            <v>Dotations nouvelles</v>
          </cell>
          <cell r="X53" t="str">
            <v>Aucune</v>
          </cell>
          <cell r="Y53" t="str">
            <v>Prévu</v>
          </cell>
          <cell r="Z53" t="str">
            <v>Reprise</v>
          </cell>
        </row>
        <row r="54">
          <cell r="A54">
            <v>2774</v>
          </cell>
          <cell r="B54">
            <v>1</v>
          </cell>
          <cell r="C54" t="str">
            <v>IV20831</v>
          </cell>
          <cell r="D54" t="str">
            <v>CONFECTION DE 2 RAYONNAGES POUR SERVICE DES AFFAIRES JURIDIQUES ET IMMOBILIERES</v>
          </cell>
          <cell r="E54" t="str">
            <v>Approuvé</v>
          </cell>
          <cell r="F54" t="str">
            <v>K01012</v>
          </cell>
          <cell r="G54">
            <v>2</v>
          </cell>
          <cell r="H54" t="str">
            <v>Reprise</v>
          </cell>
          <cell r="I54" t="str">
            <v>REPRISE</v>
          </cell>
          <cell r="J54" t="str">
            <v>Budgété</v>
          </cell>
          <cell r="K54">
            <v>58080</v>
          </cell>
          <cell r="L54">
            <v>58080</v>
          </cell>
          <cell r="O54">
            <v>58080</v>
          </cell>
          <cell r="S54">
            <v>12897</v>
          </cell>
          <cell r="T54" t="str">
            <v>NABZAR AHMED</v>
          </cell>
          <cell r="U54" t="str">
            <v>Administratif</v>
          </cell>
          <cell r="V54" t="str">
            <v>Reprise</v>
          </cell>
          <cell r="W54" t="str">
            <v>Dotations nouvelles</v>
          </cell>
          <cell r="X54" t="str">
            <v>Aucune</v>
          </cell>
          <cell r="Y54" t="str">
            <v>Prévu</v>
          </cell>
          <cell r="Z54" t="str">
            <v>Reprise</v>
          </cell>
        </row>
        <row r="55">
          <cell r="A55">
            <v>2775</v>
          </cell>
          <cell r="B55">
            <v>1</v>
          </cell>
          <cell r="C55" t="str">
            <v>IV20837</v>
          </cell>
          <cell r="D55" t="str">
            <v>MOBILIER DE BUREAU POUR LE SERVICE DE CONTROLE DE GESTION</v>
          </cell>
          <cell r="E55" t="str">
            <v>Approuvé</v>
          </cell>
          <cell r="F55" t="str">
            <v>K01013</v>
          </cell>
          <cell r="G55">
            <v>2</v>
          </cell>
          <cell r="H55" t="str">
            <v>Reprise</v>
          </cell>
          <cell r="I55" t="str">
            <v>REPRISE</v>
          </cell>
          <cell r="J55" t="str">
            <v>Budgété</v>
          </cell>
          <cell r="K55">
            <v>15576</v>
          </cell>
          <cell r="L55">
            <v>15576</v>
          </cell>
          <cell r="O55">
            <v>6600</v>
          </cell>
          <cell r="P55">
            <v>8976</v>
          </cell>
          <cell r="S55">
            <v>12899</v>
          </cell>
          <cell r="T55" t="str">
            <v>NABZAR AHMED</v>
          </cell>
          <cell r="U55" t="str">
            <v>Administratif</v>
          </cell>
          <cell r="V55" t="str">
            <v>Reprise</v>
          </cell>
          <cell r="W55" t="str">
            <v>Dotations nouvelles</v>
          </cell>
          <cell r="X55" t="str">
            <v>Aucune</v>
          </cell>
          <cell r="Y55" t="str">
            <v>Prévu</v>
          </cell>
          <cell r="Z55" t="str">
            <v>Reprise</v>
          </cell>
        </row>
        <row r="56">
          <cell r="A56">
            <v>2776</v>
          </cell>
          <cell r="B56">
            <v>1</v>
          </cell>
          <cell r="C56" t="str">
            <v>IV20840</v>
          </cell>
          <cell r="D56" t="str">
            <v>MAETRIEL DIVERS A CARACTERE MEDICAL</v>
          </cell>
          <cell r="E56" t="str">
            <v>Approuvé</v>
          </cell>
          <cell r="F56" t="str">
            <v>K07029</v>
          </cell>
          <cell r="G56">
            <v>2</v>
          </cell>
          <cell r="H56" t="str">
            <v>Reprise</v>
          </cell>
          <cell r="I56" t="str">
            <v>REPRISE</v>
          </cell>
          <cell r="J56" t="str">
            <v>Budgété</v>
          </cell>
          <cell r="K56">
            <v>9722</v>
          </cell>
          <cell r="L56">
            <v>9722</v>
          </cell>
          <cell r="P56">
            <v>9722</v>
          </cell>
          <cell r="S56">
            <v>12902</v>
          </cell>
          <cell r="T56" t="str">
            <v>NABZAR AHMED</v>
          </cell>
          <cell r="U56" t="str">
            <v>Médical</v>
          </cell>
          <cell r="V56" t="str">
            <v>Reprise</v>
          </cell>
          <cell r="W56" t="str">
            <v>Renouvellement</v>
          </cell>
          <cell r="X56" t="str">
            <v>Aucune</v>
          </cell>
          <cell r="Y56" t="str">
            <v>Prévu</v>
          </cell>
          <cell r="Z56" t="str">
            <v>Reprise</v>
          </cell>
        </row>
        <row r="57">
          <cell r="A57">
            <v>2777</v>
          </cell>
          <cell r="B57">
            <v>1</v>
          </cell>
          <cell r="C57" t="str">
            <v>IV20845</v>
          </cell>
          <cell r="D57" t="str">
            <v>1 PERFORELIEUSE  POUR  PMK IE ( EN REVISION )</v>
          </cell>
          <cell r="E57" t="str">
            <v>Approuvé</v>
          </cell>
          <cell r="F57" t="str">
            <v>K02229</v>
          </cell>
          <cell r="G57">
            <v>2</v>
          </cell>
          <cell r="H57" t="str">
            <v>Reprise</v>
          </cell>
          <cell r="I57" t="str">
            <v>REPRISE</v>
          </cell>
          <cell r="J57" t="str">
            <v>Budgété</v>
          </cell>
          <cell r="K57">
            <v>3000</v>
          </cell>
          <cell r="L57">
            <v>3000</v>
          </cell>
          <cell r="P57">
            <v>3000</v>
          </cell>
          <cell r="S57">
            <v>12903</v>
          </cell>
          <cell r="T57" t="str">
            <v>NABZAR AHMED</v>
          </cell>
          <cell r="U57" t="str">
            <v>Administratif</v>
          </cell>
          <cell r="V57" t="str">
            <v>Reprise</v>
          </cell>
          <cell r="W57" t="str">
            <v>Dotations nouvelles</v>
          </cell>
          <cell r="X57" t="str">
            <v>Aucune</v>
          </cell>
          <cell r="Y57" t="str">
            <v>Prévu</v>
          </cell>
          <cell r="Z57" t="str">
            <v>Reprise</v>
          </cell>
        </row>
        <row r="58">
          <cell r="A58">
            <v>2778</v>
          </cell>
          <cell r="B58">
            <v>1</v>
          </cell>
          <cell r="C58" t="str">
            <v>IV20849</v>
          </cell>
          <cell r="D58" t="str">
            <v>6 MOTEURS DIESEL</v>
          </cell>
          <cell r="E58" t="str">
            <v>Approuvé</v>
          </cell>
          <cell r="F58" t="str">
            <v>K03550</v>
          </cell>
          <cell r="G58">
            <v>3</v>
          </cell>
          <cell r="H58" t="str">
            <v>Report</v>
          </cell>
          <cell r="I58" t="str">
            <v>REPORT</v>
          </cell>
          <cell r="J58" t="str">
            <v>Budgété</v>
          </cell>
          <cell r="K58">
            <v>5882000</v>
          </cell>
          <cell r="L58">
            <v>5882000</v>
          </cell>
          <cell r="M58">
            <v>2500000</v>
          </cell>
          <cell r="N58">
            <v>2500000</v>
          </cell>
          <cell r="O58">
            <v>0</v>
          </cell>
          <cell r="P58">
            <v>3382000</v>
          </cell>
          <cell r="S58">
            <v>24457</v>
          </cell>
          <cell r="T58" t="str">
            <v>MAGHRAOUI Brahim</v>
          </cell>
          <cell r="U58" t="str">
            <v>Ordinaire</v>
          </cell>
          <cell r="V58" t="str">
            <v>Reprise</v>
          </cell>
          <cell r="W58" t="str">
            <v>Renouvellement</v>
          </cell>
          <cell r="X58" t="str">
            <v>Aucune</v>
          </cell>
          <cell r="Y58" t="str">
            <v>Prévu</v>
          </cell>
          <cell r="Z58" t="str">
            <v>Reprise</v>
          </cell>
        </row>
        <row r="59">
          <cell r="A59">
            <v>2779</v>
          </cell>
          <cell r="B59">
            <v>1</v>
          </cell>
          <cell r="C59" t="str">
            <v>IV20850</v>
          </cell>
          <cell r="D59" t="str">
            <v>1 PORTE CHARS 70 T</v>
          </cell>
          <cell r="E59" t="str">
            <v>Approuvé</v>
          </cell>
          <cell r="F59" t="str">
            <v>K03500</v>
          </cell>
          <cell r="G59">
            <v>2</v>
          </cell>
          <cell r="H59" t="str">
            <v>Reprise</v>
          </cell>
          <cell r="I59" t="str">
            <v>REPRISE</v>
          </cell>
          <cell r="J59" t="str">
            <v>Budgété</v>
          </cell>
          <cell r="K59">
            <v>7000000</v>
          </cell>
          <cell r="L59">
            <v>7000000</v>
          </cell>
          <cell r="O59">
            <v>7000000</v>
          </cell>
          <cell r="S59">
            <v>12906</v>
          </cell>
          <cell r="T59" t="str">
            <v>MAGHRAOUI Brahim</v>
          </cell>
          <cell r="U59" t="str">
            <v>Ordinaire</v>
          </cell>
          <cell r="V59" t="str">
            <v>Reprise</v>
          </cell>
          <cell r="W59" t="str">
            <v>Renouvellement</v>
          </cell>
          <cell r="X59" t="str">
            <v>Aucune</v>
          </cell>
          <cell r="Y59" t="str">
            <v>Prévu</v>
          </cell>
          <cell r="Z59" t="str">
            <v>Reprise</v>
          </cell>
        </row>
        <row r="60">
          <cell r="A60">
            <v>2780</v>
          </cell>
          <cell r="B60">
            <v>1</v>
          </cell>
          <cell r="C60" t="str">
            <v>IV20852</v>
          </cell>
          <cell r="D60" t="str">
            <v>1 CAMION DE RAVITAILLEMENT</v>
          </cell>
          <cell r="E60" t="str">
            <v>Approuvé</v>
          </cell>
          <cell r="F60" t="str">
            <v>K03745</v>
          </cell>
          <cell r="G60">
            <v>3</v>
          </cell>
          <cell r="H60" t="str">
            <v>Report</v>
          </cell>
          <cell r="I60" t="str">
            <v>REPORT</v>
          </cell>
          <cell r="J60" t="str">
            <v>Budgété</v>
          </cell>
          <cell r="K60">
            <v>5000000</v>
          </cell>
          <cell r="L60">
            <v>5000000</v>
          </cell>
          <cell r="M60">
            <v>5000000</v>
          </cell>
          <cell r="N60">
            <v>5000000</v>
          </cell>
          <cell r="O60">
            <v>0</v>
          </cell>
          <cell r="S60">
            <v>24341</v>
          </cell>
          <cell r="T60" t="str">
            <v>HALMI Abderrahmane</v>
          </cell>
          <cell r="U60" t="str">
            <v>Ordinaire</v>
          </cell>
          <cell r="V60" t="str">
            <v>Reprise</v>
          </cell>
          <cell r="W60" t="str">
            <v>Renouvellement</v>
          </cell>
          <cell r="X60" t="str">
            <v>Aucune</v>
          </cell>
          <cell r="Y60" t="str">
            <v>Prévu</v>
          </cell>
          <cell r="Z60" t="str">
            <v>Reprise</v>
          </cell>
        </row>
        <row r="61">
          <cell r="A61">
            <v>2781</v>
          </cell>
          <cell r="B61">
            <v>1</v>
          </cell>
          <cell r="C61" t="str">
            <v>IV20853</v>
          </cell>
          <cell r="D61" t="str">
            <v>3 CAMIONS GRUES</v>
          </cell>
          <cell r="E61" t="str">
            <v>Approuvé</v>
          </cell>
          <cell r="F61" t="str">
            <v>K03520</v>
          </cell>
          <cell r="G61">
            <v>2</v>
          </cell>
          <cell r="H61" t="str">
            <v>Reprise</v>
          </cell>
          <cell r="I61" t="str">
            <v>REPRISE</v>
          </cell>
          <cell r="J61" t="str">
            <v>Budgété</v>
          </cell>
          <cell r="K61">
            <v>4200000</v>
          </cell>
          <cell r="L61">
            <v>4200000</v>
          </cell>
          <cell r="O61">
            <v>4200000</v>
          </cell>
          <cell r="S61">
            <v>12908</v>
          </cell>
          <cell r="T61" t="str">
            <v>CHARKI EL YAMANI</v>
          </cell>
          <cell r="U61" t="str">
            <v>Ordinaire</v>
          </cell>
          <cell r="V61" t="str">
            <v>Reprise</v>
          </cell>
          <cell r="W61" t="str">
            <v>Renouvellement</v>
          </cell>
          <cell r="X61" t="str">
            <v>Aucune</v>
          </cell>
          <cell r="Y61" t="str">
            <v>Prévu</v>
          </cell>
          <cell r="Z61" t="str">
            <v>Reprise</v>
          </cell>
        </row>
        <row r="62">
          <cell r="A62">
            <v>2782</v>
          </cell>
          <cell r="B62">
            <v>1</v>
          </cell>
          <cell r="C62" t="str">
            <v>IV20854</v>
          </cell>
          <cell r="D62" t="str">
            <v>PLANTATION D'ARBRES</v>
          </cell>
          <cell r="E62" t="str">
            <v>Approuvé</v>
          </cell>
          <cell r="F62" t="str">
            <v>K03020</v>
          </cell>
          <cell r="G62">
            <v>2</v>
          </cell>
          <cell r="H62" t="str">
            <v>Reprise</v>
          </cell>
          <cell r="I62" t="str">
            <v>REPRISE</v>
          </cell>
          <cell r="J62" t="str">
            <v>Budgété</v>
          </cell>
          <cell r="K62">
            <v>2900000</v>
          </cell>
          <cell r="L62">
            <v>2900000</v>
          </cell>
          <cell r="O62">
            <v>2900000</v>
          </cell>
          <cell r="S62">
            <v>12909</v>
          </cell>
          <cell r="T62" t="str">
            <v>NABZAR AHMED</v>
          </cell>
          <cell r="U62" t="str">
            <v>Ordinaire</v>
          </cell>
          <cell r="V62" t="str">
            <v>Reprise</v>
          </cell>
          <cell r="W62" t="str">
            <v>Dotations nouvelles</v>
          </cell>
          <cell r="X62" t="str">
            <v>Aucune</v>
          </cell>
          <cell r="Y62" t="str">
            <v>Prévu</v>
          </cell>
          <cell r="Z62" t="str">
            <v>Reprise</v>
          </cell>
        </row>
        <row r="63">
          <cell r="A63">
            <v>2783</v>
          </cell>
          <cell r="B63">
            <v>1</v>
          </cell>
          <cell r="C63" t="str">
            <v>IV20855</v>
          </cell>
          <cell r="D63" t="str">
            <v>3 CAMIONS DE TRANSPORT DU PERSONNEL</v>
          </cell>
          <cell r="E63" t="str">
            <v>Approuvé</v>
          </cell>
          <cell r="F63" t="str">
            <v>K03523</v>
          </cell>
          <cell r="G63">
            <v>2</v>
          </cell>
          <cell r="H63" t="str">
            <v>Reprise</v>
          </cell>
          <cell r="I63" t="str">
            <v>REPRISE</v>
          </cell>
          <cell r="J63" t="str">
            <v>Budgété</v>
          </cell>
          <cell r="K63">
            <v>1646112</v>
          </cell>
          <cell r="L63">
            <v>1646112</v>
          </cell>
          <cell r="P63">
            <v>1646112</v>
          </cell>
          <cell r="S63">
            <v>12910</v>
          </cell>
          <cell r="T63" t="str">
            <v>NABZAR AHMED</v>
          </cell>
          <cell r="U63" t="str">
            <v>Ordinaire</v>
          </cell>
          <cell r="V63" t="str">
            <v>Reprise</v>
          </cell>
          <cell r="W63" t="str">
            <v>Renouvellement</v>
          </cell>
          <cell r="X63" t="str">
            <v>Aucune</v>
          </cell>
          <cell r="Y63" t="str">
            <v>Prévu</v>
          </cell>
          <cell r="Z63" t="str">
            <v>Reprise</v>
          </cell>
        </row>
        <row r="64">
          <cell r="A64">
            <v>2784</v>
          </cell>
          <cell r="B64">
            <v>1</v>
          </cell>
          <cell r="C64" t="str">
            <v>IV20858</v>
          </cell>
          <cell r="D64" t="str">
            <v>1 CAMION ATELIER MOBILE</v>
          </cell>
          <cell r="E64" t="str">
            <v>Approuvé</v>
          </cell>
          <cell r="F64" t="str">
            <v>K03500</v>
          </cell>
          <cell r="G64">
            <v>2</v>
          </cell>
          <cell r="H64" t="str">
            <v>Reprise</v>
          </cell>
          <cell r="I64" t="str">
            <v>REPRISE</v>
          </cell>
          <cell r="J64" t="str">
            <v>Budgété</v>
          </cell>
          <cell r="K64">
            <v>2000000</v>
          </cell>
          <cell r="L64">
            <v>2000000</v>
          </cell>
          <cell r="O64">
            <v>2000000</v>
          </cell>
          <cell r="S64">
            <v>12911</v>
          </cell>
          <cell r="T64" t="str">
            <v>MAGHRAOUI Brahim</v>
          </cell>
          <cell r="U64" t="str">
            <v>Ordinaire</v>
          </cell>
          <cell r="V64" t="str">
            <v>Reprise</v>
          </cell>
          <cell r="W64" t="str">
            <v>Dotations nouvelles</v>
          </cell>
          <cell r="X64" t="str">
            <v>Aucune</v>
          </cell>
          <cell r="Y64" t="str">
            <v>Prévu</v>
          </cell>
          <cell r="Z64" t="str">
            <v>Reprise</v>
          </cell>
        </row>
        <row r="65">
          <cell r="A65">
            <v>2785</v>
          </cell>
          <cell r="B65">
            <v>1</v>
          </cell>
          <cell r="C65" t="str">
            <v>IV20859</v>
          </cell>
          <cell r="D65" t="str">
            <v>1 CHARIOT ELEVATEUR</v>
          </cell>
          <cell r="E65" t="str">
            <v>Approuvé</v>
          </cell>
          <cell r="F65" t="str">
            <v>K03645</v>
          </cell>
          <cell r="G65">
            <v>2</v>
          </cell>
          <cell r="H65" t="str">
            <v>Reprise</v>
          </cell>
          <cell r="I65" t="str">
            <v>REPRISE</v>
          </cell>
          <cell r="J65" t="str">
            <v>Budgété</v>
          </cell>
          <cell r="K65">
            <v>703000</v>
          </cell>
          <cell r="L65">
            <v>703000</v>
          </cell>
          <cell r="P65">
            <v>703000</v>
          </cell>
          <cell r="S65">
            <v>12912</v>
          </cell>
          <cell r="T65" t="str">
            <v>NABZAR AHMED</v>
          </cell>
          <cell r="U65" t="str">
            <v>Ordinaire</v>
          </cell>
          <cell r="V65" t="str">
            <v>Reprise</v>
          </cell>
          <cell r="W65" t="str">
            <v>Renouvellement</v>
          </cell>
          <cell r="X65" t="str">
            <v>Aucune</v>
          </cell>
          <cell r="Y65" t="str">
            <v>Prévu</v>
          </cell>
          <cell r="Z65" t="str">
            <v>Reprise</v>
          </cell>
        </row>
        <row r="66">
          <cell r="A66">
            <v>2786</v>
          </cell>
          <cell r="B66">
            <v>1</v>
          </cell>
          <cell r="C66" t="str">
            <v>IV20862</v>
          </cell>
          <cell r="D66" t="str">
            <v>1 COMPRESSEUR D'AIR AUTONOME 8 BARS</v>
          </cell>
          <cell r="E66" t="str">
            <v>Approuvé</v>
          </cell>
          <cell r="F66" t="str">
            <v>K03830</v>
          </cell>
          <cell r="G66">
            <v>2</v>
          </cell>
          <cell r="H66" t="str">
            <v>Reprise</v>
          </cell>
          <cell r="I66" t="str">
            <v>REPRISE</v>
          </cell>
          <cell r="J66" t="str">
            <v>Budgété</v>
          </cell>
          <cell r="K66">
            <v>670902</v>
          </cell>
          <cell r="L66">
            <v>670902</v>
          </cell>
          <cell r="P66">
            <v>670902</v>
          </cell>
          <cell r="S66">
            <v>12913</v>
          </cell>
          <cell r="T66" t="str">
            <v>NABZAR AHMED</v>
          </cell>
          <cell r="U66" t="str">
            <v>Ordinaire</v>
          </cell>
          <cell r="V66" t="str">
            <v>Reprise</v>
          </cell>
          <cell r="W66" t="str">
            <v>Dotations nouvelles</v>
          </cell>
          <cell r="X66" t="str">
            <v>Aucune</v>
          </cell>
          <cell r="Y66" t="str">
            <v>Prévu</v>
          </cell>
          <cell r="Z66" t="str">
            <v>Reprise</v>
          </cell>
        </row>
        <row r="67">
          <cell r="A67">
            <v>2787</v>
          </cell>
          <cell r="B67">
            <v>1</v>
          </cell>
          <cell r="C67" t="str">
            <v>IV20868</v>
          </cell>
          <cell r="D67" t="str">
            <v>1 PALAN DE 16 TONNES</v>
          </cell>
          <cell r="E67" t="str">
            <v>Approuvé</v>
          </cell>
          <cell r="F67" t="str">
            <v>K03540</v>
          </cell>
          <cell r="G67">
            <v>2</v>
          </cell>
          <cell r="H67" t="str">
            <v>Reprise</v>
          </cell>
          <cell r="I67" t="str">
            <v>REPRISE</v>
          </cell>
          <cell r="J67" t="str">
            <v>Budgété</v>
          </cell>
          <cell r="K67">
            <v>636680</v>
          </cell>
          <cell r="L67">
            <v>636680</v>
          </cell>
          <cell r="O67">
            <v>350000</v>
          </cell>
          <cell r="P67">
            <v>286680</v>
          </cell>
          <cell r="S67">
            <v>12914</v>
          </cell>
          <cell r="T67" t="str">
            <v>NABZAR AHMED</v>
          </cell>
          <cell r="U67" t="str">
            <v>Ordinaire</v>
          </cell>
          <cell r="V67" t="str">
            <v>Reprise</v>
          </cell>
          <cell r="W67" t="str">
            <v>Renouvellement</v>
          </cell>
          <cell r="X67" t="str">
            <v>Aucune</v>
          </cell>
          <cell r="Y67" t="str">
            <v>Prévu</v>
          </cell>
          <cell r="Z67" t="str">
            <v>Reprise</v>
          </cell>
        </row>
        <row r="68">
          <cell r="A68">
            <v>2788</v>
          </cell>
          <cell r="B68">
            <v>1</v>
          </cell>
          <cell r="C68" t="str">
            <v>IV20870</v>
          </cell>
          <cell r="D68" t="str">
            <v>OUTILLAGE ET EQUIPEMENT D'ATELIER MECANIQUE</v>
          </cell>
          <cell r="E68" t="str">
            <v>Approuvé</v>
          </cell>
          <cell r="F68" t="str">
            <v>K03500</v>
          </cell>
          <cell r="G68">
            <v>2</v>
          </cell>
          <cell r="H68" t="str">
            <v>Reprise</v>
          </cell>
          <cell r="I68" t="str">
            <v>REPRISE</v>
          </cell>
          <cell r="J68" t="str">
            <v>Budgété</v>
          </cell>
          <cell r="K68">
            <v>232198.56</v>
          </cell>
          <cell r="L68">
            <v>232198.56</v>
          </cell>
          <cell r="O68">
            <v>180000</v>
          </cell>
          <cell r="P68">
            <v>52198.559999999998</v>
          </cell>
          <cell r="S68">
            <v>12915</v>
          </cell>
          <cell r="T68" t="str">
            <v>MAGHRAOUI Brahim</v>
          </cell>
          <cell r="U68" t="str">
            <v>Ordinaire</v>
          </cell>
          <cell r="V68" t="str">
            <v>Reprise</v>
          </cell>
          <cell r="W68" t="str">
            <v>Renouvellement</v>
          </cell>
          <cell r="X68" t="str">
            <v>Aucune</v>
          </cell>
          <cell r="Y68" t="str">
            <v>Prévu</v>
          </cell>
          <cell r="Z68" t="str">
            <v>Reprise</v>
          </cell>
        </row>
        <row r="69">
          <cell r="A69">
            <v>2789</v>
          </cell>
          <cell r="B69">
            <v>1</v>
          </cell>
          <cell r="C69" t="str">
            <v>IV20878</v>
          </cell>
          <cell r="D69" t="str">
            <v>FOURNITURE ET INSTALLATION DES EQUIPEMENTS DE DEPOUSSIERAGE DES FOURS SECHEURS N°2 ET N°4 DU COZ</v>
          </cell>
          <cell r="E69" t="str">
            <v>Approuvé</v>
          </cell>
          <cell r="F69" t="str">
            <v>K04307</v>
          </cell>
          <cell r="G69">
            <v>2</v>
          </cell>
          <cell r="H69" t="str">
            <v>Reprise</v>
          </cell>
          <cell r="I69" t="str">
            <v>REPRISE</v>
          </cell>
          <cell r="J69" t="str">
            <v>Budgété</v>
          </cell>
          <cell r="K69">
            <v>8000000</v>
          </cell>
          <cell r="L69">
            <v>8000000</v>
          </cell>
          <cell r="O69">
            <v>8000000</v>
          </cell>
          <cell r="S69">
            <v>12916</v>
          </cell>
          <cell r="T69" t="str">
            <v>LEBBARDI ABDELJABBAR</v>
          </cell>
          <cell r="U69" t="str">
            <v>Ordinaire</v>
          </cell>
          <cell r="V69" t="str">
            <v>Reprise</v>
          </cell>
          <cell r="W69" t="str">
            <v>Dotations nouvelles</v>
          </cell>
          <cell r="X69" t="str">
            <v>Aucune</v>
          </cell>
          <cell r="Y69" t="str">
            <v>Prévu</v>
          </cell>
          <cell r="Z69" t="str">
            <v>Reprise</v>
          </cell>
        </row>
        <row r="70">
          <cell r="A70">
            <v>2790</v>
          </cell>
          <cell r="B70">
            <v>1</v>
          </cell>
          <cell r="C70" t="str">
            <v>IV20880</v>
          </cell>
          <cell r="D70" t="str">
            <v>EQUIPEMENTS ET OUTILLAGE MECANIQUES ET ELECTRIQUES POUR LES ATELIERS DE MAINTENANCE DE PMK/T</v>
          </cell>
          <cell r="E70" t="str">
            <v>Approuvé</v>
          </cell>
          <cell r="F70" t="str">
            <v>K04001</v>
          </cell>
          <cell r="G70">
            <v>2</v>
          </cell>
          <cell r="H70" t="str">
            <v>Reprise</v>
          </cell>
          <cell r="I70" t="str">
            <v>REPRISE</v>
          </cell>
          <cell r="J70" t="str">
            <v>Budgété</v>
          </cell>
          <cell r="K70">
            <v>725318.46</v>
          </cell>
          <cell r="L70">
            <v>725318.46</v>
          </cell>
          <cell r="P70">
            <v>725318.46</v>
          </cell>
          <cell r="S70">
            <v>12917</v>
          </cell>
          <cell r="T70" t="str">
            <v>NABZAR AHMED</v>
          </cell>
          <cell r="U70" t="str">
            <v>Ordinaire</v>
          </cell>
          <cell r="V70" t="str">
            <v>Reprise</v>
          </cell>
          <cell r="W70" t="str">
            <v>Dotations nouvelles</v>
          </cell>
          <cell r="X70" t="str">
            <v>Aucune</v>
          </cell>
          <cell r="Y70" t="str">
            <v>Prévu</v>
          </cell>
          <cell r="Z70" t="str">
            <v>Reprise</v>
          </cell>
        </row>
        <row r="71">
          <cell r="A71">
            <v>2791</v>
          </cell>
          <cell r="B71">
            <v>1</v>
          </cell>
          <cell r="C71" t="str">
            <v>IV20881</v>
          </cell>
          <cell r="D71" t="str">
            <v>9 MOTEURS ELECTRIQUES</v>
          </cell>
          <cell r="E71" t="str">
            <v>Approuvé</v>
          </cell>
          <cell r="F71" t="str">
            <v>K04116</v>
          </cell>
          <cell r="G71">
            <v>2</v>
          </cell>
          <cell r="H71" t="str">
            <v>Reprise</v>
          </cell>
          <cell r="I71" t="str">
            <v>REPRISE</v>
          </cell>
          <cell r="J71" t="str">
            <v>Budgété</v>
          </cell>
          <cell r="K71">
            <v>569881.35</v>
          </cell>
          <cell r="L71">
            <v>569881.35</v>
          </cell>
          <cell r="P71">
            <v>569881.35</v>
          </cell>
          <cell r="S71">
            <v>12918</v>
          </cell>
          <cell r="T71" t="str">
            <v>NABZAR AHMED</v>
          </cell>
          <cell r="U71" t="str">
            <v>Ordinaire</v>
          </cell>
          <cell r="V71" t="str">
            <v>Reprise</v>
          </cell>
          <cell r="W71" t="str">
            <v>Renouvellement</v>
          </cell>
          <cell r="X71" t="str">
            <v>Aucune</v>
          </cell>
          <cell r="Y71" t="str">
            <v>Prévu</v>
          </cell>
          <cell r="Z71" t="str">
            <v>Reprise</v>
          </cell>
        </row>
        <row r="72">
          <cell r="A72">
            <v>2792</v>
          </cell>
          <cell r="B72">
            <v>1</v>
          </cell>
          <cell r="C72" t="str">
            <v>IV20883</v>
          </cell>
          <cell r="D72" t="str">
            <v>3 COMPRESSEURS A AIR COMPRIME</v>
          </cell>
          <cell r="E72" t="str">
            <v>Approuvé</v>
          </cell>
          <cell r="F72" t="str">
            <v>K04131</v>
          </cell>
          <cell r="G72">
            <v>2</v>
          </cell>
          <cell r="H72" t="str">
            <v>Reprise</v>
          </cell>
          <cell r="I72" t="str">
            <v>REPRISE</v>
          </cell>
          <cell r="J72" t="str">
            <v>Budgété</v>
          </cell>
          <cell r="K72">
            <v>1216460</v>
          </cell>
          <cell r="L72">
            <v>1216460</v>
          </cell>
          <cell r="P72">
            <v>1216460</v>
          </cell>
          <cell r="S72">
            <v>12919</v>
          </cell>
          <cell r="T72" t="str">
            <v>NABZAR AHMED</v>
          </cell>
          <cell r="U72" t="str">
            <v>Ordinaire</v>
          </cell>
          <cell r="V72" t="str">
            <v>Reprise</v>
          </cell>
          <cell r="W72" t="str">
            <v>Renouvellement</v>
          </cell>
          <cell r="X72" t="str">
            <v>Aucune</v>
          </cell>
          <cell r="Y72" t="str">
            <v>Prévu</v>
          </cell>
          <cell r="Z72" t="str">
            <v>Reprise</v>
          </cell>
        </row>
        <row r="73">
          <cell r="A73">
            <v>2793</v>
          </cell>
          <cell r="B73">
            <v>1</v>
          </cell>
          <cell r="C73" t="str">
            <v>IV20884</v>
          </cell>
          <cell r="D73" t="str">
            <v>32 MOTEURS ELECTRIQUES</v>
          </cell>
          <cell r="E73" t="str">
            <v>Approuvé</v>
          </cell>
          <cell r="F73" t="str">
            <v>K04131</v>
          </cell>
          <cell r="G73">
            <v>2</v>
          </cell>
          <cell r="H73" t="str">
            <v>Reprise</v>
          </cell>
          <cell r="I73" t="str">
            <v>REPRISE</v>
          </cell>
          <cell r="J73" t="str">
            <v>Budgété</v>
          </cell>
          <cell r="K73">
            <v>860682.71</v>
          </cell>
          <cell r="L73">
            <v>860682.71</v>
          </cell>
          <cell r="P73">
            <v>860682.71</v>
          </cell>
          <cell r="S73">
            <v>12920</v>
          </cell>
          <cell r="T73" t="str">
            <v>NABZAR AHMED</v>
          </cell>
          <cell r="U73" t="str">
            <v>Ordinaire</v>
          </cell>
          <cell r="V73" t="str">
            <v>Reprise</v>
          </cell>
          <cell r="W73" t="str">
            <v>Renouvellement</v>
          </cell>
          <cell r="X73" t="str">
            <v>Aucune</v>
          </cell>
          <cell r="Y73" t="str">
            <v>Prévu</v>
          </cell>
          <cell r="Z73" t="str">
            <v>Reprise</v>
          </cell>
        </row>
        <row r="74">
          <cell r="A74">
            <v>2794</v>
          </cell>
          <cell r="B74">
            <v>1</v>
          </cell>
          <cell r="C74" t="str">
            <v>IV20888</v>
          </cell>
          <cell r="D74" t="str">
            <v>ACHAT DES VARIATEURS DE VITESSE POUR MOTEURS DES POMPES A PULPE</v>
          </cell>
          <cell r="E74" t="str">
            <v>Approuvé</v>
          </cell>
          <cell r="F74" t="str">
            <v>K04241</v>
          </cell>
          <cell r="G74">
            <v>2</v>
          </cell>
          <cell r="H74" t="str">
            <v>Reprise</v>
          </cell>
          <cell r="I74" t="str">
            <v>REPRISE</v>
          </cell>
          <cell r="J74" t="str">
            <v>Budgété</v>
          </cell>
          <cell r="K74">
            <v>492000</v>
          </cell>
          <cell r="L74">
            <v>492000</v>
          </cell>
          <cell r="O74">
            <v>492000</v>
          </cell>
          <cell r="S74">
            <v>12921</v>
          </cell>
          <cell r="T74" t="str">
            <v>NABZAR AHMED</v>
          </cell>
          <cell r="U74" t="str">
            <v>Ordinaire</v>
          </cell>
          <cell r="V74" t="str">
            <v>Reprise</v>
          </cell>
          <cell r="W74" t="str">
            <v>Dotations nouvelles</v>
          </cell>
          <cell r="X74" t="str">
            <v>Aucune</v>
          </cell>
          <cell r="Y74" t="str">
            <v>Prévu</v>
          </cell>
          <cell r="Z74" t="str">
            <v>Reprise</v>
          </cell>
        </row>
        <row r="75">
          <cell r="A75">
            <v>2795</v>
          </cell>
          <cell r="B75">
            <v>1</v>
          </cell>
          <cell r="C75" t="str">
            <v>IV20893</v>
          </cell>
          <cell r="D75" t="str">
            <v>16 MOTEURS ELECTRIQUES</v>
          </cell>
          <cell r="E75" t="str">
            <v>Approuvé</v>
          </cell>
          <cell r="F75" t="str">
            <v>K04131</v>
          </cell>
          <cell r="G75">
            <v>2</v>
          </cell>
          <cell r="H75" t="str">
            <v>Reprise</v>
          </cell>
          <cell r="I75" t="str">
            <v>REPRISE</v>
          </cell>
          <cell r="J75" t="str">
            <v>Budgété</v>
          </cell>
          <cell r="K75">
            <v>172362.52</v>
          </cell>
          <cell r="L75">
            <v>172362.52</v>
          </cell>
          <cell r="P75">
            <v>172362.52</v>
          </cell>
          <cell r="S75">
            <v>12922</v>
          </cell>
          <cell r="T75" t="str">
            <v>NABZAR AHMED</v>
          </cell>
          <cell r="U75" t="str">
            <v>Ordinaire</v>
          </cell>
          <cell r="V75" t="str">
            <v>Reprise</v>
          </cell>
          <cell r="W75" t="str">
            <v>Renouvellement</v>
          </cell>
          <cell r="X75" t="str">
            <v>Aucune</v>
          </cell>
          <cell r="Y75" t="str">
            <v>Prévu</v>
          </cell>
          <cell r="Z75" t="str">
            <v>Reprise</v>
          </cell>
        </row>
        <row r="76">
          <cell r="A76">
            <v>2796</v>
          </cell>
          <cell r="B76">
            <v>1</v>
          </cell>
          <cell r="C76" t="str">
            <v>IV20894</v>
          </cell>
          <cell r="D76" t="str">
            <v>2 DESSICATEURS, 4 BALANCES ELECTRONIQUES, 1 ETUVE ET 1 CELLULE DE FLOTTATION</v>
          </cell>
          <cell r="E76" t="str">
            <v>Approuvé</v>
          </cell>
          <cell r="F76" t="str">
            <v>K04241</v>
          </cell>
          <cell r="G76">
            <v>2</v>
          </cell>
          <cell r="H76" t="str">
            <v>Reprise</v>
          </cell>
          <cell r="I76" t="str">
            <v>REPRISE</v>
          </cell>
          <cell r="J76" t="str">
            <v>Budgété</v>
          </cell>
          <cell r="K76">
            <v>391716.43</v>
          </cell>
          <cell r="L76">
            <v>391716.43</v>
          </cell>
          <cell r="P76">
            <v>391716.43</v>
          </cell>
          <cell r="S76">
            <v>12923</v>
          </cell>
          <cell r="T76" t="str">
            <v>NABZAR AHMED</v>
          </cell>
          <cell r="U76" t="str">
            <v>Ordinaire</v>
          </cell>
          <cell r="V76" t="str">
            <v>Reprise</v>
          </cell>
          <cell r="W76" t="str">
            <v>Dotations nouvelles</v>
          </cell>
          <cell r="X76" t="str">
            <v>Aucune</v>
          </cell>
          <cell r="Y76" t="str">
            <v>Prévu</v>
          </cell>
          <cell r="Z76" t="str">
            <v>Reprise</v>
          </cell>
        </row>
        <row r="77">
          <cell r="A77">
            <v>2797</v>
          </cell>
          <cell r="B77">
            <v>1</v>
          </cell>
          <cell r="C77" t="str">
            <v>IV20898</v>
          </cell>
          <cell r="D77" t="str">
            <v>ACHAT DE 03 CONVERTISSEURS DE FREQUENCE.</v>
          </cell>
          <cell r="E77" t="str">
            <v>Approuvé</v>
          </cell>
          <cell r="F77" t="str">
            <v>K04315</v>
          </cell>
          <cell r="G77">
            <v>2</v>
          </cell>
          <cell r="H77" t="str">
            <v>Reprise</v>
          </cell>
          <cell r="I77" t="str">
            <v>REPRISE</v>
          </cell>
          <cell r="J77" t="str">
            <v>Budgété</v>
          </cell>
          <cell r="K77">
            <v>400000</v>
          </cell>
          <cell r="L77">
            <v>400000</v>
          </cell>
          <cell r="O77">
            <v>400000</v>
          </cell>
          <cell r="S77">
            <v>12924</v>
          </cell>
          <cell r="T77" t="str">
            <v>NABZAR AHMED</v>
          </cell>
          <cell r="U77" t="str">
            <v>Ordinaire</v>
          </cell>
          <cell r="V77" t="str">
            <v>Reprise</v>
          </cell>
          <cell r="W77" t="str">
            <v>Dotations nouvelles</v>
          </cell>
          <cell r="X77" t="str">
            <v>Aucune</v>
          </cell>
          <cell r="Y77" t="str">
            <v>Prévu</v>
          </cell>
          <cell r="Z77" t="str">
            <v>Reprise</v>
          </cell>
        </row>
        <row r="78">
          <cell r="A78">
            <v>2798</v>
          </cell>
          <cell r="B78">
            <v>1</v>
          </cell>
          <cell r="C78" t="str">
            <v>IV20902</v>
          </cell>
          <cell r="D78" t="str">
            <v>ACHAT DES GROUPES MOTO-POMPES SUBMERSIBLES</v>
          </cell>
          <cell r="E78" t="str">
            <v>Approuvé</v>
          </cell>
          <cell r="F78" t="str">
            <v>K04241</v>
          </cell>
          <cell r="G78">
            <v>2</v>
          </cell>
          <cell r="H78" t="str">
            <v>Reprise</v>
          </cell>
          <cell r="I78" t="str">
            <v>REPRISE</v>
          </cell>
          <cell r="J78" t="str">
            <v>Budgété</v>
          </cell>
          <cell r="K78">
            <v>497000</v>
          </cell>
          <cell r="L78">
            <v>497000</v>
          </cell>
          <cell r="O78">
            <v>497000</v>
          </cell>
          <cell r="S78">
            <v>12925</v>
          </cell>
          <cell r="T78" t="str">
            <v>NABZAR AHMED</v>
          </cell>
          <cell r="U78" t="str">
            <v>Ordinaire</v>
          </cell>
          <cell r="V78" t="str">
            <v>Reprise</v>
          </cell>
          <cell r="W78" t="str">
            <v>Dotations nouvelles</v>
          </cell>
          <cell r="X78" t="str">
            <v>Aucune</v>
          </cell>
          <cell r="Y78" t="str">
            <v>Prévu</v>
          </cell>
          <cell r="Z78" t="str">
            <v>Reprise</v>
          </cell>
        </row>
        <row r="79">
          <cell r="A79">
            <v>2799</v>
          </cell>
          <cell r="B79">
            <v>1</v>
          </cell>
          <cell r="C79" t="str">
            <v>IV20904</v>
          </cell>
          <cell r="D79" t="str">
            <v>ACHAT DES POMPES HYDRAULIQUES POUR LES INSTALLATIONS DU COZ</v>
          </cell>
          <cell r="E79" t="str">
            <v>Approuvé</v>
          </cell>
          <cell r="F79" t="str">
            <v>K04315</v>
          </cell>
          <cell r="G79">
            <v>2</v>
          </cell>
          <cell r="H79" t="str">
            <v>Reprise</v>
          </cell>
          <cell r="I79" t="str">
            <v>REPRISE</v>
          </cell>
          <cell r="J79" t="str">
            <v>Budgété</v>
          </cell>
          <cell r="K79">
            <v>1101813.3700000001</v>
          </cell>
          <cell r="L79">
            <v>1101813.3700000001</v>
          </cell>
          <cell r="O79">
            <v>700000</v>
          </cell>
          <cell r="P79">
            <v>401813.37</v>
          </cell>
          <cell r="S79">
            <v>12926</v>
          </cell>
          <cell r="T79" t="str">
            <v>NABZAR AHMED</v>
          </cell>
          <cell r="U79" t="str">
            <v>Ordinaire</v>
          </cell>
          <cell r="V79" t="str">
            <v>Reprise</v>
          </cell>
          <cell r="W79" t="str">
            <v>Dotations nouvelles</v>
          </cell>
          <cell r="X79" t="str">
            <v>Aucune</v>
          </cell>
          <cell r="Y79" t="str">
            <v>Prévu</v>
          </cell>
          <cell r="Z79" t="str">
            <v>Reprise</v>
          </cell>
        </row>
        <row r="80">
          <cell r="A80">
            <v>2800</v>
          </cell>
          <cell r="B80">
            <v>1</v>
          </cell>
          <cell r="C80" t="str">
            <v>IV20908</v>
          </cell>
          <cell r="D80" t="str">
            <v>ACHAT DES EQUIPEMENTS INFORMATIQUES POUR LES AUTOMATES PROGRAMMABLES DU COZ</v>
          </cell>
          <cell r="E80" t="str">
            <v>Approuvé</v>
          </cell>
          <cell r="F80" t="str">
            <v>K04311</v>
          </cell>
          <cell r="G80">
            <v>2</v>
          </cell>
          <cell r="H80" t="str">
            <v>Reprise</v>
          </cell>
          <cell r="I80" t="str">
            <v>REPRISE</v>
          </cell>
          <cell r="J80" t="str">
            <v>Budgété</v>
          </cell>
          <cell r="K80">
            <v>150000</v>
          </cell>
          <cell r="L80">
            <v>150000</v>
          </cell>
          <cell r="O80">
            <v>150000</v>
          </cell>
          <cell r="S80">
            <v>12927</v>
          </cell>
          <cell r="T80" t="str">
            <v>BERRADA ACHRAF</v>
          </cell>
          <cell r="U80" t="str">
            <v>Ordinaire</v>
          </cell>
          <cell r="V80" t="str">
            <v>Reprise</v>
          </cell>
          <cell r="W80" t="str">
            <v>Dotations nouvelles</v>
          </cell>
          <cell r="X80" t="str">
            <v>Aucune</v>
          </cell>
          <cell r="Y80" t="str">
            <v>Prévu</v>
          </cell>
          <cell r="Z80" t="str">
            <v>Reprise</v>
          </cell>
        </row>
        <row r="81">
          <cell r="A81">
            <v>2801</v>
          </cell>
          <cell r="B81">
            <v>1</v>
          </cell>
          <cell r="C81" t="str">
            <v>IV20909</v>
          </cell>
          <cell r="D81" t="str">
            <v>1 ONDULEUR</v>
          </cell>
          <cell r="E81" t="str">
            <v>Approuvé</v>
          </cell>
          <cell r="F81" t="str">
            <v>K04241</v>
          </cell>
          <cell r="G81">
            <v>2</v>
          </cell>
          <cell r="H81" t="str">
            <v>Reprise</v>
          </cell>
          <cell r="I81" t="str">
            <v>REPRISE</v>
          </cell>
          <cell r="J81" t="str">
            <v>Budgété</v>
          </cell>
          <cell r="K81">
            <v>54000</v>
          </cell>
          <cell r="L81">
            <v>54000</v>
          </cell>
          <cell r="P81">
            <v>54000</v>
          </cell>
          <cell r="S81">
            <v>12928</v>
          </cell>
          <cell r="T81" t="str">
            <v>NABZAR AHMED</v>
          </cell>
          <cell r="U81" t="str">
            <v>Ordinaire</v>
          </cell>
          <cell r="V81" t="str">
            <v>Reprise</v>
          </cell>
          <cell r="W81" t="str">
            <v>Dotations nouvelles</v>
          </cell>
          <cell r="X81" t="str">
            <v>Aucune</v>
          </cell>
          <cell r="Y81" t="str">
            <v>Prévu</v>
          </cell>
          <cell r="Z81" t="str">
            <v>Reprise</v>
          </cell>
        </row>
        <row r="82">
          <cell r="A82">
            <v>2802</v>
          </cell>
          <cell r="B82">
            <v>1</v>
          </cell>
          <cell r="C82" t="str">
            <v>IV20916</v>
          </cell>
          <cell r="D82" t="str">
            <v>MATERIEL POUR LABORATOIRE DE LUBRIFIANTS</v>
          </cell>
          <cell r="E82" t="str">
            <v>Approuvé</v>
          </cell>
          <cell r="F82" t="str">
            <v>K11801</v>
          </cell>
          <cell r="G82">
            <v>3</v>
          </cell>
          <cell r="H82" t="str">
            <v>Reprise</v>
          </cell>
          <cell r="I82" t="str">
            <v>ANNULATION</v>
          </cell>
          <cell r="J82" t="str">
            <v>Budgété</v>
          </cell>
          <cell r="K82">
            <v>1319938.25</v>
          </cell>
          <cell r="L82">
            <v>1319938.25</v>
          </cell>
          <cell r="O82">
            <v>1025326.25</v>
          </cell>
          <cell r="P82">
            <v>294612</v>
          </cell>
          <cell r="S82">
            <v>21179</v>
          </cell>
          <cell r="T82" t="str">
            <v>NABZAR AHMED</v>
          </cell>
          <cell r="U82" t="str">
            <v>Ordinaire</v>
          </cell>
          <cell r="V82" t="str">
            <v>Reprise</v>
          </cell>
          <cell r="W82" t="str">
            <v>Dotations nouvelles</v>
          </cell>
          <cell r="X82" t="str">
            <v>Aucune</v>
          </cell>
          <cell r="Y82" t="str">
            <v>Prévu</v>
          </cell>
          <cell r="Z82" t="str">
            <v>Reprise</v>
          </cell>
        </row>
        <row r="83">
          <cell r="A83">
            <v>2803</v>
          </cell>
          <cell r="B83">
            <v>1</v>
          </cell>
          <cell r="C83" t="str">
            <v>IV20917</v>
          </cell>
          <cell r="D83" t="str">
            <v>1 AMBULANCE</v>
          </cell>
          <cell r="E83" t="str">
            <v>Approuvé</v>
          </cell>
          <cell r="F83" t="str">
            <v>K11634</v>
          </cell>
          <cell r="G83">
            <v>2</v>
          </cell>
          <cell r="H83" t="str">
            <v>Reprise</v>
          </cell>
          <cell r="I83" t="str">
            <v>REPRISE</v>
          </cell>
          <cell r="J83" t="str">
            <v>Budgété</v>
          </cell>
          <cell r="K83">
            <v>333604</v>
          </cell>
          <cell r="L83">
            <v>333604</v>
          </cell>
          <cell r="P83">
            <v>333604</v>
          </cell>
          <cell r="S83">
            <v>12934</v>
          </cell>
          <cell r="T83" t="str">
            <v>NABZAR AHMED</v>
          </cell>
          <cell r="U83" t="str">
            <v>Ordinaire</v>
          </cell>
          <cell r="V83" t="str">
            <v>Reprise</v>
          </cell>
          <cell r="W83" t="str">
            <v>Renouvellement</v>
          </cell>
          <cell r="X83" t="str">
            <v>Aucune</v>
          </cell>
          <cell r="Y83" t="str">
            <v>Prévu</v>
          </cell>
          <cell r="Z83" t="str">
            <v>Reprise</v>
          </cell>
        </row>
        <row r="84">
          <cell r="A84">
            <v>2804</v>
          </cell>
          <cell r="B84">
            <v>1</v>
          </cell>
          <cell r="C84" t="str">
            <v>IV20918</v>
          </cell>
          <cell r="D84" t="str">
            <v>TRAVAUX DE SURELEVATION DES LOCAUX DE PMK/LM/E</v>
          </cell>
          <cell r="E84" t="str">
            <v>Approuvé</v>
          </cell>
          <cell r="F84" t="str">
            <v>K11718</v>
          </cell>
          <cell r="G84">
            <v>2</v>
          </cell>
          <cell r="H84" t="str">
            <v>Reprise</v>
          </cell>
          <cell r="I84" t="str">
            <v>REPRISE</v>
          </cell>
          <cell r="J84" t="str">
            <v>Budgété</v>
          </cell>
          <cell r="K84">
            <v>950000</v>
          </cell>
          <cell r="L84">
            <v>950000</v>
          </cell>
          <cell r="O84">
            <v>950000</v>
          </cell>
          <cell r="S84">
            <v>14619</v>
          </cell>
          <cell r="T84" t="str">
            <v>NABZAR AHMED</v>
          </cell>
          <cell r="U84" t="str">
            <v>Ordinaire</v>
          </cell>
          <cell r="V84" t="str">
            <v>Reprise</v>
          </cell>
          <cell r="W84" t="str">
            <v>Dotations nouvelles</v>
          </cell>
          <cell r="X84" t="str">
            <v>Aucune</v>
          </cell>
          <cell r="Y84" t="str">
            <v>Prévu</v>
          </cell>
          <cell r="Z84" t="str">
            <v>Reprise</v>
          </cell>
        </row>
        <row r="85">
          <cell r="A85">
            <v>2805</v>
          </cell>
          <cell r="B85">
            <v>1</v>
          </cell>
          <cell r="C85" t="str">
            <v>IV20920</v>
          </cell>
          <cell r="D85" t="str">
            <v>CORRELATEUR ACOUSTIQUE COMPLET POUR DETECTION DES FUITES D'EAU POTABLE</v>
          </cell>
          <cell r="E85" t="str">
            <v>Approuvé</v>
          </cell>
          <cell r="F85" t="str">
            <v>K11700</v>
          </cell>
          <cell r="G85">
            <v>2</v>
          </cell>
          <cell r="H85" t="str">
            <v>Reprise</v>
          </cell>
          <cell r="I85" t="str">
            <v>REPRISE</v>
          </cell>
          <cell r="J85" t="str">
            <v>Budgété</v>
          </cell>
          <cell r="K85">
            <v>285865.2</v>
          </cell>
          <cell r="L85">
            <v>285865.2</v>
          </cell>
          <cell r="P85">
            <v>285865.2</v>
          </cell>
          <cell r="S85">
            <v>12937</v>
          </cell>
          <cell r="T85" t="str">
            <v>NABZAR AHMED</v>
          </cell>
          <cell r="U85" t="str">
            <v>Ordinaire</v>
          </cell>
          <cell r="V85" t="str">
            <v>Reprise</v>
          </cell>
          <cell r="W85" t="str">
            <v>Dotations nouvelles</v>
          </cell>
          <cell r="X85" t="str">
            <v>Aucune</v>
          </cell>
          <cell r="Y85" t="str">
            <v>Prévu</v>
          </cell>
          <cell r="Z85" t="str">
            <v>Reprise</v>
          </cell>
        </row>
        <row r="86">
          <cell r="A86">
            <v>2806</v>
          </cell>
          <cell r="B86">
            <v>1</v>
          </cell>
          <cell r="C86" t="str">
            <v>IV20922</v>
          </cell>
          <cell r="D86" t="str">
            <v>ACHAT D'OUTILLAGE D'ATELIERS</v>
          </cell>
          <cell r="E86" t="str">
            <v>Approuvé</v>
          </cell>
          <cell r="F86" t="str">
            <v>K11603</v>
          </cell>
          <cell r="G86">
            <v>2</v>
          </cell>
          <cell r="H86" t="str">
            <v>Reprise</v>
          </cell>
          <cell r="I86" t="str">
            <v>REPRISE</v>
          </cell>
          <cell r="J86" t="str">
            <v>Budgété</v>
          </cell>
          <cell r="K86">
            <v>329611.71999999997</v>
          </cell>
          <cell r="L86">
            <v>329611.71999999997</v>
          </cell>
          <cell r="O86">
            <v>100000</v>
          </cell>
          <cell r="P86">
            <v>229611.72</v>
          </cell>
          <cell r="S86">
            <v>12939</v>
          </cell>
          <cell r="T86" t="str">
            <v>NABZAR AHMED</v>
          </cell>
          <cell r="U86" t="str">
            <v>Ordinaire</v>
          </cell>
          <cell r="V86" t="str">
            <v>Reprise</v>
          </cell>
          <cell r="W86" t="str">
            <v>Dotations nouvelles</v>
          </cell>
          <cell r="X86" t="str">
            <v>Aucune</v>
          </cell>
          <cell r="Y86" t="str">
            <v>Prévu</v>
          </cell>
          <cell r="Z86" t="str">
            <v>Reprise</v>
          </cell>
        </row>
        <row r="87">
          <cell r="A87">
            <v>2807</v>
          </cell>
          <cell r="B87">
            <v>1</v>
          </cell>
          <cell r="C87" t="str">
            <v>IV20931</v>
          </cell>
          <cell r="D87" t="str">
            <v>28 EXTINCTEURS</v>
          </cell>
          <cell r="E87" t="str">
            <v>Approuvé</v>
          </cell>
          <cell r="F87" t="str">
            <v>K11608</v>
          </cell>
          <cell r="G87">
            <v>2</v>
          </cell>
          <cell r="H87" t="str">
            <v>Reprise</v>
          </cell>
          <cell r="I87" t="str">
            <v>REPRISE</v>
          </cell>
          <cell r="J87" t="str">
            <v>Budgété</v>
          </cell>
          <cell r="K87">
            <v>71280</v>
          </cell>
          <cell r="L87">
            <v>71280</v>
          </cell>
          <cell r="P87">
            <v>71280</v>
          </cell>
          <cell r="S87">
            <v>12943</v>
          </cell>
          <cell r="T87" t="str">
            <v>NABZAR AHMED</v>
          </cell>
          <cell r="U87" t="str">
            <v>Ordinaire</v>
          </cell>
          <cell r="V87" t="str">
            <v>Reprise</v>
          </cell>
          <cell r="W87" t="str">
            <v>Renouvellement</v>
          </cell>
          <cell r="X87" t="str">
            <v>Aucune</v>
          </cell>
          <cell r="Y87" t="str">
            <v>Prévu</v>
          </cell>
          <cell r="Z87" t="str">
            <v>Reprise</v>
          </cell>
        </row>
        <row r="88">
          <cell r="A88">
            <v>2808</v>
          </cell>
          <cell r="B88">
            <v>1</v>
          </cell>
          <cell r="C88" t="str">
            <v>IV20933</v>
          </cell>
          <cell r="D88" t="str">
            <v>MATERIEL POUR LABORATOIRE DES BANDES</v>
          </cell>
          <cell r="E88" t="str">
            <v>Approuvé</v>
          </cell>
          <cell r="F88" t="str">
            <v>K11800</v>
          </cell>
          <cell r="G88">
            <v>2</v>
          </cell>
          <cell r="H88" t="str">
            <v>Reprise</v>
          </cell>
          <cell r="I88" t="str">
            <v>REPRISE</v>
          </cell>
          <cell r="J88" t="str">
            <v>Budgété</v>
          </cell>
          <cell r="K88">
            <v>320423.71999999997</v>
          </cell>
          <cell r="L88">
            <v>320423.71999999997</v>
          </cell>
          <cell r="O88">
            <v>210000</v>
          </cell>
          <cell r="P88">
            <v>110423.72</v>
          </cell>
          <cell r="S88">
            <v>12945</v>
          </cell>
          <cell r="T88" t="str">
            <v>NABZAR AHMED</v>
          </cell>
          <cell r="U88" t="str">
            <v>Ordinaire</v>
          </cell>
          <cell r="V88" t="str">
            <v>Reprise</v>
          </cell>
          <cell r="W88" t="str">
            <v>Dotations nouvelles</v>
          </cell>
          <cell r="X88" t="str">
            <v>Aucune</v>
          </cell>
          <cell r="Y88" t="str">
            <v>Prévu</v>
          </cell>
          <cell r="Z88" t="str">
            <v>Reprise</v>
          </cell>
        </row>
        <row r="89">
          <cell r="A89">
            <v>2809</v>
          </cell>
          <cell r="B89">
            <v>1</v>
          </cell>
          <cell r="C89" t="str">
            <v>IV20939</v>
          </cell>
          <cell r="D89" t="str">
            <v>1 APPAREIL CAMESCOPE NUMERIQUE</v>
          </cell>
          <cell r="E89" t="str">
            <v>Approuvé</v>
          </cell>
          <cell r="F89" t="str">
            <v>K11608</v>
          </cell>
          <cell r="G89">
            <v>2</v>
          </cell>
          <cell r="H89" t="str">
            <v>Reprise</v>
          </cell>
          <cell r="I89" t="str">
            <v>REPRISE</v>
          </cell>
          <cell r="J89" t="str">
            <v>Budgété</v>
          </cell>
          <cell r="K89">
            <v>40046</v>
          </cell>
          <cell r="L89">
            <v>40046</v>
          </cell>
          <cell r="O89">
            <v>20000</v>
          </cell>
          <cell r="P89">
            <v>20046</v>
          </cell>
          <cell r="S89">
            <v>12947</v>
          </cell>
          <cell r="T89" t="str">
            <v>NABZAR AHMED</v>
          </cell>
          <cell r="U89" t="str">
            <v>Ordinaire</v>
          </cell>
          <cell r="V89" t="str">
            <v>Reprise</v>
          </cell>
          <cell r="W89" t="str">
            <v>Dotations nouvelles</v>
          </cell>
          <cell r="X89" t="str">
            <v>Aucune</v>
          </cell>
          <cell r="Y89" t="str">
            <v>Prévu</v>
          </cell>
          <cell r="Z89" t="str">
            <v>Reprise</v>
          </cell>
        </row>
        <row r="90">
          <cell r="A90">
            <v>2810</v>
          </cell>
          <cell r="B90">
            <v>1</v>
          </cell>
          <cell r="C90" t="str">
            <v>IV20941</v>
          </cell>
          <cell r="D90" t="str">
            <v>3 BICYCLETTES</v>
          </cell>
          <cell r="E90" t="str">
            <v>Approuvé</v>
          </cell>
          <cell r="F90" t="str">
            <v>K11608</v>
          </cell>
          <cell r="G90">
            <v>2</v>
          </cell>
          <cell r="H90" t="str">
            <v>Reprise</v>
          </cell>
          <cell r="I90" t="str">
            <v>REPRISE</v>
          </cell>
          <cell r="J90" t="str">
            <v>Budgété</v>
          </cell>
          <cell r="K90">
            <v>10350</v>
          </cell>
          <cell r="L90">
            <v>10350</v>
          </cell>
          <cell r="O90">
            <v>6000</v>
          </cell>
          <cell r="P90">
            <v>4350</v>
          </cell>
          <cell r="S90">
            <v>12949</v>
          </cell>
          <cell r="T90" t="str">
            <v>NABZAR AHMED</v>
          </cell>
          <cell r="U90" t="str">
            <v>Ordinaire</v>
          </cell>
          <cell r="V90" t="str">
            <v>Reprise</v>
          </cell>
          <cell r="W90" t="str">
            <v>Renouvellement</v>
          </cell>
          <cell r="X90" t="str">
            <v>Aucune</v>
          </cell>
          <cell r="Y90" t="str">
            <v>Prévu</v>
          </cell>
          <cell r="Z90" t="str">
            <v>Reprise</v>
          </cell>
        </row>
        <row r="91">
          <cell r="A91">
            <v>2811</v>
          </cell>
          <cell r="B91">
            <v>1</v>
          </cell>
          <cell r="C91" t="str">
            <v>IV22078</v>
          </cell>
          <cell r="D91" t="str">
            <v>ACHAT MATERIEL POUR LABORATOIRE DES BANDES</v>
          </cell>
          <cell r="E91" t="str">
            <v>Approuvé</v>
          </cell>
          <cell r="F91" t="str">
            <v>K11800</v>
          </cell>
          <cell r="G91">
            <v>2</v>
          </cell>
          <cell r="H91" t="str">
            <v>Reprise</v>
          </cell>
          <cell r="I91" t="str">
            <v>REPRISE</v>
          </cell>
          <cell r="J91" t="str">
            <v>Budgété</v>
          </cell>
          <cell r="K91">
            <v>620000</v>
          </cell>
          <cell r="L91">
            <v>620000</v>
          </cell>
          <cell r="O91">
            <v>620000</v>
          </cell>
          <cell r="S91">
            <v>12952</v>
          </cell>
          <cell r="T91" t="str">
            <v>NABZAR AHMED</v>
          </cell>
          <cell r="U91" t="str">
            <v>Ordinaire</v>
          </cell>
          <cell r="V91" t="str">
            <v>Reprise</v>
          </cell>
          <cell r="W91" t="str">
            <v>Dotations nouvelles</v>
          </cell>
          <cell r="X91" t="str">
            <v>Aucune</v>
          </cell>
          <cell r="Y91" t="str">
            <v>Prévu</v>
          </cell>
          <cell r="Z91" t="str">
            <v>Reprise</v>
          </cell>
        </row>
        <row r="92">
          <cell r="A92">
            <v>2812</v>
          </cell>
          <cell r="B92">
            <v>1</v>
          </cell>
          <cell r="C92" t="str">
            <v>IV22079</v>
          </cell>
          <cell r="D92" t="str">
            <v>ACHAT MATERIEL POU LE LABORATOIRE DES LUBRIFIANTS</v>
          </cell>
          <cell r="E92" t="str">
            <v>Approuvé</v>
          </cell>
          <cell r="F92" t="str">
            <v>K11801</v>
          </cell>
          <cell r="G92">
            <v>2</v>
          </cell>
          <cell r="H92" t="str">
            <v>Reprise</v>
          </cell>
          <cell r="I92" t="str">
            <v>REPRISE</v>
          </cell>
          <cell r="J92" t="str">
            <v>Budgété</v>
          </cell>
          <cell r="K92">
            <v>525000</v>
          </cell>
          <cell r="L92">
            <v>525000</v>
          </cell>
          <cell r="O92">
            <v>425000</v>
          </cell>
          <cell r="P92">
            <v>100000</v>
          </cell>
          <cell r="S92">
            <v>12955</v>
          </cell>
          <cell r="T92" t="str">
            <v>NABZAR AHMED</v>
          </cell>
          <cell r="U92" t="str">
            <v>Ordinaire</v>
          </cell>
          <cell r="V92" t="str">
            <v>Reprise</v>
          </cell>
          <cell r="W92" t="str">
            <v>Dotations nouvelles</v>
          </cell>
          <cell r="X92" t="str">
            <v>Aucune</v>
          </cell>
          <cell r="Y92" t="str">
            <v>Prévu</v>
          </cell>
          <cell r="Z92" t="str">
            <v>Reprise</v>
          </cell>
        </row>
        <row r="93">
          <cell r="A93">
            <v>2813</v>
          </cell>
          <cell r="B93">
            <v>1</v>
          </cell>
          <cell r="C93" t="str">
            <v>IV22082</v>
          </cell>
          <cell r="D93" t="str">
            <v>ACHT DE 10 ASPIRATEUR DE FUMEES</v>
          </cell>
          <cell r="E93" t="str">
            <v>Approuvé</v>
          </cell>
          <cell r="F93" t="str">
            <v>K11604</v>
          </cell>
          <cell r="G93">
            <v>2</v>
          </cell>
          <cell r="H93" t="str">
            <v>Reprise</v>
          </cell>
          <cell r="I93" t="str">
            <v>REPRISE</v>
          </cell>
          <cell r="J93" t="str">
            <v>Budgété</v>
          </cell>
          <cell r="K93">
            <v>400000</v>
          </cell>
          <cell r="L93">
            <v>400000</v>
          </cell>
          <cell r="O93">
            <v>400000</v>
          </cell>
          <cell r="S93">
            <v>12958</v>
          </cell>
          <cell r="T93" t="str">
            <v>NABZAR AHMED</v>
          </cell>
          <cell r="U93" t="str">
            <v>Ordinaire</v>
          </cell>
          <cell r="V93" t="str">
            <v>Reprise</v>
          </cell>
          <cell r="W93" t="str">
            <v>Dotations nouvelles</v>
          </cell>
          <cell r="X93" t="str">
            <v>Aucune</v>
          </cell>
          <cell r="Y93" t="str">
            <v>Prévu</v>
          </cell>
          <cell r="Z93" t="str">
            <v>Reprise</v>
          </cell>
        </row>
        <row r="94">
          <cell r="A94">
            <v>2814</v>
          </cell>
          <cell r="B94">
            <v>1</v>
          </cell>
          <cell r="C94" t="str">
            <v>IV22083</v>
          </cell>
          <cell r="D94" t="str">
            <v>RENOUVELLEMENT MACHINE D'OXYCOUPAGE</v>
          </cell>
          <cell r="E94" t="str">
            <v>Approuvé</v>
          </cell>
          <cell r="F94" t="str">
            <v>K11604</v>
          </cell>
          <cell r="G94">
            <v>2</v>
          </cell>
          <cell r="H94" t="str">
            <v>Reprise</v>
          </cell>
          <cell r="I94" t="str">
            <v>REPRISE</v>
          </cell>
          <cell r="J94" t="str">
            <v>Budgété</v>
          </cell>
          <cell r="K94">
            <v>2745000</v>
          </cell>
          <cell r="L94">
            <v>2745000</v>
          </cell>
          <cell r="O94">
            <v>1600000</v>
          </cell>
          <cell r="P94">
            <v>1145000</v>
          </cell>
          <cell r="S94">
            <v>12475</v>
          </cell>
          <cell r="T94" t="str">
            <v>NABZAR AHMED</v>
          </cell>
          <cell r="U94" t="str">
            <v>Ordinaire</v>
          </cell>
          <cell r="V94" t="str">
            <v>Reprise</v>
          </cell>
          <cell r="W94" t="str">
            <v>Renouvellement</v>
          </cell>
          <cell r="X94" t="str">
            <v>Aucune</v>
          </cell>
          <cell r="Y94" t="str">
            <v>Prévu</v>
          </cell>
          <cell r="Z94" t="str">
            <v>Reprise</v>
          </cell>
        </row>
        <row r="95">
          <cell r="A95">
            <v>2815</v>
          </cell>
          <cell r="B95">
            <v>1</v>
          </cell>
          <cell r="C95" t="str">
            <v>IV22084</v>
          </cell>
          <cell r="D95" t="str">
            <v>RENOUVELLEMENT D'UN COMPRESSEUR D'AIR</v>
          </cell>
          <cell r="E95" t="str">
            <v>Approuvé</v>
          </cell>
          <cell r="F95" t="str">
            <v>K11608</v>
          </cell>
          <cell r="G95">
            <v>2</v>
          </cell>
          <cell r="H95" t="str">
            <v>Reprise</v>
          </cell>
          <cell r="I95" t="str">
            <v>REPRISE</v>
          </cell>
          <cell r="J95" t="str">
            <v>Budgété</v>
          </cell>
          <cell r="K95">
            <v>234000</v>
          </cell>
          <cell r="L95">
            <v>234000</v>
          </cell>
          <cell r="P95">
            <v>234000</v>
          </cell>
          <cell r="S95">
            <v>12478</v>
          </cell>
          <cell r="T95" t="str">
            <v>NABZAR AHMED</v>
          </cell>
          <cell r="U95" t="str">
            <v>Ordinaire</v>
          </cell>
          <cell r="V95" t="str">
            <v>Reprise</v>
          </cell>
          <cell r="W95" t="str">
            <v>Renouvellement</v>
          </cell>
          <cell r="X95" t="str">
            <v>Aucune</v>
          </cell>
          <cell r="Y95" t="str">
            <v>Prévu</v>
          </cell>
          <cell r="Z95" t="str">
            <v>Reprise</v>
          </cell>
        </row>
        <row r="96">
          <cell r="A96">
            <v>2816</v>
          </cell>
          <cell r="B96">
            <v>1</v>
          </cell>
          <cell r="C96" t="str">
            <v>IV22085</v>
          </cell>
          <cell r="D96" t="str">
            <v>RENOUVELLEMENT D'UNE AMBULANCE</v>
          </cell>
          <cell r="E96" t="str">
            <v>Approuvé</v>
          </cell>
          <cell r="F96" t="str">
            <v>K11634</v>
          </cell>
          <cell r="G96">
            <v>2</v>
          </cell>
          <cell r="H96" t="str">
            <v>Reprise</v>
          </cell>
          <cell r="I96" t="str">
            <v>REPRISE</v>
          </cell>
          <cell r="J96" t="str">
            <v>Budgété</v>
          </cell>
          <cell r="K96">
            <v>433604</v>
          </cell>
          <cell r="L96">
            <v>433604</v>
          </cell>
          <cell r="O96">
            <v>100000</v>
          </cell>
          <cell r="P96">
            <v>333604</v>
          </cell>
          <cell r="S96">
            <v>12482</v>
          </cell>
          <cell r="T96" t="str">
            <v>NABZAR AHMED</v>
          </cell>
          <cell r="U96" t="str">
            <v>Ordinaire</v>
          </cell>
          <cell r="V96" t="str">
            <v>Reprise</v>
          </cell>
          <cell r="W96" t="str">
            <v>Renouvellement</v>
          </cell>
          <cell r="X96" t="str">
            <v>Aucune</v>
          </cell>
          <cell r="Y96" t="str">
            <v>Prévu</v>
          </cell>
          <cell r="Z96" t="str">
            <v>Reprise</v>
          </cell>
        </row>
        <row r="97">
          <cell r="A97">
            <v>2817</v>
          </cell>
          <cell r="B97">
            <v>1</v>
          </cell>
          <cell r="C97" t="str">
            <v>IV22090</v>
          </cell>
          <cell r="D97" t="str">
            <v>RENOUVELLEMENT MOTO COMPRESSEUR</v>
          </cell>
          <cell r="E97" t="str">
            <v>Approuvé</v>
          </cell>
          <cell r="F97" t="str">
            <v>K11700</v>
          </cell>
          <cell r="G97">
            <v>2</v>
          </cell>
          <cell r="H97" t="str">
            <v>Reprise</v>
          </cell>
          <cell r="I97" t="str">
            <v>REPRISE</v>
          </cell>
          <cell r="J97" t="str">
            <v>Budgété</v>
          </cell>
          <cell r="K97">
            <v>592560</v>
          </cell>
          <cell r="L97">
            <v>592560</v>
          </cell>
          <cell r="O97">
            <v>480000</v>
          </cell>
          <cell r="P97">
            <v>112560</v>
          </cell>
          <cell r="S97">
            <v>11067</v>
          </cell>
          <cell r="T97" t="str">
            <v>NABZAR AHMED</v>
          </cell>
          <cell r="U97" t="str">
            <v>Ordinaire</v>
          </cell>
          <cell r="V97" t="str">
            <v>Reprise</v>
          </cell>
          <cell r="W97" t="str">
            <v>Renouvellement</v>
          </cell>
          <cell r="X97" t="str">
            <v>Aucune</v>
          </cell>
          <cell r="Y97" t="str">
            <v>Prévu</v>
          </cell>
          <cell r="Z97" t="str">
            <v>Reprise</v>
          </cell>
        </row>
        <row r="98">
          <cell r="A98">
            <v>2818</v>
          </cell>
          <cell r="B98">
            <v>1</v>
          </cell>
          <cell r="C98" t="str">
            <v>IV22091</v>
          </cell>
          <cell r="D98" t="str">
            <v>RENOUVELLEMENT GROUPES ELECTROPOMPES</v>
          </cell>
          <cell r="E98" t="str">
            <v>Approuvé</v>
          </cell>
          <cell r="F98" t="str">
            <v>K11701</v>
          </cell>
          <cell r="G98">
            <v>2</v>
          </cell>
          <cell r="H98" t="str">
            <v>Reprise</v>
          </cell>
          <cell r="I98" t="str">
            <v>REPRISE</v>
          </cell>
          <cell r="J98" t="str">
            <v>Budgété</v>
          </cell>
          <cell r="K98">
            <v>868291.63</v>
          </cell>
          <cell r="L98">
            <v>868291.63</v>
          </cell>
          <cell r="O98">
            <v>600000</v>
          </cell>
          <cell r="P98">
            <v>268291.63</v>
          </cell>
          <cell r="S98">
            <v>12486</v>
          </cell>
          <cell r="T98" t="str">
            <v>NABZAR AHMED</v>
          </cell>
          <cell r="U98" t="str">
            <v>Ordinaire</v>
          </cell>
          <cell r="V98" t="str">
            <v>Reprise</v>
          </cell>
          <cell r="W98" t="str">
            <v>Renouvellement</v>
          </cell>
          <cell r="X98" t="str">
            <v>Aucune</v>
          </cell>
          <cell r="Y98" t="str">
            <v>Prévu</v>
          </cell>
          <cell r="Z98" t="str">
            <v>Reprise</v>
          </cell>
        </row>
        <row r="99">
          <cell r="A99">
            <v>2819</v>
          </cell>
          <cell r="B99">
            <v>1</v>
          </cell>
          <cell r="C99" t="str">
            <v>IV22093</v>
          </cell>
          <cell r="D99" t="str">
            <v>DEVIATION DE LA CONDUITE DE REFOULEMENT DU FORAGE F1T VERS LA STATION PRINCIPALE F.B.S.</v>
          </cell>
          <cell r="E99" t="str">
            <v>Approuvé</v>
          </cell>
          <cell r="F99" t="str">
            <v>K11700</v>
          </cell>
          <cell r="G99">
            <v>2</v>
          </cell>
          <cell r="H99" t="str">
            <v>Reprise</v>
          </cell>
          <cell r="I99" t="str">
            <v>REPRISE</v>
          </cell>
          <cell r="J99" t="str">
            <v>Budgété</v>
          </cell>
          <cell r="K99">
            <v>7000000</v>
          </cell>
          <cell r="L99">
            <v>7000000</v>
          </cell>
          <cell r="O99">
            <v>7000000</v>
          </cell>
          <cell r="S99">
            <v>12490</v>
          </cell>
          <cell r="T99" t="str">
            <v>NABZAR AHMED</v>
          </cell>
          <cell r="U99" t="str">
            <v>Ordinaire</v>
          </cell>
          <cell r="V99" t="str">
            <v>Reprise</v>
          </cell>
          <cell r="W99" t="str">
            <v>Dotations nouvelles</v>
          </cell>
          <cell r="X99" t="str">
            <v>Aucune</v>
          </cell>
          <cell r="Y99" t="str">
            <v>Prévu</v>
          </cell>
          <cell r="Z99" t="str">
            <v>Reprise</v>
          </cell>
        </row>
        <row r="100">
          <cell r="A100">
            <v>2820</v>
          </cell>
          <cell r="B100">
            <v>1</v>
          </cell>
          <cell r="C100" t="str">
            <v>IV22094</v>
          </cell>
          <cell r="D100" t="str">
            <v>RENOUVELLEMENT DE DEUX GROUPES ELECTROGENES</v>
          </cell>
          <cell r="E100" t="str">
            <v>Approuvé</v>
          </cell>
          <cell r="F100" t="str">
            <v>K11706</v>
          </cell>
          <cell r="G100">
            <v>2</v>
          </cell>
          <cell r="H100" t="str">
            <v>Reprise</v>
          </cell>
          <cell r="I100" t="str">
            <v>REPRISE</v>
          </cell>
          <cell r="J100" t="str">
            <v>Budgété</v>
          </cell>
          <cell r="K100">
            <v>154200</v>
          </cell>
          <cell r="L100">
            <v>154200</v>
          </cell>
          <cell r="P100">
            <v>154200</v>
          </cell>
          <cell r="S100">
            <v>12493</v>
          </cell>
          <cell r="T100" t="str">
            <v>NABZAR AHMED</v>
          </cell>
          <cell r="U100" t="str">
            <v>Ordinaire</v>
          </cell>
          <cell r="V100" t="str">
            <v>Reprise</v>
          </cell>
          <cell r="W100" t="str">
            <v>Renouvellement</v>
          </cell>
          <cell r="X100" t="str">
            <v>Aucune</v>
          </cell>
          <cell r="Y100" t="str">
            <v>Prévu</v>
          </cell>
          <cell r="Z100" t="str">
            <v>Reprise</v>
          </cell>
        </row>
        <row r="101">
          <cell r="A101">
            <v>2821</v>
          </cell>
          <cell r="B101">
            <v>1</v>
          </cell>
          <cell r="C101" t="str">
            <v>IV22095</v>
          </cell>
          <cell r="D101" t="str">
            <v>ACQUISITION D'UNE VALISE D'INJECTION DE COURANT</v>
          </cell>
          <cell r="E101" t="str">
            <v>Approuvé</v>
          </cell>
          <cell r="F101" t="str">
            <v>K11706</v>
          </cell>
          <cell r="G101">
            <v>2</v>
          </cell>
          <cell r="H101" t="str">
            <v>Reprise</v>
          </cell>
          <cell r="I101" t="str">
            <v>REPRISE</v>
          </cell>
          <cell r="J101" t="str">
            <v>Budgété</v>
          </cell>
          <cell r="K101">
            <v>480000</v>
          </cell>
          <cell r="L101">
            <v>480000</v>
          </cell>
          <cell r="O101">
            <v>480000</v>
          </cell>
          <cell r="S101">
            <v>12502</v>
          </cell>
          <cell r="T101" t="str">
            <v>NABZAR AHMED</v>
          </cell>
          <cell r="U101" t="str">
            <v>Ordinaire</v>
          </cell>
          <cell r="V101" t="str">
            <v>Reprise</v>
          </cell>
          <cell r="W101" t="str">
            <v>Dotations nouvelles</v>
          </cell>
          <cell r="X101" t="str">
            <v>Aucune</v>
          </cell>
          <cell r="Y101" t="str">
            <v>Prévu</v>
          </cell>
          <cell r="Z101" t="str">
            <v>Reprise</v>
          </cell>
        </row>
        <row r="102">
          <cell r="A102">
            <v>2822</v>
          </cell>
          <cell r="B102">
            <v>1</v>
          </cell>
          <cell r="C102" t="str">
            <v>IV22096</v>
          </cell>
          <cell r="D102" t="str">
            <v>ACHAT DE  10 REFRIGERATEURS</v>
          </cell>
          <cell r="E102" t="str">
            <v>Approuvé</v>
          </cell>
          <cell r="F102" t="str">
            <v>K11701</v>
          </cell>
          <cell r="G102">
            <v>2</v>
          </cell>
          <cell r="H102" t="str">
            <v>Reprise</v>
          </cell>
          <cell r="I102" t="str">
            <v>REPRISE</v>
          </cell>
          <cell r="J102" t="str">
            <v>Budgété</v>
          </cell>
          <cell r="K102">
            <v>24836.400000000001</v>
          </cell>
          <cell r="L102">
            <v>24836.400000000001</v>
          </cell>
          <cell r="P102">
            <v>24836.400000000001</v>
          </cell>
          <cell r="S102">
            <v>12505</v>
          </cell>
          <cell r="T102" t="str">
            <v>NABZAR AHMED</v>
          </cell>
          <cell r="U102" t="str">
            <v>Ordinaire</v>
          </cell>
          <cell r="V102" t="str">
            <v>Reprise</v>
          </cell>
          <cell r="W102" t="str">
            <v>Dotations nouvelles</v>
          </cell>
          <cell r="X102" t="str">
            <v>Aucune</v>
          </cell>
          <cell r="Y102" t="str">
            <v>Prévu</v>
          </cell>
          <cell r="Z102" t="str">
            <v>Reprise</v>
          </cell>
        </row>
        <row r="103">
          <cell r="A103">
            <v>2823</v>
          </cell>
          <cell r="B103">
            <v>1</v>
          </cell>
          <cell r="C103" t="str">
            <v>IV22097</v>
          </cell>
          <cell r="D103" t="str">
            <v>ACQUISITION DE 6 COMBINES DE MESURE</v>
          </cell>
          <cell r="E103" t="str">
            <v>Approuvé</v>
          </cell>
          <cell r="F103" t="str">
            <v>K11706</v>
          </cell>
          <cell r="G103">
            <v>2</v>
          </cell>
          <cell r="H103" t="str">
            <v>Reprise</v>
          </cell>
          <cell r="I103" t="str">
            <v>REPRISE</v>
          </cell>
          <cell r="J103" t="str">
            <v>Budgété</v>
          </cell>
          <cell r="K103">
            <v>420000</v>
          </cell>
          <cell r="L103">
            <v>420000</v>
          </cell>
          <cell r="O103">
            <v>420000</v>
          </cell>
          <cell r="S103">
            <v>12510</v>
          </cell>
          <cell r="T103" t="str">
            <v>NABZAR AHMED</v>
          </cell>
          <cell r="U103" t="str">
            <v>Ordinaire</v>
          </cell>
          <cell r="V103" t="str">
            <v>Reprise</v>
          </cell>
          <cell r="W103" t="str">
            <v>Dotations nouvelles</v>
          </cell>
          <cell r="X103" t="str">
            <v>Aucune</v>
          </cell>
          <cell r="Y103" t="str">
            <v>Prévu</v>
          </cell>
          <cell r="Z103" t="str">
            <v>Reprise</v>
          </cell>
        </row>
        <row r="104">
          <cell r="A104">
            <v>2824</v>
          </cell>
          <cell r="B104">
            <v>1</v>
          </cell>
          <cell r="C104" t="str">
            <v>IV22099</v>
          </cell>
          <cell r="D104" t="str">
            <v>RENOUVELLEMENT DE 34 KM DE CABLE TELEPHONIQUE RELIANT LES SITES ELOIGNES</v>
          </cell>
          <cell r="E104" t="str">
            <v>Approuvé</v>
          </cell>
          <cell r="F104" t="str">
            <v>K11703</v>
          </cell>
          <cell r="G104">
            <v>2</v>
          </cell>
          <cell r="H104" t="str">
            <v>Reprise</v>
          </cell>
          <cell r="I104" t="str">
            <v>REPRISE</v>
          </cell>
          <cell r="J104" t="str">
            <v>Budgété</v>
          </cell>
          <cell r="K104">
            <v>3000000</v>
          </cell>
          <cell r="L104">
            <v>3000000</v>
          </cell>
          <cell r="O104">
            <v>3000000</v>
          </cell>
          <cell r="S104">
            <v>12513</v>
          </cell>
          <cell r="T104" t="str">
            <v>NABZAR AHMED</v>
          </cell>
          <cell r="U104" t="str">
            <v>Ordinaire</v>
          </cell>
          <cell r="V104" t="str">
            <v>Reprise</v>
          </cell>
          <cell r="W104" t="str">
            <v>Renouvellement</v>
          </cell>
          <cell r="X104" t="str">
            <v>Aucune</v>
          </cell>
          <cell r="Y104" t="str">
            <v>Prévu</v>
          </cell>
          <cell r="Z104" t="str">
            <v>Reprise</v>
          </cell>
        </row>
        <row r="105">
          <cell r="A105">
            <v>2825</v>
          </cell>
          <cell r="B105">
            <v>1</v>
          </cell>
          <cell r="C105" t="str">
            <v>IV22103</v>
          </cell>
          <cell r="D105" t="str">
            <v>RENOUVELLEMENT DE DEUX CHARGEURES DE BATTERIES 120 VCC POUR LES STATIONS RELAIS ET F.B.S.</v>
          </cell>
          <cell r="E105" t="str">
            <v>Approuvé</v>
          </cell>
          <cell r="F105" t="str">
            <v>K11701</v>
          </cell>
          <cell r="G105">
            <v>2</v>
          </cell>
          <cell r="H105" t="str">
            <v>Reprise</v>
          </cell>
          <cell r="I105" t="str">
            <v>REPRISE</v>
          </cell>
          <cell r="J105" t="str">
            <v>Budgété</v>
          </cell>
          <cell r="K105">
            <v>288960</v>
          </cell>
          <cell r="L105">
            <v>288960</v>
          </cell>
          <cell r="P105">
            <v>288960</v>
          </cell>
          <cell r="S105">
            <v>12515</v>
          </cell>
          <cell r="T105" t="str">
            <v>NABZAR AHMED</v>
          </cell>
          <cell r="U105" t="str">
            <v>Ordinaire</v>
          </cell>
          <cell r="V105" t="str">
            <v>Reprise</v>
          </cell>
          <cell r="W105" t="str">
            <v>Renouvellement</v>
          </cell>
          <cell r="X105" t="str">
            <v>Aucune</v>
          </cell>
          <cell r="Y105" t="str">
            <v>Prévu</v>
          </cell>
          <cell r="Z105" t="str">
            <v>Reprise</v>
          </cell>
        </row>
        <row r="106">
          <cell r="A106">
            <v>2826</v>
          </cell>
          <cell r="B106">
            <v>1</v>
          </cell>
          <cell r="C106" t="str">
            <v>IV22104</v>
          </cell>
          <cell r="D106" t="str">
            <v>ACQUISITION D'UNE STATION DE BASE ET 10 POSTES  E/R PORTABLES POUR LE RESEAU RADIO 15/150-164-160 MHZ</v>
          </cell>
          <cell r="E106" t="str">
            <v>Approuvé</v>
          </cell>
          <cell r="F106" t="str">
            <v>K11718</v>
          </cell>
          <cell r="G106">
            <v>2</v>
          </cell>
          <cell r="H106" t="str">
            <v>Reprise</v>
          </cell>
          <cell r="I106" t="str">
            <v>REPRISE</v>
          </cell>
          <cell r="J106" t="str">
            <v>Budgété</v>
          </cell>
          <cell r="K106">
            <v>363716</v>
          </cell>
          <cell r="L106">
            <v>363716</v>
          </cell>
          <cell r="O106">
            <v>245000</v>
          </cell>
          <cell r="P106">
            <v>118716</v>
          </cell>
          <cell r="S106">
            <v>12518</v>
          </cell>
          <cell r="T106" t="str">
            <v>NABZAR AHMED</v>
          </cell>
          <cell r="U106" t="str">
            <v>Ordinaire</v>
          </cell>
          <cell r="V106" t="str">
            <v>Reprise</v>
          </cell>
          <cell r="W106" t="str">
            <v>Dotations nouvelles</v>
          </cell>
          <cell r="X106" t="str">
            <v>Aucune</v>
          </cell>
          <cell r="Y106" t="str">
            <v>Prévu</v>
          </cell>
          <cell r="Z106" t="str">
            <v>Reprise</v>
          </cell>
        </row>
        <row r="107">
          <cell r="A107">
            <v>2827</v>
          </cell>
          <cell r="B107">
            <v>1</v>
          </cell>
          <cell r="C107" t="str">
            <v>IV22115</v>
          </cell>
          <cell r="D107" t="str">
            <v>ACQUISITION D'EQUIPEMENTS POUR FOYERS DES VILLAGES OCP ZONE DE KHOURIBGA</v>
          </cell>
          <cell r="E107" t="str">
            <v>Approuvé</v>
          </cell>
          <cell r="F107" t="str">
            <v>K01040</v>
          </cell>
          <cell r="G107">
            <v>2</v>
          </cell>
          <cell r="H107" t="str">
            <v>Reprise</v>
          </cell>
          <cell r="I107" t="str">
            <v>REPRISE</v>
          </cell>
          <cell r="J107" t="str">
            <v>Budgété</v>
          </cell>
          <cell r="K107">
            <v>321500</v>
          </cell>
          <cell r="L107">
            <v>321500</v>
          </cell>
          <cell r="O107">
            <v>321500</v>
          </cell>
          <cell r="S107">
            <v>12522</v>
          </cell>
          <cell r="T107" t="str">
            <v>NABZAR AHMED</v>
          </cell>
          <cell r="U107" t="str">
            <v>Social</v>
          </cell>
          <cell r="V107" t="str">
            <v>Reprise</v>
          </cell>
          <cell r="W107" t="str">
            <v>Dotations nouvelles</v>
          </cell>
          <cell r="X107" t="str">
            <v>Aucune</v>
          </cell>
          <cell r="Y107" t="str">
            <v>Prévu</v>
          </cell>
          <cell r="Z107" t="str">
            <v>Reprise</v>
          </cell>
        </row>
        <row r="108">
          <cell r="A108">
            <v>2828</v>
          </cell>
          <cell r="B108">
            <v>1</v>
          </cell>
          <cell r="C108" t="str">
            <v>IV22116</v>
          </cell>
          <cell r="D108" t="str">
            <v>ACQUISITION D'EQUIPEMENT DE COUTURE POUR LES FOYERS FEMININS DE LA ZONE DE KHOURIBGA</v>
          </cell>
          <cell r="E108" t="str">
            <v>Approuvé</v>
          </cell>
          <cell r="F108" t="str">
            <v>K01040</v>
          </cell>
          <cell r="G108">
            <v>2</v>
          </cell>
          <cell r="H108" t="str">
            <v>Reprise</v>
          </cell>
          <cell r="I108" t="str">
            <v>REPRISE</v>
          </cell>
          <cell r="J108" t="str">
            <v>Budgété</v>
          </cell>
          <cell r="K108">
            <v>217800</v>
          </cell>
          <cell r="L108">
            <v>217800</v>
          </cell>
          <cell r="O108">
            <v>217800</v>
          </cell>
          <cell r="S108">
            <v>12527</v>
          </cell>
          <cell r="T108" t="str">
            <v>NABZAR AHMED</v>
          </cell>
          <cell r="U108" t="str">
            <v>Social</v>
          </cell>
          <cell r="V108" t="str">
            <v>Reprise</v>
          </cell>
          <cell r="W108" t="str">
            <v>Dotations nouvelles</v>
          </cell>
          <cell r="X108" t="str">
            <v>Aucune</v>
          </cell>
          <cell r="Y108" t="str">
            <v>Prévu</v>
          </cell>
          <cell r="Z108" t="str">
            <v>Reprise</v>
          </cell>
        </row>
        <row r="109">
          <cell r="A109">
            <v>2829</v>
          </cell>
          <cell r="B109">
            <v>1</v>
          </cell>
          <cell r="C109" t="str">
            <v>IV22117</v>
          </cell>
          <cell r="D109" t="str">
            <v>ACQUISITION DE MOBILIER DE BUREAU POUR PMK / AK / A</v>
          </cell>
          <cell r="E109" t="str">
            <v>Approuvé</v>
          </cell>
          <cell r="F109" t="str">
            <v>K01011</v>
          </cell>
          <cell r="G109">
            <v>2</v>
          </cell>
          <cell r="H109" t="str">
            <v>Reprise</v>
          </cell>
          <cell r="I109" t="str">
            <v>REPRISE</v>
          </cell>
          <cell r="J109" t="str">
            <v>Budgété</v>
          </cell>
          <cell r="K109">
            <v>47190</v>
          </cell>
          <cell r="L109">
            <v>47190</v>
          </cell>
          <cell r="O109">
            <v>47190</v>
          </cell>
          <cell r="S109">
            <v>12582</v>
          </cell>
          <cell r="T109" t="str">
            <v>NABZAR AHMED</v>
          </cell>
          <cell r="U109" t="str">
            <v>Administratif</v>
          </cell>
          <cell r="V109" t="str">
            <v>Reprise</v>
          </cell>
          <cell r="W109" t="str">
            <v>Dotations nouvelles</v>
          </cell>
          <cell r="X109" t="str">
            <v>Aucune</v>
          </cell>
          <cell r="Y109" t="str">
            <v>Prévu</v>
          </cell>
          <cell r="Z109" t="str">
            <v>Reprise</v>
          </cell>
        </row>
        <row r="110">
          <cell r="A110">
            <v>2830</v>
          </cell>
          <cell r="B110">
            <v>1</v>
          </cell>
          <cell r="C110" t="str">
            <v>IV22119</v>
          </cell>
          <cell r="D110" t="str">
            <v>ACQUISITION DE MOBILIER DE BUREAU POUR PMK / IE</v>
          </cell>
          <cell r="E110" t="str">
            <v>Approuvé</v>
          </cell>
          <cell r="F110" t="str">
            <v>K02229</v>
          </cell>
          <cell r="G110">
            <v>2</v>
          </cell>
          <cell r="H110" t="str">
            <v>Reprise</v>
          </cell>
          <cell r="I110" t="str">
            <v>REPRISE</v>
          </cell>
          <cell r="J110" t="str">
            <v>Budgété</v>
          </cell>
          <cell r="K110">
            <v>24420</v>
          </cell>
          <cell r="L110">
            <v>24420</v>
          </cell>
          <cell r="P110">
            <v>24420</v>
          </cell>
          <cell r="S110">
            <v>12585</v>
          </cell>
          <cell r="T110" t="str">
            <v>NABZAR AHMED</v>
          </cell>
          <cell r="U110" t="str">
            <v>Administratif</v>
          </cell>
          <cell r="V110" t="str">
            <v>Reprise</v>
          </cell>
          <cell r="W110" t="str">
            <v>Dotations nouvelles</v>
          </cell>
          <cell r="X110" t="str">
            <v>Aucune</v>
          </cell>
          <cell r="Y110" t="str">
            <v>Prévu</v>
          </cell>
          <cell r="Z110" t="str">
            <v>Reprise</v>
          </cell>
        </row>
        <row r="111">
          <cell r="A111">
            <v>2831</v>
          </cell>
          <cell r="B111">
            <v>1</v>
          </cell>
          <cell r="C111" t="str">
            <v>IV22120</v>
          </cell>
          <cell r="D111" t="str">
            <v>RENOUVELLEMENT DE MATERIEL DENTAIRE - FOURNITURE ET INSTALLATION D'UNE UNITE DENTAIRE COMPLETE A PMK / AK / M</v>
          </cell>
          <cell r="E111" t="str">
            <v>Approuvé</v>
          </cell>
          <cell r="F111" t="str">
            <v>K01428</v>
          </cell>
          <cell r="G111">
            <v>2</v>
          </cell>
          <cell r="H111" t="str">
            <v>Reprise</v>
          </cell>
          <cell r="I111" t="str">
            <v>REPRISE</v>
          </cell>
          <cell r="J111" t="str">
            <v>Budgété</v>
          </cell>
          <cell r="K111">
            <v>440000</v>
          </cell>
          <cell r="L111">
            <v>440000</v>
          </cell>
          <cell r="O111">
            <v>440000</v>
          </cell>
          <cell r="S111">
            <v>12587</v>
          </cell>
          <cell r="T111" t="str">
            <v>NABZAR AHMED</v>
          </cell>
          <cell r="U111" t="str">
            <v>Médical</v>
          </cell>
          <cell r="V111" t="str">
            <v>Reprise</v>
          </cell>
          <cell r="W111" t="str">
            <v>Renouvellement</v>
          </cell>
          <cell r="X111" t="str">
            <v>Aucune</v>
          </cell>
          <cell r="Y111" t="str">
            <v>Prévu</v>
          </cell>
          <cell r="Z111" t="str">
            <v>Reprise</v>
          </cell>
        </row>
        <row r="112">
          <cell r="A112">
            <v>2832</v>
          </cell>
          <cell r="B112">
            <v>1</v>
          </cell>
          <cell r="C112" t="str">
            <v>IV22121</v>
          </cell>
          <cell r="D112" t="str">
            <v>RENOUVELLEMENT D'UNE TABLE RADIO</v>
          </cell>
          <cell r="E112" t="str">
            <v>Approuvé</v>
          </cell>
          <cell r="F112" t="str">
            <v>K01414</v>
          </cell>
          <cell r="G112">
            <v>2</v>
          </cell>
          <cell r="H112" t="str">
            <v>Reprise</v>
          </cell>
          <cell r="I112" t="str">
            <v>REPRISE</v>
          </cell>
          <cell r="J112" t="str">
            <v>Budgété</v>
          </cell>
          <cell r="K112">
            <v>726000</v>
          </cell>
          <cell r="L112">
            <v>726000</v>
          </cell>
          <cell r="O112">
            <v>726000</v>
          </cell>
          <cell r="S112">
            <v>12590</v>
          </cell>
          <cell r="T112" t="str">
            <v>NABZAR AHMED</v>
          </cell>
          <cell r="U112" t="str">
            <v>Médical</v>
          </cell>
          <cell r="V112" t="str">
            <v>Reprise</v>
          </cell>
          <cell r="W112" t="str">
            <v>Renouvellement</v>
          </cell>
          <cell r="X112" t="str">
            <v>Aucune</v>
          </cell>
          <cell r="Y112" t="str">
            <v>Prévu</v>
          </cell>
          <cell r="Z112" t="str">
            <v>Reprise</v>
          </cell>
        </row>
        <row r="113">
          <cell r="A113">
            <v>2833</v>
          </cell>
          <cell r="B113">
            <v>1</v>
          </cell>
          <cell r="C113" t="str">
            <v>IV22124</v>
          </cell>
          <cell r="D113" t="str">
            <v>ACHAT DES VERINS ELECTRIQUES POUR LA COMMANDE A DISTANCE DES VOLETS D'AIGUILLAGE DES CONVOYEURS DU COZ</v>
          </cell>
          <cell r="E113" t="str">
            <v>Approuvé</v>
          </cell>
          <cell r="F113" t="str">
            <v>K04311</v>
          </cell>
          <cell r="G113">
            <v>2</v>
          </cell>
          <cell r="H113" t="str">
            <v>Reprise</v>
          </cell>
          <cell r="I113" t="str">
            <v>REPRISE</v>
          </cell>
          <cell r="J113" t="str">
            <v>Budgété</v>
          </cell>
          <cell r="K113">
            <v>993600</v>
          </cell>
          <cell r="L113">
            <v>993600</v>
          </cell>
          <cell r="O113">
            <v>600000</v>
          </cell>
          <cell r="P113">
            <v>393600</v>
          </cell>
          <cell r="S113">
            <v>12594</v>
          </cell>
          <cell r="T113" t="str">
            <v>BERRADA ACHRAF</v>
          </cell>
          <cell r="U113" t="str">
            <v>Ordinaire</v>
          </cell>
          <cell r="V113" t="str">
            <v>Reprise</v>
          </cell>
          <cell r="W113" t="str">
            <v>Dotations nouvelles</v>
          </cell>
          <cell r="X113" t="str">
            <v>Aucune</v>
          </cell>
          <cell r="Y113" t="str">
            <v>Prévu</v>
          </cell>
          <cell r="Z113" t="str">
            <v>Reprise</v>
          </cell>
        </row>
        <row r="114">
          <cell r="A114">
            <v>2834</v>
          </cell>
          <cell r="B114">
            <v>1</v>
          </cell>
          <cell r="C114" t="str">
            <v>IV22125</v>
          </cell>
          <cell r="D114" t="str">
            <v>ACHAT DES EQUIPEMENTS POUR LES ATELIERS DE MAINTANANCE MECANIQUES DE PMK/TD</v>
          </cell>
          <cell r="E114" t="str">
            <v>Approuvé</v>
          </cell>
          <cell r="F114" t="str">
            <v>K04802</v>
          </cell>
          <cell r="G114">
            <v>2</v>
          </cell>
          <cell r="H114" t="str">
            <v>Reprise</v>
          </cell>
          <cell r="I114" t="str">
            <v>REPRISE</v>
          </cell>
          <cell r="J114" t="str">
            <v>Budgété</v>
          </cell>
          <cell r="K114">
            <v>765276.88</v>
          </cell>
          <cell r="L114">
            <v>765276.88</v>
          </cell>
          <cell r="O114">
            <v>490000</v>
          </cell>
          <cell r="P114">
            <v>275276.88</v>
          </cell>
          <cell r="S114">
            <v>12598</v>
          </cell>
          <cell r="T114" t="str">
            <v>CHNANI ABDELHADI</v>
          </cell>
          <cell r="U114" t="str">
            <v>Ordinaire</v>
          </cell>
          <cell r="V114" t="str">
            <v>Reprise</v>
          </cell>
          <cell r="W114" t="str">
            <v>Dotations nouvelles</v>
          </cell>
          <cell r="X114" t="str">
            <v>Aucune</v>
          </cell>
          <cell r="Y114" t="str">
            <v>Prévu</v>
          </cell>
          <cell r="Z114" t="str">
            <v>Reprise</v>
          </cell>
        </row>
        <row r="115">
          <cell r="A115">
            <v>2835</v>
          </cell>
          <cell r="B115">
            <v>1</v>
          </cell>
          <cell r="C115" t="str">
            <v>IV22126</v>
          </cell>
          <cell r="D115" t="str">
            <v>FOURNITURE, INSTALLATION ET MISE EN SERVICE D'UN SYSTEME DE CONTROLE, COMMANDE ET SUPERVISION AU COZ</v>
          </cell>
          <cell r="E115" t="str">
            <v>Approuvé</v>
          </cell>
          <cell r="F115" t="str">
            <v>K04313</v>
          </cell>
          <cell r="G115">
            <v>2</v>
          </cell>
          <cell r="H115" t="str">
            <v>Reprise</v>
          </cell>
          <cell r="I115" t="str">
            <v>REPRISE</v>
          </cell>
          <cell r="J115" t="str">
            <v>Budgété</v>
          </cell>
          <cell r="K115">
            <v>7000000</v>
          </cell>
          <cell r="L115">
            <v>7000000</v>
          </cell>
          <cell r="O115">
            <v>7000000</v>
          </cell>
          <cell r="S115">
            <v>12603</v>
          </cell>
          <cell r="T115" t="str">
            <v>BERRADA ACHRAF</v>
          </cell>
          <cell r="U115" t="str">
            <v>Ordinaire</v>
          </cell>
          <cell r="V115" t="str">
            <v>Reprise</v>
          </cell>
          <cell r="W115" t="str">
            <v>Dotations nouvelles</v>
          </cell>
          <cell r="X115" t="str">
            <v>Aucune</v>
          </cell>
          <cell r="Y115" t="str">
            <v>Prévu</v>
          </cell>
          <cell r="Z115" t="str">
            <v>Reprise</v>
          </cell>
        </row>
        <row r="116">
          <cell r="A116">
            <v>2836</v>
          </cell>
          <cell r="B116">
            <v>1</v>
          </cell>
          <cell r="C116" t="str">
            <v>IV22127</v>
          </cell>
          <cell r="D116" t="str">
            <v>RN DES MOTEURS ELECTRIQUES POUR LES INSTALLATIONS DU COZ</v>
          </cell>
          <cell r="E116" t="str">
            <v>Approuvé</v>
          </cell>
          <cell r="F116" t="str">
            <v>K04307</v>
          </cell>
          <cell r="G116">
            <v>3</v>
          </cell>
          <cell r="H116" t="str">
            <v>V2</v>
          </cell>
          <cell r="I116" t="str">
            <v>COMPLEMENT</v>
          </cell>
          <cell r="J116" t="str">
            <v>Budgété</v>
          </cell>
          <cell r="K116">
            <v>510214.40000000002</v>
          </cell>
          <cell r="L116">
            <v>510214.40000000002</v>
          </cell>
          <cell r="O116">
            <v>440000</v>
          </cell>
          <cell r="P116">
            <v>70214.399999999994</v>
          </cell>
          <cell r="S116">
            <v>20018</v>
          </cell>
          <cell r="T116" t="str">
            <v>BERRADA ACHRAF</v>
          </cell>
          <cell r="U116" t="str">
            <v>Ordinaire</v>
          </cell>
          <cell r="V116" t="str">
            <v>Reprise</v>
          </cell>
          <cell r="W116" t="str">
            <v>Renouvellement</v>
          </cell>
          <cell r="X116" t="str">
            <v>Aucune</v>
          </cell>
          <cell r="Y116" t="str">
            <v>Prévu</v>
          </cell>
          <cell r="Z116" t="str">
            <v>Reprise</v>
          </cell>
        </row>
        <row r="117">
          <cell r="A117">
            <v>2837</v>
          </cell>
          <cell r="B117">
            <v>1</v>
          </cell>
          <cell r="C117" t="str">
            <v>IV22130</v>
          </cell>
          <cell r="D117" t="str">
            <v>RN DES TRANSFORMATEURS AU PYRALENE INSTALLES DANS LES POSTES ELECTRIQUES AU COZ</v>
          </cell>
          <cell r="E117" t="str">
            <v>Approuvé</v>
          </cell>
          <cell r="F117" t="str">
            <v>K04312</v>
          </cell>
          <cell r="G117">
            <v>2</v>
          </cell>
          <cell r="H117" t="str">
            <v>Reprise</v>
          </cell>
          <cell r="I117" t="str">
            <v>REPRISE</v>
          </cell>
          <cell r="J117" t="str">
            <v>Budgété</v>
          </cell>
          <cell r="K117">
            <v>300000</v>
          </cell>
          <cell r="L117">
            <v>300000</v>
          </cell>
          <cell r="O117">
            <v>300000</v>
          </cell>
          <cell r="S117">
            <v>12611</v>
          </cell>
          <cell r="T117" t="str">
            <v>BERRADA ACHRAF</v>
          </cell>
          <cell r="U117" t="str">
            <v>Ordinaire</v>
          </cell>
          <cell r="V117" t="str">
            <v>Reprise</v>
          </cell>
          <cell r="W117" t="str">
            <v>Renouvellement</v>
          </cell>
          <cell r="X117" t="str">
            <v>Aucune</v>
          </cell>
          <cell r="Y117" t="str">
            <v>Prévu</v>
          </cell>
          <cell r="Z117" t="str">
            <v>Reprise</v>
          </cell>
        </row>
        <row r="118">
          <cell r="A118">
            <v>2838</v>
          </cell>
          <cell r="B118">
            <v>1</v>
          </cell>
          <cell r="C118" t="str">
            <v>IV22140</v>
          </cell>
          <cell r="D118" t="str">
            <v>ACQUISITION D'UN REFRIGERATEUR DE 275 LITRES POUR PMK / AK / A</v>
          </cell>
          <cell r="E118" t="str">
            <v>Approuvé</v>
          </cell>
          <cell r="F118" t="str">
            <v>K01011</v>
          </cell>
          <cell r="G118">
            <v>2</v>
          </cell>
          <cell r="H118" t="str">
            <v>Reprise</v>
          </cell>
          <cell r="I118" t="str">
            <v>REPRISE</v>
          </cell>
          <cell r="J118" t="str">
            <v>Budgété</v>
          </cell>
          <cell r="K118">
            <v>7260</v>
          </cell>
          <cell r="L118">
            <v>7260</v>
          </cell>
          <cell r="O118">
            <v>7260</v>
          </cell>
          <cell r="S118">
            <v>12615</v>
          </cell>
          <cell r="T118" t="str">
            <v>NABZAR AHMED</v>
          </cell>
          <cell r="U118" t="str">
            <v>Administratif</v>
          </cell>
          <cell r="V118" t="str">
            <v>Reprise</v>
          </cell>
          <cell r="W118" t="str">
            <v>Dotations nouvelles</v>
          </cell>
          <cell r="X118" t="str">
            <v>Aucune</v>
          </cell>
          <cell r="Y118" t="str">
            <v>Prévu</v>
          </cell>
          <cell r="Z118" t="str">
            <v>Reprise</v>
          </cell>
        </row>
        <row r="119">
          <cell r="A119">
            <v>2839</v>
          </cell>
          <cell r="B119">
            <v>1</v>
          </cell>
          <cell r="C119" t="str">
            <v>IV22142</v>
          </cell>
          <cell r="D119" t="str">
            <v>ACQUISITION DE 04 CLIMATISEURS SPLIT-SYSTEM POUR PMK / AK / A ( EN R.P. )</v>
          </cell>
          <cell r="E119" t="str">
            <v>Approuvé</v>
          </cell>
          <cell r="F119" t="str">
            <v>K01011</v>
          </cell>
          <cell r="G119">
            <v>2</v>
          </cell>
          <cell r="H119" t="str">
            <v>Reprise</v>
          </cell>
          <cell r="I119" t="str">
            <v>REPRISE</v>
          </cell>
          <cell r="J119" t="str">
            <v>Budgété</v>
          </cell>
          <cell r="K119">
            <v>36960</v>
          </cell>
          <cell r="L119">
            <v>36960</v>
          </cell>
          <cell r="P119">
            <v>36960</v>
          </cell>
          <cell r="S119">
            <v>12619</v>
          </cell>
          <cell r="T119" t="str">
            <v>NABZAR AHMED</v>
          </cell>
          <cell r="U119" t="str">
            <v>Administratif</v>
          </cell>
          <cell r="V119" t="str">
            <v>Reprise</v>
          </cell>
          <cell r="W119" t="str">
            <v>Dotations nouvelles</v>
          </cell>
          <cell r="X119" t="str">
            <v>Aucune</v>
          </cell>
          <cell r="Y119" t="str">
            <v>Prévu</v>
          </cell>
          <cell r="Z119" t="str">
            <v>Reprise</v>
          </cell>
        </row>
        <row r="120">
          <cell r="A120">
            <v>2840</v>
          </cell>
          <cell r="B120">
            <v>1</v>
          </cell>
          <cell r="C120" t="str">
            <v>IV22143</v>
          </cell>
          <cell r="D120" t="str">
            <v>RENOUVELLEMENT DU MOBILIER DE BUREAU DE PMK / AK / S</v>
          </cell>
          <cell r="E120" t="str">
            <v>Approuvé</v>
          </cell>
          <cell r="F120" t="str">
            <v>K01049</v>
          </cell>
          <cell r="G120">
            <v>2</v>
          </cell>
          <cell r="H120" t="str">
            <v>Reprise</v>
          </cell>
          <cell r="I120" t="str">
            <v>REPRISE</v>
          </cell>
          <cell r="J120" t="str">
            <v>Budgété</v>
          </cell>
          <cell r="K120">
            <v>304840</v>
          </cell>
          <cell r="L120">
            <v>304840</v>
          </cell>
          <cell r="O120">
            <v>160600</v>
          </cell>
          <cell r="P120">
            <v>144240</v>
          </cell>
          <cell r="S120">
            <v>12623</v>
          </cell>
          <cell r="T120" t="str">
            <v>NABZAR AHMED</v>
          </cell>
          <cell r="U120" t="str">
            <v>Administratif</v>
          </cell>
          <cell r="V120" t="str">
            <v>Reprise</v>
          </cell>
          <cell r="W120" t="str">
            <v>Renouvellement</v>
          </cell>
          <cell r="X120" t="str">
            <v>Aucune</v>
          </cell>
          <cell r="Y120" t="str">
            <v>Prévu</v>
          </cell>
          <cell r="Z120" t="str">
            <v>Reprise</v>
          </cell>
        </row>
        <row r="121">
          <cell r="A121">
            <v>2841</v>
          </cell>
          <cell r="B121">
            <v>1</v>
          </cell>
          <cell r="C121" t="str">
            <v>IV22144</v>
          </cell>
          <cell r="D121" t="str">
            <v>RENOUVELLEMENT DE 20 APPAREILS TELEPHONIQUES DE PMK / AK / S ( EN R.P. )</v>
          </cell>
          <cell r="E121" t="str">
            <v>Approuvé</v>
          </cell>
          <cell r="F121" t="str">
            <v>K01049</v>
          </cell>
          <cell r="G121">
            <v>2</v>
          </cell>
          <cell r="H121" t="str">
            <v>Reprise</v>
          </cell>
          <cell r="I121" t="str">
            <v>REPRISE</v>
          </cell>
          <cell r="J121" t="str">
            <v>Budgété</v>
          </cell>
          <cell r="K121">
            <v>13680</v>
          </cell>
          <cell r="L121">
            <v>13680</v>
          </cell>
          <cell r="P121">
            <v>13680</v>
          </cell>
          <cell r="S121">
            <v>12628</v>
          </cell>
          <cell r="T121" t="str">
            <v>NABZAR AHMED</v>
          </cell>
          <cell r="U121" t="str">
            <v>Administratif</v>
          </cell>
          <cell r="V121" t="str">
            <v>Reprise</v>
          </cell>
          <cell r="W121" t="str">
            <v>Renouvellement</v>
          </cell>
          <cell r="X121" t="str">
            <v>Aucune</v>
          </cell>
          <cell r="Y121" t="str">
            <v>Prévu</v>
          </cell>
          <cell r="Z121" t="str">
            <v>Reprise</v>
          </cell>
        </row>
        <row r="122">
          <cell r="A122">
            <v>2842</v>
          </cell>
          <cell r="B122">
            <v>1</v>
          </cell>
          <cell r="C122" t="str">
            <v>IV22145</v>
          </cell>
          <cell r="D122" t="str">
            <v>RENOUVELLEMENT DES EQUIPEMENTS DES CUISINES DES ETABLISSEMENTS SOCIAUX DE PMK / AK / S</v>
          </cell>
          <cell r="E122" t="str">
            <v>Approuvé</v>
          </cell>
          <cell r="F122" t="str">
            <v>K01049</v>
          </cell>
          <cell r="G122">
            <v>2</v>
          </cell>
          <cell r="H122" t="str">
            <v>Reprise</v>
          </cell>
          <cell r="I122" t="str">
            <v>REPRISE</v>
          </cell>
          <cell r="J122" t="str">
            <v>Budgété</v>
          </cell>
          <cell r="K122">
            <v>393250</v>
          </cell>
          <cell r="L122">
            <v>393250</v>
          </cell>
          <cell r="O122">
            <v>393250</v>
          </cell>
          <cell r="S122">
            <v>12632</v>
          </cell>
          <cell r="T122" t="str">
            <v>NABZAR AHMED</v>
          </cell>
          <cell r="U122" t="str">
            <v>Social</v>
          </cell>
          <cell r="V122" t="str">
            <v>Reprise</v>
          </cell>
          <cell r="W122" t="str">
            <v>Renouvellement</v>
          </cell>
          <cell r="X122" t="str">
            <v>Aucune</v>
          </cell>
          <cell r="Y122" t="str">
            <v>Prévu</v>
          </cell>
          <cell r="Z122" t="str">
            <v>Reprise</v>
          </cell>
        </row>
        <row r="123">
          <cell r="A123">
            <v>2843</v>
          </cell>
          <cell r="B123">
            <v>1</v>
          </cell>
          <cell r="C123" t="str">
            <v>IV22146</v>
          </cell>
          <cell r="D123" t="str">
            <v>ACQUISITION D'EQUIPEMENTS POUR RESTAURANTS DES ETABLISSEMENTS SOCIAUX DE PMK / AK / S</v>
          </cell>
          <cell r="E123" t="str">
            <v>Approuvé</v>
          </cell>
          <cell r="F123" t="str">
            <v>K01049</v>
          </cell>
          <cell r="G123">
            <v>2</v>
          </cell>
          <cell r="H123" t="str">
            <v>Reprise</v>
          </cell>
          <cell r="I123" t="str">
            <v>REPRISE</v>
          </cell>
          <cell r="J123" t="str">
            <v>Budgété</v>
          </cell>
          <cell r="K123">
            <v>323675</v>
          </cell>
          <cell r="L123">
            <v>323675</v>
          </cell>
          <cell r="O123">
            <v>323675</v>
          </cell>
          <cell r="S123">
            <v>12633</v>
          </cell>
          <cell r="T123" t="str">
            <v>NABZAR AHMED</v>
          </cell>
          <cell r="U123" t="str">
            <v>Social</v>
          </cell>
          <cell r="V123" t="str">
            <v>Reprise</v>
          </cell>
          <cell r="W123" t="str">
            <v>Renouvellement</v>
          </cell>
          <cell r="X123" t="str">
            <v>Aucune</v>
          </cell>
          <cell r="Y123" t="str">
            <v>Prévu</v>
          </cell>
          <cell r="Z123" t="str">
            <v>Reprise</v>
          </cell>
        </row>
        <row r="124">
          <cell r="A124">
            <v>2844</v>
          </cell>
          <cell r="B124">
            <v>1</v>
          </cell>
          <cell r="C124" t="str">
            <v>IV22148</v>
          </cell>
          <cell r="D124" t="str">
            <v>RENOUVELLEMENT D'EQUIPEMENT POUR VILLAS D'ACCUEIL DE PMK / AK / S</v>
          </cell>
          <cell r="E124" t="str">
            <v>Approuvé</v>
          </cell>
          <cell r="F124" t="str">
            <v>K01048</v>
          </cell>
          <cell r="G124">
            <v>2</v>
          </cell>
          <cell r="H124" t="str">
            <v>Reprise</v>
          </cell>
          <cell r="I124" t="str">
            <v>REPRISE</v>
          </cell>
          <cell r="J124" t="str">
            <v>Budgété</v>
          </cell>
          <cell r="K124">
            <v>122724</v>
          </cell>
          <cell r="L124">
            <v>122724</v>
          </cell>
          <cell r="P124">
            <v>122724</v>
          </cell>
          <cell r="S124">
            <v>12530</v>
          </cell>
          <cell r="T124" t="str">
            <v>NABZAR AHMED</v>
          </cell>
          <cell r="U124" t="str">
            <v>Social</v>
          </cell>
          <cell r="V124" t="str">
            <v>Reprise</v>
          </cell>
          <cell r="W124" t="str">
            <v>Renouvellement</v>
          </cell>
          <cell r="X124" t="str">
            <v>Aucune</v>
          </cell>
          <cell r="Y124" t="str">
            <v>Prévu</v>
          </cell>
          <cell r="Z124" t="str">
            <v>Reprise</v>
          </cell>
        </row>
        <row r="125">
          <cell r="A125">
            <v>2845</v>
          </cell>
          <cell r="B125">
            <v>1</v>
          </cell>
          <cell r="C125" t="str">
            <v>IV22158</v>
          </cell>
          <cell r="D125" t="str">
            <v>RENOUVELLEMENT DE 20 APPAREILS TELEPHONIQUES POUR PMK / AK / M</v>
          </cell>
          <cell r="E125" t="str">
            <v>Approuvé</v>
          </cell>
          <cell r="F125" t="str">
            <v>K01419</v>
          </cell>
          <cell r="G125">
            <v>2</v>
          </cell>
          <cell r="H125" t="str">
            <v>Reprise</v>
          </cell>
          <cell r="I125" t="str">
            <v>REPRISE</v>
          </cell>
          <cell r="J125" t="str">
            <v>Budgété</v>
          </cell>
          <cell r="K125">
            <v>13680</v>
          </cell>
          <cell r="L125">
            <v>13680</v>
          </cell>
          <cell r="P125">
            <v>13680</v>
          </cell>
          <cell r="S125">
            <v>12537</v>
          </cell>
          <cell r="T125" t="str">
            <v>NABZAR AHMED</v>
          </cell>
          <cell r="U125" t="str">
            <v>Administratif</v>
          </cell>
          <cell r="V125" t="str">
            <v>Reprise</v>
          </cell>
          <cell r="W125" t="str">
            <v>Renouvellement</v>
          </cell>
          <cell r="X125" t="str">
            <v>Aucune</v>
          </cell>
          <cell r="Y125" t="str">
            <v>Prévu</v>
          </cell>
          <cell r="Z125" t="str">
            <v>Reprise</v>
          </cell>
        </row>
        <row r="126">
          <cell r="A126">
            <v>2846</v>
          </cell>
          <cell r="B126">
            <v>1</v>
          </cell>
          <cell r="C126" t="str">
            <v>IV22159</v>
          </cell>
          <cell r="D126" t="str">
            <v>RENOUVELLEMENT DE POMPES POUR PISCINES DE PMK / AK / S</v>
          </cell>
          <cell r="E126" t="str">
            <v>Approuvé</v>
          </cell>
          <cell r="F126" t="str">
            <v>K01039</v>
          </cell>
          <cell r="G126">
            <v>2</v>
          </cell>
          <cell r="H126" t="str">
            <v>Reprise</v>
          </cell>
          <cell r="I126" t="str">
            <v>REPRISE</v>
          </cell>
          <cell r="J126" t="str">
            <v>Budgété</v>
          </cell>
          <cell r="K126">
            <v>195660</v>
          </cell>
          <cell r="L126">
            <v>195660</v>
          </cell>
          <cell r="O126">
            <v>99900</v>
          </cell>
          <cell r="P126">
            <v>95760</v>
          </cell>
          <cell r="S126">
            <v>12544</v>
          </cell>
          <cell r="T126" t="str">
            <v>NABZAR AHMED</v>
          </cell>
          <cell r="U126" t="str">
            <v>Social</v>
          </cell>
          <cell r="V126" t="str">
            <v>Reprise</v>
          </cell>
          <cell r="W126" t="str">
            <v>Renouvellement</v>
          </cell>
          <cell r="X126" t="str">
            <v>Aucune</v>
          </cell>
          <cell r="Y126" t="str">
            <v>Prévu</v>
          </cell>
          <cell r="Z126" t="str">
            <v>Reprise</v>
          </cell>
        </row>
        <row r="127">
          <cell r="A127">
            <v>2847</v>
          </cell>
          <cell r="B127">
            <v>1</v>
          </cell>
          <cell r="C127" t="str">
            <v>IV22160</v>
          </cell>
          <cell r="D127" t="str">
            <v>ACQUISITION D'EQUIPEMENTS DE SPORT POUR PMK / AK / S</v>
          </cell>
          <cell r="E127" t="str">
            <v>Approuvé</v>
          </cell>
          <cell r="F127" t="str">
            <v>K01037</v>
          </cell>
          <cell r="G127">
            <v>2</v>
          </cell>
          <cell r="H127" t="str">
            <v>Reprise</v>
          </cell>
          <cell r="I127" t="str">
            <v>REPRISE</v>
          </cell>
          <cell r="J127" t="str">
            <v>Budgété</v>
          </cell>
          <cell r="K127">
            <v>452206</v>
          </cell>
          <cell r="L127">
            <v>452206</v>
          </cell>
          <cell r="O127">
            <v>452206</v>
          </cell>
          <cell r="S127">
            <v>12547</v>
          </cell>
          <cell r="T127" t="str">
            <v>NABZAR AHMED</v>
          </cell>
          <cell r="U127" t="str">
            <v>Social</v>
          </cell>
          <cell r="V127" t="str">
            <v>Reprise</v>
          </cell>
          <cell r="W127" t="str">
            <v>Dotations nouvelles</v>
          </cell>
          <cell r="X127" t="str">
            <v>Aucune</v>
          </cell>
          <cell r="Y127" t="str">
            <v>Prévu</v>
          </cell>
          <cell r="Z127" t="str">
            <v>Reprise</v>
          </cell>
        </row>
        <row r="128">
          <cell r="A128">
            <v>2848</v>
          </cell>
          <cell r="B128">
            <v>1</v>
          </cell>
          <cell r="C128" t="str">
            <v>IV22161</v>
          </cell>
          <cell r="D128" t="str">
            <v>ACQUISITION DE MATERIEL DE FROID POUR LES ETABLISSEMENTS SOCIAUX DE PMK / AK / S</v>
          </cell>
          <cell r="E128" t="str">
            <v>Approuvé</v>
          </cell>
          <cell r="F128" t="str">
            <v>K01049</v>
          </cell>
          <cell r="G128">
            <v>2</v>
          </cell>
          <cell r="H128" t="str">
            <v>Reprise</v>
          </cell>
          <cell r="I128" t="str">
            <v>REPRISE</v>
          </cell>
          <cell r="J128" t="str">
            <v>Budgété</v>
          </cell>
          <cell r="K128">
            <v>223392</v>
          </cell>
          <cell r="L128">
            <v>223392</v>
          </cell>
          <cell r="O128">
            <v>126000</v>
          </cell>
          <cell r="P128">
            <v>97392</v>
          </cell>
          <cell r="S128">
            <v>12548</v>
          </cell>
          <cell r="T128" t="str">
            <v>NABZAR AHMED</v>
          </cell>
          <cell r="U128" t="str">
            <v>Social</v>
          </cell>
          <cell r="V128" t="str">
            <v>Reprise</v>
          </cell>
          <cell r="W128" t="str">
            <v>Dotations nouvelles</v>
          </cell>
          <cell r="X128" t="str">
            <v>Aucune</v>
          </cell>
          <cell r="Y128" t="str">
            <v>Prévu</v>
          </cell>
          <cell r="Z128" t="str">
            <v>Reprise</v>
          </cell>
        </row>
        <row r="129">
          <cell r="A129">
            <v>2849</v>
          </cell>
          <cell r="B129">
            <v>1</v>
          </cell>
          <cell r="C129" t="str">
            <v>IV22179</v>
          </cell>
          <cell r="D129" t="str">
            <v>RN DU MOBILIER DE BUREAU</v>
          </cell>
          <cell r="E129" t="str">
            <v>Approuvé</v>
          </cell>
          <cell r="F129" t="str">
            <v>K11718</v>
          </cell>
          <cell r="G129">
            <v>2</v>
          </cell>
          <cell r="H129" t="str">
            <v>Reprise</v>
          </cell>
          <cell r="I129" t="str">
            <v>REPRISE</v>
          </cell>
          <cell r="J129" t="str">
            <v>Budgété</v>
          </cell>
          <cell r="K129">
            <v>224000</v>
          </cell>
          <cell r="L129">
            <v>224000</v>
          </cell>
          <cell r="O129">
            <v>91654.399999999994</v>
          </cell>
          <cell r="P129">
            <v>132345.60000000001</v>
          </cell>
          <cell r="S129">
            <v>11068</v>
          </cell>
          <cell r="T129" t="str">
            <v>NABZAR AHMED</v>
          </cell>
          <cell r="U129" t="str">
            <v>Administratif</v>
          </cell>
          <cell r="V129" t="str">
            <v>Reprise</v>
          </cell>
          <cell r="W129" t="str">
            <v>Renouvellement</v>
          </cell>
          <cell r="X129" t="str">
            <v>Aucune</v>
          </cell>
          <cell r="Y129" t="str">
            <v>Prévu</v>
          </cell>
          <cell r="Z129" t="str">
            <v>Reprise</v>
          </cell>
        </row>
        <row r="130">
          <cell r="A130">
            <v>2850</v>
          </cell>
          <cell r="B130">
            <v>1</v>
          </cell>
          <cell r="C130" t="str">
            <v>IV22192</v>
          </cell>
          <cell r="D130" t="str">
            <v>ACHAT DE 07 CLIMATISEURS</v>
          </cell>
          <cell r="E130" t="str">
            <v>Approuvé</v>
          </cell>
          <cell r="F130" t="str">
            <v>K11608</v>
          </cell>
          <cell r="G130">
            <v>2</v>
          </cell>
          <cell r="H130" t="str">
            <v>Reprise</v>
          </cell>
          <cell r="I130" t="str">
            <v>REPRISE</v>
          </cell>
          <cell r="J130" t="str">
            <v>Budgété</v>
          </cell>
          <cell r="K130">
            <v>57120</v>
          </cell>
          <cell r="L130">
            <v>57120</v>
          </cell>
          <cell r="P130">
            <v>57120</v>
          </cell>
          <cell r="S130">
            <v>12549</v>
          </cell>
          <cell r="T130" t="str">
            <v>NABZAR AHMED</v>
          </cell>
          <cell r="U130" t="str">
            <v>Administratif</v>
          </cell>
          <cell r="V130" t="str">
            <v>Reprise</v>
          </cell>
          <cell r="W130" t="str">
            <v>Dotations nouvelles</v>
          </cell>
          <cell r="X130" t="str">
            <v>Aucune</v>
          </cell>
          <cell r="Y130" t="str">
            <v>Prévu</v>
          </cell>
          <cell r="Z130" t="str">
            <v>Reprise</v>
          </cell>
        </row>
        <row r="131">
          <cell r="A131">
            <v>2851</v>
          </cell>
          <cell r="B131">
            <v>1</v>
          </cell>
          <cell r="C131" t="str">
            <v>IV22194</v>
          </cell>
          <cell r="D131" t="str">
            <v>ACHAT D'UN GROUPE ELECTROPOMPE IMMERGE</v>
          </cell>
          <cell r="E131" t="str">
            <v>Approuvé</v>
          </cell>
          <cell r="F131" t="str">
            <v>K11700</v>
          </cell>
          <cell r="G131">
            <v>2</v>
          </cell>
          <cell r="H131" t="str">
            <v>Reprise</v>
          </cell>
          <cell r="I131" t="str">
            <v>REPRISE</v>
          </cell>
          <cell r="J131" t="str">
            <v>Budgété</v>
          </cell>
          <cell r="K131">
            <v>764057.33</v>
          </cell>
          <cell r="L131">
            <v>764057.33</v>
          </cell>
          <cell r="O131">
            <v>480000</v>
          </cell>
          <cell r="P131">
            <v>284057.33</v>
          </cell>
          <cell r="S131">
            <v>12550</v>
          </cell>
          <cell r="T131" t="str">
            <v>NABZAR AHMED</v>
          </cell>
          <cell r="U131" t="str">
            <v>Ordinaire</v>
          </cell>
          <cell r="V131" t="str">
            <v>Reprise</v>
          </cell>
          <cell r="W131" t="str">
            <v>Dotations nouvelles</v>
          </cell>
          <cell r="X131" t="str">
            <v>Aucune</v>
          </cell>
          <cell r="Y131" t="str">
            <v>Prévu</v>
          </cell>
          <cell r="Z131" t="str">
            <v>Reprise</v>
          </cell>
        </row>
        <row r="132">
          <cell r="A132">
            <v>2852</v>
          </cell>
          <cell r="B132">
            <v>1</v>
          </cell>
          <cell r="C132" t="str">
            <v>IV22195</v>
          </cell>
          <cell r="D132" t="str">
            <v>ACHAT D'UNE ARMOIRE DE CLIMATISEUR AVEC MICRO PROCESSEUR</v>
          </cell>
          <cell r="E132" t="str">
            <v>Approuvé</v>
          </cell>
          <cell r="F132" t="str">
            <v>K11800</v>
          </cell>
          <cell r="G132">
            <v>2</v>
          </cell>
          <cell r="H132" t="str">
            <v>Reprise</v>
          </cell>
          <cell r="I132" t="str">
            <v>REPRISE</v>
          </cell>
          <cell r="J132" t="str">
            <v>Budgété</v>
          </cell>
          <cell r="K132">
            <v>130000</v>
          </cell>
          <cell r="L132">
            <v>130000</v>
          </cell>
          <cell r="O132">
            <v>130000</v>
          </cell>
          <cell r="S132">
            <v>12551</v>
          </cell>
          <cell r="T132" t="str">
            <v>NABZAR AHMED</v>
          </cell>
          <cell r="U132" t="str">
            <v>Ordinaire</v>
          </cell>
          <cell r="V132" t="str">
            <v>Reprise</v>
          </cell>
          <cell r="W132" t="str">
            <v>Dotations nouvelles</v>
          </cell>
          <cell r="X132" t="str">
            <v>Aucune</v>
          </cell>
          <cell r="Y132" t="str">
            <v>Prévu</v>
          </cell>
          <cell r="Z132" t="str">
            <v>Reprise</v>
          </cell>
        </row>
        <row r="133">
          <cell r="A133">
            <v>2853</v>
          </cell>
          <cell r="B133">
            <v>1</v>
          </cell>
          <cell r="C133" t="str">
            <v>IV22199</v>
          </cell>
          <cell r="D133" t="str">
            <v>ACQUISITION D'EQUIPEMENTS ELECROMENAGERS POUR LES ETABLISSEMENTS SOCIAUX DE PMK / AK / S</v>
          </cell>
          <cell r="E133" t="str">
            <v>Approuvé</v>
          </cell>
          <cell r="F133" t="str">
            <v>K01049</v>
          </cell>
          <cell r="G133">
            <v>2</v>
          </cell>
          <cell r="H133" t="str">
            <v>Reprise</v>
          </cell>
          <cell r="I133" t="str">
            <v>REPRISE</v>
          </cell>
          <cell r="J133" t="str">
            <v>Budgété</v>
          </cell>
          <cell r="K133">
            <v>179880</v>
          </cell>
          <cell r="L133">
            <v>179880</v>
          </cell>
          <cell r="P133">
            <v>179880</v>
          </cell>
          <cell r="S133">
            <v>12552</v>
          </cell>
          <cell r="T133" t="str">
            <v>NABZAR AHMED</v>
          </cell>
          <cell r="U133" t="str">
            <v>Social</v>
          </cell>
          <cell r="V133" t="str">
            <v>Reprise</v>
          </cell>
          <cell r="W133" t="str">
            <v>Dotations nouvelles</v>
          </cell>
          <cell r="X133" t="str">
            <v>Aucune</v>
          </cell>
          <cell r="Y133" t="str">
            <v>Prévu</v>
          </cell>
          <cell r="Z133" t="str">
            <v>Reprise</v>
          </cell>
        </row>
        <row r="134">
          <cell r="A134">
            <v>2854</v>
          </cell>
          <cell r="B134">
            <v>1</v>
          </cell>
          <cell r="C134" t="str">
            <v>IV22201</v>
          </cell>
          <cell r="D134" t="str">
            <v>ACQUISITION DE MATERIEL AUDIO-VISUEL POUR ETABLISSEMENTS SOCIAUX DE PMK / AK / S</v>
          </cell>
          <cell r="E134" t="str">
            <v>Approuvé</v>
          </cell>
          <cell r="F134" t="str">
            <v>K01049</v>
          </cell>
          <cell r="G134">
            <v>2</v>
          </cell>
          <cell r="H134" t="str">
            <v>Reprise</v>
          </cell>
          <cell r="I134" t="str">
            <v>REPRISE</v>
          </cell>
          <cell r="J134" t="str">
            <v>Budgété</v>
          </cell>
          <cell r="K134">
            <v>245000</v>
          </cell>
          <cell r="L134">
            <v>245000</v>
          </cell>
          <cell r="O134">
            <v>245000</v>
          </cell>
          <cell r="S134">
            <v>12553</v>
          </cell>
          <cell r="T134" t="str">
            <v>NABZAR AHMED</v>
          </cell>
          <cell r="U134" t="str">
            <v>Social</v>
          </cell>
          <cell r="V134" t="str">
            <v>Reprise</v>
          </cell>
          <cell r="W134" t="str">
            <v>Dotations nouvelles</v>
          </cell>
          <cell r="X134" t="str">
            <v>Aucune</v>
          </cell>
          <cell r="Y134" t="str">
            <v>Prévu</v>
          </cell>
          <cell r="Z134" t="str">
            <v>Reprise</v>
          </cell>
        </row>
        <row r="135">
          <cell r="A135">
            <v>2855</v>
          </cell>
          <cell r="B135">
            <v>1</v>
          </cell>
          <cell r="C135" t="str">
            <v>IV22202</v>
          </cell>
          <cell r="D135" t="str">
            <v>RENOUVELLEMENT DES EXTINCTEURS DE PMK / AD</v>
          </cell>
          <cell r="E135" t="str">
            <v>Approuvé</v>
          </cell>
          <cell r="F135" t="str">
            <v>K01070</v>
          </cell>
          <cell r="G135">
            <v>2</v>
          </cell>
          <cell r="H135" t="str">
            <v>Reprise</v>
          </cell>
          <cell r="I135" t="str">
            <v>REPRISE</v>
          </cell>
          <cell r="J135" t="str">
            <v>Budgété</v>
          </cell>
          <cell r="K135">
            <v>13520</v>
          </cell>
          <cell r="L135">
            <v>13520</v>
          </cell>
          <cell r="O135">
            <v>9680</v>
          </cell>
          <cell r="P135">
            <v>3840</v>
          </cell>
          <cell r="S135">
            <v>12554</v>
          </cell>
          <cell r="T135" t="str">
            <v>NABZAR AHMED</v>
          </cell>
          <cell r="U135" t="str">
            <v>Ordinaire</v>
          </cell>
          <cell r="V135" t="str">
            <v>Reprise</v>
          </cell>
          <cell r="W135" t="str">
            <v>Renouvellement</v>
          </cell>
          <cell r="X135" t="str">
            <v>Aucune</v>
          </cell>
          <cell r="Y135" t="str">
            <v>Prévu</v>
          </cell>
          <cell r="Z135" t="str">
            <v>Reprise</v>
          </cell>
        </row>
        <row r="136">
          <cell r="A136">
            <v>2856</v>
          </cell>
          <cell r="B136">
            <v>1</v>
          </cell>
          <cell r="C136" t="str">
            <v>IV22204</v>
          </cell>
          <cell r="D136" t="str">
            <v>ACHAT D'EQUIPEMENT POUR CENTRE DE DOCUMENTATION DE PMK/L</v>
          </cell>
          <cell r="E136" t="str">
            <v>Approuvé</v>
          </cell>
          <cell r="F136" t="str">
            <v>K11718</v>
          </cell>
          <cell r="G136">
            <v>2</v>
          </cell>
          <cell r="H136" t="str">
            <v>Reprise</v>
          </cell>
          <cell r="I136" t="str">
            <v>REPRISE</v>
          </cell>
          <cell r="J136" t="str">
            <v>Budgété</v>
          </cell>
          <cell r="K136">
            <v>7640.4</v>
          </cell>
          <cell r="L136">
            <v>7640.4</v>
          </cell>
          <cell r="P136">
            <v>7640.4</v>
          </cell>
          <cell r="S136">
            <v>12555</v>
          </cell>
          <cell r="T136" t="str">
            <v>NABZAR AHMED</v>
          </cell>
          <cell r="U136" t="str">
            <v>Administratif</v>
          </cell>
          <cell r="V136" t="str">
            <v>Reprise</v>
          </cell>
          <cell r="W136" t="str">
            <v>Dotations nouvelles</v>
          </cell>
          <cell r="X136" t="str">
            <v>Aucune</v>
          </cell>
          <cell r="Y136" t="str">
            <v>Prévu</v>
          </cell>
          <cell r="Z136" t="str">
            <v>Reprise</v>
          </cell>
        </row>
        <row r="137">
          <cell r="A137">
            <v>2857</v>
          </cell>
          <cell r="B137">
            <v>1</v>
          </cell>
          <cell r="C137" t="str">
            <v>IV22206</v>
          </cell>
          <cell r="D137" t="str">
            <v>ACHAT DU MATERIEL DE BUREAUX</v>
          </cell>
          <cell r="E137" t="str">
            <v>Approuvé</v>
          </cell>
          <cell r="F137" t="str">
            <v>K11608</v>
          </cell>
          <cell r="G137">
            <v>2</v>
          </cell>
          <cell r="H137" t="str">
            <v>Reprise</v>
          </cell>
          <cell r="I137" t="str">
            <v>REPRISE</v>
          </cell>
          <cell r="J137" t="str">
            <v>Budgété</v>
          </cell>
          <cell r="K137">
            <v>400000</v>
          </cell>
          <cell r="L137">
            <v>400000</v>
          </cell>
          <cell r="O137">
            <v>400000</v>
          </cell>
          <cell r="S137">
            <v>12556</v>
          </cell>
          <cell r="T137" t="str">
            <v>NABZAR AHMED</v>
          </cell>
          <cell r="U137" t="str">
            <v>Administratif</v>
          </cell>
          <cell r="V137" t="str">
            <v>Reprise</v>
          </cell>
          <cell r="W137" t="str">
            <v>Dotations nouvelles</v>
          </cell>
          <cell r="X137" t="str">
            <v>Aucune</v>
          </cell>
          <cell r="Y137" t="str">
            <v>Prévu</v>
          </cell>
          <cell r="Z137" t="str">
            <v>Reprise</v>
          </cell>
        </row>
        <row r="138">
          <cell r="A138">
            <v>2858</v>
          </cell>
          <cell r="B138">
            <v>1</v>
          </cell>
          <cell r="C138" t="str">
            <v>IV22220</v>
          </cell>
          <cell r="D138" t="str">
            <v>RN DES BASCULES INTEGRATRICES POUR LES INSTALLATIONS DU COZ</v>
          </cell>
          <cell r="E138" t="str">
            <v>Approuvé</v>
          </cell>
          <cell r="F138" t="str">
            <v>K04310</v>
          </cell>
          <cell r="G138">
            <v>2</v>
          </cell>
          <cell r="H138" t="str">
            <v>Reprise</v>
          </cell>
          <cell r="I138" t="str">
            <v>REPRISE</v>
          </cell>
          <cell r="J138" t="str">
            <v>Budgété</v>
          </cell>
          <cell r="K138">
            <v>1726328.67</v>
          </cell>
          <cell r="L138">
            <v>1726328.67</v>
          </cell>
          <cell r="O138">
            <v>1000000</v>
          </cell>
          <cell r="P138">
            <v>726328.67</v>
          </cell>
          <cell r="S138">
            <v>12557</v>
          </cell>
          <cell r="T138" t="str">
            <v>BERRADA ACHRAF</v>
          </cell>
          <cell r="U138" t="str">
            <v>Ordinaire</v>
          </cell>
          <cell r="V138" t="str">
            <v>Reprise</v>
          </cell>
          <cell r="W138" t="str">
            <v>Renouvellement</v>
          </cell>
          <cell r="X138" t="str">
            <v>Aucune</v>
          </cell>
          <cell r="Y138" t="str">
            <v>Prévu</v>
          </cell>
          <cell r="Z138" t="str">
            <v>Reprise</v>
          </cell>
        </row>
        <row r="139">
          <cell r="A139">
            <v>2859</v>
          </cell>
          <cell r="B139">
            <v>1</v>
          </cell>
          <cell r="C139" t="str">
            <v>IV22222</v>
          </cell>
          <cell r="D139" t="str">
            <v>ACQUISITION DES EXTINCTEURS POUR LES ATELIERS ET LOCAUX PMK/LM</v>
          </cell>
          <cell r="E139" t="str">
            <v>Approuvé</v>
          </cell>
          <cell r="F139" t="str">
            <v>K11010</v>
          </cell>
          <cell r="G139">
            <v>2</v>
          </cell>
          <cell r="H139" t="str">
            <v>Reprise</v>
          </cell>
          <cell r="I139" t="str">
            <v>REPRISE</v>
          </cell>
          <cell r="J139" t="str">
            <v>Budgété</v>
          </cell>
          <cell r="K139">
            <v>174400</v>
          </cell>
          <cell r="L139">
            <v>174400</v>
          </cell>
          <cell r="P139">
            <v>174400</v>
          </cell>
          <cell r="S139">
            <v>12560</v>
          </cell>
          <cell r="T139" t="str">
            <v>NABZAR AHMED</v>
          </cell>
          <cell r="U139" t="str">
            <v>Ordinaire</v>
          </cell>
          <cell r="V139" t="str">
            <v>Reprise</v>
          </cell>
          <cell r="W139" t="str">
            <v>Dotations nouvelles</v>
          </cell>
          <cell r="X139" t="str">
            <v>Aucune</v>
          </cell>
          <cell r="Y139" t="str">
            <v>Prévu</v>
          </cell>
          <cell r="Z139" t="str">
            <v>Reprise</v>
          </cell>
        </row>
        <row r="140">
          <cell r="A140">
            <v>2860</v>
          </cell>
          <cell r="B140">
            <v>1</v>
          </cell>
          <cell r="C140" t="str">
            <v>IV22224</v>
          </cell>
          <cell r="D140" t="str">
            <v>ACHAT DE 5 THERMOMETRES A INFRA ROUGE.</v>
          </cell>
          <cell r="E140" t="str">
            <v>Approuvé</v>
          </cell>
          <cell r="F140" t="str">
            <v>K04001</v>
          </cell>
          <cell r="G140">
            <v>2</v>
          </cell>
          <cell r="H140" t="str">
            <v>Reprise</v>
          </cell>
          <cell r="I140" t="str">
            <v>REPRISE</v>
          </cell>
          <cell r="J140" t="str">
            <v>Budgété</v>
          </cell>
          <cell r="K140">
            <v>300000</v>
          </cell>
          <cell r="L140">
            <v>300000</v>
          </cell>
          <cell r="O140">
            <v>300000</v>
          </cell>
          <cell r="S140">
            <v>12567</v>
          </cell>
          <cell r="T140" t="str">
            <v>NABZAR AHMED</v>
          </cell>
          <cell r="U140" t="str">
            <v>Ordinaire</v>
          </cell>
          <cell r="V140" t="str">
            <v>Reprise</v>
          </cell>
          <cell r="W140" t="str">
            <v>Dotations nouvelles</v>
          </cell>
          <cell r="X140" t="str">
            <v>Aucune</v>
          </cell>
          <cell r="Y140" t="str">
            <v>Prévu</v>
          </cell>
          <cell r="Z140" t="str">
            <v>Reprise</v>
          </cell>
        </row>
        <row r="141">
          <cell r="A141">
            <v>2861</v>
          </cell>
          <cell r="B141">
            <v>1</v>
          </cell>
          <cell r="C141" t="str">
            <v>IV22225</v>
          </cell>
          <cell r="D141" t="str">
            <v>ACHAT DES BASCULES INTEGRATRICES POUR LES INSTALLATIONS DU COZ</v>
          </cell>
          <cell r="E141" t="str">
            <v>Approuvé</v>
          </cell>
          <cell r="F141" t="str">
            <v>K04315</v>
          </cell>
          <cell r="G141">
            <v>2</v>
          </cell>
          <cell r="H141" t="str">
            <v>Reprise</v>
          </cell>
          <cell r="I141" t="str">
            <v>REPRISE</v>
          </cell>
          <cell r="J141" t="str">
            <v>Budgété</v>
          </cell>
          <cell r="K141">
            <v>1042048.34</v>
          </cell>
          <cell r="L141">
            <v>1042048.34</v>
          </cell>
          <cell r="O141">
            <v>580000</v>
          </cell>
          <cell r="P141">
            <v>462048.34</v>
          </cell>
          <cell r="S141">
            <v>12570</v>
          </cell>
          <cell r="T141" t="str">
            <v>BERRADA ACHRAF</v>
          </cell>
          <cell r="U141" t="str">
            <v>Ordinaire</v>
          </cell>
          <cell r="V141" t="str">
            <v>Reprise</v>
          </cell>
          <cell r="W141" t="str">
            <v>Dotations nouvelles</v>
          </cell>
          <cell r="X141" t="str">
            <v>Aucune</v>
          </cell>
          <cell r="Y141" t="str">
            <v>Prévu</v>
          </cell>
          <cell r="Z141" t="str">
            <v>Reprise</v>
          </cell>
        </row>
        <row r="142">
          <cell r="A142">
            <v>2862</v>
          </cell>
          <cell r="B142">
            <v>1</v>
          </cell>
          <cell r="C142" t="str">
            <v>IV22230</v>
          </cell>
          <cell r="D142" t="str">
            <v>ACHAT DE 9 CONVERTISSEURS DE FREQUENCE POUR LES INSTALLATIONS DU COZ</v>
          </cell>
          <cell r="E142" t="str">
            <v>Approuvé</v>
          </cell>
          <cell r="F142" t="str">
            <v>K04307</v>
          </cell>
          <cell r="G142">
            <v>3</v>
          </cell>
          <cell r="H142" t="str">
            <v>Report 2007</v>
          </cell>
          <cell r="I142" t="str">
            <v>REPORT</v>
          </cell>
          <cell r="J142" t="str">
            <v>Budgété</v>
          </cell>
          <cell r="K142">
            <v>4300538.0999999996</v>
          </cell>
          <cell r="L142">
            <v>4300538.0999999996</v>
          </cell>
          <cell r="M142">
            <v>1260000</v>
          </cell>
          <cell r="N142">
            <v>1260000</v>
          </cell>
          <cell r="O142">
            <v>3040538.1</v>
          </cell>
          <cell r="S142">
            <v>24345</v>
          </cell>
          <cell r="T142" t="str">
            <v>BERRADA ACHRAF</v>
          </cell>
          <cell r="U142" t="str">
            <v>Ordinaire</v>
          </cell>
          <cell r="V142" t="str">
            <v>Reprise</v>
          </cell>
          <cell r="W142" t="str">
            <v>Dotations nouvelles</v>
          </cell>
          <cell r="X142" t="str">
            <v>Aucune</v>
          </cell>
          <cell r="Y142" t="str">
            <v>Prévu</v>
          </cell>
          <cell r="Z142" t="str">
            <v>Reprise</v>
          </cell>
        </row>
        <row r="143">
          <cell r="A143">
            <v>2863</v>
          </cell>
          <cell r="B143">
            <v>1</v>
          </cell>
          <cell r="C143" t="str">
            <v>IV22231</v>
          </cell>
          <cell r="D143" t="str">
            <v>ACHAT D'UNE TIREUSE DE PLANS POUR BUREAU D' ETUDE PMK/TM</v>
          </cell>
          <cell r="E143" t="str">
            <v>Approuvé</v>
          </cell>
          <cell r="F143" t="str">
            <v>K04530</v>
          </cell>
          <cell r="G143">
            <v>2</v>
          </cell>
          <cell r="H143" t="str">
            <v>Reprise</v>
          </cell>
          <cell r="I143" t="str">
            <v>REPRISE</v>
          </cell>
          <cell r="J143" t="str">
            <v>Budgété</v>
          </cell>
          <cell r="K143">
            <v>480000</v>
          </cell>
          <cell r="L143">
            <v>480000</v>
          </cell>
          <cell r="O143">
            <v>480000</v>
          </cell>
          <cell r="S143">
            <v>12420</v>
          </cell>
          <cell r="T143" t="str">
            <v>NABZAR AHMED</v>
          </cell>
          <cell r="U143" t="str">
            <v>Ordinaire</v>
          </cell>
          <cell r="V143" t="str">
            <v>Reprise</v>
          </cell>
          <cell r="W143" t="str">
            <v>Dotations nouvelles</v>
          </cell>
          <cell r="X143" t="str">
            <v>Aucune</v>
          </cell>
          <cell r="Y143" t="str">
            <v>Prévu</v>
          </cell>
          <cell r="Z143" t="str">
            <v>Reprise</v>
          </cell>
        </row>
        <row r="144">
          <cell r="A144">
            <v>2864</v>
          </cell>
          <cell r="B144">
            <v>1</v>
          </cell>
          <cell r="C144" t="str">
            <v>IV22232</v>
          </cell>
          <cell r="D144" t="str">
            <v>TREMIE A L'EXTENSION ZONE CENTRALE SUD</v>
          </cell>
          <cell r="E144" t="str">
            <v>Approuvé</v>
          </cell>
          <cell r="F144" t="str">
            <v>K03500</v>
          </cell>
          <cell r="G144">
            <v>4</v>
          </cell>
          <cell r="I144" t="str">
            <v>REPORT</v>
          </cell>
          <cell r="J144" t="str">
            <v>Budgété</v>
          </cell>
          <cell r="K144">
            <v>174000000</v>
          </cell>
          <cell r="L144">
            <v>174000000</v>
          </cell>
          <cell r="M144">
            <v>89000000</v>
          </cell>
          <cell r="N144">
            <v>89000000</v>
          </cell>
          <cell r="O144">
            <v>11640000</v>
          </cell>
          <cell r="Q144">
            <v>73360000</v>
          </cell>
          <cell r="S144">
            <v>24268</v>
          </cell>
          <cell r="T144" t="str">
            <v>NAJAM SAID</v>
          </cell>
          <cell r="U144" t="str">
            <v>Important</v>
          </cell>
          <cell r="V144" t="str">
            <v>Reprise</v>
          </cell>
          <cell r="W144" t="str">
            <v>Dotations nouvelles</v>
          </cell>
          <cell r="X144" t="str">
            <v>Aucune</v>
          </cell>
          <cell r="Y144" t="str">
            <v>Prévu</v>
          </cell>
          <cell r="Z144" t="str">
            <v>Reprise</v>
          </cell>
        </row>
        <row r="145">
          <cell r="A145">
            <v>2865</v>
          </cell>
          <cell r="B145">
            <v>1</v>
          </cell>
          <cell r="C145" t="str">
            <v>IV22233</v>
          </cell>
          <cell r="D145" t="str">
            <v>COMPLEMENT POUR LA TREMIE AU PANNEAU  SIDI CHENNANE</v>
          </cell>
          <cell r="E145" t="str">
            <v>Approuvé</v>
          </cell>
          <cell r="F145" t="str">
            <v>K03300</v>
          </cell>
          <cell r="G145">
            <v>4</v>
          </cell>
          <cell r="H145" t="str">
            <v>Report</v>
          </cell>
          <cell r="I145" t="str">
            <v>REPORT</v>
          </cell>
          <cell r="J145" t="str">
            <v>Budgété</v>
          </cell>
          <cell r="K145">
            <v>340000000</v>
          </cell>
          <cell r="L145">
            <v>340000000</v>
          </cell>
          <cell r="M145">
            <v>40000000</v>
          </cell>
          <cell r="N145">
            <v>40000000</v>
          </cell>
          <cell r="O145">
            <v>300000000</v>
          </cell>
          <cell r="S145">
            <v>24305</v>
          </cell>
          <cell r="T145" t="str">
            <v>AMRAOUZA OMAR</v>
          </cell>
          <cell r="U145" t="str">
            <v>Important</v>
          </cell>
          <cell r="V145" t="str">
            <v>Reprise</v>
          </cell>
          <cell r="W145" t="str">
            <v>Dotations nouvelles</v>
          </cell>
          <cell r="X145" t="str">
            <v>Aucune</v>
          </cell>
          <cell r="Y145" t="str">
            <v>Prévu</v>
          </cell>
          <cell r="Z145" t="str">
            <v>Reprise</v>
          </cell>
        </row>
        <row r="146">
          <cell r="A146">
            <v>2866</v>
          </cell>
          <cell r="B146">
            <v>1</v>
          </cell>
          <cell r="C146" t="str">
            <v>IV22235</v>
          </cell>
          <cell r="D146" t="str">
            <v>ACHAT DE 06 CAMIONS M100</v>
          </cell>
          <cell r="E146" t="str">
            <v>Approuvé</v>
          </cell>
          <cell r="F146" t="str">
            <v>K03743</v>
          </cell>
          <cell r="G146">
            <v>2</v>
          </cell>
          <cell r="H146" t="str">
            <v>Reprise</v>
          </cell>
          <cell r="I146" t="str">
            <v>REPRISE</v>
          </cell>
          <cell r="J146" t="str">
            <v>Budgété</v>
          </cell>
          <cell r="K146">
            <v>106060066</v>
          </cell>
          <cell r="L146">
            <v>106060066</v>
          </cell>
          <cell r="P146">
            <v>106060066</v>
          </cell>
          <cell r="S146">
            <v>12432</v>
          </cell>
          <cell r="T146" t="str">
            <v>NABZAR AHMED</v>
          </cell>
          <cell r="U146" t="str">
            <v>Ordinaire</v>
          </cell>
          <cell r="V146" t="str">
            <v>Reprise</v>
          </cell>
          <cell r="W146" t="str">
            <v>Renouvellement</v>
          </cell>
          <cell r="X146" t="str">
            <v>Aucune</v>
          </cell>
          <cell r="Y146" t="str">
            <v>Prévu</v>
          </cell>
          <cell r="Z146" t="str">
            <v>Reprise</v>
          </cell>
        </row>
        <row r="147">
          <cell r="A147">
            <v>2867</v>
          </cell>
          <cell r="B147">
            <v>1</v>
          </cell>
          <cell r="C147" t="str">
            <v>IV22236</v>
          </cell>
          <cell r="D147" t="str">
            <v>ACHAT DE 04 CHARIOTS ELEVATEURS (02 DE 04 TONNES ET 02 DE 10 TONNES)</v>
          </cell>
          <cell r="E147" t="str">
            <v>Approuvé</v>
          </cell>
          <cell r="F147" t="str">
            <v>K03845</v>
          </cell>
          <cell r="G147">
            <v>2</v>
          </cell>
          <cell r="H147" t="str">
            <v>Reprise</v>
          </cell>
          <cell r="I147" t="str">
            <v>REPRISE</v>
          </cell>
          <cell r="J147" t="str">
            <v>Budgété</v>
          </cell>
          <cell r="K147">
            <v>4000000</v>
          </cell>
          <cell r="L147">
            <v>4000000</v>
          </cell>
          <cell r="O147">
            <v>4000000</v>
          </cell>
          <cell r="S147">
            <v>12436</v>
          </cell>
          <cell r="T147" t="str">
            <v>NABZAR AHMED</v>
          </cell>
          <cell r="U147" t="str">
            <v>Ordinaire</v>
          </cell>
          <cell r="V147" t="str">
            <v>Reprise</v>
          </cell>
          <cell r="W147" t="str">
            <v>Renouvellement</v>
          </cell>
          <cell r="X147" t="str">
            <v>Aucune</v>
          </cell>
          <cell r="Y147" t="str">
            <v>Prévu</v>
          </cell>
          <cell r="Z147" t="str">
            <v>Reprise</v>
          </cell>
        </row>
        <row r="148">
          <cell r="A148">
            <v>2868</v>
          </cell>
          <cell r="B148">
            <v>1</v>
          </cell>
          <cell r="C148" t="str">
            <v>IV22237</v>
          </cell>
          <cell r="D148" t="str">
            <v>ACHAT DE 03 CAMIONS GRUES</v>
          </cell>
          <cell r="E148" t="str">
            <v>Approuvé</v>
          </cell>
          <cell r="F148" t="str">
            <v>K03845</v>
          </cell>
          <cell r="G148">
            <v>2</v>
          </cell>
          <cell r="H148" t="str">
            <v>Reprise</v>
          </cell>
          <cell r="I148" t="str">
            <v>REPRISE</v>
          </cell>
          <cell r="J148" t="str">
            <v>Budgété</v>
          </cell>
          <cell r="K148">
            <v>4200000</v>
          </cell>
          <cell r="L148">
            <v>4200000</v>
          </cell>
          <cell r="O148">
            <v>4200000</v>
          </cell>
          <cell r="S148">
            <v>12439</v>
          </cell>
          <cell r="T148" t="str">
            <v>CHARKI EL YAMANI</v>
          </cell>
          <cell r="U148" t="str">
            <v>Ordinaire</v>
          </cell>
          <cell r="V148" t="str">
            <v>Reprise</v>
          </cell>
          <cell r="W148" t="str">
            <v>Renouvellement</v>
          </cell>
          <cell r="X148" t="str">
            <v>Aucune</v>
          </cell>
          <cell r="Y148" t="str">
            <v>Prévu</v>
          </cell>
          <cell r="Z148" t="str">
            <v>Reprise</v>
          </cell>
        </row>
        <row r="149">
          <cell r="A149">
            <v>2869</v>
          </cell>
          <cell r="B149">
            <v>1</v>
          </cell>
          <cell r="C149" t="str">
            <v>IV22239</v>
          </cell>
          <cell r="D149" t="str">
            <v>RENOUVELLEMENT D'UN CAMION DE RAVITAILLEMENT</v>
          </cell>
          <cell r="E149" t="str">
            <v>Approuvé</v>
          </cell>
          <cell r="F149" t="str">
            <v>K03745</v>
          </cell>
          <cell r="G149">
            <v>2</v>
          </cell>
          <cell r="H149" t="str">
            <v>Reprise</v>
          </cell>
          <cell r="I149" t="str">
            <v>REPRISE</v>
          </cell>
          <cell r="J149" t="str">
            <v>Budgété</v>
          </cell>
          <cell r="K149">
            <v>5000000</v>
          </cell>
          <cell r="L149">
            <v>5000000</v>
          </cell>
          <cell r="O149">
            <v>5000000</v>
          </cell>
          <cell r="S149">
            <v>12442</v>
          </cell>
          <cell r="T149" t="str">
            <v>HALMI Abderrahmane</v>
          </cell>
          <cell r="U149" t="str">
            <v>Ordinaire</v>
          </cell>
          <cell r="V149" t="str">
            <v>Reprise</v>
          </cell>
          <cell r="W149" t="str">
            <v>Renouvellement</v>
          </cell>
          <cell r="X149" t="str">
            <v>Aucune</v>
          </cell>
          <cell r="Y149" t="str">
            <v>Prévu</v>
          </cell>
          <cell r="Z149" t="str">
            <v>Reprise</v>
          </cell>
        </row>
        <row r="150">
          <cell r="A150">
            <v>2870</v>
          </cell>
          <cell r="B150">
            <v>1</v>
          </cell>
          <cell r="C150" t="str">
            <v>IV22240</v>
          </cell>
          <cell r="D150" t="str">
            <v>ACHAT D'UN GRAPIN POUR TREMIE</v>
          </cell>
          <cell r="E150" t="str">
            <v>Approuvé</v>
          </cell>
          <cell r="F150" t="str">
            <v>K03292</v>
          </cell>
          <cell r="G150">
            <v>2</v>
          </cell>
          <cell r="H150" t="str">
            <v>Reprise</v>
          </cell>
          <cell r="I150" t="str">
            <v>REPRISE</v>
          </cell>
          <cell r="J150" t="str">
            <v>Budgété</v>
          </cell>
          <cell r="K150">
            <v>2400000</v>
          </cell>
          <cell r="L150">
            <v>2400000</v>
          </cell>
          <cell r="O150">
            <v>2400000</v>
          </cell>
          <cell r="S150">
            <v>12443</v>
          </cell>
          <cell r="T150" t="str">
            <v>MAHSOUN Abdellah</v>
          </cell>
          <cell r="U150" t="str">
            <v>Ordinaire</v>
          </cell>
          <cell r="V150" t="str">
            <v>Reprise</v>
          </cell>
          <cell r="W150" t="str">
            <v>Renouvellement</v>
          </cell>
          <cell r="X150" t="str">
            <v>Aucune</v>
          </cell>
          <cell r="Y150" t="str">
            <v>Prévu</v>
          </cell>
          <cell r="Z150" t="str">
            <v>Reprise</v>
          </cell>
        </row>
        <row r="151">
          <cell r="A151">
            <v>2871</v>
          </cell>
          <cell r="B151">
            <v>1</v>
          </cell>
          <cell r="C151" t="str">
            <v>IV22241</v>
          </cell>
          <cell r="D151" t="str">
            <v>RENOUVELLEMENT D'UNE CHARGEUSE PAR UNE PELLE HYDRAULIQUE.</v>
          </cell>
          <cell r="E151" t="str">
            <v>Approuvé</v>
          </cell>
          <cell r="F151" t="str">
            <v>K03744</v>
          </cell>
          <cell r="G151">
            <v>3</v>
          </cell>
          <cell r="H151" t="str">
            <v>Report-2007</v>
          </cell>
          <cell r="I151" t="str">
            <v>REPORT</v>
          </cell>
          <cell r="J151" t="str">
            <v>Budgété</v>
          </cell>
          <cell r="K151">
            <v>30000000</v>
          </cell>
          <cell r="L151">
            <v>30000000</v>
          </cell>
          <cell r="M151">
            <v>30000000</v>
          </cell>
          <cell r="N151">
            <v>30000000</v>
          </cell>
          <cell r="O151">
            <v>0</v>
          </cell>
          <cell r="S151">
            <v>24319</v>
          </cell>
          <cell r="T151" t="str">
            <v>KARROUACHE EL HAJ</v>
          </cell>
          <cell r="U151" t="str">
            <v>Ordinaire</v>
          </cell>
          <cell r="V151" t="str">
            <v>Reprise</v>
          </cell>
          <cell r="W151" t="str">
            <v>Renouvellement</v>
          </cell>
          <cell r="X151" t="str">
            <v>Aucune</v>
          </cell>
          <cell r="Y151" t="str">
            <v>Prévu</v>
          </cell>
          <cell r="Z151" t="str">
            <v>Reprise</v>
          </cell>
        </row>
        <row r="152">
          <cell r="A152">
            <v>2872</v>
          </cell>
          <cell r="B152">
            <v>1</v>
          </cell>
          <cell r="C152" t="str">
            <v>IV22242</v>
          </cell>
          <cell r="D152" t="str">
            <v>ACHAT D'UNE NIVELEUSE AUTOMOTRICE</v>
          </cell>
          <cell r="E152" t="str">
            <v>Approuvé</v>
          </cell>
          <cell r="F152" t="str">
            <v>K03845</v>
          </cell>
          <cell r="G152">
            <v>2</v>
          </cell>
          <cell r="H152" t="str">
            <v>Reprise</v>
          </cell>
          <cell r="I152" t="str">
            <v>REPRISE</v>
          </cell>
          <cell r="J152" t="str">
            <v>Budgété</v>
          </cell>
          <cell r="K152">
            <v>6000000</v>
          </cell>
          <cell r="L152">
            <v>6000000</v>
          </cell>
          <cell r="O152">
            <v>6000000</v>
          </cell>
          <cell r="S152">
            <v>12451</v>
          </cell>
          <cell r="T152" t="str">
            <v>EL KASSI SOUFIYANE</v>
          </cell>
          <cell r="U152" t="str">
            <v>Ordinaire</v>
          </cell>
          <cell r="V152" t="str">
            <v>Reprise</v>
          </cell>
          <cell r="W152" t="str">
            <v>Renouvellement</v>
          </cell>
          <cell r="X152" t="str">
            <v>Aucune</v>
          </cell>
          <cell r="Y152" t="str">
            <v>Prévu</v>
          </cell>
          <cell r="Z152" t="str">
            <v>Reprise</v>
          </cell>
        </row>
        <row r="153">
          <cell r="A153">
            <v>2873</v>
          </cell>
          <cell r="B153">
            <v>1</v>
          </cell>
          <cell r="C153" t="str">
            <v>IV22244</v>
          </cell>
          <cell r="D153" t="str">
            <v>ACHAT DE 02 MOTEURS THERMIQUES 1600 HP</v>
          </cell>
          <cell r="E153" t="str">
            <v>Approuvé</v>
          </cell>
          <cell r="F153" t="str">
            <v>K03555</v>
          </cell>
          <cell r="G153">
            <v>2</v>
          </cell>
          <cell r="H153" t="str">
            <v>Reprise</v>
          </cell>
          <cell r="I153" t="str">
            <v>REPRISE</v>
          </cell>
          <cell r="J153" t="str">
            <v>Budgété</v>
          </cell>
          <cell r="K153">
            <v>8515486.1699999999</v>
          </cell>
          <cell r="L153">
            <v>8515486.1699999999</v>
          </cell>
          <cell r="O153">
            <v>5000000</v>
          </cell>
          <cell r="P153">
            <v>3515486.17</v>
          </cell>
          <cell r="S153">
            <v>12454</v>
          </cell>
          <cell r="T153" t="str">
            <v>MAGHRAOUI Brahim</v>
          </cell>
          <cell r="U153" t="str">
            <v>Ordinaire</v>
          </cell>
          <cell r="V153" t="str">
            <v>Reprise</v>
          </cell>
          <cell r="W153" t="str">
            <v>Renouvellement</v>
          </cell>
          <cell r="X153" t="str">
            <v>Aucune</v>
          </cell>
          <cell r="Y153" t="str">
            <v>Prévu</v>
          </cell>
          <cell r="Z153" t="str">
            <v>Reprise</v>
          </cell>
        </row>
        <row r="154">
          <cell r="A154">
            <v>2874</v>
          </cell>
          <cell r="B154">
            <v>1</v>
          </cell>
          <cell r="C154" t="str">
            <v>IV22246</v>
          </cell>
          <cell r="D154" t="str">
            <v>ACHAT DE 03 LAMPES PORTATIVES ET 01 PERCEUSE ELECTRIQUE  CAPACITÉ 16/8 MM</v>
          </cell>
          <cell r="E154" t="str">
            <v>Approuvé</v>
          </cell>
          <cell r="F154" t="str">
            <v>K03710</v>
          </cell>
          <cell r="G154">
            <v>2</v>
          </cell>
          <cell r="H154" t="str">
            <v>Reprise</v>
          </cell>
          <cell r="I154" t="str">
            <v>REPRISE</v>
          </cell>
          <cell r="J154" t="str">
            <v>Budgété</v>
          </cell>
          <cell r="K154">
            <v>6576</v>
          </cell>
          <cell r="L154">
            <v>6576</v>
          </cell>
          <cell r="P154">
            <v>6576</v>
          </cell>
          <cell r="S154">
            <v>12457</v>
          </cell>
          <cell r="T154" t="str">
            <v>NABZAR AHMED</v>
          </cell>
          <cell r="U154" t="str">
            <v>Ordinaire</v>
          </cell>
          <cell r="V154" t="str">
            <v>Reprise</v>
          </cell>
          <cell r="W154" t="str">
            <v>Renouvellement</v>
          </cell>
          <cell r="X154" t="str">
            <v>Aucune</v>
          </cell>
          <cell r="Y154" t="str">
            <v>Prévu</v>
          </cell>
          <cell r="Z154" t="str">
            <v>Reprise</v>
          </cell>
        </row>
        <row r="155">
          <cell r="A155">
            <v>2875</v>
          </cell>
          <cell r="B155">
            <v>1</v>
          </cell>
          <cell r="C155" t="str">
            <v>IV22249</v>
          </cell>
          <cell r="D155" t="str">
            <v>ACHAT  02 COMPRESSEURS D'AIR ELECTRIQUES 7 ET 12 BARS</v>
          </cell>
          <cell r="E155" t="str">
            <v>Approuvé</v>
          </cell>
          <cell r="F155" t="str">
            <v>K03841</v>
          </cell>
          <cell r="G155">
            <v>2</v>
          </cell>
          <cell r="H155" t="str">
            <v>Reprise</v>
          </cell>
          <cell r="I155" t="str">
            <v>REPRISE</v>
          </cell>
          <cell r="J155" t="str">
            <v>Budgété</v>
          </cell>
          <cell r="K155">
            <v>573951.19999999995</v>
          </cell>
          <cell r="L155">
            <v>573951.19999999995</v>
          </cell>
          <cell r="O155">
            <v>50000</v>
          </cell>
          <cell r="P155">
            <v>523951.2</v>
          </cell>
          <cell r="S155">
            <v>12459</v>
          </cell>
          <cell r="T155" t="str">
            <v>NABZAR AHMED</v>
          </cell>
          <cell r="U155" t="str">
            <v>Ordinaire</v>
          </cell>
          <cell r="V155" t="str">
            <v>Reprise</v>
          </cell>
          <cell r="W155" t="str">
            <v>Renouvellement</v>
          </cell>
          <cell r="X155" t="str">
            <v>Aucune</v>
          </cell>
          <cell r="Y155" t="str">
            <v>Prévu</v>
          </cell>
          <cell r="Z155" t="str">
            <v>Reprise</v>
          </cell>
        </row>
        <row r="156">
          <cell r="A156">
            <v>2876</v>
          </cell>
          <cell r="B156">
            <v>1</v>
          </cell>
          <cell r="C156" t="str">
            <v>IV22251</v>
          </cell>
          <cell r="D156" t="str">
            <v>ACHAT DE 02 GROUPES MOTO-POMPE</v>
          </cell>
          <cell r="E156" t="str">
            <v>Approuvé</v>
          </cell>
          <cell r="F156" t="str">
            <v>K03025</v>
          </cell>
          <cell r="G156">
            <v>2</v>
          </cell>
          <cell r="H156" t="str">
            <v>Reprise</v>
          </cell>
          <cell r="I156" t="str">
            <v>REPRISE</v>
          </cell>
          <cell r="J156" t="str">
            <v>Budgété</v>
          </cell>
          <cell r="K156">
            <v>1431902.12</v>
          </cell>
          <cell r="L156">
            <v>1431902.12</v>
          </cell>
          <cell r="O156">
            <v>800000</v>
          </cell>
          <cell r="P156">
            <v>631902.12</v>
          </cell>
          <cell r="S156">
            <v>12462</v>
          </cell>
          <cell r="T156" t="str">
            <v>NABZAR AHMED</v>
          </cell>
          <cell r="U156" t="str">
            <v>Ordinaire</v>
          </cell>
          <cell r="V156" t="str">
            <v>Reprise</v>
          </cell>
          <cell r="W156" t="str">
            <v>Renouvellement</v>
          </cell>
          <cell r="X156" t="str">
            <v>Aucune</v>
          </cell>
          <cell r="Y156" t="str">
            <v>Prévu</v>
          </cell>
          <cell r="Z156" t="str">
            <v>Reprise</v>
          </cell>
        </row>
        <row r="157">
          <cell r="A157">
            <v>2877</v>
          </cell>
          <cell r="B157">
            <v>1</v>
          </cell>
          <cell r="C157" t="str">
            <v>IV22252</v>
          </cell>
          <cell r="D157" t="str">
            <v>RENOUVELLEMENT D'UN BANC D'ESSAI DES MOTEURS THERMIQUES DIESEL</v>
          </cell>
          <cell r="E157" t="str">
            <v>Approuvé</v>
          </cell>
          <cell r="F157" t="str">
            <v>K03555</v>
          </cell>
          <cell r="G157">
            <v>2</v>
          </cell>
          <cell r="H157" t="str">
            <v>Reprise</v>
          </cell>
          <cell r="I157" t="str">
            <v>REPRISE</v>
          </cell>
          <cell r="J157" t="str">
            <v>Budgété</v>
          </cell>
          <cell r="K157">
            <v>1500000</v>
          </cell>
          <cell r="L157">
            <v>1500000</v>
          </cell>
          <cell r="O157">
            <v>1500000</v>
          </cell>
          <cell r="S157">
            <v>12465</v>
          </cell>
          <cell r="T157" t="str">
            <v>NABZAR AHMED</v>
          </cell>
          <cell r="U157" t="str">
            <v>Ordinaire</v>
          </cell>
          <cell r="V157" t="str">
            <v>Reprise</v>
          </cell>
          <cell r="W157" t="str">
            <v>Renouvellement</v>
          </cell>
          <cell r="X157" t="str">
            <v>Aucune</v>
          </cell>
          <cell r="Y157" t="str">
            <v>Prévu</v>
          </cell>
          <cell r="Z157" t="str">
            <v>Reprise</v>
          </cell>
        </row>
        <row r="158">
          <cell r="A158">
            <v>2878</v>
          </cell>
          <cell r="B158">
            <v>1</v>
          </cell>
          <cell r="C158" t="str">
            <v>IV22255</v>
          </cell>
          <cell r="D158" t="str">
            <v>ACHAT 02 COMPRESSEURS A VIS SULLAIR  ET D' UN COMPRESSEUR A VIS INGERSOLLAND</v>
          </cell>
          <cell r="E158" t="str">
            <v>Approuvé</v>
          </cell>
          <cell r="F158" t="str">
            <v>K03841</v>
          </cell>
          <cell r="G158">
            <v>3</v>
          </cell>
          <cell r="H158" t="str">
            <v>Report-2007</v>
          </cell>
          <cell r="I158" t="str">
            <v>REPORT</v>
          </cell>
          <cell r="J158" t="str">
            <v>Budgété</v>
          </cell>
          <cell r="K158">
            <v>1500000</v>
          </cell>
          <cell r="L158">
            <v>1500000</v>
          </cell>
          <cell r="M158">
            <v>1500000</v>
          </cell>
          <cell r="N158">
            <v>1500000</v>
          </cell>
          <cell r="O158">
            <v>0</v>
          </cell>
          <cell r="S158">
            <v>24464</v>
          </cell>
          <cell r="T158" t="str">
            <v>HALMI Abderrahmane</v>
          </cell>
          <cell r="U158" t="str">
            <v>Ordinaire</v>
          </cell>
          <cell r="V158" t="str">
            <v>Reprise</v>
          </cell>
          <cell r="W158" t="str">
            <v>Dotations nouvelles</v>
          </cell>
          <cell r="X158" t="str">
            <v>Aucune</v>
          </cell>
          <cell r="Y158" t="str">
            <v>Prévu</v>
          </cell>
          <cell r="Z158" t="str">
            <v>Reprise</v>
          </cell>
        </row>
        <row r="159">
          <cell r="A159">
            <v>2879</v>
          </cell>
          <cell r="B159">
            <v>1</v>
          </cell>
          <cell r="C159" t="str">
            <v>IV22257</v>
          </cell>
          <cell r="D159" t="str">
            <v>ACHAT DE 02 TRANSFORMATEURS 500 KVA/5.5/480V ET 1 TRANSFORMATEUR TRIPHASE 1250 KVA</v>
          </cell>
          <cell r="E159" t="str">
            <v>Approuvé</v>
          </cell>
          <cell r="F159" t="str">
            <v>K03841</v>
          </cell>
          <cell r="G159">
            <v>2</v>
          </cell>
          <cell r="H159" t="str">
            <v>Reprise</v>
          </cell>
          <cell r="I159" t="str">
            <v>REPRISE</v>
          </cell>
          <cell r="J159" t="str">
            <v>Budgété</v>
          </cell>
          <cell r="K159">
            <v>1400000</v>
          </cell>
          <cell r="L159">
            <v>1400000</v>
          </cell>
          <cell r="O159">
            <v>1400000</v>
          </cell>
          <cell r="S159">
            <v>12470</v>
          </cell>
          <cell r="T159" t="str">
            <v>NABZAR AHMED</v>
          </cell>
          <cell r="U159" t="str">
            <v>Ordinaire</v>
          </cell>
          <cell r="V159" t="str">
            <v>Reprise</v>
          </cell>
          <cell r="W159" t="str">
            <v>Dotations nouvelles</v>
          </cell>
          <cell r="X159" t="str">
            <v>Aucune</v>
          </cell>
          <cell r="Y159" t="str">
            <v>Prévu</v>
          </cell>
          <cell r="Z159" t="str">
            <v>Reprise</v>
          </cell>
        </row>
        <row r="160">
          <cell r="A160">
            <v>2880</v>
          </cell>
          <cell r="B160">
            <v>1</v>
          </cell>
          <cell r="C160" t="str">
            <v>IV22259</v>
          </cell>
          <cell r="D160" t="str">
            <v>ACHAT DE 02 POSTES DE SOUDURE ELECTRIQUES STATIQUES 50 A - 500 A ET 01 POSTE DE SOUDURE SEMI AUTOMATIQUE</v>
          </cell>
          <cell r="E160" t="str">
            <v>Approuvé</v>
          </cell>
          <cell r="F160" t="str">
            <v>K03292</v>
          </cell>
          <cell r="G160">
            <v>2</v>
          </cell>
          <cell r="H160" t="str">
            <v>Reprise</v>
          </cell>
          <cell r="I160" t="str">
            <v>REPRISE</v>
          </cell>
          <cell r="J160" t="str">
            <v>Budgété</v>
          </cell>
          <cell r="K160">
            <v>96600</v>
          </cell>
          <cell r="L160">
            <v>96600</v>
          </cell>
          <cell r="P160">
            <v>96600</v>
          </cell>
          <cell r="S160">
            <v>12314</v>
          </cell>
          <cell r="T160" t="str">
            <v>NABZAR AHMED</v>
          </cell>
          <cell r="U160" t="str">
            <v>Ordinaire</v>
          </cell>
          <cell r="V160" t="str">
            <v>Reprise</v>
          </cell>
          <cell r="W160" t="str">
            <v>Dotations nouvelles</v>
          </cell>
          <cell r="X160" t="str">
            <v>Aucune</v>
          </cell>
          <cell r="Y160" t="str">
            <v>Prévu</v>
          </cell>
          <cell r="Z160" t="str">
            <v>Reprise</v>
          </cell>
        </row>
        <row r="161">
          <cell r="A161">
            <v>2881</v>
          </cell>
          <cell r="B161">
            <v>1</v>
          </cell>
          <cell r="C161" t="str">
            <v>IV22260</v>
          </cell>
          <cell r="D161" t="str">
            <v>ACHAT DE 03 PALANS ELECTRIQUES 10 TONNES</v>
          </cell>
          <cell r="E161" t="str">
            <v>Approuvé</v>
          </cell>
          <cell r="F161" t="str">
            <v>K03740</v>
          </cell>
          <cell r="G161">
            <v>2</v>
          </cell>
          <cell r="H161" t="str">
            <v>Reprise</v>
          </cell>
          <cell r="I161" t="str">
            <v>REPRISE</v>
          </cell>
          <cell r="J161" t="str">
            <v>Budgété</v>
          </cell>
          <cell r="K161">
            <v>1487880</v>
          </cell>
          <cell r="L161">
            <v>1487880</v>
          </cell>
          <cell r="O161">
            <v>900000</v>
          </cell>
          <cell r="P161">
            <v>587880</v>
          </cell>
          <cell r="S161">
            <v>12321</v>
          </cell>
          <cell r="T161" t="str">
            <v>NABZAR AHMED</v>
          </cell>
          <cell r="U161" t="str">
            <v>Ordinaire</v>
          </cell>
          <cell r="V161" t="str">
            <v>Reprise</v>
          </cell>
          <cell r="W161" t="str">
            <v>Dotations nouvelles</v>
          </cell>
          <cell r="X161" t="str">
            <v>Aucune</v>
          </cell>
          <cell r="Y161" t="str">
            <v>Prévu</v>
          </cell>
          <cell r="Z161" t="str">
            <v>Reprise</v>
          </cell>
        </row>
        <row r="162">
          <cell r="A162">
            <v>2882</v>
          </cell>
          <cell r="B162">
            <v>1</v>
          </cell>
          <cell r="C162" t="str">
            <v>IV22261</v>
          </cell>
          <cell r="D162" t="str">
            <v>ACHAT D'UN MOTEUR ELECTRIQUE 230 KW - 460 V</v>
          </cell>
          <cell r="E162" t="str">
            <v>Approuvé</v>
          </cell>
          <cell r="F162" t="str">
            <v>K03641</v>
          </cell>
          <cell r="G162">
            <v>2</v>
          </cell>
          <cell r="H162" t="str">
            <v>Reprise</v>
          </cell>
          <cell r="I162" t="str">
            <v>REPRISE</v>
          </cell>
          <cell r="J162" t="str">
            <v>Budgété</v>
          </cell>
          <cell r="K162">
            <v>480000</v>
          </cell>
          <cell r="L162">
            <v>480000</v>
          </cell>
          <cell r="O162">
            <v>480000</v>
          </cell>
          <cell r="S162">
            <v>14617</v>
          </cell>
          <cell r="T162" t="str">
            <v>HALMI Abderrahmane</v>
          </cell>
          <cell r="U162" t="str">
            <v>Ordinaire</v>
          </cell>
          <cell r="V162" t="str">
            <v>Reprise</v>
          </cell>
          <cell r="W162" t="str">
            <v>Dotations nouvelles</v>
          </cell>
          <cell r="X162" t="str">
            <v>Aucune</v>
          </cell>
          <cell r="Y162" t="str">
            <v>Prévu</v>
          </cell>
          <cell r="Z162" t="str">
            <v>Reprise</v>
          </cell>
        </row>
        <row r="163">
          <cell r="A163">
            <v>2883</v>
          </cell>
          <cell r="B163">
            <v>1</v>
          </cell>
          <cell r="C163" t="str">
            <v>IV22262</v>
          </cell>
          <cell r="D163" t="str">
            <v>ACHAT D'UN ENSEMBLE DE PRESSE HYDRAULIQUE 150 TONNES, 01 VERIN HYDRAULIQUE CAPACITE 30 TONNES - DOUBLE EFFET ET UN VERIN HYDRAULIQUE CAPACITE 55 TONNES - DOUBLE EFFET</v>
          </cell>
          <cell r="E163" t="str">
            <v>Approuvé</v>
          </cell>
          <cell r="F163" t="str">
            <v>K03810</v>
          </cell>
          <cell r="G163">
            <v>2</v>
          </cell>
          <cell r="H163" t="str">
            <v>Reprise</v>
          </cell>
          <cell r="I163" t="str">
            <v>REPRISE</v>
          </cell>
          <cell r="J163" t="str">
            <v>Budgété</v>
          </cell>
          <cell r="K163">
            <v>97941.6</v>
          </cell>
          <cell r="L163">
            <v>97941.6</v>
          </cell>
          <cell r="P163">
            <v>97941.6</v>
          </cell>
          <cell r="S163">
            <v>12329</v>
          </cell>
          <cell r="T163" t="str">
            <v>NABZAR AHMED</v>
          </cell>
          <cell r="U163" t="str">
            <v>Ordinaire</v>
          </cell>
          <cell r="V163" t="str">
            <v>Reprise</v>
          </cell>
          <cell r="W163" t="str">
            <v>Dotations nouvelles</v>
          </cell>
          <cell r="X163" t="str">
            <v>Aucune</v>
          </cell>
          <cell r="Y163" t="str">
            <v>Prévu</v>
          </cell>
          <cell r="Z163" t="str">
            <v>Reprise</v>
          </cell>
        </row>
        <row r="164">
          <cell r="A164">
            <v>2884</v>
          </cell>
          <cell r="B164">
            <v>1</v>
          </cell>
          <cell r="C164" t="str">
            <v>IV22263</v>
          </cell>
          <cell r="D164" t="str">
            <v>ACHAT D'UN ENSEMBLE DE REDUCTEUR DE COUPLE DE SERRAGE</v>
          </cell>
          <cell r="E164" t="str">
            <v>Approuvé</v>
          </cell>
          <cell r="F164" t="str">
            <v>K03811</v>
          </cell>
          <cell r="G164">
            <v>2</v>
          </cell>
          <cell r="H164" t="str">
            <v>Reprise</v>
          </cell>
          <cell r="I164" t="str">
            <v>REPRISE</v>
          </cell>
          <cell r="J164" t="str">
            <v>Budgété</v>
          </cell>
          <cell r="K164">
            <v>400000</v>
          </cell>
          <cell r="L164">
            <v>400000</v>
          </cell>
          <cell r="O164">
            <v>400000</v>
          </cell>
          <cell r="S164">
            <v>12332</v>
          </cell>
          <cell r="T164" t="str">
            <v>HASSAR OMAR</v>
          </cell>
          <cell r="U164" t="str">
            <v>Ordinaire</v>
          </cell>
          <cell r="V164" t="str">
            <v>Reprise</v>
          </cell>
          <cell r="W164" t="str">
            <v>Dotations nouvelles</v>
          </cell>
          <cell r="X164" t="str">
            <v>Aucune</v>
          </cell>
          <cell r="Y164" t="str">
            <v>Prévu</v>
          </cell>
          <cell r="Z164" t="str">
            <v>Reprise</v>
          </cell>
        </row>
        <row r="165">
          <cell r="A165">
            <v>2885</v>
          </cell>
          <cell r="B165">
            <v>1</v>
          </cell>
          <cell r="C165" t="str">
            <v>IV22264</v>
          </cell>
          <cell r="D165" t="str">
            <v>ACHAT D'OUTILLAGE D'ATELIER</v>
          </cell>
          <cell r="E165" t="str">
            <v>Approuvé</v>
          </cell>
          <cell r="F165" t="str">
            <v>K03810</v>
          </cell>
          <cell r="G165">
            <v>2</v>
          </cell>
          <cell r="H165" t="str">
            <v>Reprise</v>
          </cell>
          <cell r="I165" t="str">
            <v>REPRISE</v>
          </cell>
          <cell r="J165" t="str">
            <v>Budgété</v>
          </cell>
          <cell r="K165">
            <v>476953.25</v>
          </cell>
          <cell r="L165">
            <v>476953.25</v>
          </cell>
          <cell r="O165">
            <v>363100</v>
          </cell>
          <cell r="P165">
            <v>113853.25</v>
          </cell>
          <cell r="S165">
            <v>12341</v>
          </cell>
          <cell r="T165" t="str">
            <v>EL BOUCHRIFI Yagoub</v>
          </cell>
          <cell r="U165" t="str">
            <v>Ordinaire</v>
          </cell>
          <cell r="V165" t="str">
            <v>Reprise</v>
          </cell>
          <cell r="W165" t="str">
            <v>Dotations nouvelles</v>
          </cell>
          <cell r="X165" t="str">
            <v>Aucune</v>
          </cell>
          <cell r="Y165" t="str">
            <v>Prévu</v>
          </cell>
          <cell r="Z165" t="str">
            <v>Reprise</v>
          </cell>
        </row>
        <row r="166">
          <cell r="A166">
            <v>2886</v>
          </cell>
          <cell r="B166">
            <v>1</v>
          </cell>
          <cell r="C166" t="str">
            <v>IV22265</v>
          </cell>
          <cell r="D166" t="str">
            <v>ACHAT D' OUITLLAGE DES ATELIERS</v>
          </cell>
          <cell r="E166" t="str">
            <v>Approuvé</v>
          </cell>
          <cell r="F166" t="str">
            <v>K03710</v>
          </cell>
          <cell r="G166">
            <v>2</v>
          </cell>
          <cell r="H166" t="str">
            <v>Reprise</v>
          </cell>
          <cell r="I166" t="str">
            <v>REPRISE</v>
          </cell>
          <cell r="J166" t="str">
            <v>Budgété</v>
          </cell>
          <cell r="K166">
            <v>78044.710000000006</v>
          </cell>
          <cell r="L166">
            <v>78044.710000000006</v>
          </cell>
          <cell r="O166">
            <v>15000</v>
          </cell>
          <cell r="P166">
            <v>63044.71</v>
          </cell>
          <cell r="S166">
            <v>13237</v>
          </cell>
          <cell r="T166" t="str">
            <v>HALMI Abderrahmane</v>
          </cell>
          <cell r="U166" t="str">
            <v>Ordinaire</v>
          </cell>
          <cell r="V166" t="str">
            <v>Reprise</v>
          </cell>
          <cell r="W166" t="str">
            <v>Dotations nouvelles</v>
          </cell>
          <cell r="X166" t="str">
            <v>Aucune</v>
          </cell>
          <cell r="Y166" t="str">
            <v>Prévu</v>
          </cell>
          <cell r="Z166" t="str">
            <v>Reprise</v>
          </cell>
        </row>
        <row r="167">
          <cell r="A167">
            <v>2887</v>
          </cell>
          <cell r="B167">
            <v>1</v>
          </cell>
          <cell r="C167" t="str">
            <v>IV22267</v>
          </cell>
          <cell r="D167" t="str">
            <v>AUGMENTATION DE LA CAPACITE DES EXPEDITIONS DE PHOSPHATES DE BENI-IDIR</v>
          </cell>
          <cell r="E167" t="str">
            <v>Approuvé</v>
          </cell>
          <cell r="F167" t="str">
            <v>K04113</v>
          </cell>
          <cell r="G167">
            <v>2</v>
          </cell>
          <cell r="H167" t="str">
            <v>Reprise</v>
          </cell>
          <cell r="I167" t="str">
            <v>REPRISE</v>
          </cell>
          <cell r="J167" t="str">
            <v>Budgété</v>
          </cell>
          <cell r="K167">
            <v>18479000</v>
          </cell>
          <cell r="L167">
            <v>18479000</v>
          </cell>
          <cell r="O167">
            <v>18479000</v>
          </cell>
          <cell r="S167">
            <v>13233</v>
          </cell>
          <cell r="T167" t="str">
            <v>NABZAR AHMED</v>
          </cell>
          <cell r="U167" t="str">
            <v>Ordinaire</v>
          </cell>
          <cell r="V167" t="str">
            <v>Reprise</v>
          </cell>
          <cell r="W167" t="str">
            <v>Dotations nouvelles</v>
          </cell>
          <cell r="X167" t="str">
            <v>Aucune</v>
          </cell>
          <cell r="Y167" t="str">
            <v>Prévu</v>
          </cell>
          <cell r="Z167" t="str">
            <v>Reprise</v>
          </cell>
        </row>
        <row r="168">
          <cell r="A168">
            <v>2888</v>
          </cell>
          <cell r="B168">
            <v>1</v>
          </cell>
          <cell r="C168" t="str">
            <v>IV22270</v>
          </cell>
          <cell r="D168" t="str">
            <v>RN DE 3 TREUILS ELECTRIQUES POUR LES CONVOYEURS A BANDE RE - DA3 ET DB3 DU COZ</v>
          </cell>
          <cell r="E168" t="str">
            <v>Approuvé</v>
          </cell>
          <cell r="F168" t="str">
            <v>K04315</v>
          </cell>
          <cell r="G168">
            <v>2</v>
          </cell>
          <cell r="H168" t="str">
            <v>Reprise</v>
          </cell>
          <cell r="I168" t="str">
            <v>REPRISE</v>
          </cell>
          <cell r="J168" t="str">
            <v>Budgété</v>
          </cell>
          <cell r="K168">
            <v>480000</v>
          </cell>
          <cell r="L168">
            <v>480000</v>
          </cell>
          <cell r="O168">
            <v>480000</v>
          </cell>
          <cell r="S168">
            <v>13234</v>
          </cell>
          <cell r="T168" t="str">
            <v>NABZAR AHMED</v>
          </cell>
          <cell r="U168" t="str">
            <v>Ordinaire</v>
          </cell>
          <cell r="V168" t="str">
            <v>Reprise</v>
          </cell>
          <cell r="W168" t="str">
            <v>Renouvellement</v>
          </cell>
          <cell r="X168" t="str">
            <v>Aucune</v>
          </cell>
          <cell r="Y168" t="str">
            <v>Prévu</v>
          </cell>
          <cell r="Z168" t="str">
            <v>Reprise</v>
          </cell>
        </row>
        <row r="169">
          <cell r="A169">
            <v>2889</v>
          </cell>
          <cell r="B169">
            <v>1</v>
          </cell>
          <cell r="C169" t="str">
            <v>IV22271</v>
          </cell>
          <cell r="D169" t="str">
            <v>RN DU MOBILIER ADMINISTRATIF DE PMK/T</v>
          </cell>
          <cell r="E169" t="str">
            <v>Approuvé</v>
          </cell>
          <cell r="F169" t="str">
            <v>K04001</v>
          </cell>
          <cell r="G169">
            <v>2</v>
          </cell>
          <cell r="H169" t="str">
            <v>Reprise</v>
          </cell>
          <cell r="I169" t="str">
            <v>REPRISE</v>
          </cell>
          <cell r="J169" t="str">
            <v>Budgété</v>
          </cell>
          <cell r="K169">
            <v>686335.2</v>
          </cell>
          <cell r="L169">
            <v>686335.2</v>
          </cell>
          <cell r="O169">
            <v>261000</v>
          </cell>
          <cell r="P169">
            <v>425335.2</v>
          </cell>
          <cell r="S169">
            <v>13235</v>
          </cell>
          <cell r="T169" t="str">
            <v>NABZAR AHMED</v>
          </cell>
          <cell r="U169" t="str">
            <v>Administratif</v>
          </cell>
          <cell r="V169" t="str">
            <v>Reprise</v>
          </cell>
          <cell r="W169" t="str">
            <v>Renouvellement</v>
          </cell>
          <cell r="X169" t="str">
            <v>Aucune</v>
          </cell>
          <cell r="Y169" t="str">
            <v>Prévu</v>
          </cell>
          <cell r="Z169" t="str">
            <v>Reprise</v>
          </cell>
        </row>
        <row r="170">
          <cell r="A170">
            <v>2890</v>
          </cell>
          <cell r="B170">
            <v>1</v>
          </cell>
          <cell r="C170" t="str">
            <v>IV22272</v>
          </cell>
          <cell r="D170" t="str">
            <v>RN DU MATERIEL DE L'ATELIER MECANIQUE DE PMK/TD/CM</v>
          </cell>
          <cell r="E170" t="str">
            <v>Approuvé</v>
          </cell>
          <cell r="F170" t="str">
            <v>K04802</v>
          </cell>
          <cell r="G170">
            <v>2</v>
          </cell>
          <cell r="H170" t="str">
            <v>Reprise</v>
          </cell>
          <cell r="I170" t="str">
            <v>REPRISE</v>
          </cell>
          <cell r="J170" t="str">
            <v>Budgété</v>
          </cell>
          <cell r="K170">
            <v>690880</v>
          </cell>
          <cell r="L170">
            <v>690880</v>
          </cell>
          <cell r="O170">
            <v>490000</v>
          </cell>
          <cell r="P170">
            <v>200880</v>
          </cell>
          <cell r="S170">
            <v>13236</v>
          </cell>
          <cell r="T170" t="str">
            <v>NABZAR AHMED</v>
          </cell>
          <cell r="U170" t="str">
            <v>Ordinaire</v>
          </cell>
          <cell r="V170" t="str">
            <v>Reprise</v>
          </cell>
          <cell r="W170" t="str">
            <v>Renouvellement</v>
          </cell>
          <cell r="X170" t="str">
            <v>Aucune</v>
          </cell>
          <cell r="Y170" t="str">
            <v>Prévu</v>
          </cell>
          <cell r="Z170" t="str">
            <v>Reprise</v>
          </cell>
        </row>
        <row r="171">
          <cell r="A171">
            <v>2891</v>
          </cell>
          <cell r="B171">
            <v>1</v>
          </cell>
          <cell r="C171" t="str">
            <v>IV22273</v>
          </cell>
          <cell r="D171" t="str">
            <v>RN DES APPAREILS TELEPHONIQUES DE PMK/T</v>
          </cell>
          <cell r="E171" t="str">
            <v>Approuvé</v>
          </cell>
          <cell r="F171" t="str">
            <v>K04001</v>
          </cell>
          <cell r="G171">
            <v>2</v>
          </cell>
          <cell r="H171" t="str">
            <v>Reprise</v>
          </cell>
          <cell r="I171" t="str">
            <v>REPRISE</v>
          </cell>
          <cell r="J171" t="str">
            <v>Budgété</v>
          </cell>
          <cell r="K171">
            <v>371304</v>
          </cell>
          <cell r="L171">
            <v>371304</v>
          </cell>
          <cell r="P171">
            <v>371304</v>
          </cell>
          <cell r="S171">
            <v>13238</v>
          </cell>
          <cell r="T171" t="str">
            <v>NABZAR AHMED</v>
          </cell>
          <cell r="U171" t="str">
            <v>Administratif</v>
          </cell>
          <cell r="V171" t="str">
            <v>Reprise</v>
          </cell>
          <cell r="W171" t="str">
            <v>Renouvellement</v>
          </cell>
          <cell r="X171" t="str">
            <v>Aucune</v>
          </cell>
          <cell r="Y171" t="str">
            <v>Prévu</v>
          </cell>
          <cell r="Z171" t="str">
            <v>Reprise</v>
          </cell>
        </row>
        <row r="172">
          <cell r="A172">
            <v>2892</v>
          </cell>
          <cell r="B172">
            <v>1</v>
          </cell>
          <cell r="C172" t="str">
            <v>IV22274</v>
          </cell>
          <cell r="D172" t="str">
            <v>RN DE 2 BROYEURS DE LABORATOIRE POUR LES LABORATOIRES SECONDAIRES</v>
          </cell>
          <cell r="E172" t="str">
            <v>Approuvé</v>
          </cell>
          <cell r="F172" t="str">
            <v>K04013</v>
          </cell>
          <cell r="G172">
            <v>2</v>
          </cell>
          <cell r="H172" t="str">
            <v>Reprise</v>
          </cell>
          <cell r="I172" t="str">
            <v>REPRISE</v>
          </cell>
          <cell r="J172" t="str">
            <v>Budgété</v>
          </cell>
          <cell r="K172">
            <v>371475.18</v>
          </cell>
          <cell r="L172">
            <v>371475.18</v>
          </cell>
          <cell r="O172">
            <v>100000</v>
          </cell>
          <cell r="P172">
            <v>271475.18</v>
          </cell>
          <cell r="S172">
            <v>13239</v>
          </cell>
          <cell r="T172" t="str">
            <v>NABZAR AHMED</v>
          </cell>
          <cell r="U172" t="str">
            <v>Ordinaire</v>
          </cell>
          <cell r="V172" t="str">
            <v>Reprise</v>
          </cell>
          <cell r="W172" t="str">
            <v>Renouvellement</v>
          </cell>
          <cell r="X172" t="str">
            <v>Aucune</v>
          </cell>
          <cell r="Y172" t="str">
            <v>Prévu</v>
          </cell>
          <cell r="Z172" t="str">
            <v>Reprise</v>
          </cell>
        </row>
        <row r="173">
          <cell r="A173">
            <v>2893</v>
          </cell>
          <cell r="B173">
            <v>1</v>
          </cell>
          <cell r="C173" t="str">
            <v>IV22278</v>
          </cell>
          <cell r="D173" t="str">
            <v>RN DU MATERIEL DE CLIMATISATION ET DE FROID POUR DEK/TK</v>
          </cell>
          <cell r="E173" t="str">
            <v>Approuvé</v>
          </cell>
          <cell r="F173" t="str">
            <v>K04001</v>
          </cell>
          <cell r="G173">
            <v>2</v>
          </cell>
          <cell r="H173" t="str">
            <v>Reprise</v>
          </cell>
          <cell r="I173" t="str">
            <v>REPRISE</v>
          </cell>
          <cell r="J173" t="str">
            <v>Budgété</v>
          </cell>
          <cell r="K173">
            <v>366100.06</v>
          </cell>
          <cell r="L173">
            <v>366100.06</v>
          </cell>
          <cell r="P173">
            <v>366100.06</v>
          </cell>
          <cell r="S173">
            <v>13240</v>
          </cell>
          <cell r="T173" t="str">
            <v>NABZAR AHMED</v>
          </cell>
          <cell r="U173" t="str">
            <v>Administratif</v>
          </cell>
          <cell r="V173" t="str">
            <v>Reprise</v>
          </cell>
          <cell r="W173" t="str">
            <v>Renouvellement</v>
          </cell>
          <cell r="X173" t="str">
            <v>Aucune</v>
          </cell>
          <cell r="Y173" t="str">
            <v>Prévu</v>
          </cell>
          <cell r="Z173" t="str">
            <v>Reprise</v>
          </cell>
        </row>
        <row r="174">
          <cell r="A174">
            <v>2894</v>
          </cell>
          <cell r="B174">
            <v>1</v>
          </cell>
          <cell r="C174" t="str">
            <v>IV22281</v>
          </cell>
          <cell r="D174" t="str">
            <v>ACHAT DES MOTEURS ELECTRIQUES POUR LES INSTALLATIONS DE L'UNITE DE SIDI DAOUI ET PARC EL WAFI</v>
          </cell>
          <cell r="E174" t="str">
            <v>Approuvé</v>
          </cell>
          <cell r="F174" t="str">
            <v>K04240</v>
          </cell>
          <cell r="G174">
            <v>2</v>
          </cell>
          <cell r="H174" t="str">
            <v>Reprise</v>
          </cell>
          <cell r="I174" t="str">
            <v>REPRISE</v>
          </cell>
          <cell r="J174" t="str">
            <v>Budgété</v>
          </cell>
          <cell r="K174">
            <v>903493.2</v>
          </cell>
          <cell r="L174">
            <v>903493.2</v>
          </cell>
          <cell r="O174">
            <v>495000</v>
          </cell>
          <cell r="P174">
            <v>408493.2</v>
          </cell>
          <cell r="S174">
            <v>13241</v>
          </cell>
          <cell r="T174" t="str">
            <v>NABZAR AHMED</v>
          </cell>
          <cell r="U174" t="str">
            <v>Ordinaire</v>
          </cell>
          <cell r="V174" t="str">
            <v>Reprise</v>
          </cell>
          <cell r="W174" t="str">
            <v>Dotations nouvelles</v>
          </cell>
          <cell r="X174" t="str">
            <v>Aucune</v>
          </cell>
          <cell r="Y174" t="str">
            <v>Prévu</v>
          </cell>
          <cell r="Z174" t="str">
            <v>Reprise</v>
          </cell>
        </row>
        <row r="175">
          <cell r="A175">
            <v>2895</v>
          </cell>
          <cell r="B175">
            <v>1</v>
          </cell>
          <cell r="C175" t="str">
            <v>IV22282</v>
          </cell>
          <cell r="D175" t="str">
            <v>RN D'UN AUTO ANALYSEUR</v>
          </cell>
          <cell r="E175" t="str">
            <v>Approuvé</v>
          </cell>
          <cell r="F175" t="str">
            <v>K04013</v>
          </cell>
          <cell r="G175">
            <v>2</v>
          </cell>
          <cell r="H175" t="str">
            <v>Reprise</v>
          </cell>
          <cell r="I175" t="str">
            <v>REPRISE</v>
          </cell>
          <cell r="J175" t="str">
            <v>Budgété</v>
          </cell>
          <cell r="K175">
            <v>750000</v>
          </cell>
          <cell r="L175">
            <v>750000</v>
          </cell>
          <cell r="O175">
            <v>750000</v>
          </cell>
          <cell r="S175">
            <v>13242</v>
          </cell>
          <cell r="T175" t="str">
            <v>NABZAR AHMED</v>
          </cell>
          <cell r="U175" t="str">
            <v>Ordinaire</v>
          </cell>
          <cell r="V175" t="str">
            <v>Reprise</v>
          </cell>
          <cell r="W175" t="str">
            <v>Renouvellement</v>
          </cell>
          <cell r="X175" t="str">
            <v>Aucune</v>
          </cell>
          <cell r="Y175" t="str">
            <v>Prévu</v>
          </cell>
          <cell r="Z175" t="str">
            <v>Reprise</v>
          </cell>
        </row>
        <row r="176">
          <cell r="A176">
            <v>2896</v>
          </cell>
          <cell r="B176">
            <v>1</v>
          </cell>
          <cell r="C176" t="str">
            <v>IV22284</v>
          </cell>
          <cell r="D176" t="str">
            <v>RN D'UN SPECTROMETRE D'ABSORPTION ATOMIQUE</v>
          </cell>
          <cell r="E176" t="str">
            <v>Approuvé</v>
          </cell>
          <cell r="F176" t="str">
            <v>K04013</v>
          </cell>
          <cell r="G176">
            <v>2</v>
          </cell>
          <cell r="H176" t="str">
            <v>Reprise</v>
          </cell>
          <cell r="I176" t="str">
            <v>REPRISE</v>
          </cell>
          <cell r="J176" t="str">
            <v>Budgété</v>
          </cell>
          <cell r="K176">
            <v>800000</v>
          </cell>
          <cell r="L176">
            <v>800000</v>
          </cell>
          <cell r="O176">
            <v>800000</v>
          </cell>
          <cell r="S176">
            <v>13243</v>
          </cell>
          <cell r="T176" t="str">
            <v>NABZAR AHMED</v>
          </cell>
          <cell r="U176" t="str">
            <v>Ordinaire</v>
          </cell>
          <cell r="V176" t="str">
            <v>Reprise</v>
          </cell>
          <cell r="W176" t="str">
            <v>Renouvellement</v>
          </cell>
          <cell r="X176" t="str">
            <v>Aucune</v>
          </cell>
          <cell r="Y176" t="str">
            <v>Prévu</v>
          </cell>
          <cell r="Z176" t="str">
            <v>Reprise</v>
          </cell>
        </row>
        <row r="177">
          <cell r="A177">
            <v>2897</v>
          </cell>
          <cell r="B177">
            <v>1</v>
          </cell>
          <cell r="C177" t="str">
            <v>IV22286</v>
          </cell>
          <cell r="D177" t="str">
            <v>RENOUVELLEMENT DE 14 CELLULES DISJONCTEURS 5500V-1250A</v>
          </cell>
          <cell r="E177" t="str">
            <v>Approuvé</v>
          </cell>
          <cell r="F177" t="str">
            <v>K04605</v>
          </cell>
          <cell r="G177">
            <v>3</v>
          </cell>
          <cell r="H177" t="str">
            <v>Report 2007</v>
          </cell>
          <cell r="I177" t="str">
            <v>REPORT</v>
          </cell>
          <cell r="J177" t="str">
            <v>Budgété</v>
          </cell>
          <cell r="K177">
            <v>7478956.4299999997</v>
          </cell>
          <cell r="L177">
            <v>7478956.4299999997</v>
          </cell>
          <cell r="M177">
            <v>3739478</v>
          </cell>
          <cell r="N177">
            <v>3739478</v>
          </cell>
          <cell r="O177">
            <v>3739478.43</v>
          </cell>
          <cell r="S177">
            <v>24349</v>
          </cell>
          <cell r="T177" t="str">
            <v>NABZAR AHMED</v>
          </cell>
          <cell r="U177" t="str">
            <v>Ordinaire</v>
          </cell>
          <cell r="V177" t="str">
            <v>Reprise</v>
          </cell>
          <cell r="W177" t="str">
            <v>Renouvellement</v>
          </cell>
          <cell r="X177" t="str">
            <v>Aucune</v>
          </cell>
          <cell r="Y177" t="str">
            <v>Prévu</v>
          </cell>
          <cell r="Z177" t="str">
            <v>Reprise</v>
          </cell>
        </row>
        <row r="178">
          <cell r="A178">
            <v>2898</v>
          </cell>
          <cell r="B178">
            <v>1</v>
          </cell>
          <cell r="C178" t="str">
            <v>IV22287</v>
          </cell>
          <cell r="D178" t="str">
            <v>ACHAT DES POSTES EMETTEURS/RECEPTEURS POUR LA DIVISION DEK/TK</v>
          </cell>
          <cell r="E178" t="str">
            <v>Approuvé</v>
          </cell>
          <cell r="F178" t="str">
            <v>K04001</v>
          </cell>
          <cell r="G178">
            <v>2</v>
          </cell>
          <cell r="H178" t="str">
            <v>Reprise</v>
          </cell>
          <cell r="I178" t="str">
            <v>REPRISE</v>
          </cell>
          <cell r="J178" t="str">
            <v>Budgété</v>
          </cell>
          <cell r="K178">
            <v>429957</v>
          </cell>
          <cell r="L178">
            <v>429957</v>
          </cell>
          <cell r="P178">
            <v>429957</v>
          </cell>
          <cell r="S178">
            <v>13245</v>
          </cell>
          <cell r="T178" t="str">
            <v>NABZAR AHMED</v>
          </cell>
          <cell r="U178" t="str">
            <v>Ordinaire</v>
          </cell>
          <cell r="V178" t="str">
            <v>Reprise</v>
          </cell>
          <cell r="W178" t="str">
            <v>Dotations nouvelles</v>
          </cell>
          <cell r="X178" t="str">
            <v>Aucune</v>
          </cell>
          <cell r="Y178" t="str">
            <v>Prévu</v>
          </cell>
          <cell r="Z178" t="str">
            <v>Reprise</v>
          </cell>
        </row>
        <row r="179">
          <cell r="A179">
            <v>2899</v>
          </cell>
          <cell r="B179">
            <v>1</v>
          </cell>
          <cell r="C179" t="str">
            <v>IV22289</v>
          </cell>
          <cell r="D179" t="str">
            <v>ACHAT DES MACHINES DE BUREAU POUR PMK/T</v>
          </cell>
          <cell r="E179" t="str">
            <v>Approuvé</v>
          </cell>
          <cell r="F179" t="str">
            <v>K04001</v>
          </cell>
          <cell r="G179">
            <v>2</v>
          </cell>
          <cell r="H179" t="str">
            <v>Reprise</v>
          </cell>
          <cell r="I179" t="str">
            <v>REPRISE</v>
          </cell>
          <cell r="J179" t="str">
            <v>Budgété</v>
          </cell>
          <cell r="K179">
            <v>9000</v>
          </cell>
          <cell r="L179">
            <v>9000</v>
          </cell>
          <cell r="P179">
            <v>9000</v>
          </cell>
          <cell r="S179">
            <v>13246</v>
          </cell>
          <cell r="T179" t="str">
            <v>NABZAR AHMED</v>
          </cell>
          <cell r="U179" t="str">
            <v>Administratif</v>
          </cell>
          <cell r="V179" t="str">
            <v>Reprise</v>
          </cell>
          <cell r="W179" t="str">
            <v>Dotations nouvelles</v>
          </cell>
          <cell r="X179" t="str">
            <v>Aucune</v>
          </cell>
          <cell r="Y179" t="str">
            <v>Prévu</v>
          </cell>
          <cell r="Z179" t="str">
            <v>Reprise</v>
          </cell>
        </row>
        <row r="180">
          <cell r="A180">
            <v>2900</v>
          </cell>
          <cell r="B180">
            <v>1</v>
          </cell>
          <cell r="C180" t="str">
            <v>IV22290</v>
          </cell>
          <cell r="D180" t="str">
            <v>ACHAT DES MOTEURS ELECTRIQUES POUR LES INSTALLATIONS DE L'UNITE DE TRAITEMENT SIDI DAOUI.</v>
          </cell>
          <cell r="E180" t="str">
            <v>Approuvé</v>
          </cell>
          <cell r="F180" t="str">
            <v>K04241</v>
          </cell>
          <cell r="G180">
            <v>2</v>
          </cell>
          <cell r="H180" t="str">
            <v>Reprise</v>
          </cell>
          <cell r="I180" t="str">
            <v>REPRISE</v>
          </cell>
          <cell r="J180" t="str">
            <v>Budgété</v>
          </cell>
          <cell r="K180">
            <v>99108</v>
          </cell>
          <cell r="L180">
            <v>99108</v>
          </cell>
          <cell r="O180">
            <v>82800</v>
          </cell>
          <cell r="P180">
            <v>16308</v>
          </cell>
          <cell r="S180">
            <v>13247</v>
          </cell>
          <cell r="T180" t="str">
            <v>AIT HSSAINE IDIR</v>
          </cell>
          <cell r="U180" t="str">
            <v>Ordinaire</v>
          </cell>
          <cell r="V180" t="str">
            <v>Reprise</v>
          </cell>
          <cell r="W180" t="str">
            <v>Dotations nouvelles</v>
          </cell>
          <cell r="X180" t="str">
            <v>Aucune</v>
          </cell>
          <cell r="Y180" t="str">
            <v>Prévu</v>
          </cell>
          <cell r="Z180" t="str">
            <v>Reprise</v>
          </cell>
        </row>
        <row r="181">
          <cell r="A181">
            <v>2901</v>
          </cell>
          <cell r="B181">
            <v>1</v>
          </cell>
          <cell r="C181" t="str">
            <v>IV22291</v>
          </cell>
          <cell r="D181" t="str">
            <v>RN DES VARIATEURS DE VITESSE DES MACHINES DE STOCKAGE ET DESTOCKAGE DU PARC EL WAFI ET DE SIDI CHENNANE</v>
          </cell>
          <cell r="E181" t="str">
            <v>Approuvé</v>
          </cell>
          <cell r="F181" t="str">
            <v>K04241</v>
          </cell>
          <cell r="G181">
            <v>2</v>
          </cell>
          <cell r="H181" t="str">
            <v>Reprise</v>
          </cell>
          <cell r="I181" t="str">
            <v>REPRISE</v>
          </cell>
          <cell r="J181" t="str">
            <v>Budgété</v>
          </cell>
          <cell r="K181">
            <v>1740850.4</v>
          </cell>
          <cell r="L181">
            <v>1740850.4</v>
          </cell>
          <cell r="O181">
            <v>1100000</v>
          </cell>
          <cell r="P181">
            <v>640850.4</v>
          </cell>
          <cell r="S181">
            <v>13248</v>
          </cell>
          <cell r="T181" t="str">
            <v>NABZAR AHMED</v>
          </cell>
          <cell r="U181" t="str">
            <v>Ordinaire</v>
          </cell>
          <cell r="V181" t="str">
            <v>Reprise</v>
          </cell>
          <cell r="W181" t="str">
            <v>Renouvellement</v>
          </cell>
          <cell r="X181" t="str">
            <v>Aucune</v>
          </cell>
          <cell r="Y181" t="str">
            <v>Prévu</v>
          </cell>
          <cell r="Z181" t="str">
            <v>Reprise</v>
          </cell>
        </row>
        <row r="182">
          <cell r="A182">
            <v>2902</v>
          </cell>
          <cell r="B182">
            <v>1</v>
          </cell>
          <cell r="C182" t="str">
            <v>IV22292</v>
          </cell>
          <cell r="D182" t="str">
            <v>ACHAT DE 5 MOTO-POMPES</v>
          </cell>
          <cell r="E182" t="str">
            <v>Approuvé</v>
          </cell>
          <cell r="F182" t="str">
            <v>K03500</v>
          </cell>
          <cell r="G182">
            <v>2</v>
          </cell>
          <cell r="H182" t="str">
            <v>Reprise</v>
          </cell>
          <cell r="I182" t="str">
            <v>REPRISE</v>
          </cell>
          <cell r="J182" t="str">
            <v>Budgété</v>
          </cell>
          <cell r="K182">
            <v>192696</v>
          </cell>
          <cell r="L182">
            <v>192696</v>
          </cell>
          <cell r="P182">
            <v>192696</v>
          </cell>
          <cell r="S182">
            <v>13249</v>
          </cell>
          <cell r="T182" t="str">
            <v>NABZAR AHMED</v>
          </cell>
          <cell r="U182" t="str">
            <v>Ordinaire</v>
          </cell>
          <cell r="V182" t="str">
            <v>Reprise</v>
          </cell>
          <cell r="W182" t="str">
            <v>Dotations nouvelles</v>
          </cell>
          <cell r="X182" t="str">
            <v>Aucune</v>
          </cell>
          <cell r="Y182" t="str">
            <v>Prévu</v>
          </cell>
          <cell r="Z182" t="str">
            <v>Reprise</v>
          </cell>
        </row>
        <row r="183">
          <cell r="A183">
            <v>2903</v>
          </cell>
          <cell r="B183">
            <v>1</v>
          </cell>
          <cell r="C183" t="str">
            <v>IV22293</v>
          </cell>
          <cell r="D183" t="str">
            <v>ACHAT D'OUTILLAGE DES ATELIERS</v>
          </cell>
          <cell r="E183" t="str">
            <v>Approuvé</v>
          </cell>
          <cell r="F183" t="str">
            <v>K03293</v>
          </cell>
          <cell r="G183">
            <v>2</v>
          </cell>
          <cell r="H183" t="str">
            <v>Reprise</v>
          </cell>
          <cell r="I183" t="str">
            <v>REPRISE</v>
          </cell>
          <cell r="J183" t="str">
            <v>Budgété</v>
          </cell>
          <cell r="K183">
            <v>338295.66</v>
          </cell>
          <cell r="L183">
            <v>338295.66</v>
          </cell>
          <cell r="O183">
            <v>240000</v>
          </cell>
          <cell r="P183">
            <v>98295.66</v>
          </cell>
          <cell r="S183">
            <v>13250</v>
          </cell>
          <cell r="T183" t="str">
            <v>EL BOUCHRIFI Yagoub</v>
          </cell>
          <cell r="U183" t="str">
            <v>Ordinaire</v>
          </cell>
          <cell r="V183" t="str">
            <v>Reprise</v>
          </cell>
          <cell r="W183" t="str">
            <v>Dotations nouvelles</v>
          </cell>
          <cell r="X183" t="str">
            <v>Aucune</v>
          </cell>
          <cell r="Y183" t="str">
            <v>Prévu</v>
          </cell>
          <cell r="Z183" t="str">
            <v>Reprise</v>
          </cell>
        </row>
        <row r="184">
          <cell r="A184">
            <v>2904</v>
          </cell>
          <cell r="B184">
            <v>1</v>
          </cell>
          <cell r="C184" t="str">
            <v>IV22294</v>
          </cell>
          <cell r="D184" t="str">
            <v>ACHAT DE 10 LAMPES PORTATIVES, 2 TACHYMETRES A DISTANCE ET 2 PISTOLETS DE PEINTURE</v>
          </cell>
          <cell r="E184" t="str">
            <v>Approuvé</v>
          </cell>
          <cell r="F184" t="str">
            <v>K03810</v>
          </cell>
          <cell r="G184">
            <v>2</v>
          </cell>
          <cell r="H184" t="str">
            <v>Reprise</v>
          </cell>
          <cell r="I184" t="str">
            <v>REPRISE</v>
          </cell>
          <cell r="J184" t="str">
            <v>Budgété</v>
          </cell>
          <cell r="K184">
            <v>30940.46</v>
          </cell>
          <cell r="L184">
            <v>30940.46</v>
          </cell>
          <cell r="P184">
            <v>30940.46</v>
          </cell>
          <cell r="S184">
            <v>13251</v>
          </cell>
          <cell r="T184" t="str">
            <v>NABZAR AHMED</v>
          </cell>
          <cell r="U184" t="str">
            <v>Ordinaire</v>
          </cell>
          <cell r="V184" t="str">
            <v>Reprise</v>
          </cell>
          <cell r="W184" t="str">
            <v>Dotations nouvelles</v>
          </cell>
          <cell r="X184" t="str">
            <v>Aucune</v>
          </cell>
          <cell r="Y184" t="str">
            <v>Prévu</v>
          </cell>
          <cell r="Z184" t="str">
            <v>Reprise</v>
          </cell>
        </row>
        <row r="185">
          <cell r="A185">
            <v>2905</v>
          </cell>
          <cell r="B185">
            <v>1</v>
          </cell>
          <cell r="C185" t="str">
            <v>IV22295</v>
          </cell>
          <cell r="D185" t="str">
            <v>ACHAT DE 05 ASPIRATEURS MOBILES DE FUMEE DE SOUDAGE ET 02 ASPIRATEURS DE POUSSIERE</v>
          </cell>
          <cell r="E185" t="str">
            <v>Approuvé</v>
          </cell>
          <cell r="F185" t="str">
            <v>K03711</v>
          </cell>
          <cell r="G185">
            <v>2</v>
          </cell>
          <cell r="H185" t="str">
            <v>Reprise</v>
          </cell>
          <cell r="I185" t="str">
            <v>REPRISE</v>
          </cell>
          <cell r="J185" t="str">
            <v>Budgété</v>
          </cell>
          <cell r="K185">
            <v>121992</v>
          </cell>
          <cell r="L185">
            <v>121992</v>
          </cell>
          <cell r="P185">
            <v>121992</v>
          </cell>
          <cell r="S185">
            <v>13252</v>
          </cell>
          <cell r="T185" t="str">
            <v>NABZAR AHMED</v>
          </cell>
          <cell r="U185" t="str">
            <v>Ordinaire</v>
          </cell>
          <cell r="V185" t="str">
            <v>Reprise</v>
          </cell>
          <cell r="W185" t="str">
            <v>Dotations nouvelles</v>
          </cell>
          <cell r="X185" t="str">
            <v>Aucune</v>
          </cell>
          <cell r="Y185" t="str">
            <v>Prévu</v>
          </cell>
          <cell r="Z185" t="str">
            <v>Reprise</v>
          </cell>
        </row>
        <row r="186">
          <cell r="A186">
            <v>2906</v>
          </cell>
          <cell r="B186">
            <v>1</v>
          </cell>
          <cell r="C186" t="str">
            <v>IV22299</v>
          </cell>
          <cell r="D186" t="str">
            <v>RENOUVELLEMENT DE  TABLES DE DESSIN, TABOURETS REGLABLES POUR DESSINATEUR ET  DESSERTES POUR DESSINATEUR</v>
          </cell>
          <cell r="E186" t="str">
            <v>Approuvé</v>
          </cell>
          <cell r="F186" t="str">
            <v>K03009</v>
          </cell>
          <cell r="G186">
            <v>2</v>
          </cell>
          <cell r="H186" t="str">
            <v>Reprise</v>
          </cell>
          <cell r="I186" t="str">
            <v>REPRISE</v>
          </cell>
          <cell r="J186" t="str">
            <v>Budgété</v>
          </cell>
          <cell r="K186">
            <v>442500</v>
          </cell>
          <cell r="L186">
            <v>442500</v>
          </cell>
          <cell r="O186">
            <v>442500</v>
          </cell>
          <cell r="S186">
            <v>13253</v>
          </cell>
          <cell r="T186" t="str">
            <v>CHEHTANE Mohammed</v>
          </cell>
          <cell r="U186" t="str">
            <v>Administratif</v>
          </cell>
          <cell r="V186" t="str">
            <v>Reprise</v>
          </cell>
          <cell r="W186" t="str">
            <v>Renouvellement</v>
          </cell>
          <cell r="X186" t="str">
            <v>Aucune</v>
          </cell>
          <cell r="Y186" t="str">
            <v>Prévu</v>
          </cell>
          <cell r="Z186" t="str">
            <v>Reprise</v>
          </cell>
        </row>
        <row r="187">
          <cell r="A187">
            <v>2907</v>
          </cell>
          <cell r="B187">
            <v>1</v>
          </cell>
          <cell r="C187" t="str">
            <v>IV22300</v>
          </cell>
          <cell r="D187" t="str">
            <v>ACHAT DE 12 TABLES D'ELECTRONICIENS</v>
          </cell>
          <cell r="E187" t="str">
            <v>Approuvé</v>
          </cell>
          <cell r="F187" t="str">
            <v>K03546</v>
          </cell>
          <cell r="G187">
            <v>2</v>
          </cell>
          <cell r="H187" t="str">
            <v>Reprise</v>
          </cell>
          <cell r="I187" t="str">
            <v>REPRISE</v>
          </cell>
          <cell r="J187" t="str">
            <v>Budgété</v>
          </cell>
          <cell r="K187">
            <v>72000</v>
          </cell>
          <cell r="L187">
            <v>72000</v>
          </cell>
          <cell r="O187">
            <v>72000</v>
          </cell>
          <cell r="S187">
            <v>13254</v>
          </cell>
          <cell r="T187" t="str">
            <v>MAGHRAOUI Brahim</v>
          </cell>
          <cell r="U187" t="str">
            <v>Administratif</v>
          </cell>
          <cell r="V187" t="str">
            <v>Reprise</v>
          </cell>
          <cell r="W187" t="str">
            <v>Dotations nouvelles</v>
          </cell>
          <cell r="X187" t="str">
            <v>Aucune</v>
          </cell>
          <cell r="Y187" t="str">
            <v>Prévu</v>
          </cell>
          <cell r="Z187" t="str">
            <v>Reprise</v>
          </cell>
        </row>
        <row r="188">
          <cell r="A188">
            <v>2908</v>
          </cell>
          <cell r="B188">
            <v>1</v>
          </cell>
          <cell r="C188" t="str">
            <v>IV22301</v>
          </cell>
          <cell r="D188" t="str">
            <v>ACHAT DE MOBILIER DE BUREAU</v>
          </cell>
          <cell r="E188" t="str">
            <v>Approuvé</v>
          </cell>
          <cell r="F188" t="str">
            <v>K03200</v>
          </cell>
          <cell r="G188">
            <v>2</v>
          </cell>
          <cell r="H188" t="str">
            <v>Reprise</v>
          </cell>
          <cell r="I188" t="str">
            <v>REPRISE</v>
          </cell>
          <cell r="J188" t="str">
            <v>Budgété</v>
          </cell>
          <cell r="K188">
            <v>121086</v>
          </cell>
          <cell r="L188">
            <v>121086</v>
          </cell>
          <cell r="P188">
            <v>121086</v>
          </cell>
          <cell r="S188">
            <v>13255</v>
          </cell>
          <cell r="T188" t="str">
            <v>NABZAR AHMED</v>
          </cell>
          <cell r="U188" t="str">
            <v>Administratif</v>
          </cell>
          <cell r="V188" t="str">
            <v>Reprise</v>
          </cell>
          <cell r="W188" t="str">
            <v>Dotations nouvelles</v>
          </cell>
          <cell r="X188" t="str">
            <v>Aucune</v>
          </cell>
          <cell r="Y188" t="str">
            <v>Prévu</v>
          </cell>
          <cell r="Z188" t="str">
            <v>Reprise</v>
          </cell>
        </row>
        <row r="189">
          <cell r="A189">
            <v>2909</v>
          </cell>
          <cell r="B189">
            <v>1</v>
          </cell>
          <cell r="C189" t="str">
            <v>IV22302</v>
          </cell>
          <cell r="D189" t="str">
            <v>ACHAT DE 04 CHAUFFES EAU ELECTRIQUES ET 01 ARMOIRE FRIGORIFIQUE 1500L</v>
          </cell>
          <cell r="E189" t="str">
            <v>Approuvé</v>
          </cell>
          <cell r="F189" t="str">
            <v>K03292</v>
          </cell>
          <cell r="G189">
            <v>2</v>
          </cell>
          <cell r="H189" t="str">
            <v>Reprise</v>
          </cell>
          <cell r="I189" t="str">
            <v>REPRISE</v>
          </cell>
          <cell r="J189" t="str">
            <v>Budgété</v>
          </cell>
          <cell r="K189">
            <v>41740</v>
          </cell>
          <cell r="L189">
            <v>41740</v>
          </cell>
          <cell r="P189">
            <v>41740</v>
          </cell>
          <cell r="S189">
            <v>13256</v>
          </cell>
          <cell r="T189" t="str">
            <v>NABZAR AHMED</v>
          </cell>
          <cell r="U189" t="str">
            <v>Administratif</v>
          </cell>
          <cell r="V189" t="str">
            <v>Reprise</v>
          </cell>
          <cell r="W189" t="str">
            <v>Dotations nouvelles</v>
          </cell>
          <cell r="X189" t="str">
            <v>Aucune</v>
          </cell>
          <cell r="Y189" t="str">
            <v>Prévu</v>
          </cell>
          <cell r="Z189" t="str">
            <v>Reprise</v>
          </cell>
        </row>
        <row r="190">
          <cell r="A190">
            <v>2910</v>
          </cell>
          <cell r="B190">
            <v>1</v>
          </cell>
          <cell r="C190" t="str">
            <v>IV22304</v>
          </cell>
          <cell r="D190" t="str">
            <v>FOURNITURE ET INSTALLATION DES EQUIPEMENTS DE DEPOUSSIERAGE DES FOURS SECHEURS DE BENI-IDIR</v>
          </cell>
          <cell r="E190" t="str">
            <v>Approuvé</v>
          </cell>
          <cell r="F190" t="str">
            <v>K04116</v>
          </cell>
          <cell r="G190">
            <v>2</v>
          </cell>
          <cell r="H190" t="str">
            <v>Reprise</v>
          </cell>
          <cell r="I190" t="str">
            <v>REPRISE</v>
          </cell>
          <cell r="J190" t="str">
            <v>Budgété</v>
          </cell>
          <cell r="K190">
            <v>11000000</v>
          </cell>
          <cell r="L190">
            <v>11000000</v>
          </cell>
          <cell r="O190">
            <v>11000000</v>
          </cell>
          <cell r="S190">
            <v>13257</v>
          </cell>
          <cell r="T190" t="str">
            <v>BENCHEKROUN MOUHSINE HAMEDA</v>
          </cell>
          <cell r="U190" t="str">
            <v>Ordinaire</v>
          </cell>
          <cell r="V190" t="str">
            <v>Reprise</v>
          </cell>
          <cell r="W190" t="str">
            <v>Dotations nouvelles</v>
          </cell>
          <cell r="X190" t="str">
            <v>Aucune</v>
          </cell>
          <cell r="Y190" t="str">
            <v>Prévu</v>
          </cell>
          <cell r="Z190" t="str">
            <v>Reprise</v>
          </cell>
        </row>
        <row r="191">
          <cell r="A191">
            <v>2911</v>
          </cell>
          <cell r="B191">
            <v>1</v>
          </cell>
          <cell r="C191" t="str">
            <v>IV22305</v>
          </cell>
          <cell r="D191" t="str">
            <v>REAMENAGEMENT DU CIRCUIT DE LA LOGISTIQUE DAOUI EN PREPARATION DE L'EPUISEMENT DU CARREAU TS</v>
          </cell>
          <cell r="E191" t="str">
            <v>Approuvé</v>
          </cell>
          <cell r="F191" t="str">
            <v>K04241</v>
          </cell>
          <cell r="G191">
            <v>5</v>
          </cell>
          <cell r="H191" t="str">
            <v>Report 2007</v>
          </cell>
          <cell r="I191" t="str">
            <v>REPORT</v>
          </cell>
          <cell r="J191" t="str">
            <v>Budgété</v>
          </cell>
          <cell r="K191">
            <v>19686080.75</v>
          </cell>
          <cell r="L191">
            <v>19686080.75</v>
          </cell>
          <cell r="M191">
            <v>13909980.050000001</v>
          </cell>
          <cell r="N191">
            <v>13909980.050000001</v>
          </cell>
          <cell r="O191">
            <v>0</v>
          </cell>
          <cell r="P191">
            <v>5776100.7000000002</v>
          </cell>
          <cell r="S191">
            <v>24507</v>
          </cell>
          <cell r="T191" t="str">
            <v>LEBBARDI ABDELJABBAR</v>
          </cell>
          <cell r="U191" t="str">
            <v>Ordinaire</v>
          </cell>
          <cell r="V191" t="str">
            <v>Reprise</v>
          </cell>
          <cell r="W191" t="str">
            <v>Dotations nouvelles</v>
          </cell>
          <cell r="X191" t="str">
            <v>Aucune</v>
          </cell>
          <cell r="Y191" t="str">
            <v>Prévu</v>
          </cell>
          <cell r="Z191" t="str">
            <v>Reprise</v>
          </cell>
        </row>
        <row r="192">
          <cell r="A192">
            <v>2912</v>
          </cell>
          <cell r="B192">
            <v>1</v>
          </cell>
          <cell r="C192" t="str">
            <v>IV22306</v>
          </cell>
          <cell r="D192" t="str">
            <v>RN DE 15 MOTEURS ELECTRIQUES POUR LES INSTALLATIONS DE L'UNITE DE TRAITEMENT DE SIDI DAOUI</v>
          </cell>
          <cell r="E192" t="str">
            <v>Approuvé</v>
          </cell>
          <cell r="F192" t="str">
            <v>K04241</v>
          </cell>
          <cell r="G192">
            <v>2</v>
          </cell>
          <cell r="H192" t="str">
            <v>Reprise</v>
          </cell>
          <cell r="I192" t="str">
            <v>REPRISE</v>
          </cell>
          <cell r="J192" t="str">
            <v>Budgété</v>
          </cell>
          <cell r="K192">
            <v>810741.2</v>
          </cell>
          <cell r="L192">
            <v>810741.2</v>
          </cell>
          <cell r="O192">
            <v>473000</v>
          </cell>
          <cell r="P192">
            <v>337741.2</v>
          </cell>
          <cell r="S192">
            <v>13259</v>
          </cell>
          <cell r="T192" t="str">
            <v>NABZAR AHMED</v>
          </cell>
          <cell r="U192" t="str">
            <v>Ordinaire</v>
          </cell>
          <cell r="V192" t="str">
            <v>Reprise</v>
          </cell>
          <cell r="W192" t="str">
            <v>Renouvellement</v>
          </cell>
          <cell r="X192" t="str">
            <v>Aucune</v>
          </cell>
          <cell r="Y192" t="str">
            <v>Prévu</v>
          </cell>
          <cell r="Z192" t="str">
            <v>Reprise</v>
          </cell>
        </row>
        <row r="193">
          <cell r="A193">
            <v>2913</v>
          </cell>
          <cell r="B193">
            <v>1</v>
          </cell>
          <cell r="C193" t="str">
            <v>IV22307</v>
          </cell>
          <cell r="D193" t="str">
            <v>ACHAT DE 50 RADIATEURS CONVECTEURS INDUSTRIELS A BAIN D'HUILE POUR LE CHAUFFAGE DES BUREAUX</v>
          </cell>
          <cell r="E193" t="str">
            <v>Approuvé</v>
          </cell>
          <cell r="F193" t="str">
            <v>K04001</v>
          </cell>
          <cell r="G193">
            <v>2</v>
          </cell>
          <cell r="H193" t="str">
            <v>Reprise</v>
          </cell>
          <cell r="I193" t="str">
            <v>REPRISE</v>
          </cell>
          <cell r="J193" t="str">
            <v>Budgété</v>
          </cell>
          <cell r="K193">
            <v>161590.5</v>
          </cell>
          <cell r="L193">
            <v>161590.5</v>
          </cell>
          <cell r="O193">
            <v>125000</v>
          </cell>
          <cell r="P193">
            <v>36590.5</v>
          </cell>
          <cell r="S193">
            <v>13260</v>
          </cell>
          <cell r="T193" t="str">
            <v>LEBBARDI ABDELJABBAR</v>
          </cell>
          <cell r="U193" t="str">
            <v>Administratif</v>
          </cell>
          <cell r="V193" t="str">
            <v>Reprise</v>
          </cell>
          <cell r="W193" t="str">
            <v>Dotations nouvelles</v>
          </cell>
          <cell r="X193" t="str">
            <v>Aucune</v>
          </cell>
          <cell r="Y193" t="str">
            <v>Prévu</v>
          </cell>
          <cell r="Z193" t="str">
            <v>Reprise</v>
          </cell>
        </row>
        <row r="194">
          <cell r="A194">
            <v>2914</v>
          </cell>
          <cell r="B194">
            <v>1</v>
          </cell>
          <cell r="C194" t="str">
            <v>IV22321</v>
          </cell>
          <cell r="D194" t="str">
            <v>RN DE 3 TRANSFORMATEURS AU PYRALENE</v>
          </cell>
          <cell r="E194" t="str">
            <v>Approuvé</v>
          </cell>
          <cell r="F194" t="str">
            <v>K04605</v>
          </cell>
          <cell r="G194">
            <v>2</v>
          </cell>
          <cell r="H194" t="str">
            <v>Reprise</v>
          </cell>
          <cell r="I194" t="str">
            <v>REPRISE</v>
          </cell>
          <cell r="J194" t="str">
            <v>Budgété</v>
          </cell>
          <cell r="K194">
            <v>182640</v>
          </cell>
          <cell r="L194">
            <v>182640</v>
          </cell>
          <cell r="P194">
            <v>182640</v>
          </cell>
          <cell r="S194">
            <v>13261</v>
          </cell>
          <cell r="T194" t="str">
            <v>NABZAR AHMED</v>
          </cell>
          <cell r="U194" t="str">
            <v>Ordinaire</v>
          </cell>
          <cell r="V194" t="str">
            <v>Reprise</v>
          </cell>
          <cell r="W194" t="str">
            <v>Renouvellement</v>
          </cell>
          <cell r="X194" t="str">
            <v>Aucune</v>
          </cell>
          <cell r="Y194" t="str">
            <v>Prévu</v>
          </cell>
          <cell r="Z194" t="str">
            <v>Reprise</v>
          </cell>
        </row>
        <row r="195">
          <cell r="A195">
            <v>2915</v>
          </cell>
          <cell r="B195">
            <v>1</v>
          </cell>
          <cell r="C195" t="str">
            <v>IV22322</v>
          </cell>
          <cell r="D195" t="str">
            <v>RN DE 5 CLIMATISEURS CENTRAUX DES SALLES DE CONTRÔLE DES COMPLEXES D'OUED ZEM ET DE BENI-IDIR</v>
          </cell>
          <cell r="E195" t="str">
            <v>Approuvé</v>
          </cell>
          <cell r="F195" t="str">
            <v>K04001</v>
          </cell>
          <cell r="G195">
            <v>2</v>
          </cell>
          <cell r="H195" t="str">
            <v>Reprise</v>
          </cell>
          <cell r="I195" t="str">
            <v>REPRISE</v>
          </cell>
          <cell r="J195" t="str">
            <v>Budgété</v>
          </cell>
          <cell r="K195">
            <v>400000</v>
          </cell>
          <cell r="L195">
            <v>400000</v>
          </cell>
          <cell r="O195">
            <v>400000</v>
          </cell>
          <cell r="S195">
            <v>13262</v>
          </cell>
          <cell r="T195" t="str">
            <v>NABZAR AHMED</v>
          </cell>
          <cell r="U195" t="str">
            <v>Ordinaire</v>
          </cell>
          <cell r="V195" t="str">
            <v>Reprise</v>
          </cell>
          <cell r="W195" t="str">
            <v>Renouvellement</v>
          </cell>
          <cell r="X195" t="str">
            <v>Aucune</v>
          </cell>
          <cell r="Y195" t="str">
            <v>Prévu</v>
          </cell>
          <cell r="Z195" t="str">
            <v>Reprise</v>
          </cell>
        </row>
        <row r="196">
          <cell r="A196">
            <v>2916</v>
          </cell>
          <cell r="B196">
            <v>1</v>
          </cell>
          <cell r="C196" t="str">
            <v>IV22379</v>
          </cell>
          <cell r="D196" t="str">
            <v>RN DE 16 MOTEURS ELECTRIQUES BT POUR LE CARREAU DE LA Z.C</v>
          </cell>
          <cell r="E196" t="str">
            <v>Approuvé</v>
          </cell>
          <cell r="F196" t="str">
            <v>K04131</v>
          </cell>
          <cell r="G196">
            <v>2</v>
          </cell>
          <cell r="H196" t="str">
            <v>Reprise</v>
          </cell>
          <cell r="I196" t="str">
            <v>REPRISE</v>
          </cell>
          <cell r="J196" t="str">
            <v>Budgété</v>
          </cell>
          <cell r="K196">
            <v>854231.2</v>
          </cell>
          <cell r="L196">
            <v>854231.2</v>
          </cell>
          <cell r="O196">
            <v>439000</v>
          </cell>
          <cell r="P196">
            <v>415231.2</v>
          </cell>
          <cell r="S196">
            <v>13263</v>
          </cell>
          <cell r="T196" t="str">
            <v>ASSOUD ABDERRAHIM</v>
          </cell>
          <cell r="U196" t="str">
            <v>Ordinaire</v>
          </cell>
          <cell r="V196" t="str">
            <v>Reprise</v>
          </cell>
          <cell r="W196" t="str">
            <v>Renouvellement</v>
          </cell>
          <cell r="X196" t="str">
            <v>Aucune</v>
          </cell>
          <cell r="Y196" t="str">
            <v>Prévu</v>
          </cell>
          <cell r="Z196" t="str">
            <v>Reprise</v>
          </cell>
        </row>
        <row r="197">
          <cell r="A197">
            <v>2917</v>
          </cell>
          <cell r="B197">
            <v>1</v>
          </cell>
          <cell r="C197" t="str">
            <v>IV22382</v>
          </cell>
          <cell r="D197" t="str">
            <v>ACHAT DE 8 MOTEURS ELECTRIQUES MOYENNE TENSION POUR L'UNITE DE BENI IDIR</v>
          </cell>
          <cell r="E197" t="str">
            <v>Approuvé</v>
          </cell>
          <cell r="F197" t="str">
            <v>K04131</v>
          </cell>
          <cell r="G197">
            <v>3</v>
          </cell>
          <cell r="H197" t="str">
            <v>Report 2007</v>
          </cell>
          <cell r="I197" t="str">
            <v>REPORT</v>
          </cell>
          <cell r="J197" t="str">
            <v>Budgété</v>
          </cell>
          <cell r="K197">
            <v>7547132.1799999997</v>
          </cell>
          <cell r="L197">
            <v>7547132.1799999997</v>
          </cell>
          <cell r="M197">
            <v>4388566</v>
          </cell>
          <cell r="N197">
            <v>4388566</v>
          </cell>
          <cell r="O197">
            <v>0</v>
          </cell>
          <cell r="P197">
            <v>3158566.18</v>
          </cell>
          <cell r="S197">
            <v>24344</v>
          </cell>
          <cell r="T197" t="str">
            <v>NABZAR AHMED</v>
          </cell>
          <cell r="U197" t="str">
            <v>Ordinaire</v>
          </cell>
          <cell r="V197" t="str">
            <v>Reprise</v>
          </cell>
          <cell r="W197" t="str">
            <v>Dotations nouvelles</v>
          </cell>
          <cell r="X197" t="str">
            <v>Aucune</v>
          </cell>
          <cell r="Y197" t="str">
            <v>Prévu</v>
          </cell>
          <cell r="Z197" t="str">
            <v>Reprise</v>
          </cell>
        </row>
        <row r="198">
          <cell r="A198">
            <v>2918</v>
          </cell>
          <cell r="B198">
            <v>1</v>
          </cell>
          <cell r="C198" t="str">
            <v>IV22385</v>
          </cell>
          <cell r="D198" t="str">
            <v>RN DE 14 MOTEURS ELECTRIQUES BASSE TENSION POUR L'USINE DE L'E.A.S ET LA LIAISON Z.C</v>
          </cell>
          <cell r="E198" t="str">
            <v>Approuvé</v>
          </cell>
          <cell r="F198" t="str">
            <v>K04131</v>
          </cell>
          <cell r="G198">
            <v>2</v>
          </cell>
          <cell r="H198" t="str">
            <v>Reprise</v>
          </cell>
          <cell r="I198" t="str">
            <v>REPRISE</v>
          </cell>
          <cell r="J198" t="str">
            <v>Budgété</v>
          </cell>
          <cell r="K198">
            <v>683541.6</v>
          </cell>
          <cell r="L198">
            <v>683541.6</v>
          </cell>
          <cell r="O198">
            <v>438000</v>
          </cell>
          <cell r="P198">
            <v>245541.6</v>
          </cell>
          <cell r="S198">
            <v>13265</v>
          </cell>
          <cell r="T198" t="str">
            <v>NABZAR AHMED</v>
          </cell>
          <cell r="U198" t="str">
            <v>Ordinaire</v>
          </cell>
          <cell r="V198" t="str">
            <v>Reprise</v>
          </cell>
          <cell r="W198" t="str">
            <v>Renouvellement</v>
          </cell>
          <cell r="X198" t="str">
            <v>Aucune</v>
          </cell>
          <cell r="Y198" t="str">
            <v>Prévu</v>
          </cell>
          <cell r="Z198" t="str">
            <v>Reprise</v>
          </cell>
        </row>
        <row r="199">
          <cell r="A199">
            <v>2919</v>
          </cell>
          <cell r="B199">
            <v>1</v>
          </cell>
          <cell r="C199" t="str">
            <v>IV22396</v>
          </cell>
          <cell r="D199" t="str">
            <v>ACHAT DE 02 CHARGEURS DE BATTERIES</v>
          </cell>
          <cell r="E199" t="str">
            <v>Approuvé</v>
          </cell>
          <cell r="F199" t="str">
            <v>K04705</v>
          </cell>
          <cell r="G199">
            <v>2</v>
          </cell>
          <cell r="H199" t="str">
            <v>Reprise</v>
          </cell>
          <cell r="I199" t="str">
            <v>REPRISE</v>
          </cell>
          <cell r="J199" t="str">
            <v>Budgété</v>
          </cell>
          <cell r="K199">
            <v>240000</v>
          </cell>
          <cell r="L199">
            <v>240000</v>
          </cell>
          <cell r="O199">
            <v>240000</v>
          </cell>
          <cell r="S199">
            <v>13266</v>
          </cell>
          <cell r="T199" t="str">
            <v>NABZAR AHMED</v>
          </cell>
          <cell r="U199" t="str">
            <v>Ordinaire</v>
          </cell>
          <cell r="V199" t="str">
            <v>Reprise</v>
          </cell>
          <cell r="W199" t="str">
            <v>Dotations nouvelles</v>
          </cell>
          <cell r="X199" t="str">
            <v>Aucune</v>
          </cell>
          <cell r="Y199" t="str">
            <v>Prévu</v>
          </cell>
          <cell r="Z199" t="str">
            <v>Reprise</v>
          </cell>
        </row>
        <row r="200">
          <cell r="A200">
            <v>2920</v>
          </cell>
          <cell r="B200">
            <v>1</v>
          </cell>
          <cell r="C200" t="str">
            <v>IV22401</v>
          </cell>
          <cell r="D200" t="str">
            <v>RN DE 2 RETROPROJECTEURS ET DE 2 ECRANS POUR DEK/TK</v>
          </cell>
          <cell r="E200" t="str">
            <v>Approuvé</v>
          </cell>
          <cell r="F200" t="str">
            <v>K04315</v>
          </cell>
          <cell r="G200">
            <v>2</v>
          </cell>
          <cell r="H200" t="str">
            <v>Reprise</v>
          </cell>
          <cell r="I200" t="str">
            <v>REPRISE</v>
          </cell>
          <cell r="J200" t="str">
            <v>Budgété</v>
          </cell>
          <cell r="K200">
            <v>96000</v>
          </cell>
          <cell r="L200">
            <v>96000</v>
          </cell>
          <cell r="O200">
            <v>96000</v>
          </cell>
          <cell r="S200">
            <v>13267</v>
          </cell>
          <cell r="T200" t="str">
            <v>LEBBARDI ABDELJABBAR</v>
          </cell>
          <cell r="U200" t="str">
            <v>Administratif</v>
          </cell>
          <cell r="V200" t="str">
            <v>Reprise</v>
          </cell>
          <cell r="W200" t="str">
            <v>Renouvellement</v>
          </cell>
          <cell r="X200" t="str">
            <v>Aucune</v>
          </cell>
          <cell r="Y200" t="str">
            <v>Prévu</v>
          </cell>
          <cell r="Z200" t="str">
            <v>Reprise</v>
          </cell>
        </row>
        <row r="201">
          <cell r="A201">
            <v>2921</v>
          </cell>
          <cell r="B201">
            <v>1</v>
          </cell>
          <cell r="C201" t="str">
            <v>IV22402</v>
          </cell>
          <cell r="D201" t="str">
            <v>RN DES MOTEURS ELECTRIQUES B.T POUR LES INSTALLATIONS DU COZ</v>
          </cell>
          <cell r="E201" t="str">
            <v>Approuvé</v>
          </cell>
          <cell r="F201" t="str">
            <v>K04305</v>
          </cell>
          <cell r="G201">
            <v>2</v>
          </cell>
          <cell r="H201" t="str">
            <v>Reprise</v>
          </cell>
          <cell r="I201" t="str">
            <v>REPRISE</v>
          </cell>
          <cell r="J201" t="str">
            <v>Budgété</v>
          </cell>
          <cell r="K201">
            <v>30167.22</v>
          </cell>
          <cell r="L201">
            <v>30167.22</v>
          </cell>
          <cell r="O201">
            <v>21000</v>
          </cell>
          <cell r="P201">
            <v>9167.2199999999993</v>
          </cell>
          <cell r="S201">
            <v>13268</v>
          </cell>
          <cell r="T201" t="str">
            <v>BERRADA ACHRAF</v>
          </cell>
          <cell r="U201" t="str">
            <v>Ordinaire</v>
          </cell>
          <cell r="V201" t="str">
            <v>Reprise</v>
          </cell>
          <cell r="W201" t="str">
            <v>Renouvellement</v>
          </cell>
          <cell r="X201" t="str">
            <v>Aucune</v>
          </cell>
          <cell r="Y201" t="str">
            <v>Prévu</v>
          </cell>
          <cell r="Z201" t="str">
            <v>Reprise</v>
          </cell>
        </row>
        <row r="202">
          <cell r="A202">
            <v>2922</v>
          </cell>
          <cell r="B202">
            <v>1</v>
          </cell>
          <cell r="C202" t="str">
            <v>IV22403</v>
          </cell>
          <cell r="D202" t="str">
            <v>ACHAT D'UNE MINI-CHARGEUSE POUR LE NETTOYAGE DES INSTALLATION A ACCES ETROIT</v>
          </cell>
          <cell r="E202" t="str">
            <v>Approuvé</v>
          </cell>
          <cell r="F202" t="str">
            <v>K04315</v>
          </cell>
          <cell r="G202">
            <v>2</v>
          </cell>
          <cell r="H202" t="str">
            <v>Reprise</v>
          </cell>
          <cell r="I202" t="str">
            <v>REPRISE</v>
          </cell>
          <cell r="J202" t="str">
            <v>Budgété</v>
          </cell>
          <cell r="K202">
            <v>461520</v>
          </cell>
          <cell r="L202">
            <v>461520</v>
          </cell>
          <cell r="P202">
            <v>461520</v>
          </cell>
          <cell r="S202">
            <v>13269</v>
          </cell>
          <cell r="T202" t="str">
            <v>NABZAR AHMED</v>
          </cell>
          <cell r="U202" t="str">
            <v>Ordinaire</v>
          </cell>
          <cell r="V202" t="str">
            <v>Reprise</v>
          </cell>
          <cell r="W202" t="str">
            <v>Dotations nouvelles</v>
          </cell>
          <cell r="X202" t="str">
            <v>Aucune</v>
          </cell>
          <cell r="Y202" t="str">
            <v>Prévu</v>
          </cell>
          <cell r="Z202" t="str">
            <v>Reprise</v>
          </cell>
        </row>
        <row r="203">
          <cell r="A203">
            <v>2923</v>
          </cell>
          <cell r="B203">
            <v>1</v>
          </cell>
          <cell r="C203" t="str">
            <v>IV22407</v>
          </cell>
          <cell r="D203" t="str">
            <v>ACHAT DE MATERIEL DE PREMIERE NECESSITE D'HYGIENE ET DE SECURITE</v>
          </cell>
          <cell r="E203" t="str">
            <v>Approuvé</v>
          </cell>
          <cell r="F203" t="str">
            <v>K04014</v>
          </cell>
          <cell r="G203">
            <v>2</v>
          </cell>
          <cell r="H203" t="str">
            <v>Reprise</v>
          </cell>
          <cell r="I203" t="str">
            <v>REPRISE</v>
          </cell>
          <cell r="J203" t="str">
            <v>Budgété</v>
          </cell>
          <cell r="K203">
            <v>156210</v>
          </cell>
          <cell r="L203">
            <v>156210</v>
          </cell>
          <cell r="P203">
            <v>156210</v>
          </cell>
          <cell r="S203">
            <v>13270</v>
          </cell>
          <cell r="T203" t="str">
            <v>NABZAR AHMED</v>
          </cell>
          <cell r="U203" t="str">
            <v>Ordinaire</v>
          </cell>
          <cell r="V203" t="str">
            <v>Reprise</v>
          </cell>
          <cell r="W203" t="str">
            <v>Dotations nouvelles</v>
          </cell>
          <cell r="X203" t="str">
            <v>Aucune</v>
          </cell>
          <cell r="Y203" t="str">
            <v>Prévu</v>
          </cell>
          <cell r="Z203" t="str">
            <v>Reprise</v>
          </cell>
        </row>
        <row r="204">
          <cell r="A204">
            <v>2924</v>
          </cell>
          <cell r="B204">
            <v>1</v>
          </cell>
          <cell r="C204" t="str">
            <v>IV22409</v>
          </cell>
          <cell r="D204" t="str">
            <v>ACHAT D'UN MESUREUR DE VIBRATION PORTATIF POUR L'ATELIER DE SECHAGE DU COZ</v>
          </cell>
          <cell r="E204" t="str">
            <v>Approuvé</v>
          </cell>
          <cell r="F204" t="str">
            <v>K04307</v>
          </cell>
          <cell r="G204">
            <v>2</v>
          </cell>
          <cell r="H204" t="str">
            <v>Reprise</v>
          </cell>
          <cell r="I204" t="str">
            <v>REPRISE</v>
          </cell>
          <cell r="J204" t="str">
            <v>Budgété</v>
          </cell>
          <cell r="K204">
            <v>50000</v>
          </cell>
          <cell r="L204">
            <v>50000</v>
          </cell>
          <cell r="O204">
            <v>50000</v>
          </cell>
          <cell r="S204">
            <v>13271</v>
          </cell>
          <cell r="T204" t="str">
            <v>LEBBARDI ABDELJABBAR</v>
          </cell>
          <cell r="U204" t="str">
            <v>Ordinaire</v>
          </cell>
          <cell r="V204" t="str">
            <v>Reprise</v>
          </cell>
          <cell r="W204" t="str">
            <v>Dotations nouvelles</v>
          </cell>
          <cell r="X204" t="str">
            <v>Aucune</v>
          </cell>
          <cell r="Y204" t="str">
            <v>Prévu</v>
          </cell>
          <cell r="Z204" t="str">
            <v>Reprise</v>
          </cell>
        </row>
        <row r="205">
          <cell r="A205">
            <v>2925</v>
          </cell>
          <cell r="B205">
            <v>1</v>
          </cell>
          <cell r="C205" t="str">
            <v>IV22412</v>
          </cell>
          <cell r="D205" t="str">
            <v>ACHAT D'UN ASPIRATEUR INDUSTRIEL POUR L'ATELIER DE SECHAGE DU COZ</v>
          </cell>
          <cell r="E205" t="str">
            <v>Approuvé</v>
          </cell>
          <cell r="F205" t="str">
            <v>K04307</v>
          </cell>
          <cell r="G205">
            <v>2</v>
          </cell>
          <cell r="H205" t="str">
            <v>Reprise</v>
          </cell>
          <cell r="I205" t="str">
            <v>REPRISE</v>
          </cell>
          <cell r="J205" t="str">
            <v>Budgété</v>
          </cell>
          <cell r="K205">
            <v>46000</v>
          </cell>
          <cell r="L205">
            <v>46000</v>
          </cell>
          <cell r="O205">
            <v>46000</v>
          </cell>
          <cell r="S205">
            <v>13272</v>
          </cell>
          <cell r="T205" t="str">
            <v>LEBBARDI ABDELJABBAR</v>
          </cell>
          <cell r="U205" t="str">
            <v>Ordinaire</v>
          </cell>
          <cell r="V205" t="str">
            <v>Reprise</v>
          </cell>
          <cell r="W205" t="str">
            <v>Dotations nouvelles</v>
          </cell>
          <cell r="X205" t="str">
            <v>Aucune</v>
          </cell>
          <cell r="Y205" t="str">
            <v>Prévu</v>
          </cell>
          <cell r="Z205" t="str">
            <v>Reprise</v>
          </cell>
        </row>
        <row r="206">
          <cell r="A206">
            <v>2926</v>
          </cell>
          <cell r="B206">
            <v>1</v>
          </cell>
          <cell r="C206" t="str">
            <v>IV22416</v>
          </cell>
          <cell r="D206" t="str">
            <v>ACHAT D'EQUIPEMENTS POUR LES LABORATOIRES D'ANALYSES CHIMIQUES DE PMK/T</v>
          </cell>
          <cell r="E206" t="str">
            <v>Approuvé</v>
          </cell>
          <cell r="F206" t="str">
            <v>K04013</v>
          </cell>
          <cell r="G206">
            <v>2</v>
          </cell>
          <cell r="H206" t="str">
            <v>Reprise</v>
          </cell>
          <cell r="I206" t="str">
            <v>REPRISE</v>
          </cell>
          <cell r="J206" t="str">
            <v>Budgété</v>
          </cell>
          <cell r="K206">
            <v>485972</v>
          </cell>
          <cell r="L206">
            <v>485972</v>
          </cell>
          <cell r="O206">
            <v>485000</v>
          </cell>
          <cell r="P206">
            <v>972</v>
          </cell>
          <cell r="S206">
            <v>13273</v>
          </cell>
          <cell r="T206" t="str">
            <v>KABBAGE NADIA</v>
          </cell>
          <cell r="U206" t="str">
            <v>Ordinaire</v>
          </cell>
          <cell r="V206" t="str">
            <v>Reprise</v>
          </cell>
          <cell r="W206" t="str">
            <v>Dotations nouvelles</v>
          </cell>
          <cell r="X206" t="str">
            <v>Aucune</v>
          </cell>
          <cell r="Y206" t="str">
            <v>Prévu</v>
          </cell>
          <cell r="Z206" t="str">
            <v>Reprise</v>
          </cell>
        </row>
        <row r="207">
          <cell r="A207">
            <v>2927</v>
          </cell>
          <cell r="B207">
            <v>1</v>
          </cell>
          <cell r="C207" t="str">
            <v>IV22418</v>
          </cell>
          <cell r="D207" t="str">
            <v>ACHAT D'UNE MOTOPOMPE REMORQUABLE POUR LE COZ</v>
          </cell>
          <cell r="E207" t="str">
            <v>Approuvé</v>
          </cell>
          <cell r="F207" t="str">
            <v>K04012</v>
          </cell>
          <cell r="G207">
            <v>2</v>
          </cell>
          <cell r="H207" t="str">
            <v>Reprise</v>
          </cell>
          <cell r="I207" t="str">
            <v>REPRISE</v>
          </cell>
          <cell r="J207" t="str">
            <v>Budgété</v>
          </cell>
          <cell r="K207">
            <v>450000</v>
          </cell>
          <cell r="L207">
            <v>450000</v>
          </cell>
          <cell r="O207">
            <v>450000</v>
          </cell>
          <cell r="S207">
            <v>13274</v>
          </cell>
          <cell r="T207" t="str">
            <v>NABZAR AHMED</v>
          </cell>
          <cell r="U207" t="str">
            <v>Ordinaire</v>
          </cell>
          <cell r="V207" t="str">
            <v>Reprise</v>
          </cell>
          <cell r="W207" t="str">
            <v>Dotations nouvelles</v>
          </cell>
          <cell r="X207" t="str">
            <v>Aucune</v>
          </cell>
          <cell r="Y207" t="str">
            <v>Prévu</v>
          </cell>
          <cell r="Z207" t="str">
            <v>Reprise</v>
          </cell>
        </row>
        <row r="208">
          <cell r="A208">
            <v>2928</v>
          </cell>
          <cell r="B208">
            <v>1</v>
          </cell>
          <cell r="C208" t="str">
            <v>IV22424</v>
          </cell>
          <cell r="D208" t="str">
            <v>ACHAT DE 3 CONSOLES DE PROGRAMMATION POUR L'UNITE DE BENI-IDIR</v>
          </cell>
          <cell r="E208" t="str">
            <v>Approuvé</v>
          </cell>
          <cell r="F208" t="str">
            <v>K04131</v>
          </cell>
          <cell r="G208">
            <v>3</v>
          </cell>
          <cell r="H208" t="str">
            <v>V2</v>
          </cell>
          <cell r="I208" t="str">
            <v>TRANSFERT</v>
          </cell>
          <cell r="J208" t="str">
            <v>Budgété</v>
          </cell>
          <cell r="K208">
            <v>300000</v>
          </cell>
          <cell r="L208">
            <v>300000</v>
          </cell>
          <cell r="O208">
            <v>300000</v>
          </cell>
          <cell r="S208">
            <v>16573</v>
          </cell>
          <cell r="T208" t="str">
            <v>TOGHZAOUI ABDELLATIF</v>
          </cell>
          <cell r="U208" t="str">
            <v>Ordinaire</v>
          </cell>
          <cell r="V208" t="str">
            <v>Reprise</v>
          </cell>
          <cell r="W208" t="str">
            <v>Dotations nouvelles</v>
          </cell>
          <cell r="X208" t="str">
            <v>Aucune</v>
          </cell>
          <cell r="Y208" t="str">
            <v>Prévu</v>
          </cell>
          <cell r="Z208" t="str">
            <v>Reprise</v>
          </cell>
        </row>
        <row r="209">
          <cell r="A209">
            <v>2929</v>
          </cell>
          <cell r="B209">
            <v>1</v>
          </cell>
          <cell r="C209" t="str">
            <v>IV22435</v>
          </cell>
          <cell r="D209" t="str">
            <v>RN DE 27 MOTEURS ELECTRIQUES B.T POUR L'USINE DE BENI-IDIR</v>
          </cell>
          <cell r="E209" t="str">
            <v>Approuvé</v>
          </cell>
          <cell r="F209" t="str">
            <v>K04131</v>
          </cell>
          <cell r="G209">
            <v>2</v>
          </cell>
          <cell r="H209" t="str">
            <v>Reprise</v>
          </cell>
          <cell r="I209" t="str">
            <v>REPRISE</v>
          </cell>
          <cell r="J209" t="str">
            <v>Budgété</v>
          </cell>
          <cell r="K209">
            <v>821904.88</v>
          </cell>
          <cell r="L209">
            <v>821904.88</v>
          </cell>
          <cell r="O209">
            <v>444000</v>
          </cell>
          <cell r="P209">
            <v>377904.88</v>
          </cell>
          <cell r="S209">
            <v>13276</v>
          </cell>
          <cell r="T209" t="str">
            <v>NABZAR AHMED</v>
          </cell>
          <cell r="U209" t="str">
            <v>Ordinaire</v>
          </cell>
          <cell r="V209" t="str">
            <v>Reprise</v>
          </cell>
          <cell r="W209" t="str">
            <v>Renouvellement</v>
          </cell>
          <cell r="X209" t="str">
            <v>Aucune</v>
          </cell>
          <cell r="Y209" t="str">
            <v>Prévu</v>
          </cell>
          <cell r="Z209" t="str">
            <v>Reprise</v>
          </cell>
        </row>
        <row r="210">
          <cell r="A210">
            <v>2930</v>
          </cell>
          <cell r="B210">
            <v>1</v>
          </cell>
          <cell r="C210" t="str">
            <v>IV22436</v>
          </cell>
          <cell r="D210" t="str">
            <v>ACHAT DES VARIATEURS DE VITESSE POUR LES VENTILATEURS DE TIRAGE DES FOURS SECHEURS DE L'USINE DE BENI-IDIR</v>
          </cell>
          <cell r="E210" t="str">
            <v>Approuvé</v>
          </cell>
          <cell r="F210" t="str">
            <v>K04131</v>
          </cell>
          <cell r="G210">
            <v>2</v>
          </cell>
          <cell r="H210" t="str">
            <v>Reprise</v>
          </cell>
          <cell r="I210" t="str">
            <v>REPRISE</v>
          </cell>
          <cell r="J210" t="str">
            <v>Budgété</v>
          </cell>
          <cell r="K210">
            <v>4860000</v>
          </cell>
          <cell r="L210">
            <v>4860000</v>
          </cell>
          <cell r="O210">
            <v>4860000</v>
          </cell>
          <cell r="S210">
            <v>13277</v>
          </cell>
          <cell r="T210" t="str">
            <v>NABZAR AHMED</v>
          </cell>
          <cell r="U210" t="str">
            <v>Ordinaire</v>
          </cell>
          <cell r="V210" t="str">
            <v>Reprise</v>
          </cell>
          <cell r="W210" t="str">
            <v>Dotations nouvelles</v>
          </cell>
          <cell r="X210" t="str">
            <v>Aucune</v>
          </cell>
          <cell r="Y210" t="str">
            <v>Prévu</v>
          </cell>
          <cell r="Z210" t="str">
            <v>Reprise</v>
          </cell>
        </row>
        <row r="211">
          <cell r="A211">
            <v>2931</v>
          </cell>
          <cell r="B211">
            <v>1</v>
          </cell>
          <cell r="C211" t="str">
            <v>IV22438</v>
          </cell>
          <cell r="D211" t="str">
            <v>RN DE 2 POMPES DE FUEL POUR L'ATELIER DE SECHAGE DU COZ</v>
          </cell>
          <cell r="E211" t="str">
            <v>Approuvé</v>
          </cell>
          <cell r="F211" t="str">
            <v>K04315</v>
          </cell>
          <cell r="G211">
            <v>2</v>
          </cell>
          <cell r="H211" t="str">
            <v>Reprise</v>
          </cell>
          <cell r="I211" t="str">
            <v>REPRISE</v>
          </cell>
          <cell r="J211" t="str">
            <v>Budgété</v>
          </cell>
          <cell r="K211">
            <v>400000</v>
          </cell>
          <cell r="L211">
            <v>400000</v>
          </cell>
          <cell r="O211">
            <v>400000</v>
          </cell>
          <cell r="S211">
            <v>13278</v>
          </cell>
          <cell r="T211" t="str">
            <v>NABZAR AHMED</v>
          </cell>
          <cell r="U211" t="str">
            <v>Ordinaire</v>
          </cell>
          <cell r="V211" t="str">
            <v>Reprise</v>
          </cell>
          <cell r="W211" t="str">
            <v>Renouvellement</v>
          </cell>
          <cell r="X211" t="str">
            <v>Aucune</v>
          </cell>
          <cell r="Y211" t="str">
            <v>Prévu</v>
          </cell>
          <cell r="Z211" t="str">
            <v>Reprise</v>
          </cell>
        </row>
        <row r="212">
          <cell r="A212">
            <v>2932</v>
          </cell>
          <cell r="B212">
            <v>1</v>
          </cell>
          <cell r="C212" t="str">
            <v>IV22442</v>
          </cell>
          <cell r="D212" t="str">
            <v>RN D'UN VARIATEUR DE VITESSE POUR FILTRE PHILIP DE LA LAVERIE DE L'UNITE DAOUI</v>
          </cell>
          <cell r="E212" t="str">
            <v>Approuvé</v>
          </cell>
          <cell r="F212" t="str">
            <v>K04241</v>
          </cell>
          <cell r="G212">
            <v>2</v>
          </cell>
          <cell r="H212" t="str">
            <v>Reprise</v>
          </cell>
          <cell r="I212" t="str">
            <v>REPRISE</v>
          </cell>
          <cell r="J212" t="str">
            <v>Budgété</v>
          </cell>
          <cell r="K212">
            <v>86330.4</v>
          </cell>
          <cell r="L212">
            <v>86330.4</v>
          </cell>
          <cell r="P212">
            <v>86330.4</v>
          </cell>
          <cell r="S212">
            <v>13279</v>
          </cell>
          <cell r="T212" t="str">
            <v>NABZAR AHMED</v>
          </cell>
          <cell r="U212" t="str">
            <v>Ordinaire</v>
          </cell>
          <cell r="V212" t="str">
            <v>Reprise</v>
          </cell>
          <cell r="W212" t="str">
            <v>Renouvellement</v>
          </cell>
          <cell r="X212" t="str">
            <v>Aucune</v>
          </cell>
          <cell r="Y212" t="str">
            <v>Prévu</v>
          </cell>
          <cell r="Z212" t="str">
            <v>Reprise</v>
          </cell>
        </row>
        <row r="213">
          <cell r="A213">
            <v>2933</v>
          </cell>
          <cell r="B213">
            <v>1</v>
          </cell>
          <cell r="C213" t="str">
            <v>IV22444</v>
          </cell>
          <cell r="D213" t="str">
            <v>FOURNITURE ET INSTALLATION DES CAMERAS DE TELESURVEILLANCE DE L'INTERIEUR DU FOYER D'UN FOUR SECHEUR A BENI-IDIR</v>
          </cell>
          <cell r="E213" t="str">
            <v>Approuvé</v>
          </cell>
          <cell r="F213" t="str">
            <v>K04116</v>
          </cell>
          <cell r="G213">
            <v>2</v>
          </cell>
          <cell r="H213" t="str">
            <v>Reprise</v>
          </cell>
          <cell r="I213" t="str">
            <v>REPRISE</v>
          </cell>
          <cell r="J213" t="str">
            <v>Budgété</v>
          </cell>
          <cell r="K213">
            <v>490000</v>
          </cell>
          <cell r="L213">
            <v>490000</v>
          </cell>
          <cell r="O213">
            <v>490000</v>
          </cell>
          <cell r="S213">
            <v>13280</v>
          </cell>
          <cell r="T213" t="str">
            <v>NABZAR AHMED</v>
          </cell>
          <cell r="U213" t="str">
            <v>Ordinaire</v>
          </cell>
          <cell r="V213" t="str">
            <v>Reprise</v>
          </cell>
          <cell r="W213" t="str">
            <v>Dotations nouvelles</v>
          </cell>
          <cell r="X213" t="str">
            <v>Aucune</v>
          </cell>
          <cell r="Y213" t="str">
            <v>Prévu</v>
          </cell>
          <cell r="Z213" t="str">
            <v>Reprise</v>
          </cell>
        </row>
        <row r="214">
          <cell r="A214">
            <v>2934</v>
          </cell>
          <cell r="B214">
            <v>1</v>
          </cell>
          <cell r="C214" t="str">
            <v>IV22446</v>
          </cell>
          <cell r="D214" t="str">
            <v>ACHAT D'UNE POMPE POUR LE DEPOTAGE DU FUEL AU COZ</v>
          </cell>
          <cell r="E214" t="str">
            <v>Approuvé</v>
          </cell>
          <cell r="F214" t="str">
            <v>K04315</v>
          </cell>
          <cell r="G214">
            <v>2</v>
          </cell>
          <cell r="H214" t="str">
            <v>Reprise</v>
          </cell>
          <cell r="I214" t="str">
            <v>REPRISE</v>
          </cell>
          <cell r="J214" t="str">
            <v>Budgété</v>
          </cell>
          <cell r="K214">
            <v>380000</v>
          </cell>
          <cell r="L214">
            <v>380000</v>
          </cell>
          <cell r="O214">
            <v>380000</v>
          </cell>
          <cell r="S214">
            <v>13281</v>
          </cell>
          <cell r="T214" t="str">
            <v>NABZAR AHMED</v>
          </cell>
          <cell r="U214" t="str">
            <v>Ordinaire</v>
          </cell>
          <cell r="V214" t="str">
            <v>Reprise</v>
          </cell>
          <cell r="W214" t="str">
            <v>Dotations nouvelles</v>
          </cell>
          <cell r="X214" t="str">
            <v>Aucune</v>
          </cell>
          <cell r="Y214" t="str">
            <v>Prévu</v>
          </cell>
          <cell r="Z214" t="str">
            <v>Reprise</v>
          </cell>
        </row>
        <row r="215">
          <cell r="A215">
            <v>2935</v>
          </cell>
          <cell r="B215">
            <v>1</v>
          </cell>
          <cell r="C215" t="str">
            <v>IV22448</v>
          </cell>
          <cell r="D215" t="str">
            <v>ACHAT D'UNE AMBULANCE NORMALISEE DE DCI POUR LE SECTEUR DAOUI-COZ</v>
          </cell>
          <cell r="E215" t="str">
            <v>Approuvé</v>
          </cell>
          <cell r="F215" t="str">
            <v>K04012</v>
          </cell>
          <cell r="G215">
            <v>2</v>
          </cell>
          <cell r="H215" t="str">
            <v>Reprise</v>
          </cell>
          <cell r="I215" t="str">
            <v>REPRISE</v>
          </cell>
          <cell r="J215" t="str">
            <v>Budgété</v>
          </cell>
          <cell r="K215">
            <v>1136000</v>
          </cell>
          <cell r="L215">
            <v>1136000</v>
          </cell>
          <cell r="O215">
            <v>800000</v>
          </cell>
          <cell r="P215">
            <v>336000</v>
          </cell>
          <cell r="S215">
            <v>13282</v>
          </cell>
          <cell r="T215" t="str">
            <v>NABZAR AHMED</v>
          </cell>
          <cell r="U215" t="str">
            <v>Ordinaire</v>
          </cell>
          <cell r="V215" t="str">
            <v>Reprise</v>
          </cell>
          <cell r="W215" t="str">
            <v>Dotations nouvelles</v>
          </cell>
          <cell r="X215" t="str">
            <v>Aucune</v>
          </cell>
          <cell r="Y215" t="str">
            <v>Prévu</v>
          </cell>
          <cell r="Z215" t="str">
            <v>Reprise</v>
          </cell>
        </row>
        <row r="216">
          <cell r="A216">
            <v>2936</v>
          </cell>
          <cell r="B216">
            <v>1</v>
          </cell>
          <cell r="C216" t="str">
            <v>IV22451</v>
          </cell>
          <cell r="D216" t="str">
            <v>ACHAT DE 2 COMPRESSEURS D'AIR COMPRIME MOBILES POUR DEK/TK:B ET COZ</v>
          </cell>
          <cell r="E216" t="str">
            <v>Approuvé</v>
          </cell>
          <cell r="F216" t="str">
            <v>K04131</v>
          </cell>
          <cell r="G216">
            <v>2</v>
          </cell>
          <cell r="H216" t="str">
            <v>Reprise</v>
          </cell>
          <cell r="I216" t="str">
            <v>REPRISE</v>
          </cell>
          <cell r="J216" t="str">
            <v>Budgété</v>
          </cell>
          <cell r="K216">
            <v>400000</v>
          </cell>
          <cell r="L216">
            <v>400000</v>
          </cell>
          <cell r="O216">
            <v>400000</v>
          </cell>
          <cell r="S216">
            <v>13283</v>
          </cell>
          <cell r="T216" t="str">
            <v>NABZAR AHMED</v>
          </cell>
          <cell r="U216" t="str">
            <v>Ordinaire</v>
          </cell>
          <cell r="V216" t="str">
            <v>Reprise</v>
          </cell>
          <cell r="W216" t="str">
            <v>Dotations nouvelles</v>
          </cell>
          <cell r="X216" t="str">
            <v>Aucune</v>
          </cell>
          <cell r="Y216" t="str">
            <v>Prévu</v>
          </cell>
          <cell r="Z216" t="str">
            <v>Reprise</v>
          </cell>
        </row>
        <row r="217">
          <cell r="A217">
            <v>2937</v>
          </cell>
          <cell r="B217">
            <v>1</v>
          </cell>
          <cell r="C217" t="str">
            <v>IV22452</v>
          </cell>
          <cell r="D217" t="str">
            <v>RN DE LA CHAUDIERE B DU SECHAGE DU COZ</v>
          </cell>
          <cell r="E217" t="str">
            <v>Approuvé</v>
          </cell>
          <cell r="F217" t="str">
            <v>K04307</v>
          </cell>
          <cell r="G217">
            <v>2</v>
          </cell>
          <cell r="H217" t="str">
            <v>Reprise</v>
          </cell>
          <cell r="I217" t="str">
            <v>REPRISE</v>
          </cell>
          <cell r="J217" t="str">
            <v>Budgété</v>
          </cell>
          <cell r="K217">
            <v>1005000</v>
          </cell>
          <cell r="L217">
            <v>1005000</v>
          </cell>
          <cell r="O217">
            <v>1005000</v>
          </cell>
          <cell r="S217">
            <v>13284</v>
          </cell>
          <cell r="T217" t="str">
            <v>NABZAR AHMED</v>
          </cell>
          <cell r="U217" t="str">
            <v>Ordinaire</v>
          </cell>
          <cell r="V217" t="str">
            <v>Reprise</v>
          </cell>
          <cell r="W217" t="str">
            <v>Renouvellement</v>
          </cell>
          <cell r="X217" t="str">
            <v>Aucune</v>
          </cell>
          <cell r="Y217" t="str">
            <v>Prévu</v>
          </cell>
          <cell r="Z217" t="str">
            <v>Reprise</v>
          </cell>
        </row>
        <row r="218">
          <cell r="A218">
            <v>2938</v>
          </cell>
          <cell r="B218">
            <v>1</v>
          </cell>
          <cell r="C218" t="str">
            <v>IV22458</v>
          </cell>
          <cell r="D218" t="str">
            <v>RN DE 2 CAMIONS A BENNE POUR PMK/T</v>
          </cell>
          <cell r="E218" t="str">
            <v>Approuvé</v>
          </cell>
          <cell r="F218" t="str">
            <v>K04518</v>
          </cell>
          <cell r="G218">
            <v>2</v>
          </cell>
          <cell r="H218" t="str">
            <v>Reprise</v>
          </cell>
          <cell r="I218" t="str">
            <v>REPRISE</v>
          </cell>
          <cell r="J218" t="str">
            <v>Budgété</v>
          </cell>
          <cell r="K218">
            <v>3300590</v>
          </cell>
          <cell r="L218">
            <v>3300590</v>
          </cell>
          <cell r="O218">
            <v>2000000</v>
          </cell>
          <cell r="P218">
            <v>1300590</v>
          </cell>
          <cell r="S218">
            <v>13285</v>
          </cell>
          <cell r="T218" t="str">
            <v>NABZAR AHMED</v>
          </cell>
          <cell r="U218" t="str">
            <v>Ordinaire</v>
          </cell>
          <cell r="V218" t="str">
            <v>Reprise</v>
          </cell>
          <cell r="W218" t="str">
            <v>Renouvellement</v>
          </cell>
          <cell r="X218" t="str">
            <v>Aucune</v>
          </cell>
          <cell r="Y218" t="str">
            <v>Prévu</v>
          </cell>
          <cell r="Z218" t="str">
            <v>Reprise</v>
          </cell>
        </row>
        <row r="219">
          <cell r="A219">
            <v>2939</v>
          </cell>
          <cell r="B219">
            <v>1</v>
          </cell>
          <cell r="C219" t="str">
            <v>IV22459</v>
          </cell>
          <cell r="D219" t="str">
            <v>RN DE 2 CHARGEUSES SUR PNEUS POUR PMK/T</v>
          </cell>
          <cell r="E219" t="str">
            <v>Approuvé</v>
          </cell>
          <cell r="F219" t="str">
            <v>K04519</v>
          </cell>
          <cell r="G219">
            <v>2</v>
          </cell>
          <cell r="H219" t="str">
            <v>Reprise</v>
          </cell>
          <cell r="I219" t="str">
            <v>REPRISE</v>
          </cell>
          <cell r="J219" t="str">
            <v>Budgété</v>
          </cell>
          <cell r="K219">
            <v>2874000</v>
          </cell>
          <cell r="L219">
            <v>2874000</v>
          </cell>
          <cell r="O219">
            <v>850000</v>
          </cell>
          <cell r="P219">
            <v>2024000</v>
          </cell>
          <cell r="S219">
            <v>13286</v>
          </cell>
          <cell r="T219" t="str">
            <v>NABZAR AHMED</v>
          </cell>
          <cell r="U219" t="str">
            <v>Ordinaire</v>
          </cell>
          <cell r="V219" t="str">
            <v>Reprise</v>
          </cell>
          <cell r="W219" t="str">
            <v>Renouvellement</v>
          </cell>
          <cell r="X219" t="str">
            <v>Aucune</v>
          </cell>
          <cell r="Y219" t="str">
            <v>Prévu</v>
          </cell>
          <cell r="Z219" t="str">
            <v>Reprise</v>
          </cell>
        </row>
        <row r="220">
          <cell r="A220">
            <v>2940</v>
          </cell>
          <cell r="B220">
            <v>1</v>
          </cell>
          <cell r="C220" t="str">
            <v>IV22463</v>
          </cell>
          <cell r="D220" t="str">
            <v>RN DE MATERIEL DE LABORATOIRE</v>
          </cell>
          <cell r="E220" t="str">
            <v>Approuvé</v>
          </cell>
          <cell r="F220" t="str">
            <v>K04013</v>
          </cell>
          <cell r="G220">
            <v>2</v>
          </cell>
          <cell r="H220" t="str">
            <v>Reprise</v>
          </cell>
          <cell r="I220" t="str">
            <v>REPRISE</v>
          </cell>
          <cell r="J220" t="str">
            <v>Budgété</v>
          </cell>
          <cell r="K220">
            <v>497160</v>
          </cell>
          <cell r="L220">
            <v>497160</v>
          </cell>
          <cell r="O220">
            <v>450000</v>
          </cell>
          <cell r="P220">
            <v>47160</v>
          </cell>
          <cell r="S220">
            <v>13394</v>
          </cell>
          <cell r="T220" t="str">
            <v>KABBAGE NADIA</v>
          </cell>
          <cell r="U220" t="str">
            <v>Ordinaire</v>
          </cell>
          <cell r="V220" t="str">
            <v>Reprise</v>
          </cell>
          <cell r="W220" t="str">
            <v>Renouvellement</v>
          </cell>
          <cell r="X220" t="str">
            <v>Aucune</v>
          </cell>
          <cell r="Y220" t="str">
            <v>Prévu</v>
          </cell>
          <cell r="Z220" t="str">
            <v>Reprise</v>
          </cell>
        </row>
        <row r="221">
          <cell r="A221">
            <v>2941</v>
          </cell>
          <cell r="B221">
            <v>1</v>
          </cell>
          <cell r="C221" t="str">
            <v>IV22467</v>
          </cell>
          <cell r="D221" t="str">
            <v>RN DE L'ARMOIRE FRIGORIFIQUE DE LA BUVETTE DU COZ</v>
          </cell>
          <cell r="E221" t="str">
            <v>Approuvé</v>
          </cell>
          <cell r="F221" t="str">
            <v>K04315</v>
          </cell>
          <cell r="G221">
            <v>2</v>
          </cell>
          <cell r="H221" t="str">
            <v>Reprise</v>
          </cell>
          <cell r="I221" t="str">
            <v>REPRISE</v>
          </cell>
          <cell r="J221" t="str">
            <v>Budgété</v>
          </cell>
          <cell r="K221">
            <v>47000</v>
          </cell>
          <cell r="L221">
            <v>47000</v>
          </cell>
          <cell r="O221">
            <v>47000</v>
          </cell>
          <cell r="S221">
            <v>13341</v>
          </cell>
          <cell r="T221" t="str">
            <v>LEBBARDI ABDELJABBAR</v>
          </cell>
          <cell r="U221" t="str">
            <v>Ordinaire</v>
          </cell>
          <cell r="V221" t="str">
            <v>Reprise</v>
          </cell>
          <cell r="W221" t="str">
            <v>Renouvellement</v>
          </cell>
          <cell r="X221" t="str">
            <v>Aucune</v>
          </cell>
          <cell r="Y221" t="str">
            <v>Prévu</v>
          </cell>
          <cell r="Z221" t="str">
            <v>Reprise</v>
          </cell>
        </row>
        <row r="222">
          <cell r="A222">
            <v>2942</v>
          </cell>
          <cell r="B222">
            <v>1</v>
          </cell>
          <cell r="C222" t="str">
            <v>IV22473</v>
          </cell>
          <cell r="D222" t="str">
            <v>ACHAT DE 2 POMPES SUBMERSIBLES POUR LE COZ</v>
          </cell>
          <cell r="E222" t="str">
            <v>Approuvé</v>
          </cell>
          <cell r="F222" t="str">
            <v>K04315</v>
          </cell>
          <cell r="G222">
            <v>2</v>
          </cell>
          <cell r="H222" t="str">
            <v>Reprise</v>
          </cell>
          <cell r="I222" t="str">
            <v>REPRISE</v>
          </cell>
          <cell r="J222" t="str">
            <v>Budgété</v>
          </cell>
          <cell r="K222">
            <v>68928</v>
          </cell>
          <cell r="L222">
            <v>68928</v>
          </cell>
          <cell r="P222">
            <v>68928</v>
          </cell>
          <cell r="S222">
            <v>13342</v>
          </cell>
          <cell r="T222" t="str">
            <v>NABZAR AHMED</v>
          </cell>
          <cell r="U222" t="str">
            <v>Ordinaire</v>
          </cell>
          <cell r="V222" t="str">
            <v>Reprise</v>
          </cell>
          <cell r="W222" t="str">
            <v>Dotations nouvelles</v>
          </cell>
          <cell r="X222" t="str">
            <v>Aucune</v>
          </cell>
          <cell r="Y222" t="str">
            <v>Prévu</v>
          </cell>
          <cell r="Z222" t="str">
            <v>Reprise</v>
          </cell>
        </row>
        <row r="223">
          <cell r="A223">
            <v>2943</v>
          </cell>
          <cell r="B223">
            <v>1</v>
          </cell>
          <cell r="C223" t="str">
            <v>IV22475</v>
          </cell>
          <cell r="D223" t="str">
            <v>FOURNITURE ET INSTALLATION D'UN SYSTEME DE TELESURVEILLANCE DE LA CHAUFFERIE DU COZ</v>
          </cell>
          <cell r="E223" t="str">
            <v>Approuvé</v>
          </cell>
          <cell r="F223" t="str">
            <v>K04305</v>
          </cell>
          <cell r="G223">
            <v>3</v>
          </cell>
          <cell r="H223" t="str">
            <v>Annulation</v>
          </cell>
          <cell r="I223" t="str">
            <v>ANNULATION</v>
          </cell>
          <cell r="J223" t="str">
            <v>Budgété</v>
          </cell>
          <cell r="K223">
            <v>0</v>
          </cell>
          <cell r="L223">
            <v>0</v>
          </cell>
          <cell r="O223">
            <v>0</v>
          </cell>
          <cell r="S223">
            <v>15811</v>
          </cell>
          <cell r="T223" t="str">
            <v>BERRADA ACHRAF</v>
          </cell>
          <cell r="U223" t="str">
            <v>Ordinaire</v>
          </cell>
          <cell r="V223" t="str">
            <v>Reprise</v>
          </cell>
          <cell r="W223" t="str">
            <v>Dotations nouvelles</v>
          </cell>
          <cell r="X223" t="str">
            <v>Aucune</v>
          </cell>
          <cell r="Y223" t="str">
            <v>Prévu</v>
          </cell>
          <cell r="Z223" t="str">
            <v>Reprise</v>
          </cell>
        </row>
        <row r="224">
          <cell r="A224">
            <v>2944</v>
          </cell>
          <cell r="B224">
            <v>1</v>
          </cell>
          <cell r="C224" t="str">
            <v>IV22477</v>
          </cell>
          <cell r="D224" t="str">
            <v>RN MOTEUR ELECTRIQUE POUR LES INSTALLATIONS DE L'UNITE TRAITEMENT DAOUI</v>
          </cell>
          <cell r="E224" t="str">
            <v>Approuvé</v>
          </cell>
          <cell r="F224" t="str">
            <v>K04315</v>
          </cell>
          <cell r="G224">
            <v>2</v>
          </cell>
          <cell r="H224" t="str">
            <v>Reprise</v>
          </cell>
          <cell r="I224" t="str">
            <v>REPRISE</v>
          </cell>
          <cell r="J224" t="str">
            <v>Budgété</v>
          </cell>
          <cell r="K224">
            <v>889383.78</v>
          </cell>
          <cell r="L224">
            <v>889383.78</v>
          </cell>
          <cell r="O224">
            <v>700000</v>
          </cell>
          <cell r="P224">
            <v>189383.78</v>
          </cell>
          <cell r="S224">
            <v>13344</v>
          </cell>
          <cell r="T224" t="str">
            <v>BERRADA ACHRAF</v>
          </cell>
          <cell r="U224" t="str">
            <v>Ordinaire</v>
          </cell>
          <cell r="V224" t="str">
            <v>Reprise</v>
          </cell>
          <cell r="W224" t="str">
            <v>Renouvellement</v>
          </cell>
          <cell r="X224" t="str">
            <v>Aucune</v>
          </cell>
          <cell r="Y224" t="str">
            <v>Prévu</v>
          </cell>
          <cell r="Z224" t="str">
            <v>Reprise</v>
          </cell>
        </row>
        <row r="225">
          <cell r="A225">
            <v>2945</v>
          </cell>
          <cell r="B225">
            <v>1</v>
          </cell>
          <cell r="C225" t="str">
            <v>IV22478</v>
          </cell>
          <cell r="D225" t="str">
            <v>ACHAT DES VERINS ELECTRIQUES POUR LA LAVERIE DAOUI</v>
          </cell>
          <cell r="E225" t="str">
            <v>Approuvé</v>
          </cell>
          <cell r="F225" t="str">
            <v>K04241</v>
          </cell>
          <cell r="G225">
            <v>2</v>
          </cell>
          <cell r="H225" t="str">
            <v>Reprise</v>
          </cell>
          <cell r="I225" t="str">
            <v>REPRISE</v>
          </cell>
          <cell r="J225" t="str">
            <v>Budgété</v>
          </cell>
          <cell r="K225">
            <v>657000</v>
          </cell>
          <cell r="L225">
            <v>657000</v>
          </cell>
          <cell r="O225">
            <v>360000</v>
          </cell>
          <cell r="P225">
            <v>297000</v>
          </cell>
          <cell r="S225">
            <v>13345</v>
          </cell>
          <cell r="T225" t="str">
            <v>NABZAR AHMED</v>
          </cell>
          <cell r="U225" t="str">
            <v>Ordinaire</v>
          </cell>
          <cell r="V225" t="str">
            <v>Reprise</v>
          </cell>
          <cell r="W225" t="str">
            <v>Dotations nouvelles</v>
          </cell>
          <cell r="X225" t="str">
            <v>Aucune</v>
          </cell>
          <cell r="Y225" t="str">
            <v>Prévu</v>
          </cell>
          <cell r="Z225" t="str">
            <v>Reprise</v>
          </cell>
        </row>
        <row r="226">
          <cell r="A226">
            <v>2946</v>
          </cell>
          <cell r="B226">
            <v>1</v>
          </cell>
          <cell r="C226" t="str">
            <v>IV22480</v>
          </cell>
          <cell r="D226" t="str">
            <v>RN DE 6 REDUCTEURS DE VITESSE DE LA LIAISON DAUI/COZ DE PMK/T</v>
          </cell>
          <cell r="E226" t="str">
            <v>Approuvé</v>
          </cell>
          <cell r="F226" t="str">
            <v>K04302</v>
          </cell>
          <cell r="G226">
            <v>3</v>
          </cell>
          <cell r="H226" t="str">
            <v>Reprise</v>
          </cell>
          <cell r="I226" t="str">
            <v>REPRISE</v>
          </cell>
          <cell r="J226" t="str">
            <v>Budgété</v>
          </cell>
          <cell r="K226">
            <v>6168804</v>
          </cell>
          <cell r="L226">
            <v>6168804</v>
          </cell>
          <cell r="O226">
            <v>3436033.8</v>
          </cell>
          <cell r="P226">
            <v>2732770.2</v>
          </cell>
          <cell r="S226">
            <v>15515</v>
          </cell>
          <cell r="T226" t="str">
            <v>NABZAR AHMED</v>
          </cell>
          <cell r="U226" t="str">
            <v>Ordinaire</v>
          </cell>
          <cell r="V226" t="str">
            <v>Reprise</v>
          </cell>
          <cell r="W226" t="str">
            <v>Renouvellement</v>
          </cell>
          <cell r="X226" t="str">
            <v>Aucune</v>
          </cell>
          <cell r="Y226" t="str">
            <v>Prévu</v>
          </cell>
          <cell r="Z226" t="str">
            <v>Reprise</v>
          </cell>
        </row>
        <row r="227">
          <cell r="A227">
            <v>2947</v>
          </cell>
          <cell r="B227">
            <v>1</v>
          </cell>
          <cell r="C227" t="str">
            <v>IV22481</v>
          </cell>
          <cell r="D227" t="str">
            <v>FOURNITURE ET CONSTRUCTION D'UN LOCAL DE L'ANTENNE D'HYGIENE ET DE SECURITE AU COZ</v>
          </cell>
          <cell r="E227" t="str">
            <v>Approuvé</v>
          </cell>
          <cell r="F227" t="str">
            <v>K04012</v>
          </cell>
          <cell r="G227">
            <v>2</v>
          </cell>
          <cell r="H227" t="str">
            <v>Reprise</v>
          </cell>
          <cell r="I227" t="str">
            <v>REPRISE</v>
          </cell>
          <cell r="J227" t="str">
            <v>Budgété</v>
          </cell>
          <cell r="K227">
            <v>950000</v>
          </cell>
          <cell r="L227">
            <v>950000</v>
          </cell>
          <cell r="O227">
            <v>950000</v>
          </cell>
          <cell r="S227">
            <v>13347</v>
          </cell>
          <cell r="T227" t="str">
            <v>NABZAR AHMED</v>
          </cell>
          <cell r="U227" t="str">
            <v>Ordinaire</v>
          </cell>
          <cell r="V227" t="str">
            <v>Reprise</v>
          </cell>
          <cell r="W227" t="str">
            <v>Dotations nouvelles</v>
          </cell>
          <cell r="X227" t="str">
            <v>Aucune</v>
          </cell>
          <cell r="Y227" t="str">
            <v>Prévu</v>
          </cell>
          <cell r="Z227" t="str">
            <v>Reprise</v>
          </cell>
        </row>
        <row r="228">
          <cell r="A228">
            <v>2948</v>
          </cell>
          <cell r="B228">
            <v>1</v>
          </cell>
          <cell r="C228" t="str">
            <v>IV22633</v>
          </cell>
          <cell r="D228" t="str">
            <v>ACHAT DE 06 ALIMENTATIONS STABILISEES DE 48V</v>
          </cell>
          <cell r="E228" t="str">
            <v>Approuvé</v>
          </cell>
          <cell r="F228" t="str">
            <v>K04705</v>
          </cell>
          <cell r="G228">
            <v>2</v>
          </cell>
          <cell r="H228" t="str">
            <v>Reprise</v>
          </cell>
          <cell r="I228" t="str">
            <v>REPRISE</v>
          </cell>
          <cell r="J228" t="str">
            <v>Budgété</v>
          </cell>
          <cell r="K228">
            <v>480000</v>
          </cell>
          <cell r="L228">
            <v>480000</v>
          </cell>
          <cell r="O228">
            <v>480000</v>
          </cell>
          <cell r="S228">
            <v>13348</v>
          </cell>
          <cell r="T228" t="str">
            <v>NABZAR AHMED</v>
          </cell>
          <cell r="U228" t="str">
            <v>Ordinaire</v>
          </cell>
          <cell r="V228" t="str">
            <v>Reprise</v>
          </cell>
          <cell r="W228" t="str">
            <v>Dotations nouvelles</v>
          </cell>
          <cell r="X228" t="str">
            <v>Aucune</v>
          </cell>
          <cell r="Y228" t="str">
            <v>Prévu</v>
          </cell>
          <cell r="Z228" t="str">
            <v>Reprise</v>
          </cell>
        </row>
        <row r="229">
          <cell r="A229">
            <v>2949</v>
          </cell>
          <cell r="B229">
            <v>1</v>
          </cell>
          <cell r="C229" t="str">
            <v>IV22760</v>
          </cell>
          <cell r="D229" t="str">
            <v>16 COLONNES BASSE TENSION</v>
          </cell>
          <cell r="E229" t="str">
            <v>Approuvé</v>
          </cell>
          <cell r="F229" t="str">
            <v>K07121</v>
          </cell>
          <cell r="G229">
            <v>2</v>
          </cell>
          <cell r="H229" t="str">
            <v>Reprise</v>
          </cell>
          <cell r="I229" t="str">
            <v>REPRISE</v>
          </cell>
          <cell r="J229" t="str">
            <v>Budgété</v>
          </cell>
          <cell r="K229">
            <v>4500000</v>
          </cell>
          <cell r="L229">
            <v>4500000</v>
          </cell>
          <cell r="O229">
            <v>4500000</v>
          </cell>
          <cell r="S229">
            <v>13349</v>
          </cell>
          <cell r="T229" t="str">
            <v>NABZAR AHMED</v>
          </cell>
          <cell r="U229" t="str">
            <v>Ordinaire</v>
          </cell>
          <cell r="V229" t="str">
            <v>Reprise</v>
          </cell>
          <cell r="W229" t="str">
            <v>Dotations nouvelles</v>
          </cell>
          <cell r="X229" t="str">
            <v>Aucune</v>
          </cell>
          <cell r="Y229" t="str">
            <v>Prévu</v>
          </cell>
          <cell r="Z229" t="str">
            <v>Reprise</v>
          </cell>
        </row>
        <row r="230">
          <cell r="A230">
            <v>2950</v>
          </cell>
          <cell r="B230">
            <v>1</v>
          </cell>
          <cell r="C230" t="str">
            <v>IV22762</v>
          </cell>
          <cell r="D230" t="str">
            <v>CELLULES ELECTRIQUES MOYENNE TENSION</v>
          </cell>
          <cell r="E230" t="str">
            <v>Approuvé</v>
          </cell>
          <cell r="F230" t="str">
            <v>K07121</v>
          </cell>
          <cell r="G230">
            <v>2</v>
          </cell>
          <cell r="H230" t="str">
            <v>Reprise</v>
          </cell>
          <cell r="I230" t="str">
            <v>REPRISE</v>
          </cell>
          <cell r="J230" t="str">
            <v>Budgété</v>
          </cell>
          <cell r="K230">
            <v>4200000</v>
          </cell>
          <cell r="L230">
            <v>4200000</v>
          </cell>
          <cell r="O230">
            <v>4200000</v>
          </cell>
          <cell r="S230">
            <v>13350</v>
          </cell>
          <cell r="T230" t="str">
            <v>NABZAR AHMED</v>
          </cell>
          <cell r="U230" t="str">
            <v>Ordinaire</v>
          </cell>
          <cell r="V230" t="str">
            <v>Reprise</v>
          </cell>
          <cell r="W230" t="str">
            <v>Dotations nouvelles</v>
          </cell>
          <cell r="X230" t="str">
            <v>Aucune</v>
          </cell>
          <cell r="Y230" t="str">
            <v>Prévu</v>
          </cell>
          <cell r="Z230" t="str">
            <v>Reprise</v>
          </cell>
        </row>
        <row r="231">
          <cell r="A231">
            <v>2951</v>
          </cell>
          <cell r="B231">
            <v>1</v>
          </cell>
          <cell r="C231" t="str">
            <v>IV22763</v>
          </cell>
          <cell r="D231" t="str">
            <v>01 MOTEUR ELECTRIQUE 132 KW - 500 V</v>
          </cell>
          <cell r="E231" t="str">
            <v>Approuvé</v>
          </cell>
          <cell r="F231" t="str">
            <v>K07121</v>
          </cell>
          <cell r="G231">
            <v>2</v>
          </cell>
          <cell r="H231" t="str">
            <v>Reprise</v>
          </cell>
          <cell r="I231" t="str">
            <v>REPRISE</v>
          </cell>
          <cell r="J231" t="str">
            <v>Budgété</v>
          </cell>
          <cell r="K231">
            <v>647660</v>
          </cell>
          <cell r="L231">
            <v>647660</v>
          </cell>
          <cell r="O231">
            <v>350000</v>
          </cell>
          <cell r="P231">
            <v>297660</v>
          </cell>
          <cell r="S231">
            <v>13351</v>
          </cell>
          <cell r="T231" t="str">
            <v>NABZAR AHMED</v>
          </cell>
          <cell r="U231" t="str">
            <v>Ordinaire</v>
          </cell>
          <cell r="V231" t="str">
            <v>Reprise</v>
          </cell>
          <cell r="W231" t="str">
            <v>Dotations nouvelles</v>
          </cell>
          <cell r="X231" t="str">
            <v>Aucune</v>
          </cell>
          <cell r="Y231" t="str">
            <v>Prévu</v>
          </cell>
          <cell r="Z231" t="str">
            <v>Reprise</v>
          </cell>
        </row>
        <row r="232">
          <cell r="A232">
            <v>2952</v>
          </cell>
          <cell r="B232">
            <v>1</v>
          </cell>
          <cell r="C232" t="str">
            <v>IV22783</v>
          </cell>
          <cell r="D232" t="str">
            <v>TRANSFORMATEURS ELECTRIQUES</v>
          </cell>
          <cell r="E232" t="str">
            <v>Approuvé</v>
          </cell>
          <cell r="F232" t="str">
            <v>K07121</v>
          </cell>
          <cell r="G232">
            <v>2</v>
          </cell>
          <cell r="H232" t="str">
            <v>Reprise</v>
          </cell>
          <cell r="I232" t="str">
            <v>REPRISE</v>
          </cell>
          <cell r="J232" t="str">
            <v>Budgété</v>
          </cell>
          <cell r="K232">
            <v>1100000</v>
          </cell>
          <cell r="L232">
            <v>1100000</v>
          </cell>
          <cell r="O232">
            <v>1100000</v>
          </cell>
          <cell r="S232">
            <v>13352</v>
          </cell>
          <cell r="T232" t="str">
            <v>NABZAR AHMED</v>
          </cell>
          <cell r="U232" t="str">
            <v>Ordinaire</v>
          </cell>
          <cell r="V232" t="str">
            <v>Reprise</v>
          </cell>
          <cell r="W232" t="str">
            <v>Dotations nouvelles</v>
          </cell>
          <cell r="X232" t="str">
            <v>Aucune</v>
          </cell>
          <cell r="Y232" t="str">
            <v>Prévu</v>
          </cell>
          <cell r="Z232" t="str">
            <v>Reprise</v>
          </cell>
        </row>
        <row r="233">
          <cell r="A233">
            <v>2953</v>
          </cell>
          <cell r="B233">
            <v>1</v>
          </cell>
          <cell r="C233" t="str">
            <v>IV22818</v>
          </cell>
          <cell r="D233" t="str">
            <v>APPAREILS DE MESURE ELECTRIQUES</v>
          </cell>
          <cell r="E233" t="str">
            <v>Approuvé</v>
          </cell>
          <cell r="F233" t="str">
            <v>K07122</v>
          </cell>
          <cell r="G233">
            <v>2</v>
          </cell>
          <cell r="H233" t="str">
            <v>Reprise</v>
          </cell>
          <cell r="I233" t="str">
            <v>REPRISE</v>
          </cell>
          <cell r="J233" t="str">
            <v>Budgété</v>
          </cell>
          <cell r="K233">
            <v>10796</v>
          </cell>
          <cell r="L233">
            <v>10796</v>
          </cell>
          <cell r="O233">
            <v>5000</v>
          </cell>
          <cell r="P233">
            <v>5796</v>
          </cell>
          <cell r="S233">
            <v>13353</v>
          </cell>
          <cell r="T233" t="str">
            <v>NABZAR AHMED</v>
          </cell>
          <cell r="U233" t="str">
            <v>Ordinaire</v>
          </cell>
          <cell r="V233" t="str">
            <v>Reprise</v>
          </cell>
          <cell r="W233" t="str">
            <v>Renouvellement</v>
          </cell>
          <cell r="X233" t="str">
            <v>Aucune</v>
          </cell>
          <cell r="Y233" t="str">
            <v>Prévu</v>
          </cell>
          <cell r="Z233" t="str">
            <v>Reprise</v>
          </cell>
        </row>
        <row r="234">
          <cell r="A234">
            <v>2954</v>
          </cell>
          <cell r="B234">
            <v>1</v>
          </cell>
          <cell r="C234" t="str">
            <v>IV22820</v>
          </cell>
          <cell r="D234" t="str">
            <v>POSTES RADIO EMETTEURS - RECEPTEURS</v>
          </cell>
          <cell r="E234" t="str">
            <v>Approuvé</v>
          </cell>
          <cell r="F234" t="str">
            <v>K07209</v>
          </cell>
          <cell r="G234">
            <v>2</v>
          </cell>
          <cell r="H234" t="str">
            <v>Reprise</v>
          </cell>
          <cell r="I234" t="str">
            <v>REPRISE</v>
          </cell>
          <cell r="J234" t="str">
            <v>Budgété</v>
          </cell>
          <cell r="K234">
            <v>109040</v>
          </cell>
          <cell r="L234">
            <v>109040</v>
          </cell>
          <cell r="O234">
            <v>62000</v>
          </cell>
          <cell r="P234">
            <v>47040</v>
          </cell>
          <cell r="S234">
            <v>13354</v>
          </cell>
          <cell r="T234" t="str">
            <v>NABZAR AHMED</v>
          </cell>
          <cell r="U234" t="str">
            <v>Ordinaire</v>
          </cell>
          <cell r="V234" t="str">
            <v>Reprise</v>
          </cell>
          <cell r="W234" t="str">
            <v>Dotations nouvelles</v>
          </cell>
          <cell r="X234" t="str">
            <v>Aucune</v>
          </cell>
          <cell r="Y234" t="str">
            <v>Prévu</v>
          </cell>
          <cell r="Z234" t="str">
            <v>Reprise</v>
          </cell>
        </row>
        <row r="235">
          <cell r="A235">
            <v>2955</v>
          </cell>
          <cell r="B235">
            <v>1</v>
          </cell>
          <cell r="C235" t="str">
            <v>IV22822</v>
          </cell>
          <cell r="D235" t="str">
            <v>VELOMOTEUR</v>
          </cell>
          <cell r="E235" t="str">
            <v>Approuvé</v>
          </cell>
          <cell r="F235" t="str">
            <v>K07221</v>
          </cell>
          <cell r="G235">
            <v>2</v>
          </cell>
          <cell r="H235" t="str">
            <v>Reprise</v>
          </cell>
          <cell r="I235" t="str">
            <v>REPRISE</v>
          </cell>
          <cell r="J235" t="str">
            <v>Budgété</v>
          </cell>
          <cell r="K235">
            <v>18750</v>
          </cell>
          <cell r="L235">
            <v>18750</v>
          </cell>
          <cell r="O235">
            <v>12000</v>
          </cell>
          <cell r="P235">
            <v>6750</v>
          </cell>
          <cell r="S235">
            <v>13355</v>
          </cell>
          <cell r="T235" t="str">
            <v>NABZAR AHMED</v>
          </cell>
          <cell r="U235" t="str">
            <v>Ordinaire</v>
          </cell>
          <cell r="V235" t="str">
            <v>Reprise</v>
          </cell>
          <cell r="W235" t="str">
            <v>Renouvellement</v>
          </cell>
          <cell r="X235" t="str">
            <v>Aucune</v>
          </cell>
          <cell r="Y235" t="str">
            <v>Prévu</v>
          </cell>
          <cell r="Z235" t="str">
            <v>Reprise</v>
          </cell>
        </row>
        <row r="236">
          <cell r="A236">
            <v>2956</v>
          </cell>
          <cell r="B236">
            <v>1</v>
          </cell>
          <cell r="C236" t="str">
            <v>IV22826</v>
          </cell>
          <cell r="D236" t="str">
            <v>MATERIEL POUR ATELIER ET STATION SERVICE</v>
          </cell>
          <cell r="E236" t="str">
            <v>Approuvé</v>
          </cell>
          <cell r="F236" t="str">
            <v>K07019</v>
          </cell>
          <cell r="G236">
            <v>2</v>
          </cell>
          <cell r="H236" t="str">
            <v>Reprise</v>
          </cell>
          <cell r="I236" t="str">
            <v>REPRISE</v>
          </cell>
          <cell r="J236" t="str">
            <v>Budgété</v>
          </cell>
          <cell r="K236">
            <v>23840</v>
          </cell>
          <cell r="L236">
            <v>23840</v>
          </cell>
          <cell r="O236">
            <v>8000</v>
          </cell>
          <cell r="P236">
            <v>15840</v>
          </cell>
          <cell r="S236">
            <v>13356</v>
          </cell>
          <cell r="T236" t="str">
            <v>NABZAR AHMED</v>
          </cell>
          <cell r="U236" t="str">
            <v>Ordinaire</v>
          </cell>
          <cell r="V236" t="str">
            <v>Reprise</v>
          </cell>
          <cell r="W236" t="str">
            <v>Dotations nouvelles</v>
          </cell>
          <cell r="X236" t="str">
            <v>Aucune</v>
          </cell>
          <cell r="Y236" t="str">
            <v>Prévu</v>
          </cell>
          <cell r="Z236" t="str">
            <v>Reprise</v>
          </cell>
        </row>
        <row r="237">
          <cell r="A237">
            <v>2957</v>
          </cell>
          <cell r="B237">
            <v>1</v>
          </cell>
          <cell r="C237" t="str">
            <v>IV22833</v>
          </cell>
          <cell r="D237" t="str">
            <v>MATERIEL DE LEVAGE ET MANUTENTION</v>
          </cell>
          <cell r="E237" t="str">
            <v>Approuvé</v>
          </cell>
          <cell r="F237" t="str">
            <v>K07216</v>
          </cell>
          <cell r="G237">
            <v>2</v>
          </cell>
          <cell r="H237" t="str">
            <v>Reprise</v>
          </cell>
          <cell r="I237" t="str">
            <v>REPRISE</v>
          </cell>
          <cell r="J237" t="str">
            <v>Budgété</v>
          </cell>
          <cell r="K237">
            <v>34720</v>
          </cell>
          <cell r="L237">
            <v>34720</v>
          </cell>
          <cell r="O237">
            <v>20000</v>
          </cell>
          <cell r="P237">
            <v>14720</v>
          </cell>
          <cell r="S237">
            <v>13357</v>
          </cell>
          <cell r="T237" t="str">
            <v>NABZAR AHMED</v>
          </cell>
          <cell r="U237" t="str">
            <v>Ordinaire</v>
          </cell>
          <cell r="V237" t="str">
            <v>Reprise</v>
          </cell>
          <cell r="W237" t="str">
            <v>Dotations nouvelles</v>
          </cell>
          <cell r="X237" t="str">
            <v>Aucune</v>
          </cell>
          <cell r="Y237" t="str">
            <v>Prévu</v>
          </cell>
          <cell r="Z237" t="str">
            <v>Reprise</v>
          </cell>
        </row>
        <row r="238">
          <cell r="A238">
            <v>2958</v>
          </cell>
          <cell r="B238">
            <v>1</v>
          </cell>
          <cell r="C238" t="str">
            <v>IV22851</v>
          </cell>
          <cell r="D238" t="str">
            <v>MATERIEL DIVERS A CARACTERE ADMINISTRATIF ( MOBILIER DE BUREAU )</v>
          </cell>
          <cell r="E238" t="str">
            <v>Approuvé</v>
          </cell>
          <cell r="F238" t="str">
            <v>K07019</v>
          </cell>
          <cell r="G238">
            <v>2</v>
          </cell>
          <cell r="H238" t="str">
            <v>Reprise</v>
          </cell>
          <cell r="I238" t="str">
            <v>REPRISE</v>
          </cell>
          <cell r="J238" t="str">
            <v>Budgété</v>
          </cell>
          <cell r="K238">
            <v>39372</v>
          </cell>
          <cell r="L238">
            <v>39372</v>
          </cell>
          <cell r="P238">
            <v>39372</v>
          </cell>
          <cell r="S238">
            <v>13358</v>
          </cell>
          <cell r="T238" t="str">
            <v>NABZAR AHMED</v>
          </cell>
          <cell r="U238" t="str">
            <v>Administratif</v>
          </cell>
          <cell r="V238" t="str">
            <v>Reprise</v>
          </cell>
          <cell r="W238" t="str">
            <v>Dotations nouvelles</v>
          </cell>
          <cell r="X238" t="str">
            <v>Aucune</v>
          </cell>
          <cell r="Y238" t="str">
            <v>Prévu</v>
          </cell>
          <cell r="Z238" t="str">
            <v>Reprise</v>
          </cell>
        </row>
        <row r="239">
          <cell r="A239">
            <v>2959</v>
          </cell>
          <cell r="B239">
            <v>1</v>
          </cell>
          <cell r="C239" t="str">
            <v>IV22852</v>
          </cell>
          <cell r="D239" t="str">
            <v>MATERIEL DIVERS A CARACTERE ADMINISTRATIF ( MATERIEL INFORMATIQUE )</v>
          </cell>
          <cell r="E239" t="str">
            <v>Approuvé</v>
          </cell>
          <cell r="F239" t="str">
            <v>K07019</v>
          </cell>
          <cell r="G239">
            <v>2</v>
          </cell>
          <cell r="H239" t="str">
            <v>Reprise</v>
          </cell>
          <cell r="I239" t="str">
            <v>REPRISE</v>
          </cell>
          <cell r="J239" t="str">
            <v>Budgété</v>
          </cell>
          <cell r="K239">
            <v>307360.44</v>
          </cell>
          <cell r="L239">
            <v>307360.44</v>
          </cell>
          <cell r="P239">
            <v>307360.44</v>
          </cell>
          <cell r="S239">
            <v>13359</v>
          </cell>
          <cell r="T239" t="str">
            <v>NABZAR AHMED</v>
          </cell>
          <cell r="U239" t="str">
            <v>Administratif</v>
          </cell>
          <cell r="V239" t="str">
            <v>Reprise</v>
          </cell>
          <cell r="W239" t="str">
            <v>Dotations nouvelles</v>
          </cell>
          <cell r="X239" t="str">
            <v>Aucune</v>
          </cell>
          <cell r="Y239" t="str">
            <v>Prévu</v>
          </cell>
          <cell r="Z239" t="str">
            <v>Reprise</v>
          </cell>
        </row>
        <row r="240">
          <cell r="A240">
            <v>2960</v>
          </cell>
          <cell r="B240">
            <v>1</v>
          </cell>
          <cell r="C240" t="str">
            <v>IV22854</v>
          </cell>
          <cell r="D240" t="str">
            <v>MATERIEL DIVERS A CARACTERE ADMINISTRATIF ( DIVERS )</v>
          </cell>
          <cell r="E240" t="str">
            <v>Approuvé</v>
          </cell>
          <cell r="F240" t="str">
            <v>K07221</v>
          </cell>
          <cell r="G240">
            <v>2</v>
          </cell>
          <cell r="H240" t="str">
            <v>Reprise</v>
          </cell>
          <cell r="I240" t="str">
            <v>REPRISE</v>
          </cell>
          <cell r="J240" t="str">
            <v>Budgété</v>
          </cell>
          <cell r="K240">
            <v>44280</v>
          </cell>
          <cell r="L240">
            <v>44280</v>
          </cell>
          <cell r="O240">
            <v>30000</v>
          </cell>
          <cell r="P240">
            <v>14280</v>
          </cell>
          <cell r="S240">
            <v>13360</v>
          </cell>
          <cell r="T240" t="str">
            <v>NABZAR AHMED</v>
          </cell>
          <cell r="U240" t="str">
            <v>Administratif</v>
          </cell>
          <cell r="V240" t="str">
            <v>Reprise</v>
          </cell>
          <cell r="W240" t="str">
            <v>Dotations nouvelles</v>
          </cell>
          <cell r="X240" t="str">
            <v>Aucune</v>
          </cell>
          <cell r="Y240" t="str">
            <v>Prévu</v>
          </cell>
          <cell r="Z240" t="str">
            <v>Reprise</v>
          </cell>
        </row>
        <row r="241">
          <cell r="A241">
            <v>2961</v>
          </cell>
          <cell r="B241">
            <v>1</v>
          </cell>
          <cell r="C241" t="str">
            <v>IV22856</v>
          </cell>
          <cell r="D241" t="str">
            <v>MATERIEL DIVERS A CARACTERE ADMINISTRATIF</v>
          </cell>
          <cell r="E241" t="str">
            <v>Approuvé</v>
          </cell>
          <cell r="F241" t="str">
            <v>K07019</v>
          </cell>
          <cell r="G241">
            <v>2</v>
          </cell>
          <cell r="H241" t="str">
            <v>Reprise</v>
          </cell>
          <cell r="I241" t="str">
            <v>REPRISE</v>
          </cell>
          <cell r="J241" t="str">
            <v>Budgété</v>
          </cell>
          <cell r="K241">
            <v>25460</v>
          </cell>
          <cell r="L241">
            <v>25460</v>
          </cell>
          <cell r="O241">
            <v>20000</v>
          </cell>
          <cell r="P241">
            <v>5460</v>
          </cell>
          <cell r="S241">
            <v>13361</v>
          </cell>
          <cell r="T241" t="str">
            <v>NABZAR AHMED</v>
          </cell>
          <cell r="U241" t="str">
            <v>Administratif</v>
          </cell>
          <cell r="V241" t="str">
            <v>Reprise</v>
          </cell>
          <cell r="W241" t="str">
            <v>Dotations nouvelles</v>
          </cell>
          <cell r="X241" t="str">
            <v>Aucune</v>
          </cell>
          <cell r="Y241" t="str">
            <v>Prévu</v>
          </cell>
          <cell r="Z241" t="str">
            <v>Reprise</v>
          </cell>
        </row>
        <row r="242">
          <cell r="A242">
            <v>2962</v>
          </cell>
          <cell r="B242">
            <v>1</v>
          </cell>
          <cell r="C242" t="str">
            <v>IV22859</v>
          </cell>
          <cell r="D242" t="str">
            <v>MATERIEL DIVERS A CARACTERE ADMINISTRATIF ( DIVERS )</v>
          </cell>
          <cell r="E242" t="str">
            <v>Approuvé</v>
          </cell>
          <cell r="F242" t="str">
            <v>K07019</v>
          </cell>
          <cell r="G242">
            <v>2</v>
          </cell>
          <cell r="H242" t="str">
            <v>Reprise</v>
          </cell>
          <cell r="I242" t="str">
            <v>REPRISE</v>
          </cell>
          <cell r="J242" t="str">
            <v>Budgété</v>
          </cell>
          <cell r="K242">
            <v>5056</v>
          </cell>
          <cell r="L242">
            <v>5056</v>
          </cell>
          <cell r="O242">
            <v>4000</v>
          </cell>
          <cell r="P242">
            <v>1056</v>
          </cell>
          <cell r="S242">
            <v>13362</v>
          </cell>
          <cell r="T242" t="str">
            <v>NABZAR AHMED</v>
          </cell>
          <cell r="U242" t="str">
            <v>Administratif</v>
          </cell>
          <cell r="V242" t="str">
            <v>Reprise</v>
          </cell>
          <cell r="W242" t="str">
            <v>Dotations nouvelles</v>
          </cell>
          <cell r="X242" t="str">
            <v>Aucune</v>
          </cell>
          <cell r="Y242" t="str">
            <v>Prévu</v>
          </cell>
          <cell r="Z242" t="str">
            <v>Reprise</v>
          </cell>
        </row>
        <row r="243">
          <cell r="A243">
            <v>2963</v>
          </cell>
          <cell r="B243">
            <v>1</v>
          </cell>
          <cell r="C243" t="str">
            <v>IV22861</v>
          </cell>
          <cell r="D243" t="str">
            <v>MATERIEL DIVERS A CARACTERE ADMINISTRATIF ( VENTILATION ET CLIMATISATION )</v>
          </cell>
          <cell r="E243" t="str">
            <v>Approuvé</v>
          </cell>
          <cell r="F243" t="str">
            <v>K07019</v>
          </cell>
          <cell r="G243">
            <v>2</v>
          </cell>
          <cell r="H243" t="str">
            <v>Reprise</v>
          </cell>
          <cell r="I243" t="str">
            <v>REPRISE</v>
          </cell>
          <cell r="J243" t="str">
            <v>Budgété</v>
          </cell>
          <cell r="K243">
            <v>81480</v>
          </cell>
          <cell r="L243">
            <v>81480</v>
          </cell>
          <cell r="O243">
            <v>45000</v>
          </cell>
          <cell r="P243">
            <v>36480</v>
          </cell>
          <cell r="S243">
            <v>13363</v>
          </cell>
          <cell r="T243" t="str">
            <v>NABZAR AHMED</v>
          </cell>
          <cell r="U243" t="str">
            <v>Administratif</v>
          </cell>
          <cell r="V243" t="str">
            <v>Reprise</v>
          </cell>
          <cell r="W243" t="str">
            <v>Dotations nouvelles</v>
          </cell>
          <cell r="X243" t="str">
            <v>Aucune</v>
          </cell>
          <cell r="Y243" t="str">
            <v>Prévu</v>
          </cell>
          <cell r="Z243" t="str">
            <v>Reprise</v>
          </cell>
        </row>
        <row r="244">
          <cell r="A244">
            <v>2964</v>
          </cell>
          <cell r="B244">
            <v>1</v>
          </cell>
          <cell r="C244" t="str">
            <v>IV23165</v>
          </cell>
          <cell r="D244" t="str">
            <v>AMENAGEMENT D'UN TOURNE A GAUCHE DE SECURISATION DE L'EMBRANCHEMENT COZ</v>
          </cell>
          <cell r="E244" t="str">
            <v>Approuvé</v>
          </cell>
          <cell r="F244" t="str">
            <v>K04315</v>
          </cell>
          <cell r="G244">
            <v>2</v>
          </cell>
          <cell r="H244" t="str">
            <v>Reprise</v>
          </cell>
          <cell r="I244" t="str">
            <v>REPRISE</v>
          </cell>
          <cell r="J244" t="str">
            <v>Budgété</v>
          </cell>
          <cell r="K244">
            <v>565723.73</v>
          </cell>
          <cell r="L244">
            <v>565723.73</v>
          </cell>
          <cell r="O244">
            <v>100000</v>
          </cell>
          <cell r="P244">
            <v>465723.73</v>
          </cell>
          <cell r="S244">
            <v>13364</v>
          </cell>
          <cell r="T244" t="str">
            <v>NABZAR AHMED</v>
          </cell>
          <cell r="U244" t="str">
            <v>Ordinaire</v>
          </cell>
          <cell r="V244" t="str">
            <v>Reprise</v>
          </cell>
          <cell r="W244" t="str">
            <v>Dotations nouvelles</v>
          </cell>
          <cell r="X244" t="str">
            <v>Aucune</v>
          </cell>
          <cell r="Y244" t="str">
            <v>Prévu</v>
          </cell>
          <cell r="Z244" t="str">
            <v>Reprise</v>
          </cell>
        </row>
        <row r="245">
          <cell r="A245">
            <v>2965</v>
          </cell>
          <cell r="B245">
            <v>1</v>
          </cell>
          <cell r="C245" t="str">
            <v>IV23511</v>
          </cell>
          <cell r="D245" t="str">
            <v>ACHAT DU MATERIEL AUDIO VISUEL POUR PMK/T</v>
          </cell>
          <cell r="E245" t="str">
            <v>Approuvé</v>
          </cell>
          <cell r="F245" t="str">
            <v>K04001</v>
          </cell>
          <cell r="G245">
            <v>2</v>
          </cell>
          <cell r="H245" t="str">
            <v>Reprise</v>
          </cell>
          <cell r="I245" t="str">
            <v>REPRISE</v>
          </cell>
          <cell r="J245" t="str">
            <v>Budgété</v>
          </cell>
          <cell r="K245">
            <v>171760</v>
          </cell>
          <cell r="L245">
            <v>171760</v>
          </cell>
          <cell r="O245">
            <v>28000</v>
          </cell>
          <cell r="P245">
            <v>143760</v>
          </cell>
          <cell r="S245">
            <v>13365</v>
          </cell>
          <cell r="T245" t="str">
            <v>MANSOURI OMAR</v>
          </cell>
          <cell r="U245" t="str">
            <v>Administratif</v>
          </cell>
          <cell r="V245" t="str">
            <v>Reprise</v>
          </cell>
          <cell r="W245" t="str">
            <v>Dotations nouvelles</v>
          </cell>
          <cell r="X245" t="str">
            <v>Aucune</v>
          </cell>
          <cell r="Y245" t="str">
            <v>Prévu</v>
          </cell>
          <cell r="Z245" t="str">
            <v>Reprise</v>
          </cell>
        </row>
        <row r="246">
          <cell r="A246">
            <v>2966</v>
          </cell>
          <cell r="B246">
            <v>1</v>
          </cell>
          <cell r="C246" t="str">
            <v>IV23639</v>
          </cell>
          <cell r="D246" t="str">
            <v>RN D'UN GROUPE MOTOPOMPE REMORQUABLE DE D.C.I</v>
          </cell>
          <cell r="E246" t="str">
            <v>Approuvé</v>
          </cell>
          <cell r="F246" t="str">
            <v>K04012</v>
          </cell>
          <cell r="G246">
            <v>2</v>
          </cell>
          <cell r="H246" t="str">
            <v>Reprise</v>
          </cell>
          <cell r="I246" t="str">
            <v>REPRISE</v>
          </cell>
          <cell r="J246" t="str">
            <v>Budgété</v>
          </cell>
          <cell r="K246">
            <v>450000</v>
          </cell>
          <cell r="L246">
            <v>450000</v>
          </cell>
          <cell r="O246">
            <v>450000</v>
          </cell>
          <cell r="S246">
            <v>13366</v>
          </cell>
          <cell r="T246" t="str">
            <v>NABZAR AHMED</v>
          </cell>
          <cell r="U246" t="str">
            <v>Ordinaire</v>
          </cell>
          <cell r="V246" t="str">
            <v>Reprise</v>
          </cell>
          <cell r="W246" t="str">
            <v>Renouvellement</v>
          </cell>
          <cell r="X246" t="str">
            <v>Aucune</v>
          </cell>
          <cell r="Y246" t="str">
            <v>Prévu</v>
          </cell>
          <cell r="Z246" t="str">
            <v>Reprise</v>
          </cell>
        </row>
        <row r="247">
          <cell r="A247">
            <v>2967</v>
          </cell>
          <cell r="B247">
            <v>1</v>
          </cell>
          <cell r="C247" t="str">
            <v>IV23643</v>
          </cell>
          <cell r="D247" t="str">
            <v>ACHAT D'UN KIT POUR MESURE DE LA CONCENTRATION DES POUSSIERES AU COZ</v>
          </cell>
          <cell r="E247" t="str">
            <v>Approuvé</v>
          </cell>
          <cell r="F247" t="str">
            <v>K04315</v>
          </cell>
          <cell r="G247">
            <v>2</v>
          </cell>
          <cell r="H247" t="str">
            <v>Reprise</v>
          </cell>
          <cell r="I247" t="str">
            <v>REPRISE</v>
          </cell>
          <cell r="J247" t="str">
            <v>Budgété</v>
          </cell>
          <cell r="K247">
            <v>400000</v>
          </cell>
          <cell r="L247">
            <v>400000</v>
          </cell>
          <cell r="O247">
            <v>200000</v>
          </cell>
          <cell r="P247">
            <v>200000</v>
          </cell>
          <cell r="S247">
            <v>13367</v>
          </cell>
          <cell r="T247" t="str">
            <v>NABZAR AHMED</v>
          </cell>
          <cell r="U247" t="str">
            <v>Ordinaire</v>
          </cell>
          <cell r="V247" t="str">
            <v>Reprise</v>
          </cell>
          <cell r="W247" t="str">
            <v>Dotations nouvelles</v>
          </cell>
          <cell r="X247" t="str">
            <v>Aucune</v>
          </cell>
          <cell r="Y247" t="str">
            <v>Prévu</v>
          </cell>
          <cell r="Z247" t="str">
            <v>Reprise</v>
          </cell>
        </row>
        <row r="248">
          <cell r="A248">
            <v>2968</v>
          </cell>
          <cell r="B248">
            <v>1</v>
          </cell>
          <cell r="C248" t="str">
            <v>IV23645</v>
          </cell>
          <cell r="D248" t="str">
            <v>ACHAT DE 02 ASSECHEURS D'AIR POUR INSTALLATIONS DE CHARGEMENT DU COZ</v>
          </cell>
          <cell r="E248" t="str">
            <v>Approuvé</v>
          </cell>
          <cell r="F248" t="str">
            <v>K04310</v>
          </cell>
          <cell r="G248">
            <v>2</v>
          </cell>
          <cell r="H248" t="str">
            <v>Reprise</v>
          </cell>
          <cell r="I248" t="str">
            <v>REPRISE</v>
          </cell>
          <cell r="J248" t="str">
            <v>Budgété</v>
          </cell>
          <cell r="K248">
            <v>480000</v>
          </cell>
          <cell r="L248">
            <v>480000</v>
          </cell>
          <cell r="O248">
            <v>480000</v>
          </cell>
          <cell r="S248">
            <v>13368</v>
          </cell>
          <cell r="T248" t="str">
            <v>NABZAR AHMED</v>
          </cell>
          <cell r="U248" t="str">
            <v>Ordinaire</v>
          </cell>
          <cell r="V248" t="str">
            <v>Reprise</v>
          </cell>
          <cell r="W248" t="str">
            <v>Dotations nouvelles</v>
          </cell>
          <cell r="X248" t="str">
            <v>Aucune</v>
          </cell>
          <cell r="Y248" t="str">
            <v>Prévu</v>
          </cell>
          <cell r="Z248" t="str">
            <v>Reprise</v>
          </cell>
        </row>
        <row r="249">
          <cell r="A249">
            <v>2969</v>
          </cell>
          <cell r="B249">
            <v>1</v>
          </cell>
          <cell r="C249" t="str">
            <v>IV23646</v>
          </cell>
          <cell r="D249" t="str">
            <v>RN DE 06 MOTEURS ELECTRIQUES BT POUR LES INSTALLATIONS DU COZ</v>
          </cell>
          <cell r="E249" t="str">
            <v>Approuvé</v>
          </cell>
          <cell r="F249" t="str">
            <v>K04309</v>
          </cell>
          <cell r="G249">
            <v>3</v>
          </cell>
          <cell r="H249" t="str">
            <v>Report 2007</v>
          </cell>
          <cell r="I249" t="str">
            <v>REPORT</v>
          </cell>
          <cell r="J249" t="str">
            <v>Budgété</v>
          </cell>
          <cell r="K249">
            <v>87800</v>
          </cell>
          <cell r="L249">
            <v>87800</v>
          </cell>
          <cell r="M249">
            <v>80000</v>
          </cell>
          <cell r="N249">
            <v>80000</v>
          </cell>
          <cell r="O249">
            <v>7800</v>
          </cell>
          <cell r="S249">
            <v>23758</v>
          </cell>
          <cell r="T249" t="str">
            <v>NABZAR AHMED</v>
          </cell>
          <cell r="U249" t="str">
            <v>Ordinaire</v>
          </cell>
          <cell r="V249" t="str">
            <v>Reprise</v>
          </cell>
          <cell r="W249" t="str">
            <v>Renouvellement</v>
          </cell>
          <cell r="X249" t="str">
            <v>Aucune</v>
          </cell>
          <cell r="Y249" t="str">
            <v>Prévu</v>
          </cell>
          <cell r="Z249" t="str">
            <v>Reprise</v>
          </cell>
        </row>
        <row r="250">
          <cell r="A250">
            <v>2970</v>
          </cell>
          <cell r="B250">
            <v>1</v>
          </cell>
          <cell r="C250" t="str">
            <v>IV23647</v>
          </cell>
          <cell r="D250" t="str">
            <v>RN DES TRANSFORMATEURS AU PYRALENE INSTALLES DANS LES POSTES ELECTRIQUES DU COZ</v>
          </cell>
          <cell r="E250" t="str">
            <v>Approuvé</v>
          </cell>
          <cell r="F250" t="str">
            <v>K04810</v>
          </cell>
          <cell r="G250">
            <v>2</v>
          </cell>
          <cell r="H250" t="str">
            <v>Reprise</v>
          </cell>
          <cell r="I250" t="str">
            <v>REPRISE</v>
          </cell>
          <cell r="J250" t="str">
            <v>Budgété</v>
          </cell>
          <cell r="K250">
            <v>670960</v>
          </cell>
          <cell r="L250">
            <v>670960</v>
          </cell>
          <cell r="O250">
            <v>400000</v>
          </cell>
          <cell r="P250">
            <v>270960</v>
          </cell>
          <cell r="S250">
            <v>13370</v>
          </cell>
          <cell r="T250" t="str">
            <v>NABZAR AHMED</v>
          </cell>
          <cell r="U250" t="str">
            <v>Ordinaire</v>
          </cell>
          <cell r="V250" t="str">
            <v>Reprise</v>
          </cell>
          <cell r="W250" t="str">
            <v>Renouvellement</v>
          </cell>
          <cell r="X250" t="str">
            <v>Aucune</v>
          </cell>
          <cell r="Y250" t="str">
            <v>Prévu</v>
          </cell>
          <cell r="Z250" t="str">
            <v>Reprise</v>
          </cell>
        </row>
        <row r="251">
          <cell r="A251">
            <v>2971</v>
          </cell>
          <cell r="B251">
            <v>1</v>
          </cell>
          <cell r="C251" t="str">
            <v>IV23648</v>
          </cell>
          <cell r="D251" t="str">
            <v>RN D'UNE AMBULANCE DE LA DIVISION TRAITEMENT BENI IDIR</v>
          </cell>
          <cell r="E251" t="str">
            <v>Approuvé</v>
          </cell>
          <cell r="F251" t="str">
            <v>K04012</v>
          </cell>
          <cell r="G251">
            <v>2</v>
          </cell>
          <cell r="H251" t="str">
            <v>Reprise</v>
          </cell>
          <cell r="I251" t="str">
            <v>REPRISE</v>
          </cell>
          <cell r="J251" t="str">
            <v>Budgété</v>
          </cell>
          <cell r="K251">
            <v>1136000</v>
          </cell>
          <cell r="L251">
            <v>1136000</v>
          </cell>
          <cell r="O251">
            <v>800000</v>
          </cell>
          <cell r="P251">
            <v>336000</v>
          </cell>
          <cell r="S251">
            <v>13371</v>
          </cell>
          <cell r="T251" t="str">
            <v>NABZAR AHMED</v>
          </cell>
          <cell r="U251" t="str">
            <v>Ordinaire</v>
          </cell>
          <cell r="V251" t="str">
            <v>Reprise</v>
          </cell>
          <cell r="W251" t="str">
            <v>Renouvellement</v>
          </cell>
          <cell r="X251" t="str">
            <v>Aucune</v>
          </cell>
          <cell r="Y251" t="str">
            <v>Prévu</v>
          </cell>
          <cell r="Z251" t="str">
            <v>Reprise</v>
          </cell>
        </row>
        <row r="252">
          <cell r="A252">
            <v>2972</v>
          </cell>
          <cell r="B252">
            <v>1</v>
          </cell>
          <cell r="C252" t="str">
            <v>IV23649</v>
          </cell>
          <cell r="D252" t="str">
            <v>RN D'UN CHARIOT ELEVATEUR A FOURCHES DE 5 TONNES POUR MAGASIN DE BENI IDIR</v>
          </cell>
          <cell r="E252" t="str">
            <v>Approuvé</v>
          </cell>
          <cell r="F252" t="str">
            <v>K04503</v>
          </cell>
          <cell r="G252">
            <v>2</v>
          </cell>
          <cell r="H252" t="str">
            <v>Reprise</v>
          </cell>
          <cell r="I252" t="str">
            <v>REPRISE</v>
          </cell>
          <cell r="J252" t="str">
            <v>Budgété</v>
          </cell>
          <cell r="K252">
            <v>912000</v>
          </cell>
          <cell r="L252">
            <v>912000</v>
          </cell>
          <cell r="O252">
            <v>480000</v>
          </cell>
          <cell r="P252">
            <v>432000</v>
          </cell>
          <cell r="S252">
            <v>13372</v>
          </cell>
          <cell r="T252" t="str">
            <v>NABZAR AHMED</v>
          </cell>
          <cell r="U252" t="str">
            <v>Ordinaire</v>
          </cell>
          <cell r="V252" t="str">
            <v>Reprise</v>
          </cell>
          <cell r="W252" t="str">
            <v>Renouvellement</v>
          </cell>
          <cell r="X252" t="str">
            <v>Aucune</v>
          </cell>
          <cell r="Y252" t="str">
            <v>Prévu</v>
          </cell>
          <cell r="Z252" t="str">
            <v>Reprise</v>
          </cell>
        </row>
        <row r="253">
          <cell r="A253">
            <v>2973</v>
          </cell>
          <cell r="B253">
            <v>1</v>
          </cell>
          <cell r="C253" t="str">
            <v>IV23650</v>
          </cell>
          <cell r="D253" t="str">
            <v>ACHAT D'UN CHARIOT ELEVATEUR A FOURCHES DE 5 TONNES POUR MAGASIN COZ</v>
          </cell>
          <cell r="E253" t="str">
            <v>Approuvé</v>
          </cell>
          <cell r="F253" t="str">
            <v>K04503</v>
          </cell>
          <cell r="G253">
            <v>2</v>
          </cell>
          <cell r="H253" t="str">
            <v>Reprise</v>
          </cell>
          <cell r="I253" t="str">
            <v>REPRISE</v>
          </cell>
          <cell r="J253" t="str">
            <v>Budgété</v>
          </cell>
          <cell r="K253">
            <v>912000</v>
          </cell>
          <cell r="L253">
            <v>912000</v>
          </cell>
          <cell r="O253">
            <v>480000</v>
          </cell>
          <cell r="P253">
            <v>432000</v>
          </cell>
          <cell r="S253">
            <v>13373</v>
          </cell>
          <cell r="T253" t="str">
            <v>NABZAR AHMED</v>
          </cell>
          <cell r="U253" t="str">
            <v>Ordinaire</v>
          </cell>
          <cell r="V253" t="str">
            <v>Reprise</v>
          </cell>
          <cell r="W253" t="str">
            <v>Dotations nouvelles</v>
          </cell>
          <cell r="X253" t="str">
            <v>Aucune</v>
          </cell>
          <cell r="Y253" t="str">
            <v>Prévu</v>
          </cell>
          <cell r="Z253" t="str">
            <v>Reprise</v>
          </cell>
        </row>
        <row r="254">
          <cell r="A254">
            <v>2974</v>
          </cell>
          <cell r="B254">
            <v>1</v>
          </cell>
          <cell r="C254" t="str">
            <v>IV23651</v>
          </cell>
          <cell r="D254" t="str">
            <v>RN DU MATERIEL DE L'ATELIER DE VULCANISATION PMK/TM-G.</v>
          </cell>
          <cell r="E254" t="str">
            <v>Approuvé</v>
          </cell>
          <cell r="F254" t="str">
            <v>K04535</v>
          </cell>
          <cell r="G254">
            <v>2</v>
          </cell>
          <cell r="H254" t="str">
            <v>Reprise</v>
          </cell>
          <cell r="I254" t="str">
            <v>REPRISE</v>
          </cell>
          <cell r="J254" t="str">
            <v>Budgété</v>
          </cell>
          <cell r="K254">
            <v>30000</v>
          </cell>
          <cell r="L254">
            <v>30000</v>
          </cell>
          <cell r="O254">
            <v>30000</v>
          </cell>
          <cell r="S254">
            <v>13374</v>
          </cell>
          <cell r="T254" t="str">
            <v>LATRACH KHALID</v>
          </cell>
          <cell r="U254" t="str">
            <v>Ordinaire</v>
          </cell>
          <cell r="V254" t="str">
            <v>Reprise</v>
          </cell>
          <cell r="W254" t="str">
            <v>Renouvellement</v>
          </cell>
          <cell r="X254" t="str">
            <v>Aucune</v>
          </cell>
          <cell r="Y254" t="str">
            <v>Prévu</v>
          </cell>
          <cell r="Z254" t="str">
            <v>Reprise</v>
          </cell>
        </row>
        <row r="255">
          <cell r="A255">
            <v>2975</v>
          </cell>
          <cell r="B255">
            <v>1</v>
          </cell>
          <cell r="C255" t="str">
            <v>IV23653</v>
          </cell>
          <cell r="D255" t="str">
            <v>RN DE 03 TREUILS ELECTRIQUES DES CONVOYEURS DA2-DB2-DA4 DU COZ</v>
          </cell>
          <cell r="E255" t="str">
            <v>Approuvé</v>
          </cell>
          <cell r="F255" t="str">
            <v>K04309</v>
          </cell>
          <cell r="G255">
            <v>2</v>
          </cell>
          <cell r="H255" t="str">
            <v>Reprise</v>
          </cell>
          <cell r="I255" t="str">
            <v>REPRISE</v>
          </cell>
          <cell r="J255" t="str">
            <v>Budgété</v>
          </cell>
          <cell r="K255">
            <v>490000</v>
          </cell>
          <cell r="L255">
            <v>490000</v>
          </cell>
          <cell r="O255">
            <v>490000</v>
          </cell>
          <cell r="S255">
            <v>13375</v>
          </cell>
          <cell r="T255" t="str">
            <v>CHNANI ABDELHADI</v>
          </cell>
          <cell r="U255" t="str">
            <v>Ordinaire</v>
          </cell>
          <cell r="V255" t="str">
            <v>Reprise</v>
          </cell>
          <cell r="W255" t="str">
            <v>Renouvellement</v>
          </cell>
          <cell r="X255" t="str">
            <v>Aucune</v>
          </cell>
          <cell r="Y255" t="str">
            <v>Prévu</v>
          </cell>
          <cell r="Z255" t="str">
            <v>Reprise</v>
          </cell>
        </row>
        <row r="256">
          <cell r="A256">
            <v>2976</v>
          </cell>
          <cell r="B256">
            <v>1</v>
          </cell>
          <cell r="C256" t="str">
            <v>IV23654</v>
          </cell>
          <cell r="D256" t="str">
            <v>RN DE 06 POMPES DES CHAUDIERES ET DEPOTAGE DU COZ</v>
          </cell>
          <cell r="E256" t="str">
            <v>Approuvé</v>
          </cell>
          <cell r="F256" t="str">
            <v>K04315</v>
          </cell>
          <cell r="G256">
            <v>2</v>
          </cell>
          <cell r="H256" t="str">
            <v>Reprise</v>
          </cell>
          <cell r="I256" t="str">
            <v>REPRISE</v>
          </cell>
          <cell r="J256" t="str">
            <v>Budgété</v>
          </cell>
          <cell r="K256">
            <v>840000</v>
          </cell>
          <cell r="L256">
            <v>840000</v>
          </cell>
          <cell r="O256">
            <v>840000</v>
          </cell>
          <cell r="S256">
            <v>13376</v>
          </cell>
          <cell r="T256" t="str">
            <v>NABZAR AHMED</v>
          </cell>
          <cell r="U256" t="str">
            <v>Ordinaire</v>
          </cell>
          <cell r="V256" t="str">
            <v>Reprise</v>
          </cell>
          <cell r="W256" t="str">
            <v>Renouvellement</v>
          </cell>
          <cell r="X256" t="str">
            <v>Aucune</v>
          </cell>
          <cell r="Y256" t="str">
            <v>Prévu</v>
          </cell>
          <cell r="Z256" t="str">
            <v>Reprise</v>
          </cell>
        </row>
        <row r="257">
          <cell r="A257">
            <v>2977</v>
          </cell>
          <cell r="B257">
            <v>1</v>
          </cell>
          <cell r="C257" t="str">
            <v>IV23655</v>
          </cell>
          <cell r="D257" t="str">
            <v>RN D'UNE GRUE DE 20 TONNES</v>
          </cell>
          <cell r="E257" t="str">
            <v>Approuvé</v>
          </cell>
          <cell r="F257" t="str">
            <v>K04802</v>
          </cell>
          <cell r="G257">
            <v>2</v>
          </cell>
          <cell r="H257" t="str">
            <v>Reprise</v>
          </cell>
          <cell r="I257" t="str">
            <v>REPRISE</v>
          </cell>
          <cell r="J257" t="str">
            <v>Budgété</v>
          </cell>
          <cell r="K257">
            <v>4500000</v>
          </cell>
          <cell r="L257">
            <v>4500000</v>
          </cell>
          <cell r="O257">
            <v>4500000</v>
          </cell>
          <cell r="S257">
            <v>13377</v>
          </cell>
          <cell r="T257" t="str">
            <v>LAHMIDI MOUHCINE</v>
          </cell>
          <cell r="U257" t="str">
            <v>Ordinaire</v>
          </cell>
          <cell r="V257" t="str">
            <v>Reprise</v>
          </cell>
          <cell r="W257" t="str">
            <v>Renouvellement</v>
          </cell>
          <cell r="X257" t="str">
            <v>Aucune</v>
          </cell>
          <cell r="Y257" t="str">
            <v>Prévu</v>
          </cell>
          <cell r="Z257" t="str">
            <v>Reprise</v>
          </cell>
        </row>
        <row r="258">
          <cell r="A258">
            <v>2978</v>
          </cell>
          <cell r="B258">
            <v>1</v>
          </cell>
          <cell r="C258" t="str">
            <v>IV23656</v>
          </cell>
          <cell r="D258" t="str">
            <v>RN D'UN COMPRESSEUR D'AIR DE LA STATION DE CHARGEMENT AU COZ</v>
          </cell>
          <cell r="E258" t="str">
            <v>Approuvé</v>
          </cell>
          <cell r="F258" t="str">
            <v>K04311</v>
          </cell>
          <cell r="G258">
            <v>2</v>
          </cell>
          <cell r="H258" t="str">
            <v>Reprise</v>
          </cell>
          <cell r="I258" t="str">
            <v>REPRISE</v>
          </cell>
          <cell r="J258" t="str">
            <v>Budgété</v>
          </cell>
          <cell r="K258">
            <v>1245200</v>
          </cell>
          <cell r="L258">
            <v>1245200</v>
          </cell>
          <cell r="O258">
            <v>800000</v>
          </cell>
          <cell r="P258">
            <v>445200</v>
          </cell>
          <cell r="S258">
            <v>13378</v>
          </cell>
          <cell r="T258" t="str">
            <v>NABZAR AHMED</v>
          </cell>
          <cell r="U258" t="str">
            <v>Ordinaire</v>
          </cell>
          <cell r="V258" t="str">
            <v>Reprise</v>
          </cell>
          <cell r="W258" t="str">
            <v>Renouvellement</v>
          </cell>
          <cell r="X258" t="str">
            <v>Aucune</v>
          </cell>
          <cell r="Y258" t="str">
            <v>Prévu</v>
          </cell>
          <cell r="Z258" t="str">
            <v>Reprise</v>
          </cell>
        </row>
        <row r="259">
          <cell r="A259">
            <v>2979</v>
          </cell>
          <cell r="B259">
            <v>1</v>
          </cell>
          <cell r="C259" t="str">
            <v>IV23657</v>
          </cell>
          <cell r="D259" t="str">
            <v>ACHAT D'OUTILLAGE POUR LES ATELIERS MECANIQUES DE PMK/TD</v>
          </cell>
          <cell r="E259" t="str">
            <v>Approuvé</v>
          </cell>
          <cell r="F259" t="str">
            <v>K04802</v>
          </cell>
          <cell r="G259">
            <v>2</v>
          </cell>
          <cell r="H259" t="str">
            <v>Reprise</v>
          </cell>
          <cell r="I259" t="str">
            <v>REPRISE</v>
          </cell>
          <cell r="J259" t="str">
            <v>Budgété</v>
          </cell>
          <cell r="K259">
            <v>480800</v>
          </cell>
          <cell r="L259">
            <v>480800</v>
          </cell>
          <cell r="O259">
            <v>480800</v>
          </cell>
          <cell r="S259">
            <v>13379</v>
          </cell>
          <cell r="T259" t="str">
            <v>NABZAR AHMED</v>
          </cell>
          <cell r="U259" t="str">
            <v>Ordinaire</v>
          </cell>
          <cell r="V259" t="str">
            <v>Reprise</v>
          </cell>
          <cell r="W259" t="str">
            <v>Dotations nouvelles</v>
          </cell>
          <cell r="X259" t="str">
            <v>Aucune</v>
          </cell>
          <cell r="Y259" t="str">
            <v>Prévu</v>
          </cell>
          <cell r="Z259" t="str">
            <v>Reprise</v>
          </cell>
        </row>
        <row r="260">
          <cell r="A260">
            <v>2980</v>
          </cell>
          <cell r="B260">
            <v>1</v>
          </cell>
          <cell r="C260" t="str">
            <v>IV23658</v>
          </cell>
          <cell r="D260" t="str">
            <v>RN DES POSTES DE SOUDAGE POUR PMK/TD/CM</v>
          </cell>
          <cell r="E260" t="str">
            <v>Approuvé</v>
          </cell>
          <cell r="F260" t="str">
            <v>K04802</v>
          </cell>
          <cell r="G260">
            <v>2</v>
          </cell>
          <cell r="H260" t="str">
            <v>Reprise</v>
          </cell>
          <cell r="I260" t="str">
            <v>REPRISE</v>
          </cell>
          <cell r="J260" t="str">
            <v>Budgété</v>
          </cell>
          <cell r="K260">
            <v>527839.19999999995</v>
          </cell>
          <cell r="L260">
            <v>527839.19999999995</v>
          </cell>
          <cell r="O260">
            <v>480000</v>
          </cell>
          <cell r="P260">
            <v>47839.199999999997</v>
          </cell>
          <cell r="S260">
            <v>13380</v>
          </cell>
          <cell r="T260" t="str">
            <v>NABZAR AHMED</v>
          </cell>
          <cell r="U260" t="str">
            <v>Ordinaire</v>
          </cell>
          <cell r="V260" t="str">
            <v>Reprise</v>
          </cell>
          <cell r="W260" t="str">
            <v>Renouvellement</v>
          </cell>
          <cell r="X260" t="str">
            <v>Aucune</v>
          </cell>
          <cell r="Y260" t="str">
            <v>Prévu</v>
          </cell>
          <cell r="Z260" t="str">
            <v>Reprise</v>
          </cell>
        </row>
        <row r="261">
          <cell r="A261">
            <v>2981</v>
          </cell>
          <cell r="B261">
            <v>1</v>
          </cell>
          <cell r="C261" t="str">
            <v>IV23659</v>
          </cell>
          <cell r="D261" t="str">
            <v>RN DU TOUR PARALLELE DU SERVICE MECANIQUE PMK/TD/CM</v>
          </cell>
          <cell r="E261" t="str">
            <v>Approuvé</v>
          </cell>
          <cell r="F261" t="str">
            <v>K04802</v>
          </cell>
          <cell r="G261">
            <v>2</v>
          </cell>
          <cell r="H261" t="str">
            <v>Reprise</v>
          </cell>
          <cell r="I261" t="str">
            <v>REPRISE</v>
          </cell>
          <cell r="J261" t="str">
            <v>Budgété</v>
          </cell>
          <cell r="K261">
            <v>490000</v>
          </cell>
          <cell r="L261">
            <v>490000</v>
          </cell>
          <cell r="O261">
            <v>490000</v>
          </cell>
          <cell r="S261">
            <v>13381</v>
          </cell>
          <cell r="T261" t="str">
            <v>NABZAR AHMED</v>
          </cell>
          <cell r="U261" t="str">
            <v>Ordinaire</v>
          </cell>
          <cell r="V261" t="str">
            <v>Reprise</v>
          </cell>
          <cell r="W261" t="str">
            <v>Renouvellement</v>
          </cell>
          <cell r="X261" t="str">
            <v>Aucune</v>
          </cell>
          <cell r="Y261" t="str">
            <v>Prévu</v>
          </cell>
          <cell r="Z261" t="str">
            <v>Reprise</v>
          </cell>
        </row>
        <row r="262">
          <cell r="A262">
            <v>2982</v>
          </cell>
          <cell r="B262">
            <v>1</v>
          </cell>
          <cell r="C262" t="str">
            <v>IV23660</v>
          </cell>
          <cell r="D262" t="str">
            <v>RN DE 02 ENROULEURS DE CABLES DE RP2 DU COZ</v>
          </cell>
          <cell r="E262" t="str">
            <v>Approuvé</v>
          </cell>
          <cell r="F262" t="str">
            <v>K04302</v>
          </cell>
          <cell r="G262">
            <v>2</v>
          </cell>
          <cell r="H262" t="str">
            <v>Reprise</v>
          </cell>
          <cell r="I262" t="str">
            <v>REPRISE</v>
          </cell>
          <cell r="J262" t="str">
            <v>Budgété</v>
          </cell>
          <cell r="K262">
            <v>490000</v>
          </cell>
          <cell r="L262">
            <v>490000</v>
          </cell>
          <cell r="O262">
            <v>490000</v>
          </cell>
          <cell r="S262">
            <v>13382</v>
          </cell>
          <cell r="T262" t="str">
            <v>NABZAR AHMED</v>
          </cell>
          <cell r="U262" t="str">
            <v>Ordinaire</v>
          </cell>
          <cell r="V262" t="str">
            <v>Reprise</v>
          </cell>
          <cell r="W262" t="str">
            <v>Renouvellement</v>
          </cell>
          <cell r="X262" t="str">
            <v>Aucune</v>
          </cell>
          <cell r="Y262" t="str">
            <v>Prévu</v>
          </cell>
          <cell r="Z262" t="str">
            <v>Reprise</v>
          </cell>
        </row>
        <row r="263">
          <cell r="A263">
            <v>2983</v>
          </cell>
          <cell r="B263">
            <v>1</v>
          </cell>
          <cell r="C263" t="str">
            <v>IV23662</v>
          </cell>
          <cell r="D263" t="str">
            <v>ACHAT D'UNE PRESSE HYDRAULIQUE A BATI HORIZONTAL DE 300 TONNES POUR L'ATELIER DES REPARATIONS CENTRALISEES PMK/TM-C</v>
          </cell>
          <cell r="E263" t="str">
            <v>Approuvé</v>
          </cell>
          <cell r="F263" t="str">
            <v>K04530</v>
          </cell>
          <cell r="G263">
            <v>2</v>
          </cell>
          <cell r="H263" t="str">
            <v>Reprise</v>
          </cell>
          <cell r="I263" t="str">
            <v>REPRISE</v>
          </cell>
          <cell r="J263" t="str">
            <v>Budgété</v>
          </cell>
          <cell r="K263">
            <v>450000</v>
          </cell>
          <cell r="L263">
            <v>450000</v>
          </cell>
          <cell r="O263">
            <v>450000</v>
          </cell>
          <cell r="S263">
            <v>13383</v>
          </cell>
          <cell r="T263" t="str">
            <v>NABZAR AHMED</v>
          </cell>
          <cell r="U263" t="str">
            <v>Ordinaire</v>
          </cell>
          <cell r="V263" t="str">
            <v>Reprise</v>
          </cell>
          <cell r="W263" t="str">
            <v>Dotations nouvelles</v>
          </cell>
          <cell r="X263" t="str">
            <v>Aucune</v>
          </cell>
          <cell r="Y263" t="str">
            <v>Prévu</v>
          </cell>
          <cell r="Z263" t="str">
            <v>Reprise</v>
          </cell>
        </row>
        <row r="264">
          <cell r="A264">
            <v>2984</v>
          </cell>
          <cell r="B264">
            <v>1</v>
          </cell>
          <cell r="C264" t="str">
            <v>IV23663</v>
          </cell>
          <cell r="D264" t="str">
            <v>RN DE L'OUTILLAGE MECANIQUE POUR L'ATELIER DES REPARATIONS CENTRALISEES PMK/TM-C.</v>
          </cell>
          <cell r="E264" t="str">
            <v>Approuvé</v>
          </cell>
          <cell r="F264" t="str">
            <v>K04530</v>
          </cell>
          <cell r="G264">
            <v>2</v>
          </cell>
          <cell r="H264" t="str">
            <v>Reprise</v>
          </cell>
          <cell r="I264" t="str">
            <v>REPRISE</v>
          </cell>
          <cell r="J264" t="str">
            <v>Budgété</v>
          </cell>
          <cell r="K264">
            <v>30000</v>
          </cell>
          <cell r="L264">
            <v>30000</v>
          </cell>
          <cell r="O264">
            <v>30000</v>
          </cell>
          <cell r="S264">
            <v>13384</v>
          </cell>
          <cell r="T264" t="str">
            <v>LAHMIDI MOUHCINE</v>
          </cell>
          <cell r="U264" t="str">
            <v>Ordinaire</v>
          </cell>
          <cell r="V264" t="str">
            <v>Reprise</v>
          </cell>
          <cell r="W264" t="str">
            <v>Renouvellement</v>
          </cell>
          <cell r="X264" t="str">
            <v>Aucune</v>
          </cell>
          <cell r="Y264" t="str">
            <v>Prévu</v>
          </cell>
          <cell r="Z264" t="str">
            <v>Reprise</v>
          </cell>
        </row>
        <row r="265">
          <cell r="A265">
            <v>2985</v>
          </cell>
          <cell r="B265">
            <v>1</v>
          </cell>
          <cell r="C265" t="str">
            <v>IV23664</v>
          </cell>
          <cell r="D265" t="str">
            <v>RN DE 35 APPAREILS TELEPHONIQUES DE PMK/T</v>
          </cell>
          <cell r="E265" t="str">
            <v>Approuvé</v>
          </cell>
          <cell r="F265" t="str">
            <v>K04001</v>
          </cell>
          <cell r="G265">
            <v>2</v>
          </cell>
          <cell r="H265" t="str">
            <v>Reprise</v>
          </cell>
          <cell r="I265" t="str">
            <v>REPRISE</v>
          </cell>
          <cell r="J265" t="str">
            <v>Budgété</v>
          </cell>
          <cell r="K265">
            <v>77000</v>
          </cell>
          <cell r="L265">
            <v>77000</v>
          </cell>
          <cell r="O265">
            <v>77000</v>
          </cell>
          <cell r="S265">
            <v>13385</v>
          </cell>
          <cell r="T265" t="str">
            <v>ANADIF NAJEM</v>
          </cell>
          <cell r="U265" t="str">
            <v>Administratif</v>
          </cell>
          <cell r="V265" t="str">
            <v>Reprise</v>
          </cell>
          <cell r="W265" t="str">
            <v>Renouvellement</v>
          </cell>
          <cell r="X265" t="str">
            <v>Aucune</v>
          </cell>
          <cell r="Y265" t="str">
            <v>Prévu</v>
          </cell>
          <cell r="Z265" t="str">
            <v>Reprise</v>
          </cell>
        </row>
        <row r="266">
          <cell r="A266">
            <v>2986</v>
          </cell>
          <cell r="B266">
            <v>1</v>
          </cell>
          <cell r="C266" t="str">
            <v>IV23665</v>
          </cell>
          <cell r="D266" t="str">
            <v>RN DU MATERIEL DE CLIMATISATION ET DE FROID DE PMK/T</v>
          </cell>
          <cell r="E266" t="str">
            <v>Approuvé</v>
          </cell>
          <cell r="F266" t="str">
            <v>K04001</v>
          </cell>
          <cell r="G266">
            <v>2</v>
          </cell>
          <cell r="H266" t="str">
            <v>Reprise</v>
          </cell>
          <cell r="I266" t="str">
            <v>REPRISE</v>
          </cell>
          <cell r="J266" t="str">
            <v>Budgété</v>
          </cell>
          <cell r="K266">
            <v>217000</v>
          </cell>
          <cell r="L266">
            <v>217000</v>
          </cell>
          <cell r="O266">
            <v>217000</v>
          </cell>
          <cell r="S266">
            <v>13386</v>
          </cell>
          <cell r="T266" t="str">
            <v>NABZAR AHMED</v>
          </cell>
          <cell r="U266" t="str">
            <v>Administratif</v>
          </cell>
          <cell r="V266" t="str">
            <v>Reprise</v>
          </cell>
          <cell r="W266" t="str">
            <v>Renouvellement</v>
          </cell>
          <cell r="X266" t="str">
            <v>Aucune</v>
          </cell>
          <cell r="Y266" t="str">
            <v>Prévu</v>
          </cell>
          <cell r="Z266" t="str">
            <v>Reprise</v>
          </cell>
        </row>
        <row r="267">
          <cell r="A267">
            <v>2987</v>
          </cell>
          <cell r="B267">
            <v>1</v>
          </cell>
          <cell r="C267" t="str">
            <v>IV23666</v>
          </cell>
          <cell r="D267" t="str">
            <v>RN D'UN PALAN ELECTRIQUE INSTALLE AU HANGARD DE RESERVE DE PMK/TM/MG</v>
          </cell>
          <cell r="E267" t="str">
            <v>Approuvé</v>
          </cell>
          <cell r="F267" t="str">
            <v>K04510</v>
          </cell>
          <cell r="G267">
            <v>2</v>
          </cell>
          <cell r="H267" t="str">
            <v>Reprise</v>
          </cell>
          <cell r="I267" t="str">
            <v>REPRISE</v>
          </cell>
          <cell r="J267" t="str">
            <v>Budgété</v>
          </cell>
          <cell r="K267">
            <v>100000</v>
          </cell>
          <cell r="L267">
            <v>100000</v>
          </cell>
          <cell r="O267">
            <v>100000</v>
          </cell>
          <cell r="S267">
            <v>13387</v>
          </cell>
          <cell r="T267" t="str">
            <v>ANADIF NAJEM</v>
          </cell>
          <cell r="U267" t="str">
            <v>Ordinaire</v>
          </cell>
          <cell r="V267" t="str">
            <v>Reprise</v>
          </cell>
          <cell r="W267" t="str">
            <v>Renouvellement</v>
          </cell>
          <cell r="X267" t="str">
            <v>Aucune</v>
          </cell>
          <cell r="Y267" t="str">
            <v>Prévu</v>
          </cell>
          <cell r="Z267" t="str">
            <v>Reprise</v>
          </cell>
        </row>
        <row r="268">
          <cell r="A268">
            <v>2988</v>
          </cell>
          <cell r="B268">
            <v>1</v>
          </cell>
          <cell r="C268" t="str">
            <v>IV23667</v>
          </cell>
          <cell r="D268" t="str">
            <v>RN DU MOBILIER ADMINISTRATIF DE PMK/T</v>
          </cell>
          <cell r="E268" t="str">
            <v>Approuvé</v>
          </cell>
          <cell r="F268" t="str">
            <v>K04001</v>
          </cell>
          <cell r="G268">
            <v>2</v>
          </cell>
          <cell r="H268" t="str">
            <v>Reprise</v>
          </cell>
          <cell r="I268" t="str">
            <v>REPRISE</v>
          </cell>
          <cell r="J268" t="str">
            <v>Budgété</v>
          </cell>
          <cell r="K268">
            <v>220000</v>
          </cell>
          <cell r="L268">
            <v>220000</v>
          </cell>
          <cell r="O268">
            <v>220000</v>
          </cell>
          <cell r="S268">
            <v>13388</v>
          </cell>
          <cell r="T268" t="str">
            <v>NABZAR AHMED</v>
          </cell>
          <cell r="U268" t="str">
            <v>Administratif</v>
          </cell>
          <cell r="V268" t="str">
            <v>Reprise</v>
          </cell>
          <cell r="W268" t="str">
            <v>Renouvellement</v>
          </cell>
          <cell r="X268" t="str">
            <v>Aucune</v>
          </cell>
          <cell r="Y268" t="str">
            <v>Prévu</v>
          </cell>
          <cell r="Z268" t="str">
            <v>Reprise</v>
          </cell>
        </row>
        <row r="269">
          <cell r="A269">
            <v>2989</v>
          </cell>
          <cell r="B269">
            <v>1</v>
          </cell>
          <cell r="C269" t="str">
            <v>IV23669</v>
          </cell>
          <cell r="D269" t="str">
            <v>RN PARTIEL DE LA BANDE DES CONVOYEURS DES LIAISONS PMK/TD</v>
          </cell>
          <cell r="E269" t="str">
            <v>Approuvé</v>
          </cell>
          <cell r="F269" t="str">
            <v>K04202</v>
          </cell>
          <cell r="G269">
            <v>2</v>
          </cell>
          <cell r="H269" t="str">
            <v>Reprise</v>
          </cell>
          <cell r="I269" t="str">
            <v>REPRISE</v>
          </cell>
          <cell r="J269" t="str">
            <v>Budgété</v>
          </cell>
          <cell r="K269">
            <v>31600000</v>
          </cell>
          <cell r="L269">
            <v>31600000</v>
          </cell>
          <cell r="O269">
            <v>15800000</v>
          </cell>
          <cell r="P269">
            <v>15800000</v>
          </cell>
          <cell r="S269">
            <v>13389</v>
          </cell>
          <cell r="T269" t="str">
            <v>NABZAR AHMED</v>
          </cell>
          <cell r="U269" t="str">
            <v>Ordinaire</v>
          </cell>
          <cell r="V269" t="str">
            <v>Reprise</v>
          </cell>
          <cell r="W269" t="str">
            <v>Renouvellement</v>
          </cell>
          <cell r="X269" t="str">
            <v>Aucune</v>
          </cell>
          <cell r="Y269" t="str">
            <v>Prévu</v>
          </cell>
          <cell r="Z269" t="str">
            <v>Reprise</v>
          </cell>
        </row>
        <row r="270">
          <cell r="A270">
            <v>2990</v>
          </cell>
          <cell r="B270">
            <v>1</v>
          </cell>
          <cell r="C270" t="str">
            <v>IV23670</v>
          </cell>
          <cell r="D270" t="str">
            <v>ACHAT DES EQUIPEMENTS HYDRAULIQUES POUR LES SERVICES MECANIQUES DE PMK/TD</v>
          </cell>
          <cell r="E270" t="str">
            <v>Approuvé</v>
          </cell>
          <cell r="F270" t="str">
            <v>K04802</v>
          </cell>
          <cell r="G270">
            <v>2</v>
          </cell>
          <cell r="H270" t="str">
            <v>Reprise</v>
          </cell>
          <cell r="I270" t="str">
            <v>REPRISE</v>
          </cell>
          <cell r="J270" t="str">
            <v>Budgété</v>
          </cell>
          <cell r="K270">
            <v>2000000</v>
          </cell>
          <cell r="L270">
            <v>2000000</v>
          </cell>
          <cell r="O270">
            <v>2000000</v>
          </cell>
          <cell r="S270">
            <v>13390</v>
          </cell>
          <cell r="T270" t="str">
            <v>NABZAR AHMED</v>
          </cell>
          <cell r="U270" t="str">
            <v>Ordinaire</v>
          </cell>
          <cell r="V270" t="str">
            <v>Reprise</v>
          </cell>
          <cell r="W270" t="str">
            <v>Dotations nouvelles</v>
          </cell>
          <cell r="X270" t="str">
            <v>Aucune</v>
          </cell>
          <cell r="Y270" t="str">
            <v>Prévu</v>
          </cell>
          <cell r="Z270" t="str">
            <v>Reprise</v>
          </cell>
        </row>
        <row r="271">
          <cell r="A271">
            <v>2991</v>
          </cell>
          <cell r="B271">
            <v>1</v>
          </cell>
          <cell r="C271" t="str">
            <v>IV23671</v>
          </cell>
          <cell r="D271" t="str">
            <v>ACHAT D'UNE BASCULE INTEGRATRICE POUR LE CONVOYEUR LS0 DE LA LIAISON SIDI CHENNANE</v>
          </cell>
          <cell r="E271" t="str">
            <v>Approuvé</v>
          </cell>
          <cell r="F271" t="str">
            <v>K04240</v>
          </cell>
          <cell r="G271">
            <v>2</v>
          </cell>
          <cell r="H271" t="str">
            <v>Reprise</v>
          </cell>
          <cell r="I271" t="str">
            <v>REPRISE</v>
          </cell>
          <cell r="J271" t="str">
            <v>Budgété</v>
          </cell>
          <cell r="K271">
            <v>120000</v>
          </cell>
          <cell r="L271">
            <v>120000</v>
          </cell>
          <cell r="O271">
            <v>120000</v>
          </cell>
          <cell r="S271">
            <v>13391</v>
          </cell>
          <cell r="T271" t="str">
            <v>AIT HSSAINE IDIR</v>
          </cell>
          <cell r="U271" t="str">
            <v>Ordinaire</v>
          </cell>
          <cell r="V271" t="str">
            <v>Reprise</v>
          </cell>
          <cell r="W271" t="str">
            <v>Dotations nouvelles</v>
          </cell>
          <cell r="X271" t="str">
            <v>Aucune</v>
          </cell>
          <cell r="Y271" t="str">
            <v>Prévu</v>
          </cell>
          <cell r="Z271" t="str">
            <v>Reprise</v>
          </cell>
        </row>
        <row r="272">
          <cell r="A272">
            <v>2992</v>
          </cell>
          <cell r="B272">
            <v>1</v>
          </cell>
          <cell r="C272" t="str">
            <v>IV23672</v>
          </cell>
          <cell r="D272" t="str">
            <v>RN DE 3 BASCULES INTEGRATRICES POUR LES CONVOYEURS DE PMK/TD</v>
          </cell>
          <cell r="E272" t="str">
            <v>Approuvé</v>
          </cell>
          <cell r="F272" t="str">
            <v>K04241</v>
          </cell>
          <cell r="G272">
            <v>2</v>
          </cell>
          <cell r="H272" t="str">
            <v>Reprise</v>
          </cell>
          <cell r="I272" t="str">
            <v>REPRISE</v>
          </cell>
          <cell r="J272" t="str">
            <v>Budgété</v>
          </cell>
          <cell r="K272">
            <v>360000</v>
          </cell>
          <cell r="L272">
            <v>360000</v>
          </cell>
          <cell r="O272">
            <v>360000</v>
          </cell>
          <cell r="S272">
            <v>13392</v>
          </cell>
          <cell r="T272" t="str">
            <v>NABZAR AHMED</v>
          </cell>
          <cell r="U272" t="str">
            <v>Ordinaire</v>
          </cell>
          <cell r="V272" t="str">
            <v>Reprise</v>
          </cell>
          <cell r="W272" t="str">
            <v>Renouvellement</v>
          </cell>
          <cell r="X272" t="str">
            <v>Aucune</v>
          </cell>
          <cell r="Y272" t="str">
            <v>Prévu</v>
          </cell>
          <cell r="Z272" t="str">
            <v>Reprise</v>
          </cell>
        </row>
        <row r="273">
          <cell r="A273">
            <v>2993</v>
          </cell>
          <cell r="B273">
            <v>1</v>
          </cell>
          <cell r="C273" t="str">
            <v>IV23673</v>
          </cell>
          <cell r="D273" t="str">
            <v>ACHAT D'UN COMPRESSEUR MOBILE</v>
          </cell>
          <cell r="E273" t="str">
            <v>Approuvé</v>
          </cell>
          <cell r="F273" t="str">
            <v>K04705</v>
          </cell>
          <cell r="G273">
            <v>2</v>
          </cell>
          <cell r="H273" t="str">
            <v>Reprise</v>
          </cell>
          <cell r="I273" t="str">
            <v>REPRISE</v>
          </cell>
          <cell r="J273" t="str">
            <v>Budgété</v>
          </cell>
          <cell r="K273">
            <v>490000</v>
          </cell>
          <cell r="L273">
            <v>490000</v>
          </cell>
          <cell r="O273">
            <v>490000</v>
          </cell>
          <cell r="S273">
            <v>13393</v>
          </cell>
          <cell r="T273" t="str">
            <v>NABZAR AHMED</v>
          </cell>
          <cell r="U273" t="str">
            <v>Ordinaire</v>
          </cell>
          <cell r="V273" t="str">
            <v>Reprise</v>
          </cell>
          <cell r="W273" t="str">
            <v>Dotations nouvelles</v>
          </cell>
          <cell r="X273" t="str">
            <v>Aucune</v>
          </cell>
          <cell r="Y273" t="str">
            <v>Prévu</v>
          </cell>
          <cell r="Z273" t="str">
            <v>Reprise</v>
          </cell>
        </row>
        <row r="274">
          <cell r="A274">
            <v>2994</v>
          </cell>
          <cell r="B274">
            <v>1</v>
          </cell>
          <cell r="C274" t="str">
            <v>IV23674</v>
          </cell>
          <cell r="D274" t="str">
            <v>RN DE 6 CELLULES DISJONCTEURS POUR LA LAVERIE DAOUI</v>
          </cell>
          <cell r="E274" t="str">
            <v>Approuvé</v>
          </cell>
          <cell r="F274" t="str">
            <v>K04705</v>
          </cell>
          <cell r="G274">
            <v>3</v>
          </cell>
          <cell r="H274" t="str">
            <v>Report 2007</v>
          </cell>
          <cell r="I274" t="str">
            <v>REPORT</v>
          </cell>
          <cell r="J274" t="str">
            <v>Budgété</v>
          </cell>
          <cell r="K274">
            <v>1800000</v>
          </cell>
          <cell r="L274">
            <v>1800000</v>
          </cell>
          <cell r="M274">
            <v>1800000</v>
          </cell>
          <cell r="N274">
            <v>1800000</v>
          </cell>
          <cell r="O274">
            <v>0</v>
          </cell>
          <cell r="S274">
            <v>24462</v>
          </cell>
          <cell r="T274" t="str">
            <v>NABZAR AHMED</v>
          </cell>
          <cell r="U274" t="str">
            <v>Ordinaire</v>
          </cell>
          <cell r="V274" t="str">
            <v>Reprise</v>
          </cell>
          <cell r="W274" t="str">
            <v>Renouvellement</v>
          </cell>
          <cell r="X274" t="str">
            <v>Aucune</v>
          </cell>
          <cell r="Y274" t="str">
            <v>Prévu</v>
          </cell>
          <cell r="Z274" t="str">
            <v>Reprise</v>
          </cell>
        </row>
        <row r="275">
          <cell r="A275">
            <v>2995</v>
          </cell>
          <cell r="B275">
            <v>1</v>
          </cell>
          <cell r="C275" t="str">
            <v>IV23681</v>
          </cell>
          <cell r="D275" t="str">
            <v>ACHAT DE 2 CONVERTISSEURS DE FREQUENCE</v>
          </cell>
          <cell r="E275" t="str">
            <v>Approuvé</v>
          </cell>
          <cell r="F275" t="str">
            <v>K04306</v>
          </cell>
          <cell r="G275">
            <v>2</v>
          </cell>
          <cell r="H275" t="str">
            <v>Reprise</v>
          </cell>
          <cell r="I275" t="str">
            <v>REPRISE</v>
          </cell>
          <cell r="J275" t="str">
            <v>Budgété</v>
          </cell>
          <cell r="K275">
            <v>450000</v>
          </cell>
          <cell r="L275">
            <v>450000</v>
          </cell>
          <cell r="O275">
            <v>450000</v>
          </cell>
          <cell r="S275">
            <v>13288</v>
          </cell>
          <cell r="T275" t="str">
            <v>NABZAR AHMED</v>
          </cell>
          <cell r="U275" t="str">
            <v>Ordinaire</v>
          </cell>
          <cell r="V275" t="str">
            <v>Reprise</v>
          </cell>
          <cell r="W275" t="str">
            <v>Dotations nouvelles</v>
          </cell>
          <cell r="X275" t="str">
            <v>Aucune</v>
          </cell>
          <cell r="Y275" t="str">
            <v>Prévu</v>
          </cell>
          <cell r="Z275" t="str">
            <v>Reprise</v>
          </cell>
        </row>
        <row r="276">
          <cell r="A276">
            <v>2996</v>
          </cell>
          <cell r="B276">
            <v>1</v>
          </cell>
          <cell r="C276" t="str">
            <v>IV23685</v>
          </cell>
          <cell r="D276" t="str">
            <v>ACHAT D'OUTILLAGE POUR LES ATELIERS DE REGULATION PMK/TD/CR</v>
          </cell>
          <cell r="E276" t="str">
            <v>Approuvé</v>
          </cell>
          <cell r="F276" t="str">
            <v>K04808</v>
          </cell>
          <cell r="G276">
            <v>2</v>
          </cell>
          <cell r="H276" t="str">
            <v>Reprise</v>
          </cell>
          <cell r="I276" t="str">
            <v>REPRISE</v>
          </cell>
          <cell r="J276" t="str">
            <v>Budgété</v>
          </cell>
          <cell r="K276">
            <v>433068</v>
          </cell>
          <cell r="L276">
            <v>433068</v>
          </cell>
          <cell r="O276">
            <v>420000</v>
          </cell>
          <cell r="P276">
            <v>13068</v>
          </cell>
          <cell r="S276">
            <v>13289</v>
          </cell>
          <cell r="T276" t="str">
            <v>NABZAR AHMED</v>
          </cell>
          <cell r="U276" t="str">
            <v>Ordinaire</v>
          </cell>
          <cell r="V276" t="str">
            <v>Reprise</v>
          </cell>
          <cell r="W276" t="str">
            <v>Dotations nouvelles</v>
          </cell>
          <cell r="X276" t="str">
            <v>Aucune</v>
          </cell>
          <cell r="Y276" t="str">
            <v>Prévu</v>
          </cell>
          <cell r="Z276" t="str">
            <v>Reprise</v>
          </cell>
        </row>
        <row r="277">
          <cell r="A277">
            <v>2997</v>
          </cell>
          <cell r="B277">
            <v>1</v>
          </cell>
          <cell r="C277" t="str">
            <v>IV23689</v>
          </cell>
          <cell r="D277" t="str">
            <v>ACHAT DE 32 MOTEURS ELECTRIQUES BASSE TENSION POUR L'ATELIER DE BROYAGE DE BENI IDIR</v>
          </cell>
          <cell r="E277" t="str">
            <v>Approuvé</v>
          </cell>
          <cell r="F277" t="str">
            <v>K04117</v>
          </cell>
          <cell r="G277">
            <v>2</v>
          </cell>
          <cell r="H277" t="str">
            <v>Reprise</v>
          </cell>
          <cell r="I277" t="str">
            <v>REPRISE</v>
          </cell>
          <cell r="J277" t="str">
            <v>Budgété</v>
          </cell>
          <cell r="K277">
            <v>480000</v>
          </cell>
          <cell r="L277">
            <v>480000</v>
          </cell>
          <cell r="O277">
            <v>480000</v>
          </cell>
          <cell r="S277">
            <v>13290</v>
          </cell>
          <cell r="T277" t="str">
            <v>NABZAR AHMED</v>
          </cell>
          <cell r="U277" t="str">
            <v>Ordinaire</v>
          </cell>
          <cell r="V277" t="str">
            <v>Reprise</v>
          </cell>
          <cell r="W277" t="str">
            <v>Dotations nouvelles</v>
          </cell>
          <cell r="X277" t="str">
            <v>Aucune</v>
          </cell>
          <cell r="Y277" t="str">
            <v>Prévu</v>
          </cell>
          <cell r="Z277" t="str">
            <v>Reprise</v>
          </cell>
        </row>
        <row r="278">
          <cell r="A278">
            <v>2998</v>
          </cell>
          <cell r="B278">
            <v>1</v>
          </cell>
          <cell r="C278" t="str">
            <v>IV23690</v>
          </cell>
          <cell r="D278" t="str">
            <v>FOURNITURE ET INSTALLATION DE 2 JOYS POUR LES MISES A TERRIL DE PMK/TD</v>
          </cell>
          <cell r="E278" t="str">
            <v>Approuvé</v>
          </cell>
          <cell r="F278" t="str">
            <v>K04308</v>
          </cell>
          <cell r="G278">
            <v>2</v>
          </cell>
          <cell r="H278" t="str">
            <v>Reprise</v>
          </cell>
          <cell r="I278" t="str">
            <v>REPRISE</v>
          </cell>
          <cell r="J278" t="str">
            <v>Budgété</v>
          </cell>
          <cell r="K278">
            <v>4900000</v>
          </cell>
          <cell r="L278">
            <v>4900000</v>
          </cell>
          <cell r="O278">
            <v>4900000</v>
          </cell>
          <cell r="S278">
            <v>13291</v>
          </cell>
          <cell r="T278" t="str">
            <v>NABZAR AHMED</v>
          </cell>
          <cell r="U278" t="str">
            <v>Ordinaire</v>
          </cell>
          <cell r="V278" t="str">
            <v>Reprise</v>
          </cell>
          <cell r="W278" t="str">
            <v>Dotations nouvelles</v>
          </cell>
          <cell r="X278" t="str">
            <v>Aucune</v>
          </cell>
          <cell r="Y278" t="str">
            <v>Prévu</v>
          </cell>
          <cell r="Z278" t="str">
            <v>Reprise</v>
          </cell>
        </row>
        <row r="279">
          <cell r="A279">
            <v>2999</v>
          </cell>
          <cell r="B279">
            <v>1</v>
          </cell>
          <cell r="C279" t="str">
            <v>IV23691</v>
          </cell>
          <cell r="D279" t="str">
            <v>ACQUISITION D'UNE BALANCE INDUSTRIELLE ET D'UN TAMIS VIBREUR</v>
          </cell>
          <cell r="E279" t="str">
            <v>Approuvé</v>
          </cell>
          <cell r="F279" t="str">
            <v>K04315</v>
          </cell>
          <cell r="G279">
            <v>2</v>
          </cell>
          <cell r="H279" t="str">
            <v>Reprise</v>
          </cell>
          <cell r="I279" t="str">
            <v>REPRISE</v>
          </cell>
          <cell r="J279" t="str">
            <v>Budgété</v>
          </cell>
          <cell r="K279">
            <v>235000</v>
          </cell>
          <cell r="L279">
            <v>235000</v>
          </cell>
          <cell r="O279">
            <v>235000</v>
          </cell>
          <cell r="S279">
            <v>13292</v>
          </cell>
          <cell r="T279" t="str">
            <v>NABZAR AHMED</v>
          </cell>
          <cell r="U279" t="str">
            <v>Ordinaire</v>
          </cell>
          <cell r="V279" t="str">
            <v>Reprise</v>
          </cell>
          <cell r="W279" t="str">
            <v>Dotations nouvelles</v>
          </cell>
          <cell r="X279" t="str">
            <v>Aucune</v>
          </cell>
          <cell r="Y279" t="str">
            <v>Prévu</v>
          </cell>
          <cell r="Z279" t="str">
            <v>Reprise</v>
          </cell>
        </row>
        <row r="280">
          <cell r="A280">
            <v>3000</v>
          </cell>
          <cell r="B280">
            <v>1</v>
          </cell>
          <cell r="C280" t="str">
            <v>IV23694</v>
          </cell>
          <cell r="D280" t="str">
            <v>RN DE 5 BASCULES INTEGRATRICES DU L'UNITE DE BENI-IDIR</v>
          </cell>
          <cell r="E280" t="str">
            <v>Approuvé</v>
          </cell>
          <cell r="F280" t="str">
            <v>K04108</v>
          </cell>
          <cell r="G280">
            <v>2</v>
          </cell>
          <cell r="H280" t="str">
            <v>Reprise</v>
          </cell>
          <cell r="I280" t="str">
            <v>REPRISE</v>
          </cell>
          <cell r="J280" t="str">
            <v>Budgété</v>
          </cell>
          <cell r="K280">
            <v>750000</v>
          </cell>
          <cell r="L280">
            <v>750000</v>
          </cell>
          <cell r="O280">
            <v>750000</v>
          </cell>
          <cell r="S280">
            <v>13293</v>
          </cell>
          <cell r="T280" t="str">
            <v>NABZAR AHMED</v>
          </cell>
          <cell r="U280" t="str">
            <v>Ordinaire</v>
          </cell>
          <cell r="V280" t="str">
            <v>Reprise</v>
          </cell>
          <cell r="W280" t="str">
            <v>Renouvellement</v>
          </cell>
          <cell r="X280" t="str">
            <v>Aucune</v>
          </cell>
          <cell r="Y280" t="str">
            <v>Prévu</v>
          </cell>
          <cell r="Z280" t="str">
            <v>Reprise</v>
          </cell>
        </row>
        <row r="281">
          <cell r="A281">
            <v>3001</v>
          </cell>
          <cell r="B281">
            <v>1</v>
          </cell>
          <cell r="C281" t="str">
            <v>IV23696</v>
          </cell>
          <cell r="D281" t="str">
            <v>ACHAT DES ENREGISTREURS VIDEO POUR PMK/TB</v>
          </cell>
          <cell r="E281" t="str">
            <v>Approuvé</v>
          </cell>
          <cell r="F281" t="str">
            <v>K04116</v>
          </cell>
          <cell r="G281">
            <v>2</v>
          </cell>
          <cell r="H281" t="str">
            <v>Reprise</v>
          </cell>
          <cell r="I281" t="str">
            <v>REPRISE</v>
          </cell>
          <cell r="J281" t="str">
            <v>Budgété</v>
          </cell>
          <cell r="K281">
            <v>480000</v>
          </cell>
          <cell r="L281">
            <v>480000</v>
          </cell>
          <cell r="O281">
            <v>480000</v>
          </cell>
          <cell r="S281">
            <v>13294</v>
          </cell>
          <cell r="T281" t="str">
            <v>NABZAR AHMED</v>
          </cell>
          <cell r="U281" t="str">
            <v>Ordinaire</v>
          </cell>
          <cell r="V281" t="str">
            <v>Reprise</v>
          </cell>
          <cell r="W281" t="str">
            <v>Dotations nouvelles</v>
          </cell>
          <cell r="X281" t="str">
            <v>Aucune</v>
          </cell>
          <cell r="Y281" t="str">
            <v>Prévu</v>
          </cell>
          <cell r="Z281" t="str">
            <v>Reprise</v>
          </cell>
        </row>
        <row r="282">
          <cell r="A282">
            <v>3002</v>
          </cell>
          <cell r="B282">
            <v>1</v>
          </cell>
          <cell r="C282" t="str">
            <v>IV23697</v>
          </cell>
          <cell r="D282" t="str">
            <v>ACHAT D'UNE CAMERA A INFRAROUGE DE MESURE DE TEMPERATURE DES INSTALLATIONS DE L'UNITE DE BENI - IDIR</v>
          </cell>
          <cell r="E282" t="str">
            <v>Approuvé</v>
          </cell>
          <cell r="F282" t="str">
            <v>K04116</v>
          </cell>
          <cell r="G282">
            <v>2</v>
          </cell>
          <cell r="H282" t="str">
            <v>Reprise</v>
          </cell>
          <cell r="I282" t="str">
            <v>REPRISE</v>
          </cell>
          <cell r="J282" t="str">
            <v>Budgété</v>
          </cell>
          <cell r="K282">
            <v>150000</v>
          </cell>
          <cell r="L282">
            <v>150000</v>
          </cell>
          <cell r="O282">
            <v>150000</v>
          </cell>
          <cell r="S282">
            <v>13295</v>
          </cell>
          <cell r="T282" t="str">
            <v>NABZAR AHMED</v>
          </cell>
          <cell r="U282" t="str">
            <v>Ordinaire</v>
          </cell>
          <cell r="V282" t="str">
            <v>Reprise</v>
          </cell>
          <cell r="W282" t="str">
            <v>Dotations nouvelles</v>
          </cell>
          <cell r="X282" t="str">
            <v>Aucune</v>
          </cell>
          <cell r="Y282" t="str">
            <v>Prévu</v>
          </cell>
          <cell r="Z282" t="str">
            <v>Reprise</v>
          </cell>
        </row>
        <row r="283">
          <cell r="A283">
            <v>3003</v>
          </cell>
          <cell r="B283">
            <v>1</v>
          </cell>
          <cell r="C283" t="str">
            <v>IV23698</v>
          </cell>
          <cell r="D283" t="str">
            <v>ACHAT D'UN DISJONCTEUR MOYENNE TENSION POUR L'ATELIER DE BROYAGE DE BENI-IDIR</v>
          </cell>
          <cell r="E283" t="str">
            <v>Approuvé</v>
          </cell>
          <cell r="F283" t="str">
            <v>K04117</v>
          </cell>
          <cell r="G283">
            <v>2</v>
          </cell>
          <cell r="H283" t="str">
            <v>Reprise</v>
          </cell>
          <cell r="I283" t="str">
            <v>REPRISE</v>
          </cell>
          <cell r="J283" t="str">
            <v>Budgété</v>
          </cell>
          <cell r="K283">
            <v>200000</v>
          </cell>
          <cell r="L283">
            <v>200000</v>
          </cell>
          <cell r="O283">
            <v>200000</v>
          </cell>
          <cell r="S283">
            <v>13296</v>
          </cell>
          <cell r="T283" t="str">
            <v>NABZAR AHMED</v>
          </cell>
          <cell r="U283" t="str">
            <v>Ordinaire</v>
          </cell>
          <cell r="V283" t="str">
            <v>Reprise</v>
          </cell>
          <cell r="W283" t="str">
            <v>Dotations nouvelles</v>
          </cell>
          <cell r="X283" t="str">
            <v>Aucune</v>
          </cell>
          <cell r="Y283" t="str">
            <v>Prévu</v>
          </cell>
          <cell r="Z283" t="str">
            <v>Reprise</v>
          </cell>
        </row>
        <row r="284">
          <cell r="A284">
            <v>3004</v>
          </cell>
          <cell r="B284">
            <v>1</v>
          </cell>
          <cell r="C284" t="str">
            <v>IV23699</v>
          </cell>
          <cell r="D284" t="str">
            <v>RENOVATION DES AUTOMATISMES ET SUPERVISIONS DES INSTALLATIONS DE L'UNITE DE BENI-IDIR</v>
          </cell>
          <cell r="E284" t="str">
            <v>Approuvé</v>
          </cell>
          <cell r="F284" t="str">
            <v>K04116</v>
          </cell>
          <cell r="G284">
            <v>2</v>
          </cell>
          <cell r="H284" t="str">
            <v>Reprise</v>
          </cell>
          <cell r="I284" t="str">
            <v>REPRISE</v>
          </cell>
          <cell r="J284" t="str">
            <v>Budgété</v>
          </cell>
          <cell r="K284">
            <v>4500000</v>
          </cell>
          <cell r="L284">
            <v>4500000</v>
          </cell>
          <cell r="O284">
            <v>4500000</v>
          </cell>
          <cell r="S284">
            <v>13297</v>
          </cell>
          <cell r="T284" t="str">
            <v>NABZAR AHMED</v>
          </cell>
          <cell r="U284" t="str">
            <v>Ordinaire</v>
          </cell>
          <cell r="V284" t="str">
            <v>Reprise</v>
          </cell>
          <cell r="W284" t="str">
            <v>Dotations nouvelles</v>
          </cell>
          <cell r="X284" t="str">
            <v>Aucune</v>
          </cell>
          <cell r="Y284" t="str">
            <v>Prévu</v>
          </cell>
          <cell r="Z284" t="str">
            <v>Reprise</v>
          </cell>
        </row>
        <row r="285">
          <cell r="A285">
            <v>3005</v>
          </cell>
          <cell r="B285">
            <v>1</v>
          </cell>
          <cell r="C285" t="str">
            <v>IV23701</v>
          </cell>
          <cell r="D285" t="str">
            <v>ACHAT DES VARIATEURS DE VITESSES POUR LES EXTRACTEURS D'ALIMENTATION DES FOURS SECHEURS DE BENI-IDIR</v>
          </cell>
          <cell r="E285" t="str">
            <v>Approuvé</v>
          </cell>
          <cell r="F285" t="str">
            <v>K04116</v>
          </cell>
          <cell r="G285">
            <v>2</v>
          </cell>
          <cell r="H285" t="str">
            <v>Reprise</v>
          </cell>
          <cell r="I285" t="str">
            <v>REPRISE</v>
          </cell>
          <cell r="J285" t="str">
            <v>Budgété</v>
          </cell>
          <cell r="K285">
            <v>480000</v>
          </cell>
          <cell r="L285">
            <v>480000</v>
          </cell>
          <cell r="O285">
            <v>480000</v>
          </cell>
          <cell r="S285">
            <v>13298</v>
          </cell>
          <cell r="T285" t="str">
            <v>NABZAR AHMED</v>
          </cell>
          <cell r="U285" t="str">
            <v>Ordinaire</v>
          </cell>
          <cell r="V285" t="str">
            <v>Reprise</v>
          </cell>
          <cell r="W285" t="str">
            <v>Dotations nouvelles</v>
          </cell>
          <cell r="X285" t="str">
            <v>Aucune</v>
          </cell>
          <cell r="Y285" t="str">
            <v>Prévu</v>
          </cell>
          <cell r="Z285" t="str">
            <v>Reprise</v>
          </cell>
        </row>
        <row r="286">
          <cell r="A286">
            <v>3006</v>
          </cell>
          <cell r="B286">
            <v>1</v>
          </cell>
          <cell r="C286" t="str">
            <v>IV23702</v>
          </cell>
          <cell r="D286" t="str">
            <v>ACHAT D'OUTILLAGE COLLECTIF POUR LES ATELIERS DE MAINTENANCE ELECTRIQUE DE PMK/TB</v>
          </cell>
          <cell r="E286" t="str">
            <v>Approuvé</v>
          </cell>
          <cell r="F286" t="str">
            <v>K04601</v>
          </cell>
          <cell r="G286">
            <v>2</v>
          </cell>
          <cell r="H286" t="str">
            <v>Reprise</v>
          </cell>
          <cell r="I286" t="str">
            <v>REPRISE</v>
          </cell>
          <cell r="J286" t="str">
            <v>Budgété</v>
          </cell>
          <cell r="K286">
            <v>476000</v>
          </cell>
          <cell r="L286">
            <v>476000</v>
          </cell>
          <cell r="O286">
            <v>476000</v>
          </cell>
          <cell r="S286">
            <v>13299</v>
          </cell>
          <cell r="T286" t="str">
            <v>NABZAR AHMED</v>
          </cell>
          <cell r="U286" t="str">
            <v>Ordinaire</v>
          </cell>
          <cell r="V286" t="str">
            <v>Reprise</v>
          </cell>
          <cell r="W286" t="str">
            <v>Dotations nouvelles</v>
          </cell>
          <cell r="X286" t="str">
            <v>Aucune</v>
          </cell>
          <cell r="Y286" t="str">
            <v>Prévu</v>
          </cell>
          <cell r="Z286" t="str">
            <v>Reprise</v>
          </cell>
        </row>
        <row r="287">
          <cell r="A287">
            <v>3007</v>
          </cell>
          <cell r="B287">
            <v>1</v>
          </cell>
          <cell r="C287" t="str">
            <v>IV23706</v>
          </cell>
          <cell r="D287" t="str">
            <v>ACHAT D'UN TRANSFORMATEUR 160 KVA POUR L'ATELIER DE BROYAGE DE BENI-IDIR</v>
          </cell>
          <cell r="E287" t="str">
            <v>Approuvé</v>
          </cell>
          <cell r="F287" t="str">
            <v>K04117</v>
          </cell>
          <cell r="G287">
            <v>2</v>
          </cell>
          <cell r="H287" t="str">
            <v>Reprise</v>
          </cell>
          <cell r="I287" t="str">
            <v>REPRISE</v>
          </cell>
          <cell r="J287" t="str">
            <v>Budgété</v>
          </cell>
          <cell r="K287">
            <v>60000</v>
          </cell>
          <cell r="L287">
            <v>60000</v>
          </cell>
          <cell r="O287">
            <v>60000</v>
          </cell>
          <cell r="S287">
            <v>13300</v>
          </cell>
          <cell r="T287" t="str">
            <v>TOGHZAOUI ABDELLATIF</v>
          </cell>
          <cell r="U287" t="str">
            <v>Ordinaire</v>
          </cell>
          <cell r="V287" t="str">
            <v>Reprise</v>
          </cell>
          <cell r="W287" t="str">
            <v>Dotations nouvelles</v>
          </cell>
          <cell r="X287" t="str">
            <v>Aucune</v>
          </cell>
          <cell r="Y287" t="str">
            <v>Prévu</v>
          </cell>
          <cell r="Z287" t="str">
            <v>Reprise</v>
          </cell>
        </row>
        <row r="288">
          <cell r="A288">
            <v>3008</v>
          </cell>
          <cell r="B288">
            <v>1</v>
          </cell>
          <cell r="C288" t="str">
            <v>IV23707</v>
          </cell>
          <cell r="D288" t="str">
            <v>RN D'UN APPAREIL DE MESURE DE VIBRATION DES MACHINES TOURNANTES DE PMK/TB</v>
          </cell>
          <cell r="E288" t="str">
            <v>Approuvé</v>
          </cell>
          <cell r="F288" t="str">
            <v>K04608</v>
          </cell>
          <cell r="G288">
            <v>2</v>
          </cell>
          <cell r="H288" t="str">
            <v>Reprise</v>
          </cell>
          <cell r="I288" t="str">
            <v>REPRISE</v>
          </cell>
          <cell r="J288" t="str">
            <v>Budgété</v>
          </cell>
          <cell r="K288">
            <v>450000</v>
          </cell>
          <cell r="L288">
            <v>450000</v>
          </cell>
          <cell r="O288">
            <v>450000</v>
          </cell>
          <cell r="S288">
            <v>13301</v>
          </cell>
          <cell r="T288" t="str">
            <v>NABZAR AHMED</v>
          </cell>
          <cell r="U288" t="str">
            <v>Ordinaire</v>
          </cell>
          <cell r="V288" t="str">
            <v>Reprise</v>
          </cell>
          <cell r="W288" t="str">
            <v>Renouvellement</v>
          </cell>
          <cell r="X288" t="str">
            <v>Aucune</v>
          </cell>
          <cell r="Y288" t="str">
            <v>Prévu</v>
          </cell>
          <cell r="Z288" t="str">
            <v>Reprise</v>
          </cell>
        </row>
        <row r="289">
          <cell r="A289">
            <v>3009</v>
          </cell>
          <cell r="B289">
            <v>1</v>
          </cell>
          <cell r="C289" t="str">
            <v>IV23711</v>
          </cell>
          <cell r="D289" t="str">
            <v>ACHAT DE 02 PERCEUSES A PERCUSSION ET DE 02 MARTEAUX PIQUEURS POUR L'ATELIER DE SECHAGE DE PMK/TB</v>
          </cell>
          <cell r="E289" t="str">
            <v>Approuvé</v>
          </cell>
          <cell r="F289" t="str">
            <v>K04116</v>
          </cell>
          <cell r="G289">
            <v>2</v>
          </cell>
          <cell r="H289" t="str">
            <v>Reprise</v>
          </cell>
          <cell r="I289" t="str">
            <v>REPRISE</v>
          </cell>
          <cell r="J289" t="str">
            <v>Budgété</v>
          </cell>
          <cell r="K289">
            <v>48924</v>
          </cell>
          <cell r="L289">
            <v>48924</v>
          </cell>
          <cell r="O289">
            <v>30000</v>
          </cell>
          <cell r="P289">
            <v>18924</v>
          </cell>
          <cell r="S289">
            <v>13302</v>
          </cell>
          <cell r="T289" t="str">
            <v>NABZAR AHMED</v>
          </cell>
          <cell r="U289" t="str">
            <v>Ordinaire</v>
          </cell>
          <cell r="V289" t="str">
            <v>Reprise</v>
          </cell>
          <cell r="W289" t="str">
            <v>Dotations nouvelles</v>
          </cell>
          <cell r="X289" t="str">
            <v>Aucune</v>
          </cell>
          <cell r="Y289" t="str">
            <v>Prévu</v>
          </cell>
          <cell r="Z289" t="str">
            <v>Reprise</v>
          </cell>
        </row>
        <row r="290">
          <cell r="A290">
            <v>3010</v>
          </cell>
          <cell r="B290">
            <v>1</v>
          </cell>
          <cell r="C290" t="str">
            <v>IV23712</v>
          </cell>
          <cell r="D290" t="str">
            <v>RN D'UN PONT ROULANT POUR L'ATELIER MECANIQUE DE L'UNITE DAOUI</v>
          </cell>
          <cell r="E290" t="str">
            <v>Approuvé</v>
          </cell>
          <cell r="F290" t="str">
            <v>K04702</v>
          </cell>
          <cell r="G290">
            <v>2</v>
          </cell>
          <cell r="H290" t="str">
            <v>Reprise</v>
          </cell>
          <cell r="I290" t="str">
            <v>REPRISE</v>
          </cell>
          <cell r="J290" t="str">
            <v>Budgété</v>
          </cell>
          <cell r="K290">
            <v>300000</v>
          </cell>
          <cell r="L290">
            <v>300000</v>
          </cell>
          <cell r="O290">
            <v>300000</v>
          </cell>
          <cell r="S290">
            <v>13303</v>
          </cell>
          <cell r="T290" t="str">
            <v>BENMAKHLOUF HATIM</v>
          </cell>
          <cell r="U290" t="str">
            <v>Ordinaire</v>
          </cell>
          <cell r="V290" t="str">
            <v>Reprise</v>
          </cell>
          <cell r="W290" t="str">
            <v>Renouvellement</v>
          </cell>
          <cell r="X290" t="str">
            <v>Aucune</v>
          </cell>
          <cell r="Y290" t="str">
            <v>Prévu</v>
          </cell>
          <cell r="Z290" t="str">
            <v>Reprise</v>
          </cell>
        </row>
        <row r="291">
          <cell r="A291">
            <v>3011</v>
          </cell>
          <cell r="B291">
            <v>1</v>
          </cell>
          <cell r="C291" t="str">
            <v>IV23714</v>
          </cell>
          <cell r="D291" t="str">
            <v>ACHAT D'UN COMPRESSEUR MOBILE A VIS.</v>
          </cell>
          <cell r="E291" t="str">
            <v>Approuvé</v>
          </cell>
          <cell r="F291" t="str">
            <v>K04702</v>
          </cell>
          <cell r="G291">
            <v>2</v>
          </cell>
          <cell r="H291" t="str">
            <v>Reprise</v>
          </cell>
          <cell r="I291" t="str">
            <v>REPRISE</v>
          </cell>
          <cell r="J291" t="str">
            <v>Budgété</v>
          </cell>
          <cell r="K291">
            <v>300000</v>
          </cell>
          <cell r="L291">
            <v>300000</v>
          </cell>
          <cell r="O291">
            <v>300000</v>
          </cell>
          <cell r="S291">
            <v>13304</v>
          </cell>
          <cell r="T291" t="str">
            <v>BENMAKHLOUF HATIM</v>
          </cell>
          <cell r="U291" t="str">
            <v>Ordinaire</v>
          </cell>
          <cell r="V291" t="str">
            <v>Reprise</v>
          </cell>
          <cell r="W291" t="str">
            <v>Renouvellement</v>
          </cell>
          <cell r="X291" t="str">
            <v>Aucune</v>
          </cell>
          <cell r="Y291" t="str">
            <v>Prévu</v>
          </cell>
          <cell r="Z291" t="str">
            <v>Reprise</v>
          </cell>
        </row>
        <row r="292">
          <cell r="A292">
            <v>3012</v>
          </cell>
          <cell r="B292">
            <v>1</v>
          </cell>
          <cell r="C292" t="str">
            <v>IV23716</v>
          </cell>
          <cell r="D292" t="str">
            <v>ACHAT DE MATÉRIEL DE LABORATOIRE DES LUBRIFIANTS</v>
          </cell>
          <cell r="E292" t="str">
            <v>Approuvé</v>
          </cell>
          <cell r="F292" t="str">
            <v>K11801</v>
          </cell>
          <cell r="G292">
            <v>2</v>
          </cell>
          <cell r="H292" t="str">
            <v>Reprise</v>
          </cell>
          <cell r="I292" t="str">
            <v>REPRISE</v>
          </cell>
          <cell r="J292" t="str">
            <v>Budgété</v>
          </cell>
          <cell r="K292">
            <v>632928.61</v>
          </cell>
          <cell r="L292">
            <v>632928.61</v>
          </cell>
          <cell r="O292">
            <v>425000</v>
          </cell>
          <cell r="P292">
            <v>207928.61</v>
          </cell>
          <cell r="S292">
            <v>13305</v>
          </cell>
          <cell r="T292" t="str">
            <v>NABZAR AHMED</v>
          </cell>
          <cell r="U292" t="str">
            <v>Ordinaire</v>
          </cell>
          <cell r="V292" t="str">
            <v>Reprise</v>
          </cell>
          <cell r="W292" t="str">
            <v>Dotations nouvelles</v>
          </cell>
          <cell r="X292" t="str">
            <v>Aucune</v>
          </cell>
          <cell r="Y292" t="str">
            <v>Prévu</v>
          </cell>
          <cell r="Z292" t="str">
            <v>Reprise</v>
          </cell>
        </row>
        <row r="293">
          <cell r="A293">
            <v>3013</v>
          </cell>
          <cell r="B293">
            <v>1</v>
          </cell>
          <cell r="C293" t="str">
            <v>IV23717</v>
          </cell>
          <cell r="D293" t="str">
            <v>ACHAT DE MATÉRIEL DE LABORATOIRE DES BANDES</v>
          </cell>
          <cell r="E293" t="str">
            <v>Approuvé</v>
          </cell>
          <cell r="F293" t="str">
            <v>K11800</v>
          </cell>
          <cell r="G293">
            <v>2</v>
          </cell>
          <cell r="H293" t="str">
            <v>Reprise</v>
          </cell>
          <cell r="I293" t="str">
            <v>REPRISE</v>
          </cell>
          <cell r="J293" t="str">
            <v>Budgété</v>
          </cell>
          <cell r="K293">
            <v>390000</v>
          </cell>
          <cell r="L293">
            <v>390000</v>
          </cell>
          <cell r="O293">
            <v>390000</v>
          </cell>
          <cell r="S293">
            <v>13306</v>
          </cell>
          <cell r="T293" t="str">
            <v>NABZAR AHMED</v>
          </cell>
          <cell r="U293" t="str">
            <v>Ordinaire</v>
          </cell>
          <cell r="V293" t="str">
            <v>Reprise</v>
          </cell>
          <cell r="W293" t="str">
            <v>Dotations nouvelles</v>
          </cell>
          <cell r="X293" t="str">
            <v>Aucune</v>
          </cell>
          <cell r="Y293" t="str">
            <v>Prévu</v>
          </cell>
          <cell r="Z293" t="str">
            <v>Reprise</v>
          </cell>
        </row>
        <row r="294">
          <cell r="A294">
            <v>3014</v>
          </cell>
          <cell r="B294">
            <v>1</v>
          </cell>
          <cell r="C294" t="str">
            <v>IV23720</v>
          </cell>
          <cell r="D294" t="str">
            <v>ACHAT DES APPAREILS TELEPHONIQUES POUR PMK/TB</v>
          </cell>
          <cell r="E294" t="str">
            <v>Approuvé</v>
          </cell>
          <cell r="F294" t="str">
            <v>K04601</v>
          </cell>
          <cell r="G294">
            <v>3</v>
          </cell>
          <cell r="H294" t="str">
            <v>Transfert</v>
          </cell>
          <cell r="I294" t="str">
            <v>TRANSFERT</v>
          </cell>
          <cell r="J294" t="str">
            <v>Budgété</v>
          </cell>
          <cell r="K294">
            <v>480000</v>
          </cell>
          <cell r="L294">
            <v>480000</v>
          </cell>
          <cell r="O294">
            <v>480000</v>
          </cell>
          <cell r="S294">
            <v>20019</v>
          </cell>
          <cell r="T294" t="str">
            <v>NABZAR AHMED</v>
          </cell>
          <cell r="U294" t="str">
            <v>Administratif</v>
          </cell>
          <cell r="V294" t="str">
            <v>Reprise</v>
          </cell>
          <cell r="W294" t="str">
            <v>Dotations nouvelles</v>
          </cell>
          <cell r="X294" t="str">
            <v>Aucune</v>
          </cell>
          <cell r="Y294" t="str">
            <v>Prévu</v>
          </cell>
          <cell r="Z294" t="str">
            <v>Reprise</v>
          </cell>
        </row>
        <row r="295">
          <cell r="A295">
            <v>3015</v>
          </cell>
          <cell r="B295">
            <v>1</v>
          </cell>
          <cell r="C295" t="str">
            <v>IV23723</v>
          </cell>
          <cell r="D295" t="str">
            <v>ACHAT DE 01 DYNAMOMETRE 50T.</v>
          </cell>
          <cell r="E295" t="str">
            <v>Approuvé</v>
          </cell>
          <cell r="F295" t="str">
            <v>K11602</v>
          </cell>
          <cell r="G295">
            <v>2</v>
          </cell>
          <cell r="H295" t="str">
            <v>Reprise</v>
          </cell>
          <cell r="I295" t="str">
            <v>REPRISE</v>
          </cell>
          <cell r="J295" t="str">
            <v>Budgété</v>
          </cell>
          <cell r="K295">
            <v>40000</v>
          </cell>
          <cell r="L295">
            <v>40000</v>
          </cell>
          <cell r="O295">
            <v>40000</v>
          </cell>
          <cell r="S295">
            <v>13308</v>
          </cell>
          <cell r="T295" t="str">
            <v>NABZAR AHMED</v>
          </cell>
          <cell r="U295" t="str">
            <v>Ordinaire</v>
          </cell>
          <cell r="V295" t="str">
            <v>Reprise</v>
          </cell>
          <cell r="W295" t="str">
            <v>Dotations nouvelles</v>
          </cell>
          <cell r="X295" t="str">
            <v>Aucune</v>
          </cell>
          <cell r="Y295" t="str">
            <v>Prévu</v>
          </cell>
          <cell r="Z295" t="str">
            <v>Reprise</v>
          </cell>
        </row>
        <row r="296">
          <cell r="A296">
            <v>3016</v>
          </cell>
          <cell r="B296">
            <v>1</v>
          </cell>
          <cell r="C296" t="str">
            <v>IV23724</v>
          </cell>
          <cell r="D296" t="str">
            <v>RENOVATION DES AUTOMATISMES ET SUPERVISION DES INSTALLATIONS DU CARREAU ZONE CENTRALE DE LA DIVISION TRAITEMENT DE BENI-IDIR</v>
          </cell>
          <cell r="E296" t="str">
            <v>Approuvé</v>
          </cell>
          <cell r="F296" t="str">
            <v>K04102</v>
          </cell>
          <cell r="G296">
            <v>2</v>
          </cell>
          <cell r="H296" t="str">
            <v>Reprise</v>
          </cell>
          <cell r="I296" t="str">
            <v>REPRISE</v>
          </cell>
          <cell r="J296" t="str">
            <v>Budgété</v>
          </cell>
          <cell r="K296">
            <v>2000000</v>
          </cell>
          <cell r="L296">
            <v>2000000</v>
          </cell>
          <cell r="O296">
            <v>2000000</v>
          </cell>
          <cell r="S296">
            <v>13309</v>
          </cell>
          <cell r="T296" t="str">
            <v>NABZAR AHMED</v>
          </cell>
          <cell r="U296" t="str">
            <v>Ordinaire</v>
          </cell>
          <cell r="V296" t="str">
            <v>Reprise</v>
          </cell>
          <cell r="W296" t="str">
            <v>Dotations nouvelles</v>
          </cell>
          <cell r="X296" t="str">
            <v>Aucune</v>
          </cell>
          <cell r="Y296" t="str">
            <v>Prévu</v>
          </cell>
          <cell r="Z296" t="str">
            <v>Reprise</v>
          </cell>
        </row>
        <row r="297">
          <cell r="A297">
            <v>3017</v>
          </cell>
          <cell r="B297">
            <v>1</v>
          </cell>
          <cell r="C297" t="str">
            <v>IV23725</v>
          </cell>
          <cell r="D297" t="str">
            <v>ACHAT DES APPAREILS DE MESURE.</v>
          </cell>
          <cell r="E297" t="str">
            <v>Approuvé</v>
          </cell>
          <cell r="F297" t="str">
            <v>K11610</v>
          </cell>
          <cell r="G297">
            <v>2</v>
          </cell>
          <cell r="H297" t="str">
            <v>Reprise</v>
          </cell>
          <cell r="I297" t="str">
            <v>REPRISE</v>
          </cell>
          <cell r="J297" t="str">
            <v>Budgété</v>
          </cell>
          <cell r="K297">
            <v>60000</v>
          </cell>
          <cell r="L297">
            <v>60000</v>
          </cell>
          <cell r="O297">
            <v>60000</v>
          </cell>
          <cell r="S297">
            <v>13310</v>
          </cell>
          <cell r="T297" t="str">
            <v>NABZAR AHMED</v>
          </cell>
          <cell r="U297" t="str">
            <v>Ordinaire</v>
          </cell>
          <cell r="V297" t="str">
            <v>Reprise</v>
          </cell>
          <cell r="W297" t="str">
            <v>Dotations nouvelles</v>
          </cell>
          <cell r="X297" t="str">
            <v>Aucune</v>
          </cell>
          <cell r="Y297" t="str">
            <v>Prévu</v>
          </cell>
          <cell r="Z297" t="str">
            <v>Reprise</v>
          </cell>
        </row>
        <row r="298">
          <cell r="A298">
            <v>3018</v>
          </cell>
          <cell r="B298">
            <v>1</v>
          </cell>
          <cell r="C298" t="str">
            <v>IV23728</v>
          </cell>
          <cell r="D298" t="str">
            <v>RENOVATION DES AUTOMATISMES ET SUPERVISION DES INSTALLATIONS DE L'ENRICHISSEMENT A SEC DE PMK/TB</v>
          </cell>
          <cell r="E298" t="str">
            <v>Approuvé</v>
          </cell>
          <cell r="F298" t="str">
            <v>K04122</v>
          </cell>
          <cell r="G298">
            <v>2</v>
          </cell>
          <cell r="H298" t="str">
            <v>Reprise</v>
          </cell>
          <cell r="I298" t="str">
            <v>REPRISE</v>
          </cell>
          <cell r="J298" t="str">
            <v>Budgété</v>
          </cell>
          <cell r="K298">
            <v>3000000</v>
          </cell>
          <cell r="L298">
            <v>3000000</v>
          </cell>
          <cell r="O298">
            <v>3000000</v>
          </cell>
          <cell r="S298">
            <v>13311</v>
          </cell>
          <cell r="T298" t="str">
            <v>NABZAR AHMED</v>
          </cell>
          <cell r="U298" t="str">
            <v>Ordinaire</v>
          </cell>
          <cell r="V298" t="str">
            <v>Reprise</v>
          </cell>
          <cell r="W298" t="str">
            <v>Dotations nouvelles</v>
          </cell>
          <cell r="X298" t="str">
            <v>Aucune</v>
          </cell>
          <cell r="Y298" t="str">
            <v>Prévu</v>
          </cell>
          <cell r="Z298" t="str">
            <v>Reprise</v>
          </cell>
        </row>
        <row r="299">
          <cell r="A299">
            <v>3019</v>
          </cell>
          <cell r="B299">
            <v>1</v>
          </cell>
          <cell r="C299" t="str">
            <v>IV23729</v>
          </cell>
          <cell r="D299" t="str">
            <v>RN DE QUATRE SURPRESSEURS POUR STATION DE SERVICE.</v>
          </cell>
          <cell r="E299" t="str">
            <v>Approuvé</v>
          </cell>
          <cell r="F299" t="str">
            <v>K11637</v>
          </cell>
          <cell r="G299">
            <v>2</v>
          </cell>
          <cell r="H299" t="str">
            <v>Reprise</v>
          </cell>
          <cell r="I299" t="str">
            <v>REPRISE</v>
          </cell>
          <cell r="J299" t="str">
            <v>Budgété</v>
          </cell>
          <cell r="K299">
            <v>80000</v>
          </cell>
          <cell r="L299">
            <v>80000</v>
          </cell>
          <cell r="O299">
            <v>63616.4</v>
          </cell>
          <cell r="P299">
            <v>16383.6</v>
          </cell>
          <cell r="S299">
            <v>13312</v>
          </cell>
          <cell r="T299" t="str">
            <v>NABZAR AHMED</v>
          </cell>
          <cell r="U299" t="str">
            <v>Ordinaire</v>
          </cell>
          <cell r="V299" t="str">
            <v>Reprise</v>
          </cell>
          <cell r="W299" t="str">
            <v>Renouvellement</v>
          </cell>
          <cell r="X299" t="str">
            <v>Aucune</v>
          </cell>
          <cell r="Y299" t="str">
            <v>Prévu</v>
          </cell>
          <cell r="Z299" t="str">
            <v>Reprise</v>
          </cell>
        </row>
        <row r="300">
          <cell r="A300">
            <v>3020</v>
          </cell>
          <cell r="B300">
            <v>1</v>
          </cell>
          <cell r="C300" t="str">
            <v>IV23733</v>
          </cell>
          <cell r="D300" t="str">
            <v>ACQUISITION DE DEUX MOTOPOMPES D'EPUISEMENT.</v>
          </cell>
          <cell r="E300" t="str">
            <v>Approuvé</v>
          </cell>
          <cell r="F300" t="str">
            <v>K11701</v>
          </cell>
          <cell r="G300">
            <v>2</v>
          </cell>
          <cell r="H300" t="str">
            <v>Reprise</v>
          </cell>
          <cell r="I300" t="str">
            <v>REPRISE</v>
          </cell>
          <cell r="J300" t="str">
            <v>Budgété</v>
          </cell>
          <cell r="K300">
            <v>208920</v>
          </cell>
          <cell r="L300">
            <v>208920</v>
          </cell>
          <cell r="O300">
            <v>120000</v>
          </cell>
          <cell r="P300">
            <v>88920</v>
          </cell>
          <cell r="S300">
            <v>13313</v>
          </cell>
          <cell r="T300" t="str">
            <v>NABZAR AHMED</v>
          </cell>
          <cell r="U300" t="str">
            <v>Ordinaire</v>
          </cell>
          <cell r="V300" t="str">
            <v>Reprise</v>
          </cell>
          <cell r="W300" t="str">
            <v>Dotations nouvelles</v>
          </cell>
          <cell r="X300" t="str">
            <v>Aucune</v>
          </cell>
          <cell r="Y300" t="str">
            <v>Prévu</v>
          </cell>
          <cell r="Z300" t="str">
            <v>Reprise</v>
          </cell>
        </row>
        <row r="301">
          <cell r="A301">
            <v>3021</v>
          </cell>
          <cell r="B301">
            <v>1</v>
          </cell>
          <cell r="C301" t="str">
            <v>IV23734</v>
          </cell>
          <cell r="D301" t="str">
            <v>ACHAT DE 30 MOTEURS ELECTRIQUES B.T POUR LES INSTALLATIONS DE PMK/TB</v>
          </cell>
          <cell r="E301" t="str">
            <v>Approuvé</v>
          </cell>
          <cell r="F301" t="str">
            <v>K04110</v>
          </cell>
          <cell r="G301">
            <v>2</v>
          </cell>
          <cell r="H301" t="str">
            <v>Reprise</v>
          </cell>
          <cell r="I301" t="str">
            <v>REPRISE</v>
          </cell>
          <cell r="J301" t="str">
            <v>Budgété</v>
          </cell>
          <cell r="K301">
            <v>470000</v>
          </cell>
          <cell r="L301">
            <v>470000</v>
          </cell>
          <cell r="O301">
            <v>470000</v>
          </cell>
          <cell r="S301">
            <v>13314</v>
          </cell>
          <cell r="T301" t="str">
            <v>NABZAR AHMED</v>
          </cell>
          <cell r="U301" t="str">
            <v>Ordinaire</v>
          </cell>
          <cell r="V301" t="str">
            <v>Reprise</v>
          </cell>
          <cell r="W301" t="str">
            <v>Dotations nouvelles</v>
          </cell>
          <cell r="X301" t="str">
            <v>Aucune</v>
          </cell>
          <cell r="Y301" t="str">
            <v>Prévu</v>
          </cell>
          <cell r="Z301" t="str">
            <v>Reprise</v>
          </cell>
        </row>
        <row r="302">
          <cell r="A302">
            <v>3022</v>
          </cell>
          <cell r="B302">
            <v>1</v>
          </cell>
          <cell r="C302" t="str">
            <v>IV23736</v>
          </cell>
          <cell r="D302" t="str">
            <v>RN DE TROIS GROUPES ELECTROPOMPES POUR LES FORAGES.</v>
          </cell>
          <cell r="E302" t="str">
            <v>Approuvé</v>
          </cell>
          <cell r="F302" t="str">
            <v>K11700</v>
          </cell>
          <cell r="G302">
            <v>2</v>
          </cell>
          <cell r="H302" t="str">
            <v>Reprise</v>
          </cell>
          <cell r="I302" t="str">
            <v>REPRISE</v>
          </cell>
          <cell r="J302" t="str">
            <v>Budgété</v>
          </cell>
          <cell r="K302">
            <v>637096</v>
          </cell>
          <cell r="L302">
            <v>637096</v>
          </cell>
          <cell r="O302">
            <v>400000</v>
          </cell>
          <cell r="P302">
            <v>237096</v>
          </cell>
          <cell r="S302">
            <v>13315</v>
          </cell>
          <cell r="T302" t="str">
            <v>NABZAR AHMED</v>
          </cell>
          <cell r="U302" t="str">
            <v>Ordinaire</v>
          </cell>
          <cell r="V302" t="str">
            <v>Reprise</v>
          </cell>
          <cell r="W302" t="str">
            <v>Renouvellement</v>
          </cell>
          <cell r="X302" t="str">
            <v>Aucune</v>
          </cell>
          <cell r="Y302" t="str">
            <v>Prévu</v>
          </cell>
          <cell r="Z302" t="str">
            <v>Reprise</v>
          </cell>
        </row>
        <row r="303">
          <cell r="A303">
            <v>3023</v>
          </cell>
          <cell r="B303">
            <v>1</v>
          </cell>
          <cell r="C303" t="str">
            <v>IV23740</v>
          </cell>
          <cell r="D303" t="str">
            <v>RN DE SIX CHARGEURS DE BATTERIES 120VCC.</v>
          </cell>
          <cell r="E303" t="str">
            <v>Approuvé</v>
          </cell>
          <cell r="F303" t="str">
            <v>K11701</v>
          </cell>
          <cell r="G303">
            <v>2</v>
          </cell>
          <cell r="H303" t="str">
            <v>Reprise</v>
          </cell>
          <cell r="I303" t="str">
            <v>REPRISE</v>
          </cell>
          <cell r="J303" t="str">
            <v>Budgété</v>
          </cell>
          <cell r="K303">
            <v>480000</v>
          </cell>
          <cell r="L303">
            <v>480000</v>
          </cell>
          <cell r="O303">
            <v>480000</v>
          </cell>
          <cell r="S303">
            <v>13316</v>
          </cell>
          <cell r="T303" t="str">
            <v>NABZAR AHMED</v>
          </cell>
          <cell r="U303" t="str">
            <v>Ordinaire</v>
          </cell>
          <cell r="V303" t="str">
            <v>Reprise</v>
          </cell>
          <cell r="W303" t="str">
            <v>Renouvellement</v>
          </cell>
          <cell r="X303" t="str">
            <v>Aucune</v>
          </cell>
          <cell r="Y303" t="str">
            <v>Prévu</v>
          </cell>
          <cell r="Z303" t="str">
            <v>Reprise</v>
          </cell>
        </row>
        <row r="304">
          <cell r="A304">
            <v>3024</v>
          </cell>
          <cell r="B304">
            <v>1</v>
          </cell>
          <cell r="C304" t="str">
            <v>IV23742</v>
          </cell>
          <cell r="D304" t="str">
            <v>ACQUISITION DE ONZE CHAUFFES EAU ELECTRIQUES.</v>
          </cell>
          <cell r="E304" t="str">
            <v>Approuvé</v>
          </cell>
          <cell r="F304" t="str">
            <v>K11718</v>
          </cell>
          <cell r="G304">
            <v>2</v>
          </cell>
          <cell r="H304" t="str">
            <v>Reprise</v>
          </cell>
          <cell r="I304" t="str">
            <v>REPRISE</v>
          </cell>
          <cell r="J304" t="str">
            <v>Budgété</v>
          </cell>
          <cell r="K304">
            <v>68590</v>
          </cell>
          <cell r="L304">
            <v>68590</v>
          </cell>
          <cell r="O304">
            <v>50000</v>
          </cell>
          <cell r="P304">
            <v>18590</v>
          </cell>
          <cell r="S304">
            <v>13317</v>
          </cell>
          <cell r="T304" t="str">
            <v>NABZAR AHMED</v>
          </cell>
          <cell r="U304" t="str">
            <v>Ordinaire</v>
          </cell>
          <cell r="V304" t="str">
            <v>Reprise</v>
          </cell>
          <cell r="W304" t="str">
            <v>Dotations nouvelles</v>
          </cell>
          <cell r="X304" t="str">
            <v>Aucune</v>
          </cell>
          <cell r="Y304" t="str">
            <v>Prévu</v>
          </cell>
          <cell r="Z304" t="str">
            <v>Reprise</v>
          </cell>
        </row>
        <row r="305">
          <cell r="A305">
            <v>3025</v>
          </cell>
          <cell r="B305">
            <v>1</v>
          </cell>
          <cell r="C305" t="str">
            <v>IV23743</v>
          </cell>
          <cell r="D305" t="str">
            <v>RN DE CINQ DISJONCTEURS SF6.</v>
          </cell>
          <cell r="E305" t="str">
            <v>Approuvé</v>
          </cell>
          <cell r="F305" t="str">
            <v>K11706</v>
          </cell>
          <cell r="G305">
            <v>2</v>
          </cell>
          <cell r="H305" t="str">
            <v>Reprise</v>
          </cell>
          <cell r="I305" t="str">
            <v>REPRISE</v>
          </cell>
          <cell r="J305" t="str">
            <v>Budgété</v>
          </cell>
          <cell r="K305">
            <v>2000000</v>
          </cell>
          <cell r="L305">
            <v>2000000</v>
          </cell>
          <cell r="O305">
            <v>2000000</v>
          </cell>
          <cell r="S305">
            <v>13318</v>
          </cell>
          <cell r="T305" t="str">
            <v>NABZAR AHMED</v>
          </cell>
          <cell r="U305" t="str">
            <v>Ordinaire</v>
          </cell>
          <cell r="V305" t="str">
            <v>Reprise</v>
          </cell>
          <cell r="W305" t="str">
            <v>Renouvellement</v>
          </cell>
          <cell r="X305" t="str">
            <v>Aucune</v>
          </cell>
          <cell r="Y305" t="str">
            <v>Prévu</v>
          </cell>
          <cell r="Z305" t="str">
            <v>Reprise</v>
          </cell>
        </row>
        <row r="306">
          <cell r="A306">
            <v>3026</v>
          </cell>
          <cell r="B306">
            <v>1</v>
          </cell>
          <cell r="C306" t="str">
            <v>IV23745</v>
          </cell>
          <cell r="D306" t="str">
            <v>ACQUISITION D'UN TRANSFORMATEUR DE PUISSANCE 10 MVA.</v>
          </cell>
          <cell r="E306" t="str">
            <v>Approuvé</v>
          </cell>
          <cell r="F306" t="str">
            <v>K11706</v>
          </cell>
          <cell r="G306">
            <v>2</v>
          </cell>
          <cell r="H306" t="str">
            <v>Reprise</v>
          </cell>
          <cell r="I306" t="str">
            <v>REPRISE</v>
          </cell>
          <cell r="J306" t="str">
            <v>Budgété</v>
          </cell>
          <cell r="K306">
            <v>1500000</v>
          </cell>
          <cell r="L306">
            <v>1500000</v>
          </cell>
          <cell r="O306">
            <v>1500000</v>
          </cell>
          <cell r="S306">
            <v>13319</v>
          </cell>
          <cell r="T306" t="str">
            <v>NABZAR AHMED</v>
          </cell>
          <cell r="U306" t="str">
            <v>Ordinaire</v>
          </cell>
          <cell r="V306" t="str">
            <v>Reprise</v>
          </cell>
          <cell r="W306" t="str">
            <v>Dotations nouvelles</v>
          </cell>
          <cell r="X306" t="str">
            <v>Aucune</v>
          </cell>
          <cell r="Y306" t="str">
            <v>Prévu</v>
          </cell>
          <cell r="Z306" t="str">
            <v>Reprise</v>
          </cell>
        </row>
        <row r="307">
          <cell r="A307">
            <v>3027</v>
          </cell>
          <cell r="B307">
            <v>1</v>
          </cell>
          <cell r="C307" t="str">
            <v>IV23748</v>
          </cell>
          <cell r="D307" t="str">
            <v>MATERIEL ET LIGNES ELECTRIQUES</v>
          </cell>
          <cell r="E307" t="str">
            <v>Approuvé</v>
          </cell>
          <cell r="F307" t="str">
            <v>K07121</v>
          </cell>
          <cell r="G307">
            <v>2</v>
          </cell>
          <cell r="H307" t="str">
            <v>Reprise</v>
          </cell>
          <cell r="I307" t="str">
            <v>REPRISE</v>
          </cell>
          <cell r="J307" t="str">
            <v>Budgété</v>
          </cell>
          <cell r="K307">
            <v>1600000</v>
          </cell>
          <cell r="L307">
            <v>1600000</v>
          </cell>
          <cell r="O307">
            <v>1600000</v>
          </cell>
          <cell r="S307">
            <v>13320</v>
          </cell>
          <cell r="T307" t="str">
            <v>NABZAR AHMED</v>
          </cell>
          <cell r="U307" t="str">
            <v>Ordinaire</v>
          </cell>
          <cell r="V307" t="str">
            <v>Reprise</v>
          </cell>
          <cell r="W307" t="str">
            <v>Dotations nouvelles</v>
          </cell>
          <cell r="X307" t="str">
            <v>Aucune</v>
          </cell>
          <cell r="Y307" t="str">
            <v>Prévu</v>
          </cell>
          <cell r="Z307" t="str">
            <v>Reprise</v>
          </cell>
        </row>
        <row r="308">
          <cell r="A308">
            <v>3028</v>
          </cell>
          <cell r="B308">
            <v>1</v>
          </cell>
          <cell r="C308" t="str">
            <v>IV23750</v>
          </cell>
          <cell r="D308" t="str">
            <v>MATERIEL DIVERS A CARACTERE MEDICALE</v>
          </cell>
          <cell r="E308" t="str">
            <v>Approuvé</v>
          </cell>
          <cell r="F308" t="str">
            <v>K07202</v>
          </cell>
          <cell r="G308">
            <v>2</v>
          </cell>
          <cell r="H308" t="str">
            <v>Reprise</v>
          </cell>
          <cell r="I308" t="str">
            <v>REPRISE</v>
          </cell>
          <cell r="J308" t="str">
            <v>Budgété</v>
          </cell>
          <cell r="K308">
            <v>30000</v>
          </cell>
          <cell r="L308">
            <v>30000</v>
          </cell>
          <cell r="O308">
            <v>30000</v>
          </cell>
          <cell r="S308">
            <v>13321</v>
          </cell>
          <cell r="T308" t="str">
            <v>NABZAR AHMED</v>
          </cell>
          <cell r="U308" t="str">
            <v>Médical</v>
          </cell>
          <cell r="V308" t="str">
            <v>Reprise</v>
          </cell>
          <cell r="W308" t="str">
            <v>Dotations nouvelles</v>
          </cell>
          <cell r="X308" t="str">
            <v>Aucune</v>
          </cell>
          <cell r="Y308" t="str">
            <v>Prévu</v>
          </cell>
          <cell r="Z308" t="str">
            <v>Reprise</v>
          </cell>
        </row>
        <row r="309">
          <cell r="A309">
            <v>3029</v>
          </cell>
          <cell r="B309">
            <v>1</v>
          </cell>
          <cell r="C309" t="str">
            <v>IV23751</v>
          </cell>
          <cell r="D309" t="str">
            <v>MATERIEL ET LIGNES ELECTRIQUES</v>
          </cell>
          <cell r="E309" t="str">
            <v>Approuvé</v>
          </cell>
          <cell r="F309" t="str">
            <v>K07211</v>
          </cell>
          <cell r="G309">
            <v>2</v>
          </cell>
          <cell r="H309" t="str">
            <v>Reprise</v>
          </cell>
          <cell r="I309" t="str">
            <v>REPRISE</v>
          </cell>
          <cell r="J309" t="str">
            <v>Budgété</v>
          </cell>
          <cell r="K309">
            <v>31968</v>
          </cell>
          <cell r="L309">
            <v>31968</v>
          </cell>
          <cell r="O309">
            <v>18000</v>
          </cell>
          <cell r="P309">
            <v>13968</v>
          </cell>
          <cell r="S309">
            <v>13322</v>
          </cell>
          <cell r="T309" t="str">
            <v>NABZAR AHMED</v>
          </cell>
          <cell r="U309" t="str">
            <v>Ordinaire</v>
          </cell>
          <cell r="V309" t="str">
            <v>Reprise</v>
          </cell>
          <cell r="W309" t="str">
            <v>Renouvellement</v>
          </cell>
          <cell r="X309" t="str">
            <v>Aucune</v>
          </cell>
          <cell r="Y309" t="str">
            <v>Prévu</v>
          </cell>
          <cell r="Z309" t="str">
            <v>Reprise</v>
          </cell>
        </row>
        <row r="310">
          <cell r="A310">
            <v>3030</v>
          </cell>
          <cell r="B310">
            <v>1</v>
          </cell>
          <cell r="C310" t="str">
            <v>IV23752</v>
          </cell>
          <cell r="D310" t="str">
            <v>02 GROUPES MOTOPOMPES D'ALIMENTATION DES FOURS SECHEURS EN FUEL A BENI-IDIR</v>
          </cell>
          <cell r="E310" t="str">
            <v>Approuvé</v>
          </cell>
          <cell r="F310" t="str">
            <v>K04114</v>
          </cell>
          <cell r="G310">
            <v>2</v>
          </cell>
          <cell r="H310" t="str">
            <v>Reprise</v>
          </cell>
          <cell r="I310" t="str">
            <v>REPRISE</v>
          </cell>
          <cell r="J310" t="str">
            <v>Budgété</v>
          </cell>
          <cell r="K310">
            <v>400000</v>
          </cell>
          <cell r="L310">
            <v>400000</v>
          </cell>
          <cell r="O310">
            <v>400000</v>
          </cell>
          <cell r="S310">
            <v>13323</v>
          </cell>
          <cell r="T310" t="str">
            <v>NABZAR AHMED</v>
          </cell>
          <cell r="U310" t="str">
            <v>Ordinaire</v>
          </cell>
          <cell r="V310" t="str">
            <v>Reprise</v>
          </cell>
          <cell r="W310" t="str">
            <v>Renouvellement</v>
          </cell>
          <cell r="X310" t="str">
            <v>Aucune</v>
          </cell>
          <cell r="Y310" t="str">
            <v>Prévu</v>
          </cell>
          <cell r="Z310" t="str">
            <v>Reprise</v>
          </cell>
        </row>
        <row r="311">
          <cell r="A311">
            <v>3031</v>
          </cell>
          <cell r="B311">
            <v>1</v>
          </cell>
          <cell r="C311" t="str">
            <v>IV23753</v>
          </cell>
          <cell r="D311" t="str">
            <v>04 GROUPES MOTOPOMPES DES CHAINES DE DEMINERALISATION DE L'UNITE DE BENI-IDIR</v>
          </cell>
          <cell r="E311" t="str">
            <v>Approuvé</v>
          </cell>
          <cell r="F311" t="str">
            <v>K04114</v>
          </cell>
          <cell r="G311">
            <v>2</v>
          </cell>
          <cell r="H311" t="str">
            <v>Reprise</v>
          </cell>
          <cell r="I311" t="str">
            <v>REPRISE</v>
          </cell>
          <cell r="J311" t="str">
            <v>Budgété</v>
          </cell>
          <cell r="K311">
            <v>400000</v>
          </cell>
          <cell r="L311">
            <v>400000</v>
          </cell>
          <cell r="O311">
            <v>400000</v>
          </cell>
          <cell r="S311">
            <v>13324</v>
          </cell>
          <cell r="T311" t="str">
            <v>NABZAR AHMED</v>
          </cell>
          <cell r="U311" t="str">
            <v>Ordinaire</v>
          </cell>
          <cell r="V311" t="str">
            <v>Reprise</v>
          </cell>
          <cell r="W311" t="str">
            <v>Renouvellement</v>
          </cell>
          <cell r="X311" t="str">
            <v>Aucune</v>
          </cell>
          <cell r="Y311" t="str">
            <v>Prévu</v>
          </cell>
          <cell r="Z311" t="str">
            <v>Reprise</v>
          </cell>
        </row>
        <row r="312">
          <cell r="A312">
            <v>3032</v>
          </cell>
          <cell r="B312">
            <v>1</v>
          </cell>
          <cell r="C312" t="str">
            <v>IV23754</v>
          </cell>
          <cell r="D312" t="str">
            <v>08 GROUPES MOTOPOMPES DU CIRCUIT D'ALIMENTATION EN FUEL DES CHAUDIERES DE L'UNITE DE BENI-IDIR</v>
          </cell>
          <cell r="E312" t="str">
            <v>Approuvé</v>
          </cell>
          <cell r="F312" t="str">
            <v>K04114</v>
          </cell>
          <cell r="G312">
            <v>2</v>
          </cell>
          <cell r="H312" t="str">
            <v>Reprise</v>
          </cell>
          <cell r="I312" t="str">
            <v>REPRISE</v>
          </cell>
          <cell r="J312" t="str">
            <v>Budgété</v>
          </cell>
          <cell r="K312">
            <v>440000</v>
          </cell>
          <cell r="L312">
            <v>440000</v>
          </cell>
          <cell r="O312">
            <v>440000</v>
          </cell>
          <cell r="S312">
            <v>13325</v>
          </cell>
          <cell r="T312" t="str">
            <v>NABZAR AHMED</v>
          </cell>
          <cell r="U312" t="str">
            <v>Ordinaire</v>
          </cell>
          <cell r="V312" t="str">
            <v>Reprise</v>
          </cell>
          <cell r="W312" t="str">
            <v>Renouvellement</v>
          </cell>
          <cell r="X312" t="str">
            <v>Aucune</v>
          </cell>
          <cell r="Y312" t="str">
            <v>Prévu</v>
          </cell>
          <cell r="Z312" t="str">
            <v>Reprise</v>
          </cell>
        </row>
        <row r="313">
          <cell r="A313">
            <v>3033</v>
          </cell>
          <cell r="B313">
            <v>1</v>
          </cell>
          <cell r="C313" t="str">
            <v>IV23755</v>
          </cell>
          <cell r="D313" t="str">
            <v>MATERIEL DE LEVAGE ET DE MANUTENTION</v>
          </cell>
          <cell r="E313" t="str">
            <v>Approuvé</v>
          </cell>
          <cell r="F313" t="str">
            <v>K07209</v>
          </cell>
          <cell r="G313">
            <v>2</v>
          </cell>
          <cell r="H313" t="str">
            <v>Reprise</v>
          </cell>
          <cell r="I313" t="str">
            <v>REPRISE</v>
          </cell>
          <cell r="J313" t="str">
            <v>Budgété</v>
          </cell>
          <cell r="K313">
            <v>32160</v>
          </cell>
          <cell r="L313">
            <v>32160</v>
          </cell>
          <cell r="O313">
            <v>13000</v>
          </cell>
          <cell r="P313">
            <v>19160</v>
          </cell>
          <cell r="S313">
            <v>13326</v>
          </cell>
          <cell r="T313" t="str">
            <v>NABZAR AHMED</v>
          </cell>
          <cell r="U313" t="str">
            <v>Ordinaire</v>
          </cell>
          <cell r="V313" t="str">
            <v>Reprise</v>
          </cell>
          <cell r="W313" t="str">
            <v>Renouvellement</v>
          </cell>
          <cell r="X313" t="str">
            <v>Aucune</v>
          </cell>
          <cell r="Y313" t="str">
            <v>Prévu</v>
          </cell>
          <cell r="Z313" t="str">
            <v>Reprise</v>
          </cell>
        </row>
        <row r="314">
          <cell r="A314">
            <v>3034</v>
          </cell>
          <cell r="B314">
            <v>1</v>
          </cell>
          <cell r="C314" t="str">
            <v>IV23756</v>
          </cell>
          <cell r="D314" t="str">
            <v>MATERIEL DIVERS A CARACTERE ADMINISTRATIF</v>
          </cell>
          <cell r="E314" t="str">
            <v>Approuvé</v>
          </cell>
          <cell r="F314" t="str">
            <v>K07019</v>
          </cell>
          <cell r="G314">
            <v>2</v>
          </cell>
          <cell r="H314" t="str">
            <v>Reprise</v>
          </cell>
          <cell r="I314" t="str">
            <v>REPRISE</v>
          </cell>
          <cell r="J314" t="str">
            <v>Budgété</v>
          </cell>
          <cell r="K314">
            <v>58000</v>
          </cell>
          <cell r="L314">
            <v>58000</v>
          </cell>
          <cell r="O314">
            <v>58000</v>
          </cell>
          <cell r="S314">
            <v>13327</v>
          </cell>
          <cell r="T314" t="str">
            <v>NABZAR AHMED</v>
          </cell>
          <cell r="U314" t="str">
            <v>Administratif</v>
          </cell>
          <cell r="V314" t="str">
            <v>Reprise</v>
          </cell>
          <cell r="W314" t="str">
            <v>Dotations nouvelles</v>
          </cell>
          <cell r="X314" t="str">
            <v>Aucune</v>
          </cell>
          <cell r="Y314" t="str">
            <v>Prévu</v>
          </cell>
          <cell r="Z314" t="str">
            <v>Reprise</v>
          </cell>
        </row>
        <row r="315">
          <cell r="A315">
            <v>3035</v>
          </cell>
          <cell r="B315">
            <v>1</v>
          </cell>
          <cell r="C315" t="str">
            <v>IV23757</v>
          </cell>
          <cell r="D315" t="str">
            <v>MATERIEL DIVERS A CARACTERE ADMINISTRATIF</v>
          </cell>
          <cell r="E315" t="str">
            <v>Approuvé</v>
          </cell>
          <cell r="F315" t="str">
            <v>K07019</v>
          </cell>
          <cell r="G315">
            <v>2</v>
          </cell>
          <cell r="H315" t="str">
            <v>Reprise</v>
          </cell>
          <cell r="I315" t="str">
            <v>REPRISE</v>
          </cell>
          <cell r="J315" t="str">
            <v>Budgété</v>
          </cell>
          <cell r="K315">
            <v>18000</v>
          </cell>
          <cell r="L315">
            <v>18000</v>
          </cell>
          <cell r="O315">
            <v>18000</v>
          </cell>
          <cell r="S315">
            <v>13328</v>
          </cell>
          <cell r="T315" t="str">
            <v>NABZAR AHMED</v>
          </cell>
          <cell r="U315" t="str">
            <v>Administratif</v>
          </cell>
          <cell r="V315" t="str">
            <v>Reprise</v>
          </cell>
          <cell r="W315" t="str">
            <v>Dotations nouvelles</v>
          </cell>
          <cell r="X315" t="str">
            <v>Aucune</v>
          </cell>
          <cell r="Y315" t="str">
            <v>Prévu</v>
          </cell>
          <cell r="Z315" t="str">
            <v>Reprise</v>
          </cell>
        </row>
        <row r="316">
          <cell r="A316">
            <v>3036</v>
          </cell>
          <cell r="B316">
            <v>1</v>
          </cell>
          <cell r="C316" t="str">
            <v>IV23759</v>
          </cell>
          <cell r="D316" t="str">
            <v>MATERIEL DIVERS A CARACTERE ADMINISTRATIF</v>
          </cell>
          <cell r="E316" t="str">
            <v>Approuvé</v>
          </cell>
          <cell r="F316" t="str">
            <v>K07131</v>
          </cell>
          <cell r="G316">
            <v>2</v>
          </cell>
          <cell r="H316" t="str">
            <v>Reprise</v>
          </cell>
          <cell r="I316" t="str">
            <v>REPRISE</v>
          </cell>
          <cell r="J316" t="str">
            <v>Budgété</v>
          </cell>
          <cell r="K316">
            <v>52000</v>
          </cell>
          <cell r="L316">
            <v>52000</v>
          </cell>
          <cell r="O316">
            <v>52000</v>
          </cell>
          <cell r="S316">
            <v>13329</v>
          </cell>
          <cell r="T316" t="str">
            <v>NABZAR AHMED</v>
          </cell>
          <cell r="U316" t="str">
            <v>Administratif</v>
          </cell>
          <cell r="V316" t="str">
            <v>Reprise</v>
          </cell>
          <cell r="W316" t="str">
            <v>Dotations nouvelles</v>
          </cell>
          <cell r="X316" t="str">
            <v>Aucune</v>
          </cell>
          <cell r="Y316" t="str">
            <v>Prévu</v>
          </cell>
          <cell r="Z316" t="str">
            <v>Reprise</v>
          </cell>
        </row>
        <row r="317">
          <cell r="A317">
            <v>3037</v>
          </cell>
          <cell r="B317">
            <v>1</v>
          </cell>
          <cell r="C317" t="str">
            <v>IV23760</v>
          </cell>
          <cell r="D317" t="str">
            <v>MATERIEL DIVERS A CARACTERE ADMINISTRATIF</v>
          </cell>
          <cell r="E317" t="str">
            <v>Approuvé</v>
          </cell>
          <cell r="F317" t="str">
            <v>K07029</v>
          </cell>
          <cell r="G317">
            <v>2</v>
          </cell>
          <cell r="H317" t="str">
            <v>Reprise</v>
          </cell>
          <cell r="I317" t="str">
            <v>REPRISE</v>
          </cell>
          <cell r="J317" t="str">
            <v>Budgété</v>
          </cell>
          <cell r="K317">
            <v>29000</v>
          </cell>
          <cell r="L317">
            <v>29000</v>
          </cell>
          <cell r="O317">
            <v>29000</v>
          </cell>
          <cell r="S317">
            <v>13330</v>
          </cell>
          <cell r="T317" t="str">
            <v>NABZAR AHMED</v>
          </cell>
          <cell r="U317" t="str">
            <v>Administratif</v>
          </cell>
          <cell r="V317" t="str">
            <v>Reprise</v>
          </cell>
          <cell r="W317" t="str">
            <v>Dotations nouvelles</v>
          </cell>
          <cell r="X317" t="str">
            <v>Aucune</v>
          </cell>
          <cell r="Y317" t="str">
            <v>Prévu</v>
          </cell>
          <cell r="Z317" t="str">
            <v>Reprise</v>
          </cell>
        </row>
        <row r="318">
          <cell r="A318">
            <v>3038</v>
          </cell>
          <cell r="B318">
            <v>1</v>
          </cell>
          <cell r="C318" t="str">
            <v>IV23761</v>
          </cell>
          <cell r="D318" t="str">
            <v>MATERIEL DIVERS A CARACTERE ADMINISTRATF</v>
          </cell>
          <cell r="E318" t="str">
            <v>Approuvé</v>
          </cell>
          <cell r="F318" t="str">
            <v>K07202</v>
          </cell>
          <cell r="G318">
            <v>2</v>
          </cell>
          <cell r="H318" t="str">
            <v>Reprise</v>
          </cell>
          <cell r="I318" t="str">
            <v>REPRISE</v>
          </cell>
          <cell r="J318" t="str">
            <v>Budgété</v>
          </cell>
          <cell r="K318">
            <v>8000</v>
          </cell>
          <cell r="L318">
            <v>8000</v>
          </cell>
          <cell r="O318">
            <v>8000</v>
          </cell>
          <cell r="S318">
            <v>13331</v>
          </cell>
          <cell r="T318" t="str">
            <v>NABZAR AHMED</v>
          </cell>
          <cell r="U318" t="str">
            <v>Administratif</v>
          </cell>
          <cell r="V318" t="str">
            <v>Reprise</v>
          </cell>
          <cell r="W318" t="str">
            <v>Dotations nouvelles</v>
          </cell>
          <cell r="X318" t="str">
            <v>Aucune</v>
          </cell>
          <cell r="Y318" t="str">
            <v>Prévu</v>
          </cell>
          <cell r="Z318" t="str">
            <v>Reprise</v>
          </cell>
        </row>
        <row r="319">
          <cell r="A319">
            <v>3039</v>
          </cell>
          <cell r="B319">
            <v>1</v>
          </cell>
          <cell r="C319" t="str">
            <v>IV23762</v>
          </cell>
          <cell r="D319" t="str">
            <v>MATERIEL DIVERS A CARACTERE ADMINISTRATIF</v>
          </cell>
          <cell r="E319" t="str">
            <v>Approuvé</v>
          </cell>
          <cell r="F319" t="str">
            <v>K07019</v>
          </cell>
          <cell r="G319">
            <v>2</v>
          </cell>
          <cell r="H319" t="str">
            <v>Reprise</v>
          </cell>
          <cell r="I319" t="str">
            <v>REPRISE</v>
          </cell>
          <cell r="J319" t="str">
            <v>Budgété</v>
          </cell>
          <cell r="K319">
            <v>77908.800000000003</v>
          </cell>
          <cell r="L319">
            <v>77908.800000000003</v>
          </cell>
          <cell r="O319">
            <v>43000</v>
          </cell>
          <cell r="P319">
            <v>34908.800000000003</v>
          </cell>
          <cell r="S319">
            <v>13332</v>
          </cell>
          <cell r="T319" t="str">
            <v>NABZAR AHMED</v>
          </cell>
          <cell r="U319" t="str">
            <v>Administratif</v>
          </cell>
          <cell r="V319" t="str">
            <v>Reprise</v>
          </cell>
          <cell r="W319" t="str">
            <v>Dotations nouvelles</v>
          </cell>
          <cell r="X319" t="str">
            <v>Aucune</v>
          </cell>
          <cell r="Y319" t="str">
            <v>Prévu</v>
          </cell>
          <cell r="Z319" t="str">
            <v>Reprise</v>
          </cell>
        </row>
        <row r="320">
          <cell r="A320">
            <v>3040</v>
          </cell>
          <cell r="B320">
            <v>1</v>
          </cell>
          <cell r="C320" t="str">
            <v>IV23764</v>
          </cell>
          <cell r="D320" t="str">
            <v>MATERIEL DIVERS A CARACTERE ADMINISTRATIF</v>
          </cell>
          <cell r="E320" t="str">
            <v>Approuvé</v>
          </cell>
          <cell r="F320" t="str">
            <v>K07019</v>
          </cell>
          <cell r="G320">
            <v>2</v>
          </cell>
          <cell r="H320" t="str">
            <v>Reprise</v>
          </cell>
          <cell r="I320" t="str">
            <v>REPRISE</v>
          </cell>
          <cell r="J320" t="str">
            <v>Budgété</v>
          </cell>
          <cell r="K320">
            <v>24140</v>
          </cell>
          <cell r="L320">
            <v>24140</v>
          </cell>
          <cell r="O320">
            <v>15500</v>
          </cell>
          <cell r="P320">
            <v>8640</v>
          </cell>
          <cell r="S320">
            <v>13333</v>
          </cell>
          <cell r="T320" t="str">
            <v>NABZAR AHMED</v>
          </cell>
          <cell r="U320" t="str">
            <v>Administratif</v>
          </cell>
          <cell r="V320" t="str">
            <v>Reprise</v>
          </cell>
          <cell r="W320" t="str">
            <v>Dotations nouvelles</v>
          </cell>
          <cell r="X320" t="str">
            <v>Aucune</v>
          </cell>
          <cell r="Y320" t="str">
            <v>Prévu</v>
          </cell>
          <cell r="Z320" t="str">
            <v>Reprise</v>
          </cell>
        </row>
        <row r="321">
          <cell r="A321">
            <v>3041</v>
          </cell>
          <cell r="B321">
            <v>1</v>
          </cell>
          <cell r="C321" t="str">
            <v>IV23780</v>
          </cell>
          <cell r="D321" t="str">
            <v>ACHAT DE 3 REDUCTEURS DE VITESSE POUR LES INSTALLATIONS DE CHARGEMENT DES TRAINS DE BENI-IDIR</v>
          </cell>
          <cell r="E321" t="str">
            <v>Approuvé</v>
          </cell>
          <cell r="F321" t="str">
            <v>K04113</v>
          </cell>
          <cell r="G321">
            <v>2</v>
          </cell>
          <cell r="H321" t="str">
            <v>Reprise</v>
          </cell>
          <cell r="I321" t="str">
            <v>REPRISE</v>
          </cell>
          <cell r="J321" t="str">
            <v>Budgété</v>
          </cell>
          <cell r="K321">
            <v>1500000</v>
          </cell>
          <cell r="L321">
            <v>1500000</v>
          </cell>
          <cell r="O321">
            <v>1500000</v>
          </cell>
          <cell r="S321">
            <v>13334</v>
          </cell>
          <cell r="T321" t="str">
            <v>NABZAR AHMED</v>
          </cell>
          <cell r="U321" t="str">
            <v>Ordinaire</v>
          </cell>
          <cell r="V321" t="str">
            <v>Reprise</v>
          </cell>
          <cell r="W321" t="str">
            <v>Dotations nouvelles</v>
          </cell>
          <cell r="X321" t="str">
            <v>Aucune</v>
          </cell>
          <cell r="Y321" t="str">
            <v>Prévu</v>
          </cell>
          <cell r="Z321" t="str">
            <v>Reprise</v>
          </cell>
        </row>
        <row r="322">
          <cell r="A322">
            <v>3042</v>
          </cell>
          <cell r="B322">
            <v>1</v>
          </cell>
          <cell r="C322" t="str">
            <v>IV23783</v>
          </cell>
          <cell r="D322" t="str">
            <v>01 ENGIN CASEUR</v>
          </cell>
          <cell r="E322" t="str">
            <v>Non approuvé</v>
          </cell>
          <cell r="F322" t="str">
            <v>K03200</v>
          </cell>
          <cell r="G322">
            <v>2</v>
          </cell>
          <cell r="H322" t="str">
            <v>Reprise</v>
          </cell>
          <cell r="I322" t="str">
            <v>REPRISE</v>
          </cell>
          <cell r="J322" t="str">
            <v>Budgété</v>
          </cell>
          <cell r="K322">
            <v>10000000</v>
          </cell>
          <cell r="L322">
            <v>10000000</v>
          </cell>
          <cell r="O322">
            <v>10000000</v>
          </cell>
          <cell r="S322">
            <v>13335</v>
          </cell>
          <cell r="T322" t="str">
            <v>RAMZI ABDELKRIM</v>
          </cell>
          <cell r="U322" t="str">
            <v>Ordinaire</v>
          </cell>
          <cell r="V322" t="str">
            <v>Reprise</v>
          </cell>
          <cell r="W322" t="str">
            <v>Dotations nouvelles</v>
          </cell>
          <cell r="X322" t="str">
            <v>Aucune</v>
          </cell>
          <cell r="Y322" t="str">
            <v>Prévu</v>
          </cell>
          <cell r="Z322" t="str">
            <v>Reprise</v>
          </cell>
        </row>
        <row r="323">
          <cell r="A323">
            <v>3043</v>
          </cell>
          <cell r="B323">
            <v>1</v>
          </cell>
          <cell r="C323" t="str">
            <v>IV23784</v>
          </cell>
          <cell r="D323" t="str">
            <v>01 NIVELEUSE</v>
          </cell>
          <cell r="E323" t="str">
            <v>Approuvé</v>
          </cell>
          <cell r="F323" t="str">
            <v>K03845</v>
          </cell>
          <cell r="G323">
            <v>2</v>
          </cell>
          <cell r="H323" t="str">
            <v>Reprise</v>
          </cell>
          <cell r="I323" t="str">
            <v>REPRISE</v>
          </cell>
          <cell r="J323" t="str">
            <v>Budgété</v>
          </cell>
          <cell r="K323">
            <v>6000000</v>
          </cell>
          <cell r="L323">
            <v>6000000</v>
          </cell>
          <cell r="O323">
            <v>6000000</v>
          </cell>
          <cell r="S323">
            <v>13336</v>
          </cell>
          <cell r="T323" t="str">
            <v>EL KASSI SOUFIYANE</v>
          </cell>
          <cell r="U323" t="str">
            <v>Ordinaire</v>
          </cell>
          <cell r="V323" t="str">
            <v>Reprise</v>
          </cell>
          <cell r="W323" t="str">
            <v>Renouvellement</v>
          </cell>
          <cell r="X323" t="str">
            <v>Aucune</v>
          </cell>
          <cell r="Y323" t="str">
            <v>Prévu</v>
          </cell>
          <cell r="Z323" t="str">
            <v>Reprise</v>
          </cell>
        </row>
        <row r="324">
          <cell r="A324">
            <v>3044</v>
          </cell>
          <cell r="B324">
            <v>1</v>
          </cell>
          <cell r="C324" t="str">
            <v>IV23785</v>
          </cell>
          <cell r="D324" t="str">
            <v>01 PORTE CHARS</v>
          </cell>
          <cell r="E324" t="str">
            <v>Approuvé</v>
          </cell>
          <cell r="F324" t="str">
            <v>K03845</v>
          </cell>
          <cell r="G324">
            <v>2</v>
          </cell>
          <cell r="H324" t="str">
            <v>Reprise</v>
          </cell>
          <cell r="I324" t="str">
            <v>REPRISE</v>
          </cell>
          <cell r="J324" t="str">
            <v>Budgété</v>
          </cell>
          <cell r="K324">
            <v>8000000</v>
          </cell>
          <cell r="L324">
            <v>8000000</v>
          </cell>
          <cell r="O324">
            <v>8000000</v>
          </cell>
          <cell r="S324">
            <v>13337</v>
          </cell>
          <cell r="T324" t="str">
            <v>MAGHRAOUI Brahim</v>
          </cell>
          <cell r="U324" t="str">
            <v>Ordinaire</v>
          </cell>
          <cell r="V324" t="str">
            <v>Reprise</v>
          </cell>
          <cell r="W324" t="str">
            <v>Renouvellement</v>
          </cell>
          <cell r="X324" t="str">
            <v>Aucune</v>
          </cell>
          <cell r="Y324" t="str">
            <v>Prévu</v>
          </cell>
          <cell r="Z324" t="str">
            <v>Reprise</v>
          </cell>
        </row>
        <row r="325">
          <cell r="A325">
            <v>3045</v>
          </cell>
          <cell r="B325">
            <v>1</v>
          </cell>
          <cell r="C325" t="str">
            <v>IV23790</v>
          </cell>
          <cell r="D325" t="str">
            <v>04 BULLS GENRE D11</v>
          </cell>
          <cell r="E325" t="str">
            <v>Approuvé</v>
          </cell>
          <cell r="F325" t="str">
            <v>K03842</v>
          </cell>
          <cell r="G325">
            <v>2</v>
          </cell>
          <cell r="H325" t="str">
            <v>Reprise</v>
          </cell>
          <cell r="I325" t="str">
            <v>REPRISE</v>
          </cell>
          <cell r="J325" t="str">
            <v>Budgété</v>
          </cell>
          <cell r="K325">
            <v>67944000</v>
          </cell>
          <cell r="L325">
            <v>67944000</v>
          </cell>
          <cell r="O325">
            <v>36000000</v>
          </cell>
          <cell r="P325">
            <v>31944000</v>
          </cell>
          <cell r="S325">
            <v>13338</v>
          </cell>
          <cell r="T325" t="str">
            <v>NABZAR AHMED</v>
          </cell>
          <cell r="U325" t="str">
            <v>Ordinaire</v>
          </cell>
          <cell r="V325" t="str">
            <v>Reprise</v>
          </cell>
          <cell r="W325" t="str">
            <v>Dotations nouvelles</v>
          </cell>
          <cell r="X325" t="str">
            <v>Aucune</v>
          </cell>
          <cell r="Y325" t="str">
            <v>Prévu</v>
          </cell>
          <cell r="Z325" t="str">
            <v>Reprise</v>
          </cell>
        </row>
        <row r="326">
          <cell r="A326">
            <v>3046</v>
          </cell>
          <cell r="B326">
            <v>1</v>
          </cell>
          <cell r="C326" t="str">
            <v>IV23792</v>
          </cell>
          <cell r="D326" t="str">
            <v>04 MOTEURS THERMIQUES DIESEL 1600 HP</v>
          </cell>
          <cell r="E326" t="str">
            <v>Approuvé</v>
          </cell>
          <cell r="F326" t="str">
            <v>K03555</v>
          </cell>
          <cell r="G326">
            <v>3</v>
          </cell>
          <cell r="H326" t="str">
            <v>Report-2007</v>
          </cell>
          <cell r="I326" t="str">
            <v>REPORT</v>
          </cell>
          <cell r="J326" t="str">
            <v>Budgété</v>
          </cell>
          <cell r="K326">
            <v>5000000</v>
          </cell>
          <cell r="L326">
            <v>5000000</v>
          </cell>
          <cell r="M326">
            <v>5000000</v>
          </cell>
          <cell r="N326">
            <v>5000000</v>
          </cell>
          <cell r="O326">
            <v>0</v>
          </cell>
          <cell r="S326">
            <v>24342</v>
          </cell>
          <cell r="T326" t="str">
            <v>MAGHRAOUI Brahim</v>
          </cell>
          <cell r="U326" t="str">
            <v>Ordinaire</v>
          </cell>
          <cell r="V326" t="str">
            <v>Reprise</v>
          </cell>
          <cell r="W326" t="str">
            <v>Renouvellement</v>
          </cell>
          <cell r="X326" t="str">
            <v>Aucune</v>
          </cell>
          <cell r="Y326" t="str">
            <v>Prévu</v>
          </cell>
          <cell r="Z326" t="str">
            <v>Reprise</v>
          </cell>
        </row>
        <row r="327">
          <cell r="A327">
            <v>3047</v>
          </cell>
          <cell r="B327">
            <v>1</v>
          </cell>
          <cell r="C327" t="str">
            <v>IV23793</v>
          </cell>
          <cell r="D327" t="str">
            <v>04 MOTEURS THERMIQUES 1050 HP</v>
          </cell>
          <cell r="E327" t="str">
            <v>Approuvé</v>
          </cell>
          <cell r="F327" t="str">
            <v>K03555</v>
          </cell>
          <cell r="G327">
            <v>3</v>
          </cell>
          <cell r="H327" t="str">
            <v>Report-2007</v>
          </cell>
          <cell r="I327" t="str">
            <v>REPORT</v>
          </cell>
          <cell r="J327" t="str">
            <v>Budgété</v>
          </cell>
          <cell r="K327">
            <v>3200000</v>
          </cell>
          <cell r="L327">
            <v>3200000</v>
          </cell>
          <cell r="M327">
            <v>3200000</v>
          </cell>
          <cell r="N327">
            <v>3200000</v>
          </cell>
          <cell r="O327">
            <v>0</v>
          </cell>
          <cell r="S327">
            <v>24452</v>
          </cell>
          <cell r="T327" t="str">
            <v>MAGHRAOUI Brahim</v>
          </cell>
          <cell r="U327" t="str">
            <v>Ordinaire</v>
          </cell>
          <cell r="V327" t="str">
            <v>Reprise</v>
          </cell>
          <cell r="W327" t="str">
            <v>Renouvellement</v>
          </cell>
          <cell r="X327" t="str">
            <v>Aucune</v>
          </cell>
          <cell r="Y327" t="str">
            <v>Prévu</v>
          </cell>
          <cell r="Z327" t="str">
            <v>Reprise</v>
          </cell>
        </row>
        <row r="328">
          <cell r="A328">
            <v>3048</v>
          </cell>
          <cell r="B328">
            <v>1</v>
          </cell>
          <cell r="C328" t="str">
            <v>IV23795</v>
          </cell>
          <cell r="D328" t="str">
            <v>01 MOTEUR THERMIQUE DIESEL 250 HP</v>
          </cell>
          <cell r="E328" t="str">
            <v>Approuvé</v>
          </cell>
          <cell r="F328" t="str">
            <v>K03555</v>
          </cell>
          <cell r="G328">
            <v>2</v>
          </cell>
          <cell r="H328" t="str">
            <v>Reprise</v>
          </cell>
          <cell r="I328" t="str">
            <v>REPRISE</v>
          </cell>
          <cell r="J328" t="str">
            <v>Budgété</v>
          </cell>
          <cell r="K328">
            <v>800000</v>
          </cell>
          <cell r="L328">
            <v>800000</v>
          </cell>
          <cell r="O328">
            <v>800000</v>
          </cell>
          <cell r="S328">
            <v>13395</v>
          </cell>
          <cell r="T328" t="str">
            <v>MAGHRAOUI Brahim</v>
          </cell>
          <cell r="U328" t="str">
            <v>Ordinaire</v>
          </cell>
          <cell r="V328" t="str">
            <v>Reprise</v>
          </cell>
          <cell r="W328" t="str">
            <v>Renouvellement</v>
          </cell>
          <cell r="X328" t="str">
            <v>Aucune</v>
          </cell>
          <cell r="Y328" t="str">
            <v>Prévu</v>
          </cell>
          <cell r="Z328" t="str">
            <v>Reprise</v>
          </cell>
        </row>
        <row r="329">
          <cell r="A329">
            <v>3049</v>
          </cell>
          <cell r="B329">
            <v>1</v>
          </cell>
          <cell r="C329" t="str">
            <v>IV23796</v>
          </cell>
          <cell r="D329" t="str">
            <v>12 POSTES EMETEURS /RECEPTEURS</v>
          </cell>
          <cell r="E329" t="str">
            <v>Approuvé</v>
          </cell>
          <cell r="F329" t="str">
            <v>K03547</v>
          </cell>
          <cell r="G329">
            <v>2</v>
          </cell>
          <cell r="H329" t="str">
            <v>Reprise</v>
          </cell>
          <cell r="I329" t="str">
            <v>REPRISE</v>
          </cell>
          <cell r="J329" t="str">
            <v>Budgété</v>
          </cell>
          <cell r="K329">
            <v>219360</v>
          </cell>
          <cell r="L329">
            <v>219360</v>
          </cell>
          <cell r="O329">
            <v>120000</v>
          </cell>
          <cell r="P329">
            <v>99360</v>
          </cell>
          <cell r="S329">
            <v>13396</v>
          </cell>
          <cell r="T329" t="str">
            <v>NABZAR AHMED</v>
          </cell>
          <cell r="U329" t="str">
            <v>Ordinaire</v>
          </cell>
          <cell r="V329" t="str">
            <v>Reprise</v>
          </cell>
          <cell r="W329" t="str">
            <v>Renouvellement</v>
          </cell>
          <cell r="X329" t="str">
            <v>Aucune</v>
          </cell>
          <cell r="Y329" t="str">
            <v>Prévu</v>
          </cell>
          <cell r="Z329" t="str">
            <v>Reprise</v>
          </cell>
        </row>
        <row r="330">
          <cell r="A330">
            <v>3050</v>
          </cell>
          <cell r="B330">
            <v>1</v>
          </cell>
          <cell r="C330" t="str">
            <v>IV23798</v>
          </cell>
          <cell r="D330" t="str">
            <v>100 APPAREILS TELEPHONIQUES</v>
          </cell>
          <cell r="E330" t="str">
            <v>Approuvé</v>
          </cell>
          <cell r="F330" t="str">
            <v>K03500</v>
          </cell>
          <cell r="G330">
            <v>2</v>
          </cell>
          <cell r="H330" t="str">
            <v>Reprise</v>
          </cell>
          <cell r="I330" t="str">
            <v>REPRISE</v>
          </cell>
          <cell r="J330" t="str">
            <v>Budgété</v>
          </cell>
          <cell r="K330">
            <v>181560</v>
          </cell>
          <cell r="L330">
            <v>181560</v>
          </cell>
          <cell r="O330">
            <v>120000</v>
          </cell>
          <cell r="P330">
            <v>61560</v>
          </cell>
          <cell r="S330">
            <v>13397</v>
          </cell>
          <cell r="T330" t="str">
            <v>NABZAR AHMED</v>
          </cell>
          <cell r="U330" t="str">
            <v>Administratif</v>
          </cell>
          <cell r="V330" t="str">
            <v>Reprise</v>
          </cell>
          <cell r="W330" t="str">
            <v>Renouvellement</v>
          </cell>
          <cell r="X330" t="str">
            <v>Aucune</v>
          </cell>
          <cell r="Y330" t="str">
            <v>Prévu</v>
          </cell>
          <cell r="Z330" t="str">
            <v>Reprise</v>
          </cell>
        </row>
        <row r="331">
          <cell r="A331">
            <v>3051</v>
          </cell>
          <cell r="B331">
            <v>1</v>
          </cell>
          <cell r="C331" t="str">
            <v>IV23800</v>
          </cell>
          <cell r="D331" t="str">
            <v>01 GENERATEUR DE FREQUENCE NUMERIQUE</v>
          </cell>
          <cell r="E331" t="str">
            <v>Approuvé</v>
          </cell>
          <cell r="F331" t="str">
            <v>K03545</v>
          </cell>
          <cell r="G331">
            <v>2</v>
          </cell>
          <cell r="H331" t="str">
            <v>Reprise</v>
          </cell>
          <cell r="I331" t="str">
            <v>REPRISE</v>
          </cell>
          <cell r="J331" t="str">
            <v>Budgété</v>
          </cell>
          <cell r="K331">
            <v>23480.799999999999</v>
          </cell>
          <cell r="L331">
            <v>23480.799999999999</v>
          </cell>
          <cell r="O331">
            <v>16000</v>
          </cell>
          <cell r="P331">
            <v>7480.8</v>
          </cell>
          <cell r="S331">
            <v>13398</v>
          </cell>
          <cell r="T331" t="str">
            <v>NABZAR AHMED</v>
          </cell>
          <cell r="U331" t="str">
            <v>Ordinaire</v>
          </cell>
          <cell r="V331" t="str">
            <v>Reprise</v>
          </cell>
          <cell r="W331" t="str">
            <v>Dotations nouvelles</v>
          </cell>
          <cell r="X331" t="str">
            <v>Aucune</v>
          </cell>
          <cell r="Y331" t="str">
            <v>Prévu</v>
          </cell>
          <cell r="Z331" t="str">
            <v>Reprise</v>
          </cell>
        </row>
        <row r="332">
          <cell r="A332">
            <v>3052</v>
          </cell>
          <cell r="B332">
            <v>1</v>
          </cell>
          <cell r="C332" t="str">
            <v>IV23801</v>
          </cell>
          <cell r="D332" t="str">
            <v>01 MOTEUR THERMIQUE DIESEL 280 HP</v>
          </cell>
          <cell r="E332" t="str">
            <v>Approuvé</v>
          </cell>
          <cell r="F332" t="str">
            <v>K03555</v>
          </cell>
          <cell r="G332">
            <v>2</v>
          </cell>
          <cell r="H332" t="str">
            <v>Reprise</v>
          </cell>
          <cell r="I332" t="str">
            <v>REPRISE</v>
          </cell>
          <cell r="J332" t="str">
            <v>Budgété</v>
          </cell>
          <cell r="K332">
            <v>900000</v>
          </cell>
          <cell r="L332">
            <v>900000</v>
          </cell>
          <cell r="O332">
            <v>900000</v>
          </cell>
          <cell r="S332">
            <v>13399</v>
          </cell>
          <cell r="T332" t="str">
            <v>MAGHRAOUI Brahim</v>
          </cell>
          <cell r="U332" t="str">
            <v>Ordinaire</v>
          </cell>
          <cell r="V332" t="str">
            <v>Reprise</v>
          </cell>
          <cell r="W332" t="str">
            <v>Dotations nouvelles</v>
          </cell>
          <cell r="X332" t="str">
            <v>Aucune</v>
          </cell>
          <cell r="Y332" t="str">
            <v>Prévu</v>
          </cell>
          <cell r="Z332" t="str">
            <v>Reprise</v>
          </cell>
        </row>
        <row r="333">
          <cell r="A333">
            <v>3053</v>
          </cell>
          <cell r="B333">
            <v>1</v>
          </cell>
          <cell r="C333" t="str">
            <v>IV23803</v>
          </cell>
          <cell r="D333" t="str">
            <v>01 CLE DYNAMOMETRIQUE 18 A 90 MKG</v>
          </cell>
          <cell r="E333" t="str">
            <v>Approuvé</v>
          </cell>
          <cell r="F333" t="str">
            <v>K03555</v>
          </cell>
          <cell r="G333">
            <v>2</v>
          </cell>
          <cell r="H333" t="str">
            <v>Reprise</v>
          </cell>
          <cell r="I333" t="str">
            <v>REPRISE</v>
          </cell>
          <cell r="J333" t="str">
            <v>Budgété</v>
          </cell>
          <cell r="K333">
            <v>32240</v>
          </cell>
          <cell r="L333">
            <v>32240</v>
          </cell>
          <cell r="O333">
            <v>20000</v>
          </cell>
          <cell r="P333">
            <v>12240</v>
          </cell>
          <cell r="S333">
            <v>13400</v>
          </cell>
          <cell r="T333" t="str">
            <v>NABZAR AHMED</v>
          </cell>
          <cell r="U333" t="str">
            <v>Ordinaire</v>
          </cell>
          <cell r="V333" t="str">
            <v>Reprise</v>
          </cell>
          <cell r="W333" t="str">
            <v>Renouvellement</v>
          </cell>
          <cell r="X333" t="str">
            <v>Aucune</v>
          </cell>
          <cell r="Y333" t="str">
            <v>Prévu</v>
          </cell>
          <cell r="Z333" t="str">
            <v>Reprise</v>
          </cell>
        </row>
        <row r="334">
          <cell r="A334">
            <v>3054</v>
          </cell>
          <cell r="B334">
            <v>1</v>
          </cell>
          <cell r="C334" t="str">
            <v>IV23807</v>
          </cell>
          <cell r="D334" t="str">
            <v>02 CHAUFFES EAU 100 L</v>
          </cell>
          <cell r="E334" t="str">
            <v>Approuvé</v>
          </cell>
          <cell r="F334" t="str">
            <v>K03510</v>
          </cell>
          <cell r="G334">
            <v>2</v>
          </cell>
          <cell r="H334" t="str">
            <v>Reprise</v>
          </cell>
          <cell r="I334" t="str">
            <v>REPRISE</v>
          </cell>
          <cell r="J334" t="str">
            <v>Budgété</v>
          </cell>
          <cell r="K334">
            <v>10000</v>
          </cell>
          <cell r="L334">
            <v>10000</v>
          </cell>
          <cell r="O334">
            <v>10000</v>
          </cell>
          <cell r="S334">
            <v>13401</v>
          </cell>
          <cell r="T334" t="str">
            <v>CHARKI EL YAMANI</v>
          </cell>
          <cell r="U334" t="str">
            <v>Administratif</v>
          </cell>
          <cell r="V334" t="str">
            <v>Reprise</v>
          </cell>
          <cell r="W334" t="str">
            <v>Dotations nouvelles</v>
          </cell>
          <cell r="X334" t="str">
            <v>Aucune</v>
          </cell>
          <cell r="Y334" t="str">
            <v>Prévu</v>
          </cell>
          <cell r="Z334" t="str">
            <v>Reprise</v>
          </cell>
        </row>
        <row r="335">
          <cell r="A335">
            <v>3055</v>
          </cell>
          <cell r="B335">
            <v>1</v>
          </cell>
          <cell r="C335" t="str">
            <v>IV23808</v>
          </cell>
          <cell r="D335" t="str">
            <v>03 APPAREILS PHOTO NUMERIQUES</v>
          </cell>
          <cell r="E335" t="str">
            <v>Approuvé</v>
          </cell>
          <cell r="F335" t="str">
            <v>K03500</v>
          </cell>
          <cell r="G335">
            <v>2</v>
          </cell>
          <cell r="H335" t="str">
            <v>Reprise</v>
          </cell>
          <cell r="I335" t="str">
            <v>REPRISE</v>
          </cell>
          <cell r="J335" t="str">
            <v>Budgété</v>
          </cell>
          <cell r="K335">
            <v>57600</v>
          </cell>
          <cell r="L335">
            <v>57600</v>
          </cell>
          <cell r="O335">
            <v>45000</v>
          </cell>
          <cell r="P335">
            <v>12600</v>
          </cell>
          <cell r="S335">
            <v>13402</v>
          </cell>
          <cell r="T335" t="str">
            <v>NABZAR AHMED</v>
          </cell>
          <cell r="U335" t="str">
            <v>Administratif</v>
          </cell>
          <cell r="V335" t="str">
            <v>Reprise</v>
          </cell>
          <cell r="W335" t="str">
            <v>Dotations nouvelles</v>
          </cell>
          <cell r="X335" t="str">
            <v>Aucune</v>
          </cell>
          <cell r="Y335" t="str">
            <v>Prévu</v>
          </cell>
          <cell r="Z335" t="str">
            <v>Reprise</v>
          </cell>
        </row>
        <row r="336">
          <cell r="A336">
            <v>3056</v>
          </cell>
          <cell r="B336">
            <v>1</v>
          </cell>
          <cell r="C336" t="str">
            <v>IV23809</v>
          </cell>
          <cell r="D336" t="str">
            <v>02 APPAREILS DATA SHOW</v>
          </cell>
          <cell r="E336" t="str">
            <v>Approuvé</v>
          </cell>
          <cell r="F336" t="str">
            <v>K03200</v>
          </cell>
          <cell r="G336">
            <v>2</v>
          </cell>
          <cell r="H336" t="str">
            <v>Reprise</v>
          </cell>
          <cell r="I336" t="str">
            <v>REPRISE</v>
          </cell>
          <cell r="J336" t="str">
            <v>Budgété</v>
          </cell>
          <cell r="K336">
            <v>63160</v>
          </cell>
          <cell r="L336">
            <v>63160</v>
          </cell>
          <cell r="O336">
            <v>40000</v>
          </cell>
          <cell r="P336">
            <v>23160</v>
          </cell>
          <cell r="S336">
            <v>13403</v>
          </cell>
          <cell r="T336" t="str">
            <v>NABZAR AHMED</v>
          </cell>
          <cell r="U336" t="str">
            <v>Administratif</v>
          </cell>
          <cell r="V336" t="str">
            <v>Reprise</v>
          </cell>
          <cell r="W336" t="str">
            <v>Dotations nouvelles</v>
          </cell>
          <cell r="X336" t="str">
            <v>Aucune</v>
          </cell>
          <cell r="Y336" t="str">
            <v>Prévu</v>
          </cell>
          <cell r="Z336" t="str">
            <v>Reprise</v>
          </cell>
        </row>
        <row r="337">
          <cell r="A337">
            <v>3057</v>
          </cell>
          <cell r="B337">
            <v>1</v>
          </cell>
          <cell r="C337" t="str">
            <v>IV23811</v>
          </cell>
          <cell r="D337" t="str">
            <v>10 CELLULES A DISJONCTEURS 7.2 KV -630A POUR POSTES P3 ET P20</v>
          </cell>
          <cell r="E337" t="str">
            <v>Approuvé</v>
          </cell>
          <cell r="F337" t="str">
            <v>K03735</v>
          </cell>
          <cell r="G337">
            <v>3</v>
          </cell>
          <cell r="H337" t="str">
            <v>Report-2007</v>
          </cell>
          <cell r="I337" t="str">
            <v>REPORT</v>
          </cell>
          <cell r="J337" t="str">
            <v>Budgété</v>
          </cell>
          <cell r="K337">
            <v>3500000</v>
          </cell>
          <cell r="L337">
            <v>3500000</v>
          </cell>
          <cell r="M337">
            <v>3500000</v>
          </cell>
          <cell r="N337">
            <v>3500000</v>
          </cell>
          <cell r="O337">
            <v>0</v>
          </cell>
          <cell r="S337">
            <v>24451</v>
          </cell>
          <cell r="T337" t="str">
            <v>HALMI Abderrahmane</v>
          </cell>
          <cell r="U337" t="str">
            <v>Ordinaire</v>
          </cell>
          <cell r="V337" t="str">
            <v>Reprise</v>
          </cell>
          <cell r="W337" t="str">
            <v>Dotations nouvelles</v>
          </cell>
          <cell r="X337" t="str">
            <v>Aucune</v>
          </cell>
          <cell r="Y337" t="str">
            <v>Prévu</v>
          </cell>
          <cell r="Z337" t="str">
            <v>Reprise</v>
          </cell>
        </row>
        <row r="338">
          <cell r="A338">
            <v>3058</v>
          </cell>
          <cell r="B338">
            <v>1</v>
          </cell>
          <cell r="C338" t="str">
            <v>IV23812</v>
          </cell>
          <cell r="D338" t="str">
            <v>OUTILLAGES POUR ATELIERS</v>
          </cell>
          <cell r="E338" t="str">
            <v>Approuvé</v>
          </cell>
          <cell r="F338" t="str">
            <v>K03635</v>
          </cell>
          <cell r="G338">
            <v>2</v>
          </cell>
          <cell r="H338" t="str">
            <v>Reprise</v>
          </cell>
          <cell r="I338" t="str">
            <v>REPRISE</v>
          </cell>
          <cell r="J338" t="str">
            <v>Budgété</v>
          </cell>
          <cell r="K338">
            <v>465680</v>
          </cell>
          <cell r="L338">
            <v>465680</v>
          </cell>
          <cell r="O338">
            <v>446000</v>
          </cell>
          <cell r="P338">
            <v>19680</v>
          </cell>
          <cell r="S338">
            <v>13405</v>
          </cell>
          <cell r="T338" t="str">
            <v>HALMI Abderrahmane</v>
          </cell>
          <cell r="U338" t="str">
            <v>Ordinaire</v>
          </cell>
          <cell r="V338" t="str">
            <v>Reprise</v>
          </cell>
          <cell r="W338" t="str">
            <v>Renouvellement</v>
          </cell>
          <cell r="X338" t="str">
            <v>Aucune</v>
          </cell>
          <cell r="Y338" t="str">
            <v>Prévu</v>
          </cell>
          <cell r="Z338" t="str">
            <v>Reprise</v>
          </cell>
        </row>
        <row r="339">
          <cell r="A339">
            <v>3059</v>
          </cell>
          <cell r="B339">
            <v>1</v>
          </cell>
          <cell r="C339" t="str">
            <v>IV23813</v>
          </cell>
          <cell r="D339" t="str">
            <v>MOBILIERS DU BUREAU</v>
          </cell>
          <cell r="E339" t="str">
            <v>Approuvé</v>
          </cell>
          <cell r="F339" t="str">
            <v>K03710</v>
          </cell>
          <cell r="G339">
            <v>2</v>
          </cell>
          <cell r="H339" t="str">
            <v>Reprise</v>
          </cell>
          <cell r="I339" t="str">
            <v>REPRISE</v>
          </cell>
          <cell r="J339" t="str">
            <v>Budgété</v>
          </cell>
          <cell r="K339">
            <v>29000</v>
          </cell>
          <cell r="L339">
            <v>29000</v>
          </cell>
          <cell r="O339">
            <v>29000</v>
          </cell>
          <cell r="S339">
            <v>13406</v>
          </cell>
          <cell r="T339" t="str">
            <v>CHARKI EL YAMANI</v>
          </cell>
          <cell r="U339" t="str">
            <v>Administratif</v>
          </cell>
          <cell r="V339" t="str">
            <v>Reprise</v>
          </cell>
          <cell r="W339" t="str">
            <v>Renouvellement</v>
          </cell>
          <cell r="X339" t="str">
            <v>Aucune</v>
          </cell>
          <cell r="Y339" t="str">
            <v>Prévu</v>
          </cell>
          <cell r="Z339" t="str">
            <v>Reprise</v>
          </cell>
        </row>
        <row r="340">
          <cell r="A340">
            <v>3060</v>
          </cell>
          <cell r="B340">
            <v>1</v>
          </cell>
          <cell r="C340" t="str">
            <v>IV23814</v>
          </cell>
          <cell r="D340" t="str">
            <v>7 DISJONCTEURS TRIPHASES 7.2 KV 630 A</v>
          </cell>
          <cell r="E340" t="str">
            <v>Approuvé</v>
          </cell>
          <cell r="F340" t="str">
            <v>K03635</v>
          </cell>
          <cell r="G340">
            <v>2</v>
          </cell>
          <cell r="H340" t="str">
            <v>Reprise</v>
          </cell>
          <cell r="I340" t="str">
            <v>REPRISE</v>
          </cell>
          <cell r="J340" t="str">
            <v>Budgété</v>
          </cell>
          <cell r="K340">
            <v>455000</v>
          </cell>
          <cell r="L340">
            <v>455000</v>
          </cell>
          <cell r="O340">
            <v>455000</v>
          </cell>
          <cell r="S340">
            <v>13407</v>
          </cell>
          <cell r="T340" t="str">
            <v>HALMI Abderrahmane</v>
          </cell>
          <cell r="U340" t="str">
            <v>Ordinaire</v>
          </cell>
          <cell r="V340" t="str">
            <v>Reprise</v>
          </cell>
          <cell r="W340" t="str">
            <v>Renouvellement</v>
          </cell>
          <cell r="X340" t="str">
            <v>Aucune</v>
          </cell>
          <cell r="Y340" t="str">
            <v>Prévu</v>
          </cell>
          <cell r="Z340" t="str">
            <v>Reprise</v>
          </cell>
        </row>
        <row r="341">
          <cell r="A341">
            <v>3061</v>
          </cell>
          <cell r="B341">
            <v>1</v>
          </cell>
          <cell r="C341" t="str">
            <v>IV23815</v>
          </cell>
          <cell r="D341" t="str">
            <v>2 SECTIONNEURS TRIPHASES 72.5 KV 800A</v>
          </cell>
          <cell r="E341" t="str">
            <v>Approuvé</v>
          </cell>
          <cell r="F341" t="str">
            <v>K03735</v>
          </cell>
          <cell r="G341">
            <v>2</v>
          </cell>
          <cell r="H341" t="str">
            <v>Reprise</v>
          </cell>
          <cell r="I341" t="str">
            <v>REPRISE</v>
          </cell>
          <cell r="J341" t="str">
            <v>Budgété</v>
          </cell>
          <cell r="K341">
            <v>240000</v>
          </cell>
          <cell r="L341">
            <v>240000</v>
          </cell>
          <cell r="O341">
            <v>240000</v>
          </cell>
          <cell r="S341">
            <v>13408</v>
          </cell>
          <cell r="T341" t="str">
            <v>HALMI Abderrahmane</v>
          </cell>
          <cell r="U341" t="str">
            <v>Ordinaire</v>
          </cell>
          <cell r="V341" t="str">
            <v>Reprise</v>
          </cell>
          <cell r="W341" t="str">
            <v>Dotations nouvelles</v>
          </cell>
          <cell r="X341" t="str">
            <v>Aucune</v>
          </cell>
          <cell r="Y341" t="str">
            <v>Prévu</v>
          </cell>
          <cell r="Z341" t="str">
            <v>Reprise</v>
          </cell>
        </row>
        <row r="342">
          <cell r="A342">
            <v>3062</v>
          </cell>
          <cell r="B342">
            <v>1</v>
          </cell>
          <cell r="C342" t="str">
            <v>IV23816</v>
          </cell>
          <cell r="D342" t="str">
            <v>10 TRANSFORMATEURS MOYENNES TENSION 50KVA/5.5 KV 220 V TRIPHASES</v>
          </cell>
          <cell r="E342" t="str">
            <v>Approuvé</v>
          </cell>
          <cell r="F342" t="str">
            <v>K03733</v>
          </cell>
          <cell r="G342">
            <v>2</v>
          </cell>
          <cell r="H342" t="str">
            <v>Reprise</v>
          </cell>
          <cell r="I342" t="str">
            <v>REPRISE</v>
          </cell>
          <cell r="J342" t="str">
            <v>Budgété</v>
          </cell>
          <cell r="K342">
            <v>120000</v>
          </cell>
          <cell r="L342">
            <v>120000</v>
          </cell>
          <cell r="O342">
            <v>120000</v>
          </cell>
          <cell r="S342">
            <v>13409</v>
          </cell>
          <cell r="T342" t="str">
            <v>HALMI Abderrahmane</v>
          </cell>
          <cell r="U342" t="str">
            <v>Ordinaire</v>
          </cell>
          <cell r="V342" t="str">
            <v>Reprise</v>
          </cell>
          <cell r="W342" t="str">
            <v>Dotations nouvelles</v>
          </cell>
          <cell r="X342" t="str">
            <v>Aucune</v>
          </cell>
          <cell r="Y342" t="str">
            <v>Prévu</v>
          </cell>
          <cell r="Z342" t="str">
            <v>Reprise</v>
          </cell>
        </row>
        <row r="343">
          <cell r="A343">
            <v>3063</v>
          </cell>
          <cell r="B343">
            <v>1</v>
          </cell>
          <cell r="C343" t="str">
            <v>IV23817</v>
          </cell>
          <cell r="D343" t="str">
            <v>8 CELLULES MOYENNES TENSION EQUIPEES DE MOYENS ELECTRIQUES DE COUPURE ET PROTECTION</v>
          </cell>
          <cell r="E343" t="str">
            <v>Approuvé</v>
          </cell>
          <cell r="F343" t="str">
            <v>K03733</v>
          </cell>
          <cell r="G343">
            <v>3</v>
          </cell>
          <cell r="H343" t="str">
            <v>Report-2007</v>
          </cell>
          <cell r="I343" t="str">
            <v>REPORT</v>
          </cell>
          <cell r="J343" t="str">
            <v>Budgété</v>
          </cell>
          <cell r="K343">
            <v>2800000</v>
          </cell>
          <cell r="L343">
            <v>2800000</v>
          </cell>
          <cell r="M343">
            <v>2800000</v>
          </cell>
          <cell r="N343">
            <v>2800000</v>
          </cell>
          <cell r="S343">
            <v>24456</v>
          </cell>
          <cell r="T343" t="str">
            <v>HALMI Abderrahmane</v>
          </cell>
          <cell r="U343" t="str">
            <v>Ordinaire</v>
          </cell>
          <cell r="V343" t="str">
            <v>Reprise</v>
          </cell>
          <cell r="W343" t="str">
            <v>Dotations nouvelles</v>
          </cell>
          <cell r="X343" t="str">
            <v>Aucune</v>
          </cell>
          <cell r="Y343" t="str">
            <v>Prévu</v>
          </cell>
          <cell r="Z343" t="str">
            <v>Reprise</v>
          </cell>
        </row>
        <row r="344">
          <cell r="A344">
            <v>3064</v>
          </cell>
          <cell r="B344">
            <v>1</v>
          </cell>
          <cell r="C344" t="str">
            <v>IV23820</v>
          </cell>
          <cell r="D344" t="str">
            <v>10 MOTEURS ELECTRIQUES</v>
          </cell>
          <cell r="E344" t="str">
            <v>Approuvé</v>
          </cell>
          <cell r="F344" t="str">
            <v>K03733</v>
          </cell>
          <cell r="G344">
            <v>3</v>
          </cell>
          <cell r="H344" t="str">
            <v>report-2007</v>
          </cell>
          <cell r="I344" t="str">
            <v>REPORT</v>
          </cell>
          <cell r="J344" t="str">
            <v>Budgété</v>
          </cell>
          <cell r="K344">
            <v>1578774</v>
          </cell>
          <cell r="L344">
            <v>1578774</v>
          </cell>
          <cell r="M344">
            <v>1305600</v>
          </cell>
          <cell r="N344">
            <v>1305600</v>
          </cell>
          <cell r="O344">
            <v>0</v>
          </cell>
          <cell r="P344">
            <v>273174</v>
          </cell>
          <cell r="S344">
            <v>24466</v>
          </cell>
          <cell r="T344" t="str">
            <v>HALMI Abderrahmane</v>
          </cell>
          <cell r="U344" t="str">
            <v>Ordinaire</v>
          </cell>
          <cell r="V344" t="str">
            <v>Reprise</v>
          </cell>
          <cell r="W344" t="str">
            <v>Dotations nouvelles</v>
          </cell>
          <cell r="X344" t="str">
            <v>Aucune</v>
          </cell>
          <cell r="Y344" t="str">
            <v>Prévu</v>
          </cell>
          <cell r="Z344" t="str">
            <v>Reprise</v>
          </cell>
        </row>
        <row r="345">
          <cell r="A345">
            <v>3065</v>
          </cell>
          <cell r="B345">
            <v>1</v>
          </cell>
          <cell r="C345" t="str">
            <v>IV23824</v>
          </cell>
          <cell r="D345" t="str">
            <v>OUTILLAGES POUR ATELIERS</v>
          </cell>
          <cell r="E345" t="str">
            <v>Approuvé</v>
          </cell>
          <cell r="F345" t="str">
            <v>K03733</v>
          </cell>
          <cell r="G345">
            <v>2</v>
          </cell>
          <cell r="H345" t="str">
            <v>Reprise</v>
          </cell>
          <cell r="I345" t="str">
            <v>REPRISE</v>
          </cell>
          <cell r="J345" t="str">
            <v>Budgété</v>
          </cell>
          <cell r="K345">
            <v>281496</v>
          </cell>
          <cell r="L345">
            <v>281496</v>
          </cell>
          <cell r="O345">
            <v>270000</v>
          </cell>
          <cell r="P345">
            <v>11496</v>
          </cell>
          <cell r="S345">
            <v>13412</v>
          </cell>
          <cell r="T345" t="str">
            <v>HALMI Abderrahmane</v>
          </cell>
          <cell r="U345" t="str">
            <v>Ordinaire</v>
          </cell>
          <cell r="V345" t="str">
            <v>Reprise</v>
          </cell>
          <cell r="W345" t="str">
            <v>Dotations nouvelles</v>
          </cell>
          <cell r="X345" t="str">
            <v>Aucune</v>
          </cell>
          <cell r="Y345" t="str">
            <v>Prévu</v>
          </cell>
          <cell r="Z345" t="str">
            <v>Reprise</v>
          </cell>
        </row>
        <row r="346">
          <cell r="A346">
            <v>3066</v>
          </cell>
          <cell r="B346">
            <v>1</v>
          </cell>
          <cell r="C346" t="str">
            <v>IV23825</v>
          </cell>
          <cell r="D346" t="str">
            <v>06 PALANS ELECTRIQUES</v>
          </cell>
          <cell r="E346" t="str">
            <v>Approuvé</v>
          </cell>
          <cell r="F346" t="str">
            <v>K03550</v>
          </cell>
          <cell r="G346">
            <v>2</v>
          </cell>
          <cell r="H346" t="str">
            <v>Reprise</v>
          </cell>
          <cell r="I346" t="str">
            <v>REPRISE</v>
          </cell>
          <cell r="J346" t="str">
            <v>Budgété</v>
          </cell>
          <cell r="K346">
            <v>700000</v>
          </cell>
          <cell r="L346">
            <v>700000</v>
          </cell>
          <cell r="O346">
            <v>700000</v>
          </cell>
          <cell r="S346">
            <v>13413</v>
          </cell>
          <cell r="T346" t="str">
            <v>MAGHRAOUI Brahim</v>
          </cell>
          <cell r="U346" t="str">
            <v>Ordinaire</v>
          </cell>
          <cell r="V346" t="str">
            <v>Reprise</v>
          </cell>
          <cell r="W346" t="str">
            <v>Dotations nouvelles</v>
          </cell>
          <cell r="X346" t="str">
            <v>Aucune</v>
          </cell>
          <cell r="Y346" t="str">
            <v>Prévu</v>
          </cell>
          <cell r="Z346" t="str">
            <v>Reprise</v>
          </cell>
        </row>
        <row r="347">
          <cell r="A347">
            <v>3067</v>
          </cell>
          <cell r="B347">
            <v>1</v>
          </cell>
          <cell r="C347" t="str">
            <v>IV23826</v>
          </cell>
          <cell r="D347" t="str">
            <v>2 ENSEMBLES DE PRESSES HYDRAULIQUES 50 TONNES</v>
          </cell>
          <cell r="E347" t="str">
            <v>Approuvé</v>
          </cell>
          <cell r="F347" t="str">
            <v>K03190</v>
          </cell>
          <cell r="G347">
            <v>2</v>
          </cell>
          <cell r="H347" t="str">
            <v>Reprise</v>
          </cell>
          <cell r="I347" t="str">
            <v>REPRISE</v>
          </cell>
          <cell r="J347" t="str">
            <v>Budgété</v>
          </cell>
          <cell r="K347">
            <v>165552</v>
          </cell>
          <cell r="L347">
            <v>165552</v>
          </cell>
          <cell r="O347">
            <v>120000</v>
          </cell>
          <cell r="P347">
            <v>45552</v>
          </cell>
          <cell r="S347">
            <v>13414</v>
          </cell>
          <cell r="T347" t="str">
            <v>NABZAR AHMED</v>
          </cell>
          <cell r="U347" t="str">
            <v>Ordinaire</v>
          </cell>
          <cell r="V347" t="str">
            <v>Reprise</v>
          </cell>
          <cell r="W347" t="str">
            <v>Renouvellement</v>
          </cell>
          <cell r="X347" t="str">
            <v>Aucune</v>
          </cell>
          <cell r="Y347" t="str">
            <v>Prévu</v>
          </cell>
          <cell r="Z347" t="str">
            <v>Reprise</v>
          </cell>
        </row>
        <row r="348">
          <cell r="A348">
            <v>3068</v>
          </cell>
          <cell r="B348">
            <v>1</v>
          </cell>
          <cell r="C348" t="str">
            <v>IV23827</v>
          </cell>
          <cell r="D348" t="str">
            <v>FOURNITURE ET INSTALLATION D'UN PALAN ELECTRIQUE 10T ET D'UN PONT ROULANT A L'ATELIER DRAGLINE MEA</v>
          </cell>
          <cell r="E348" t="str">
            <v>Approuvé</v>
          </cell>
          <cell r="F348" t="str">
            <v>K03710</v>
          </cell>
          <cell r="G348">
            <v>2</v>
          </cell>
          <cell r="H348" t="str">
            <v>Reprise</v>
          </cell>
          <cell r="I348" t="str">
            <v>REPRISE</v>
          </cell>
          <cell r="J348" t="str">
            <v>Budgété</v>
          </cell>
          <cell r="K348">
            <v>1500000</v>
          </cell>
          <cell r="L348">
            <v>1500000</v>
          </cell>
          <cell r="O348">
            <v>900000</v>
          </cell>
          <cell r="P348">
            <v>600000</v>
          </cell>
          <cell r="S348">
            <v>13415</v>
          </cell>
          <cell r="T348" t="str">
            <v>NABZAR AHMED</v>
          </cell>
          <cell r="U348" t="str">
            <v>Ordinaire</v>
          </cell>
          <cell r="V348" t="str">
            <v>Reprise</v>
          </cell>
          <cell r="W348" t="str">
            <v>Dotations nouvelles</v>
          </cell>
          <cell r="X348" t="str">
            <v>Aucune</v>
          </cell>
          <cell r="Y348" t="str">
            <v>Prévu</v>
          </cell>
          <cell r="Z348" t="str">
            <v>Reprise</v>
          </cell>
        </row>
        <row r="349">
          <cell r="A349">
            <v>3069</v>
          </cell>
          <cell r="B349">
            <v>1</v>
          </cell>
          <cell r="C349" t="str">
            <v>IV23828</v>
          </cell>
          <cell r="D349" t="str">
            <v>1 GROUPE ELECTROPOMPE DE DENOYAGE</v>
          </cell>
          <cell r="E349" t="str">
            <v>Approuvé</v>
          </cell>
          <cell r="F349" t="str">
            <v>K03190</v>
          </cell>
          <cell r="G349">
            <v>2</v>
          </cell>
          <cell r="H349" t="str">
            <v>Reprise</v>
          </cell>
          <cell r="I349" t="str">
            <v>REPRISE</v>
          </cell>
          <cell r="J349" t="str">
            <v>Budgété</v>
          </cell>
          <cell r="K349">
            <v>60000</v>
          </cell>
          <cell r="L349">
            <v>60000</v>
          </cell>
          <cell r="O349">
            <v>60000</v>
          </cell>
          <cell r="S349">
            <v>13416</v>
          </cell>
          <cell r="T349" t="str">
            <v>DRIBA Hamid</v>
          </cell>
          <cell r="U349" t="str">
            <v>Ordinaire</v>
          </cell>
          <cell r="V349" t="str">
            <v>Reprise</v>
          </cell>
          <cell r="W349" t="str">
            <v>Renouvellement</v>
          </cell>
          <cell r="X349" t="str">
            <v>Aucune</v>
          </cell>
          <cell r="Y349" t="str">
            <v>Prévu</v>
          </cell>
          <cell r="Z349" t="str">
            <v>Reprise</v>
          </cell>
        </row>
        <row r="350">
          <cell r="A350">
            <v>3070</v>
          </cell>
          <cell r="B350">
            <v>1</v>
          </cell>
          <cell r="C350" t="str">
            <v>IV23829</v>
          </cell>
          <cell r="D350" t="str">
            <v>1 PERCEUSE ELECTRIQUE FIXE CAPACITE 35 MM</v>
          </cell>
          <cell r="E350" t="str">
            <v>Approuvé</v>
          </cell>
          <cell r="F350" t="str">
            <v>K03190</v>
          </cell>
          <cell r="G350">
            <v>2</v>
          </cell>
          <cell r="H350" t="str">
            <v>Reprise</v>
          </cell>
          <cell r="I350" t="str">
            <v>REPRISE</v>
          </cell>
          <cell r="J350" t="str">
            <v>Budgété</v>
          </cell>
          <cell r="K350">
            <v>182180.64</v>
          </cell>
          <cell r="L350">
            <v>182180.64</v>
          </cell>
          <cell r="O350">
            <v>100000</v>
          </cell>
          <cell r="P350">
            <v>82180.639999999999</v>
          </cell>
          <cell r="S350">
            <v>13417</v>
          </cell>
          <cell r="T350" t="str">
            <v>DRIBA Hamid</v>
          </cell>
          <cell r="U350" t="str">
            <v>Ordinaire</v>
          </cell>
          <cell r="V350" t="str">
            <v>Reprise</v>
          </cell>
          <cell r="W350" t="str">
            <v>Renouvellement</v>
          </cell>
          <cell r="X350" t="str">
            <v>Aucune</v>
          </cell>
          <cell r="Y350" t="str">
            <v>Prévu</v>
          </cell>
          <cell r="Z350" t="str">
            <v>Reprise</v>
          </cell>
        </row>
        <row r="351">
          <cell r="A351">
            <v>3071</v>
          </cell>
          <cell r="B351">
            <v>1</v>
          </cell>
          <cell r="C351" t="str">
            <v>IV23830</v>
          </cell>
          <cell r="D351" t="str">
            <v>01 NETTOYEUR HAUTE PRESSION A EAU CHAUDE EQUIPE D'UN MOTEUR DIESEL</v>
          </cell>
          <cell r="E351" t="str">
            <v>Approuvé</v>
          </cell>
          <cell r="F351" t="str">
            <v>K03710</v>
          </cell>
          <cell r="G351">
            <v>2</v>
          </cell>
          <cell r="H351" t="str">
            <v>Reprise</v>
          </cell>
          <cell r="I351" t="str">
            <v>REPRISE</v>
          </cell>
          <cell r="J351" t="str">
            <v>Budgété</v>
          </cell>
          <cell r="K351">
            <v>243000</v>
          </cell>
          <cell r="L351">
            <v>243000</v>
          </cell>
          <cell r="O351">
            <v>150000</v>
          </cell>
          <cell r="P351">
            <v>93000</v>
          </cell>
          <cell r="S351">
            <v>13418</v>
          </cell>
          <cell r="T351" t="str">
            <v>NABZAR AHMED</v>
          </cell>
          <cell r="U351" t="str">
            <v>Ordinaire</v>
          </cell>
          <cell r="V351" t="str">
            <v>Reprise</v>
          </cell>
          <cell r="W351" t="str">
            <v>Dotations nouvelles</v>
          </cell>
          <cell r="X351" t="str">
            <v>Aucune</v>
          </cell>
          <cell r="Y351" t="str">
            <v>Prévu</v>
          </cell>
          <cell r="Z351" t="str">
            <v>Reprise</v>
          </cell>
        </row>
        <row r="352">
          <cell r="A352">
            <v>3072</v>
          </cell>
          <cell r="B352">
            <v>1</v>
          </cell>
          <cell r="C352" t="str">
            <v>IV23831</v>
          </cell>
          <cell r="D352" t="str">
            <v>MATERIEL ET OUTILLAGES POUR ATELIERS</v>
          </cell>
          <cell r="E352" t="str">
            <v>Approuvé</v>
          </cell>
          <cell r="F352" t="str">
            <v>K03292</v>
          </cell>
          <cell r="G352">
            <v>2</v>
          </cell>
          <cell r="H352" t="str">
            <v>Reprise</v>
          </cell>
          <cell r="I352" t="str">
            <v>REPRISE</v>
          </cell>
          <cell r="J352" t="str">
            <v>Budgété</v>
          </cell>
          <cell r="K352">
            <v>1100000</v>
          </cell>
          <cell r="L352">
            <v>1100000</v>
          </cell>
          <cell r="O352">
            <v>1100000</v>
          </cell>
          <cell r="S352">
            <v>13419</v>
          </cell>
          <cell r="T352" t="str">
            <v>HALMI Abderrahmane</v>
          </cell>
          <cell r="U352" t="str">
            <v>Ordinaire</v>
          </cell>
          <cell r="V352" t="str">
            <v>Reprise</v>
          </cell>
          <cell r="W352" t="str">
            <v>Dotations nouvelles</v>
          </cell>
          <cell r="X352" t="str">
            <v>Aucune</v>
          </cell>
          <cell r="Y352" t="str">
            <v>Prévu</v>
          </cell>
          <cell r="Z352" t="str">
            <v>Reprise</v>
          </cell>
        </row>
        <row r="353">
          <cell r="A353">
            <v>3073</v>
          </cell>
          <cell r="B353">
            <v>1</v>
          </cell>
          <cell r="C353" t="str">
            <v>IV23832</v>
          </cell>
          <cell r="D353" t="str">
            <v>5 DISJONCTEURS ET 3 SECTIONNEURS TRIPHASES</v>
          </cell>
          <cell r="E353" t="str">
            <v>Approuvé</v>
          </cell>
          <cell r="F353" t="str">
            <v>K03835</v>
          </cell>
          <cell r="G353">
            <v>3</v>
          </cell>
          <cell r="H353" t="str">
            <v>Reprise</v>
          </cell>
          <cell r="I353" t="str">
            <v>REPRISE</v>
          </cell>
          <cell r="J353" t="str">
            <v>Budgété</v>
          </cell>
          <cell r="K353">
            <v>534259</v>
          </cell>
          <cell r="L353">
            <v>534259</v>
          </cell>
          <cell r="M353">
            <v>517987</v>
          </cell>
          <cell r="N353">
            <v>517987</v>
          </cell>
          <cell r="O353">
            <v>0</v>
          </cell>
          <cell r="P353">
            <v>16272</v>
          </cell>
          <cell r="S353">
            <v>23827</v>
          </cell>
          <cell r="T353" t="str">
            <v>EL BOUCHRIFI Yagoub</v>
          </cell>
          <cell r="U353" t="str">
            <v>Ordinaire</v>
          </cell>
          <cell r="V353" t="str">
            <v>Reprise</v>
          </cell>
          <cell r="W353" t="str">
            <v>Dotations nouvelles</v>
          </cell>
          <cell r="X353" t="str">
            <v>Aucune</v>
          </cell>
          <cell r="Y353" t="str">
            <v>Prévu</v>
          </cell>
          <cell r="Z353" t="str">
            <v>Reprise</v>
          </cell>
        </row>
        <row r="354">
          <cell r="A354">
            <v>3074</v>
          </cell>
          <cell r="B354">
            <v>1</v>
          </cell>
          <cell r="C354" t="str">
            <v>IV23833</v>
          </cell>
          <cell r="D354" t="str">
            <v>POSTES DE SOUDURE POUR ATELIER</v>
          </cell>
          <cell r="E354" t="str">
            <v>Approuvé</v>
          </cell>
          <cell r="F354" t="str">
            <v>K03292</v>
          </cell>
          <cell r="G354">
            <v>2</v>
          </cell>
          <cell r="H354" t="str">
            <v>Reprise</v>
          </cell>
          <cell r="I354" t="str">
            <v>REPRISE</v>
          </cell>
          <cell r="J354" t="str">
            <v>Budgété</v>
          </cell>
          <cell r="K354">
            <v>592437.6</v>
          </cell>
          <cell r="L354">
            <v>592437.6</v>
          </cell>
          <cell r="O354">
            <v>360000</v>
          </cell>
          <cell r="P354">
            <v>232437.6</v>
          </cell>
          <cell r="S354">
            <v>13421</v>
          </cell>
          <cell r="T354" t="str">
            <v>NABZAR AHMED</v>
          </cell>
          <cell r="U354" t="str">
            <v>Ordinaire</v>
          </cell>
          <cell r="V354" t="str">
            <v>Reprise</v>
          </cell>
          <cell r="W354" t="str">
            <v>Dotations nouvelles</v>
          </cell>
          <cell r="X354" t="str">
            <v>Aucune</v>
          </cell>
          <cell r="Y354" t="str">
            <v>Prévu</v>
          </cell>
          <cell r="Z354" t="str">
            <v>Reprise</v>
          </cell>
        </row>
        <row r="355">
          <cell r="A355">
            <v>3075</v>
          </cell>
          <cell r="B355">
            <v>1</v>
          </cell>
          <cell r="C355" t="str">
            <v>IV23834</v>
          </cell>
          <cell r="D355" t="str">
            <v>12 VERINS HYDRAULIQUES DOUBLE EFFET DE 12 A 25 TONNES EQUIPES DE POMPE HYDRAULIQUE</v>
          </cell>
          <cell r="E355" t="str">
            <v>Approuvé</v>
          </cell>
          <cell r="F355" t="str">
            <v>K03835</v>
          </cell>
          <cell r="G355">
            <v>2</v>
          </cell>
          <cell r="H355" t="str">
            <v>Reprise</v>
          </cell>
          <cell r="I355" t="str">
            <v>REPRISE</v>
          </cell>
          <cell r="J355" t="str">
            <v>Budgété</v>
          </cell>
          <cell r="K355">
            <v>240000</v>
          </cell>
          <cell r="L355">
            <v>240000</v>
          </cell>
          <cell r="O355">
            <v>240000</v>
          </cell>
          <cell r="S355">
            <v>13422</v>
          </cell>
          <cell r="T355" t="str">
            <v>EL BOUCHRIFI Yagoub</v>
          </cell>
          <cell r="U355" t="str">
            <v>Ordinaire</v>
          </cell>
          <cell r="V355" t="str">
            <v>Reprise</v>
          </cell>
          <cell r="W355" t="str">
            <v>Dotations nouvelles</v>
          </cell>
          <cell r="X355" t="str">
            <v>Aucune</v>
          </cell>
          <cell r="Y355" t="str">
            <v>Prévu</v>
          </cell>
          <cell r="Z355" t="str">
            <v>Reprise</v>
          </cell>
        </row>
        <row r="356">
          <cell r="A356">
            <v>3076</v>
          </cell>
          <cell r="B356">
            <v>1</v>
          </cell>
          <cell r="C356" t="str">
            <v>IV23835</v>
          </cell>
          <cell r="D356" t="str">
            <v>5 POSTES DE SOUDURE STATIQUES 630 A</v>
          </cell>
          <cell r="E356" t="str">
            <v>Approuvé</v>
          </cell>
          <cell r="F356" t="str">
            <v>K03841</v>
          </cell>
          <cell r="G356">
            <v>2</v>
          </cell>
          <cell r="H356" t="str">
            <v>Reprise</v>
          </cell>
          <cell r="I356" t="str">
            <v>REPRISE</v>
          </cell>
          <cell r="J356" t="str">
            <v>Budgété</v>
          </cell>
          <cell r="K356">
            <v>400000</v>
          </cell>
          <cell r="L356">
            <v>400000</v>
          </cell>
          <cell r="O356">
            <v>400000</v>
          </cell>
          <cell r="S356">
            <v>13423</v>
          </cell>
          <cell r="T356" t="str">
            <v>HASSAR OMAR</v>
          </cell>
          <cell r="U356" t="str">
            <v>Ordinaire</v>
          </cell>
          <cell r="V356" t="str">
            <v>Reprise</v>
          </cell>
          <cell r="W356" t="str">
            <v>Dotations nouvelles</v>
          </cell>
          <cell r="X356" t="str">
            <v>Aucune</v>
          </cell>
          <cell r="Y356" t="str">
            <v>Prévu</v>
          </cell>
          <cell r="Z356" t="str">
            <v>Reprise</v>
          </cell>
        </row>
        <row r="357">
          <cell r="A357">
            <v>3077</v>
          </cell>
          <cell r="B357">
            <v>1</v>
          </cell>
          <cell r="C357" t="str">
            <v>IV23837</v>
          </cell>
          <cell r="D357" t="str">
            <v>01 ENSEMBLE EXTRACTEUR 25 TONNES</v>
          </cell>
          <cell r="E357" t="str">
            <v>Approuvé</v>
          </cell>
          <cell r="F357" t="str">
            <v>K03731</v>
          </cell>
          <cell r="G357">
            <v>2</v>
          </cell>
          <cell r="H357" t="str">
            <v>Reprise</v>
          </cell>
          <cell r="I357" t="str">
            <v>REPRISE</v>
          </cell>
          <cell r="J357" t="str">
            <v>Budgété</v>
          </cell>
          <cell r="K357">
            <v>100000</v>
          </cell>
          <cell r="L357">
            <v>100000</v>
          </cell>
          <cell r="O357">
            <v>100000</v>
          </cell>
          <cell r="S357">
            <v>13424</v>
          </cell>
          <cell r="T357" t="str">
            <v>MAHSOUN Abdellah</v>
          </cell>
          <cell r="U357" t="str">
            <v>Ordinaire</v>
          </cell>
          <cell r="V357" t="str">
            <v>Reprise</v>
          </cell>
          <cell r="W357" t="str">
            <v>Dotations nouvelles</v>
          </cell>
          <cell r="X357" t="str">
            <v>Aucune</v>
          </cell>
          <cell r="Y357" t="str">
            <v>Prévu</v>
          </cell>
          <cell r="Z357" t="str">
            <v>Reprise</v>
          </cell>
        </row>
        <row r="358">
          <cell r="A358">
            <v>3078</v>
          </cell>
          <cell r="B358">
            <v>1</v>
          </cell>
          <cell r="C358" t="str">
            <v>IV23839</v>
          </cell>
          <cell r="D358" t="str">
            <v>02 PULL-LIFT ET 02 PERCEUSES</v>
          </cell>
          <cell r="E358" t="str">
            <v>Approuvé</v>
          </cell>
          <cell r="F358" t="str">
            <v>K03292</v>
          </cell>
          <cell r="G358">
            <v>2</v>
          </cell>
          <cell r="H358" t="str">
            <v>Reprise</v>
          </cell>
          <cell r="I358" t="str">
            <v>REPRISE</v>
          </cell>
          <cell r="J358" t="str">
            <v>Budgété</v>
          </cell>
          <cell r="K358">
            <v>16000</v>
          </cell>
          <cell r="L358">
            <v>16000</v>
          </cell>
          <cell r="O358">
            <v>16000</v>
          </cell>
          <cell r="S358">
            <v>13425</v>
          </cell>
          <cell r="T358" t="str">
            <v>HALMI Abderrahmane</v>
          </cell>
          <cell r="U358" t="str">
            <v>Ordinaire</v>
          </cell>
          <cell r="V358" t="str">
            <v>Reprise</v>
          </cell>
          <cell r="W358" t="str">
            <v>Dotations nouvelles</v>
          </cell>
          <cell r="X358" t="str">
            <v>Aucune</v>
          </cell>
          <cell r="Y358" t="str">
            <v>Prévu</v>
          </cell>
          <cell r="Z358" t="str">
            <v>Reprise</v>
          </cell>
        </row>
        <row r="359">
          <cell r="A359">
            <v>3079</v>
          </cell>
          <cell r="B359">
            <v>1</v>
          </cell>
          <cell r="C359" t="str">
            <v>IV23840</v>
          </cell>
          <cell r="D359" t="str">
            <v>OUTILLAGE DES ATELIERS</v>
          </cell>
          <cell r="E359" t="str">
            <v>Approuvé</v>
          </cell>
          <cell r="F359" t="str">
            <v>K03810</v>
          </cell>
          <cell r="G359">
            <v>2</v>
          </cell>
          <cell r="H359" t="str">
            <v>Reprise</v>
          </cell>
          <cell r="I359" t="str">
            <v>REPRISE</v>
          </cell>
          <cell r="J359" t="str">
            <v>Budgété</v>
          </cell>
          <cell r="K359">
            <v>376682.56</v>
          </cell>
          <cell r="L359">
            <v>376682.56</v>
          </cell>
          <cell r="O359">
            <v>253000</v>
          </cell>
          <cell r="P359">
            <v>123682.56</v>
          </cell>
          <cell r="S359">
            <v>13426</v>
          </cell>
          <cell r="T359" t="str">
            <v>HASSAR OMAR</v>
          </cell>
          <cell r="U359" t="str">
            <v>Ordinaire</v>
          </cell>
          <cell r="V359" t="str">
            <v>Reprise</v>
          </cell>
          <cell r="W359" t="str">
            <v>Dotations nouvelles</v>
          </cell>
          <cell r="X359" t="str">
            <v>Aucune</v>
          </cell>
          <cell r="Y359" t="str">
            <v>Prévu</v>
          </cell>
          <cell r="Z359" t="str">
            <v>Reprise</v>
          </cell>
        </row>
        <row r="360">
          <cell r="A360">
            <v>3080</v>
          </cell>
          <cell r="B360">
            <v>1</v>
          </cell>
          <cell r="C360" t="str">
            <v>IV23841</v>
          </cell>
          <cell r="D360" t="str">
            <v>ACHAT D'OUTILLAGE DIVERS POUR LES ATELIERS MEA</v>
          </cell>
          <cell r="E360" t="str">
            <v>Approuvé</v>
          </cell>
          <cell r="F360" t="str">
            <v>K03710</v>
          </cell>
          <cell r="G360">
            <v>2</v>
          </cell>
          <cell r="H360" t="str">
            <v>Reprise</v>
          </cell>
          <cell r="I360" t="str">
            <v>REPRISE</v>
          </cell>
          <cell r="J360" t="str">
            <v>Budgété</v>
          </cell>
          <cell r="K360">
            <v>901939.68</v>
          </cell>
          <cell r="L360">
            <v>901939.68</v>
          </cell>
          <cell r="O360">
            <v>571000</v>
          </cell>
          <cell r="P360">
            <v>330939.68</v>
          </cell>
          <cell r="S360">
            <v>13427</v>
          </cell>
          <cell r="T360" t="str">
            <v>HALMI Abderrahmane</v>
          </cell>
          <cell r="U360" t="str">
            <v>Ordinaire</v>
          </cell>
          <cell r="V360" t="str">
            <v>Reprise</v>
          </cell>
          <cell r="W360" t="str">
            <v>Dotations nouvelles</v>
          </cell>
          <cell r="X360" t="str">
            <v>Aucune</v>
          </cell>
          <cell r="Y360" t="str">
            <v>Prévu</v>
          </cell>
          <cell r="Z360" t="str">
            <v>Reprise</v>
          </cell>
        </row>
        <row r="361">
          <cell r="A361">
            <v>3081</v>
          </cell>
          <cell r="B361">
            <v>1</v>
          </cell>
          <cell r="C361" t="str">
            <v>IV23842</v>
          </cell>
          <cell r="D361" t="str">
            <v>2 ASPIRATEURS DE FUMEE DE SOUDAGE</v>
          </cell>
          <cell r="E361" t="str">
            <v>Approuvé</v>
          </cell>
          <cell r="F361" t="str">
            <v>K03810</v>
          </cell>
          <cell r="G361">
            <v>2</v>
          </cell>
          <cell r="H361" t="str">
            <v>Reprise</v>
          </cell>
          <cell r="I361" t="str">
            <v>REPRISE</v>
          </cell>
          <cell r="J361" t="str">
            <v>Budgété</v>
          </cell>
          <cell r="K361">
            <v>100000</v>
          </cell>
          <cell r="L361">
            <v>100000</v>
          </cell>
          <cell r="O361">
            <v>100000</v>
          </cell>
          <cell r="S361">
            <v>13428</v>
          </cell>
          <cell r="T361" t="str">
            <v>HASSAR OMAR</v>
          </cell>
          <cell r="U361" t="str">
            <v>Ordinaire</v>
          </cell>
          <cell r="V361" t="str">
            <v>Reprise</v>
          </cell>
          <cell r="W361" t="str">
            <v>Dotations nouvelles</v>
          </cell>
          <cell r="X361" t="str">
            <v>Aucune</v>
          </cell>
          <cell r="Y361" t="str">
            <v>Prévu</v>
          </cell>
          <cell r="Z361" t="str">
            <v>Reprise</v>
          </cell>
        </row>
        <row r="362">
          <cell r="A362">
            <v>3082</v>
          </cell>
          <cell r="B362">
            <v>1</v>
          </cell>
          <cell r="C362" t="str">
            <v>IV23843</v>
          </cell>
          <cell r="D362" t="str">
            <v>1 CHAUFFE EAU ELECTRIQUE 300 LITRES, 7 CHAUFFES EAU ELECTRIQUES 100 LITRES ET 12 CLIMATISEURS DE BUREAUX</v>
          </cell>
          <cell r="E362" t="str">
            <v>Approuvé</v>
          </cell>
          <cell r="F362" t="str">
            <v>K03810</v>
          </cell>
          <cell r="G362">
            <v>2</v>
          </cell>
          <cell r="H362" t="str">
            <v>Reprise</v>
          </cell>
          <cell r="I362" t="str">
            <v>REPRISE</v>
          </cell>
          <cell r="J362" t="str">
            <v>Budgété</v>
          </cell>
          <cell r="K362">
            <v>164000</v>
          </cell>
          <cell r="L362">
            <v>164000</v>
          </cell>
          <cell r="O362">
            <v>164000</v>
          </cell>
          <cell r="S362">
            <v>13429</v>
          </cell>
          <cell r="T362" t="str">
            <v>CHARKI EL YAMANI</v>
          </cell>
          <cell r="U362" t="str">
            <v>Administratif</v>
          </cell>
          <cell r="V362" t="str">
            <v>Reprise</v>
          </cell>
          <cell r="W362" t="str">
            <v>Dotations nouvelles</v>
          </cell>
          <cell r="X362" t="str">
            <v>Aucune</v>
          </cell>
          <cell r="Y362" t="str">
            <v>Prévu</v>
          </cell>
          <cell r="Z362" t="str">
            <v>Reprise</v>
          </cell>
        </row>
        <row r="363">
          <cell r="A363">
            <v>3083</v>
          </cell>
          <cell r="B363">
            <v>1</v>
          </cell>
          <cell r="C363" t="str">
            <v>IV23844</v>
          </cell>
          <cell r="D363" t="str">
            <v>ACHAT DE 15 ENSEMBLES DE PRESSES HYDRAULIQUES</v>
          </cell>
          <cell r="E363" t="str">
            <v>Approuvé</v>
          </cell>
          <cell r="F363" t="str">
            <v>K03731</v>
          </cell>
          <cell r="G363">
            <v>3</v>
          </cell>
          <cell r="I363" t="str">
            <v>TRANSFERT</v>
          </cell>
          <cell r="J363" t="str">
            <v>Budgété</v>
          </cell>
          <cell r="K363">
            <v>633000</v>
          </cell>
          <cell r="L363">
            <v>633000</v>
          </cell>
          <cell r="O363">
            <v>633000</v>
          </cell>
          <cell r="S363">
            <v>20911</v>
          </cell>
          <cell r="T363" t="str">
            <v>HALMI Abderrahmane</v>
          </cell>
          <cell r="U363" t="str">
            <v>Ordinaire</v>
          </cell>
          <cell r="V363" t="str">
            <v>Reprise</v>
          </cell>
          <cell r="W363" t="str">
            <v>Dotations nouvelles</v>
          </cell>
          <cell r="X363" t="str">
            <v>Aucune</v>
          </cell>
          <cell r="Y363" t="str">
            <v>Prévu</v>
          </cell>
          <cell r="Z363" t="str">
            <v>Reprise</v>
          </cell>
        </row>
        <row r="364">
          <cell r="A364">
            <v>3084</v>
          </cell>
          <cell r="B364">
            <v>1</v>
          </cell>
          <cell r="C364" t="str">
            <v>IV23845</v>
          </cell>
          <cell r="D364" t="str">
            <v>MOBILER DE BUREAUX</v>
          </cell>
          <cell r="E364" t="str">
            <v>Approuvé</v>
          </cell>
          <cell r="F364" t="str">
            <v>K03300</v>
          </cell>
          <cell r="G364">
            <v>2</v>
          </cell>
          <cell r="H364" t="str">
            <v>Reprise</v>
          </cell>
          <cell r="I364" t="str">
            <v>REPRISE</v>
          </cell>
          <cell r="J364" t="str">
            <v>Budgété</v>
          </cell>
          <cell r="K364">
            <v>164000</v>
          </cell>
          <cell r="L364">
            <v>164000</v>
          </cell>
          <cell r="O364">
            <v>164000</v>
          </cell>
          <cell r="S364">
            <v>13431</v>
          </cell>
          <cell r="T364" t="str">
            <v>CHARKI EL YAMANI</v>
          </cell>
          <cell r="U364" t="str">
            <v>Administratif</v>
          </cell>
          <cell r="V364" t="str">
            <v>Reprise</v>
          </cell>
          <cell r="W364" t="str">
            <v>Dotations nouvelles</v>
          </cell>
          <cell r="X364" t="str">
            <v>Aucune</v>
          </cell>
          <cell r="Y364" t="str">
            <v>Prévu</v>
          </cell>
          <cell r="Z364" t="str">
            <v>Reprise</v>
          </cell>
        </row>
        <row r="365">
          <cell r="A365">
            <v>3085</v>
          </cell>
          <cell r="B365">
            <v>1</v>
          </cell>
          <cell r="C365" t="str">
            <v>IV23846</v>
          </cell>
          <cell r="D365" t="str">
            <v>ACHAT D'UNE CENTRALE HYDRAULIQUE 600 BARS</v>
          </cell>
          <cell r="E365" t="str">
            <v>Approuvé</v>
          </cell>
          <cell r="F365" t="str">
            <v>K03710</v>
          </cell>
          <cell r="G365">
            <v>2</v>
          </cell>
          <cell r="H365" t="str">
            <v>Reprise</v>
          </cell>
          <cell r="I365" t="str">
            <v>REPRISE</v>
          </cell>
          <cell r="J365" t="str">
            <v>Budgété</v>
          </cell>
          <cell r="K365">
            <v>300000</v>
          </cell>
          <cell r="L365">
            <v>300000</v>
          </cell>
          <cell r="O365">
            <v>300000</v>
          </cell>
          <cell r="S365">
            <v>13432</v>
          </cell>
          <cell r="T365" t="str">
            <v>HALMI Abderrahmane</v>
          </cell>
          <cell r="U365" t="str">
            <v>Ordinaire</v>
          </cell>
          <cell r="V365" t="str">
            <v>Reprise</v>
          </cell>
          <cell r="W365" t="str">
            <v>Dotations nouvelles</v>
          </cell>
          <cell r="X365" t="str">
            <v>Aucune</v>
          </cell>
          <cell r="Y365" t="str">
            <v>Prévu</v>
          </cell>
          <cell r="Z365" t="str">
            <v>Reprise</v>
          </cell>
        </row>
        <row r="366">
          <cell r="A366">
            <v>3086</v>
          </cell>
          <cell r="B366">
            <v>1</v>
          </cell>
          <cell r="C366" t="str">
            <v>IV23847</v>
          </cell>
          <cell r="D366" t="str">
            <v>3 ROULOTTES DE CHANTIERS SUR ROUES</v>
          </cell>
          <cell r="E366" t="str">
            <v>Approuvé</v>
          </cell>
          <cell r="F366" t="str">
            <v>K03301</v>
          </cell>
          <cell r="G366">
            <v>2</v>
          </cell>
          <cell r="H366" t="str">
            <v>Reprise</v>
          </cell>
          <cell r="I366" t="str">
            <v>REPRISE</v>
          </cell>
          <cell r="J366" t="str">
            <v>Budgété</v>
          </cell>
          <cell r="K366">
            <v>900000</v>
          </cell>
          <cell r="L366">
            <v>900000</v>
          </cell>
          <cell r="O366">
            <v>900000</v>
          </cell>
          <cell r="S366">
            <v>13433</v>
          </cell>
          <cell r="T366" t="str">
            <v>EL KASSI SOUFIYANE</v>
          </cell>
          <cell r="U366" t="str">
            <v>Ordinaire</v>
          </cell>
          <cell r="V366" t="str">
            <v>Reprise</v>
          </cell>
          <cell r="W366" t="str">
            <v>Dotations nouvelles</v>
          </cell>
          <cell r="X366" t="str">
            <v>Aucune</v>
          </cell>
          <cell r="Y366" t="str">
            <v>Prévu</v>
          </cell>
          <cell r="Z366" t="str">
            <v>Reprise</v>
          </cell>
        </row>
        <row r="367">
          <cell r="A367">
            <v>3087</v>
          </cell>
          <cell r="B367">
            <v>1</v>
          </cell>
          <cell r="C367" t="str">
            <v>IV23848</v>
          </cell>
          <cell r="D367" t="str">
            <v>4 ASPIRATEURS DE POUSSIERE</v>
          </cell>
          <cell r="E367" t="str">
            <v>Approuvé</v>
          </cell>
          <cell r="F367" t="str">
            <v>K03200</v>
          </cell>
          <cell r="G367">
            <v>2</v>
          </cell>
          <cell r="H367" t="str">
            <v>Reprise</v>
          </cell>
          <cell r="I367" t="str">
            <v>REPRISE</v>
          </cell>
          <cell r="J367" t="str">
            <v>Budgété</v>
          </cell>
          <cell r="K367">
            <v>78880</v>
          </cell>
          <cell r="L367">
            <v>78880</v>
          </cell>
          <cell r="O367">
            <v>40000</v>
          </cell>
          <cell r="P367">
            <v>38880</v>
          </cell>
          <cell r="S367">
            <v>13434</v>
          </cell>
          <cell r="T367" t="str">
            <v>NABZAR AHMED</v>
          </cell>
          <cell r="U367" t="str">
            <v>Ordinaire</v>
          </cell>
          <cell r="V367" t="str">
            <v>Reprise</v>
          </cell>
          <cell r="W367" t="str">
            <v>Dotations nouvelles</v>
          </cell>
          <cell r="X367" t="str">
            <v>Aucune</v>
          </cell>
          <cell r="Y367" t="str">
            <v>Prévu</v>
          </cell>
          <cell r="Z367" t="str">
            <v>Reprise</v>
          </cell>
        </row>
        <row r="368">
          <cell r="A368">
            <v>3088</v>
          </cell>
          <cell r="B368">
            <v>1</v>
          </cell>
          <cell r="C368" t="str">
            <v>IV23849</v>
          </cell>
          <cell r="D368" t="str">
            <v>01 TIREUSE  DE PLANS SUR PAPIER  ORDINAIRE</v>
          </cell>
          <cell r="E368" t="str">
            <v>Approuvé</v>
          </cell>
          <cell r="F368" t="str">
            <v>K03204</v>
          </cell>
          <cell r="G368">
            <v>2</v>
          </cell>
          <cell r="H368" t="str">
            <v>Reprise</v>
          </cell>
          <cell r="I368" t="str">
            <v>REPRISE</v>
          </cell>
          <cell r="J368" t="str">
            <v>Budgété</v>
          </cell>
          <cell r="K368">
            <v>202400</v>
          </cell>
          <cell r="L368">
            <v>202400</v>
          </cell>
          <cell r="O368">
            <v>140000</v>
          </cell>
          <cell r="P368">
            <v>62400</v>
          </cell>
          <cell r="S368">
            <v>13435</v>
          </cell>
          <cell r="T368" t="str">
            <v>NABZAR AHMED</v>
          </cell>
          <cell r="U368" t="str">
            <v>Ordinaire</v>
          </cell>
          <cell r="V368" t="str">
            <v>Reprise</v>
          </cell>
          <cell r="W368" t="str">
            <v>Dotations nouvelles</v>
          </cell>
          <cell r="X368" t="str">
            <v>Aucune</v>
          </cell>
          <cell r="Y368" t="str">
            <v>Prévu</v>
          </cell>
          <cell r="Z368" t="str">
            <v>Reprise</v>
          </cell>
        </row>
        <row r="369">
          <cell r="A369">
            <v>3089</v>
          </cell>
          <cell r="B369">
            <v>1</v>
          </cell>
          <cell r="C369" t="str">
            <v>IV23850</v>
          </cell>
          <cell r="D369" t="str">
            <v>01 PAIRE DE JUMELLES DE PORTEE MINI 200M ET 01 CAMERA INFRA-ROUGE</v>
          </cell>
          <cell r="E369" t="str">
            <v>Approuvé</v>
          </cell>
          <cell r="F369" t="str">
            <v>K03810</v>
          </cell>
          <cell r="G369">
            <v>2</v>
          </cell>
          <cell r="H369" t="str">
            <v>Reprise</v>
          </cell>
          <cell r="I369" t="str">
            <v>REPRISE</v>
          </cell>
          <cell r="J369" t="str">
            <v>Budgété</v>
          </cell>
          <cell r="K369">
            <v>406000</v>
          </cell>
          <cell r="L369">
            <v>406000</v>
          </cell>
          <cell r="O369">
            <v>406000</v>
          </cell>
          <cell r="S369">
            <v>13436</v>
          </cell>
          <cell r="T369" t="str">
            <v>EL BOUCHRIFI Yagoub</v>
          </cell>
          <cell r="U369" t="str">
            <v>Administratif</v>
          </cell>
          <cell r="V369" t="str">
            <v>Reprise</v>
          </cell>
          <cell r="W369" t="str">
            <v>Dotations nouvelles</v>
          </cell>
          <cell r="X369" t="str">
            <v>Aucune</v>
          </cell>
          <cell r="Y369" t="str">
            <v>Prévu</v>
          </cell>
          <cell r="Z369" t="str">
            <v>Reprise</v>
          </cell>
        </row>
        <row r="370">
          <cell r="A370">
            <v>3090</v>
          </cell>
          <cell r="B370">
            <v>1</v>
          </cell>
          <cell r="C370" t="str">
            <v>IV23851</v>
          </cell>
          <cell r="D370" t="str">
            <v>01 TONDEUSE A GAZON THERMIQUE</v>
          </cell>
          <cell r="E370" t="str">
            <v>Approuvé</v>
          </cell>
          <cell r="F370" t="str">
            <v>K03204</v>
          </cell>
          <cell r="G370">
            <v>2</v>
          </cell>
          <cell r="H370" t="str">
            <v>Reprise</v>
          </cell>
          <cell r="I370" t="str">
            <v>REPRISE</v>
          </cell>
          <cell r="J370" t="str">
            <v>Budgété</v>
          </cell>
          <cell r="K370">
            <v>89000.8</v>
          </cell>
          <cell r="L370">
            <v>89000.8</v>
          </cell>
          <cell r="O370">
            <v>55000</v>
          </cell>
          <cell r="P370">
            <v>34000.800000000003</v>
          </cell>
          <cell r="S370">
            <v>13437</v>
          </cell>
          <cell r="T370" t="str">
            <v>NABZAR AHMED</v>
          </cell>
          <cell r="U370" t="str">
            <v>Ordinaire</v>
          </cell>
          <cell r="V370" t="str">
            <v>Reprise</v>
          </cell>
          <cell r="W370" t="str">
            <v>Dotations nouvelles</v>
          </cell>
          <cell r="X370" t="str">
            <v>Aucune</v>
          </cell>
          <cell r="Y370" t="str">
            <v>Prévu</v>
          </cell>
          <cell r="Z370" t="str">
            <v>Reprise</v>
          </cell>
        </row>
        <row r="371">
          <cell r="A371">
            <v>3091</v>
          </cell>
          <cell r="B371">
            <v>1</v>
          </cell>
          <cell r="C371" t="str">
            <v>IV23852</v>
          </cell>
          <cell r="D371" t="str">
            <v>MOBILIER ET EQUIPEMENT DE BUREAU</v>
          </cell>
          <cell r="E371" t="str">
            <v>Approuvé</v>
          </cell>
          <cell r="F371" t="str">
            <v>K03731</v>
          </cell>
          <cell r="G371">
            <v>2</v>
          </cell>
          <cell r="H371" t="str">
            <v>Reprise</v>
          </cell>
          <cell r="I371" t="str">
            <v>REPRISE</v>
          </cell>
          <cell r="J371" t="str">
            <v>Budgété</v>
          </cell>
          <cell r="K371">
            <v>152000</v>
          </cell>
          <cell r="L371">
            <v>152000</v>
          </cell>
          <cell r="O371">
            <v>152000</v>
          </cell>
          <cell r="S371">
            <v>13438</v>
          </cell>
          <cell r="T371" t="str">
            <v>CHARKI EL YAMANI</v>
          </cell>
          <cell r="U371" t="str">
            <v>Administratif</v>
          </cell>
          <cell r="V371" t="str">
            <v>Reprise</v>
          </cell>
          <cell r="W371" t="str">
            <v>Dotations nouvelles</v>
          </cell>
          <cell r="X371" t="str">
            <v>Aucune</v>
          </cell>
          <cell r="Y371" t="str">
            <v>Prévu</v>
          </cell>
          <cell r="Z371" t="str">
            <v>Reprise</v>
          </cell>
        </row>
        <row r="372">
          <cell r="A372">
            <v>3092</v>
          </cell>
          <cell r="B372">
            <v>1</v>
          </cell>
          <cell r="C372" t="str">
            <v>IV23856</v>
          </cell>
          <cell r="D372" t="str">
            <v>RENOUVELLEMENT DE LA CHAUDIERE A DU COZ</v>
          </cell>
          <cell r="E372" t="str">
            <v>Approuvé</v>
          </cell>
          <cell r="F372" t="str">
            <v>K04305</v>
          </cell>
          <cell r="G372">
            <v>2</v>
          </cell>
          <cell r="H372" t="str">
            <v>Reprise</v>
          </cell>
          <cell r="I372" t="str">
            <v>REPRISE</v>
          </cell>
          <cell r="J372" t="str">
            <v>Budgété</v>
          </cell>
          <cell r="K372">
            <v>1005000</v>
          </cell>
          <cell r="L372">
            <v>1005000</v>
          </cell>
          <cell r="O372">
            <v>1005000</v>
          </cell>
          <cell r="S372">
            <v>13439</v>
          </cell>
          <cell r="T372" t="str">
            <v>NABZAR AHMED</v>
          </cell>
          <cell r="U372" t="str">
            <v>Ordinaire</v>
          </cell>
          <cell r="V372" t="str">
            <v>Reprise</v>
          </cell>
          <cell r="W372" t="str">
            <v>Renouvellement</v>
          </cell>
          <cell r="X372" t="str">
            <v>Aucune</v>
          </cell>
          <cell r="Y372" t="str">
            <v>Prévu</v>
          </cell>
          <cell r="Z372" t="str">
            <v>Reprise</v>
          </cell>
        </row>
        <row r="373">
          <cell r="A373">
            <v>3093</v>
          </cell>
          <cell r="B373">
            <v>1</v>
          </cell>
          <cell r="C373" t="str">
            <v>IV23868</v>
          </cell>
          <cell r="D373" t="str">
            <v>01 FONTAINE REFRIGERANTE</v>
          </cell>
          <cell r="E373" t="str">
            <v>Approuvé</v>
          </cell>
          <cell r="F373" t="str">
            <v>K03710</v>
          </cell>
          <cell r="G373">
            <v>2</v>
          </cell>
          <cell r="H373" t="str">
            <v>Reprise</v>
          </cell>
          <cell r="I373" t="str">
            <v>REPRISE</v>
          </cell>
          <cell r="J373" t="str">
            <v>Budgété</v>
          </cell>
          <cell r="K373">
            <v>20000</v>
          </cell>
          <cell r="L373">
            <v>20000</v>
          </cell>
          <cell r="O373">
            <v>20000</v>
          </cell>
          <cell r="S373">
            <v>13440</v>
          </cell>
          <cell r="T373" t="str">
            <v>CHARKI EL YAMANI</v>
          </cell>
          <cell r="U373" t="str">
            <v>Administratif</v>
          </cell>
          <cell r="V373" t="str">
            <v>Reprise</v>
          </cell>
          <cell r="W373" t="str">
            <v>Renouvellement</v>
          </cell>
          <cell r="X373" t="str">
            <v>Aucune</v>
          </cell>
          <cell r="Y373" t="str">
            <v>Prévu</v>
          </cell>
          <cell r="Z373" t="str">
            <v>Reprise</v>
          </cell>
        </row>
        <row r="374">
          <cell r="A374">
            <v>3094</v>
          </cell>
          <cell r="B374">
            <v>1</v>
          </cell>
          <cell r="C374" t="str">
            <v>IV23869</v>
          </cell>
          <cell r="D374" t="str">
            <v>ACQUISITION DE 12 CLIMATISEURS</v>
          </cell>
          <cell r="E374" t="str">
            <v>Approuvé</v>
          </cell>
          <cell r="F374" t="str">
            <v>K11718</v>
          </cell>
          <cell r="G374">
            <v>2</v>
          </cell>
          <cell r="H374" t="str">
            <v>Reprise</v>
          </cell>
          <cell r="I374" t="str">
            <v>REPRISE</v>
          </cell>
          <cell r="J374" t="str">
            <v>Budgété</v>
          </cell>
          <cell r="K374">
            <v>233360</v>
          </cell>
          <cell r="L374">
            <v>233360</v>
          </cell>
          <cell r="O374">
            <v>140000</v>
          </cell>
          <cell r="P374">
            <v>93360</v>
          </cell>
          <cell r="S374">
            <v>13441</v>
          </cell>
          <cell r="T374" t="str">
            <v>NABZAR AHMED</v>
          </cell>
          <cell r="U374" t="str">
            <v>Administratif</v>
          </cell>
          <cell r="V374" t="str">
            <v>Reprise</v>
          </cell>
          <cell r="W374" t="str">
            <v>Dotations nouvelles</v>
          </cell>
          <cell r="X374" t="str">
            <v>Aucune</v>
          </cell>
          <cell r="Y374" t="str">
            <v>Prévu</v>
          </cell>
          <cell r="Z374" t="str">
            <v>Reprise</v>
          </cell>
        </row>
        <row r="375">
          <cell r="A375">
            <v>3095</v>
          </cell>
          <cell r="B375">
            <v>1</v>
          </cell>
          <cell r="C375" t="str">
            <v>IV23871</v>
          </cell>
          <cell r="D375" t="str">
            <v>RN D'UN CAMION GRUE</v>
          </cell>
          <cell r="E375" t="str">
            <v>Approuvé</v>
          </cell>
          <cell r="F375" t="str">
            <v>K11712</v>
          </cell>
          <cell r="G375">
            <v>2</v>
          </cell>
          <cell r="H375" t="str">
            <v>Reprise</v>
          </cell>
          <cell r="I375" t="str">
            <v>REPRISE</v>
          </cell>
          <cell r="J375" t="str">
            <v>Budgété</v>
          </cell>
          <cell r="K375">
            <v>980000</v>
          </cell>
          <cell r="L375">
            <v>980000</v>
          </cell>
          <cell r="O375">
            <v>980000</v>
          </cell>
          <cell r="S375">
            <v>13442</v>
          </cell>
          <cell r="T375" t="str">
            <v>NABZAR AHMED</v>
          </cell>
          <cell r="U375" t="str">
            <v>Ordinaire</v>
          </cell>
          <cell r="V375" t="str">
            <v>Reprise</v>
          </cell>
          <cell r="W375" t="str">
            <v>Renouvellement</v>
          </cell>
          <cell r="X375" t="str">
            <v>Aucune</v>
          </cell>
          <cell r="Y375" t="str">
            <v>Prévu</v>
          </cell>
          <cell r="Z375" t="str">
            <v>Reprise</v>
          </cell>
        </row>
        <row r="376">
          <cell r="A376">
            <v>3096</v>
          </cell>
          <cell r="B376">
            <v>1</v>
          </cell>
          <cell r="C376" t="str">
            <v>IV23880</v>
          </cell>
          <cell r="D376" t="str">
            <v>APPAREIL DE MESURE DE VIBRATION</v>
          </cell>
          <cell r="E376" t="str">
            <v>Approuvé</v>
          </cell>
          <cell r="F376" t="str">
            <v>K03546</v>
          </cell>
          <cell r="G376">
            <v>2</v>
          </cell>
          <cell r="H376" t="str">
            <v>Reprise</v>
          </cell>
          <cell r="I376" t="str">
            <v>REPRISE</v>
          </cell>
          <cell r="J376" t="str">
            <v>Budgété</v>
          </cell>
          <cell r="K376">
            <v>300000</v>
          </cell>
          <cell r="L376">
            <v>300000</v>
          </cell>
          <cell r="O376">
            <v>300000</v>
          </cell>
          <cell r="S376">
            <v>13443</v>
          </cell>
          <cell r="T376" t="str">
            <v>MAGHRAOUI Brahim</v>
          </cell>
          <cell r="U376" t="str">
            <v>Ordinaire</v>
          </cell>
          <cell r="V376" t="str">
            <v>Reprise</v>
          </cell>
          <cell r="W376" t="str">
            <v>Dotations nouvelles</v>
          </cell>
          <cell r="X376" t="str">
            <v>Aucune</v>
          </cell>
          <cell r="Y376" t="str">
            <v>Prévu</v>
          </cell>
          <cell r="Z376" t="str">
            <v>Reprise</v>
          </cell>
        </row>
        <row r="377">
          <cell r="A377">
            <v>3097</v>
          </cell>
          <cell r="B377">
            <v>1</v>
          </cell>
          <cell r="C377" t="str">
            <v>IV23887</v>
          </cell>
          <cell r="D377" t="str">
            <v>ACQUISITION D'UNE SONDE GAMMA RAY</v>
          </cell>
          <cell r="E377" t="str">
            <v>Approuvé</v>
          </cell>
          <cell r="F377" t="str">
            <v>K01369</v>
          </cell>
          <cell r="G377">
            <v>2</v>
          </cell>
          <cell r="H377" t="str">
            <v>Reprise</v>
          </cell>
          <cell r="I377" t="str">
            <v>REPRISE</v>
          </cell>
          <cell r="J377" t="str">
            <v>Budgété</v>
          </cell>
          <cell r="K377">
            <v>440000</v>
          </cell>
          <cell r="L377">
            <v>440000</v>
          </cell>
          <cell r="O377">
            <v>440000</v>
          </cell>
          <cell r="S377">
            <v>13444</v>
          </cell>
          <cell r="T377" t="str">
            <v>NABZAR AHMED</v>
          </cell>
          <cell r="U377" t="str">
            <v>Etudes et essais</v>
          </cell>
          <cell r="V377" t="str">
            <v>Reprise</v>
          </cell>
          <cell r="W377" t="str">
            <v>Dotations nouvelles</v>
          </cell>
          <cell r="X377" t="str">
            <v>Aucune</v>
          </cell>
          <cell r="Y377" t="str">
            <v>Prévu</v>
          </cell>
          <cell r="Z377" t="str">
            <v>Reprise</v>
          </cell>
        </row>
        <row r="378">
          <cell r="A378">
            <v>3098</v>
          </cell>
          <cell r="B378">
            <v>1</v>
          </cell>
          <cell r="C378" t="str">
            <v>IV23890</v>
          </cell>
          <cell r="D378" t="str">
            <v>RENOUVELLEMENT D'UN ANALYSEUR MULTIPARAMETRIQUE POUR LE LABORATOIRE DE PMK / AK / M</v>
          </cell>
          <cell r="E378" t="str">
            <v>Approuvé</v>
          </cell>
          <cell r="F378" t="str">
            <v>K01413</v>
          </cell>
          <cell r="G378">
            <v>2</v>
          </cell>
          <cell r="H378" t="str">
            <v>Reprise</v>
          </cell>
          <cell r="I378" t="str">
            <v>REPRISE</v>
          </cell>
          <cell r="J378" t="str">
            <v>Budgété</v>
          </cell>
          <cell r="K378">
            <v>800000</v>
          </cell>
          <cell r="L378">
            <v>800000</v>
          </cell>
          <cell r="O378">
            <v>275978</v>
          </cell>
          <cell r="P378">
            <v>524022</v>
          </cell>
          <cell r="S378">
            <v>13445</v>
          </cell>
          <cell r="T378" t="str">
            <v>NABZAR AHMED</v>
          </cell>
          <cell r="U378" t="str">
            <v>Médical</v>
          </cell>
          <cell r="V378" t="str">
            <v>Reprise</v>
          </cell>
          <cell r="W378" t="str">
            <v>Renouvellement</v>
          </cell>
          <cell r="X378" t="str">
            <v>Aucune</v>
          </cell>
          <cell r="Y378" t="str">
            <v>Prévu</v>
          </cell>
          <cell r="Z378" t="str">
            <v>Reprise</v>
          </cell>
        </row>
        <row r="379">
          <cell r="A379">
            <v>3099</v>
          </cell>
          <cell r="B379">
            <v>1</v>
          </cell>
          <cell r="C379" t="str">
            <v>IV23899</v>
          </cell>
          <cell r="D379" t="str">
            <v>ACQUISITION DE MOBILIER DE BUREAU EN DOTATION NOUVELLE POUR PMK / AK / M</v>
          </cell>
          <cell r="E379" t="str">
            <v>Approuvé</v>
          </cell>
          <cell r="F379" t="str">
            <v>K01419</v>
          </cell>
          <cell r="G379">
            <v>2</v>
          </cell>
          <cell r="H379" t="str">
            <v>Reprise</v>
          </cell>
          <cell r="I379" t="str">
            <v>REPRISE</v>
          </cell>
          <cell r="J379" t="str">
            <v>Budgété</v>
          </cell>
          <cell r="K379">
            <v>92044.800000000003</v>
          </cell>
          <cell r="L379">
            <v>92044.800000000003</v>
          </cell>
          <cell r="O379">
            <v>60000</v>
          </cell>
          <cell r="P379">
            <v>32044.799999999999</v>
          </cell>
          <cell r="S379">
            <v>13446</v>
          </cell>
          <cell r="T379" t="str">
            <v>NABZAR AHMED</v>
          </cell>
          <cell r="U379" t="str">
            <v>Administratif</v>
          </cell>
          <cell r="V379" t="str">
            <v>Reprise</v>
          </cell>
          <cell r="W379" t="str">
            <v>Dotations nouvelles</v>
          </cell>
          <cell r="X379" t="str">
            <v>Aucune</v>
          </cell>
          <cell r="Y379" t="str">
            <v>Prévu</v>
          </cell>
          <cell r="Z379" t="str">
            <v>Reprise</v>
          </cell>
        </row>
        <row r="380">
          <cell r="A380">
            <v>3100</v>
          </cell>
          <cell r="B380">
            <v>1</v>
          </cell>
          <cell r="C380" t="str">
            <v>IV23908</v>
          </cell>
          <cell r="D380" t="str">
            <v>10 CLIMATISEURS</v>
          </cell>
          <cell r="E380" t="str">
            <v>Approuvé</v>
          </cell>
          <cell r="F380" t="str">
            <v>K03500</v>
          </cell>
          <cell r="G380">
            <v>2</v>
          </cell>
          <cell r="H380" t="str">
            <v>Reprise</v>
          </cell>
          <cell r="I380" t="str">
            <v>REPRISE</v>
          </cell>
          <cell r="J380" t="str">
            <v>Budgété</v>
          </cell>
          <cell r="K380">
            <v>100000</v>
          </cell>
          <cell r="L380">
            <v>100000</v>
          </cell>
          <cell r="O380">
            <v>100000</v>
          </cell>
          <cell r="S380">
            <v>13447</v>
          </cell>
          <cell r="T380" t="str">
            <v>CHARKI EL YAMANI</v>
          </cell>
          <cell r="U380" t="str">
            <v>Administratif</v>
          </cell>
          <cell r="V380" t="str">
            <v>Reprise</v>
          </cell>
          <cell r="W380" t="str">
            <v>Renouvellement</v>
          </cell>
          <cell r="X380" t="str">
            <v>Aucune</v>
          </cell>
          <cell r="Y380" t="str">
            <v>Prévu</v>
          </cell>
          <cell r="Z380" t="str">
            <v>Reprise</v>
          </cell>
        </row>
        <row r="381">
          <cell r="A381">
            <v>3101</v>
          </cell>
          <cell r="B381">
            <v>1</v>
          </cell>
          <cell r="C381" t="str">
            <v>IV23910</v>
          </cell>
          <cell r="D381" t="str">
            <v>MOBILIER ET EQUIPEMENT DE BUREAUX</v>
          </cell>
          <cell r="E381" t="str">
            <v>Approuvé</v>
          </cell>
          <cell r="F381" t="str">
            <v>K03500</v>
          </cell>
          <cell r="G381">
            <v>2</v>
          </cell>
          <cell r="H381" t="str">
            <v>Reprise</v>
          </cell>
          <cell r="I381" t="str">
            <v>REPRISE</v>
          </cell>
          <cell r="J381" t="str">
            <v>Budgété</v>
          </cell>
          <cell r="K381">
            <v>240000</v>
          </cell>
          <cell r="L381">
            <v>240000</v>
          </cell>
          <cell r="O381">
            <v>240000</v>
          </cell>
          <cell r="S381">
            <v>13448</v>
          </cell>
          <cell r="T381" t="str">
            <v>CHARKI EL YAMANI</v>
          </cell>
          <cell r="U381" t="str">
            <v>Administratif</v>
          </cell>
          <cell r="V381" t="str">
            <v>Reprise</v>
          </cell>
          <cell r="W381" t="str">
            <v>Renouvellement</v>
          </cell>
          <cell r="X381" t="str">
            <v>Aucune</v>
          </cell>
          <cell r="Y381" t="str">
            <v>Prévu</v>
          </cell>
          <cell r="Z381" t="str">
            <v>Reprise</v>
          </cell>
        </row>
        <row r="382">
          <cell r="A382">
            <v>3102</v>
          </cell>
          <cell r="B382">
            <v>1</v>
          </cell>
          <cell r="C382" t="str">
            <v>IV23916</v>
          </cell>
          <cell r="D382" t="str">
            <v>06 MODEMS NUMERIQUES</v>
          </cell>
          <cell r="E382" t="str">
            <v>Approuvé</v>
          </cell>
          <cell r="F382" t="str">
            <v>K03500</v>
          </cell>
          <cell r="G382">
            <v>2</v>
          </cell>
          <cell r="H382" t="str">
            <v>Reprise</v>
          </cell>
          <cell r="I382" t="str">
            <v>REPRISE</v>
          </cell>
          <cell r="J382" t="str">
            <v>Budgété</v>
          </cell>
          <cell r="K382">
            <v>180000</v>
          </cell>
          <cell r="L382">
            <v>180000</v>
          </cell>
          <cell r="O382">
            <v>90000</v>
          </cell>
          <cell r="P382">
            <v>90000</v>
          </cell>
          <cell r="S382">
            <v>13503</v>
          </cell>
          <cell r="T382" t="str">
            <v>NABZAR AHMED</v>
          </cell>
          <cell r="U382" t="str">
            <v>Administratif</v>
          </cell>
          <cell r="V382" t="str">
            <v>Reprise</v>
          </cell>
          <cell r="W382" t="str">
            <v>Dotations nouvelles</v>
          </cell>
          <cell r="X382" t="str">
            <v>Aucune</v>
          </cell>
          <cell r="Y382" t="str">
            <v>Prévu</v>
          </cell>
          <cell r="Z382" t="str">
            <v>Reprise</v>
          </cell>
        </row>
        <row r="383">
          <cell r="A383">
            <v>3103</v>
          </cell>
          <cell r="B383">
            <v>1</v>
          </cell>
          <cell r="C383" t="str">
            <v>IV23917</v>
          </cell>
          <cell r="D383" t="str">
            <v>01 DEMONTE PNEUS</v>
          </cell>
          <cell r="E383" t="str">
            <v>Approuvé</v>
          </cell>
          <cell r="F383" t="str">
            <v>K03720</v>
          </cell>
          <cell r="G383">
            <v>2</v>
          </cell>
          <cell r="H383" t="str">
            <v>Reprise</v>
          </cell>
          <cell r="I383" t="str">
            <v>REPRISE</v>
          </cell>
          <cell r="J383" t="str">
            <v>Budgété</v>
          </cell>
          <cell r="K383">
            <v>364400</v>
          </cell>
          <cell r="L383">
            <v>364400</v>
          </cell>
          <cell r="O383">
            <v>200000</v>
          </cell>
          <cell r="P383">
            <v>164400</v>
          </cell>
          <cell r="S383">
            <v>13504</v>
          </cell>
          <cell r="T383" t="str">
            <v>NABZAR AHMED</v>
          </cell>
          <cell r="U383" t="str">
            <v>Ordinaire</v>
          </cell>
          <cell r="V383" t="str">
            <v>Reprise</v>
          </cell>
          <cell r="W383" t="str">
            <v>Dotations nouvelles</v>
          </cell>
          <cell r="X383" t="str">
            <v>Aucune</v>
          </cell>
          <cell r="Y383" t="str">
            <v>Prévu</v>
          </cell>
          <cell r="Z383" t="str">
            <v>Reprise</v>
          </cell>
        </row>
        <row r="384">
          <cell r="A384">
            <v>3104</v>
          </cell>
          <cell r="B384">
            <v>1</v>
          </cell>
          <cell r="C384" t="str">
            <v>IV23922</v>
          </cell>
          <cell r="D384" t="str">
            <v>ACHAT DE MATÉRIEL DE LABORATOIRE DES LUBRIFIANTS</v>
          </cell>
          <cell r="E384" t="str">
            <v>Approuvé</v>
          </cell>
          <cell r="F384" t="str">
            <v>K11801</v>
          </cell>
          <cell r="G384">
            <v>2</v>
          </cell>
          <cell r="H384" t="str">
            <v>Reprise</v>
          </cell>
          <cell r="I384" t="str">
            <v>REPRISE</v>
          </cell>
          <cell r="J384" t="str">
            <v>Budgété</v>
          </cell>
          <cell r="K384">
            <v>480000</v>
          </cell>
          <cell r="L384">
            <v>480000</v>
          </cell>
          <cell r="O384">
            <v>480000</v>
          </cell>
          <cell r="S384">
            <v>13505</v>
          </cell>
          <cell r="T384" t="str">
            <v>NABZAR AHMED</v>
          </cell>
          <cell r="U384" t="str">
            <v>Ordinaire</v>
          </cell>
          <cell r="V384" t="str">
            <v>Reprise</v>
          </cell>
          <cell r="W384" t="str">
            <v>Dotations nouvelles</v>
          </cell>
          <cell r="X384" t="str">
            <v>Aucune</v>
          </cell>
          <cell r="Y384" t="str">
            <v>Prévu</v>
          </cell>
          <cell r="Z384" t="str">
            <v>Reprise</v>
          </cell>
        </row>
        <row r="385">
          <cell r="A385">
            <v>3105</v>
          </cell>
          <cell r="B385">
            <v>1</v>
          </cell>
          <cell r="C385" t="str">
            <v>IV23923</v>
          </cell>
          <cell r="D385" t="str">
            <v>ACHAT DE MATÉRIEL DE LABORATOIRE DES LUBRIFIANTS</v>
          </cell>
          <cell r="E385" t="str">
            <v>Approuvé</v>
          </cell>
          <cell r="F385" t="str">
            <v>K11801</v>
          </cell>
          <cell r="G385">
            <v>2</v>
          </cell>
          <cell r="H385" t="str">
            <v>Reprise</v>
          </cell>
          <cell r="I385" t="str">
            <v>REPRISE</v>
          </cell>
          <cell r="J385" t="str">
            <v>Budgété</v>
          </cell>
          <cell r="K385">
            <v>822535.97</v>
          </cell>
          <cell r="L385">
            <v>822535.97</v>
          </cell>
          <cell r="O385">
            <v>450000</v>
          </cell>
          <cell r="P385">
            <v>372535.97</v>
          </cell>
          <cell r="S385">
            <v>13506</v>
          </cell>
          <cell r="T385" t="str">
            <v>NABZAR AHMED</v>
          </cell>
          <cell r="U385" t="str">
            <v>Ordinaire</v>
          </cell>
          <cell r="V385" t="str">
            <v>Reprise</v>
          </cell>
          <cell r="W385" t="str">
            <v>Dotations nouvelles</v>
          </cell>
          <cell r="X385" t="str">
            <v>Aucune</v>
          </cell>
          <cell r="Y385" t="str">
            <v>Prévu</v>
          </cell>
          <cell r="Z385" t="str">
            <v>Reprise</v>
          </cell>
        </row>
        <row r="386">
          <cell r="A386">
            <v>3106</v>
          </cell>
          <cell r="B386">
            <v>1</v>
          </cell>
          <cell r="C386" t="str">
            <v>IV23939</v>
          </cell>
          <cell r="D386" t="str">
            <v>01 APPAREIL D'ANALYSE D'HUILE</v>
          </cell>
          <cell r="E386" t="str">
            <v>Approuvé</v>
          </cell>
          <cell r="F386" t="str">
            <v>K03550</v>
          </cell>
          <cell r="G386">
            <v>2</v>
          </cell>
          <cell r="H386" t="str">
            <v>Reprise</v>
          </cell>
          <cell r="I386" t="str">
            <v>REPRISE</v>
          </cell>
          <cell r="J386" t="str">
            <v>Budgété</v>
          </cell>
          <cell r="K386">
            <v>450000</v>
          </cell>
          <cell r="L386">
            <v>450000</v>
          </cell>
          <cell r="O386">
            <v>450000</v>
          </cell>
          <cell r="S386">
            <v>13507</v>
          </cell>
          <cell r="T386" t="str">
            <v>MAGHRAOUI Brahim</v>
          </cell>
          <cell r="U386" t="str">
            <v>Ordinaire</v>
          </cell>
          <cell r="V386" t="str">
            <v>Reprise</v>
          </cell>
          <cell r="W386" t="str">
            <v>Dotations nouvelles</v>
          </cell>
          <cell r="X386" t="str">
            <v>Aucune</v>
          </cell>
          <cell r="Y386" t="str">
            <v>Prévu</v>
          </cell>
          <cell r="Z386" t="str">
            <v>Reprise</v>
          </cell>
        </row>
        <row r="387">
          <cell r="A387">
            <v>3107</v>
          </cell>
          <cell r="B387">
            <v>1</v>
          </cell>
          <cell r="C387" t="str">
            <v>IV23972</v>
          </cell>
          <cell r="D387" t="str">
            <v>ACHAT MOBILIER DE BUREAU</v>
          </cell>
          <cell r="E387" t="str">
            <v>Approuvé</v>
          </cell>
          <cell r="F387" t="str">
            <v>K11030</v>
          </cell>
          <cell r="G387">
            <v>2</v>
          </cell>
          <cell r="H387" t="str">
            <v>Reprise</v>
          </cell>
          <cell r="I387" t="str">
            <v>REPRISE</v>
          </cell>
          <cell r="J387" t="str">
            <v>Budgété</v>
          </cell>
          <cell r="K387">
            <v>37560</v>
          </cell>
          <cell r="L387">
            <v>37560</v>
          </cell>
          <cell r="O387">
            <v>14100</v>
          </cell>
          <cell r="P387">
            <v>23460</v>
          </cell>
          <cell r="S387">
            <v>13508</v>
          </cell>
          <cell r="T387" t="str">
            <v>NABZAR AHMED</v>
          </cell>
          <cell r="U387" t="str">
            <v>Administratif</v>
          </cell>
          <cell r="V387" t="str">
            <v>Reprise</v>
          </cell>
          <cell r="W387" t="str">
            <v>Dotations nouvelles</v>
          </cell>
          <cell r="X387" t="str">
            <v>Aucune</v>
          </cell>
          <cell r="Y387" t="str">
            <v>Prévu</v>
          </cell>
          <cell r="Z387" t="str">
            <v>Reprise</v>
          </cell>
        </row>
        <row r="388">
          <cell r="A388">
            <v>3108</v>
          </cell>
          <cell r="B388">
            <v>1</v>
          </cell>
          <cell r="C388" t="str">
            <v>IV23976</v>
          </cell>
          <cell r="D388" t="str">
            <v>ACQUISITION MOBILIER DE BUREAU</v>
          </cell>
          <cell r="E388" t="str">
            <v>Approuvé</v>
          </cell>
          <cell r="F388" t="str">
            <v>K11718</v>
          </cell>
          <cell r="G388">
            <v>2</v>
          </cell>
          <cell r="H388" t="str">
            <v>Reprise</v>
          </cell>
          <cell r="I388" t="str">
            <v>REPRISE</v>
          </cell>
          <cell r="J388" t="str">
            <v>Budgété</v>
          </cell>
          <cell r="K388">
            <v>139790</v>
          </cell>
          <cell r="L388">
            <v>139790</v>
          </cell>
          <cell r="O388">
            <v>80000</v>
          </cell>
          <cell r="P388">
            <v>59790</v>
          </cell>
          <cell r="S388">
            <v>13509</v>
          </cell>
          <cell r="T388" t="str">
            <v>NABZAR AHMED</v>
          </cell>
          <cell r="U388" t="str">
            <v>Administratif</v>
          </cell>
          <cell r="V388" t="str">
            <v>Reprise</v>
          </cell>
          <cell r="W388" t="str">
            <v>Dotations nouvelles</v>
          </cell>
          <cell r="X388" t="str">
            <v>Aucune</v>
          </cell>
          <cell r="Y388" t="str">
            <v>Prévu</v>
          </cell>
          <cell r="Z388" t="str">
            <v>Reprise</v>
          </cell>
        </row>
        <row r="389">
          <cell r="A389">
            <v>3109</v>
          </cell>
          <cell r="B389">
            <v>1</v>
          </cell>
          <cell r="C389" t="str">
            <v>IV24007</v>
          </cell>
          <cell r="D389" t="str">
            <v>STATION DE DESSIN ASSISTEE PAR ORDINATEUR DAO POUR LE BUREAU D'ETUDE DE PMK/TM/C</v>
          </cell>
          <cell r="E389" t="str">
            <v>Approuvé</v>
          </cell>
          <cell r="F389" t="str">
            <v>K04531</v>
          </cell>
          <cell r="G389">
            <v>2</v>
          </cell>
          <cell r="H389" t="str">
            <v>Reprise</v>
          </cell>
          <cell r="I389" t="str">
            <v>REPRISE</v>
          </cell>
          <cell r="J389" t="str">
            <v>Budgété</v>
          </cell>
          <cell r="K389">
            <v>490000</v>
          </cell>
          <cell r="L389">
            <v>490000</v>
          </cell>
          <cell r="O389">
            <v>490000</v>
          </cell>
          <cell r="S389">
            <v>13510</v>
          </cell>
          <cell r="T389" t="str">
            <v>LAHMIDI MOUHCINE</v>
          </cell>
          <cell r="U389" t="str">
            <v>Administratif</v>
          </cell>
          <cell r="V389" t="str">
            <v>Reprise</v>
          </cell>
          <cell r="W389" t="str">
            <v>Dotations nouvelles</v>
          </cell>
          <cell r="X389" t="str">
            <v>Aucune</v>
          </cell>
          <cell r="Y389" t="str">
            <v>Prévu</v>
          </cell>
          <cell r="Z389" t="str">
            <v>Reprise</v>
          </cell>
        </row>
        <row r="390">
          <cell r="A390">
            <v>3110</v>
          </cell>
          <cell r="B390">
            <v>1</v>
          </cell>
          <cell r="C390" t="str">
            <v>IV24008</v>
          </cell>
          <cell r="D390" t="str">
            <v>ACHAT DES EQUIPEMENTS DE GESTION ELECTRONIQUE DE DOCUMENTS</v>
          </cell>
          <cell r="E390" t="str">
            <v>Approuvé</v>
          </cell>
          <cell r="F390" t="str">
            <v>K04001</v>
          </cell>
          <cell r="G390">
            <v>2</v>
          </cell>
          <cell r="H390" t="str">
            <v>Reprise</v>
          </cell>
          <cell r="I390" t="str">
            <v>REPRISE</v>
          </cell>
          <cell r="J390" t="str">
            <v>Budgété</v>
          </cell>
          <cell r="K390">
            <v>420000</v>
          </cell>
          <cell r="L390">
            <v>420000</v>
          </cell>
          <cell r="O390">
            <v>420000</v>
          </cell>
          <cell r="S390">
            <v>13511</v>
          </cell>
          <cell r="T390" t="str">
            <v>NABZAR AHMED</v>
          </cell>
          <cell r="U390" t="str">
            <v>Ordinaire</v>
          </cell>
          <cell r="V390" t="str">
            <v>Reprise</v>
          </cell>
          <cell r="W390" t="str">
            <v>Dotations nouvelles</v>
          </cell>
          <cell r="X390" t="str">
            <v>Aucune</v>
          </cell>
          <cell r="Y390" t="str">
            <v>Prévu</v>
          </cell>
          <cell r="Z390" t="str">
            <v>Reprise</v>
          </cell>
        </row>
        <row r="391">
          <cell r="A391">
            <v>3111</v>
          </cell>
          <cell r="B391">
            <v>1</v>
          </cell>
          <cell r="C391" t="str">
            <v>IV24035</v>
          </cell>
          <cell r="D391" t="str">
            <v>MATERIEL DE BUREAU</v>
          </cell>
          <cell r="E391" t="str">
            <v>Approuvé</v>
          </cell>
          <cell r="F391" t="str">
            <v>K02229</v>
          </cell>
          <cell r="G391">
            <v>2</v>
          </cell>
          <cell r="H391" t="str">
            <v>Reprise</v>
          </cell>
          <cell r="I391" t="str">
            <v>REPRISE</v>
          </cell>
          <cell r="J391" t="str">
            <v>Budgété</v>
          </cell>
          <cell r="K391">
            <v>13328</v>
          </cell>
          <cell r="L391">
            <v>13328</v>
          </cell>
          <cell r="O391">
            <v>8000</v>
          </cell>
          <cell r="P391">
            <v>5328</v>
          </cell>
          <cell r="S391">
            <v>13512</v>
          </cell>
          <cell r="T391" t="str">
            <v>NABZAR AHMED</v>
          </cell>
          <cell r="U391" t="str">
            <v>Administratif</v>
          </cell>
          <cell r="V391" t="str">
            <v>Reprise</v>
          </cell>
          <cell r="W391" t="str">
            <v>Renouvellement</v>
          </cell>
          <cell r="X391" t="str">
            <v>Aucune</v>
          </cell>
          <cell r="Y391" t="str">
            <v>Prévu</v>
          </cell>
          <cell r="Z391" t="str">
            <v>Reprise</v>
          </cell>
        </row>
        <row r="392">
          <cell r="A392">
            <v>3112</v>
          </cell>
          <cell r="B392">
            <v>1</v>
          </cell>
          <cell r="C392" t="str">
            <v>IV24038</v>
          </cell>
          <cell r="D392" t="str">
            <v>03 BASCULES INTEGRATRICES</v>
          </cell>
          <cell r="E392" t="str">
            <v>Approuvé</v>
          </cell>
          <cell r="F392" t="str">
            <v>K03292</v>
          </cell>
          <cell r="G392">
            <v>2</v>
          </cell>
          <cell r="H392" t="str">
            <v>Reprise</v>
          </cell>
          <cell r="I392" t="str">
            <v>REPRISE</v>
          </cell>
          <cell r="J392" t="str">
            <v>Budgété</v>
          </cell>
          <cell r="K392">
            <v>450000</v>
          </cell>
          <cell r="L392">
            <v>450000</v>
          </cell>
          <cell r="O392">
            <v>450000</v>
          </cell>
          <cell r="S392">
            <v>13513</v>
          </cell>
          <cell r="T392" t="str">
            <v>MAHSOUN Abdellah</v>
          </cell>
          <cell r="U392" t="str">
            <v>Ordinaire</v>
          </cell>
          <cell r="V392" t="str">
            <v>Reprise</v>
          </cell>
          <cell r="W392" t="str">
            <v>Renouvellement</v>
          </cell>
          <cell r="X392" t="str">
            <v>Aucune</v>
          </cell>
          <cell r="Y392" t="str">
            <v>Prévu</v>
          </cell>
          <cell r="Z392" t="str">
            <v>Reprise</v>
          </cell>
        </row>
        <row r="393">
          <cell r="A393">
            <v>3113</v>
          </cell>
          <cell r="B393">
            <v>1</v>
          </cell>
          <cell r="C393" t="str">
            <v>IV24039</v>
          </cell>
          <cell r="D393" t="str">
            <v>BASCULE INTEGRATRICE</v>
          </cell>
          <cell r="E393" t="str">
            <v>Approuvé</v>
          </cell>
          <cell r="F393" t="str">
            <v>K03293</v>
          </cell>
          <cell r="G393">
            <v>2</v>
          </cell>
          <cell r="H393" t="str">
            <v>Reprise</v>
          </cell>
          <cell r="I393" t="str">
            <v>REPRISE</v>
          </cell>
          <cell r="J393" t="str">
            <v>Budgété</v>
          </cell>
          <cell r="K393">
            <v>150000</v>
          </cell>
          <cell r="L393">
            <v>150000</v>
          </cell>
          <cell r="O393">
            <v>150000</v>
          </cell>
          <cell r="S393">
            <v>13514</v>
          </cell>
          <cell r="T393" t="str">
            <v>MAHSOUN Abdellah</v>
          </cell>
          <cell r="U393" t="str">
            <v>Ordinaire</v>
          </cell>
          <cell r="V393" t="str">
            <v>Reprise</v>
          </cell>
          <cell r="W393" t="str">
            <v>Dotations nouvelles</v>
          </cell>
          <cell r="X393" t="str">
            <v>Aucune</v>
          </cell>
          <cell r="Y393" t="str">
            <v>Prévu</v>
          </cell>
          <cell r="Z393" t="str">
            <v>Reprise</v>
          </cell>
        </row>
        <row r="394">
          <cell r="A394">
            <v>3114</v>
          </cell>
          <cell r="B394">
            <v>1</v>
          </cell>
          <cell r="C394" t="str">
            <v>IV24048</v>
          </cell>
          <cell r="D394" t="str">
            <v>FOURNITURE ET CONSTRUCTION DE 04 GUERITTES DE SURVEILLANCE DES INSTALLATIONS DU COMPLEXE OUED ZEM</v>
          </cell>
          <cell r="E394" t="str">
            <v>Approuvé</v>
          </cell>
          <cell r="F394" t="str">
            <v>K04315</v>
          </cell>
          <cell r="G394">
            <v>2</v>
          </cell>
          <cell r="H394" t="str">
            <v>Reprise</v>
          </cell>
          <cell r="I394" t="str">
            <v>REPRISE</v>
          </cell>
          <cell r="J394" t="str">
            <v>Budgété</v>
          </cell>
          <cell r="K394">
            <v>300000</v>
          </cell>
          <cell r="L394">
            <v>300000</v>
          </cell>
          <cell r="O394">
            <v>300000</v>
          </cell>
          <cell r="S394">
            <v>13515</v>
          </cell>
          <cell r="T394" t="str">
            <v>NABZAR AHMED</v>
          </cell>
          <cell r="U394" t="str">
            <v>Ordinaire</v>
          </cell>
          <cell r="V394" t="str">
            <v>Reprise</v>
          </cell>
          <cell r="W394" t="str">
            <v>Dotations nouvelles</v>
          </cell>
          <cell r="X394" t="str">
            <v>Aucune</v>
          </cell>
          <cell r="Y394" t="str">
            <v>Prévu</v>
          </cell>
          <cell r="Z394" t="str">
            <v>Reprise</v>
          </cell>
        </row>
        <row r="395">
          <cell r="A395">
            <v>3115</v>
          </cell>
          <cell r="B395">
            <v>1</v>
          </cell>
          <cell r="C395" t="str">
            <v>IV24049</v>
          </cell>
          <cell r="D395" t="str">
            <v>FOURNITURE ET CONSTRUCTION D'UNE SALLE DE CONTROLE DE LA STATION DE CHARGEMENT DES TRAINS AU COZ</v>
          </cell>
          <cell r="E395" t="str">
            <v>Approuvé</v>
          </cell>
          <cell r="F395" t="str">
            <v>K04310</v>
          </cell>
          <cell r="G395">
            <v>2</v>
          </cell>
          <cell r="H395" t="str">
            <v>Reprise</v>
          </cell>
          <cell r="I395" t="str">
            <v>REPRISE</v>
          </cell>
          <cell r="J395" t="str">
            <v>Budgété</v>
          </cell>
          <cell r="K395">
            <v>930000</v>
          </cell>
          <cell r="L395">
            <v>930000</v>
          </cell>
          <cell r="O395">
            <v>930000</v>
          </cell>
          <cell r="S395">
            <v>13516</v>
          </cell>
          <cell r="T395" t="str">
            <v>NABZAR AHMED</v>
          </cell>
          <cell r="U395" t="str">
            <v>Ordinaire</v>
          </cell>
          <cell r="V395" t="str">
            <v>Reprise</v>
          </cell>
          <cell r="W395" t="str">
            <v>Dotations nouvelles</v>
          </cell>
          <cell r="X395" t="str">
            <v>Aucune</v>
          </cell>
          <cell r="Y395" t="str">
            <v>Prévu</v>
          </cell>
          <cell r="Z395" t="str">
            <v>Reprise</v>
          </cell>
        </row>
        <row r="396">
          <cell r="A396">
            <v>3116</v>
          </cell>
          <cell r="B396">
            <v>1</v>
          </cell>
          <cell r="C396" t="str">
            <v>IV24053</v>
          </cell>
          <cell r="D396" t="str">
            <v>ANEMOMETRE ET ACCESSOIRES POUR LES FOURS SECHEURS DU COMPLEXE D'OUED ZEM</v>
          </cell>
          <cell r="E396" t="str">
            <v>Approuvé</v>
          </cell>
          <cell r="F396" t="str">
            <v>K04315</v>
          </cell>
          <cell r="G396">
            <v>2</v>
          </cell>
          <cell r="H396" t="str">
            <v>Reprise</v>
          </cell>
          <cell r="I396" t="str">
            <v>REPRISE</v>
          </cell>
          <cell r="J396" t="str">
            <v>Budgété</v>
          </cell>
          <cell r="K396">
            <v>180000</v>
          </cell>
          <cell r="L396">
            <v>180000</v>
          </cell>
          <cell r="O396">
            <v>180000</v>
          </cell>
          <cell r="S396">
            <v>13517</v>
          </cell>
          <cell r="T396" t="str">
            <v>NABZAR AHMED</v>
          </cell>
          <cell r="U396" t="str">
            <v>Ordinaire</v>
          </cell>
          <cell r="V396" t="str">
            <v>Reprise</v>
          </cell>
          <cell r="W396" t="str">
            <v>Dotations nouvelles</v>
          </cell>
          <cell r="X396" t="str">
            <v>Aucune</v>
          </cell>
          <cell r="Y396" t="str">
            <v>Prévu</v>
          </cell>
          <cell r="Z396" t="str">
            <v>Reprise</v>
          </cell>
        </row>
        <row r="397">
          <cell r="A397">
            <v>3117</v>
          </cell>
          <cell r="B397">
            <v>1</v>
          </cell>
          <cell r="C397" t="str">
            <v>IV24054</v>
          </cell>
          <cell r="D397" t="str">
            <v>MATERIEL D'HYGIENE POUR LES BLOCS SANITAIRES DU COZ</v>
          </cell>
          <cell r="E397" t="str">
            <v>Approuvé</v>
          </cell>
          <cell r="F397" t="str">
            <v>K04315</v>
          </cell>
          <cell r="G397">
            <v>2</v>
          </cell>
          <cell r="H397" t="str">
            <v>Reprise</v>
          </cell>
          <cell r="I397" t="str">
            <v>REPRISE</v>
          </cell>
          <cell r="J397" t="str">
            <v>Budgété</v>
          </cell>
          <cell r="K397">
            <v>40000</v>
          </cell>
          <cell r="L397">
            <v>40000</v>
          </cell>
          <cell r="O397">
            <v>40000</v>
          </cell>
          <cell r="S397">
            <v>13518</v>
          </cell>
          <cell r="T397" t="str">
            <v>LEBBARDI ABDELJABBAR</v>
          </cell>
          <cell r="U397" t="str">
            <v>Ordinaire</v>
          </cell>
          <cell r="V397" t="str">
            <v>Reprise</v>
          </cell>
          <cell r="W397" t="str">
            <v>Dotations nouvelles</v>
          </cell>
          <cell r="X397" t="str">
            <v>Aucune</v>
          </cell>
          <cell r="Y397" t="str">
            <v>Prévu</v>
          </cell>
          <cell r="Z397" t="str">
            <v>Reprise</v>
          </cell>
        </row>
        <row r="398">
          <cell r="A398">
            <v>3118</v>
          </cell>
          <cell r="B398">
            <v>1</v>
          </cell>
          <cell r="C398" t="str">
            <v>IV24072</v>
          </cell>
          <cell r="D398" t="str">
            <v>RN. DU MOBILIER DE BUREAU DE PMK/TM/M-MG</v>
          </cell>
          <cell r="E398" t="str">
            <v>Approuvé</v>
          </cell>
          <cell r="F398" t="str">
            <v>K04510</v>
          </cell>
          <cell r="G398">
            <v>2</v>
          </cell>
          <cell r="H398" t="str">
            <v>Reprise</v>
          </cell>
          <cell r="I398" t="str">
            <v>REPRISE</v>
          </cell>
          <cell r="J398" t="str">
            <v>Budgété</v>
          </cell>
          <cell r="K398">
            <v>342000</v>
          </cell>
          <cell r="L398">
            <v>342000</v>
          </cell>
          <cell r="O398">
            <v>342000</v>
          </cell>
          <cell r="S398">
            <v>13519</v>
          </cell>
          <cell r="T398" t="str">
            <v>NABZAR AHMED</v>
          </cell>
          <cell r="U398" t="str">
            <v>Administratif</v>
          </cell>
          <cell r="V398" t="str">
            <v>Reprise</v>
          </cell>
          <cell r="W398" t="str">
            <v>Renouvellement</v>
          </cell>
          <cell r="X398" t="str">
            <v>Aucune</v>
          </cell>
          <cell r="Y398" t="str">
            <v>Prévu</v>
          </cell>
          <cell r="Z398" t="str">
            <v>Reprise</v>
          </cell>
        </row>
        <row r="399">
          <cell r="A399">
            <v>3119</v>
          </cell>
          <cell r="B399">
            <v>1</v>
          </cell>
          <cell r="C399" t="str">
            <v>IV24076</v>
          </cell>
          <cell r="D399" t="str">
            <v>RN DE 15 REDUCTEURS DE VITESSE POUR LES INSTALLATIONS NEVRALGIQUES DE PMK/TD</v>
          </cell>
          <cell r="E399" t="str">
            <v>Approuvé</v>
          </cell>
          <cell r="F399" t="str">
            <v>K04801</v>
          </cell>
          <cell r="G399">
            <v>3</v>
          </cell>
          <cell r="H399" t="str">
            <v>Report 2007</v>
          </cell>
          <cell r="I399" t="str">
            <v>REPORT</v>
          </cell>
          <cell r="J399" t="str">
            <v>Budgété</v>
          </cell>
          <cell r="K399">
            <v>5158382.3899999997</v>
          </cell>
          <cell r="L399">
            <v>5158382.3899999997</v>
          </cell>
          <cell r="M399">
            <v>3958766</v>
          </cell>
          <cell r="N399">
            <v>3958766</v>
          </cell>
          <cell r="O399">
            <v>1199616.3899999999</v>
          </cell>
          <cell r="S399">
            <v>24348</v>
          </cell>
          <cell r="T399" t="str">
            <v>CHNANI ABDELHADI</v>
          </cell>
          <cell r="U399" t="str">
            <v>Ordinaire</v>
          </cell>
          <cell r="V399" t="str">
            <v>Reprise</v>
          </cell>
          <cell r="W399" t="str">
            <v>Renouvellement</v>
          </cell>
          <cell r="X399" t="str">
            <v>Aucune</v>
          </cell>
          <cell r="Y399" t="str">
            <v>Prévu</v>
          </cell>
          <cell r="Z399" t="str">
            <v>Reprise</v>
          </cell>
        </row>
        <row r="400">
          <cell r="A400">
            <v>3120</v>
          </cell>
          <cell r="B400">
            <v>1</v>
          </cell>
          <cell r="C400" t="str">
            <v>IV24080</v>
          </cell>
          <cell r="D400" t="str">
            <v>MOBILIER DE BUREAU POUR PMK / AK / S</v>
          </cell>
          <cell r="E400" t="str">
            <v>Approuvé</v>
          </cell>
          <cell r="F400" t="str">
            <v>K01049</v>
          </cell>
          <cell r="G400">
            <v>2</v>
          </cell>
          <cell r="H400" t="str">
            <v>Reprise</v>
          </cell>
          <cell r="I400" t="str">
            <v>REPRISE</v>
          </cell>
          <cell r="J400" t="str">
            <v>Budgété</v>
          </cell>
          <cell r="K400">
            <v>273000</v>
          </cell>
          <cell r="L400">
            <v>273000</v>
          </cell>
          <cell r="O400">
            <v>273000</v>
          </cell>
          <cell r="S400">
            <v>13521</v>
          </cell>
          <cell r="T400" t="str">
            <v>NABZAR AHMED</v>
          </cell>
          <cell r="U400" t="str">
            <v>Administratif</v>
          </cell>
          <cell r="V400" t="str">
            <v>Reprise</v>
          </cell>
          <cell r="W400" t="str">
            <v>Renouvellement</v>
          </cell>
          <cell r="X400" t="str">
            <v>Aucune</v>
          </cell>
          <cell r="Y400" t="str">
            <v>Prévu</v>
          </cell>
          <cell r="Z400" t="str">
            <v>Reprise</v>
          </cell>
        </row>
        <row r="401">
          <cell r="A401">
            <v>3121</v>
          </cell>
          <cell r="B401">
            <v>1</v>
          </cell>
          <cell r="C401" t="str">
            <v>IV24084</v>
          </cell>
          <cell r="D401" t="str">
            <v>RENOUVELLEMENT DE CLIMATISEURS SPLIT SYSTEM</v>
          </cell>
          <cell r="E401" t="str">
            <v>Approuvé</v>
          </cell>
          <cell r="F401" t="str">
            <v>K01048</v>
          </cell>
          <cell r="G401">
            <v>2</v>
          </cell>
          <cell r="H401" t="str">
            <v>Reprise</v>
          </cell>
          <cell r="I401" t="str">
            <v>REPRISE</v>
          </cell>
          <cell r="J401" t="str">
            <v>Budgété</v>
          </cell>
          <cell r="K401">
            <v>540000</v>
          </cell>
          <cell r="L401">
            <v>540000</v>
          </cell>
          <cell r="O401">
            <v>540000</v>
          </cell>
          <cell r="S401">
            <v>13522</v>
          </cell>
          <cell r="T401" t="str">
            <v>NABZAR AHMED</v>
          </cell>
          <cell r="U401" t="str">
            <v>Administratif</v>
          </cell>
          <cell r="V401" t="str">
            <v>Reprise</v>
          </cell>
          <cell r="W401" t="str">
            <v>Renouvellement</v>
          </cell>
          <cell r="X401" t="str">
            <v>Aucune</v>
          </cell>
          <cell r="Y401" t="str">
            <v>Prévu</v>
          </cell>
          <cell r="Z401" t="str">
            <v>Reprise</v>
          </cell>
        </row>
        <row r="402">
          <cell r="A402">
            <v>3122</v>
          </cell>
          <cell r="B402">
            <v>1</v>
          </cell>
          <cell r="C402" t="str">
            <v>IV24086</v>
          </cell>
          <cell r="D402" t="str">
            <v>TELEVISEURS POUR FOYERS ET ETABLISSEMENTS SOCIAUX</v>
          </cell>
          <cell r="E402" t="str">
            <v>Approuvé</v>
          </cell>
          <cell r="F402" t="str">
            <v>K01040</v>
          </cell>
          <cell r="G402">
            <v>2</v>
          </cell>
          <cell r="H402" t="str">
            <v>Reprise</v>
          </cell>
          <cell r="I402" t="str">
            <v>REPRISE</v>
          </cell>
          <cell r="J402" t="str">
            <v>Budgété</v>
          </cell>
          <cell r="K402">
            <v>90000</v>
          </cell>
          <cell r="L402">
            <v>90000</v>
          </cell>
          <cell r="O402">
            <v>90000</v>
          </cell>
          <cell r="S402">
            <v>13523</v>
          </cell>
          <cell r="T402" t="str">
            <v>NABZAR AHMED</v>
          </cell>
          <cell r="U402" t="str">
            <v>Social</v>
          </cell>
          <cell r="V402" t="str">
            <v>Reprise</v>
          </cell>
          <cell r="W402" t="str">
            <v>Dotations nouvelles</v>
          </cell>
          <cell r="X402" t="str">
            <v>Aucune</v>
          </cell>
          <cell r="Y402" t="str">
            <v>Prévu</v>
          </cell>
          <cell r="Z402" t="str">
            <v>Reprise</v>
          </cell>
        </row>
        <row r="403">
          <cell r="A403">
            <v>3123</v>
          </cell>
          <cell r="B403">
            <v>1</v>
          </cell>
          <cell r="C403" t="str">
            <v>IV24088</v>
          </cell>
          <cell r="D403" t="str">
            <v>MATERIEL DE FROID POUR ETABLISSEMENTS SOCIAUX</v>
          </cell>
          <cell r="E403" t="str">
            <v>Approuvé</v>
          </cell>
          <cell r="F403" t="str">
            <v>K01032</v>
          </cell>
          <cell r="G403">
            <v>2</v>
          </cell>
          <cell r="H403" t="str">
            <v>Reprise</v>
          </cell>
          <cell r="I403" t="str">
            <v>REPRISE</v>
          </cell>
          <cell r="J403" t="str">
            <v>Budgété</v>
          </cell>
          <cell r="K403">
            <v>379000</v>
          </cell>
          <cell r="L403">
            <v>379000</v>
          </cell>
          <cell r="O403">
            <v>379000</v>
          </cell>
          <cell r="S403">
            <v>13524</v>
          </cell>
          <cell r="T403" t="str">
            <v>NABZAR AHMED</v>
          </cell>
          <cell r="U403" t="str">
            <v>Social</v>
          </cell>
          <cell r="V403" t="str">
            <v>Reprise</v>
          </cell>
          <cell r="W403" t="str">
            <v>Dotations nouvelles</v>
          </cell>
          <cell r="X403" t="str">
            <v>Aucune</v>
          </cell>
          <cell r="Y403" t="str">
            <v>Prévu</v>
          </cell>
          <cell r="Z403" t="str">
            <v>Reprise</v>
          </cell>
        </row>
        <row r="404">
          <cell r="A404">
            <v>3124</v>
          </cell>
          <cell r="B404">
            <v>1</v>
          </cell>
          <cell r="C404" t="str">
            <v>IV24090</v>
          </cell>
          <cell r="D404" t="str">
            <v>MATERIEL DE RESTAURATION</v>
          </cell>
          <cell r="E404" t="str">
            <v>Approuvé</v>
          </cell>
          <cell r="F404" t="str">
            <v>K01032</v>
          </cell>
          <cell r="G404">
            <v>2</v>
          </cell>
          <cell r="H404" t="str">
            <v>Reprise</v>
          </cell>
          <cell r="I404" t="str">
            <v>REPRISE</v>
          </cell>
          <cell r="J404" t="str">
            <v>Budgété</v>
          </cell>
          <cell r="K404">
            <v>573000</v>
          </cell>
          <cell r="L404">
            <v>573000</v>
          </cell>
          <cell r="O404">
            <v>573000</v>
          </cell>
          <cell r="S404">
            <v>13525</v>
          </cell>
          <cell r="T404" t="str">
            <v>NABZAR AHMED</v>
          </cell>
          <cell r="U404" t="str">
            <v>Social</v>
          </cell>
          <cell r="V404" t="str">
            <v>Reprise</v>
          </cell>
          <cell r="W404" t="str">
            <v>Renouvellement</v>
          </cell>
          <cell r="X404" t="str">
            <v>Aucune</v>
          </cell>
          <cell r="Y404" t="str">
            <v>Prévu</v>
          </cell>
          <cell r="Z404" t="str">
            <v>Reprise</v>
          </cell>
        </row>
        <row r="405">
          <cell r="A405">
            <v>3125</v>
          </cell>
          <cell r="B405">
            <v>1</v>
          </cell>
          <cell r="C405" t="str">
            <v>IV24092</v>
          </cell>
          <cell r="D405" t="str">
            <v>RENOUVELLEMENT DE 60 APPAREILS TELEPHONIQUES</v>
          </cell>
          <cell r="E405" t="str">
            <v>Approuvé</v>
          </cell>
          <cell r="F405" t="str">
            <v>K01049</v>
          </cell>
          <cell r="G405">
            <v>2</v>
          </cell>
          <cell r="H405" t="str">
            <v>Reprise</v>
          </cell>
          <cell r="I405" t="str">
            <v>REPRISE</v>
          </cell>
          <cell r="J405" t="str">
            <v>Budgété</v>
          </cell>
          <cell r="K405">
            <v>79836</v>
          </cell>
          <cell r="L405">
            <v>79836</v>
          </cell>
          <cell r="O405">
            <v>60000</v>
          </cell>
          <cell r="P405">
            <v>19836</v>
          </cell>
          <cell r="S405">
            <v>13526</v>
          </cell>
          <cell r="T405" t="str">
            <v>NABZAR AHMED</v>
          </cell>
          <cell r="U405" t="str">
            <v>Administratif</v>
          </cell>
          <cell r="V405" t="str">
            <v>Reprise</v>
          </cell>
          <cell r="W405" t="str">
            <v>Renouvellement</v>
          </cell>
          <cell r="X405" t="str">
            <v>Aucune</v>
          </cell>
          <cell r="Y405" t="str">
            <v>Prévu</v>
          </cell>
          <cell r="Z405" t="str">
            <v>Reprise</v>
          </cell>
        </row>
        <row r="406">
          <cell r="A406">
            <v>3126</v>
          </cell>
          <cell r="B406">
            <v>1</v>
          </cell>
          <cell r="C406" t="str">
            <v>IV24098</v>
          </cell>
          <cell r="D406" t="str">
            <v>MOBILIER DE BUREAU POUR PMK / AK / C</v>
          </cell>
          <cell r="E406" t="str">
            <v>Approuvé</v>
          </cell>
          <cell r="F406" t="str">
            <v>K01013</v>
          </cell>
          <cell r="G406">
            <v>2</v>
          </cell>
          <cell r="H406" t="str">
            <v>Reprise</v>
          </cell>
          <cell r="I406" t="str">
            <v>REPRISE</v>
          </cell>
          <cell r="J406" t="str">
            <v>Budgété</v>
          </cell>
          <cell r="K406">
            <v>48950</v>
          </cell>
          <cell r="L406">
            <v>48950</v>
          </cell>
          <cell r="O406">
            <v>48950</v>
          </cell>
          <cell r="S406">
            <v>13527</v>
          </cell>
          <cell r="T406" t="str">
            <v>NABZAR AHMED</v>
          </cell>
          <cell r="U406" t="str">
            <v>Administratif</v>
          </cell>
          <cell r="V406" t="str">
            <v>Reprise</v>
          </cell>
          <cell r="W406" t="str">
            <v>Renouvellement</v>
          </cell>
          <cell r="X406" t="str">
            <v>Aucune</v>
          </cell>
          <cell r="Y406" t="str">
            <v>Prévu</v>
          </cell>
          <cell r="Z406" t="str">
            <v>Reprise</v>
          </cell>
        </row>
        <row r="407">
          <cell r="A407">
            <v>3127</v>
          </cell>
          <cell r="B407">
            <v>1</v>
          </cell>
          <cell r="C407" t="str">
            <v>IV24099</v>
          </cell>
          <cell r="D407" t="str">
            <v>MACHINES A CAFE 3 GROUPES POUR LE CERCLE DU PERSONNEL</v>
          </cell>
          <cell r="E407" t="str">
            <v>Approuvé</v>
          </cell>
          <cell r="F407" t="str">
            <v>K01034</v>
          </cell>
          <cell r="G407">
            <v>2</v>
          </cell>
          <cell r="H407" t="str">
            <v>Reprise</v>
          </cell>
          <cell r="I407" t="str">
            <v>REPRISE</v>
          </cell>
          <cell r="J407" t="str">
            <v>Budgété</v>
          </cell>
          <cell r="K407">
            <v>160000</v>
          </cell>
          <cell r="L407">
            <v>160000</v>
          </cell>
          <cell r="O407">
            <v>160000</v>
          </cell>
          <cell r="S407">
            <v>13528</v>
          </cell>
          <cell r="T407" t="str">
            <v>NABZAR AHMED</v>
          </cell>
          <cell r="U407" t="str">
            <v>Social</v>
          </cell>
          <cell r="V407" t="str">
            <v>Reprise</v>
          </cell>
          <cell r="W407" t="str">
            <v>Dotations nouvelles</v>
          </cell>
          <cell r="X407" t="str">
            <v>Aucune</v>
          </cell>
          <cell r="Y407" t="str">
            <v>Prévu</v>
          </cell>
          <cell r="Z407" t="str">
            <v>Reprise</v>
          </cell>
        </row>
        <row r="408">
          <cell r="A408">
            <v>3128</v>
          </cell>
          <cell r="B408">
            <v>1</v>
          </cell>
          <cell r="C408" t="str">
            <v>IV24101</v>
          </cell>
          <cell r="D408" t="str">
            <v>ASPIRATEURS POUR MOSQUEES</v>
          </cell>
          <cell r="E408" t="str">
            <v>Approuvé</v>
          </cell>
          <cell r="F408" t="str">
            <v>K01043</v>
          </cell>
          <cell r="G408">
            <v>2</v>
          </cell>
          <cell r="H408" t="str">
            <v>Reprise</v>
          </cell>
          <cell r="I408" t="str">
            <v>REPRISE</v>
          </cell>
          <cell r="J408" t="str">
            <v>Budgété</v>
          </cell>
          <cell r="K408">
            <v>70000</v>
          </cell>
          <cell r="L408">
            <v>70000</v>
          </cell>
          <cell r="O408">
            <v>70000</v>
          </cell>
          <cell r="S408">
            <v>13529</v>
          </cell>
          <cell r="T408" t="str">
            <v>NABZAR AHMED</v>
          </cell>
          <cell r="U408" t="str">
            <v>Social</v>
          </cell>
          <cell r="V408" t="str">
            <v>Reprise</v>
          </cell>
          <cell r="W408" t="str">
            <v>Dotations nouvelles</v>
          </cell>
          <cell r="X408" t="str">
            <v>Aucune</v>
          </cell>
          <cell r="Y408" t="str">
            <v>Prévu</v>
          </cell>
          <cell r="Z408" t="str">
            <v>Reprise</v>
          </cell>
        </row>
        <row r="409">
          <cell r="A409">
            <v>3129</v>
          </cell>
          <cell r="B409">
            <v>1</v>
          </cell>
          <cell r="C409" t="str">
            <v>IV24102</v>
          </cell>
          <cell r="D409" t="str">
            <v>TIREUSE DE PLANS POUR BUREAU D'ETUDES</v>
          </cell>
          <cell r="E409" t="str">
            <v>Approuvé</v>
          </cell>
          <cell r="F409" t="str">
            <v>K01029</v>
          </cell>
          <cell r="G409">
            <v>2</v>
          </cell>
          <cell r="H409" t="str">
            <v>Reprise</v>
          </cell>
          <cell r="I409" t="str">
            <v>REPRISE</v>
          </cell>
          <cell r="J409" t="str">
            <v>Budgété</v>
          </cell>
          <cell r="K409">
            <v>150000</v>
          </cell>
          <cell r="L409">
            <v>150000</v>
          </cell>
          <cell r="O409">
            <v>150000</v>
          </cell>
          <cell r="S409">
            <v>13530</v>
          </cell>
          <cell r="T409" t="str">
            <v>NABZAR AHMED</v>
          </cell>
          <cell r="U409" t="str">
            <v>Etudes et essais</v>
          </cell>
          <cell r="V409" t="str">
            <v>Reprise</v>
          </cell>
          <cell r="W409" t="str">
            <v>Dotations nouvelles</v>
          </cell>
          <cell r="X409" t="str">
            <v>Aucune</v>
          </cell>
          <cell r="Y409" t="str">
            <v>Prévu</v>
          </cell>
          <cell r="Z409" t="str">
            <v>Reprise</v>
          </cell>
        </row>
        <row r="410">
          <cell r="A410">
            <v>3130</v>
          </cell>
          <cell r="B410">
            <v>1</v>
          </cell>
          <cell r="C410" t="str">
            <v>IV24103</v>
          </cell>
          <cell r="D410" t="str">
            <v>TABLES DE DESSINATEURS POUR BUREAU D'ETUDES</v>
          </cell>
          <cell r="E410" t="str">
            <v>Approuvé</v>
          </cell>
          <cell r="F410" t="str">
            <v>K01029</v>
          </cell>
          <cell r="G410">
            <v>2</v>
          </cell>
          <cell r="H410" t="str">
            <v>Reprise</v>
          </cell>
          <cell r="I410" t="str">
            <v>REPRISE</v>
          </cell>
          <cell r="J410" t="str">
            <v>Budgété</v>
          </cell>
          <cell r="K410">
            <v>36000</v>
          </cell>
          <cell r="L410">
            <v>36000</v>
          </cell>
          <cell r="O410">
            <v>36000</v>
          </cell>
          <cell r="S410">
            <v>13531</v>
          </cell>
          <cell r="T410" t="str">
            <v>NABZAR AHMED</v>
          </cell>
          <cell r="U410" t="str">
            <v>Etudes et essais</v>
          </cell>
          <cell r="V410" t="str">
            <v>Reprise</v>
          </cell>
          <cell r="W410" t="str">
            <v>Renouvellement</v>
          </cell>
          <cell r="X410" t="str">
            <v>Aucune</v>
          </cell>
          <cell r="Y410" t="str">
            <v>Prévu</v>
          </cell>
          <cell r="Z410" t="str">
            <v>Reprise</v>
          </cell>
        </row>
        <row r="411">
          <cell r="A411">
            <v>3131</v>
          </cell>
          <cell r="B411">
            <v>1</v>
          </cell>
          <cell r="C411" t="str">
            <v>IV24104</v>
          </cell>
          <cell r="D411" t="str">
            <v>TABLE LUMINEUSE POUR BUREAU D'ETUDES</v>
          </cell>
          <cell r="E411" t="str">
            <v>Approuvé</v>
          </cell>
          <cell r="F411" t="str">
            <v>K01029</v>
          </cell>
          <cell r="G411">
            <v>2</v>
          </cell>
          <cell r="H411" t="str">
            <v>Reprise</v>
          </cell>
          <cell r="I411" t="str">
            <v>REPRISE</v>
          </cell>
          <cell r="J411" t="str">
            <v>Budgété</v>
          </cell>
          <cell r="K411">
            <v>17000</v>
          </cell>
          <cell r="L411">
            <v>17000</v>
          </cell>
          <cell r="O411">
            <v>17000</v>
          </cell>
          <cell r="S411">
            <v>13532</v>
          </cell>
          <cell r="T411" t="str">
            <v>NABZAR AHMED</v>
          </cell>
          <cell r="U411" t="str">
            <v>Etudes et essais</v>
          </cell>
          <cell r="V411" t="str">
            <v>Reprise</v>
          </cell>
          <cell r="W411" t="str">
            <v>Dotations nouvelles</v>
          </cell>
          <cell r="X411" t="str">
            <v>Aucune</v>
          </cell>
          <cell r="Y411" t="str">
            <v>Prévu</v>
          </cell>
          <cell r="Z411" t="str">
            <v>Reprise</v>
          </cell>
        </row>
        <row r="412">
          <cell r="A412">
            <v>3132</v>
          </cell>
          <cell r="B412">
            <v>1</v>
          </cell>
          <cell r="C412" t="str">
            <v>IV24135</v>
          </cell>
          <cell r="D412" t="str">
            <v>MATERIEL DE SONORISATION POUR PMK / AK / S</v>
          </cell>
          <cell r="E412" t="str">
            <v>Approuvé</v>
          </cell>
          <cell r="F412" t="str">
            <v>K01043</v>
          </cell>
          <cell r="G412">
            <v>2</v>
          </cell>
          <cell r="H412" t="str">
            <v>Reprise</v>
          </cell>
          <cell r="I412" t="str">
            <v>REPRISE</v>
          </cell>
          <cell r="J412" t="str">
            <v>Budgété</v>
          </cell>
          <cell r="K412">
            <v>277000</v>
          </cell>
          <cell r="L412">
            <v>277000</v>
          </cell>
          <cell r="O412">
            <v>277000</v>
          </cell>
          <cell r="S412">
            <v>13533</v>
          </cell>
          <cell r="T412" t="str">
            <v>NABZAR AHMED</v>
          </cell>
          <cell r="U412" t="str">
            <v>Social</v>
          </cell>
          <cell r="V412" t="str">
            <v>Reprise</v>
          </cell>
          <cell r="W412" t="str">
            <v>Renouvellement</v>
          </cell>
          <cell r="X412" t="str">
            <v>Aucune</v>
          </cell>
          <cell r="Y412" t="str">
            <v>Prévu</v>
          </cell>
          <cell r="Z412" t="str">
            <v>Reprise</v>
          </cell>
        </row>
        <row r="413">
          <cell r="A413">
            <v>3133</v>
          </cell>
          <cell r="B413">
            <v>1</v>
          </cell>
          <cell r="C413" t="str">
            <v>IV24136</v>
          </cell>
          <cell r="D413" t="str">
            <v>EXTINCTEURS POUR ETABLISSEMENTS SOCIAUX DE PMK / AK / S</v>
          </cell>
          <cell r="E413" t="str">
            <v>Approuvé</v>
          </cell>
          <cell r="F413" t="str">
            <v>K01040</v>
          </cell>
          <cell r="G413">
            <v>2</v>
          </cell>
          <cell r="H413" t="str">
            <v>Reprise</v>
          </cell>
          <cell r="I413" t="str">
            <v>REPRISE</v>
          </cell>
          <cell r="J413" t="str">
            <v>Budgété</v>
          </cell>
          <cell r="K413">
            <v>120000</v>
          </cell>
          <cell r="L413">
            <v>120000</v>
          </cell>
          <cell r="O413">
            <v>120000</v>
          </cell>
          <cell r="S413">
            <v>13534</v>
          </cell>
          <cell r="T413" t="str">
            <v>NABZAR AHMED</v>
          </cell>
          <cell r="U413" t="str">
            <v>Ordinaire</v>
          </cell>
          <cell r="V413" t="str">
            <v>Reprise</v>
          </cell>
          <cell r="W413" t="str">
            <v>Dotations nouvelles</v>
          </cell>
          <cell r="X413" t="str">
            <v>Aucune</v>
          </cell>
          <cell r="Y413" t="str">
            <v>Prévu</v>
          </cell>
          <cell r="Z413" t="str">
            <v>Reprise</v>
          </cell>
        </row>
        <row r="414">
          <cell r="A414">
            <v>3134</v>
          </cell>
          <cell r="B414">
            <v>1</v>
          </cell>
          <cell r="C414" t="str">
            <v>IV24137</v>
          </cell>
          <cell r="D414" t="str">
            <v>MATERIEL DE SPORT</v>
          </cell>
          <cell r="E414" t="str">
            <v>Approuvé</v>
          </cell>
          <cell r="F414" t="str">
            <v>K01037</v>
          </cell>
          <cell r="G414">
            <v>2</v>
          </cell>
          <cell r="H414" t="str">
            <v>Reprise</v>
          </cell>
          <cell r="I414" t="str">
            <v>REPRISE</v>
          </cell>
          <cell r="J414" t="str">
            <v>Budgété</v>
          </cell>
          <cell r="K414">
            <v>296000</v>
          </cell>
          <cell r="L414">
            <v>296000</v>
          </cell>
          <cell r="O414">
            <v>296000</v>
          </cell>
          <cell r="S414">
            <v>13535</v>
          </cell>
          <cell r="T414" t="str">
            <v>NABZAR AHMED</v>
          </cell>
          <cell r="U414" t="str">
            <v>Social</v>
          </cell>
          <cell r="V414" t="str">
            <v>Reprise</v>
          </cell>
          <cell r="W414" t="str">
            <v>Dotations nouvelles</v>
          </cell>
          <cell r="X414" t="str">
            <v>Aucune</v>
          </cell>
          <cell r="Y414" t="str">
            <v>Prévu</v>
          </cell>
          <cell r="Z414" t="str">
            <v>Reprise</v>
          </cell>
        </row>
        <row r="415">
          <cell r="A415">
            <v>3135</v>
          </cell>
          <cell r="B415">
            <v>1</v>
          </cell>
          <cell r="C415" t="str">
            <v>IV24138</v>
          </cell>
          <cell r="D415" t="str">
            <v>MATERIEL POUR LA SECTION ACCUEIL DE PMK / AK / S</v>
          </cell>
          <cell r="E415" t="str">
            <v>Approuvé</v>
          </cell>
          <cell r="F415" t="str">
            <v>K01048</v>
          </cell>
          <cell r="G415">
            <v>2</v>
          </cell>
          <cell r="H415" t="str">
            <v>Reprise</v>
          </cell>
          <cell r="I415" t="str">
            <v>REPRISE</v>
          </cell>
          <cell r="J415" t="str">
            <v>Budgété</v>
          </cell>
          <cell r="K415">
            <v>238000</v>
          </cell>
          <cell r="L415">
            <v>238000</v>
          </cell>
          <cell r="O415">
            <v>238000</v>
          </cell>
          <cell r="S415">
            <v>13536</v>
          </cell>
          <cell r="T415" t="str">
            <v>NABZAR AHMED</v>
          </cell>
          <cell r="U415" t="str">
            <v>Social</v>
          </cell>
          <cell r="V415" t="str">
            <v>Reprise</v>
          </cell>
          <cell r="W415" t="str">
            <v>Renouvellement</v>
          </cell>
          <cell r="X415" t="str">
            <v>Aucune</v>
          </cell>
          <cell r="Y415" t="str">
            <v>Prévu</v>
          </cell>
          <cell r="Z415" t="str">
            <v>Reprise</v>
          </cell>
        </row>
        <row r="416">
          <cell r="A416">
            <v>3136</v>
          </cell>
          <cell r="B416">
            <v>1</v>
          </cell>
          <cell r="C416" t="str">
            <v>IV24139</v>
          </cell>
          <cell r="D416" t="str">
            <v>POMPES POUR PISCINES DE PMK / AK / S</v>
          </cell>
          <cell r="E416" t="str">
            <v>Approuvé</v>
          </cell>
          <cell r="F416" t="str">
            <v>K01039</v>
          </cell>
          <cell r="G416">
            <v>2</v>
          </cell>
          <cell r="H416" t="str">
            <v>Reprise</v>
          </cell>
          <cell r="I416" t="str">
            <v>REPRISE</v>
          </cell>
          <cell r="J416" t="str">
            <v>Budgété</v>
          </cell>
          <cell r="K416">
            <v>200000</v>
          </cell>
          <cell r="L416">
            <v>200000</v>
          </cell>
          <cell r="O416">
            <v>200000</v>
          </cell>
          <cell r="S416">
            <v>13537</v>
          </cell>
          <cell r="T416" t="str">
            <v>NABZAR AHMED</v>
          </cell>
          <cell r="U416" t="str">
            <v>Social</v>
          </cell>
          <cell r="V416" t="str">
            <v>Reprise</v>
          </cell>
          <cell r="W416" t="str">
            <v>Renouvellement</v>
          </cell>
          <cell r="X416" t="str">
            <v>Aucune</v>
          </cell>
          <cell r="Y416" t="str">
            <v>Prévu</v>
          </cell>
          <cell r="Z416" t="str">
            <v>Reprise</v>
          </cell>
        </row>
        <row r="417">
          <cell r="A417">
            <v>3137</v>
          </cell>
          <cell r="B417">
            <v>1</v>
          </cell>
          <cell r="C417" t="str">
            <v>IV24142</v>
          </cell>
          <cell r="D417" t="str">
            <v>PULVERISATEUR A DOS D'HOMME 20 LITRES</v>
          </cell>
          <cell r="E417" t="str">
            <v>Approuvé</v>
          </cell>
          <cell r="F417" t="str">
            <v>K01021</v>
          </cell>
          <cell r="G417">
            <v>2</v>
          </cell>
          <cell r="H417" t="str">
            <v>Reprise</v>
          </cell>
          <cell r="I417" t="str">
            <v>REPRISE</v>
          </cell>
          <cell r="J417" t="str">
            <v>Budgété</v>
          </cell>
          <cell r="K417">
            <v>12000</v>
          </cell>
          <cell r="L417">
            <v>12000</v>
          </cell>
          <cell r="O417">
            <v>12000</v>
          </cell>
          <cell r="S417">
            <v>13538</v>
          </cell>
          <cell r="T417" t="str">
            <v>NABZAR AHMED</v>
          </cell>
          <cell r="U417" t="str">
            <v>Social</v>
          </cell>
          <cell r="V417" t="str">
            <v>Reprise</v>
          </cell>
          <cell r="W417" t="str">
            <v>Renouvellement</v>
          </cell>
          <cell r="X417" t="str">
            <v>Aucune</v>
          </cell>
          <cell r="Y417" t="str">
            <v>Prévu</v>
          </cell>
          <cell r="Z417" t="str">
            <v>Reprise</v>
          </cell>
        </row>
        <row r="418">
          <cell r="A418">
            <v>3138</v>
          </cell>
          <cell r="B418">
            <v>1</v>
          </cell>
          <cell r="C418" t="str">
            <v>IV24143</v>
          </cell>
          <cell r="D418" t="str">
            <v>PULVERISATEURS A DOS D'HOMMES 5 LITRES</v>
          </cell>
          <cell r="E418" t="str">
            <v>Approuvé</v>
          </cell>
          <cell r="F418" t="str">
            <v>K01021</v>
          </cell>
          <cell r="G418">
            <v>2</v>
          </cell>
          <cell r="H418" t="str">
            <v>Reprise</v>
          </cell>
          <cell r="I418" t="str">
            <v>REPRISE</v>
          </cell>
          <cell r="J418" t="str">
            <v>Budgété</v>
          </cell>
          <cell r="K418">
            <v>26400</v>
          </cell>
          <cell r="L418">
            <v>26400</v>
          </cell>
          <cell r="O418">
            <v>26400</v>
          </cell>
          <cell r="S418">
            <v>13539</v>
          </cell>
          <cell r="T418" t="str">
            <v>NABZAR AHMED</v>
          </cell>
          <cell r="U418" t="str">
            <v>Social</v>
          </cell>
          <cell r="V418" t="str">
            <v>Reprise</v>
          </cell>
          <cell r="W418" t="str">
            <v>Dotations nouvelles</v>
          </cell>
          <cell r="X418" t="str">
            <v>Aucune</v>
          </cell>
          <cell r="Y418" t="str">
            <v>Prévu</v>
          </cell>
          <cell r="Z418" t="str">
            <v>Reprise</v>
          </cell>
        </row>
        <row r="419">
          <cell r="A419">
            <v>3139</v>
          </cell>
          <cell r="B419">
            <v>1</v>
          </cell>
          <cell r="C419" t="str">
            <v>IV24154</v>
          </cell>
          <cell r="D419" t="str">
            <v>MOBILIER DE BUREAU POUR PMK / AK / A</v>
          </cell>
          <cell r="E419" t="str">
            <v>Approuvé</v>
          </cell>
          <cell r="F419" t="str">
            <v>K01011</v>
          </cell>
          <cell r="G419">
            <v>2</v>
          </cell>
          <cell r="H419" t="str">
            <v>Reprise</v>
          </cell>
          <cell r="I419" t="str">
            <v>REPRISE</v>
          </cell>
          <cell r="J419" t="str">
            <v>Budgété</v>
          </cell>
          <cell r="K419">
            <v>62700</v>
          </cell>
          <cell r="L419">
            <v>62700</v>
          </cell>
          <cell r="O419">
            <v>62700</v>
          </cell>
          <cell r="S419">
            <v>13540</v>
          </cell>
          <cell r="T419" t="str">
            <v>NABZAR AHMED</v>
          </cell>
          <cell r="U419" t="str">
            <v>Administratif</v>
          </cell>
          <cell r="V419" t="str">
            <v>Reprise</v>
          </cell>
          <cell r="W419" t="str">
            <v>Renouvellement</v>
          </cell>
          <cell r="X419" t="str">
            <v>Aucune</v>
          </cell>
          <cell r="Y419" t="str">
            <v>Prévu</v>
          </cell>
          <cell r="Z419" t="str">
            <v>Reprise</v>
          </cell>
        </row>
        <row r="420">
          <cell r="A420">
            <v>3140</v>
          </cell>
          <cell r="B420">
            <v>1</v>
          </cell>
          <cell r="C420" t="str">
            <v>IV24179</v>
          </cell>
          <cell r="D420" t="str">
            <v>RENOUVELLEMENT DU MOBILIER DES BUREAUX DES SERVICES DE LA DIVISION TRAITEMENT DAOUI OUED ZEM</v>
          </cell>
          <cell r="E420" t="str">
            <v>Approuvé</v>
          </cell>
          <cell r="F420" t="str">
            <v>K04315</v>
          </cell>
          <cell r="G420">
            <v>2</v>
          </cell>
          <cell r="H420" t="str">
            <v>Reprise</v>
          </cell>
          <cell r="I420" t="str">
            <v>REPRISE</v>
          </cell>
          <cell r="J420" t="str">
            <v>Budgété</v>
          </cell>
          <cell r="K420">
            <v>500000</v>
          </cell>
          <cell r="L420">
            <v>500000</v>
          </cell>
          <cell r="O420">
            <v>500000</v>
          </cell>
          <cell r="S420">
            <v>13541</v>
          </cell>
          <cell r="T420" t="str">
            <v>NABZAR AHMED</v>
          </cell>
          <cell r="U420" t="str">
            <v>Administratif</v>
          </cell>
          <cell r="V420" t="str">
            <v>Reprise</v>
          </cell>
          <cell r="W420" t="str">
            <v>Renouvellement</v>
          </cell>
          <cell r="X420" t="str">
            <v>Aucune</v>
          </cell>
          <cell r="Y420" t="str">
            <v>Prévu</v>
          </cell>
          <cell r="Z420" t="str">
            <v>Reprise</v>
          </cell>
        </row>
        <row r="421">
          <cell r="A421">
            <v>3141</v>
          </cell>
          <cell r="B421">
            <v>1</v>
          </cell>
          <cell r="C421" t="str">
            <v>IV24198</v>
          </cell>
          <cell r="D421" t="str">
            <v>FOURNITURE ET INSTALLATION DES EQUIPEMENTS DE DEPOUSSIERAGE DES FOURS SECHEURS DE BENI IDIR POUR SE CONFORMER AUX NORMES D'EMISSIONS DE POUSSIERES.</v>
          </cell>
          <cell r="E421" t="str">
            <v>Approuvé</v>
          </cell>
          <cell r="F421" t="str">
            <v>K04116</v>
          </cell>
          <cell r="G421">
            <v>4</v>
          </cell>
          <cell r="H421" t="str">
            <v>Report 2007</v>
          </cell>
          <cell r="I421" t="str">
            <v>REPORT</v>
          </cell>
          <cell r="J421" t="str">
            <v>Budgété</v>
          </cell>
          <cell r="K421">
            <v>82000000</v>
          </cell>
          <cell r="L421">
            <v>82000000</v>
          </cell>
          <cell r="M421">
            <v>82000000</v>
          </cell>
          <cell r="N421">
            <v>82000000</v>
          </cell>
          <cell r="O421">
            <v>0</v>
          </cell>
          <cell r="S421">
            <v>24274</v>
          </cell>
          <cell r="T421" t="str">
            <v>BENCHEKROUN MOUHSINE HAMEDA</v>
          </cell>
          <cell r="U421" t="str">
            <v>Important</v>
          </cell>
          <cell r="V421" t="str">
            <v>Reprise</v>
          </cell>
          <cell r="W421" t="str">
            <v>Dotations nouvelles</v>
          </cell>
          <cell r="X421" t="str">
            <v>Aucune</v>
          </cell>
          <cell r="Y421" t="str">
            <v>Prévu</v>
          </cell>
          <cell r="Z421" t="str">
            <v>Reprise</v>
          </cell>
        </row>
        <row r="422">
          <cell r="A422">
            <v>3142</v>
          </cell>
          <cell r="B422">
            <v>1</v>
          </cell>
          <cell r="C422" t="str">
            <v>IV24199</v>
          </cell>
          <cell r="D422" t="str">
            <v>Projet de substitution de fuel par le coke de pétrole au COZ</v>
          </cell>
          <cell r="E422" t="str">
            <v>Approuvé</v>
          </cell>
          <cell r="F422" t="str">
            <v>K04307</v>
          </cell>
          <cell r="G422">
            <v>3</v>
          </cell>
          <cell r="H422" t="str">
            <v>Report 2007</v>
          </cell>
          <cell r="I422" t="str">
            <v>REPORT</v>
          </cell>
          <cell r="J422" t="str">
            <v>Budgété</v>
          </cell>
          <cell r="K422">
            <v>82814475.319999993</v>
          </cell>
          <cell r="L422">
            <v>82814475.319999993</v>
          </cell>
          <cell r="M422">
            <v>14000000</v>
          </cell>
          <cell r="N422">
            <v>14000000</v>
          </cell>
          <cell r="O422">
            <v>0</v>
          </cell>
          <cell r="P422">
            <v>68814475.319999993</v>
          </cell>
          <cell r="S422">
            <v>24328</v>
          </cell>
          <cell r="T422" t="str">
            <v>ALOUANI ABDELKADER</v>
          </cell>
          <cell r="U422" t="str">
            <v>Important</v>
          </cell>
          <cell r="V422" t="str">
            <v>Reprise</v>
          </cell>
          <cell r="W422" t="str">
            <v>Dotations nouvelles</v>
          </cell>
          <cell r="X422" t="str">
            <v>Aucune</v>
          </cell>
          <cell r="Y422" t="str">
            <v>Prévu</v>
          </cell>
          <cell r="Z422" t="str">
            <v>Reprise</v>
          </cell>
        </row>
        <row r="423">
          <cell r="A423">
            <v>3143</v>
          </cell>
          <cell r="B423">
            <v>1</v>
          </cell>
          <cell r="C423" t="str">
            <v>IV24202</v>
          </cell>
          <cell r="D423" t="str">
            <v>RENOVATION DU SYSTEME DE PRECHAUFFAGE DE FUEL A L'USINE DE BENI IDIR</v>
          </cell>
          <cell r="E423" t="str">
            <v>Approuvé</v>
          </cell>
          <cell r="F423" t="str">
            <v>K04114</v>
          </cell>
          <cell r="G423">
            <v>2</v>
          </cell>
          <cell r="H423" t="str">
            <v>Reprise</v>
          </cell>
          <cell r="I423" t="str">
            <v>REPRISE</v>
          </cell>
          <cell r="J423" t="str">
            <v>Budgété</v>
          </cell>
          <cell r="K423">
            <v>4200000</v>
          </cell>
          <cell r="L423">
            <v>4200000</v>
          </cell>
          <cell r="O423">
            <v>4200000</v>
          </cell>
          <cell r="S423">
            <v>13544</v>
          </cell>
          <cell r="T423" t="str">
            <v>NABZAR AHMED</v>
          </cell>
          <cell r="U423" t="str">
            <v>Ordinaire</v>
          </cell>
          <cell r="V423" t="str">
            <v>Reprise</v>
          </cell>
          <cell r="W423" t="str">
            <v>Renouvellement</v>
          </cell>
          <cell r="X423" t="str">
            <v>Aucune</v>
          </cell>
          <cell r="Y423" t="str">
            <v>Prévu</v>
          </cell>
          <cell r="Z423" t="str">
            <v>Reprise</v>
          </cell>
        </row>
        <row r="424">
          <cell r="A424">
            <v>3144</v>
          </cell>
          <cell r="B424">
            <v>1</v>
          </cell>
          <cell r="C424" t="str">
            <v>IV24203</v>
          </cell>
          <cell r="D424" t="str">
            <v>REFECTION DES CHAUSSEES ET INSTALLATION DES PANNEAUX DE SIGNALISATION AUX UNITES DE BENI IDIR</v>
          </cell>
          <cell r="E424" t="str">
            <v>Approuvé</v>
          </cell>
          <cell r="F424" t="str">
            <v>K04131</v>
          </cell>
          <cell r="G424">
            <v>3</v>
          </cell>
          <cell r="H424" t="str">
            <v>Report 2007</v>
          </cell>
          <cell r="I424" t="str">
            <v>REPORT</v>
          </cell>
          <cell r="J424" t="str">
            <v>Budgété</v>
          </cell>
          <cell r="K424">
            <v>7402343</v>
          </cell>
          <cell r="L424">
            <v>7402343</v>
          </cell>
          <cell r="M424">
            <v>7402343</v>
          </cell>
          <cell r="N424">
            <v>7402343</v>
          </cell>
          <cell r="O424">
            <v>0</v>
          </cell>
          <cell r="S424">
            <v>24336</v>
          </cell>
          <cell r="T424" t="str">
            <v>BOUZIAN JALAL</v>
          </cell>
          <cell r="U424" t="str">
            <v>Ordinaire</v>
          </cell>
          <cell r="V424" t="str">
            <v>Reprise</v>
          </cell>
          <cell r="W424" t="str">
            <v>Dotations nouvelles</v>
          </cell>
          <cell r="X424" t="str">
            <v>Aucune</v>
          </cell>
          <cell r="Y424" t="str">
            <v>Prévu</v>
          </cell>
          <cell r="Z424" t="str">
            <v>Reprise</v>
          </cell>
        </row>
        <row r="425">
          <cell r="A425">
            <v>3145</v>
          </cell>
          <cell r="B425">
            <v>1</v>
          </cell>
          <cell r="C425" t="str">
            <v>IV24204</v>
          </cell>
          <cell r="D425" t="str">
            <v>ACQUISITION DE L'OUTILLAGE POUR LES ATELIERS DE MAINTENENCE DE PMK/TB</v>
          </cell>
          <cell r="E425" t="str">
            <v>Approuvé</v>
          </cell>
          <cell r="F425" t="str">
            <v>K04603</v>
          </cell>
          <cell r="G425">
            <v>2</v>
          </cell>
          <cell r="H425" t="str">
            <v>Reprise</v>
          </cell>
          <cell r="I425" t="str">
            <v>REPRISE</v>
          </cell>
          <cell r="J425" t="str">
            <v>Budgété</v>
          </cell>
          <cell r="K425">
            <v>1600000</v>
          </cell>
          <cell r="L425">
            <v>1600000</v>
          </cell>
          <cell r="O425">
            <v>1600000</v>
          </cell>
          <cell r="S425">
            <v>13546</v>
          </cell>
          <cell r="T425" t="str">
            <v>NABZAR AHMED</v>
          </cell>
          <cell r="U425" t="str">
            <v>Ordinaire</v>
          </cell>
          <cell r="V425" t="str">
            <v>Reprise</v>
          </cell>
          <cell r="W425" t="str">
            <v>Dotations nouvelles</v>
          </cell>
          <cell r="X425" t="str">
            <v>Aucune</v>
          </cell>
          <cell r="Y425" t="str">
            <v>Prévu</v>
          </cell>
          <cell r="Z425" t="str">
            <v>Reprise</v>
          </cell>
        </row>
        <row r="426">
          <cell r="A426">
            <v>3146</v>
          </cell>
          <cell r="B426">
            <v>1</v>
          </cell>
          <cell r="C426" t="str">
            <v>IV24205</v>
          </cell>
          <cell r="D426" t="str">
            <v>RENOUVELLEMENT DE 11 REDUCTEURS A PMK/TB</v>
          </cell>
          <cell r="E426" t="str">
            <v>Approuvé</v>
          </cell>
          <cell r="F426" t="str">
            <v>K04108</v>
          </cell>
          <cell r="G426">
            <v>2</v>
          </cell>
          <cell r="H426" t="str">
            <v>Reprise</v>
          </cell>
          <cell r="I426" t="str">
            <v>REPRISE</v>
          </cell>
          <cell r="J426" t="str">
            <v>Budgété</v>
          </cell>
          <cell r="K426">
            <v>3800000</v>
          </cell>
          <cell r="L426">
            <v>3800000</v>
          </cell>
          <cell r="O426">
            <v>3800000</v>
          </cell>
          <cell r="S426">
            <v>13547</v>
          </cell>
          <cell r="T426" t="str">
            <v>NABZAR AHMED</v>
          </cell>
          <cell r="U426" t="str">
            <v>Ordinaire</v>
          </cell>
          <cell r="V426" t="str">
            <v>Reprise</v>
          </cell>
          <cell r="W426" t="str">
            <v>Renouvellement</v>
          </cell>
          <cell r="X426" t="str">
            <v>Aucune</v>
          </cell>
          <cell r="Y426" t="str">
            <v>Prévu</v>
          </cell>
          <cell r="Z426" t="str">
            <v>Reprise</v>
          </cell>
        </row>
        <row r="427">
          <cell r="A427">
            <v>3147</v>
          </cell>
          <cell r="B427">
            <v>1</v>
          </cell>
          <cell r="C427" t="str">
            <v>IV24206</v>
          </cell>
          <cell r="D427" t="str">
            <v>AMENAGEMENT DES LOCAUX ET BLOCS SANITAIRES DE PMK/TB</v>
          </cell>
          <cell r="E427" t="str">
            <v>Approuvé</v>
          </cell>
          <cell r="F427" t="str">
            <v>K04131</v>
          </cell>
          <cell r="G427">
            <v>3</v>
          </cell>
          <cell r="H427" t="str">
            <v>Report 2007</v>
          </cell>
          <cell r="I427" t="str">
            <v>REPORT</v>
          </cell>
          <cell r="J427" t="str">
            <v>Budgété</v>
          </cell>
          <cell r="K427">
            <v>4535644.82</v>
          </cell>
          <cell r="L427">
            <v>4535644.82</v>
          </cell>
          <cell r="M427">
            <v>2225078</v>
          </cell>
          <cell r="N427">
            <v>2225078</v>
          </cell>
          <cell r="O427">
            <v>2310566.8199999998</v>
          </cell>
          <cell r="S427">
            <v>24459</v>
          </cell>
          <cell r="T427" t="str">
            <v>BOUZIAN JALAL</v>
          </cell>
          <cell r="U427" t="str">
            <v>Ordinaire</v>
          </cell>
          <cell r="V427" t="str">
            <v>Reprise</v>
          </cell>
          <cell r="W427" t="str">
            <v>Dotations nouvelles</v>
          </cell>
          <cell r="X427" t="str">
            <v>Aucune</v>
          </cell>
          <cell r="Y427" t="str">
            <v>Prévu</v>
          </cell>
          <cell r="Z427" t="str">
            <v>Reprise</v>
          </cell>
        </row>
        <row r="428">
          <cell r="A428">
            <v>3148</v>
          </cell>
          <cell r="B428">
            <v>1</v>
          </cell>
          <cell r="C428" t="str">
            <v>IV24207</v>
          </cell>
          <cell r="D428" t="str">
            <v>ACHAT D'UN POSTE DE COUPAGE PLASMA POUR L'ATELIER MECANIQUE DE L'ENRICHISSEMENT A SEC DE BENI IDIR</v>
          </cell>
          <cell r="E428" t="str">
            <v>Approuvé</v>
          </cell>
          <cell r="F428" t="str">
            <v>K04122</v>
          </cell>
          <cell r="G428">
            <v>2</v>
          </cell>
          <cell r="H428" t="str">
            <v>Reprise</v>
          </cell>
          <cell r="I428" t="str">
            <v>REPRISE</v>
          </cell>
          <cell r="J428" t="str">
            <v>Budgété</v>
          </cell>
          <cell r="K428">
            <v>100000</v>
          </cell>
          <cell r="L428">
            <v>100000</v>
          </cell>
          <cell r="O428">
            <v>100000</v>
          </cell>
          <cell r="S428">
            <v>13549</v>
          </cell>
          <cell r="T428" t="str">
            <v>JERRAR HICHAM</v>
          </cell>
          <cell r="U428" t="str">
            <v>Ordinaire</v>
          </cell>
          <cell r="V428" t="str">
            <v>Reprise</v>
          </cell>
          <cell r="W428" t="str">
            <v>Dotations nouvelles</v>
          </cell>
          <cell r="X428" t="str">
            <v>Aucune</v>
          </cell>
          <cell r="Y428" t="str">
            <v>Prévu</v>
          </cell>
          <cell r="Z428" t="str">
            <v>Reprise</v>
          </cell>
        </row>
        <row r="429">
          <cell r="A429">
            <v>3149</v>
          </cell>
          <cell r="B429">
            <v>1</v>
          </cell>
          <cell r="C429" t="str">
            <v>IV24208</v>
          </cell>
          <cell r="D429" t="str">
            <v>RENOUVELLEMENT DE 02 COMPRESSEURS A AIR COMPRIME DE LA CALCINATION DE PMK/TB</v>
          </cell>
          <cell r="E429" t="str">
            <v>Approuvé</v>
          </cell>
          <cell r="F429" t="str">
            <v>K04120</v>
          </cell>
          <cell r="G429">
            <v>2</v>
          </cell>
          <cell r="H429" t="str">
            <v>Reprise</v>
          </cell>
          <cell r="I429" t="str">
            <v>REPRISE</v>
          </cell>
          <cell r="J429" t="str">
            <v>Budgété</v>
          </cell>
          <cell r="K429">
            <v>480000</v>
          </cell>
          <cell r="L429">
            <v>480000</v>
          </cell>
          <cell r="O429">
            <v>480000</v>
          </cell>
          <cell r="S429">
            <v>13550</v>
          </cell>
          <cell r="T429" t="str">
            <v>NABZAR AHMED</v>
          </cell>
          <cell r="U429" t="str">
            <v>Ordinaire</v>
          </cell>
          <cell r="V429" t="str">
            <v>Reprise</v>
          </cell>
          <cell r="W429" t="str">
            <v>Renouvellement</v>
          </cell>
          <cell r="X429" t="str">
            <v>Aucune</v>
          </cell>
          <cell r="Y429" t="str">
            <v>Prévu</v>
          </cell>
          <cell r="Z429" t="str">
            <v>Reprise</v>
          </cell>
        </row>
        <row r="430">
          <cell r="A430">
            <v>3150</v>
          </cell>
          <cell r="B430">
            <v>1</v>
          </cell>
          <cell r="C430" t="str">
            <v>IV24242</v>
          </cell>
          <cell r="D430" t="str">
            <v>ACQUISITION DE QUATRE RADIATEURS DE CHAUFFAGE A BAIN D'HUILE</v>
          </cell>
          <cell r="E430" t="str">
            <v>Approuvé</v>
          </cell>
          <cell r="F430" t="str">
            <v>K11040</v>
          </cell>
          <cell r="G430">
            <v>2</v>
          </cell>
          <cell r="H430" t="str">
            <v>Reprise</v>
          </cell>
          <cell r="I430" t="str">
            <v>REPRISE</v>
          </cell>
          <cell r="J430" t="str">
            <v>Budgété</v>
          </cell>
          <cell r="K430">
            <v>20000</v>
          </cell>
          <cell r="L430">
            <v>20000</v>
          </cell>
          <cell r="O430">
            <v>20000</v>
          </cell>
          <cell r="S430">
            <v>13551</v>
          </cell>
          <cell r="T430" t="str">
            <v>NABZAR AHMED</v>
          </cell>
          <cell r="U430" t="str">
            <v>Administratif</v>
          </cell>
          <cell r="V430" t="str">
            <v>Reprise</v>
          </cell>
          <cell r="W430" t="str">
            <v>Dotations nouvelles</v>
          </cell>
          <cell r="X430" t="str">
            <v>Aucune</v>
          </cell>
          <cell r="Y430" t="str">
            <v>Prévu</v>
          </cell>
          <cell r="Z430" t="str">
            <v>Reprise</v>
          </cell>
        </row>
        <row r="431">
          <cell r="A431">
            <v>3151</v>
          </cell>
          <cell r="B431">
            <v>1</v>
          </cell>
          <cell r="C431" t="str">
            <v>IV24244</v>
          </cell>
          <cell r="D431" t="str">
            <v>OUTILLAGE POUR LA SECTION CHAUFFAGE DE PMK / AK / S</v>
          </cell>
          <cell r="E431" t="str">
            <v>Approuvé</v>
          </cell>
          <cell r="F431" t="str">
            <v>K01049</v>
          </cell>
          <cell r="G431">
            <v>2</v>
          </cell>
          <cell r="H431" t="str">
            <v>Reprise</v>
          </cell>
          <cell r="I431" t="str">
            <v>REPRISE</v>
          </cell>
          <cell r="J431" t="str">
            <v>Budgété</v>
          </cell>
          <cell r="K431">
            <v>69373.399999999994</v>
          </cell>
          <cell r="L431">
            <v>69373.399999999994</v>
          </cell>
          <cell r="O431">
            <v>47000</v>
          </cell>
          <cell r="P431">
            <v>22373.4</v>
          </cell>
          <cell r="S431">
            <v>13552</v>
          </cell>
          <cell r="T431" t="str">
            <v>NABZAR AHMED</v>
          </cell>
          <cell r="U431" t="str">
            <v>Social</v>
          </cell>
          <cell r="V431" t="str">
            <v>Reprise</v>
          </cell>
          <cell r="W431" t="str">
            <v>Dotations nouvelles</v>
          </cell>
          <cell r="X431" t="str">
            <v>Aucune</v>
          </cell>
          <cell r="Y431" t="str">
            <v>Prévu</v>
          </cell>
          <cell r="Z431" t="str">
            <v>Reprise</v>
          </cell>
        </row>
        <row r="432">
          <cell r="A432">
            <v>3152</v>
          </cell>
          <cell r="B432">
            <v>1</v>
          </cell>
          <cell r="C432" t="str">
            <v>IV24890</v>
          </cell>
          <cell r="D432" t="str">
            <v>ACQUISITION DE 35 BANCS POUR LES FOYERS DE JEUNES DE LA ZONE DE KHOURIBGA</v>
          </cell>
          <cell r="E432" t="str">
            <v>Approuvé</v>
          </cell>
          <cell r="F432" t="str">
            <v>K01040</v>
          </cell>
          <cell r="G432">
            <v>2</v>
          </cell>
          <cell r="H432" t="str">
            <v>Reprise</v>
          </cell>
          <cell r="I432" t="str">
            <v>REPRISE</v>
          </cell>
          <cell r="J432" t="str">
            <v>Budgété</v>
          </cell>
          <cell r="K432">
            <v>45000</v>
          </cell>
          <cell r="L432">
            <v>45000</v>
          </cell>
          <cell r="O432">
            <v>45000</v>
          </cell>
          <cell r="S432">
            <v>13553</v>
          </cell>
          <cell r="T432" t="str">
            <v>NABZAR AHMED</v>
          </cell>
          <cell r="U432" t="str">
            <v>Social</v>
          </cell>
          <cell r="V432" t="str">
            <v>Reprise</v>
          </cell>
          <cell r="W432" t="str">
            <v>Dotations nouvelles</v>
          </cell>
          <cell r="X432" t="str">
            <v>Aucune</v>
          </cell>
          <cell r="Y432" t="str">
            <v>Prévu</v>
          </cell>
          <cell r="Z432" t="str">
            <v>Reprise</v>
          </cell>
        </row>
        <row r="433">
          <cell r="A433">
            <v>3153</v>
          </cell>
          <cell r="B433">
            <v>1</v>
          </cell>
          <cell r="C433" t="str">
            <v>IV24897</v>
          </cell>
          <cell r="D433" t="str">
            <v>RENOUVELLEMENT  DE  L'INSTALLATION  D'ALARME  A  LA  CAISSE  DE  LA  COMPTABILITE</v>
          </cell>
          <cell r="E433" t="str">
            <v>Approuvé</v>
          </cell>
          <cell r="F433" t="str">
            <v>K01001</v>
          </cell>
          <cell r="G433">
            <v>3</v>
          </cell>
          <cell r="H433" t="str">
            <v>Version pour un complément</v>
          </cell>
          <cell r="I433" t="str">
            <v>COMPLEMENT</v>
          </cell>
          <cell r="J433" t="str">
            <v>Budgété</v>
          </cell>
          <cell r="K433">
            <v>89410.09</v>
          </cell>
          <cell r="L433">
            <v>89410.09</v>
          </cell>
          <cell r="O433">
            <v>89410.09</v>
          </cell>
          <cell r="S433">
            <v>18571</v>
          </cell>
          <cell r="T433" t="str">
            <v>NABZAR AHMED</v>
          </cell>
          <cell r="U433" t="str">
            <v>Administratif</v>
          </cell>
          <cell r="V433" t="str">
            <v>Reprise</v>
          </cell>
          <cell r="W433" t="str">
            <v>Renouvellement</v>
          </cell>
          <cell r="X433" t="str">
            <v>Aucune</v>
          </cell>
          <cell r="Y433" t="str">
            <v>Prévu</v>
          </cell>
          <cell r="Z433" t="str">
            <v>Reprise</v>
          </cell>
        </row>
        <row r="434">
          <cell r="A434">
            <v>3154</v>
          </cell>
          <cell r="B434">
            <v>1</v>
          </cell>
          <cell r="C434" t="str">
            <v>IV25181</v>
          </cell>
          <cell r="D434" t="str">
            <v>EQUIPEMENTS DE LA SALLE DE REUNION DE PMK/L ET DES BUREAUX D'INGENIEURS</v>
          </cell>
          <cell r="E434" t="str">
            <v>Approuvé</v>
          </cell>
          <cell r="F434" t="str">
            <v>K11019</v>
          </cell>
          <cell r="G434">
            <v>2</v>
          </cell>
          <cell r="H434" t="str">
            <v>Reprise</v>
          </cell>
          <cell r="I434" t="str">
            <v>REPRISE</v>
          </cell>
          <cell r="J434" t="str">
            <v>Budgété</v>
          </cell>
          <cell r="K434">
            <v>153332.51</v>
          </cell>
          <cell r="L434">
            <v>153332.51</v>
          </cell>
          <cell r="O434">
            <v>93700</v>
          </cell>
          <cell r="P434">
            <v>59632.51</v>
          </cell>
          <cell r="S434">
            <v>13555</v>
          </cell>
          <cell r="T434" t="str">
            <v>NABZAR AHMED</v>
          </cell>
          <cell r="U434" t="str">
            <v>Administratif</v>
          </cell>
          <cell r="V434" t="str">
            <v>Reprise</v>
          </cell>
          <cell r="W434" t="str">
            <v>Renouvellement</v>
          </cell>
          <cell r="X434" t="str">
            <v>Aucune</v>
          </cell>
          <cell r="Y434" t="str">
            <v>Prévu</v>
          </cell>
          <cell r="Z434" t="str">
            <v>Reprise</v>
          </cell>
        </row>
        <row r="435">
          <cell r="A435">
            <v>3155</v>
          </cell>
          <cell r="B435">
            <v>1</v>
          </cell>
          <cell r="C435" t="str">
            <v>IV25266</v>
          </cell>
          <cell r="D435" t="str">
            <v>IMPLANTATION D'UN CARREAU DE DESTOCKAGE A SIDI CHENNANE</v>
          </cell>
          <cell r="E435" t="str">
            <v>Approuvé</v>
          </cell>
          <cell r="F435" t="str">
            <v>K04230</v>
          </cell>
          <cell r="G435">
            <v>3</v>
          </cell>
          <cell r="H435" t="str">
            <v>report 2007</v>
          </cell>
          <cell r="I435" t="str">
            <v>REPORT</v>
          </cell>
          <cell r="J435" t="str">
            <v>Budgété</v>
          </cell>
          <cell r="K435">
            <v>70000000</v>
          </cell>
          <cell r="L435">
            <v>70000000</v>
          </cell>
          <cell r="M435">
            <v>37000000</v>
          </cell>
          <cell r="N435">
            <v>37000000</v>
          </cell>
          <cell r="O435">
            <v>3000000</v>
          </cell>
          <cell r="Q435">
            <v>30000000</v>
          </cell>
          <cell r="S435">
            <v>24307</v>
          </cell>
          <cell r="T435" t="str">
            <v>BOUALAM MOUTASSIM</v>
          </cell>
          <cell r="U435" t="str">
            <v>Important</v>
          </cell>
          <cell r="V435" t="str">
            <v>Reprise</v>
          </cell>
          <cell r="W435" t="str">
            <v>Dotations nouvelles</v>
          </cell>
          <cell r="X435" t="str">
            <v>Aucune</v>
          </cell>
          <cell r="Y435" t="str">
            <v>Prévu</v>
          </cell>
          <cell r="Z435" t="str">
            <v>Reprise</v>
          </cell>
        </row>
        <row r="436">
          <cell r="A436">
            <v>3156</v>
          </cell>
          <cell r="B436">
            <v>1</v>
          </cell>
          <cell r="C436" t="str">
            <v>IV25269</v>
          </cell>
          <cell r="D436" t="str">
            <v>IMPLANTATION DE DEUX LIGNES DE SECHAGE ET EXTENTION DU PARC D'ALIMENTATION DES FOURS AU COZ</v>
          </cell>
          <cell r="E436" t="str">
            <v>Approuvé</v>
          </cell>
          <cell r="F436" t="str">
            <v>K04307</v>
          </cell>
          <cell r="G436">
            <v>2</v>
          </cell>
          <cell r="H436" t="str">
            <v>Reprise</v>
          </cell>
          <cell r="I436" t="str">
            <v>REPRISE</v>
          </cell>
          <cell r="J436" t="str">
            <v>Budgété</v>
          </cell>
          <cell r="K436">
            <v>8000000</v>
          </cell>
          <cell r="L436">
            <v>8000000</v>
          </cell>
          <cell r="O436">
            <v>8000000</v>
          </cell>
          <cell r="S436">
            <v>13449</v>
          </cell>
          <cell r="T436" t="str">
            <v>NABZAR AHMED</v>
          </cell>
          <cell r="U436" t="str">
            <v>Important</v>
          </cell>
          <cell r="V436" t="str">
            <v>Reprise</v>
          </cell>
          <cell r="W436" t="str">
            <v>Dotations nouvelles</v>
          </cell>
          <cell r="X436" t="str">
            <v>Aucune</v>
          </cell>
          <cell r="Y436" t="str">
            <v>Prévu</v>
          </cell>
          <cell r="Z436" t="str">
            <v>Reprise</v>
          </cell>
        </row>
        <row r="437">
          <cell r="A437">
            <v>3157</v>
          </cell>
          <cell r="B437">
            <v>1</v>
          </cell>
          <cell r="C437" t="str">
            <v>IV25289</v>
          </cell>
          <cell r="D437" t="str">
            <v>ACHAT D'UN NOUVEAU GODET POUR LA M8400</v>
          </cell>
          <cell r="E437" t="str">
            <v>Approuvé</v>
          </cell>
          <cell r="F437" t="str">
            <v>K03840</v>
          </cell>
          <cell r="G437">
            <v>2</v>
          </cell>
          <cell r="H437" t="str">
            <v>Reprise</v>
          </cell>
          <cell r="I437" t="str">
            <v>REPRISE</v>
          </cell>
          <cell r="J437" t="str">
            <v>Budgété</v>
          </cell>
          <cell r="K437">
            <v>7000000</v>
          </cell>
          <cell r="L437">
            <v>7000000</v>
          </cell>
          <cell r="O437">
            <v>7000000</v>
          </cell>
          <cell r="S437">
            <v>13450</v>
          </cell>
          <cell r="T437" t="str">
            <v>EL BOUCHRIFI Yagoub</v>
          </cell>
          <cell r="U437" t="str">
            <v>Ordinaire</v>
          </cell>
          <cell r="V437" t="str">
            <v>Reprise</v>
          </cell>
          <cell r="W437" t="str">
            <v>Dotations nouvelles</v>
          </cell>
          <cell r="X437" t="str">
            <v>Aucune</v>
          </cell>
          <cell r="Y437" t="str">
            <v>Prévu</v>
          </cell>
          <cell r="Z437" t="str">
            <v>Reprise</v>
          </cell>
        </row>
        <row r="438">
          <cell r="A438">
            <v>3158</v>
          </cell>
          <cell r="B438">
            <v>1</v>
          </cell>
          <cell r="C438" t="str">
            <v>IV25446</v>
          </cell>
          <cell r="D438" t="str">
            <v>RENOUVELLEMENT DE MATERIEL DE FROID ET DE CLIMATISATION</v>
          </cell>
          <cell r="E438" t="str">
            <v>Approuvé</v>
          </cell>
          <cell r="F438" t="str">
            <v>K03510</v>
          </cell>
          <cell r="G438">
            <v>2</v>
          </cell>
          <cell r="H438" t="str">
            <v>Reprise</v>
          </cell>
          <cell r="I438" t="str">
            <v>REPRISE</v>
          </cell>
          <cell r="J438" t="str">
            <v>Budgété</v>
          </cell>
          <cell r="K438">
            <v>176000</v>
          </cell>
          <cell r="L438">
            <v>176000</v>
          </cell>
          <cell r="O438">
            <v>176000</v>
          </cell>
          <cell r="S438">
            <v>13451</v>
          </cell>
          <cell r="T438" t="str">
            <v>CHARKI EL YAMANI</v>
          </cell>
          <cell r="U438" t="str">
            <v>Administratif</v>
          </cell>
          <cell r="V438" t="str">
            <v>Reprise</v>
          </cell>
          <cell r="W438" t="str">
            <v>Renouvellement</v>
          </cell>
          <cell r="X438" t="str">
            <v>Aucune</v>
          </cell>
          <cell r="Y438" t="str">
            <v>Prévu</v>
          </cell>
          <cell r="Z438" t="str">
            <v>Reprise</v>
          </cell>
        </row>
        <row r="439">
          <cell r="A439">
            <v>3159</v>
          </cell>
          <cell r="B439">
            <v>1</v>
          </cell>
          <cell r="C439" t="str">
            <v>IV25448</v>
          </cell>
          <cell r="D439" t="str">
            <v>ACHAT DE MATÉRIEL DE SÉCURITÉ</v>
          </cell>
          <cell r="E439" t="str">
            <v>Approuvé</v>
          </cell>
          <cell r="F439" t="str">
            <v>K03051</v>
          </cell>
          <cell r="G439">
            <v>2</v>
          </cell>
          <cell r="H439" t="str">
            <v>Reprise</v>
          </cell>
          <cell r="I439" t="str">
            <v>REPRISE</v>
          </cell>
          <cell r="J439" t="str">
            <v>Budgété</v>
          </cell>
          <cell r="K439">
            <v>166000</v>
          </cell>
          <cell r="L439">
            <v>166000</v>
          </cell>
          <cell r="O439">
            <v>166000</v>
          </cell>
          <cell r="S439">
            <v>13452</v>
          </cell>
          <cell r="T439" t="str">
            <v>SAAD Khalifa</v>
          </cell>
          <cell r="U439" t="str">
            <v>Ordinaire</v>
          </cell>
          <cell r="V439" t="str">
            <v>Reprise</v>
          </cell>
          <cell r="W439" t="str">
            <v>Dotations nouvelles</v>
          </cell>
          <cell r="X439" t="str">
            <v>Aucune</v>
          </cell>
          <cell r="Y439" t="str">
            <v>Prévu</v>
          </cell>
          <cell r="Z439" t="str">
            <v>Reprise</v>
          </cell>
        </row>
        <row r="440">
          <cell r="A440">
            <v>3160</v>
          </cell>
          <cell r="B440">
            <v>1</v>
          </cell>
          <cell r="C440" t="str">
            <v>IV25454</v>
          </cell>
          <cell r="D440" t="str">
            <v>RENOUVELLEMENT DE MOBILIER DE BUREAU</v>
          </cell>
          <cell r="E440" t="str">
            <v>Approuvé</v>
          </cell>
          <cell r="F440" t="str">
            <v>K03510</v>
          </cell>
          <cell r="G440">
            <v>2</v>
          </cell>
          <cell r="H440" t="str">
            <v>Reprise</v>
          </cell>
          <cell r="I440" t="str">
            <v>REPRISE</v>
          </cell>
          <cell r="J440" t="str">
            <v>Budgété</v>
          </cell>
          <cell r="K440">
            <v>261000</v>
          </cell>
          <cell r="L440">
            <v>261000</v>
          </cell>
          <cell r="O440">
            <v>261000</v>
          </cell>
          <cell r="S440">
            <v>13453</v>
          </cell>
          <cell r="T440" t="str">
            <v>CHARKI EL YAMANI</v>
          </cell>
          <cell r="U440" t="str">
            <v>Administratif</v>
          </cell>
          <cell r="V440" t="str">
            <v>Reprise</v>
          </cell>
          <cell r="W440" t="str">
            <v>Renouvellement</v>
          </cell>
          <cell r="X440" t="str">
            <v>Aucune</v>
          </cell>
          <cell r="Y440" t="str">
            <v>Prévu</v>
          </cell>
          <cell r="Z440" t="str">
            <v>Reprise</v>
          </cell>
        </row>
        <row r="441">
          <cell r="A441">
            <v>3161</v>
          </cell>
          <cell r="B441">
            <v>1</v>
          </cell>
          <cell r="C441" t="str">
            <v>IV25470</v>
          </cell>
          <cell r="D441" t="str">
            <v>ACHAT DE MATERIEL DE FROID, CLIMATISATION ET CHAUFFAGE</v>
          </cell>
          <cell r="E441" t="str">
            <v>Approuvé</v>
          </cell>
          <cell r="F441" t="str">
            <v>K03510</v>
          </cell>
          <cell r="G441">
            <v>2</v>
          </cell>
          <cell r="H441" t="str">
            <v>Reprise</v>
          </cell>
          <cell r="I441" t="str">
            <v>REPRISE</v>
          </cell>
          <cell r="J441" t="str">
            <v>Budgété</v>
          </cell>
          <cell r="K441">
            <v>368800</v>
          </cell>
          <cell r="L441">
            <v>368800</v>
          </cell>
          <cell r="O441">
            <v>368800</v>
          </cell>
          <cell r="S441">
            <v>13454</v>
          </cell>
          <cell r="T441" t="str">
            <v>CHARKI EL YAMANI</v>
          </cell>
          <cell r="U441" t="str">
            <v>Administratif</v>
          </cell>
          <cell r="V441" t="str">
            <v>Reprise</v>
          </cell>
          <cell r="W441" t="str">
            <v>Dotations nouvelles</v>
          </cell>
          <cell r="X441" t="str">
            <v>Aucune</v>
          </cell>
          <cell r="Y441" t="str">
            <v>Prévu</v>
          </cell>
          <cell r="Z441" t="str">
            <v>Reprise</v>
          </cell>
        </row>
        <row r="442">
          <cell r="A442">
            <v>3162</v>
          </cell>
          <cell r="B442">
            <v>1</v>
          </cell>
          <cell r="C442" t="str">
            <v>IV25471</v>
          </cell>
          <cell r="D442" t="str">
            <v>FORNITURE ET INSTALLATION DE RAYONNAGE</v>
          </cell>
          <cell r="E442" t="str">
            <v>Approuvé</v>
          </cell>
          <cell r="F442" t="str">
            <v>K03534</v>
          </cell>
          <cell r="G442">
            <v>2</v>
          </cell>
          <cell r="H442" t="str">
            <v>Reprise</v>
          </cell>
          <cell r="I442" t="str">
            <v>REPRISE</v>
          </cell>
          <cell r="J442" t="str">
            <v>Budgété</v>
          </cell>
          <cell r="K442">
            <v>500000</v>
          </cell>
          <cell r="L442">
            <v>500000</v>
          </cell>
          <cell r="O442">
            <v>500000</v>
          </cell>
          <cell r="S442">
            <v>13455</v>
          </cell>
          <cell r="T442" t="str">
            <v>CHARKI EL YAMANI</v>
          </cell>
          <cell r="U442" t="str">
            <v>Ordinaire</v>
          </cell>
          <cell r="V442" t="str">
            <v>Reprise</v>
          </cell>
          <cell r="W442" t="str">
            <v>Dotations nouvelles</v>
          </cell>
          <cell r="X442" t="str">
            <v>Aucune</v>
          </cell>
          <cell r="Y442" t="str">
            <v>Prévu</v>
          </cell>
          <cell r="Z442" t="str">
            <v>Reprise</v>
          </cell>
        </row>
        <row r="443">
          <cell r="A443">
            <v>3163</v>
          </cell>
          <cell r="B443">
            <v>1</v>
          </cell>
          <cell r="C443" t="str">
            <v>IV25476</v>
          </cell>
          <cell r="D443" t="str">
            <v>BANC D'ESSAI HYDRAULIQUE POUR POMPES DE GASOIL</v>
          </cell>
          <cell r="E443" t="str">
            <v>Approuvé</v>
          </cell>
          <cell r="F443" t="str">
            <v>K03550</v>
          </cell>
          <cell r="G443">
            <v>2</v>
          </cell>
          <cell r="H443" t="str">
            <v>Reprise</v>
          </cell>
          <cell r="I443" t="str">
            <v>REPRISE</v>
          </cell>
          <cell r="J443" t="str">
            <v>Budgété</v>
          </cell>
          <cell r="K443">
            <v>1500000</v>
          </cell>
          <cell r="L443">
            <v>1500000</v>
          </cell>
          <cell r="O443">
            <v>1500000</v>
          </cell>
          <cell r="S443">
            <v>13456</v>
          </cell>
          <cell r="T443" t="str">
            <v>MAGHRAOUI Brahim</v>
          </cell>
          <cell r="U443" t="str">
            <v>Ordinaire</v>
          </cell>
          <cell r="V443" t="str">
            <v>Reprise</v>
          </cell>
          <cell r="W443" t="str">
            <v>Dotations nouvelles</v>
          </cell>
          <cell r="X443" t="str">
            <v>Aucune</v>
          </cell>
          <cell r="Y443" t="str">
            <v>Prévu</v>
          </cell>
          <cell r="Z443" t="str">
            <v>Reprise</v>
          </cell>
        </row>
        <row r="444">
          <cell r="A444">
            <v>3164</v>
          </cell>
          <cell r="B444">
            <v>1</v>
          </cell>
          <cell r="C444" t="str">
            <v>IV25477</v>
          </cell>
          <cell r="D444" t="str">
            <v>ACHAT D'OUTILLAGE D'ATELIER</v>
          </cell>
          <cell r="E444" t="str">
            <v>Approuvé</v>
          </cell>
          <cell r="F444" t="str">
            <v>K03563</v>
          </cell>
          <cell r="G444">
            <v>2</v>
          </cell>
          <cell r="H444" t="str">
            <v>Reprise</v>
          </cell>
          <cell r="I444" t="str">
            <v>REPRISE</v>
          </cell>
          <cell r="J444" t="str">
            <v>Budgété</v>
          </cell>
          <cell r="K444">
            <v>361000</v>
          </cell>
          <cell r="L444">
            <v>361000</v>
          </cell>
          <cell r="O444">
            <v>361000</v>
          </cell>
          <cell r="S444">
            <v>13457</v>
          </cell>
          <cell r="T444" t="str">
            <v>MAGHRAOUI Brahim</v>
          </cell>
          <cell r="U444" t="str">
            <v>Ordinaire</v>
          </cell>
          <cell r="V444" t="str">
            <v>Reprise</v>
          </cell>
          <cell r="W444" t="str">
            <v>Dotations nouvelles</v>
          </cell>
          <cell r="X444" t="str">
            <v>Aucune</v>
          </cell>
          <cell r="Y444" t="str">
            <v>Prévu</v>
          </cell>
          <cell r="Z444" t="str">
            <v>Reprise</v>
          </cell>
        </row>
        <row r="445">
          <cell r="A445">
            <v>3165</v>
          </cell>
          <cell r="B445">
            <v>1</v>
          </cell>
          <cell r="C445" t="str">
            <v>IV25479</v>
          </cell>
          <cell r="D445" t="str">
            <v>ACHAT DE PONTS ROULANTS EQUIPES DE PALANS</v>
          </cell>
          <cell r="E445" t="str">
            <v>Approuvé</v>
          </cell>
          <cell r="F445" t="str">
            <v>K03550</v>
          </cell>
          <cell r="G445">
            <v>3</v>
          </cell>
          <cell r="H445" t="str">
            <v>Report</v>
          </cell>
          <cell r="I445" t="str">
            <v>REPORT</v>
          </cell>
          <cell r="J445" t="str">
            <v>Budgété</v>
          </cell>
          <cell r="K445">
            <v>1800000</v>
          </cell>
          <cell r="L445">
            <v>1800000</v>
          </cell>
          <cell r="M445">
            <v>1800000</v>
          </cell>
          <cell r="N445">
            <v>1800000</v>
          </cell>
          <cell r="O445">
            <v>0</v>
          </cell>
          <cell r="S445">
            <v>24463</v>
          </cell>
          <cell r="T445" t="str">
            <v>KHOUILI ABDELAADIM</v>
          </cell>
          <cell r="U445" t="str">
            <v>Ordinaire</v>
          </cell>
          <cell r="V445" t="str">
            <v>Reprise</v>
          </cell>
          <cell r="W445" t="str">
            <v>Dotations nouvelles</v>
          </cell>
          <cell r="X445" t="str">
            <v>Aucune</v>
          </cell>
          <cell r="Y445" t="str">
            <v>Prévu</v>
          </cell>
          <cell r="Z445" t="str">
            <v>Reprise</v>
          </cell>
        </row>
        <row r="446">
          <cell r="A446">
            <v>3166</v>
          </cell>
          <cell r="B446">
            <v>1</v>
          </cell>
          <cell r="C446" t="str">
            <v>IV25480</v>
          </cell>
          <cell r="D446" t="str">
            <v>RENOUVELLEMENT D'UN BANC D'ESSAI HYDRAULIQUE</v>
          </cell>
          <cell r="E446" t="str">
            <v>Approuvé</v>
          </cell>
          <cell r="F446" t="str">
            <v>K03550</v>
          </cell>
          <cell r="G446">
            <v>2</v>
          </cell>
          <cell r="H446" t="str">
            <v>Reprise</v>
          </cell>
          <cell r="I446" t="str">
            <v>REPRISE</v>
          </cell>
          <cell r="J446" t="str">
            <v>Budgété</v>
          </cell>
          <cell r="K446">
            <v>1500000</v>
          </cell>
          <cell r="L446">
            <v>1500000</v>
          </cell>
          <cell r="O446">
            <v>1500000</v>
          </cell>
          <cell r="S446">
            <v>13459</v>
          </cell>
          <cell r="T446" t="str">
            <v>MAGHRAOUI Brahim</v>
          </cell>
          <cell r="U446" t="str">
            <v>Ordinaire</v>
          </cell>
          <cell r="V446" t="str">
            <v>Reprise</v>
          </cell>
          <cell r="W446" t="str">
            <v>Renouvellement</v>
          </cell>
          <cell r="X446" t="str">
            <v>Aucune</v>
          </cell>
          <cell r="Y446" t="str">
            <v>Prévu</v>
          </cell>
          <cell r="Z446" t="str">
            <v>Reprise</v>
          </cell>
        </row>
        <row r="447">
          <cell r="A447">
            <v>3167</v>
          </cell>
          <cell r="B447">
            <v>1</v>
          </cell>
          <cell r="C447" t="str">
            <v>IV25484</v>
          </cell>
          <cell r="D447" t="str">
            <v>ACHAT D'UNE PERFORELIEUSE</v>
          </cell>
          <cell r="E447" t="str">
            <v>Approuvé</v>
          </cell>
          <cell r="F447" t="str">
            <v>K11010</v>
          </cell>
          <cell r="G447">
            <v>2</v>
          </cell>
          <cell r="H447" t="str">
            <v>Reprise</v>
          </cell>
          <cell r="I447" t="str">
            <v>REPRISE</v>
          </cell>
          <cell r="J447" t="str">
            <v>Budgété</v>
          </cell>
          <cell r="K447">
            <v>4000</v>
          </cell>
          <cell r="L447">
            <v>4000</v>
          </cell>
          <cell r="O447">
            <v>4000</v>
          </cell>
          <cell r="S447">
            <v>13460</v>
          </cell>
          <cell r="T447" t="str">
            <v>NABZAR AHMED</v>
          </cell>
          <cell r="U447" t="str">
            <v>Administratif</v>
          </cell>
          <cell r="V447" t="str">
            <v>Reprise</v>
          </cell>
          <cell r="W447" t="str">
            <v>Dotations nouvelles</v>
          </cell>
          <cell r="X447" t="str">
            <v>Aucune</v>
          </cell>
          <cell r="Y447" t="str">
            <v>Prévu</v>
          </cell>
          <cell r="Z447" t="str">
            <v>Reprise</v>
          </cell>
        </row>
        <row r="448">
          <cell r="A448">
            <v>3168</v>
          </cell>
          <cell r="B448">
            <v>1</v>
          </cell>
          <cell r="C448" t="str">
            <v>IV25486</v>
          </cell>
          <cell r="D448" t="str">
            <v>ACHAT DE 06 CLIMATISEURS</v>
          </cell>
          <cell r="E448" t="str">
            <v>Approuvé</v>
          </cell>
          <cell r="F448" t="str">
            <v>K11060</v>
          </cell>
          <cell r="G448">
            <v>2</v>
          </cell>
          <cell r="H448" t="str">
            <v>Reprise</v>
          </cell>
          <cell r="I448" t="str">
            <v>REPRISE</v>
          </cell>
          <cell r="J448" t="str">
            <v>Budgété</v>
          </cell>
          <cell r="K448">
            <v>45000</v>
          </cell>
          <cell r="L448">
            <v>45000</v>
          </cell>
          <cell r="O448">
            <v>45000</v>
          </cell>
          <cell r="S448">
            <v>13461</v>
          </cell>
          <cell r="T448" t="str">
            <v>NABZAR AHMED</v>
          </cell>
          <cell r="U448" t="str">
            <v>Administratif</v>
          </cell>
          <cell r="V448" t="str">
            <v>Reprise</v>
          </cell>
          <cell r="W448" t="str">
            <v>Dotations nouvelles</v>
          </cell>
          <cell r="X448" t="str">
            <v>Aucune</v>
          </cell>
          <cell r="Y448" t="str">
            <v>Prévu</v>
          </cell>
          <cell r="Z448" t="str">
            <v>Reprise</v>
          </cell>
        </row>
        <row r="449">
          <cell r="A449">
            <v>3169</v>
          </cell>
          <cell r="B449">
            <v>1</v>
          </cell>
          <cell r="C449" t="str">
            <v>IV25488</v>
          </cell>
          <cell r="D449" t="str">
            <v>RENOUVELLEMENT DE 10 APAREILS TELEPHONIQUES (TYPE BUREAU)</v>
          </cell>
          <cell r="E449" t="str">
            <v>Approuvé</v>
          </cell>
          <cell r="F449" t="str">
            <v>K11060</v>
          </cell>
          <cell r="G449">
            <v>2</v>
          </cell>
          <cell r="H449" t="str">
            <v>Reprise</v>
          </cell>
          <cell r="I449" t="str">
            <v>REPRISE</v>
          </cell>
          <cell r="J449" t="str">
            <v>Budgété</v>
          </cell>
          <cell r="K449">
            <v>10000</v>
          </cell>
          <cell r="L449">
            <v>10000</v>
          </cell>
          <cell r="O449">
            <v>10000</v>
          </cell>
          <cell r="S449">
            <v>13462</v>
          </cell>
          <cell r="T449" t="str">
            <v>NABZAR AHMED</v>
          </cell>
          <cell r="U449" t="str">
            <v>Administratif</v>
          </cell>
          <cell r="V449" t="str">
            <v>Reprise</v>
          </cell>
          <cell r="W449" t="str">
            <v>Renouvellement</v>
          </cell>
          <cell r="X449" t="str">
            <v>Aucune</v>
          </cell>
          <cell r="Y449" t="str">
            <v>Prévu</v>
          </cell>
          <cell r="Z449" t="str">
            <v>Reprise</v>
          </cell>
        </row>
        <row r="450">
          <cell r="A450">
            <v>3170</v>
          </cell>
          <cell r="B450">
            <v>1</v>
          </cell>
          <cell r="C450" t="str">
            <v>IV25489</v>
          </cell>
          <cell r="D450" t="str">
            <v>MATERIEL DIVERS A CARACTERE ADMINISTRATIF</v>
          </cell>
          <cell r="E450" t="str">
            <v>Approuvé</v>
          </cell>
          <cell r="F450" t="str">
            <v>K07019</v>
          </cell>
          <cell r="G450">
            <v>2</v>
          </cell>
          <cell r="H450" t="str">
            <v>Reprise</v>
          </cell>
          <cell r="I450" t="str">
            <v>REPRISE</v>
          </cell>
          <cell r="J450" t="str">
            <v>Budgété</v>
          </cell>
          <cell r="K450">
            <v>21000</v>
          </cell>
          <cell r="L450">
            <v>21000</v>
          </cell>
          <cell r="O450">
            <v>21000</v>
          </cell>
          <cell r="S450">
            <v>13463</v>
          </cell>
          <cell r="T450" t="str">
            <v>EZZAKI Hassan</v>
          </cell>
          <cell r="U450" t="str">
            <v>Administratif</v>
          </cell>
          <cell r="V450" t="str">
            <v>Reprise</v>
          </cell>
          <cell r="W450" t="str">
            <v>Dotations nouvelles</v>
          </cell>
          <cell r="X450" t="str">
            <v>Aucune</v>
          </cell>
          <cell r="Y450" t="str">
            <v>Prévu</v>
          </cell>
          <cell r="Z450" t="str">
            <v>Reprise</v>
          </cell>
        </row>
        <row r="451">
          <cell r="A451">
            <v>3171</v>
          </cell>
          <cell r="B451">
            <v>1</v>
          </cell>
          <cell r="C451" t="str">
            <v>IV25490</v>
          </cell>
          <cell r="D451" t="str">
            <v>ACQUISITION DE 10 APPAREILS TELEPHONIQUES POUR LE SERVICE GEOLOGIE (EN RENOUVELLEMENT)</v>
          </cell>
          <cell r="E451" t="str">
            <v>Approuvé</v>
          </cell>
          <cell r="F451" t="str">
            <v>K01369</v>
          </cell>
          <cell r="G451">
            <v>2</v>
          </cell>
          <cell r="H451" t="str">
            <v>Reprise</v>
          </cell>
          <cell r="I451" t="str">
            <v>REPRISE</v>
          </cell>
          <cell r="J451" t="str">
            <v>Budgété</v>
          </cell>
          <cell r="K451">
            <v>12000</v>
          </cell>
          <cell r="L451">
            <v>12000</v>
          </cell>
          <cell r="O451">
            <v>12000</v>
          </cell>
          <cell r="S451">
            <v>13464</v>
          </cell>
          <cell r="T451" t="str">
            <v>NABZAR AHMED</v>
          </cell>
          <cell r="U451" t="str">
            <v>Administratif</v>
          </cell>
          <cell r="V451" t="str">
            <v>Reprise</v>
          </cell>
          <cell r="W451" t="str">
            <v>Renouvellement</v>
          </cell>
          <cell r="X451" t="str">
            <v>Aucune</v>
          </cell>
          <cell r="Y451" t="str">
            <v>Prévu</v>
          </cell>
          <cell r="Z451" t="str">
            <v>Reprise</v>
          </cell>
        </row>
        <row r="452">
          <cell r="A452">
            <v>3172</v>
          </cell>
          <cell r="B452">
            <v>1</v>
          </cell>
          <cell r="C452" t="str">
            <v>IV25491</v>
          </cell>
          <cell r="D452" t="str">
            <v>RENOUVELLEMENT  MOBILIER DE BUREAU</v>
          </cell>
          <cell r="E452" t="str">
            <v>Approuvé</v>
          </cell>
          <cell r="F452" t="str">
            <v>K11060</v>
          </cell>
          <cell r="G452">
            <v>2</v>
          </cell>
          <cell r="H452" t="str">
            <v>Reprise</v>
          </cell>
          <cell r="I452" t="str">
            <v>REPRISE</v>
          </cell>
          <cell r="J452" t="str">
            <v>Budgété</v>
          </cell>
          <cell r="K452">
            <v>64500</v>
          </cell>
          <cell r="L452">
            <v>64500</v>
          </cell>
          <cell r="O452">
            <v>64500</v>
          </cell>
          <cell r="S452">
            <v>13465</v>
          </cell>
          <cell r="T452" t="str">
            <v>NABZAR AHMED</v>
          </cell>
          <cell r="U452" t="str">
            <v>Administratif</v>
          </cell>
          <cell r="V452" t="str">
            <v>Reprise</v>
          </cell>
          <cell r="W452" t="str">
            <v>Renouvellement</v>
          </cell>
          <cell r="X452" t="str">
            <v>Aucune</v>
          </cell>
          <cell r="Y452" t="str">
            <v>Prévu</v>
          </cell>
          <cell r="Z452" t="str">
            <v>Reprise</v>
          </cell>
        </row>
        <row r="453">
          <cell r="A453">
            <v>3173</v>
          </cell>
          <cell r="B453">
            <v>1</v>
          </cell>
          <cell r="C453" t="str">
            <v>IV25492</v>
          </cell>
          <cell r="D453" t="str">
            <v>MATERIEL DIVERS A CARACTERE ADMINISTRATIF</v>
          </cell>
          <cell r="E453" t="str">
            <v>Approuvé</v>
          </cell>
          <cell r="F453" t="str">
            <v>K07019</v>
          </cell>
          <cell r="G453">
            <v>2</v>
          </cell>
          <cell r="H453" t="str">
            <v>Reprise</v>
          </cell>
          <cell r="I453" t="str">
            <v>REPRISE</v>
          </cell>
          <cell r="J453" t="str">
            <v>Budgété</v>
          </cell>
          <cell r="K453">
            <v>180500</v>
          </cell>
          <cell r="L453">
            <v>180500</v>
          </cell>
          <cell r="O453">
            <v>180500</v>
          </cell>
          <cell r="S453">
            <v>13466</v>
          </cell>
          <cell r="T453" t="str">
            <v>EZZAKI Hassan</v>
          </cell>
          <cell r="U453" t="str">
            <v>Administratif</v>
          </cell>
          <cell r="V453" t="str">
            <v>Reprise</v>
          </cell>
          <cell r="W453" t="str">
            <v>Dotations nouvelles</v>
          </cell>
          <cell r="X453" t="str">
            <v>Aucune</v>
          </cell>
          <cell r="Y453" t="str">
            <v>Prévu</v>
          </cell>
          <cell r="Z453" t="str">
            <v>Reprise</v>
          </cell>
        </row>
        <row r="454">
          <cell r="A454">
            <v>3174</v>
          </cell>
          <cell r="B454">
            <v>1</v>
          </cell>
          <cell r="C454" t="str">
            <v>IV25493</v>
          </cell>
          <cell r="D454" t="str">
            <v>RENOUVELLEMENT APPAREILS TÉLÉPHONIQUES</v>
          </cell>
          <cell r="E454" t="str">
            <v>Approuvé</v>
          </cell>
          <cell r="F454" t="str">
            <v>K03201</v>
          </cell>
          <cell r="G454">
            <v>2</v>
          </cell>
          <cell r="H454" t="str">
            <v>Reprise</v>
          </cell>
          <cell r="I454" t="str">
            <v>REPRISE</v>
          </cell>
          <cell r="J454" t="str">
            <v>Budgété</v>
          </cell>
          <cell r="K454">
            <v>4800</v>
          </cell>
          <cell r="L454">
            <v>4800</v>
          </cell>
          <cell r="O454">
            <v>4800</v>
          </cell>
          <cell r="S454">
            <v>13467</v>
          </cell>
          <cell r="T454" t="str">
            <v>MAHSOUN Abdellah</v>
          </cell>
          <cell r="U454" t="str">
            <v>Administratif</v>
          </cell>
          <cell r="V454" t="str">
            <v>Reprise</v>
          </cell>
          <cell r="W454" t="str">
            <v>Renouvellement</v>
          </cell>
          <cell r="X454" t="str">
            <v>Aucune</v>
          </cell>
          <cell r="Y454" t="str">
            <v>Prévu</v>
          </cell>
          <cell r="Z454" t="str">
            <v>Reprise</v>
          </cell>
        </row>
        <row r="455">
          <cell r="A455">
            <v>3175</v>
          </cell>
          <cell r="B455">
            <v>1</v>
          </cell>
          <cell r="C455" t="str">
            <v>IV25494</v>
          </cell>
          <cell r="D455" t="str">
            <v>MATERIEL DIVERS A CARACTERE ADMINISTRATIF</v>
          </cell>
          <cell r="E455" t="str">
            <v>Approuvé</v>
          </cell>
          <cell r="F455" t="str">
            <v>K07019</v>
          </cell>
          <cell r="G455">
            <v>2</v>
          </cell>
          <cell r="H455" t="str">
            <v>Reprise</v>
          </cell>
          <cell r="I455" t="str">
            <v>REPRISE</v>
          </cell>
          <cell r="J455" t="str">
            <v>Budgété</v>
          </cell>
          <cell r="K455">
            <v>124000</v>
          </cell>
          <cell r="L455">
            <v>124000</v>
          </cell>
          <cell r="O455">
            <v>124000</v>
          </cell>
          <cell r="S455">
            <v>13468</v>
          </cell>
          <cell r="T455" t="str">
            <v>EZZAKI Hassan</v>
          </cell>
          <cell r="U455" t="str">
            <v>Administratif</v>
          </cell>
          <cell r="V455" t="str">
            <v>Reprise</v>
          </cell>
          <cell r="W455" t="str">
            <v>Dotations nouvelles</v>
          </cell>
          <cell r="X455" t="str">
            <v>Aucune</v>
          </cell>
          <cell r="Y455" t="str">
            <v>Prévu</v>
          </cell>
          <cell r="Z455" t="str">
            <v>Reprise</v>
          </cell>
        </row>
        <row r="456">
          <cell r="A456">
            <v>3176</v>
          </cell>
          <cell r="B456">
            <v>1</v>
          </cell>
          <cell r="C456" t="str">
            <v>IV25496</v>
          </cell>
          <cell r="D456" t="str">
            <v>MATERIEL DIVERS A CARACTERE ADMINISTRATIF</v>
          </cell>
          <cell r="E456" t="str">
            <v>Approuvé</v>
          </cell>
          <cell r="F456" t="str">
            <v>K07019</v>
          </cell>
          <cell r="G456">
            <v>2</v>
          </cell>
          <cell r="H456" t="str">
            <v>Reprise</v>
          </cell>
          <cell r="I456" t="str">
            <v>REPRISE</v>
          </cell>
          <cell r="J456" t="str">
            <v>Budgété</v>
          </cell>
          <cell r="K456">
            <v>92500</v>
          </cell>
          <cell r="L456">
            <v>92500</v>
          </cell>
          <cell r="O456">
            <v>92500</v>
          </cell>
          <cell r="S456">
            <v>13469</v>
          </cell>
          <cell r="T456" t="str">
            <v>EZZAKI Hassan</v>
          </cell>
          <cell r="U456" t="str">
            <v>Administratif</v>
          </cell>
          <cell r="V456" t="str">
            <v>Reprise</v>
          </cell>
          <cell r="W456" t="str">
            <v>Renouvellement</v>
          </cell>
          <cell r="X456" t="str">
            <v>Aucune</v>
          </cell>
          <cell r="Y456" t="str">
            <v>Prévu</v>
          </cell>
          <cell r="Z456" t="str">
            <v>Reprise</v>
          </cell>
        </row>
        <row r="457">
          <cell r="A457">
            <v>3177</v>
          </cell>
          <cell r="B457">
            <v>1</v>
          </cell>
          <cell r="C457" t="str">
            <v>IV25497</v>
          </cell>
          <cell r="D457" t="str">
            <v>MTERIEL DIVERS A CARACTERE ADMINISTRATIF</v>
          </cell>
          <cell r="E457" t="str">
            <v>Approuvé</v>
          </cell>
          <cell r="F457" t="str">
            <v>K07031</v>
          </cell>
          <cell r="G457">
            <v>2</v>
          </cell>
          <cell r="H457" t="str">
            <v>Reprise</v>
          </cell>
          <cell r="I457" t="str">
            <v>REPRISE</v>
          </cell>
          <cell r="J457" t="str">
            <v>Budgété</v>
          </cell>
          <cell r="K457">
            <v>40000</v>
          </cell>
          <cell r="L457">
            <v>40000</v>
          </cell>
          <cell r="O457">
            <v>40000</v>
          </cell>
          <cell r="S457">
            <v>13470</v>
          </cell>
          <cell r="T457" t="str">
            <v>EZZAKI Hassan</v>
          </cell>
          <cell r="U457" t="str">
            <v>Administratif</v>
          </cell>
          <cell r="V457" t="str">
            <v>Reprise</v>
          </cell>
          <cell r="W457" t="str">
            <v>Renouvellement</v>
          </cell>
          <cell r="X457" t="str">
            <v>Aucune</v>
          </cell>
          <cell r="Y457" t="str">
            <v>Prévu</v>
          </cell>
          <cell r="Z457" t="str">
            <v>Reprise</v>
          </cell>
        </row>
        <row r="458">
          <cell r="A458">
            <v>3178</v>
          </cell>
          <cell r="B458">
            <v>1</v>
          </cell>
          <cell r="C458" t="str">
            <v>IV25498</v>
          </cell>
          <cell r="D458" t="str">
            <v>MATERIEL DE VENTILATION ET REFROIDISSEMENT</v>
          </cell>
          <cell r="E458" t="str">
            <v>Approuvé</v>
          </cell>
          <cell r="F458" t="str">
            <v>K07019</v>
          </cell>
          <cell r="G458">
            <v>2</v>
          </cell>
          <cell r="H458" t="str">
            <v>Reprise</v>
          </cell>
          <cell r="I458" t="str">
            <v>REPRISE</v>
          </cell>
          <cell r="J458" t="str">
            <v>Budgété</v>
          </cell>
          <cell r="K458">
            <v>201000</v>
          </cell>
          <cell r="L458">
            <v>201000</v>
          </cell>
          <cell r="O458">
            <v>201000</v>
          </cell>
          <cell r="S458">
            <v>13471</v>
          </cell>
          <cell r="T458" t="str">
            <v>EZZAKI Hassan</v>
          </cell>
          <cell r="U458" t="str">
            <v>Administratif</v>
          </cell>
          <cell r="V458" t="str">
            <v>Reprise</v>
          </cell>
          <cell r="W458" t="str">
            <v>Dotations nouvelles</v>
          </cell>
          <cell r="X458" t="str">
            <v>Aucune</v>
          </cell>
          <cell r="Y458" t="str">
            <v>Prévu</v>
          </cell>
          <cell r="Z458" t="str">
            <v>Reprise</v>
          </cell>
        </row>
        <row r="459">
          <cell r="A459">
            <v>3179</v>
          </cell>
          <cell r="B459">
            <v>1</v>
          </cell>
          <cell r="C459" t="str">
            <v>IV25499</v>
          </cell>
          <cell r="D459" t="str">
            <v>MATERIEL DE VENTILATION ET DE REFROIDISSEMENT</v>
          </cell>
          <cell r="E459" t="str">
            <v>Approuvé</v>
          </cell>
          <cell r="F459" t="str">
            <v>K07019</v>
          </cell>
          <cell r="G459">
            <v>2</v>
          </cell>
          <cell r="H459" t="str">
            <v>Reprise</v>
          </cell>
          <cell r="I459" t="str">
            <v>REPRISE</v>
          </cell>
          <cell r="J459" t="str">
            <v>Budgété</v>
          </cell>
          <cell r="K459">
            <v>48000</v>
          </cell>
          <cell r="L459">
            <v>48000</v>
          </cell>
          <cell r="O459">
            <v>48000</v>
          </cell>
          <cell r="S459">
            <v>13472</v>
          </cell>
          <cell r="T459" t="str">
            <v>EZZAKI Hassan</v>
          </cell>
          <cell r="U459" t="str">
            <v>Administratif</v>
          </cell>
          <cell r="V459" t="str">
            <v>Reprise</v>
          </cell>
          <cell r="W459" t="str">
            <v>Dotations nouvelles</v>
          </cell>
          <cell r="X459" t="str">
            <v>Aucune</v>
          </cell>
          <cell r="Y459" t="str">
            <v>Prévu</v>
          </cell>
          <cell r="Z459" t="str">
            <v>Reprise</v>
          </cell>
        </row>
        <row r="460">
          <cell r="A460">
            <v>3180</v>
          </cell>
          <cell r="B460">
            <v>1</v>
          </cell>
          <cell r="C460" t="str">
            <v>IV25500</v>
          </cell>
          <cell r="D460" t="str">
            <v>MATERIEL DE VENTILATION ET REFROIDISSEMENT</v>
          </cell>
          <cell r="E460" t="str">
            <v>Approuvé</v>
          </cell>
          <cell r="F460" t="str">
            <v>K07019</v>
          </cell>
          <cell r="G460">
            <v>2</v>
          </cell>
          <cell r="H460" t="str">
            <v>Reprise</v>
          </cell>
          <cell r="I460" t="str">
            <v>REPRISE</v>
          </cell>
          <cell r="J460" t="str">
            <v>Budgété</v>
          </cell>
          <cell r="K460">
            <v>10000</v>
          </cell>
          <cell r="L460">
            <v>10000</v>
          </cell>
          <cell r="O460">
            <v>10000</v>
          </cell>
          <cell r="S460">
            <v>13473</v>
          </cell>
          <cell r="T460" t="str">
            <v>EZZAKI Hassan</v>
          </cell>
          <cell r="U460" t="str">
            <v>Administratif</v>
          </cell>
          <cell r="V460" t="str">
            <v>Reprise</v>
          </cell>
          <cell r="W460" t="str">
            <v>Renouvellement</v>
          </cell>
          <cell r="X460" t="str">
            <v>Aucune</v>
          </cell>
          <cell r="Y460" t="str">
            <v>Prévu</v>
          </cell>
          <cell r="Z460" t="str">
            <v>Reprise</v>
          </cell>
        </row>
        <row r="461">
          <cell r="A461">
            <v>3181</v>
          </cell>
          <cell r="B461">
            <v>1</v>
          </cell>
          <cell r="C461" t="str">
            <v>IV25503</v>
          </cell>
          <cell r="D461" t="str">
            <v>FOURNITURE ET INSTALLATION DE CAMÉRAS</v>
          </cell>
          <cell r="E461" t="str">
            <v>Approuvé</v>
          </cell>
          <cell r="F461" t="str">
            <v>K03291</v>
          </cell>
          <cell r="G461">
            <v>2</v>
          </cell>
          <cell r="H461" t="str">
            <v>Reprise</v>
          </cell>
          <cell r="I461" t="str">
            <v>REPRISE</v>
          </cell>
          <cell r="J461" t="str">
            <v>Budgété</v>
          </cell>
          <cell r="K461">
            <v>180000</v>
          </cell>
          <cell r="L461">
            <v>180000</v>
          </cell>
          <cell r="O461">
            <v>180000</v>
          </cell>
          <cell r="S461">
            <v>13474</v>
          </cell>
          <cell r="T461" t="str">
            <v>MAHSOUN Abdellah</v>
          </cell>
          <cell r="U461" t="str">
            <v>Ordinaire</v>
          </cell>
          <cell r="V461" t="str">
            <v>Reprise</v>
          </cell>
          <cell r="W461" t="str">
            <v>Dotations nouvelles</v>
          </cell>
          <cell r="X461" t="str">
            <v>Aucune</v>
          </cell>
          <cell r="Y461" t="str">
            <v>Prévu</v>
          </cell>
          <cell r="Z461" t="str">
            <v>Reprise</v>
          </cell>
        </row>
        <row r="462">
          <cell r="A462">
            <v>3182</v>
          </cell>
          <cell r="B462">
            <v>1</v>
          </cell>
          <cell r="C462" t="str">
            <v>IV25504</v>
          </cell>
          <cell r="D462" t="str">
            <v>ACQUISITION D'UN APPAREIL DE METROLOGIE A LASER</v>
          </cell>
          <cell r="E462" t="str">
            <v>Approuvé</v>
          </cell>
          <cell r="F462" t="str">
            <v>K11608</v>
          </cell>
          <cell r="G462">
            <v>2</v>
          </cell>
          <cell r="H462" t="str">
            <v>Reprise</v>
          </cell>
          <cell r="I462" t="str">
            <v>REPRISE</v>
          </cell>
          <cell r="J462" t="str">
            <v>Budgété</v>
          </cell>
          <cell r="K462">
            <v>950000</v>
          </cell>
          <cell r="L462">
            <v>950000</v>
          </cell>
          <cell r="O462">
            <v>950000</v>
          </cell>
          <cell r="S462">
            <v>13475</v>
          </cell>
          <cell r="T462" t="str">
            <v>NABZAR AHMED</v>
          </cell>
          <cell r="U462" t="str">
            <v>Ordinaire</v>
          </cell>
          <cell r="V462" t="str">
            <v>Reprise</v>
          </cell>
          <cell r="W462" t="str">
            <v>Dotations nouvelles</v>
          </cell>
          <cell r="X462" t="str">
            <v>Aucune</v>
          </cell>
          <cell r="Y462" t="str">
            <v>Prévu</v>
          </cell>
          <cell r="Z462" t="str">
            <v>Reprise</v>
          </cell>
        </row>
        <row r="463">
          <cell r="A463">
            <v>3183</v>
          </cell>
          <cell r="B463">
            <v>1</v>
          </cell>
          <cell r="C463" t="str">
            <v>IV25505</v>
          </cell>
          <cell r="D463" t="str">
            <v>ACHAT DE LAMPES PORTATIVES ET GROUPES ELECTROGENES</v>
          </cell>
          <cell r="E463" t="str">
            <v>Approuvé</v>
          </cell>
          <cell r="F463" t="str">
            <v>K03201</v>
          </cell>
          <cell r="G463">
            <v>2</v>
          </cell>
          <cell r="H463" t="str">
            <v>Reprise</v>
          </cell>
          <cell r="I463" t="str">
            <v>REPRISE</v>
          </cell>
          <cell r="J463" t="str">
            <v>Budgété</v>
          </cell>
          <cell r="K463">
            <v>291000</v>
          </cell>
          <cell r="L463">
            <v>291000</v>
          </cell>
          <cell r="O463">
            <v>291000</v>
          </cell>
          <cell r="S463">
            <v>13476</v>
          </cell>
          <cell r="T463" t="str">
            <v>MAHSOUN Abdellah</v>
          </cell>
          <cell r="U463" t="str">
            <v>Ordinaire</v>
          </cell>
          <cell r="V463" t="str">
            <v>Reprise</v>
          </cell>
          <cell r="W463" t="str">
            <v>Dotations nouvelles</v>
          </cell>
          <cell r="X463" t="str">
            <v>Aucune</v>
          </cell>
          <cell r="Y463" t="str">
            <v>Prévu</v>
          </cell>
          <cell r="Z463" t="str">
            <v>Reprise</v>
          </cell>
        </row>
        <row r="464">
          <cell r="A464">
            <v>3184</v>
          </cell>
          <cell r="B464">
            <v>1</v>
          </cell>
          <cell r="C464" t="str">
            <v>IV25506</v>
          </cell>
          <cell r="D464" t="str">
            <v>RENOUVELLEMENT DE 02 DISTRIBUTEURS DE CARBURANT</v>
          </cell>
          <cell r="E464" t="str">
            <v>Approuvé</v>
          </cell>
          <cell r="F464" t="str">
            <v>K11637</v>
          </cell>
          <cell r="G464">
            <v>2</v>
          </cell>
          <cell r="H464" t="str">
            <v>Reprise</v>
          </cell>
          <cell r="I464" t="str">
            <v>REPRISE</v>
          </cell>
          <cell r="J464" t="str">
            <v>Budgété</v>
          </cell>
          <cell r="K464">
            <v>360000</v>
          </cell>
          <cell r="L464">
            <v>360000</v>
          </cell>
          <cell r="O464">
            <v>360000</v>
          </cell>
          <cell r="S464">
            <v>13477</v>
          </cell>
          <cell r="T464" t="str">
            <v>NABZAR AHMED</v>
          </cell>
          <cell r="U464" t="str">
            <v>Ordinaire</v>
          </cell>
          <cell r="V464" t="str">
            <v>Reprise</v>
          </cell>
          <cell r="W464" t="str">
            <v>Renouvellement</v>
          </cell>
          <cell r="X464" t="str">
            <v>Aucune</v>
          </cell>
          <cell r="Y464" t="str">
            <v>Prévu</v>
          </cell>
          <cell r="Z464" t="str">
            <v>Reprise</v>
          </cell>
        </row>
        <row r="465">
          <cell r="A465">
            <v>3185</v>
          </cell>
          <cell r="B465">
            <v>1</v>
          </cell>
          <cell r="C465" t="str">
            <v>IV25507</v>
          </cell>
          <cell r="D465" t="str">
            <v>ACHAT DE PRESSES</v>
          </cell>
          <cell r="E465" t="str">
            <v>Approuvé</v>
          </cell>
          <cell r="F465" t="str">
            <v>K03292</v>
          </cell>
          <cell r="G465">
            <v>2</v>
          </cell>
          <cell r="H465" t="str">
            <v>Reprise</v>
          </cell>
          <cell r="I465" t="str">
            <v>REPRISE</v>
          </cell>
          <cell r="J465" t="str">
            <v>Budgété</v>
          </cell>
          <cell r="K465">
            <v>225000</v>
          </cell>
          <cell r="L465">
            <v>225000</v>
          </cell>
          <cell r="O465">
            <v>225000</v>
          </cell>
          <cell r="S465">
            <v>13478</v>
          </cell>
          <cell r="T465" t="str">
            <v>MAHSOUN Abdellah</v>
          </cell>
          <cell r="U465" t="str">
            <v>Ordinaire</v>
          </cell>
          <cell r="V465" t="str">
            <v>Reprise</v>
          </cell>
          <cell r="W465" t="str">
            <v>Dotations nouvelles</v>
          </cell>
          <cell r="X465" t="str">
            <v>Aucune</v>
          </cell>
          <cell r="Y465" t="str">
            <v>Prévu</v>
          </cell>
          <cell r="Z465" t="str">
            <v>Reprise</v>
          </cell>
        </row>
        <row r="466">
          <cell r="A466">
            <v>3186</v>
          </cell>
          <cell r="B466">
            <v>1</v>
          </cell>
          <cell r="C466" t="str">
            <v>IV25510</v>
          </cell>
          <cell r="D466" t="str">
            <v>ACHAT D'OUTILLAGE DE MANUTENTION</v>
          </cell>
          <cell r="E466" t="str">
            <v>Approuvé</v>
          </cell>
          <cell r="F466" t="str">
            <v>K03292</v>
          </cell>
          <cell r="G466">
            <v>2</v>
          </cell>
          <cell r="H466" t="str">
            <v>Reprise</v>
          </cell>
          <cell r="I466" t="str">
            <v>REPRISE</v>
          </cell>
          <cell r="J466" t="str">
            <v>Budgété</v>
          </cell>
          <cell r="K466">
            <v>438000</v>
          </cell>
          <cell r="L466">
            <v>438000</v>
          </cell>
          <cell r="O466">
            <v>438000</v>
          </cell>
          <cell r="S466">
            <v>13479</v>
          </cell>
          <cell r="T466" t="str">
            <v>MAHSOUN Abdellah</v>
          </cell>
          <cell r="U466" t="str">
            <v>Ordinaire</v>
          </cell>
          <cell r="V466" t="str">
            <v>Reprise</v>
          </cell>
          <cell r="W466" t="str">
            <v>Dotations nouvelles</v>
          </cell>
          <cell r="X466" t="str">
            <v>Aucune</v>
          </cell>
          <cell r="Y466" t="str">
            <v>Prévu</v>
          </cell>
          <cell r="Z466" t="str">
            <v>Reprise</v>
          </cell>
        </row>
        <row r="467">
          <cell r="A467">
            <v>3187</v>
          </cell>
          <cell r="B467">
            <v>1</v>
          </cell>
          <cell r="C467" t="str">
            <v>IV25511</v>
          </cell>
          <cell r="D467" t="str">
            <v>ACHAT DE POSTES DE SOUDURE</v>
          </cell>
          <cell r="E467" t="str">
            <v>Approuvé</v>
          </cell>
          <cell r="F467" t="str">
            <v>K03720</v>
          </cell>
          <cell r="G467">
            <v>2</v>
          </cell>
          <cell r="H467" t="str">
            <v>Reprise</v>
          </cell>
          <cell r="I467" t="str">
            <v>REPRISE</v>
          </cell>
          <cell r="J467" t="str">
            <v>Budgété</v>
          </cell>
          <cell r="K467">
            <v>260000</v>
          </cell>
          <cell r="L467">
            <v>260000</v>
          </cell>
          <cell r="O467">
            <v>260000</v>
          </cell>
          <cell r="S467">
            <v>13480</v>
          </cell>
          <cell r="T467" t="str">
            <v>MAGHRAOUI Brahim</v>
          </cell>
          <cell r="U467" t="str">
            <v>Ordinaire</v>
          </cell>
          <cell r="V467" t="str">
            <v>Reprise</v>
          </cell>
          <cell r="W467" t="str">
            <v>Dotations nouvelles</v>
          </cell>
          <cell r="X467" t="str">
            <v>Aucune</v>
          </cell>
          <cell r="Y467" t="str">
            <v>Prévu</v>
          </cell>
          <cell r="Z467" t="str">
            <v>Reprise</v>
          </cell>
        </row>
        <row r="468">
          <cell r="A468">
            <v>3188</v>
          </cell>
          <cell r="B468">
            <v>1</v>
          </cell>
          <cell r="C468" t="str">
            <v>IV25512</v>
          </cell>
          <cell r="D468" t="str">
            <v>ACHAT COMPRESSEURS D'AIR MOBILE ET GROUPE MOTO POMPE</v>
          </cell>
          <cell r="E468" t="str">
            <v>Approuvé</v>
          </cell>
          <cell r="F468" t="str">
            <v>K03720</v>
          </cell>
          <cell r="G468">
            <v>3</v>
          </cell>
          <cell r="H468" t="str">
            <v>Report</v>
          </cell>
          <cell r="I468" t="str">
            <v>REPORT</v>
          </cell>
          <cell r="J468" t="str">
            <v>Budgété</v>
          </cell>
          <cell r="K468">
            <v>1460000</v>
          </cell>
          <cell r="L468">
            <v>1460000</v>
          </cell>
          <cell r="M468">
            <v>1460000</v>
          </cell>
          <cell r="N468">
            <v>1460000</v>
          </cell>
          <cell r="O468">
            <v>0</v>
          </cell>
          <cell r="S468">
            <v>24465</v>
          </cell>
          <cell r="T468" t="str">
            <v>MHADI HICHAM</v>
          </cell>
          <cell r="U468" t="str">
            <v>Ordinaire</v>
          </cell>
          <cell r="V468" t="str">
            <v>Reprise</v>
          </cell>
          <cell r="W468" t="str">
            <v>Dotations nouvelles</v>
          </cell>
          <cell r="X468" t="str">
            <v>Aucune</v>
          </cell>
          <cell r="Y468" t="str">
            <v>Prévu</v>
          </cell>
          <cell r="Z468" t="str">
            <v>Reprise</v>
          </cell>
        </row>
        <row r="469">
          <cell r="A469">
            <v>3189</v>
          </cell>
          <cell r="B469">
            <v>1</v>
          </cell>
          <cell r="C469" t="str">
            <v>IV25513</v>
          </cell>
          <cell r="D469" t="str">
            <v>ACHAT D'OUTILLAGE POUR LES ATELIERS MÉCANIQUES</v>
          </cell>
          <cell r="E469" t="str">
            <v>Approuvé</v>
          </cell>
          <cell r="F469" t="str">
            <v>K03720</v>
          </cell>
          <cell r="G469">
            <v>2</v>
          </cell>
          <cell r="H469" t="str">
            <v>Reprise</v>
          </cell>
          <cell r="I469" t="str">
            <v>REPRISE</v>
          </cell>
          <cell r="J469" t="str">
            <v>Budgété</v>
          </cell>
          <cell r="K469">
            <v>373000</v>
          </cell>
          <cell r="L469">
            <v>373000</v>
          </cell>
          <cell r="O469">
            <v>373000</v>
          </cell>
          <cell r="S469">
            <v>13482</v>
          </cell>
          <cell r="T469" t="str">
            <v>MHADI HICHAM</v>
          </cell>
          <cell r="U469" t="str">
            <v>Ordinaire</v>
          </cell>
          <cell r="V469" t="str">
            <v>Reprise</v>
          </cell>
          <cell r="W469" t="str">
            <v>Dotations nouvelles</v>
          </cell>
          <cell r="X469" t="str">
            <v>Aucune</v>
          </cell>
          <cell r="Y469" t="str">
            <v>Prévu</v>
          </cell>
          <cell r="Z469" t="str">
            <v>Reprise</v>
          </cell>
        </row>
        <row r="470">
          <cell r="A470">
            <v>3190</v>
          </cell>
          <cell r="B470">
            <v>1</v>
          </cell>
          <cell r="C470" t="str">
            <v>IV25514</v>
          </cell>
          <cell r="D470" t="str">
            <v>RENOUVELLEMENT D'OUTILLAGE D'ATELIER</v>
          </cell>
          <cell r="E470" t="str">
            <v>Approuvé</v>
          </cell>
          <cell r="F470" t="str">
            <v>K03710</v>
          </cell>
          <cell r="G470">
            <v>2</v>
          </cell>
          <cell r="H470" t="str">
            <v>Reprise</v>
          </cell>
          <cell r="I470" t="str">
            <v>REPRISE</v>
          </cell>
          <cell r="J470" t="str">
            <v>Budgété</v>
          </cell>
          <cell r="K470">
            <v>100000</v>
          </cell>
          <cell r="L470">
            <v>100000</v>
          </cell>
          <cell r="O470">
            <v>100000</v>
          </cell>
          <cell r="S470">
            <v>13483</v>
          </cell>
          <cell r="T470" t="str">
            <v>MAGHRAOUI Brahim</v>
          </cell>
          <cell r="U470" t="str">
            <v>Ordinaire</v>
          </cell>
          <cell r="V470" t="str">
            <v>Reprise</v>
          </cell>
          <cell r="W470" t="str">
            <v>Renouvellement</v>
          </cell>
          <cell r="X470" t="str">
            <v>Aucune</v>
          </cell>
          <cell r="Y470" t="str">
            <v>Prévu</v>
          </cell>
          <cell r="Z470" t="str">
            <v>Reprise</v>
          </cell>
        </row>
        <row r="471">
          <cell r="A471">
            <v>3191</v>
          </cell>
          <cell r="B471">
            <v>1</v>
          </cell>
          <cell r="C471" t="str">
            <v>IV25515</v>
          </cell>
          <cell r="D471" t="str">
            <v>RENOUVELLEMENT D'UNE CHARGEUSE SUR PNEUS</v>
          </cell>
          <cell r="E471" t="str">
            <v>Approuvé</v>
          </cell>
          <cell r="F471" t="str">
            <v>K03744</v>
          </cell>
          <cell r="G471">
            <v>2</v>
          </cell>
          <cell r="H471" t="str">
            <v>Reprise</v>
          </cell>
          <cell r="I471" t="str">
            <v>REPRISE</v>
          </cell>
          <cell r="J471" t="str">
            <v>Budgété</v>
          </cell>
          <cell r="K471">
            <v>30000000</v>
          </cell>
          <cell r="L471">
            <v>30000000</v>
          </cell>
          <cell r="O471">
            <v>30000000</v>
          </cell>
          <cell r="S471">
            <v>13484</v>
          </cell>
          <cell r="T471" t="str">
            <v>KARROUACHE EL HAJ</v>
          </cell>
          <cell r="U471" t="str">
            <v>Ordinaire</v>
          </cell>
          <cell r="V471" t="str">
            <v>Reprise</v>
          </cell>
          <cell r="W471" t="str">
            <v>Renouvellement</v>
          </cell>
          <cell r="X471" t="str">
            <v>Aucune</v>
          </cell>
          <cell r="Y471" t="str">
            <v>Prévu</v>
          </cell>
          <cell r="Z471" t="str">
            <v>Reprise</v>
          </cell>
        </row>
        <row r="472">
          <cell r="A472">
            <v>3192</v>
          </cell>
          <cell r="B472">
            <v>1</v>
          </cell>
          <cell r="C472" t="str">
            <v>IV25516</v>
          </cell>
          <cell r="D472" t="str">
            <v>MATERIEL D'ATELIER ET DE STATION SERVICE</v>
          </cell>
          <cell r="E472" t="str">
            <v>Approuvé</v>
          </cell>
          <cell r="F472" t="str">
            <v>K07019</v>
          </cell>
          <cell r="G472">
            <v>2</v>
          </cell>
          <cell r="H472" t="str">
            <v>Reprise</v>
          </cell>
          <cell r="I472" t="str">
            <v>REPRISE</v>
          </cell>
          <cell r="J472" t="str">
            <v>Budgété</v>
          </cell>
          <cell r="K472">
            <v>110000</v>
          </cell>
          <cell r="L472">
            <v>110000</v>
          </cell>
          <cell r="O472">
            <v>110000</v>
          </cell>
          <cell r="S472">
            <v>13485</v>
          </cell>
          <cell r="T472" t="str">
            <v>EZZAKI Hassan</v>
          </cell>
          <cell r="U472" t="str">
            <v>Ordinaire</v>
          </cell>
          <cell r="V472" t="str">
            <v>Reprise</v>
          </cell>
          <cell r="W472" t="str">
            <v>Dotations nouvelles</v>
          </cell>
          <cell r="X472" t="str">
            <v>Aucune</v>
          </cell>
          <cell r="Y472" t="str">
            <v>Prévu</v>
          </cell>
          <cell r="Z472" t="str">
            <v>Reprise</v>
          </cell>
        </row>
        <row r="473">
          <cell r="A473">
            <v>3193</v>
          </cell>
          <cell r="B473">
            <v>1</v>
          </cell>
          <cell r="C473" t="str">
            <v>IV25517</v>
          </cell>
          <cell r="D473" t="str">
            <v>MATERIEL DE LEVAGE ET MANUTENTION</v>
          </cell>
          <cell r="E473" t="str">
            <v>Approuvé</v>
          </cell>
          <cell r="F473" t="str">
            <v>K07131</v>
          </cell>
          <cell r="G473">
            <v>2</v>
          </cell>
          <cell r="H473" t="str">
            <v>Reprise</v>
          </cell>
          <cell r="I473" t="str">
            <v>REPRISE</v>
          </cell>
          <cell r="J473" t="str">
            <v>Budgété</v>
          </cell>
          <cell r="K473">
            <v>120000</v>
          </cell>
          <cell r="L473">
            <v>120000</v>
          </cell>
          <cell r="O473">
            <v>120000</v>
          </cell>
          <cell r="S473">
            <v>13486</v>
          </cell>
          <cell r="T473" t="str">
            <v>EZZAKI Hassan</v>
          </cell>
          <cell r="U473" t="str">
            <v>Ordinaire</v>
          </cell>
          <cell r="V473" t="str">
            <v>Reprise</v>
          </cell>
          <cell r="W473" t="str">
            <v>Renouvellement</v>
          </cell>
          <cell r="X473" t="str">
            <v>Aucune</v>
          </cell>
          <cell r="Y473" t="str">
            <v>Prévu</v>
          </cell>
          <cell r="Z473" t="str">
            <v>Reprise</v>
          </cell>
        </row>
        <row r="474">
          <cell r="A474">
            <v>3194</v>
          </cell>
          <cell r="B474">
            <v>1</v>
          </cell>
          <cell r="C474" t="str">
            <v>IV25518</v>
          </cell>
          <cell r="D474" t="str">
            <v>MATERIEL ET LIGNES ELECTRIQUES</v>
          </cell>
          <cell r="E474" t="str">
            <v>Approuvé</v>
          </cell>
          <cell r="F474" t="str">
            <v>K07121</v>
          </cell>
          <cell r="G474">
            <v>2</v>
          </cell>
          <cell r="H474" t="str">
            <v>Reprise</v>
          </cell>
          <cell r="I474" t="str">
            <v>REPRISE</v>
          </cell>
          <cell r="J474" t="str">
            <v>Budgété</v>
          </cell>
          <cell r="K474">
            <v>3000000</v>
          </cell>
          <cell r="L474">
            <v>3000000</v>
          </cell>
          <cell r="O474">
            <v>3000000</v>
          </cell>
          <cell r="S474">
            <v>13487</v>
          </cell>
          <cell r="T474" t="str">
            <v>EZZAKI Hassan</v>
          </cell>
          <cell r="U474" t="str">
            <v>Ordinaire</v>
          </cell>
          <cell r="V474" t="str">
            <v>Reprise</v>
          </cell>
          <cell r="W474" t="str">
            <v>Renouvellement</v>
          </cell>
          <cell r="X474" t="str">
            <v>Aucune</v>
          </cell>
          <cell r="Y474" t="str">
            <v>Prévu</v>
          </cell>
          <cell r="Z474" t="str">
            <v>Reprise</v>
          </cell>
        </row>
        <row r="475">
          <cell r="A475">
            <v>3195</v>
          </cell>
          <cell r="B475">
            <v>1</v>
          </cell>
          <cell r="C475" t="str">
            <v>IV25519</v>
          </cell>
          <cell r="D475" t="str">
            <v>MATERIEL ET LIGNES ELECTRIQUES</v>
          </cell>
          <cell r="E475" t="str">
            <v>Approuvé</v>
          </cell>
          <cell r="F475" t="str">
            <v>K07121</v>
          </cell>
          <cell r="G475">
            <v>2</v>
          </cell>
          <cell r="H475" t="str">
            <v>Reprise</v>
          </cell>
          <cell r="I475" t="str">
            <v>REPRISE</v>
          </cell>
          <cell r="J475" t="str">
            <v>Budgété</v>
          </cell>
          <cell r="K475">
            <v>3600000</v>
          </cell>
          <cell r="L475">
            <v>3600000</v>
          </cell>
          <cell r="O475">
            <v>3600000</v>
          </cell>
          <cell r="S475">
            <v>13488</v>
          </cell>
          <cell r="T475" t="str">
            <v>EZZAKI Hassan</v>
          </cell>
          <cell r="U475" t="str">
            <v>Ordinaire</v>
          </cell>
          <cell r="V475" t="str">
            <v>Reprise</v>
          </cell>
          <cell r="W475" t="str">
            <v>Renouvellement</v>
          </cell>
          <cell r="X475" t="str">
            <v>Aucune</v>
          </cell>
          <cell r="Y475" t="str">
            <v>Prévu</v>
          </cell>
          <cell r="Z475" t="str">
            <v>Reprise</v>
          </cell>
        </row>
        <row r="476">
          <cell r="A476">
            <v>3196</v>
          </cell>
          <cell r="B476">
            <v>1</v>
          </cell>
          <cell r="C476" t="str">
            <v>IV25520</v>
          </cell>
          <cell r="D476" t="str">
            <v>MATERIEL ET LIGNES ELECTRIQUES</v>
          </cell>
          <cell r="E476" t="str">
            <v>Approuvé</v>
          </cell>
          <cell r="F476" t="str">
            <v>K07121</v>
          </cell>
          <cell r="G476">
            <v>2</v>
          </cell>
          <cell r="H476" t="str">
            <v>Reprise</v>
          </cell>
          <cell r="I476" t="str">
            <v>REPRISE</v>
          </cell>
          <cell r="J476" t="str">
            <v>Budgété</v>
          </cell>
          <cell r="K476">
            <v>1580000</v>
          </cell>
          <cell r="L476">
            <v>1580000</v>
          </cell>
          <cell r="O476">
            <v>1580000</v>
          </cell>
          <cell r="S476">
            <v>13489</v>
          </cell>
          <cell r="T476" t="str">
            <v>EZZAKI Hassan</v>
          </cell>
          <cell r="U476" t="str">
            <v>Ordinaire</v>
          </cell>
          <cell r="V476" t="str">
            <v>Reprise</v>
          </cell>
          <cell r="W476" t="str">
            <v>Renouvellement</v>
          </cell>
          <cell r="X476" t="str">
            <v>Aucune</v>
          </cell>
          <cell r="Y476" t="str">
            <v>Prévu</v>
          </cell>
          <cell r="Z476" t="str">
            <v>Reprise</v>
          </cell>
        </row>
        <row r="477">
          <cell r="A477">
            <v>3197</v>
          </cell>
          <cell r="B477">
            <v>1</v>
          </cell>
          <cell r="C477" t="str">
            <v>IV25521</v>
          </cell>
          <cell r="D477" t="str">
            <v>RENOUVELLEMENT D'UN CHARIOT ELEVATEUR</v>
          </cell>
          <cell r="E477" t="str">
            <v>Approuvé</v>
          </cell>
          <cell r="F477" t="str">
            <v>K11709</v>
          </cell>
          <cell r="G477">
            <v>2</v>
          </cell>
          <cell r="H477" t="str">
            <v>Reprise</v>
          </cell>
          <cell r="I477" t="str">
            <v>REPRISE</v>
          </cell>
          <cell r="J477" t="str">
            <v>Budgété</v>
          </cell>
          <cell r="K477">
            <v>450000</v>
          </cell>
          <cell r="L477">
            <v>450000</v>
          </cell>
          <cell r="O477">
            <v>450000</v>
          </cell>
          <cell r="S477">
            <v>13490</v>
          </cell>
          <cell r="T477" t="str">
            <v>NABZAR AHMED</v>
          </cell>
          <cell r="U477" t="str">
            <v>Ordinaire</v>
          </cell>
          <cell r="V477" t="str">
            <v>Reprise</v>
          </cell>
          <cell r="W477" t="str">
            <v>Renouvellement</v>
          </cell>
          <cell r="X477" t="str">
            <v>Aucune</v>
          </cell>
          <cell r="Y477" t="str">
            <v>Prévu</v>
          </cell>
          <cell r="Z477" t="str">
            <v>Reprise</v>
          </cell>
        </row>
        <row r="478">
          <cell r="A478">
            <v>3198</v>
          </cell>
          <cell r="B478">
            <v>1</v>
          </cell>
          <cell r="C478" t="str">
            <v>IV25522</v>
          </cell>
          <cell r="D478" t="str">
            <v>OUTILLAGE POUR ATELIER DE BOBINAGE</v>
          </cell>
          <cell r="E478" t="str">
            <v>Approuvé</v>
          </cell>
          <cell r="F478" t="str">
            <v>K11709</v>
          </cell>
          <cell r="G478">
            <v>2</v>
          </cell>
          <cell r="H478" t="str">
            <v>Reprise</v>
          </cell>
          <cell r="I478" t="str">
            <v>REPRISE</v>
          </cell>
          <cell r="J478" t="str">
            <v>Budgété</v>
          </cell>
          <cell r="K478">
            <v>400000</v>
          </cell>
          <cell r="L478">
            <v>400000</v>
          </cell>
          <cell r="O478">
            <v>400000</v>
          </cell>
          <cell r="S478">
            <v>13491</v>
          </cell>
          <cell r="T478" t="str">
            <v>NABZAR AHMED</v>
          </cell>
          <cell r="U478" t="str">
            <v>Ordinaire</v>
          </cell>
          <cell r="V478" t="str">
            <v>Reprise</v>
          </cell>
          <cell r="W478" t="str">
            <v>Dotations nouvelles</v>
          </cell>
          <cell r="X478" t="str">
            <v>Aucune</v>
          </cell>
          <cell r="Y478" t="str">
            <v>Prévu</v>
          </cell>
          <cell r="Z478" t="str">
            <v>Reprise</v>
          </cell>
        </row>
        <row r="479">
          <cell r="A479">
            <v>3199</v>
          </cell>
          <cell r="B479">
            <v>1</v>
          </cell>
          <cell r="C479" t="str">
            <v>IV25523</v>
          </cell>
          <cell r="D479" t="str">
            <v>ACQUISITION D'UNE NACELLE SUR CHARIOT A ROUES</v>
          </cell>
          <cell r="E479" t="str">
            <v>Approuvé</v>
          </cell>
          <cell r="F479" t="str">
            <v>K11712</v>
          </cell>
          <cell r="G479">
            <v>2</v>
          </cell>
          <cell r="H479" t="str">
            <v>Reprise</v>
          </cell>
          <cell r="I479" t="str">
            <v>REPRISE</v>
          </cell>
          <cell r="J479" t="str">
            <v>Budgété</v>
          </cell>
          <cell r="K479">
            <v>230000</v>
          </cell>
          <cell r="L479">
            <v>230000</v>
          </cell>
          <cell r="O479">
            <v>230000</v>
          </cell>
          <cell r="S479">
            <v>13492</v>
          </cell>
          <cell r="T479" t="str">
            <v>NABZAR AHMED</v>
          </cell>
          <cell r="U479" t="str">
            <v>Ordinaire</v>
          </cell>
          <cell r="V479" t="str">
            <v>Reprise</v>
          </cell>
          <cell r="W479" t="str">
            <v>Dotations nouvelles</v>
          </cell>
          <cell r="X479" t="str">
            <v>Aucune</v>
          </cell>
          <cell r="Y479" t="str">
            <v>Prévu</v>
          </cell>
          <cell r="Z479" t="str">
            <v>Reprise</v>
          </cell>
        </row>
        <row r="480">
          <cell r="A480">
            <v>3200</v>
          </cell>
          <cell r="B480">
            <v>1</v>
          </cell>
          <cell r="C480" t="str">
            <v>IV25524</v>
          </cell>
          <cell r="D480" t="str">
            <v>ACQUISITION MOBILIER POUR LES STATIONS DE POMPAGE ET POSTES ELECTRIQUES</v>
          </cell>
          <cell r="E480" t="str">
            <v>Approuvé</v>
          </cell>
          <cell r="F480" t="str">
            <v>K11701</v>
          </cell>
          <cell r="G480">
            <v>2</v>
          </cell>
          <cell r="H480" t="str">
            <v>Reprise</v>
          </cell>
          <cell r="I480" t="str">
            <v>REPRISE</v>
          </cell>
          <cell r="J480" t="str">
            <v>Budgété</v>
          </cell>
          <cell r="K480">
            <v>300000</v>
          </cell>
          <cell r="L480">
            <v>300000</v>
          </cell>
          <cell r="O480">
            <v>300000</v>
          </cell>
          <cell r="S480">
            <v>13493</v>
          </cell>
          <cell r="T480" t="str">
            <v>NABZAR AHMED</v>
          </cell>
          <cell r="U480" t="str">
            <v>Administratif</v>
          </cell>
          <cell r="V480" t="str">
            <v>Reprise</v>
          </cell>
          <cell r="W480" t="str">
            <v>Dotations nouvelles</v>
          </cell>
          <cell r="X480" t="str">
            <v>Aucune</v>
          </cell>
          <cell r="Y480" t="str">
            <v>Prévu</v>
          </cell>
          <cell r="Z480" t="str">
            <v>Reprise</v>
          </cell>
        </row>
        <row r="481">
          <cell r="A481">
            <v>3201</v>
          </cell>
          <cell r="B481">
            <v>1</v>
          </cell>
          <cell r="C481" t="str">
            <v>IV25527</v>
          </cell>
          <cell r="D481" t="str">
            <v>EQUIPEMENT POUR L'ATELIER DES EAUX</v>
          </cell>
          <cell r="E481" t="str">
            <v>Approuvé</v>
          </cell>
          <cell r="F481" t="str">
            <v>K11702</v>
          </cell>
          <cell r="G481">
            <v>2</v>
          </cell>
          <cell r="H481" t="str">
            <v>Reprise</v>
          </cell>
          <cell r="I481" t="str">
            <v>REPRISE</v>
          </cell>
          <cell r="J481" t="str">
            <v>Budgété</v>
          </cell>
          <cell r="K481">
            <v>80000</v>
          </cell>
          <cell r="L481">
            <v>80000</v>
          </cell>
          <cell r="O481">
            <v>80000</v>
          </cell>
          <cell r="S481">
            <v>13494</v>
          </cell>
          <cell r="T481" t="str">
            <v>NABZAR AHMED</v>
          </cell>
          <cell r="U481" t="str">
            <v>Ordinaire</v>
          </cell>
          <cell r="V481" t="str">
            <v>Reprise</v>
          </cell>
          <cell r="W481" t="str">
            <v>Dotations nouvelles</v>
          </cell>
          <cell r="X481" t="str">
            <v>Aucune</v>
          </cell>
          <cell r="Y481" t="str">
            <v>Prévu</v>
          </cell>
          <cell r="Z481" t="str">
            <v>Reprise</v>
          </cell>
        </row>
        <row r="482">
          <cell r="A482">
            <v>3202</v>
          </cell>
          <cell r="B482">
            <v>1</v>
          </cell>
          <cell r="C482" t="str">
            <v>IV25529</v>
          </cell>
          <cell r="D482" t="str">
            <v>ACQUISITION DES RECHANGES POUR LES MOTEURS ET MODULES ELECTRIQUES DE LA ZONE KHOURIBGA</v>
          </cell>
          <cell r="E482" t="str">
            <v>Approuvé</v>
          </cell>
          <cell r="F482" t="str">
            <v>K11707</v>
          </cell>
          <cell r="G482">
            <v>2</v>
          </cell>
          <cell r="H482" t="str">
            <v>Reprise</v>
          </cell>
          <cell r="I482" t="str">
            <v>REPRISE</v>
          </cell>
          <cell r="J482" t="str">
            <v>Budgété</v>
          </cell>
          <cell r="K482">
            <v>950000</v>
          </cell>
          <cell r="L482">
            <v>950000</v>
          </cell>
          <cell r="O482">
            <v>950000</v>
          </cell>
          <cell r="S482">
            <v>13495</v>
          </cell>
          <cell r="T482" t="str">
            <v>NABZAR AHMED</v>
          </cell>
          <cell r="U482" t="str">
            <v>Ordinaire</v>
          </cell>
          <cell r="V482" t="str">
            <v>Reprise</v>
          </cell>
          <cell r="W482" t="str">
            <v>Dotations nouvelles</v>
          </cell>
          <cell r="X482" t="str">
            <v>Aucune</v>
          </cell>
          <cell r="Y482" t="str">
            <v>Prévu</v>
          </cell>
          <cell r="Z482" t="str">
            <v>Reprise</v>
          </cell>
        </row>
        <row r="483">
          <cell r="A483">
            <v>3203</v>
          </cell>
          <cell r="B483">
            <v>1</v>
          </cell>
          <cell r="C483" t="str">
            <v>IV25532</v>
          </cell>
          <cell r="D483" t="str">
            <v>ACHAT D'APPAREILS PHOTO NUMÉRIQUES</v>
          </cell>
          <cell r="E483" t="str">
            <v>Approuvé</v>
          </cell>
          <cell r="F483" t="str">
            <v>K03510</v>
          </cell>
          <cell r="G483">
            <v>2</v>
          </cell>
          <cell r="H483" t="str">
            <v>Reprise</v>
          </cell>
          <cell r="I483" t="str">
            <v>REPRISE</v>
          </cell>
          <cell r="J483" t="str">
            <v>Budgété</v>
          </cell>
          <cell r="K483">
            <v>18000</v>
          </cell>
          <cell r="L483">
            <v>18000</v>
          </cell>
          <cell r="O483">
            <v>18000</v>
          </cell>
          <cell r="S483">
            <v>13496</v>
          </cell>
          <cell r="T483" t="str">
            <v>CHARKI EL YAMANI</v>
          </cell>
          <cell r="U483" t="str">
            <v>Administratif</v>
          </cell>
          <cell r="V483" t="str">
            <v>Reprise</v>
          </cell>
          <cell r="W483" t="str">
            <v>Dotations nouvelles</v>
          </cell>
          <cell r="X483" t="str">
            <v>Aucune</v>
          </cell>
          <cell r="Y483" t="str">
            <v>Prévu</v>
          </cell>
          <cell r="Z483" t="str">
            <v>Reprise</v>
          </cell>
        </row>
        <row r="484">
          <cell r="A484">
            <v>3204</v>
          </cell>
          <cell r="B484">
            <v>1</v>
          </cell>
          <cell r="C484" t="str">
            <v>IV25536</v>
          </cell>
          <cell r="D484" t="str">
            <v>ACHAT D'UNE CENTRALE HYDRAULIQUE AVEC DEUX VÉRINS  300 TONNES</v>
          </cell>
          <cell r="E484" t="str">
            <v>Approuvé</v>
          </cell>
          <cell r="F484" t="str">
            <v>K03720</v>
          </cell>
          <cell r="G484">
            <v>2</v>
          </cell>
          <cell r="H484" t="str">
            <v>Reprise</v>
          </cell>
          <cell r="I484" t="str">
            <v>REPRISE</v>
          </cell>
          <cell r="J484" t="str">
            <v>Budgété</v>
          </cell>
          <cell r="K484">
            <v>300000</v>
          </cell>
          <cell r="L484">
            <v>300000</v>
          </cell>
          <cell r="O484">
            <v>300000</v>
          </cell>
          <cell r="S484">
            <v>13497</v>
          </cell>
          <cell r="T484" t="str">
            <v>MHADI HICHAM</v>
          </cell>
          <cell r="U484" t="str">
            <v>Ordinaire</v>
          </cell>
          <cell r="V484" t="str">
            <v>Reprise</v>
          </cell>
          <cell r="W484" t="str">
            <v>Dotations nouvelles</v>
          </cell>
          <cell r="X484" t="str">
            <v>Aucune</v>
          </cell>
          <cell r="Y484" t="str">
            <v>Prévu</v>
          </cell>
          <cell r="Z484" t="str">
            <v>Reprise</v>
          </cell>
        </row>
        <row r="485">
          <cell r="A485">
            <v>3205</v>
          </cell>
          <cell r="B485">
            <v>1</v>
          </cell>
          <cell r="C485" t="str">
            <v>IV25537</v>
          </cell>
          <cell r="D485" t="str">
            <v>ACHAT DE VÉRINS HYDRAULIQUES</v>
          </cell>
          <cell r="E485" t="str">
            <v>Approuvé</v>
          </cell>
          <cell r="F485" t="str">
            <v>K03821</v>
          </cell>
          <cell r="G485">
            <v>2</v>
          </cell>
          <cell r="H485" t="str">
            <v>Reprise</v>
          </cell>
          <cell r="I485" t="str">
            <v>REPRISE</v>
          </cell>
          <cell r="J485" t="str">
            <v>Budgété</v>
          </cell>
          <cell r="K485">
            <v>388000</v>
          </cell>
          <cell r="L485">
            <v>388000</v>
          </cell>
          <cell r="O485">
            <v>388000</v>
          </cell>
          <cell r="S485">
            <v>13498</v>
          </cell>
          <cell r="T485" t="str">
            <v>EL BOUCHRIFI Yagoub</v>
          </cell>
          <cell r="U485" t="str">
            <v>Ordinaire</v>
          </cell>
          <cell r="V485" t="str">
            <v>Reprise</v>
          </cell>
          <cell r="W485" t="str">
            <v>Dotations nouvelles</v>
          </cell>
          <cell r="X485" t="str">
            <v>Aucune</v>
          </cell>
          <cell r="Y485" t="str">
            <v>Prévu</v>
          </cell>
          <cell r="Z485" t="str">
            <v>Reprise</v>
          </cell>
        </row>
        <row r="486">
          <cell r="A486">
            <v>3206</v>
          </cell>
          <cell r="B486">
            <v>1</v>
          </cell>
          <cell r="C486" t="str">
            <v>IV25538</v>
          </cell>
          <cell r="D486" t="str">
            <v>ACHAT DU MATÉRIEL D'ATELIER MÉCANIQUE</v>
          </cell>
          <cell r="E486" t="str">
            <v>Approuvé</v>
          </cell>
          <cell r="F486" t="str">
            <v>K03823</v>
          </cell>
          <cell r="G486">
            <v>4</v>
          </cell>
          <cell r="H486" t="str">
            <v>Report</v>
          </cell>
          <cell r="I486" t="str">
            <v>REPORT</v>
          </cell>
          <cell r="J486" t="str">
            <v>Budgété</v>
          </cell>
          <cell r="K486">
            <v>325500</v>
          </cell>
          <cell r="L486">
            <v>325500</v>
          </cell>
          <cell r="M486">
            <v>325500</v>
          </cell>
          <cell r="N486">
            <v>325500</v>
          </cell>
          <cell r="O486">
            <v>0</v>
          </cell>
          <cell r="S486">
            <v>23163</v>
          </cell>
          <cell r="T486" t="str">
            <v>EL BOUCHRIFI Yagoub</v>
          </cell>
          <cell r="U486" t="str">
            <v>Ordinaire</v>
          </cell>
          <cell r="V486" t="str">
            <v>Reprise</v>
          </cell>
          <cell r="W486" t="str">
            <v>Dotations nouvelles</v>
          </cell>
          <cell r="X486" t="str">
            <v>Aucune</v>
          </cell>
          <cell r="Y486" t="str">
            <v>Prévu</v>
          </cell>
          <cell r="Z486" t="str">
            <v>Reprise</v>
          </cell>
        </row>
        <row r="487">
          <cell r="A487">
            <v>3207</v>
          </cell>
          <cell r="B487">
            <v>1</v>
          </cell>
          <cell r="C487" t="str">
            <v>IV25539</v>
          </cell>
          <cell r="D487" t="str">
            <v>ACHAT D'UN COMPRESSEUR D'AIR AUTONOME ET D'UN POSTE DE SOUDURE AUTONOME</v>
          </cell>
          <cell r="E487" t="str">
            <v>Approuvé</v>
          </cell>
          <cell r="F487" t="str">
            <v>K03390</v>
          </cell>
          <cell r="G487">
            <v>4</v>
          </cell>
          <cell r="H487" t="str">
            <v>V4</v>
          </cell>
          <cell r="I487" t="str">
            <v>REPORT</v>
          </cell>
          <cell r="J487" t="str">
            <v>Budgété</v>
          </cell>
          <cell r="K487">
            <v>200000</v>
          </cell>
          <cell r="L487">
            <v>200000</v>
          </cell>
          <cell r="M487">
            <v>200000</v>
          </cell>
          <cell r="N487">
            <v>200000</v>
          </cell>
          <cell r="S487">
            <v>23214</v>
          </cell>
          <cell r="T487" t="str">
            <v>EL KASSI SOUFIYANE</v>
          </cell>
          <cell r="U487" t="str">
            <v>Ordinaire</v>
          </cell>
          <cell r="V487" t="str">
            <v>Reprise</v>
          </cell>
          <cell r="W487" t="str">
            <v>Dotations nouvelles</v>
          </cell>
          <cell r="X487" t="str">
            <v>Aucune</v>
          </cell>
          <cell r="Y487" t="str">
            <v>Prévu</v>
          </cell>
          <cell r="Z487" t="str">
            <v>Reprise</v>
          </cell>
        </row>
        <row r="488">
          <cell r="A488">
            <v>3208</v>
          </cell>
          <cell r="B488">
            <v>1</v>
          </cell>
          <cell r="C488" t="str">
            <v>IV25543</v>
          </cell>
          <cell r="D488" t="str">
            <v>ACHAT D'UNE TIREUSE DE PLANS ET D'UNE TABLE TRAÇANTE</v>
          </cell>
          <cell r="E488" t="str">
            <v>Approuvé</v>
          </cell>
          <cell r="F488" t="str">
            <v>K03331</v>
          </cell>
          <cell r="G488">
            <v>2</v>
          </cell>
          <cell r="H488" t="str">
            <v>Reprise</v>
          </cell>
          <cell r="I488" t="str">
            <v>REPRISE</v>
          </cell>
          <cell r="J488" t="str">
            <v>Budgété</v>
          </cell>
          <cell r="K488">
            <v>150000</v>
          </cell>
          <cell r="L488">
            <v>150000</v>
          </cell>
          <cell r="O488">
            <v>150000</v>
          </cell>
          <cell r="S488">
            <v>13501</v>
          </cell>
          <cell r="T488" t="str">
            <v>AMRAOUZA OMAR</v>
          </cell>
          <cell r="U488" t="str">
            <v>Administratif</v>
          </cell>
          <cell r="V488" t="str">
            <v>Reprise</v>
          </cell>
          <cell r="W488" t="str">
            <v>Dotations nouvelles</v>
          </cell>
          <cell r="X488" t="str">
            <v>Aucune</v>
          </cell>
          <cell r="Y488" t="str">
            <v>Prévu</v>
          </cell>
          <cell r="Z488" t="str">
            <v>Reprise</v>
          </cell>
        </row>
        <row r="489">
          <cell r="A489">
            <v>3209</v>
          </cell>
          <cell r="B489">
            <v>1</v>
          </cell>
          <cell r="C489" t="str">
            <v>IV25544</v>
          </cell>
          <cell r="D489" t="str">
            <v>ACHAT DE MOBILIER DE BUREAU</v>
          </cell>
          <cell r="E489" t="str">
            <v>Approuvé</v>
          </cell>
          <cell r="F489" t="str">
            <v>K03820</v>
          </cell>
          <cell r="G489">
            <v>2</v>
          </cell>
          <cell r="H489" t="str">
            <v>Reprise</v>
          </cell>
          <cell r="I489" t="str">
            <v>REPRISE</v>
          </cell>
          <cell r="J489" t="str">
            <v>Budgété</v>
          </cell>
          <cell r="K489">
            <v>432200</v>
          </cell>
          <cell r="L489">
            <v>432200</v>
          </cell>
          <cell r="O489">
            <v>432200</v>
          </cell>
          <cell r="S489">
            <v>13502</v>
          </cell>
          <cell r="T489" t="str">
            <v>CHARKI EL YAMANI</v>
          </cell>
          <cell r="U489" t="str">
            <v>Administratif</v>
          </cell>
          <cell r="V489" t="str">
            <v>Reprise</v>
          </cell>
          <cell r="W489" t="str">
            <v>Dotations nouvelles</v>
          </cell>
          <cell r="X489" t="str">
            <v>Aucune</v>
          </cell>
          <cell r="Y489" t="str">
            <v>Prévu</v>
          </cell>
          <cell r="Z489" t="str">
            <v>Reprise</v>
          </cell>
        </row>
        <row r="490">
          <cell r="A490">
            <v>3210</v>
          </cell>
          <cell r="B490">
            <v>1</v>
          </cell>
          <cell r="C490" t="str">
            <v>IV25574</v>
          </cell>
          <cell r="D490" t="str">
            <v>ACHAT D'UN BAIN THERMOSTATE POUR LA VISCOSITE CINEMATIQUE</v>
          </cell>
          <cell r="E490" t="str">
            <v>Approuvé</v>
          </cell>
          <cell r="F490" t="str">
            <v>K11801</v>
          </cell>
          <cell r="G490">
            <v>2</v>
          </cell>
          <cell r="H490" t="str">
            <v>Reprise</v>
          </cell>
          <cell r="I490" t="str">
            <v>REPRISE</v>
          </cell>
          <cell r="J490" t="str">
            <v>Budgété</v>
          </cell>
          <cell r="K490">
            <v>400000</v>
          </cell>
          <cell r="L490">
            <v>400000</v>
          </cell>
          <cell r="O490">
            <v>400000</v>
          </cell>
          <cell r="S490">
            <v>13611</v>
          </cell>
          <cell r="T490" t="str">
            <v>NABZAR AHMED</v>
          </cell>
          <cell r="U490" t="str">
            <v>Ordinaire</v>
          </cell>
          <cell r="V490" t="str">
            <v>Reprise</v>
          </cell>
          <cell r="W490" t="str">
            <v>Dotations nouvelles</v>
          </cell>
          <cell r="X490" t="str">
            <v>Aucune</v>
          </cell>
          <cell r="Y490" t="str">
            <v>Prévu</v>
          </cell>
          <cell r="Z490" t="str">
            <v>Reprise</v>
          </cell>
        </row>
        <row r="491">
          <cell r="A491">
            <v>3211</v>
          </cell>
          <cell r="B491">
            <v>1</v>
          </cell>
          <cell r="C491" t="str">
            <v>IV25579</v>
          </cell>
          <cell r="D491" t="str">
            <v>ACQUISITION  DE  10  BROYEURS  POUR  DESTRUCTION  DE  SERINGUES  USAGEES</v>
          </cell>
          <cell r="E491" t="str">
            <v>Approuvé</v>
          </cell>
          <cell r="F491" t="str">
            <v>K01419</v>
          </cell>
          <cell r="G491">
            <v>2</v>
          </cell>
          <cell r="H491" t="str">
            <v>Reprise</v>
          </cell>
          <cell r="I491" t="str">
            <v>REPRISE</v>
          </cell>
          <cell r="J491" t="str">
            <v>Budgété</v>
          </cell>
          <cell r="K491">
            <v>60000</v>
          </cell>
          <cell r="L491">
            <v>60000</v>
          </cell>
          <cell r="O491">
            <v>60000</v>
          </cell>
          <cell r="S491">
            <v>13612</v>
          </cell>
          <cell r="T491" t="str">
            <v>NABZAR AHMED</v>
          </cell>
          <cell r="U491" t="str">
            <v>Médical</v>
          </cell>
          <cell r="V491" t="str">
            <v>Reprise</v>
          </cell>
          <cell r="W491" t="str">
            <v>Dotations nouvelles</v>
          </cell>
          <cell r="X491" t="str">
            <v>Aucune</v>
          </cell>
          <cell r="Y491" t="str">
            <v>Prévu</v>
          </cell>
          <cell r="Z491" t="str">
            <v>Reprise</v>
          </cell>
        </row>
        <row r="492">
          <cell r="A492">
            <v>3212</v>
          </cell>
          <cell r="B492">
            <v>1</v>
          </cell>
          <cell r="C492" t="str">
            <v>IV25580</v>
          </cell>
          <cell r="D492" t="str">
            <v>RENOUVELLEMENT  DE  3  FAUTEUILS  ROULANTS  POUR  HANDICAPES</v>
          </cell>
          <cell r="E492" t="str">
            <v>Approuvé</v>
          </cell>
          <cell r="F492" t="str">
            <v>K01419</v>
          </cell>
          <cell r="G492">
            <v>2</v>
          </cell>
          <cell r="H492" t="str">
            <v>Reprise</v>
          </cell>
          <cell r="I492" t="str">
            <v>REPRISE</v>
          </cell>
          <cell r="J492" t="str">
            <v>Budgété</v>
          </cell>
          <cell r="K492">
            <v>30000</v>
          </cell>
          <cell r="L492">
            <v>30000</v>
          </cell>
          <cell r="O492">
            <v>30000</v>
          </cell>
          <cell r="S492">
            <v>13613</v>
          </cell>
          <cell r="T492" t="str">
            <v>NABZAR AHMED</v>
          </cell>
          <cell r="U492" t="str">
            <v>Médical</v>
          </cell>
          <cell r="V492" t="str">
            <v>Reprise</v>
          </cell>
          <cell r="W492" t="str">
            <v>Renouvellement</v>
          </cell>
          <cell r="X492" t="str">
            <v>Aucune</v>
          </cell>
          <cell r="Y492" t="str">
            <v>Prévu</v>
          </cell>
          <cell r="Z492" t="str">
            <v>Reprise</v>
          </cell>
        </row>
        <row r="493">
          <cell r="A493">
            <v>3213</v>
          </cell>
          <cell r="B493">
            <v>1</v>
          </cell>
          <cell r="C493" t="str">
            <v>IV25582</v>
          </cell>
          <cell r="D493" t="str">
            <v>RENOUVELLEMENT  DE  MOBILIER  DE  BUREAU POUR  AK / M</v>
          </cell>
          <cell r="E493" t="str">
            <v>Approuvé</v>
          </cell>
          <cell r="F493" t="str">
            <v>K01419</v>
          </cell>
          <cell r="G493">
            <v>2</v>
          </cell>
          <cell r="H493" t="str">
            <v>Reprise</v>
          </cell>
          <cell r="I493" t="str">
            <v>REPRISE</v>
          </cell>
          <cell r="J493" t="str">
            <v>Budgété</v>
          </cell>
          <cell r="K493">
            <v>67500</v>
          </cell>
          <cell r="L493">
            <v>67500</v>
          </cell>
          <cell r="O493">
            <v>67500</v>
          </cell>
          <cell r="S493">
            <v>13614</v>
          </cell>
          <cell r="T493" t="str">
            <v>NABZAR AHMED</v>
          </cell>
          <cell r="U493" t="str">
            <v>Administratif</v>
          </cell>
          <cell r="V493" t="str">
            <v>Reprise</v>
          </cell>
          <cell r="W493" t="str">
            <v>Renouvellement</v>
          </cell>
          <cell r="X493" t="str">
            <v>Aucune</v>
          </cell>
          <cell r="Y493" t="str">
            <v>Prévu</v>
          </cell>
          <cell r="Z493" t="str">
            <v>Reprise</v>
          </cell>
        </row>
        <row r="494">
          <cell r="A494">
            <v>3214</v>
          </cell>
          <cell r="B494">
            <v>1</v>
          </cell>
          <cell r="C494" t="str">
            <v>IV25593</v>
          </cell>
          <cell r="D494" t="str">
            <v>MATERIEL ELECTRIQUES ET ELECTRONIQUES</v>
          </cell>
          <cell r="E494" t="str">
            <v>Approuvé</v>
          </cell>
          <cell r="F494" t="str">
            <v>K07121</v>
          </cell>
          <cell r="G494">
            <v>2</v>
          </cell>
          <cell r="H494" t="str">
            <v>Reprise</v>
          </cell>
          <cell r="I494" t="str">
            <v>REPRISE</v>
          </cell>
          <cell r="J494" t="str">
            <v>Budgété</v>
          </cell>
          <cell r="K494">
            <v>100000</v>
          </cell>
          <cell r="L494">
            <v>100000</v>
          </cell>
          <cell r="O494">
            <v>100000</v>
          </cell>
          <cell r="S494">
            <v>13615</v>
          </cell>
          <cell r="T494" t="str">
            <v>EZZAKI Hassan</v>
          </cell>
          <cell r="U494" t="str">
            <v>Ordinaire</v>
          </cell>
          <cell r="V494" t="str">
            <v>Reprise</v>
          </cell>
          <cell r="W494" t="str">
            <v>Dotations nouvelles</v>
          </cell>
          <cell r="X494" t="str">
            <v>Aucune</v>
          </cell>
          <cell r="Y494" t="str">
            <v>Prévu</v>
          </cell>
          <cell r="Z494" t="str">
            <v>Reprise</v>
          </cell>
        </row>
        <row r="495">
          <cell r="A495">
            <v>3215</v>
          </cell>
          <cell r="B495">
            <v>1</v>
          </cell>
          <cell r="C495" t="str">
            <v>IV25610</v>
          </cell>
          <cell r="D495" t="str">
            <v>RN DE 04 CONVERTISSEURS DE FREQUENCE POUR LES ROUES PELLES DU PARC HUMIDE DE BÉNI-IDIR</v>
          </cell>
          <cell r="E495" t="str">
            <v>Approuvé</v>
          </cell>
          <cell r="F495" t="str">
            <v>K04108</v>
          </cell>
          <cell r="G495">
            <v>2</v>
          </cell>
          <cell r="H495" t="str">
            <v>Reprise</v>
          </cell>
          <cell r="I495" t="str">
            <v>REPRISE</v>
          </cell>
          <cell r="J495" t="str">
            <v>Budgété</v>
          </cell>
          <cell r="K495">
            <v>480000</v>
          </cell>
          <cell r="L495">
            <v>480000</v>
          </cell>
          <cell r="O495">
            <v>480000</v>
          </cell>
          <cell r="S495">
            <v>13616</v>
          </cell>
          <cell r="T495" t="str">
            <v>EZZAKI Hassan</v>
          </cell>
          <cell r="U495" t="str">
            <v>Ordinaire</v>
          </cell>
          <cell r="V495" t="str">
            <v>Reprise</v>
          </cell>
          <cell r="W495" t="str">
            <v>Renouvellement</v>
          </cell>
          <cell r="X495" t="str">
            <v>Aucune</v>
          </cell>
          <cell r="Y495" t="str">
            <v>Prévu</v>
          </cell>
          <cell r="Z495" t="str">
            <v>Reprise</v>
          </cell>
        </row>
        <row r="496">
          <cell r="A496">
            <v>3216</v>
          </cell>
          <cell r="B496">
            <v>1</v>
          </cell>
          <cell r="C496" t="str">
            <v>IV25611</v>
          </cell>
          <cell r="D496" t="str">
            <v>ACHAT DE 03 MOTEURS MT POUR LA LIAISON ZONE CENTRALE</v>
          </cell>
          <cell r="E496" t="str">
            <v>Approuvé</v>
          </cell>
          <cell r="F496" t="str">
            <v>K04103</v>
          </cell>
          <cell r="G496">
            <v>2</v>
          </cell>
          <cell r="H496" t="str">
            <v>Reprise</v>
          </cell>
          <cell r="I496" t="str">
            <v>REPRISE</v>
          </cell>
          <cell r="J496" t="str">
            <v>Budgété</v>
          </cell>
          <cell r="K496">
            <v>2000000</v>
          </cell>
          <cell r="L496">
            <v>2000000</v>
          </cell>
          <cell r="O496">
            <v>2000000</v>
          </cell>
          <cell r="S496">
            <v>13617</v>
          </cell>
          <cell r="T496" t="str">
            <v>NABZAR AHMED</v>
          </cell>
          <cell r="U496" t="str">
            <v>Ordinaire</v>
          </cell>
          <cell r="V496" t="str">
            <v>Reprise</v>
          </cell>
          <cell r="W496" t="str">
            <v>Dotations nouvelles</v>
          </cell>
          <cell r="X496" t="str">
            <v>Aucune</v>
          </cell>
          <cell r="Y496" t="str">
            <v>Prévu</v>
          </cell>
          <cell r="Z496" t="str">
            <v>Reprise</v>
          </cell>
        </row>
        <row r="497">
          <cell r="A497">
            <v>3217</v>
          </cell>
          <cell r="B497">
            <v>1</v>
          </cell>
          <cell r="C497" t="str">
            <v>IV25612</v>
          </cell>
          <cell r="D497" t="str">
            <v>ACHAT DE 20 MOTEURS ELECTRIQUES BT POUR LES INSTALLATIONS DE L'ENRICHISSEMENT A SEC ET ZONE CENTRALE DE BENI-IDIR</v>
          </cell>
          <cell r="E497" t="str">
            <v>Approuvé</v>
          </cell>
          <cell r="F497" t="str">
            <v>K04124</v>
          </cell>
          <cell r="G497">
            <v>2</v>
          </cell>
          <cell r="H497" t="str">
            <v>Reprise</v>
          </cell>
          <cell r="I497" t="str">
            <v>REPRISE</v>
          </cell>
          <cell r="J497" t="str">
            <v>Budgété</v>
          </cell>
          <cell r="K497">
            <v>480000</v>
          </cell>
          <cell r="L497">
            <v>480000</v>
          </cell>
          <cell r="O497">
            <v>480000</v>
          </cell>
          <cell r="S497">
            <v>13618</v>
          </cell>
          <cell r="T497" t="str">
            <v>TOGHZAOUI ABDELLATIF</v>
          </cell>
          <cell r="U497" t="str">
            <v>Ordinaire</v>
          </cell>
          <cell r="V497" t="str">
            <v>Reprise</v>
          </cell>
          <cell r="W497" t="str">
            <v>Dotations nouvelles</v>
          </cell>
          <cell r="X497" t="str">
            <v>Aucune</v>
          </cell>
          <cell r="Y497" t="str">
            <v>Prévu</v>
          </cell>
          <cell r="Z497" t="str">
            <v>Reprise</v>
          </cell>
        </row>
        <row r="498">
          <cell r="A498">
            <v>3218</v>
          </cell>
          <cell r="B498">
            <v>1</v>
          </cell>
          <cell r="C498" t="str">
            <v>IV25614</v>
          </cell>
          <cell r="D498" t="str">
            <v>ACHAT DE 03 BASCULES INTEGRATRICES POUR L'UNITE DE BENI-IDIR</v>
          </cell>
          <cell r="E498" t="str">
            <v>Approuvé</v>
          </cell>
          <cell r="F498" t="str">
            <v>K04117</v>
          </cell>
          <cell r="G498">
            <v>2</v>
          </cell>
          <cell r="H498" t="str">
            <v>Reprise</v>
          </cell>
          <cell r="I498" t="str">
            <v>REPRISE</v>
          </cell>
          <cell r="J498" t="str">
            <v>Budgété</v>
          </cell>
          <cell r="K498">
            <v>480000</v>
          </cell>
          <cell r="L498">
            <v>480000</v>
          </cell>
          <cell r="O498">
            <v>480000</v>
          </cell>
          <cell r="S498">
            <v>13619</v>
          </cell>
          <cell r="T498" t="str">
            <v>NABZAR AHMED</v>
          </cell>
          <cell r="U498" t="str">
            <v>Ordinaire</v>
          </cell>
          <cell r="V498" t="str">
            <v>Reprise</v>
          </cell>
          <cell r="W498" t="str">
            <v>Dotations nouvelles</v>
          </cell>
          <cell r="X498" t="str">
            <v>Aucune</v>
          </cell>
          <cell r="Y498" t="str">
            <v>Prévu</v>
          </cell>
          <cell r="Z498" t="str">
            <v>Reprise</v>
          </cell>
        </row>
        <row r="499">
          <cell r="A499">
            <v>3219</v>
          </cell>
          <cell r="B499">
            <v>1</v>
          </cell>
          <cell r="C499" t="str">
            <v>IV25615</v>
          </cell>
          <cell r="D499" t="str">
            <v>RN DE 02 BASCULE S INTEGRATRICES POUR L'UNITE DE BENI IDIR</v>
          </cell>
          <cell r="E499" t="str">
            <v>Approuvé</v>
          </cell>
          <cell r="F499" t="str">
            <v>K04108</v>
          </cell>
          <cell r="G499">
            <v>2</v>
          </cell>
          <cell r="H499" t="str">
            <v>Reprise</v>
          </cell>
          <cell r="I499" t="str">
            <v>REPRISE</v>
          </cell>
          <cell r="J499" t="str">
            <v>Budgété</v>
          </cell>
          <cell r="K499">
            <v>350000</v>
          </cell>
          <cell r="L499">
            <v>350000</v>
          </cell>
          <cell r="O499">
            <v>350000</v>
          </cell>
          <cell r="S499">
            <v>13620</v>
          </cell>
          <cell r="T499" t="str">
            <v>NABZAR AHMED</v>
          </cell>
          <cell r="U499" t="str">
            <v>Ordinaire</v>
          </cell>
          <cell r="V499" t="str">
            <v>Reprise</v>
          </cell>
          <cell r="W499" t="str">
            <v>Renouvellement</v>
          </cell>
          <cell r="X499" t="str">
            <v>Aucune</v>
          </cell>
          <cell r="Y499" t="str">
            <v>Prévu</v>
          </cell>
          <cell r="Z499" t="str">
            <v>Reprise</v>
          </cell>
        </row>
        <row r="500">
          <cell r="A500">
            <v>3220</v>
          </cell>
          <cell r="B500">
            <v>1</v>
          </cell>
          <cell r="C500" t="str">
            <v>IV25616</v>
          </cell>
          <cell r="D500" t="str">
            <v>ACHAT DE 40 MOTEURS ELECTRIQUES B.T POUR LES INSTALLATIONS DE L'USINE DE BENI-IDIR</v>
          </cell>
          <cell r="E500" t="str">
            <v>Approuvé</v>
          </cell>
          <cell r="F500" t="str">
            <v>K04116</v>
          </cell>
          <cell r="G500">
            <v>2</v>
          </cell>
          <cell r="H500" t="str">
            <v>Reprise</v>
          </cell>
          <cell r="I500" t="str">
            <v>REPRISE</v>
          </cell>
          <cell r="J500" t="str">
            <v>Budgété</v>
          </cell>
          <cell r="K500">
            <v>1400000</v>
          </cell>
          <cell r="L500">
            <v>1400000</v>
          </cell>
          <cell r="O500">
            <v>1400000</v>
          </cell>
          <cell r="S500">
            <v>13621</v>
          </cell>
          <cell r="T500" t="str">
            <v>NABZAR AHMED</v>
          </cell>
          <cell r="U500" t="str">
            <v>Ordinaire</v>
          </cell>
          <cell r="V500" t="str">
            <v>Reprise</v>
          </cell>
          <cell r="W500" t="str">
            <v>Dotations nouvelles</v>
          </cell>
          <cell r="X500" t="str">
            <v>Aucune</v>
          </cell>
          <cell r="Y500" t="str">
            <v>Prévu</v>
          </cell>
          <cell r="Z500" t="str">
            <v>Reprise</v>
          </cell>
        </row>
        <row r="501">
          <cell r="A501">
            <v>3221</v>
          </cell>
          <cell r="B501">
            <v>1</v>
          </cell>
          <cell r="C501" t="str">
            <v>IV25617</v>
          </cell>
          <cell r="D501" t="str">
            <v>ACHAT DES POSTES EMETTEURS / RECEPTEURS POUR PMK/T</v>
          </cell>
          <cell r="E501" t="str">
            <v>Approuvé</v>
          </cell>
          <cell r="F501" t="str">
            <v>K04601</v>
          </cell>
          <cell r="G501">
            <v>2</v>
          </cell>
          <cell r="H501" t="str">
            <v>Reprise</v>
          </cell>
          <cell r="I501" t="str">
            <v>REPRISE</v>
          </cell>
          <cell r="J501" t="str">
            <v>Budgété</v>
          </cell>
          <cell r="K501">
            <v>1320000</v>
          </cell>
          <cell r="L501">
            <v>1320000</v>
          </cell>
          <cell r="O501">
            <v>1320000</v>
          </cell>
          <cell r="S501">
            <v>13622</v>
          </cell>
          <cell r="T501" t="str">
            <v>NABZAR AHMED</v>
          </cell>
          <cell r="U501" t="str">
            <v>Ordinaire</v>
          </cell>
          <cell r="V501" t="str">
            <v>Reprise</v>
          </cell>
          <cell r="W501" t="str">
            <v>Dotations nouvelles</v>
          </cell>
          <cell r="X501" t="str">
            <v>Aucune</v>
          </cell>
          <cell r="Y501" t="str">
            <v>Prévu</v>
          </cell>
          <cell r="Z501" t="str">
            <v>Reprise</v>
          </cell>
        </row>
        <row r="502">
          <cell r="A502">
            <v>3222</v>
          </cell>
          <cell r="B502">
            <v>1</v>
          </cell>
          <cell r="C502" t="str">
            <v>IV25619</v>
          </cell>
          <cell r="D502" t="str">
            <v>ACHAT DE 05 SECTIONNEURS MT POUR LE POSTE ELECTRIQUE P1 DE BENI-IDIR</v>
          </cell>
          <cell r="E502" t="str">
            <v>Approuvé</v>
          </cell>
          <cell r="F502" t="str">
            <v>K04116</v>
          </cell>
          <cell r="G502">
            <v>2</v>
          </cell>
          <cell r="H502" t="str">
            <v>Reprise</v>
          </cell>
          <cell r="I502" t="str">
            <v>REPRISE</v>
          </cell>
          <cell r="J502" t="str">
            <v>Budgété</v>
          </cell>
          <cell r="K502">
            <v>400000</v>
          </cell>
          <cell r="L502">
            <v>400000</v>
          </cell>
          <cell r="O502">
            <v>400000</v>
          </cell>
          <cell r="S502">
            <v>13623</v>
          </cell>
          <cell r="T502" t="str">
            <v>NABZAR AHMED</v>
          </cell>
          <cell r="U502" t="str">
            <v>Ordinaire</v>
          </cell>
          <cell r="V502" t="str">
            <v>Reprise</v>
          </cell>
          <cell r="W502" t="str">
            <v>Dotations nouvelles</v>
          </cell>
          <cell r="X502" t="str">
            <v>Aucune</v>
          </cell>
          <cell r="Y502" t="str">
            <v>Prévu</v>
          </cell>
          <cell r="Z502" t="str">
            <v>Reprise</v>
          </cell>
        </row>
        <row r="503">
          <cell r="A503">
            <v>3223</v>
          </cell>
          <cell r="B503">
            <v>1</v>
          </cell>
          <cell r="C503" t="str">
            <v>IV25620</v>
          </cell>
          <cell r="D503" t="str">
            <v>ACHAT DE 10 SECTIONNEURS MT POUR LES POSTES ELECTRIQUES DES FOURS SECHEURS DE BENI-IDIR</v>
          </cell>
          <cell r="E503" t="str">
            <v>Approuvé</v>
          </cell>
          <cell r="F503" t="str">
            <v>K04116</v>
          </cell>
          <cell r="G503">
            <v>2</v>
          </cell>
          <cell r="H503" t="str">
            <v>Reprise</v>
          </cell>
          <cell r="I503" t="str">
            <v>REPRISE</v>
          </cell>
          <cell r="J503" t="str">
            <v>Budgété</v>
          </cell>
          <cell r="K503">
            <v>480000</v>
          </cell>
          <cell r="L503">
            <v>480000</v>
          </cell>
          <cell r="O503">
            <v>480000</v>
          </cell>
          <cell r="S503">
            <v>13624</v>
          </cell>
          <cell r="T503" t="str">
            <v>NABZAR AHMED</v>
          </cell>
          <cell r="U503" t="str">
            <v>Ordinaire</v>
          </cell>
          <cell r="V503" t="str">
            <v>Reprise</v>
          </cell>
          <cell r="W503" t="str">
            <v>Dotations nouvelles</v>
          </cell>
          <cell r="X503" t="str">
            <v>Aucune</v>
          </cell>
          <cell r="Y503" t="str">
            <v>Prévu</v>
          </cell>
          <cell r="Z503" t="str">
            <v>Reprise</v>
          </cell>
        </row>
        <row r="504">
          <cell r="A504">
            <v>3224</v>
          </cell>
          <cell r="B504">
            <v>1</v>
          </cell>
          <cell r="C504" t="str">
            <v>IV25621</v>
          </cell>
          <cell r="D504" t="str">
            <v>ACHAT D'UN TRANSFORMATEUR DE PUISSANCE 60/5,5 KV POUR LE POSTE ELECTRIQUE P1 DE BENI-IDIR</v>
          </cell>
          <cell r="E504" t="str">
            <v>Approuvé</v>
          </cell>
          <cell r="F504" t="str">
            <v>K04610</v>
          </cell>
          <cell r="G504">
            <v>2</v>
          </cell>
          <cell r="H504" t="str">
            <v>Reprise</v>
          </cell>
          <cell r="I504" t="str">
            <v>REPRISE</v>
          </cell>
          <cell r="J504" t="str">
            <v>Budgété</v>
          </cell>
          <cell r="K504">
            <v>2000000</v>
          </cell>
          <cell r="L504">
            <v>2000000</v>
          </cell>
          <cell r="O504">
            <v>2000000</v>
          </cell>
          <cell r="S504">
            <v>13625</v>
          </cell>
          <cell r="T504" t="str">
            <v>NABZAR AHMED</v>
          </cell>
          <cell r="U504" t="str">
            <v>Ordinaire</v>
          </cell>
          <cell r="V504" t="str">
            <v>Reprise</v>
          </cell>
          <cell r="W504" t="str">
            <v>Dotations nouvelles</v>
          </cell>
          <cell r="X504" t="str">
            <v>Aucune</v>
          </cell>
          <cell r="Y504" t="str">
            <v>Prévu</v>
          </cell>
          <cell r="Z504" t="str">
            <v>Reprise</v>
          </cell>
        </row>
        <row r="505">
          <cell r="A505">
            <v>3225</v>
          </cell>
          <cell r="B505">
            <v>1</v>
          </cell>
          <cell r="C505" t="str">
            <v>IV25623</v>
          </cell>
          <cell r="D505" t="str">
            <v>ACHAT DE 2 INTERRUPTEURS MT POUR LE POSTE ELECTRIQUE DE PB'2 DE BENI-IDIR</v>
          </cell>
          <cell r="E505" t="str">
            <v>Approuvé</v>
          </cell>
          <cell r="F505" t="str">
            <v>K04108</v>
          </cell>
          <cell r="G505">
            <v>2</v>
          </cell>
          <cell r="H505" t="str">
            <v>Reprise</v>
          </cell>
          <cell r="I505" t="str">
            <v>REPRISE</v>
          </cell>
          <cell r="J505" t="str">
            <v>Budgété</v>
          </cell>
          <cell r="K505">
            <v>300000</v>
          </cell>
          <cell r="L505">
            <v>300000</v>
          </cell>
          <cell r="O505">
            <v>300000</v>
          </cell>
          <cell r="S505">
            <v>13626</v>
          </cell>
          <cell r="T505" t="str">
            <v>NABZAR AHMED</v>
          </cell>
          <cell r="U505" t="str">
            <v>Ordinaire</v>
          </cell>
          <cell r="V505" t="str">
            <v>Reprise</v>
          </cell>
          <cell r="W505" t="str">
            <v>Dotations nouvelles</v>
          </cell>
          <cell r="X505" t="str">
            <v>Aucune</v>
          </cell>
          <cell r="Y505" t="str">
            <v>Prévu</v>
          </cell>
          <cell r="Z505" t="str">
            <v>Reprise</v>
          </cell>
        </row>
        <row r="506">
          <cell r="A506">
            <v>3226</v>
          </cell>
          <cell r="B506">
            <v>1</v>
          </cell>
          <cell r="C506" t="str">
            <v>IV25624</v>
          </cell>
          <cell r="D506" t="str">
            <v>ACHAT D'OUTILLAGE COLLECTIF POUR LES ATELIERS DE MAINTENANCE DE PMK/TB</v>
          </cell>
          <cell r="E506" t="str">
            <v>Approuvé</v>
          </cell>
          <cell r="F506" t="str">
            <v>K04601</v>
          </cell>
          <cell r="G506">
            <v>2</v>
          </cell>
          <cell r="H506" t="str">
            <v>Reprise</v>
          </cell>
          <cell r="I506" t="str">
            <v>REPRISE</v>
          </cell>
          <cell r="J506" t="str">
            <v>Budgété</v>
          </cell>
          <cell r="K506">
            <v>480000</v>
          </cell>
          <cell r="L506">
            <v>480000</v>
          </cell>
          <cell r="O506">
            <v>480000</v>
          </cell>
          <cell r="S506">
            <v>13627</v>
          </cell>
          <cell r="T506" t="str">
            <v>NABZAR AHMED</v>
          </cell>
          <cell r="U506" t="str">
            <v>Ordinaire</v>
          </cell>
          <cell r="V506" t="str">
            <v>Reprise</v>
          </cell>
          <cell r="W506" t="str">
            <v>Dotations nouvelles</v>
          </cell>
          <cell r="X506" t="str">
            <v>Aucune</v>
          </cell>
          <cell r="Y506" t="str">
            <v>Prévu</v>
          </cell>
          <cell r="Z506" t="str">
            <v>Reprise</v>
          </cell>
        </row>
        <row r="507">
          <cell r="A507">
            <v>3227</v>
          </cell>
          <cell r="B507">
            <v>1</v>
          </cell>
          <cell r="C507" t="str">
            <v>IV25626</v>
          </cell>
          <cell r="D507" t="str">
            <v>ACHAT D'UN SECHEUR D'AIR POUR LE CIRCUIT D'AIR COMPRIME DE L'UNITE DE BENI-IDIR</v>
          </cell>
          <cell r="E507" t="str">
            <v>Approuvé</v>
          </cell>
          <cell r="F507" t="str">
            <v>K04116</v>
          </cell>
          <cell r="G507">
            <v>2</v>
          </cell>
          <cell r="H507" t="str">
            <v>Reprise</v>
          </cell>
          <cell r="I507" t="str">
            <v>REPRISE</v>
          </cell>
          <cell r="J507" t="str">
            <v>Budgété</v>
          </cell>
          <cell r="K507">
            <v>200000</v>
          </cell>
          <cell r="L507">
            <v>200000</v>
          </cell>
          <cell r="O507">
            <v>200000</v>
          </cell>
          <cell r="S507">
            <v>13628</v>
          </cell>
          <cell r="T507" t="str">
            <v>NABZAR AHMED</v>
          </cell>
          <cell r="U507" t="str">
            <v>Ordinaire</v>
          </cell>
          <cell r="V507" t="str">
            <v>Reprise</v>
          </cell>
          <cell r="W507" t="str">
            <v>Dotations nouvelles</v>
          </cell>
          <cell r="X507" t="str">
            <v>Aucune</v>
          </cell>
          <cell r="Y507" t="str">
            <v>Prévu</v>
          </cell>
          <cell r="Z507" t="str">
            <v>Reprise</v>
          </cell>
        </row>
        <row r="508">
          <cell r="A508">
            <v>3228</v>
          </cell>
          <cell r="B508">
            <v>1</v>
          </cell>
          <cell r="C508" t="str">
            <v>IV25627</v>
          </cell>
          <cell r="D508" t="str">
            <v>ACHAT DE 05 COMPRESSEURS MOBILES ELECTRIQUES POUR L'UNITE DE BENI-IDIR</v>
          </cell>
          <cell r="E508" t="str">
            <v>Approuvé</v>
          </cell>
          <cell r="F508" t="str">
            <v>K04601</v>
          </cell>
          <cell r="G508">
            <v>2</v>
          </cell>
          <cell r="H508" t="str">
            <v>Reprise</v>
          </cell>
          <cell r="I508" t="str">
            <v>REPRISE</v>
          </cell>
          <cell r="J508" t="str">
            <v>Budgété</v>
          </cell>
          <cell r="K508">
            <v>350000</v>
          </cell>
          <cell r="L508">
            <v>350000</v>
          </cell>
          <cell r="O508">
            <v>350000</v>
          </cell>
          <cell r="S508">
            <v>13629</v>
          </cell>
          <cell r="T508" t="str">
            <v>NABZAR AHMED</v>
          </cell>
          <cell r="U508" t="str">
            <v>Ordinaire</v>
          </cell>
          <cell r="V508" t="str">
            <v>Reprise</v>
          </cell>
          <cell r="W508" t="str">
            <v>Dotations nouvelles</v>
          </cell>
          <cell r="X508" t="str">
            <v>Aucune</v>
          </cell>
          <cell r="Y508" t="str">
            <v>Prévu</v>
          </cell>
          <cell r="Z508" t="str">
            <v>Reprise</v>
          </cell>
        </row>
        <row r="509">
          <cell r="A509">
            <v>3229</v>
          </cell>
          <cell r="B509">
            <v>1</v>
          </cell>
          <cell r="C509" t="str">
            <v>IV25628</v>
          </cell>
          <cell r="D509" t="str">
            <v>ACHAT DE 20 MOTEURS ELECTRIQUES BT POUR LES FOURS SECHEURS DE BENI-IDIR</v>
          </cell>
          <cell r="E509" t="str">
            <v>Approuvé</v>
          </cell>
          <cell r="F509" t="str">
            <v>K04116</v>
          </cell>
          <cell r="G509">
            <v>2</v>
          </cell>
          <cell r="H509" t="str">
            <v>Reprise</v>
          </cell>
          <cell r="I509" t="str">
            <v>REPRISE</v>
          </cell>
          <cell r="J509" t="str">
            <v>Budgété</v>
          </cell>
          <cell r="K509">
            <v>3000000</v>
          </cell>
          <cell r="L509">
            <v>3000000</v>
          </cell>
          <cell r="O509">
            <v>3000000</v>
          </cell>
          <cell r="S509">
            <v>13630</v>
          </cell>
          <cell r="T509" t="str">
            <v>NABZAR AHMED</v>
          </cell>
          <cell r="U509" t="str">
            <v>Ordinaire</v>
          </cell>
          <cell r="V509" t="str">
            <v>Reprise</v>
          </cell>
          <cell r="W509" t="str">
            <v>Dotations nouvelles</v>
          </cell>
          <cell r="X509" t="str">
            <v>Aucune</v>
          </cell>
          <cell r="Y509" t="str">
            <v>Prévu</v>
          </cell>
          <cell r="Z509" t="str">
            <v>Reprise</v>
          </cell>
        </row>
        <row r="510">
          <cell r="A510">
            <v>3230</v>
          </cell>
          <cell r="B510">
            <v>1</v>
          </cell>
          <cell r="C510" t="str">
            <v>IV25629</v>
          </cell>
          <cell r="D510" t="str">
            <v>ACHAT DE 03 VARIATEURS DE VITESSE POUR LES POMPES FUEL DES FOURS SECHEURS DE L'UNITE DE BENI-IDIR</v>
          </cell>
          <cell r="E510" t="str">
            <v>Approuvé</v>
          </cell>
          <cell r="F510" t="str">
            <v>K04116</v>
          </cell>
          <cell r="G510">
            <v>2</v>
          </cell>
          <cell r="H510" t="str">
            <v>Reprise</v>
          </cell>
          <cell r="I510" t="str">
            <v>REPRISE</v>
          </cell>
          <cell r="J510" t="str">
            <v>Budgété</v>
          </cell>
          <cell r="K510">
            <v>480000</v>
          </cell>
          <cell r="L510">
            <v>480000</v>
          </cell>
          <cell r="O510">
            <v>480000</v>
          </cell>
          <cell r="S510">
            <v>13631</v>
          </cell>
          <cell r="T510" t="str">
            <v>NABZAR AHMED</v>
          </cell>
          <cell r="U510" t="str">
            <v>Ordinaire</v>
          </cell>
          <cell r="V510" t="str">
            <v>Reprise</v>
          </cell>
          <cell r="W510" t="str">
            <v>Dotations nouvelles</v>
          </cell>
          <cell r="X510" t="str">
            <v>Aucune</v>
          </cell>
          <cell r="Y510" t="str">
            <v>Prévu</v>
          </cell>
          <cell r="Z510" t="str">
            <v>Reprise</v>
          </cell>
        </row>
        <row r="511">
          <cell r="A511">
            <v>3231</v>
          </cell>
          <cell r="B511">
            <v>1</v>
          </cell>
          <cell r="C511" t="str">
            <v>IV25632</v>
          </cell>
          <cell r="D511" t="str">
            <v>RN DES APPAREILS TELEPHONIQUES DES SERVICES DE PMK/T</v>
          </cell>
          <cell r="E511" t="str">
            <v>Approuvé</v>
          </cell>
          <cell r="F511" t="str">
            <v>K04001</v>
          </cell>
          <cell r="G511">
            <v>2</v>
          </cell>
          <cell r="H511" t="str">
            <v>Reprise</v>
          </cell>
          <cell r="I511" t="str">
            <v>REPRISE</v>
          </cell>
          <cell r="J511" t="str">
            <v>Budgété</v>
          </cell>
          <cell r="K511">
            <v>134000</v>
          </cell>
          <cell r="L511">
            <v>134000</v>
          </cell>
          <cell r="O511">
            <v>134000</v>
          </cell>
          <cell r="S511">
            <v>13632</v>
          </cell>
          <cell r="T511" t="str">
            <v>MANSOURI OMAR</v>
          </cell>
          <cell r="U511" t="str">
            <v>Administratif</v>
          </cell>
          <cell r="V511" t="str">
            <v>Reprise</v>
          </cell>
          <cell r="W511" t="str">
            <v>Renouvellement</v>
          </cell>
          <cell r="X511" t="str">
            <v>Aucune</v>
          </cell>
          <cell r="Y511" t="str">
            <v>Prévu</v>
          </cell>
          <cell r="Z511" t="str">
            <v>Reprise</v>
          </cell>
        </row>
        <row r="512">
          <cell r="A512">
            <v>3232</v>
          </cell>
          <cell r="B512">
            <v>1</v>
          </cell>
          <cell r="C512" t="str">
            <v>IV25633</v>
          </cell>
          <cell r="D512" t="str">
            <v>RN DU MATERIEL DE CLIMATISATION ET DE FROID POUR LES SERVICES PMK/TS ET PMK/TM/MG</v>
          </cell>
          <cell r="E512" t="str">
            <v>Approuvé</v>
          </cell>
          <cell r="F512" t="str">
            <v>K04001</v>
          </cell>
          <cell r="G512">
            <v>2</v>
          </cell>
          <cell r="H512" t="str">
            <v>Reprise</v>
          </cell>
          <cell r="I512" t="str">
            <v>REPRISE</v>
          </cell>
          <cell r="J512" t="str">
            <v>Budgété</v>
          </cell>
          <cell r="K512">
            <v>30000</v>
          </cell>
          <cell r="L512">
            <v>30000</v>
          </cell>
          <cell r="O512">
            <v>30000</v>
          </cell>
          <cell r="S512">
            <v>13633</v>
          </cell>
          <cell r="T512" t="str">
            <v>MANSOURI OMAR</v>
          </cell>
          <cell r="U512" t="str">
            <v>Administratif</v>
          </cell>
          <cell r="V512" t="str">
            <v>Reprise</v>
          </cell>
          <cell r="W512" t="str">
            <v>Renouvellement</v>
          </cell>
          <cell r="X512" t="str">
            <v>Aucune</v>
          </cell>
          <cell r="Y512" t="str">
            <v>Prévu</v>
          </cell>
          <cell r="Z512" t="str">
            <v>Reprise</v>
          </cell>
        </row>
        <row r="513">
          <cell r="A513">
            <v>3233</v>
          </cell>
          <cell r="B513">
            <v>1</v>
          </cell>
          <cell r="C513" t="str">
            <v>IV25634</v>
          </cell>
          <cell r="D513" t="str">
            <v>RN DU MOBILIER ADMINISTRATIF DES SERVICES PMK/TS ET PMK/TM/MG</v>
          </cell>
          <cell r="E513" t="str">
            <v>Approuvé</v>
          </cell>
          <cell r="F513" t="str">
            <v>K04001</v>
          </cell>
          <cell r="G513">
            <v>2</v>
          </cell>
          <cell r="H513" t="str">
            <v>Reprise</v>
          </cell>
          <cell r="I513" t="str">
            <v>REPRISE</v>
          </cell>
          <cell r="J513" t="str">
            <v>Budgété</v>
          </cell>
          <cell r="K513">
            <v>337000</v>
          </cell>
          <cell r="L513">
            <v>337000</v>
          </cell>
          <cell r="O513">
            <v>337000</v>
          </cell>
          <cell r="S513">
            <v>13634</v>
          </cell>
          <cell r="T513" t="str">
            <v>NABZAR AHMED</v>
          </cell>
          <cell r="U513" t="str">
            <v>Administratif</v>
          </cell>
          <cell r="V513" t="str">
            <v>Reprise</v>
          </cell>
          <cell r="W513" t="str">
            <v>Renouvellement</v>
          </cell>
          <cell r="X513" t="str">
            <v>Aucune</v>
          </cell>
          <cell r="Y513" t="str">
            <v>Prévu</v>
          </cell>
          <cell r="Z513" t="str">
            <v>Reprise</v>
          </cell>
        </row>
        <row r="514">
          <cell r="A514">
            <v>3234</v>
          </cell>
          <cell r="B514">
            <v>1</v>
          </cell>
          <cell r="C514" t="str">
            <v>IV25635</v>
          </cell>
          <cell r="D514" t="str">
            <v>ACHAT DES TABLES POUR LES SALLES DE REUNIONS DE PMK/T</v>
          </cell>
          <cell r="E514" t="str">
            <v>Approuvé</v>
          </cell>
          <cell r="F514" t="str">
            <v>K04001</v>
          </cell>
          <cell r="G514">
            <v>2</v>
          </cell>
          <cell r="H514" t="str">
            <v>Reprise</v>
          </cell>
          <cell r="I514" t="str">
            <v>REPRISE</v>
          </cell>
          <cell r="J514" t="str">
            <v>Budgété</v>
          </cell>
          <cell r="K514">
            <v>183000</v>
          </cell>
          <cell r="L514">
            <v>183000</v>
          </cell>
          <cell r="O514">
            <v>183000</v>
          </cell>
          <cell r="S514">
            <v>13635</v>
          </cell>
          <cell r="T514" t="str">
            <v>NABZAR AHMED</v>
          </cell>
          <cell r="U514" t="str">
            <v>Administratif</v>
          </cell>
          <cell r="V514" t="str">
            <v>Reprise</v>
          </cell>
          <cell r="W514" t="str">
            <v>Dotations nouvelles</v>
          </cell>
          <cell r="X514" t="str">
            <v>Aucune</v>
          </cell>
          <cell r="Y514" t="str">
            <v>Prévu</v>
          </cell>
          <cell r="Z514" t="str">
            <v>Reprise</v>
          </cell>
        </row>
        <row r="515">
          <cell r="A515">
            <v>3235</v>
          </cell>
          <cell r="B515">
            <v>1</v>
          </cell>
          <cell r="C515" t="str">
            <v>IV25637</v>
          </cell>
          <cell r="D515" t="str">
            <v>ACHAT D'OUTILLAGE ET APPAREILS POUR L'ATELIER CENTRAL PMK/TM/C-AC</v>
          </cell>
          <cell r="E515" t="str">
            <v>Approuvé</v>
          </cell>
          <cell r="F515" t="str">
            <v>K04530</v>
          </cell>
          <cell r="G515">
            <v>2</v>
          </cell>
          <cell r="H515" t="str">
            <v>Reprise</v>
          </cell>
          <cell r="I515" t="str">
            <v>REPRISE</v>
          </cell>
          <cell r="J515" t="str">
            <v>Budgété</v>
          </cell>
          <cell r="K515">
            <v>425000</v>
          </cell>
          <cell r="L515">
            <v>425000</v>
          </cell>
          <cell r="O515">
            <v>425000</v>
          </cell>
          <cell r="S515">
            <v>13636</v>
          </cell>
          <cell r="T515" t="str">
            <v>NABZAR AHMED</v>
          </cell>
          <cell r="U515" t="str">
            <v>Ordinaire</v>
          </cell>
          <cell r="V515" t="str">
            <v>Reprise</v>
          </cell>
          <cell r="W515" t="str">
            <v>Dotations nouvelles</v>
          </cell>
          <cell r="X515" t="str">
            <v>Aucune</v>
          </cell>
          <cell r="Y515" t="str">
            <v>Prévu</v>
          </cell>
          <cell r="Z515" t="str">
            <v>Reprise</v>
          </cell>
        </row>
        <row r="516">
          <cell r="A516">
            <v>3236</v>
          </cell>
          <cell r="B516">
            <v>1</v>
          </cell>
          <cell r="C516" t="str">
            <v>IV25638</v>
          </cell>
          <cell r="D516" t="str">
            <v>RN DE 05 COMPRESSEURS D'AIR POUR LES LOCOTRACTEURS DE PMK/T</v>
          </cell>
          <cell r="E516" t="str">
            <v>Approuvé</v>
          </cell>
          <cell r="F516" t="str">
            <v>K04516</v>
          </cell>
          <cell r="G516">
            <v>2</v>
          </cell>
          <cell r="H516" t="str">
            <v>Reprise</v>
          </cell>
          <cell r="I516" t="str">
            <v>REPRISE</v>
          </cell>
          <cell r="J516" t="str">
            <v>Budgété</v>
          </cell>
          <cell r="K516">
            <v>175000</v>
          </cell>
          <cell r="L516">
            <v>175000</v>
          </cell>
          <cell r="O516">
            <v>175000</v>
          </cell>
          <cell r="S516">
            <v>13637</v>
          </cell>
          <cell r="T516" t="str">
            <v>LAHMIDI MOUHCINE</v>
          </cell>
          <cell r="U516" t="str">
            <v>Ordinaire</v>
          </cell>
          <cell r="V516" t="str">
            <v>Reprise</v>
          </cell>
          <cell r="W516" t="str">
            <v>Renouvellement</v>
          </cell>
          <cell r="X516" t="str">
            <v>Aucune</v>
          </cell>
          <cell r="Y516" t="str">
            <v>Prévu</v>
          </cell>
          <cell r="Z516" t="str">
            <v>Reprise</v>
          </cell>
        </row>
        <row r="517">
          <cell r="A517">
            <v>3237</v>
          </cell>
          <cell r="B517">
            <v>1</v>
          </cell>
          <cell r="C517" t="str">
            <v>IV25639</v>
          </cell>
          <cell r="D517" t="str">
            <v>RN DE 09 GROUPES MOTOPOMPES A EAU DES CHAUDIERES 1 ET 2 DE BENI-IDIR</v>
          </cell>
          <cell r="E517" t="str">
            <v>Approuvé</v>
          </cell>
          <cell r="F517" t="str">
            <v>K04114</v>
          </cell>
          <cell r="G517">
            <v>2</v>
          </cell>
          <cell r="H517" t="str">
            <v>Reprise</v>
          </cell>
          <cell r="I517" t="str">
            <v>REPRISE</v>
          </cell>
          <cell r="J517" t="str">
            <v>Budgété</v>
          </cell>
          <cell r="K517">
            <v>480000</v>
          </cell>
          <cell r="L517">
            <v>480000</v>
          </cell>
          <cell r="O517">
            <v>480000</v>
          </cell>
          <cell r="S517">
            <v>13638</v>
          </cell>
          <cell r="T517" t="str">
            <v>NABZAR AHMED</v>
          </cell>
          <cell r="U517" t="str">
            <v>Ordinaire</v>
          </cell>
          <cell r="V517" t="str">
            <v>Reprise</v>
          </cell>
          <cell r="W517" t="str">
            <v>Renouvellement</v>
          </cell>
          <cell r="X517" t="str">
            <v>Aucune</v>
          </cell>
          <cell r="Y517" t="str">
            <v>Prévu</v>
          </cell>
          <cell r="Z517" t="str">
            <v>Reprise</v>
          </cell>
        </row>
        <row r="518">
          <cell r="A518">
            <v>3238</v>
          </cell>
          <cell r="B518">
            <v>1</v>
          </cell>
          <cell r="C518" t="str">
            <v>IV25640</v>
          </cell>
          <cell r="D518" t="str">
            <v>RN DE 07 REDUCTEURS DE VITESSE DES INSTALLATIONS DE PMK/TB</v>
          </cell>
          <cell r="E518" t="str">
            <v>Approuvé</v>
          </cell>
          <cell r="F518" t="str">
            <v>K04102</v>
          </cell>
          <cell r="G518">
            <v>2</v>
          </cell>
          <cell r="H518" t="str">
            <v>Reprise</v>
          </cell>
          <cell r="I518" t="str">
            <v>REPRISE</v>
          </cell>
          <cell r="J518" t="str">
            <v>Budgété</v>
          </cell>
          <cell r="K518">
            <v>5400000</v>
          </cell>
          <cell r="L518">
            <v>5400000</v>
          </cell>
          <cell r="O518">
            <v>5400000</v>
          </cell>
          <cell r="S518">
            <v>13639</v>
          </cell>
          <cell r="T518" t="str">
            <v>NABZAR AHMED</v>
          </cell>
          <cell r="U518" t="str">
            <v>Ordinaire</v>
          </cell>
          <cell r="V518" t="str">
            <v>Reprise</v>
          </cell>
          <cell r="W518" t="str">
            <v>Renouvellement</v>
          </cell>
          <cell r="X518" t="str">
            <v>Aucune</v>
          </cell>
          <cell r="Y518" t="str">
            <v>Prévu</v>
          </cell>
          <cell r="Z518" t="str">
            <v>Reprise</v>
          </cell>
        </row>
        <row r="519">
          <cell r="A519">
            <v>3239</v>
          </cell>
          <cell r="B519">
            <v>1</v>
          </cell>
          <cell r="C519" t="str">
            <v>IV25641</v>
          </cell>
          <cell r="D519" t="str">
            <v>FOURNITURE ET INSTALLATION DES EQUIPEMENTS DE DEPOUSSIERAGE DES CIRCUITS DE MANUTENTION DU PRODUIT SECHE ET DES FINES A L'USINE DE BENI-IDIR</v>
          </cell>
          <cell r="E519" t="str">
            <v>Approuvé</v>
          </cell>
          <cell r="F519" t="str">
            <v>K04118</v>
          </cell>
          <cell r="G519">
            <v>2</v>
          </cell>
          <cell r="H519" t="str">
            <v>Reprise</v>
          </cell>
          <cell r="I519" t="str">
            <v>REPRISE</v>
          </cell>
          <cell r="J519" t="str">
            <v>Budgété</v>
          </cell>
          <cell r="K519">
            <v>20000000</v>
          </cell>
          <cell r="L519">
            <v>20000000</v>
          </cell>
          <cell r="O519">
            <v>20000000</v>
          </cell>
          <cell r="S519">
            <v>13640</v>
          </cell>
          <cell r="T519" t="str">
            <v>NABZAR AHMED</v>
          </cell>
          <cell r="U519" t="str">
            <v>Ordinaire</v>
          </cell>
          <cell r="V519" t="str">
            <v>Reprise</v>
          </cell>
          <cell r="W519" t="str">
            <v>Dotations nouvelles</v>
          </cell>
          <cell r="X519" t="str">
            <v>Aucune</v>
          </cell>
          <cell r="Y519" t="str">
            <v>Prévu</v>
          </cell>
          <cell r="Z519" t="str">
            <v>Reprise</v>
          </cell>
        </row>
        <row r="520">
          <cell r="A520">
            <v>3240</v>
          </cell>
          <cell r="B520">
            <v>1</v>
          </cell>
          <cell r="C520" t="str">
            <v>IV25642</v>
          </cell>
          <cell r="D520" t="str">
            <v>EQUIPEMENT DES FOURS SECHEURS DU COMPLEXE OUED ZEM (COZ) PAR DES SYSTEMES DE COMBUSTION DE COKE DE PETROLE SANS SUPPORT FUEL</v>
          </cell>
          <cell r="E520" t="str">
            <v>Approuvé</v>
          </cell>
          <cell r="F520" t="str">
            <v>K04315</v>
          </cell>
          <cell r="G520">
            <v>2</v>
          </cell>
          <cell r="H520" t="str">
            <v>Reprise</v>
          </cell>
          <cell r="I520" t="str">
            <v>REPRISE</v>
          </cell>
          <cell r="J520" t="str">
            <v>Budgété</v>
          </cell>
          <cell r="K520">
            <v>28000000</v>
          </cell>
          <cell r="L520">
            <v>28000000</v>
          </cell>
          <cell r="O520">
            <v>28000000</v>
          </cell>
          <cell r="S520">
            <v>13641</v>
          </cell>
          <cell r="T520" t="str">
            <v>ALOUANI ABDELKADER</v>
          </cell>
          <cell r="U520" t="str">
            <v>Ordinaire</v>
          </cell>
          <cell r="V520" t="str">
            <v>Reprise</v>
          </cell>
          <cell r="W520" t="str">
            <v>Dotations nouvelles</v>
          </cell>
          <cell r="X520" t="str">
            <v>Aucune</v>
          </cell>
          <cell r="Y520" t="str">
            <v>Prévu</v>
          </cell>
          <cell r="Z520" t="str">
            <v>Reprise</v>
          </cell>
        </row>
        <row r="521">
          <cell r="A521">
            <v>3241</v>
          </cell>
          <cell r="B521">
            <v>1</v>
          </cell>
          <cell r="C521" t="str">
            <v>IV25643</v>
          </cell>
          <cell r="D521" t="str">
            <v>EQUIPEMENT DES FOURS SECHEURS DE L'USINE DE BENI-IDIR PAR DES SYSTEMES DE COMBUSTION DE COKE DE PETROLE SANS SUPPORT FUEL</v>
          </cell>
          <cell r="E521" t="str">
            <v>Approuvé</v>
          </cell>
          <cell r="F521" t="str">
            <v>K04116</v>
          </cell>
          <cell r="G521">
            <v>2</v>
          </cell>
          <cell r="H521" t="str">
            <v>Reprise</v>
          </cell>
          <cell r="I521" t="str">
            <v>REPRISE</v>
          </cell>
          <cell r="J521" t="str">
            <v>Budgété</v>
          </cell>
          <cell r="K521">
            <v>56000000</v>
          </cell>
          <cell r="L521">
            <v>56000000</v>
          </cell>
          <cell r="O521">
            <v>56000000</v>
          </cell>
          <cell r="S521">
            <v>13642</v>
          </cell>
          <cell r="T521" t="str">
            <v>ALOUANI ABDELKADER</v>
          </cell>
          <cell r="U521" t="str">
            <v>Ordinaire</v>
          </cell>
          <cell r="V521" t="str">
            <v>Reprise</v>
          </cell>
          <cell r="W521" t="str">
            <v>Dotations nouvelles</v>
          </cell>
          <cell r="X521" t="str">
            <v>Aucune</v>
          </cell>
          <cell r="Y521" t="str">
            <v>Prévu</v>
          </cell>
          <cell r="Z521" t="str">
            <v>Reprise</v>
          </cell>
        </row>
        <row r="522">
          <cell r="A522">
            <v>3242</v>
          </cell>
          <cell r="B522">
            <v>1</v>
          </cell>
          <cell r="C522" t="str">
            <v>IV25644</v>
          </cell>
          <cell r="D522" t="str">
            <v>REALISATION D'UNE LIAISON DE CONVOYEURS A BANDE ENTRE MEA PW</v>
          </cell>
          <cell r="E522" t="str">
            <v>Approuvé</v>
          </cell>
          <cell r="F522" t="str">
            <v>K04131</v>
          </cell>
          <cell r="G522">
            <v>4</v>
          </cell>
          <cell r="H522" t="str">
            <v>report 2007</v>
          </cell>
          <cell r="I522" t="str">
            <v>REPORT</v>
          </cell>
          <cell r="J522" t="str">
            <v>Budgété</v>
          </cell>
          <cell r="K522">
            <v>155000000</v>
          </cell>
          <cell r="L522">
            <v>155000000</v>
          </cell>
          <cell r="M522">
            <v>5000000</v>
          </cell>
          <cell r="N522">
            <v>5000000</v>
          </cell>
          <cell r="O522">
            <v>0</v>
          </cell>
          <cell r="Q522">
            <v>135000000</v>
          </cell>
          <cell r="R522">
            <v>15000000</v>
          </cell>
          <cell r="S522">
            <v>24343</v>
          </cell>
          <cell r="T522" t="str">
            <v>NABZAR AHMED</v>
          </cell>
          <cell r="U522" t="str">
            <v>Important</v>
          </cell>
          <cell r="V522" t="str">
            <v>Reprise</v>
          </cell>
          <cell r="W522" t="str">
            <v>Dotations nouvelles</v>
          </cell>
          <cell r="X522" t="str">
            <v>Aucune</v>
          </cell>
          <cell r="Y522" t="str">
            <v>Prévu</v>
          </cell>
          <cell r="Z522" t="str">
            <v>Reprise</v>
          </cell>
        </row>
        <row r="523">
          <cell r="A523">
            <v>3243</v>
          </cell>
          <cell r="B523">
            <v>1</v>
          </cell>
          <cell r="C523" t="str">
            <v>IV25645</v>
          </cell>
          <cell r="D523" t="str">
            <v>REALISATION D'UNE  UNITE DE CLASSIFICATION PNEUMATIQUE DES REJETS DE L'USINE D'ENRICHISSEMENT A SEC POUR LA RECUPERATION DE LA TRANCHE GRENUE RICHE EN P2O5</v>
          </cell>
          <cell r="E523" t="str">
            <v>Approuvé</v>
          </cell>
          <cell r="F523" t="str">
            <v>K04125</v>
          </cell>
          <cell r="G523">
            <v>2</v>
          </cell>
          <cell r="H523" t="str">
            <v>Reprise</v>
          </cell>
          <cell r="I523" t="str">
            <v>REPRISE</v>
          </cell>
          <cell r="J523" t="str">
            <v>Budgété</v>
          </cell>
          <cell r="K523">
            <v>15000000</v>
          </cell>
          <cell r="L523">
            <v>15000000</v>
          </cell>
          <cell r="O523">
            <v>15000000</v>
          </cell>
          <cell r="S523">
            <v>13644</v>
          </cell>
          <cell r="T523" t="str">
            <v>NABZAR AHMED</v>
          </cell>
          <cell r="U523" t="str">
            <v>Important</v>
          </cell>
          <cell r="V523" t="str">
            <v>Reprise</v>
          </cell>
          <cell r="W523" t="str">
            <v>Dotations nouvelles</v>
          </cell>
          <cell r="X523" t="str">
            <v>Aucune</v>
          </cell>
          <cell r="Y523" t="str">
            <v>Prévu</v>
          </cell>
          <cell r="Z523" t="str">
            <v>Reprise</v>
          </cell>
        </row>
        <row r="524">
          <cell r="A524">
            <v>3244</v>
          </cell>
          <cell r="B524">
            <v>1</v>
          </cell>
          <cell r="C524" t="str">
            <v>IV25646</v>
          </cell>
          <cell r="D524" t="str">
            <v>ACHAT DE 69 EXTINCTEURS POUR L'EQUIPEMENT DES INSTALLATIONS ET LOCAUX EN MOYENS DE DCI, DANS LE CADRE DU REVAMPING DE LA LAVERIE DAOUI</v>
          </cell>
          <cell r="E524" t="str">
            <v>Approuvé</v>
          </cell>
          <cell r="F524" t="str">
            <v>K04241</v>
          </cell>
          <cell r="G524">
            <v>2</v>
          </cell>
          <cell r="H524" t="str">
            <v>Reprise</v>
          </cell>
          <cell r="I524" t="str">
            <v>REPRISE</v>
          </cell>
          <cell r="J524" t="str">
            <v>Budgété</v>
          </cell>
          <cell r="K524">
            <v>172300</v>
          </cell>
          <cell r="L524">
            <v>172300</v>
          </cell>
          <cell r="O524">
            <v>172300</v>
          </cell>
          <cell r="S524">
            <v>13645</v>
          </cell>
          <cell r="T524" t="str">
            <v>ASSOUD ABDERRAHIM</v>
          </cell>
          <cell r="U524" t="str">
            <v>Ordinaire</v>
          </cell>
          <cell r="V524" t="str">
            <v>Reprise</v>
          </cell>
          <cell r="W524" t="str">
            <v>Dotations nouvelles</v>
          </cell>
          <cell r="X524" t="str">
            <v>Aucune</v>
          </cell>
          <cell r="Y524" t="str">
            <v>Prévu</v>
          </cell>
          <cell r="Z524" t="str">
            <v>Reprise</v>
          </cell>
        </row>
        <row r="525">
          <cell r="A525">
            <v>3245</v>
          </cell>
          <cell r="B525">
            <v>1</v>
          </cell>
          <cell r="C525" t="str">
            <v>IV25647</v>
          </cell>
          <cell r="D525" t="str">
            <v>RN D'UNE TRONCONNEUSE A CHAINE POUR LA DCI DE PMK/T</v>
          </cell>
          <cell r="E525" t="str">
            <v>Approuvé</v>
          </cell>
          <cell r="F525" t="str">
            <v>K04012</v>
          </cell>
          <cell r="G525">
            <v>2</v>
          </cell>
          <cell r="H525" t="str">
            <v>Reprise</v>
          </cell>
          <cell r="I525" t="str">
            <v>REPRISE</v>
          </cell>
          <cell r="J525" t="str">
            <v>Budgété</v>
          </cell>
          <cell r="K525">
            <v>15000</v>
          </cell>
          <cell r="L525">
            <v>15000</v>
          </cell>
          <cell r="O525">
            <v>15000</v>
          </cell>
          <cell r="S525">
            <v>13646</v>
          </cell>
          <cell r="T525" t="str">
            <v>ASSOUD ABDERRAHIM</v>
          </cell>
          <cell r="U525" t="str">
            <v>Ordinaire</v>
          </cell>
          <cell r="V525" t="str">
            <v>Reprise</v>
          </cell>
          <cell r="W525" t="str">
            <v>Renouvellement</v>
          </cell>
          <cell r="X525" t="str">
            <v>Aucune</v>
          </cell>
          <cell r="Y525" t="str">
            <v>Prévu</v>
          </cell>
          <cell r="Z525" t="str">
            <v>Reprise</v>
          </cell>
        </row>
        <row r="526">
          <cell r="A526">
            <v>3246</v>
          </cell>
          <cell r="B526">
            <v>1</v>
          </cell>
          <cell r="C526" t="str">
            <v>IV25648</v>
          </cell>
          <cell r="D526" t="str">
            <v>RN D'UNE ELECTROPOMPE SUBMERSIBLE POUR LA DCI DE PMK/T</v>
          </cell>
          <cell r="E526" t="str">
            <v>Approuvé</v>
          </cell>
          <cell r="F526" t="str">
            <v>K04012</v>
          </cell>
          <cell r="G526">
            <v>3</v>
          </cell>
          <cell r="H526" t="str">
            <v>V2</v>
          </cell>
          <cell r="I526" t="str">
            <v>COMPLEMENT</v>
          </cell>
          <cell r="J526" t="str">
            <v>Budgété</v>
          </cell>
          <cell r="K526">
            <v>51667.72</v>
          </cell>
          <cell r="L526">
            <v>51667.72</v>
          </cell>
          <cell r="O526">
            <v>51667.72</v>
          </cell>
          <cell r="S526">
            <v>22419</v>
          </cell>
          <cell r="T526" t="str">
            <v>ASSOUD ABDERRAHIM</v>
          </cell>
          <cell r="U526" t="str">
            <v>Ordinaire</v>
          </cell>
          <cell r="V526" t="str">
            <v>Reprise</v>
          </cell>
          <cell r="W526" t="str">
            <v>Renouvellement</v>
          </cell>
          <cell r="X526" t="str">
            <v>Aucune</v>
          </cell>
          <cell r="Y526" t="str">
            <v>Prévu</v>
          </cell>
          <cell r="Z526" t="str">
            <v>Reprise</v>
          </cell>
        </row>
        <row r="527">
          <cell r="A527">
            <v>3247</v>
          </cell>
          <cell r="B527">
            <v>1</v>
          </cell>
          <cell r="C527" t="str">
            <v>IV25649</v>
          </cell>
          <cell r="D527" t="str">
            <v>ACHAT DE 03 STERILISATEURS ET 03 PARAVENTS POUR LES POSTES DE SECOURS DES UNITES DE PRODUCTION DE PMK/T</v>
          </cell>
          <cell r="E527" t="str">
            <v>Approuvé</v>
          </cell>
          <cell r="F527" t="str">
            <v>K04012</v>
          </cell>
          <cell r="G527">
            <v>2</v>
          </cell>
          <cell r="H527" t="str">
            <v>Reprise</v>
          </cell>
          <cell r="I527" t="str">
            <v>REPRISE</v>
          </cell>
          <cell r="J527" t="str">
            <v>Budgété</v>
          </cell>
          <cell r="K527">
            <v>102000</v>
          </cell>
          <cell r="L527">
            <v>102000</v>
          </cell>
          <cell r="O527">
            <v>102000</v>
          </cell>
          <cell r="S527">
            <v>13648</v>
          </cell>
          <cell r="T527" t="str">
            <v>ASSOUD ABDERRAHIM</v>
          </cell>
          <cell r="U527" t="str">
            <v>Ordinaire</v>
          </cell>
          <cell r="V527" t="str">
            <v>Reprise</v>
          </cell>
          <cell r="W527" t="str">
            <v>Dotations nouvelles</v>
          </cell>
          <cell r="X527" t="str">
            <v>Aucune</v>
          </cell>
          <cell r="Y527" t="str">
            <v>Prévu</v>
          </cell>
          <cell r="Z527" t="str">
            <v>Reprise</v>
          </cell>
        </row>
        <row r="528">
          <cell r="A528">
            <v>3248</v>
          </cell>
          <cell r="B528">
            <v>1</v>
          </cell>
          <cell r="C528" t="str">
            <v>IV25650</v>
          </cell>
          <cell r="D528" t="str">
            <v>RN DU VEHICULE DE PREMIER SECOURS DE DCI DE PMK/TD</v>
          </cell>
          <cell r="E528" t="str">
            <v>Approuvé</v>
          </cell>
          <cell r="F528" t="str">
            <v>K04012</v>
          </cell>
          <cell r="G528">
            <v>2</v>
          </cell>
          <cell r="H528" t="str">
            <v>Reprise</v>
          </cell>
          <cell r="I528" t="str">
            <v>REPRISE</v>
          </cell>
          <cell r="J528" t="str">
            <v>Budgété</v>
          </cell>
          <cell r="K528">
            <v>1000000</v>
          </cell>
          <cell r="L528">
            <v>1000000</v>
          </cell>
          <cell r="O528">
            <v>1000000</v>
          </cell>
          <cell r="S528">
            <v>13649</v>
          </cell>
          <cell r="T528" t="str">
            <v>NABZAR AHMED</v>
          </cell>
          <cell r="U528" t="str">
            <v>Ordinaire</v>
          </cell>
          <cell r="V528" t="str">
            <v>Reprise</v>
          </cell>
          <cell r="W528" t="str">
            <v>Renouvellement</v>
          </cell>
          <cell r="X528" t="str">
            <v>Aucune</v>
          </cell>
          <cell r="Y528" t="str">
            <v>Prévu</v>
          </cell>
          <cell r="Z528" t="str">
            <v>Reprise</v>
          </cell>
        </row>
        <row r="529">
          <cell r="A529">
            <v>3249</v>
          </cell>
          <cell r="B529">
            <v>1</v>
          </cell>
          <cell r="C529" t="str">
            <v>IV25651</v>
          </cell>
          <cell r="D529" t="str">
            <v>RN DE 06 APPAREILS RESPIRATOIRES ISOLANTS POUR LES EQUIPES DE DCI DE PMK/T</v>
          </cell>
          <cell r="E529" t="str">
            <v>Approuvé</v>
          </cell>
          <cell r="F529" t="str">
            <v>K04012</v>
          </cell>
          <cell r="G529">
            <v>2</v>
          </cell>
          <cell r="H529" t="str">
            <v>Reprise</v>
          </cell>
          <cell r="I529" t="str">
            <v>REPRISE</v>
          </cell>
          <cell r="J529" t="str">
            <v>Budgété</v>
          </cell>
          <cell r="K529">
            <v>180000</v>
          </cell>
          <cell r="L529">
            <v>180000</v>
          </cell>
          <cell r="O529">
            <v>180000</v>
          </cell>
          <cell r="S529">
            <v>13650</v>
          </cell>
          <cell r="T529" t="str">
            <v>ASSOUD ABDERRAHIM</v>
          </cell>
          <cell r="U529" t="str">
            <v>Ordinaire</v>
          </cell>
          <cell r="V529" t="str">
            <v>Reprise</v>
          </cell>
          <cell r="W529" t="str">
            <v>Renouvellement</v>
          </cell>
          <cell r="X529" t="str">
            <v>Aucune</v>
          </cell>
          <cell r="Y529" t="str">
            <v>Prévu</v>
          </cell>
          <cell r="Z529" t="str">
            <v>Reprise</v>
          </cell>
        </row>
        <row r="530">
          <cell r="A530">
            <v>3250</v>
          </cell>
          <cell r="B530">
            <v>1</v>
          </cell>
          <cell r="C530" t="str">
            <v>IV25652</v>
          </cell>
          <cell r="D530" t="str">
            <v>RN DE 07 INHALATEURS D'OXYGENE POUR LES POSTES DE SECOURS ET LES AMBULANCES DE PMK/T</v>
          </cell>
          <cell r="E530" t="str">
            <v>Approuvé</v>
          </cell>
          <cell r="F530" t="str">
            <v>K04012</v>
          </cell>
          <cell r="G530">
            <v>2</v>
          </cell>
          <cell r="H530" t="str">
            <v>Reprise</v>
          </cell>
          <cell r="I530" t="str">
            <v>REPRISE</v>
          </cell>
          <cell r="J530" t="str">
            <v>Budgété</v>
          </cell>
          <cell r="K530">
            <v>168000</v>
          </cell>
          <cell r="L530">
            <v>168000</v>
          </cell>
          <cell r="O530">
            <v>168000</v>
          </cell>
          <cell r="S530">
            <v>13651</v>
          </cell>
          <cell r="T530" t="str">
            <v>ASSOUD ABDERRAHIM</v>
          </cell>
          <cell r="U530" t="str">
            <v>Ordinaire</v>
          </cell>
          <cell r="V530" t="str">
            <v>Reprise</v>
          </cell>
          <cell r="W530" t="str">
            <v>Renouvellement</v>
          </cell>
          <cell r="X530" t="str">
            <v>Aucune</v>
          </cell>
          <cell r="Y530" t="str">
            <v>Prévu</v>
          </cell>
          <cell r="Z530" t="str">
            <v>Reprise</v>
          </cell>
        </row>
        <row r="531">
          <cell r="A531">
            <v>3251</v>
          </cell>
          <cell r="B531">
            <v>1</v>
          </cell>
          <cell r="C531" t="str">
            <v>IV25653</v>
          </cell>
          <cell r="D531" t="str">
            <v>ACHAT DE MATERIEL D'HYGIENE ET DE SECURITE POUR LES POSTES DE SECOURS, REFECTOIRES, BUVETTES ET LA NOUVELLE USINE DE FLOTTATION DE PMK/T</v>
          </cell>
          <cell r="E531" t="str">
            <v>Approuvé</v>
          </cell>
          <cell r="F531" t="str">
            <v>K04012</v>
          </cell>
          <cell r="G531">
            <v>2</v>
          </cell>
          <cell r="H531" t="str">
            <v>Reprise</v>
          </cell>
          <cell r="I531" t="str">
            <v>REPRISE</v>
          </cell>
          <cell r="J531" t="str">
            <v>Budgété</v>
          </cell>
          <cell r="K531">
            <v>239000</v>
          </cell>
          <cell r="L531">
            <v>239000</v>
          </cell>
          <cell r="O531">
            <v>239000</v>
          </cell>
          <cell r="S531">
            <v>13652</v>
          </cell>
          <cell r="T531" t="str">
            <v>ASSOUD ABDERRAHIM</v>
          </cell>
          <cell r="U531" t="str">
            <v>Ordinaire</v>
          </cell>
          <cell r="V531" t="str">
            <v>Reprise</v>
          </cell>
          <cell r="W531" t="str">
            <v>Dotations nouvelles</v>
          </cell>
          <cell r="X531" t="str">
            <v>Aucune</v>
          </cell>
          <cell r="Y531" t="str">
            <v>Prévu</v>
          </cell>
          <cell r="Z531" t="str">
            <v>Reprise</v>
          </cell>
        </row>
        <row r="532">
          <cell r="A532">
            <v>3252</v>
          </cell>
          <cell r="B532">
            <v>1</v>
          </cell>
          <cell r="C532" t="str">
            <v>IV25654</v>
          </cell>
          <cell r="D532" t="str">
            <v>RN DE 05 CAMIONS GRUES POUR PMK/T</v>
          </cell>
          <cell r="E532" t="str">
            <v>Approuvé</v>
          </cell>
          <cell r="F532" t="str">
            <v>K04516</v>
          </cell>
          <cell r="G532">
            <v>2</v>
          </cell>
          <cell r="H532" t="str">
            <v>Reprise</v>
          </cell>
          <cell r="I532" t="str">
            <v>REPRISE</v>
          </cell>
          <cell r="J532" t="str">
            <v>Budgété</v>
          </cell>
          <cell r="K532">
            <v>6000000</v>
          </cell>
          <cell r="L532">
            <v>6000000</v>
          </cell>
          <cell r="O532">
            <v>6000000</v>
          </cell>
          <cell r="S532">
            <v>13653</v>
          </cell>
          <cell r="T532" t="str">
            <v>LAHMIDI MOUHCINE</v>
          </cell>
          <cell r="U532" t="str">
            <v>Ordinaire</v>
          </cell>
          <cell r="V532" t="str">
            <v>Reprise</v>
          </cell>
          <cell r="W532" t="str">
            <v>Renouvellement</v>
          </cell>
          <cell r="X532" t="str">
            <v>Aucune</v>
          </cell>
          <cell r="Y532" t="str">
            <v>Prévu</v>
          </cell>
          <cell r="Z532" t="str">
            <v>Reprise</v>
          </cell>
        </row>
        <row r="533">
          <cell r="A533">
            <v>3253</v>
          </cell>
          <cell r="B533">
            <v>1</v>
          </cell>
          <cell r="C533" t="str">
            <v>IV25656</v>
          </cell>
          <cell r="D533" t="str">
            <v>ACQUISITION D'UN LOT D'ANALYSEURS EN CONTINU D'ELEMENTS CHIMIQUES PRESENTS DANS LE PHOSPHATE</v>
          </cell>
          <cell r="E533" t="str">
            <v>Approuvé</v>
          </cell>
          <cell r="F533" t="str">
            <v>K04010</v>
          </cell>
          <cell r="G533">
            <v>2</v>
          </cell>
          <cell r="H533" t="str">
            <v>Reprise</v>
          </cell>
          <cell r="I533" t="str">
            <v>REPRISE</v>
          </cell>
          <cell r="J533" t="str">
            <v>Budgété</v>
          </cell>
          <cell r="K533">
            <v>2000000</v>
          </cell>
          <cell r="L533">
            <v>2000000</v>
          </cell>
          <cell r="O533">
            <v>2000000</v>
          </cell>
          <cell r="S533">
            <v>13654</v>
          </cell>
          <cell r="T533" t="str">
            <v>NABZAR AHMED</v>
          </cell>
          <cell r="U533" t="str">
            <v>Etudes et essais</v>
          </cell>
          <cell r="V533" t="str">
            <v>Reprise</v>
          </cell>
          <cell r="W533" t="str">
            <v>Dotations nouvelles</v>
          </cell>
          <cell r="X533" t="str">
            <v>Aucune</v>
          </cell>
          <cell r="Y533" t="str">
            <v>Prévu</v>
          </cell>
          <cell r="Z533" t="str">
            <v>Reprise</v>
          </cell>
        </row>
        <row r="534">
          <cell r="A534">
            <v>3254</v>
          </cell>
          <cell r="B534">
            <v>1</v>
          </cell>
          <cell r="C534" t="str">
            <v>IV25657</v>
          </cell>
          <cell r="D534" t="str">
            <v>ETUDE, FOURNITURE ET INSTALLATION D'UNE LAVERIE POUR L'ENRICHISSEMENT DES PHOSPHATES BT ET TBT</v>
          </cell>
          <cell r="E534" t="str">
            <v>Approuvé</v>
          </cell>
          <cell r="F534" t="str">
            <v>K04241</v>
          </cell>
          <cell r="G534">
            <v>3</v>
          </cell>
          <cell r="H534" t="str">
            <v>Report 2007</v>
          </cell>
          <cell r="I534" t="str">
            <v>REPORT</v>
          </cell>
          <cell r="J534" t="str">
            <v>Budgété</v>
          </cell>
          <cell r="K534">
            <v>460000000</v>
          </cell>
          <cell r="L534">
            <v>460000000</v>
          </cell>
          <cell r="M534">
            <v>10000000</v>
          </cell>
          <cell r="N534">
            <v>10000000</v>
          </cell>
          <cell r="Q534">
            <v>300000000</v>
          </cell>
          <cell r="R534">
            <v>150000000</v>
          </cell>
          <cell r="S534">
            <v>24337</v>
          </cell>
          <cell r="T534" t="str">
            <v>NABZAR AHMED</v>
          </cell>
          <cell r="U534" t="str">
            <v>Important</v>
          </cell>
          <cell r="V534" t="str">
            <v>Reprise</v>
          </cell>
          <cell r="W534" t="str">
            <v>Dotations nouvelles</v>
          </cell>
          <cell r="X534" t="str">
            <v>Aucune</v>
          </cell>
          <cell r="Y534" t="str">
            <v>Prévu</v>
          </cell>
          <cell r="Z534" t="str">
            <v>Reprise</v>
          </cell>
        </row>
        <row r="535">
          <cell r="A535">
            <v>3255</v>
          </cell>
          <cell r="B535">
            <v>1</v>
          </cell>
          <cell r="C535" t="str">
            <v>IV25658</v>
          </cell>
          <cell r="D535" t="str">
            <v>ETUDE, FOURNITURE ET INSTALLATION D'UNE LIGNE DE SECHAGE AU COZ</v>
          </cell>
          <cell r="E535" t="str">
            <v>Approuvé</v>
          </cell>
          <cell r="F535" t="str">
            <v>K04315</v>
          </cell>
          <cell r="G535">
            <v>3</v>
          </cell>
          <cell r="H535" t="str">
            <v>V2</v>
          </cell>
          <cell r="I535" t="str">
            <v>RECLASSEMENT</v>
          </cell>
          <cell r="J535" t="str">
            <v>Budgété</v>
          </cell>
          <cell r="K535">
            <v>80000000</v>
          </cell>
          <cell r="L535">
            <v>80000000</v>
          </cell>
          <cell r="M535">
            <v>60000000</v>
          </cell>
          <cell r="N535">
            <v>60000000</v>
          </cell>
          <cell r="O535">
            <v>20000000</v>
          </cell>
          <cell r="S535">
            <v>19509</v>
          </cell>
          <cell r="T535" t="str">
            <v>MOUNTASSIR CHAKOUR</v>
          </cell>
          <cell r="U535" t="str">
            <v>Important</v>
          </cell>
          <cell r="V535" t="str">
            <v>Reprise</v>
          </cell>
          <cell r="W535" t="str">
            <v>Dotations nouvelles</v>
          </cell>
          <cell r="X535" t="str">
            <v>Aucune</v>
          </cell>
          <cell r="Y535" t="str">
            <v>Prévu</v>
          </cell>
          <cell r="Z535" t="str">
            <v>Reprise</v>
          </cell>
        </row>
        <row r="536">
          <cell r="A536">
            <v>3256</v>
          </cell>
          <cell r="B536">
            <v>1</v>
          </cell>
          <cell r="C536" t="str">
            <v>IV25659</v>
          </cell>
          <cell r="D536" t="str">
            <v>RN D'UN ANALYSEUR DE GAZ</v>
          </cell>
          <cell r="E536" t="str">
            <v>Approuvé</v>
          </cell>
          <cell r="F536" t="str">
            <v>K04010</v>
          </cell>
          <cell r="G536">
            <v>2</v>
          </cell>
          <cell r="H536" t="str">
            <v>Reprise</v>
          </cell>
          <cell r="I536" t="str">
            <v>REPRISE</v>
          </cell>
          <cell r="J536" t="str">
            <v>Budgété</v>
          </cell>
          <cell r="K536">
            <v>80000</v>
          </cell>
          <cell r="L536">
            <v>80000</v>
          </cell>
          <cell r="O536">
            <v>80000</v>
          </cell>
          <cell r="S536">
            <v>13657</v>
          </cell>
          <cell r="T536" t="str">
            <v>MOUNTASSIR CHAKOUR</v>
          </cell>
          <cell r="U536" t="str">
            <v>Etudes et essais</v>
          </cell>
          <cell r="V536" t="str">
            <v>Reprise</v>
          </cell>
          <cell r="W536" t="str">
            <v>Renouvellement</v>
          </cell>
          <cell r="X536" t="str">
            <v>Aucune</v>
          </cell>
          <cell r="Y536" t="str">
            <v>Prévu</v>
          </cell>
          <cell r="Z536" t="str">
            <v>Reprise</v>
          </cell>
        </row>
        <row r="537">
          <cell r="A537">
            <v>3257</v>
          </cell>
          <cell r="B537">
            <v>1</v>
          </cell>
          <cell r="C537" t="str">
            <v>IV25660</v>
          </cell>
          <cell r="D537" t="str">
            <v>RN DE 02 ANEMOMETRES PORTATIFS</v>
          </cell>
          <cell r="E537" t="str">
            <v>Approuvé</v>
          </cell>
          <cell r="F537" t="str">
            <v>K04010</v>
          </cell>
          <cell r="G537">
            <v>2</v>
          </cell>
          <cell r="H537" t="str">
            <v>Reprise</v>
          </cell>
          <cell r="I537" t="str">
            <v>REPRISE</v>
          </cell>
          <cell r="J537" t="str">
            <v>Budgété</v>
          </cell>
          <cell r="K537">
            <v>40000</v>
          </cell>
          <cell r="L537">
            <v>40000</v>
          </cell>
          <cell r="O537">
            <v>40000</v>
          </cell>
          <cell r="S537">
            <v>13658</v>
          </cell>
          <cell r="T537" t="str">
            <v>MOUNTASSIR CHAKOUR</v>
          </cell>
          <cell r="U537" t="str">
            <v>Etudes et essais</v>
          </cell>
          <cell r="V537" t="str">
            <v>Reprise</v>
          </cell>
          <cell r="W537" t="str">
            <v>Renouvellement</v>
          </cell>
          <cell r="X537" t="str">
            <v>Aucune</v>
          </cell>
          <cell r="Y537" t="str">
            <v>Prévu</v>
          </cell>
          <cell r="Z537" t="str">
            <v>Reprise</v>
          </cell>
        </row>
        <row r="538">
          <cell r="A538">
            <v>3258</v>
          </cell>
          <cell r="B538">
            <v>1</v>
          </cell>
          <cell r="C538" t="str">
            <v>IV25661</v>
          </cell>
          <cell r="D538" t="str">
            <v>ACHAT D'UN SONOMETRE PORTATIF DIGITAL</v>
          </cell>
          <cell r="E538" t="str">
            <v>Approuvé</v>
          </cell>
          <cell r="F538" t="str">
            <v>K04010</v>
          </cell>
          <cell r="G538">
            <v>2</v>
          </cell>
          <cell r="H538" t="str">
            <v>Reprise</v>
          </cell>
          <cell r="I538" t="str">
            <v>REPRISE</v>
          </cell>
          <cell r="J538" t="str">
            <v>Budgété</v>
          </cell>
          <cell r="K538">
            <v>30000</v>
          </cell>
          <cell r="L538">
            <v>30000</v>
          </cell>
          <cell r="O538">
            <v>30000</v>
          </cell>
          <cell r="S538">
            <v>13659</v>
          </cell>
          <cell r="T538" t="str">
            <v>MOUNTASSIR CHAKOUR</v>
          </cell>
          <cell r="U538" t="str">
            <v>Etudes et essais</v>
          </cell>
          <cell r="V538" t="str">
            <v>Reprise</v>
          </cell>
          <cell r="W538" t="str">
            <v>Dotations nouvelles</v>
          </cell>
          <cell r="X538" t="str">
            <v>Aucune</v>
          </cell>
          <cell r="Y538" t="str">
            <v>Prévu</v>
          </cell>
          <cell r="Z538" t="str">
            <v>Reprise</v>
          </cell>
        </row>
        <row r="539">
          <cell r="A539">
            <v>3259</v>
          </cell>
          <cell r="B539">
            <v>1</v>
          </cell>
          <cell r="C539" t="str">
            <v>IV25662</v>
          </cell>
          <cell r="D539" t="str">
            <v>RN DE 02 ENROULEURS DE CABLES DE RP3 DU COMPLEXE OUED ZEM</v>
          </cell>
          <cell r="E539" t="str">
            <v>Approuvé</v>
          </cell>
          <cell r="F539" t="str">
            <v>K04306</v>
          </cell>
          <cell r="G539">
            <v>2</v>
          </cell>
          <cell r="H539" t="str">
            <v>Reprise</v>
          </cell>
          <cell r="I539" t="str">
            <v>REPRISE</v>
          </cell>
          <cell r="J539" t="str">
            <v>Budgété</v>
          </cell>
          <cell r="K539">
            <v>490000</v>
          </cell>
          <cell r="L539">
            <v>490000</v>
          </cell>
          <cell r="O539">
            <v>490000</v>
          </cell>
          <cell r="S539">
            <v>13660</v>
          </cell>
          <cell r="T539" t="str">
            <v>CHNANI ABDELHADI</v>
          </cell>
          <cell r="U539" t="str">
            <v>Ordinaire</v>
          </cell>
          <cell r="V539" t="str">
            <v>Reprise</v>
          </cell>
          <cell r="W539" t="str">
            <v>Renouvellement</v>
          </cell>
          <cell r="X539" t="str">
            <v>Aucune</v>
          </cell>
          <cell r="Y539" t="str">
            <v>Prévu</v>
          </cell>
          <cell r="Z539" t="str">
            <v>Reprise</v>
          </cell>
        </row>
        <row r="540">
          <cell r="A540">
            <v>3260</v>
          </cell>
          <cell r="B540">
            <v>1</v>
          </cell>
          <cell r="C540" t="str">
            <v>IV25664</v>
          </cell>
          <cell r="D540" t="str">
            <v>RN D'UNE POMPE A LA STATION DE REPRISE DES EAUX CLAIRES</v>
          </cell>
          <cell r="E540" t="str">
            <v>Approuvé</v>
          </cell>
          <cell r="F540" t="str">
            <v>K04811</v>
          </cell>
          <cell r="G540">
            <v>2</v>
          </cell>
          <cell r="H540" t="str">
            <v>Reprise</v>
          </cell>
          <cell r="I540" t="str">
            <v>REPRISE</v>
          </cell>
          <cell r="J540" t="str">
            <v>Budgété</v>
          </cell>
          <cell r="K540">
            <v>850000</v>
          </cell>
          <cell r="L540">
            <v>850000</v>
          </cell>
          <cell r="O540">
            <v>850000</v>
          </cell>
          <cell r="S540">
            <v>13661</v>
          </cell>
          <cell r="T540" t="str">
            <v>NABZAR AHMED</v>
          </cell>
          <cell r="U540" t="str">
            <v>Ordinaire</v>
          </cell>
          <cell r="V540" t="str">
            <v>Reprise</v>
          </cell>
          <cell r="W540" t="str">
            <v>Renouvellement</v>
          </cell>
          <cell r="X540" t="str">
            <v>Aucune</v>
          </cell>
          <cell r="Y540" t="str">
            <v>Prévu</v>
          </cell>
          <cell r="Z540" t="str">
            <v>Reprise</v>
          </cell>
        </row>
        <row r="541">
          <cell r="A541">
            <v>3261</v>
          </cell>
          <cell r="B541">
            <v>1</v>
          </cell>
          <cell r="C541" t="str">
            <v>IV25665</v>
          </cell>
          <cell r="D541" t="str">
            <v>FOURNITURE ET INSTALLATIONS DE 02 JOYS POUR LES MISES A TERRIL DE PMK/TD</v>
          </cell>
          <cell r="E541" t="str">
            <v>Approuvé</v>
          </cell>
          <cell r="F541" t="str">
            <v>K04308</v>
          </cell>
          <cell r="G541">
            <v>2</v>
          </cell>
          <cell r="H541" t="str">
            <v>Reprise</v>
          </cell>
          <cell r="I541" t="str">
            <v>REPRISE</v>
          </cell>
          <cell r="J541" t="str">
            <v>Budgété</v>
          </cell>
          <cell r="K541">
            <v>5800000</v>
          </cell>
          <cell r="L541">
            <v>5800000</v>
          </cell>
          <cell r="O541">
            <v>5800000</v>
          </cell>
          <cell r="S541">
            <v>13662</v>
          </cell>
          <cell r="T541" t="str">
            <v>NABZAR AHMED</v>
          </cell>
          <cell r="U541" t="str">
            <v>Ordinaire</v>
          </cell>
          <cell r="V541" t="str">
            <v>Reprise</v>
          </cell>
          <cell r="W541" t="str">
            <v>Dotations nouvelles</v>
          </cell>
          <cell r="X541" t="str">
            <v>Aucune</v>
          </cell>
          <cell r="Y541" t="str">
            <v>Prévu</v>
          </cell>
          <cell r="Z541" t="str">
            <v>Reprise</v>
          </cell>
        </row>
        <row r="542">
          <cell r="A542">
            <v>3262</v>
          </cell>
          <cell r="B542">
            <v>1</v>
          </cell>
          <cell r="C542" t="str">
            <v>IV25666</v>
          </cell>
          <cell r="D542" t="str">
            <v>FOURNITURE ET INSTALLATION D'UN SYSTEME DE GRAISSAGE CENTRALISE DES FOURS SECHEURS DU COZ</v>
          </cell>
          <cell r="E542" t="str">
            <v>Approuvé</v>
          </cell>
          <cell r="F542" t="str">
            <v>K04307</v>
          </cell>
          <cell r="G542">
            <v>2</v>
          </cell>
          <cell r="H542" t="str">
            <v>Reprise</v>
          </cell>
          <cell r="I542" t="str">
            <v>REPRISE</v>
          </cell>
          <cell r="J542" t="str">
            <v>Budgété</v>
          </cell>
          <cell r="K542">
            <v>900000</v>
          </cell>
          <cell r="L542">
            <v>900000</v>
          </cell>
          <cell r="O542">
            <v>900000</v>
          </cell>
          <cell r="S542">
            <v>13663</v>
          </cell>
          <cell r="T542" t="str">
            <v>NABZAR AHMED</v>
          </cell>
          <cell r="U542" t="str">
            <v>Ordinaire</v>
          </cell>
          <cell r="V542" t="str">
            <v>Reprise</v>
          </cell>
          <cell r="W542" t="str">
            <v>Dotations nouvelles</v>
          </cell>
          <cell r="X542" t="str">
            <v>Aucune</v>
          </cell>
          <cell r="Y542" t="str">
            <v>Prévu</v>
          </cell>
          <cell r="Z542" t="str">
            <v>Reprise</v>
          </cell>
        </row>
        <row r="543">
          <cell r="A543">
            <v>3263</v>
          </cell>
          <cell r="B543">
            <v>1</v>
          </cell>
          <cell r="C543" t="str">
            <v>IV25667</v>
          </cell>
          <cell r="D543" t="str">
            <v>ACHAT DE 24 CLIMATISEURS INDUSTRIELS POUR LES POSTES ELECTRIQUES ET LES MACHINES DE PMK/TD ET 02 SYSTEMES DE CLIMATISATION POUR LES SALLES DE CONTROLE DE LA LAVERIE ET CHARGEMENT COZ</v>
          </cell>
          <cell r="E543" t="str">
            <v>Approuvé</v>
          </cell>
          <cell r="F543" t="str">
            <v>K04810</v>
          </cell>
          <cell r="G543">
            <v>2</v>
          </cell>
          <cell r="H543" t="str">
            <v>Reprise</v>
          </cell>
          <cell r="I543" t="str">
            <v>REPRISE</v>
          </cell>
          <cell r="J543" t="str">
            <v>Budgété</v>
          </cell>
          <cell r="K543">
            <v>490000</v>
          </cell>
          <cell r="L543">
            <v>490000</v>
          </cell>
          <cell r="O543">
            <v>490000</v>
          </cell>
          <cell r="S543">
            <v>13664</v>
          </cell>
          <cell r="T543" t="str">
            <v>NABZAR AHMED</v>
          </cell>
          <cell r="U543" t="str">
            <v>Ordinaire</v>
          </cell>
          <cell r="V543" t="str">
            <v>Reprise</v>
          </cell>
          <cell r="W543" t="str">
            <v>Dotations nouvelles</v>
          </cell>
          <cell r="X543" t="str">
            <v>Aucune</v>
          </cell>
          <cell r="Y543" t="str">
            <v>Prévu</v>
          </cell>
          <cell r="Z543" t="str">
            <v>Reprise</v>
          </cell>
        </row>
        <row r="544">
          <cell r="A544">
            <v>3264</v>
          </cell>
          <cell r="B544">
            <v>1</v>
          </cell>
          <cell r="C544" t="str">
            <v>IV25669</v>
          </cell>
          <cell r="D544" t="str">
            <v>RN DE L'OUTILLAGE DES SERVICES DE MAINTENANCE DE PMK/TD</v>
          </cell>
          <cell r="E544" t="str">
            <v>Approuvé</v>
          </cell>
          <cell r="F544" t="str">
            <v>K04802</v>
          </cell>
          <cell r="G544">
            <v>2</v>
          </cell>
          <cell r="H544" t="str">
            <v>Reprise</v>
          </cell>
          <cell r="I544" t="str">
            <v>REPRISE</v>
          </cell>
          <cell r="J544" t="str">
            <v>Budgété</v>
          </cell>
          <cell r="K544">
            <v>752640</v>
          </cell>
          <cell r="L544">
            <v>752640</v>
          </cell>
          <cell r="O544">
            <v>752640</v>
          </cell>
          <cell r="S544">
            <v>13557</v>
          </cell>
          <cell r="T544" t="str">
            <v>NABZAR AHMED</v>
          </cell>
          <cell r="U544" t="str">
            <v>Ordinaire</v>
          </cell>
          <cell r="V544" t="str">
            <v>Reprise</v>
          </cell>
          <cell r="W544" t="str">
            <v>Renouvellement</v>
          </cell>
          <cell r="X544" t="str">
            <v>Aucune</v>
          </cell>
          <cell r="Y544" t="str">
            <v>Prévu</v>
          </cell>
          <cell r="Z544" t="str">
            <v>Reprise</v>
          </cell>
        </row>
        <row r="545">
          <cell r="A545">
            <v>3265</v>
          </cell>
          <cell r="B545">
            <v>1</v>
          </cell>
          <cell r="C545" t="str">
            <v>IV25672</v>
          </cell>
          <cell r="D545" t="str">
            <v>FOURNITURE ET INSTALLATION DES EQUIPEMENTS DE DEPOUSSIERAGE DES FOURS SECHEURS 1 ET 3 DU COZ</v>
          </cell>
          <cell r="E545" t="str">
            <v>Approuvé</v>
          </cell>
          <cell r="F545" t="str">
            <v>K04315</v>
          </cell>
          <cell r="G545">
            <v>2</v>
          </cell>
          <cell r="H545" t="str">
            <v>Reprise</v>
          </cell>
          <cell r="I545" t="str">
            <v>REPRISE</v>
          </cell>
          <cell r="J545" t="str">
            <v>Budgété</v>
          </cell>
          <cell r="K545">
            <v>8000000</v>
          </cell>
          <cell r="L545">
            <v>8000000</v>
          </cell>
          <cell r="O545">
            <v>8000000</v>
          </cell>
          <cell r="S545">
            <v>13558</v>
          </cell>
          <cell r="T545" t="str">
            <v>NABZAR AHMED</v>
          </cell>
          <cell r="U545" t="str">
            <v>Ordinaire</v>
          </cell>
          <cell r="V545" t="str">
            <v>Reprise</v>
          </cell>
          <cell r="W545" t="str">
            <v>Dotations nouvelles</v>
          </cell>
          <cell r="X545" t="str">
            <v>Aucune</v>
          </cell>
          <cell r="Y545" t="str">
            <v>Prévu</v>
          </cell>
          <cell r="Z545" t="str">
            <v>Reprise</v>
          </cell>
        </row>
        <row r="546">
          <cell r="A546">
            <v>3266</v>
          </cell>
          <cell r="B546">
            <v>1</v>
          </cell>
          <cell r="C546" t="str">
            <v>IV25674</v>
          </cell>
          <cell r="D546" t="str">
            <v>RENOVATION ET MISE A NIVEAU DU POSTE ELECTRIQUE MT (P23) 5,5 KV DU COMPLEXE DE SECHAGE DE OUED ZEM</v>
          </cell>
          <cell r="E546" t="str">
            <v>Approuvé</v>
          </cell>
          <cell r="F546" t="str">
            <v>K04810</v>
          </cell>
          <cell r="G546">
            <v>2</v>
          </cell>
          <cell r="H546" t="str">
            <v>Reprise</v>
          </cell>
          <cell r="I546" t="str">
            <v>REPRISE</v>
          </cell>
          <cell r="J546" t="str">
            <v>Budgété</v>
          </cell>
          <cell r="K546">
            <v>4000000</v>
          </cell>
          <cell r="L546">
            <v>4000000</v>
          </cell>
          <cell r="O546">
            <v>4000000</v>
          </cell>
          <cell r="S546">
            <v>13559</v>
          </cell>
          <cell r="T546" t="str">
            <v>NABZAR AHMED</v>
          </cell>
          <cell r="U546" t="str">
            <v>Ordinaire</v>
          </cell>
          <cell r="V546" t="str">
            <v>Reprise</v>
          </cell>
          <cell r="W546" t="str">
            <v>Dotations nouvelles</v>
          </cell>
          <cell r="X546" t="str">
            <v>Aucune</v>
          </cell>
          <cell r="Y546" t="str">
            <v>Prévu</v>
          </cell>
          <cell r="Z546" t="str">
            <v>Reprise</v>
          </cell>
        </row>
        <row r="547">
          <cell r="A547">
            <v>3267</v>
          </cell>
          <cell r="B547">
            <v>1</v>
          </cell>
          <cell r="C547" t="str">
            <v>IV25675</v>
          </cell>
          <cell r="D547" t="str">
            <v>RN DE 22 REDUCTEURS DE VITESSE POUR LES INSTALLATIONS DE PMK/TD</v>
          </cell>
          <cell r="E547" t="str">
            <v>Approuvé</v>
          </cell>
          <cell r="F547" t="str">
            <v>K04302</v>
          </cell>
          <cell r="G547">
            <v>2</v>
          </cell>
          <cell r="H547" t="str">
            <v>Reprise</v>
          </cell>
          <cell r="I547" t="str">
            <v>REPRISE</v>
          </cell>
          <cell r="J547" t="str">
            <v>Budgété</v>
          </cell>
          <cell r="K547">
            <v>12000000</v>
          </cell>
          <cell r="L547">
            <v>12000000</v>
          </cell>
          <cell r="O547">
            <v>12000000</v>
          </cell>
          <cell r="S547">
            <v>13560</v>
          </cell>
          <cell r="T547" t="str">
            <v>NABZAR AHMED</v>
          </cell>
          <cell r="U547" t="str">
            <v>Ordinaire</v>
          </cell>
          <cell r="V547" t="str">
            <v>Reprise</v>
          </cell>
          <cell r="W547" t="str">
            <v>Renouvellement</v>
          </cell>
          <cell r="X547" t="str">
            <v>Aucune</v>
          </cell>
          <cell r="Y547" t="str">
            <v>Prévu</v>
          </cell>
          <cell r="Z547" t="str">
            <v>Reprise</v>
          </cell>
        </row>
        <row r="548">
          <cell r="A548">
            <v>3268</v>
          </cell>
          <cell r="B548">
            <v>1</v>
          </cell>
          <cell r="C548" t="str">
            <v>IV25677</v>
          </cell>
          <cell r="D548" t="str">
            <v>ACHAT D'UN TRANSFORMATEUR DE 50KVA</v>
          </cell>
          <cell r="E548" t="str">
            <v>Approuvé</v>
          </cell>
          <cell r="F548" t="str">
            <v>K04810</v>
          </cell>
          <cell r="G548">
            <v>2</v>
          </cell>
          <cell r="H548" t="str">
            <v>Reprise</v>
          </cell>
          <cell r="I548" t="str">
            <v>REPRISE</v>
          </cell>
          <cell r="J548" t="str">
            <v>Budgété</v>
          </cell>
          <cell r="K548">
            <v>100000</v>
          </cell>
          <cell r="L548">
            <v>100000</v>
          </cell>
          <cell r="O548">
            <v>100000</v>
          </cell>
          <cell r="S548">
            <v>13561</v>
          </cell>
          <cell r="T548" t="str">
            <v>BERRADA ACHRAF</v>
          </cell>
          <cell r="U548" t="str">
            <v>Ordinaire</v>
          </cell>
          <cell r="V548" t="str">
            <v>Reprise</v>
          </cell>
          <cell r="W548" t="str">
            <v>Dotations nouvelles</v>
          </cell>
          <cell r="X548" t="str">
            <v>Aucune</v>
          </cell>
          <cell r="Y548" t="str">
            <v>Prévu</v>
          </cell>
          <cell r="Z548" t="str">
            <v>Reprise</v>
          </cell>
        </row>
        <row r="549">
          <cell r="A549">
            <v>3269</v>
          </cell>
          <cell r="B549">
            <v>1</v>
          </cell>
          <cell r="C549" t="str">
            <v>IV25678</v>
          </cell>
          <cell r="D549" t="str">
            <v>RN DE 5 POSTES DE SOUDAGE POUR LES ATELIERS MECANIQUES DE PMK/TD</v>
          </cell>
          <cell r="E549" t="str">
            <v>Approuvé</v>
          </cell>
          <cell r="F549" t="str">
            <v>K04802</v>
          </cell>
          <cell r="G549">
            <v>2</v>
          </cell>
          <cell r="H549" t="str">
            <v>Reprise</v>
          </cell>
          <cell r="I549" t="str">
            <v>REPRISE</v>
          </cell>
          <cell r="J549" t="str">
            <v>Budgété</v>
          </cell>
          <cell r="K549">
            <v>490000</v>
          </cell>
          <cell r="L549">
            <v>490000</v>
          </cell>
          <cell r="O549">
            <v>490000</v>
          </cell>
          <cell r="S549">
            <v>13562</v>
          </cell>
          <cell r="T549" t="str">
            <v>NABZAR AHMED</v>
          </cell>
          <cell r="U549" t="str">
            <v>Ordinaire</v>
          </cell>
          <cell r="V549" t="str">
            <v>Reprise</v>
          </cell>
          <cell r="W549" t="str">
            <v>Renouvellement</v>
          </cell>
          <cell r="X549" t="str">
            <v>Aucune</v>
          </cell>
          <cell r="Y549" t="str">
            <v>Prévu</v>
          </cell>
          <cell r="Z549" t="str">
            <v>Reprise</v>
          </cell>
        </row>
        <row r="550">
          <cell r="A550">
            <v>3270</v>
          </cell>
          <cell r="B550">
            <v>1</v>
          </cell>
          <cell r="C550" t="str">
            <v>IV25679</v>
          </cell>
          <cell r="D550" t="str">
            <v>ACHAT DE 13 MOTEURS ELECTRIQUES POUR LES UNITES TRAITEMENT DAOUI ET COZ</v>
          </cell>
          <cell r="E550" t="str">
            <v>Approuvé</v>
          </cell>
          <cell r="F550" t="str">
            <v>K04805</v>
          </cell>
          <cell r="G550">
            <v>2</v>
          </cell>
          <cell r="H550" t="str">
            <v>Reprise</v>
          </cell>
          <cell r="I550" t="str">
            <v>REPRISE</v>
          </cell>
          <cell r="J550" t="str">
            <v>Budgété</v>
          </cell>
          <cell r="K550">
            <v>2340000</v>
          </cell>
          <cell r="L550">
            <v>2340000</v>
          </cell>
          <cell r="O550">
            <v>2340000</v>
          </cell>
          <cell r="S550">
            <v>13563</v>
          </cell>
          <cell r="T550" t="str">
            <v>NABZAR AHMED</v>
          </cell>
          <cell r="U550" t="str">
            <v>Ordinaire</v>
          </cell>
          <cell r="V550" t="str">
            <v>Reprise</v>
          </cell>
          <cell r="W550" t="str">
            <v>Dotations nouvelles</v>
          </cell>
          <cell r="X550" t="str">
            <v>Aucune</v>
          </cell>
          <cell r="Y550" t="str">
            <v>Prévu</v>
          </cell>
          <cell r="Z550" t="str">
            <v>Reprise</v>
          </cell>
        </row>
        <row r="551">
          <cell r="A551">
            <v>3271</v>
          </cell>
          <cell r="B551">
            <v>1</v>
          </cell>
          <cell r="C551" t="str">
            <v>IV25681</v>
          </cell>
          <cell r="D551" t="str">
            <v>RN DE 20 TREUILS POUR LES INSTALLATIONS DE LA DIVISION PMK/TD</v>
          </cell>
          <cell r="E551" t="str">
            <v>Approuvé</v>
          </cell>
          <cell r="F551" t="str">
            <v>K04306</v>
          </cell>
          <cell r="G551">
            <v>2</v>
          </cell>
          <cell r="H551" t="str">
            <v>Reprise</v>
          </cell>
          <cell r="I551" t="str">
            <v>REPRISE</v>
          </cell>
          <cell r="J551" t="str">
            <v>Budgété</v>
          </cell>
          <cell r="K551">
            <v>4100000</v>
          </cell>
          <cell r="L551">
            <v>4100000</v>
          </cell>
          <cell r="O551">
            <v>4100000</v>
          </cell>
          <cell r="S551">
            <v>13564</v>
          </cell>
          <cell r="T551" t="str">
            <v>NABZAR AHMED</v>
          </cell>
          <cell r="U551" t="str">
            <v>Ordinaire</v>
          </cell>
          <cell r="V551" t="str">
            <v>Reprise</v>
          </cell>
          <cell r="W551" t="str">
            <v>Renouvellement</v>
          </cell>
          <cell r="X551" t="str">
            <v>Aucune</v>
          </cell>
          <cell r="Y551" t="str">
            <v>Prévu</v>
          </cell>
          <cell r="Z551" t="str">
            <v>Reprise</v>
          </cell>
        </row>
        <row r="552">
          <cell r="A552">
            <v>3272</v>
          </cell>
          <cell r="B552">
            <v>1</v>
          </cell>
          <cell r="C552" t="str">
            <v>IV25682</v>
          </cell>
          <cell r="D552" t="str">
            <v>RN DE 11 POMPES DES ROUE PELLES ET CHAUDIERES DU COMPLEXE OUED ZEM</v>
          </cell>
          <cell r="E552" t="str">
            <v>Approuvé</v>
          </cell>
          <cell r="F552" t="str">
            <v>K04805</v>
          </cell>
          <cell r="G552">
            <v>2</v>
          </cell>
          <cell r="H552" t="str">
            <v>Reprise</v>
          </cell>
          <cell r="I552" t="str">
            <v>REPRISE</v>
          </cell>
          <cell r="J552" t="str">
            <v>Budgété</v>
          </cell>
          <cell r="K552">
            <v>900000</v>
          </cell>
          <cell r="L552">
            <v>900000</v>
          </cell>
          <cell r="O552">
            <v>900000</v>
          </cell>
          <cell r="S552">
            <v>13565</v>
          </cell>
          <cell r="T552" t="str">
            <v>NABZAR AHMED</v>
          </cell>
          <cell r="U552" t="str">
            <v>Ordinaire</v>
          </cell>
          <cell r="V552" t="str">
            <v>Reprise</v>
          </cell>
          <cell r="W552" t="str">
            <v>Renouvellement</v>
          </cell>
          <cell r="X552" t="str">
            <v>Aucune</v>
          </cell>
          <cell r="Y552" t="str">
            <v>Prévu</v>
          </cell>
          <cell r="Z552" t="str">
            <v>Reprise</v>
          </cell>
        </row>
        <row r="553">
          <cell r="A553">
            <v>3273</v>
          </cell>
          <cell r="B553">
            <v>1</v>
          </cell>
          <cell r="C553" t="str">
            <v>IV25683</v>
          </cell>
          <cell r="D553" t="str">
            <v>FOURNITURE ET INSTALLATION DE 02 CHEMINEES DES FOURS SECHEURS DU COZ</v>
          </cell>
          <cell r="E553" t="str">
            <v>Approuvé</v>
          </cell>
          <cell r="F553" t="str">
            <v>K04307</v>
          </cell>
          <cell r="G553">
            <v>2</v>
          </cell>
          <cell r="H553" t="str">
            <v>Reprise</v>
          </cell>
          <cell r="I553" t="str">
            <v>REPRISE</v>
          </cell>
          <cell r="J553" t="str">
            <v>Budgété</v>
          </cell>
          <cell r="K553">
            <v>2500000</v>
          </cell>
          <cell r="L553">
            <v>2500000</v>
          </cell>
          <cell r="O553">
            <v>2500000</v>
          </cell>
          <cell r="S553">
            <v>13566</v>
          </cell>
          <cell r="T553" t="str">
            <v>NABZAR AHMED</v>
          </cell>
          <cell r="U553" t="str">
            <v>Ordinaire</v>
          </cell>
          <cell r="V553" t="str">
            <v>Reprise</v>
          </cell>
          <cell r="W553" t="str">
            <v>Dotations nouvelles</v>
          </cell>
          <cell r="X553" t="str">
            <v>Aucune</v>
          </cell>
          <cell r="Y553" t="str">
            <v>Prévu</v>
          </cell>
          <cell r="Z553" t="str">
            <v>Reprise</v>
          </cell>
        </row>
        <row r="554">
          <cell r="A554">
            <v>3274</v>
          </cell>
          <cell r="B554">
            <v>1</v>
          </cell>
          <cell r="C554" t="str">
            <v>IV25685</v>
          </cell>
          <cell r="D554" t="str">
            <v>ACHAT D'UNE CENTRALE HYDRAULIQUE ET 4 VERINS</v>
          </cell>
          <cell r="E554" t="str">
            <v>Approuvé</v>
          </cell>
          <cell r="F554" t="str">
            <v>K04212</v>
          </cell>
          <cell r="G554">
            <v>2</v>
          </cell>
          <cell r="H554" t="str">
            <v>Reprise</v>
          </cell>
          <cell r="I554" t="str">
            <v>REPRISE</v>
          </cell>
          <cell r="J554" t="str">
            <v>Budgété</v>
          </cell>
          <cell r="K554">
            <v>490000</v>
          </cell>
          <cell r="L554">
            <v>490000</v>
          </cell>
          <cell r="O554">
            <v>490000</v>
          </cell>
          <cell r="S554">
            <v>13567</v>
          </cell>
          <cell r="T554" t="str">
            <v>NABZAR AHMED</v>
          </cell>
          <cell r="U554" t="str">
            <v>Ordinaire</v>
          </cell>
          <cell r="V554" t="str">
            <v>Reprise</v>
          </cell>
          <cell r="W554" t="str">
            <v>Dotations nouvelles</v>
          </cell>
          <cell r="X554" t="str">
            <v>Aucune</v>
          </cell>
          <cell r="Y554" t="str">
            <v>Prévu</v>
          </cell>
          <cell r="Z554" t="str">
            <v>Reprise</v>
          </cell>
        </row>
        <row r="555">
          <cell r="A555">
            <v>3275</v>
          </cell>
          <cell r="B555">
            <v>1</v>
          </cell>
          <cell r="C555" t="str">
            <v>IV25686</v>
          </cell>
          <cell r="D555" t="str">
            <v>ACHAT DE 10 POMPES A AXE HORIZONTALE POUR LES UNITES DE FLOTTATION, FLOCULATION ET LES DIGUES D'EPANDATION DE LA LAVERIE SIDI DAOUI</v>
          </cell>
          <cell r="E555" t="str">
            <v>Approuvé</v>
          </cell>
          <cell r="F555" t="str">
            <v>K04222</v>
          </cell>
          <cell r="G555">
            <v>2</v>
          </cell>
          <cell r="H555" t="str">
            <v>Reprise</v>
          </cell>
          <cell r="I555" t="str">
            <v>REPRISE</v>
          </cell>
          <cell r="J555" t="str">
            <v>Budgété</v>
          </cell>
          <cell r="K555">
            <v>1200000</v>
          </cell>
          <cell r="L555">
            <v>1200000</v>
          </cell>
          <cell r="O555">
            <v>1200000</v>
          </cell>
          <cell r="S555">
            <v>13568</v>
          </cell>
          <cell r="T555" t="str">
            <v>NABZAR AHMED</v>
          </cell>
          <cell r="U555" t="str">
            <v>Ordinaire</v>
          </cell>
          <cell r="V555" t="str">
            <v>Reprise</v>
          </cell>
          <cell r="W555" t="str">
            <v>Dotations nouvelles</v>
          </cell>
          <cell r="X555" t="str">
            <v>Aucune</v>
          </cell>
          <cell r="Y555" t="str">
            <v>Prévu</v>
          </cell>
          <cell r="Z555" t="str">
            <v>Reprise</v>
          </cell>
        </row>
        <row r="556">
          <cell r="A556">
            <v>3276</v>
          </cell>
          <cell r="B556">
            <v>1</v>
          </cell>
          <cell r="C556" t="str">
            <v>IV25687</v>
          </cell>
          <cell r="D556" t="str">
            <v>ACHAT DES EQUIPEMENTS POUR LE NOUVEAU ATELIER MECANIQUE PMK/TD/MM-D</v>
          </cell>
          <cell r="E556" t="str">
            <v>Approuvé</v>
          </cell>
          <cell r="F556" t="str">
            <v>K04702</v>
          </cell>
          <cell r="G556">
            <v>2</v>
          </cell>
          <cell r="H556" t="str">
            <v>Reprise</v>
          </cell>
          <cell r="I556" t="str">
            <v>REPRISE</v>
          </cell>
          <cell r="J556" t="str">
            <v>Budgété</v>
          </cell>
          <cell r="K556">
            <v>490000</v>
          </cell>
          <cell r="L556">
            <v>490000</v>
          </cell>
          <cell r="O556">
            <v>490000</v>
          </cell>
          <cell r="S556">
            <v>13569</v>
          </cell>
          <cell r="T556" t="str">
            <v>NABZAR AHMED</v>
          </cell>
          <cell r="U556" t="str">
            <v>Ordinaire</v>
          </cell>
          <cell r="V556" t="str">
            <v>Reprise</v>
          </cell>
          <cell r="W556" t="str">
            <v>Dotations nouvelles</v>
          </cell>
          <cell r="X556" t="str">
            <v>Aucune</v>
          </cell>
          <cell r="Y556" t="str">
            <v>Prévu</v>
          </cell>
          <cell r="Z556" t="str">
            <v>Reprise</v>
          </cell>
        </row>
        <row r="557">
          <cell r="A557">
            <v>3277</v>
          </cell>
          <cell r="B557">
            <v>1</v>
          </cell>
          <cell r="C557" t="str">
            <v>IV25689</v>
          </cell>
          <cell r="D557" t="str">
            <v>ACHAT DE 13 REDUCTEURS POUR LES INSTALLATIONS DE LA LIAISON SIDI CHENNANE ET PARC EL WAFI</v>
          </cell>
          <cell r="E557" t="str">
            <v>Approuvé</v>
          </cell>
          <cell r="F557" t="str">
            <v>K04518</v>
          </cell>
          <cell r="G557">
            <v>2</v>
          </cell>
          <cell r="H557" t="str">
            <v>Reprise</v>
          </cell>
          <cell r="I557" t="str">
            <v>REPRISE</v>
          </cell>
          <cell r="J557" t="str">
            <v>Budgété</v>
          </cell>
          <cell r="K557">
            <v>10000000</v>
          </cell>
          <cell r="L557">
            <v>10000000</v>
          </cell>
          <cell r="O557">
            <v>10000000</v>
          </cell>
          <cell r="S557">
            <v>13570</v>
          </cell>
          <cell r="T557" t="str">
            <v>NABZAR AHMED</v>
          </cell>
          <cell r="U557" t="str">
            <v>Ordinaire</v>
          </cell>
          <cell r="V557" t="str">
            <v>Reprise</v>
          </cell>
          <cell r="W557" t="str">
            <v>Dotations nouvelles</v>
          </cell>
          <cell r="X557" t="str">
            <v>Aucune</v>
          </cell>
          <cell r="Y557" t="str">
            <v>Prévu</v>
          </cell>
          <cell r="Z557" t="str">
            <v>Reprise</v>
          </cell>
        </row>
        <row r="558">
          <cell r="A558">
            <v>3278</v>
          </cell>
          <cell r="B558">
            <v>1</v>
          </cell>
          <cell r="C558" t="str">
            <v>IV25694</v>
          </cell>
          <cell r="D558" t="str">
            <v>RN DE 05 CHARGEURS DE BATTERIES</v>
          </cell>
          <cell r="E558" t="str">
            <v>Approuvé</v>
          </cell>
          <cell r="F558" t="str">
            <v>K04202</v>
          </cell>
          <cell r="G558">
            <v>2</v>
          </cell>
          <cell r="H558" t="str">
            <v>Reprise</v>
          </cell>
          <cell r="I558" t="str">
            <v>REPRISE</v>
          </cell>
          <cell r="J558" t="str">
            <v>Budgété</v>
          </cell>
          <cell r="K558">
            <v>490000</v>
          </cell>
          <cell r="L558">
            <v>490000</v>
          </cell>
          <cell r="O558">
            <v>490000</v>
          </cell>
          <cell r="S558">
            <v>13571</v>
          </cell>
          <cell r="T558" t="str">
            <v>NABZAR AHMED</v>
          </cell>
          <cell r="U558" t="str">
            <v>Ordinaire</v>
          </cell>
          <cell r="V558" t="str">
            <v>Reprise</v>
          </cell>
          <cell r="W558" t="str">
            <v>Renouvellement</v>
          </cell>
          <cell r="X558" t="str">
            <v>Aucune</v>
          </cell>
          <cell r="Y558" t="str">
            <v>Prévu</v>
          </cell>
          <cell r="Z558" t="str">
            <v>Reprise</v>
          </cell>
        </row>
        <row r="559">
          <cell r="A559">
            <v>3279</v>
          </cell>
          <cell r="B559">
            <v>1</v>
          </cell>
          <cell r="C559" t="str">
            <v>IV25695</v>
          </cell>
          <cell r="D559" t="str">
            <v>ACHAT DE 08 VARIATEURS DE VITESSE POUR PMK/TD</v>
          </cell>
          <cell r="E559" t="str">
            <v>Approuvé</v>
          </cell>
          <cell r="F559" t="str">
            <v>K04235</v>
          </cell>
          <cell r="G559">
            <v>2</v>
          </cell>
          <cell r="H559" t="str">
            <v>Reprise</v>
          </cell>
          <cell r="I559" t="str">
            <v>REPRISE</v>
          </cell>
          <cell r="J559" t="str">
            <v>Budgété</v>
          </cell>
          <cell r="K559">
            <v>3930000</v>
          </cell>
          <cell r="L559">
            <v>3930000</v>
          </cell>
          <cell r="O559">
            <v>3930000</v>
          </cell>
          <cell r="S559">
            <v>13572</v>
          </cell>
          <cell r="T559" t="str">
            <v>NABZAR AHMED</v>
          </cell>
          <cell r="U559" t="str">
            <v>Ordinaire</v>
          </cell>
          <cell r="V559" t="str">
            <v>Reprise</v>
          </cell>
          <cell r="W559" t="str">
            <v>Dotations nouvelles</v>
          </cell>
          <cell r="X559" t="str">
            <v>Aucune</v>
          </cell>
          <cell r="Y559" t="str">
            <v>Prévu</v>
          </cell>
          <cell r="Z559" t="str">
            <v>Reprise</v>
          </cell>
        </row>
        <row r="560">
          <cell r="A560">
            <v>3280</v>
          </cell>
          <cell r="B560">
            <v>1</v>
          </cell>
          <cell r="C560" t="str">
            <v>IV25696</v>
          </cell>
          <cell r="D560" t="str">
            <v>ACHAT DE 03 ONDULEURS POUR PMK/TD</v>
          </cell>
          <cell r="E560" t="str">
            <v>Approuvé</v>
          </cell>
          <cell r="F560" t="str">
            <v>K04229</v>
          </cell>
          <cell r="G560">
            <v>2</v>
          </cell>
          <cell r="H560" t="str">
            <v>Reprise</v>
          </cell>
          <cell r="I560" t="str">
            <v>REPRISE</v>
          </cell>
          <cell r="J560" t="str">
            <v>Budgété</v>
          </cell>
          <cell r="K560">
            <v>450000</v>
          </cell>
          <cell r="L560">
            <v>450000</v>
          </cell>
          <cell r="O560">
            <v>450000</v>
          </cell>
          <cell r="S560">
            <v>13573</v>
          </cell>
          <cell r="T560" t="str">
            <v>NABZAR AHMED</v>
          </cell>
          <cell r="U560" t="str">
            <v>Ordinaire</v>
          </cell>
          <cell r="V560" t="str">
            <v>Reprise</v>
          </cell>
          <cell r="W560" t="str">
            <v>Dotations nouvelles</v>
          </cell>
          <cell r="X560" t="str">
            <v>Aucune</v>
          </cell>
          <cell r="Y560" t="str">
            <v>Prévu</v>
          </cell>
          <cell r="Z560" t="str">
            <v>Reprise</v>
          </cell>
        </row>
        <row r="561">
          <cell r="A561">
            <v>3281</v>
          </cell>
          <cell r="B561">
            <v>1</v>
          </cell>
          <cell r="C561" t="str">
            <v>IV25698</v>
          </cell>
          <cell r="D561" t="str">
            <v>ACHAT DE 02 BASCULES INTEGRATRICES POUR PMK/TD</v>
          </cell>
          <cell r="E561" t="str">
            <v>Approuvé</v>
          </cell>
          <cell r="F561" t="str">
            <v>K04202</v>
          </cell>
          <cell r="G561">
            <v>2</v>
          </cell>
          <cell r="H561" t="str">
            <v>Reprise</v>
          </cell>
          <cell r="I561" t="str">
            <v>REPRISE</v>
          </cell>
          <cell r="J561" t="str">
            <v>Budgété</v>
          </cell>
          <cell r="K561">
            <v>400000</v>
          </cell>
          <cell r="L561">
            <v>400000</v>
          </cell>
          <cell r="O561">
            <v>400000</v>
          </cell>
          <cell r="S561">
            <v>13574</v>
          </cell>
          <cell r="T561" t="str">
            <v>NABZAR AHMED</v>
          </cell>
          <cell r="U561" t="str">
            <v>Ordinaire</v>
          </cell>
          <cell r="V561" t="str">
            <v>Reprise</v>
          </cell>
          <cell r="W561" t="str">
            <v>Dotations nouvelles</v>
          </cell>
          <cell r="X561" t="str">
            <v>Aucune</v>
          </cell>
          <cell r="Y561" t="str">
            <v>Prévu</v>
          </cell>
          <cell r="Z561" t="str">
            <v>Reprise</v>
          </cell>
        </row>
        <row r="562">
          <cell r="A562">
            <v>3282</v>
          </cell>
          <cell r="B562">
            <v>1</v>
          </cell>
          <cell r="C562" t="str">
            <v>IV25699</v>
          </cell>
          <cell r="D562" t="str">
            <v>ACHAT DU MATERIEL POUR LABORATOIRE ELECTRONIQUE DE L'UNITE DAOUI</v>
          </cell>
          <cell r="E562" t="str">
            <v>Approuvé</v>
          </cell>
          <cell r="F562" t="str">
            <v>K04222</v>
          </cell>
          <cell r="G562">
            <v>2</v>
          </cell>
          <cell r="H562" t="str">
            <v>Reprise</v>
          </cell>
          <cell r="I562" t="str">
            <v>REPRISE</v>
          </cell>
          <cell r="J562" t="str">
            <v>Budgété</v>
          </cell>
          <cell r="K562">
            <v>280000</v>
          </cell>
          <cell r="L562">
            <v>280000</v>
          </cell>
          <cell r="O562">
            <v>280000</v>
          </cell>
          <cell r="S562">
            <v>13575</v>
          </cell>
          <cell r="T562" t="str">
            <v>NABZAR AHMED</v>
          </cell>
          <cell r="U562" t="str">
            <v>Ordinaire</v>
          </cell>
          <cell r="V562" t="str">
            <v>Reprise</v>
          </cell>
          <cell r="W562" t="str">
            <v>Dotations nouvelles</v>
          </cell>
          <cell r="X562" t="str">
            <v>Aucune</v>
          </cell>
          <cell r="Y562" t="str">
            <v>Prévu</v>
          </cell>
          <cell r="Z562" t="str">
            <v>Reprise</v>
          </cell>
        </row>
        <row r="563">
          <cell r="A563">
            <v>3283</v>
          </cell>
          <cell r="B563">
            <v>1</v>
          </cell>
          <cell r="C563" t="str">
            <v>IV25700</v>
          </cell>
          <cell r="D563" t="str">
            <v>RN DES TRANSFORMATEURS AU PYRALENE</v>
          </cell>
          <cell r="E563" t="str">
            <v>Approuvé</v>
          </cell>
          <cell r="F563" t="str">
            <v>K04705</v>
          </cell>
          <cell r="G563">
            <v>2</v>
          </cell>
          <cell r="H563" t="str">
            <v>Reprise</v>
          </cell>
          <cell r="I563" t="str">
            <v>REPRISE</v>
          </cell>
          <cell r="J563" t="str">
            <v>Budgété</v>
          </cell>
          <cell r="K563">
            <v>450000</v>
          </cell>
          <cell r="L563">
            <v>450000</v>
          </cell>
          <cell r="O563">
            <v>450000</v>
          </cell>
          <cell r="S563">
            <v>13576</v>
          </cell>
          <cell r="T563" t="str">
            <v>NABZAR AHMED</v>
          </cell>
          <cell r="U563" t="str">
            <v>Ordinaire</v>
          </cell>
          <cell r="V563" t="str">
            <v>Reprise</v>
          </cell>
          <cell r="W563" t="str">
            <v>Renouvellement</v>
          </cell>
          <cell r="X563" t="str">
            <v>Aucune</v>
          </cell>
          <cell r="Y563" t="str">
            <v>Prévu</v>
          </cell>
          <cell r="Z563" t="str">
            <v>Reprise</v>
          </cell>
        </row>
        <row r="564">
          <cell r="A564">
            <v>3284</v>
          </cell>
          <cell r="B564">
            <v>1</v>
          </cell>
          <cell r="C564" t="str">
            <v>IV25701</v>
          </cell>
          <cell r="D564" t="str">
            <v>RN DE 50 MOTEURS ELECTRIQUES</v>
          </cell>
          <cell r="E564" t="str">
            <v>Approuvé</v>
          </cell>
          <cell r="F564" t="str">
            <v>K04705</v>
          </cell>
          <cell r="G564">
            <v>2</v>
          </cell>
          <cell r="H564" t="str">
            <v>Reprise</v>
          </cell>
          <cell r="I564" t="str">
            <v>REPRISE</v>
          </cell>
          <cell r="J564" t="str">
            <v>Budgété</v>
          </cell>
          <cell r="K564">
            <v>4800000</v>
          </cell>
          <cell r="L564">
            <v>4800000</v>
          </cell>
          <cell r="O564">
            <v>4800000</v>
          </cell>
          <cell r="S564">
            <v>13577</v>
          </cell>
          <cell r="T564" t="str">
            <v>NABZAR AHMED</v>
          </cell>
          <cell r="U564" t="str">
            <v>Ordinaire</v>
          </cell>
          <cell r="V564" t="str">
            <v>Reprise</v>
          </cell>
          <cell r="W564" t="str">
            <v>Renouvellement</v>
          </cell>
          <cell r="X564" t="str">
            <v>Aucune</v>
          </cell>
          <cell r="Y564" t="str">
            <v>Prévu</v>
          </cell>
          <cell r="Z564" t="str">
            <v>Reprise</v>
          </cell>
        </row>
        <row r="565">
          <cell r="A565">
            <v>3285</v>
          </cell>
          <cell r="B565">
            <v>1</v>
          </cell>
          <cell r="C565" t="str">
            <v>IV25703</v>
          </cell>
          <cell r="D565" t="str">
            <v>ACHAT DES MODULES POUR CONTROLE ET SUPERVISION DES MOTEURS MT DE PMK/TD</v>
          </cell>
          <cell r="E565" t="str">
            <v>Approuvé</v>
          </cell>
          <cell r="F565" t="str">
            <v>K04705</v>
          </cell>
          <cell r="G565">
            <v>2</v>
          </cell>
          <cell r="H565" t="str">
            <v>Reprise</v>
          </cell>
          <cell r="I565" t="str">
            <v>REPRISE</v>
          </cell>
          <cell r="J565" t="str">
            <v>Budgété</v>
          </cell>
          <cell r="K565">
            <v>480000</v>
          </cell>
          <cell r="L565">
            <v>480000</v>
          </cell>
          <cell r="O565">
            <v>480000</v>
          </cell>
          <cell r="S565">
            <v>13578</v>
          </cell>
          <cell r="T565" t="str">
            <v>NABZAR AHMED</v>
          </cell>
          <cell r="U565" t="str">
            <v>Ordinaire</v>
          </cell>
          <cell r="V565" t="str">
            <v>Reprise</v>
          </cell>
          <cell r="W565" t="str">
            <v>Dotations nouvelles</v>
          </cell>
          <cell r="X565" t="str">
            <v>Aucune</v>
          </cell>
          <cell r="Y565" t="str">
            <v>Prévu</v>
          </cell>
          <cell r="Z565" t="str">
            <v>Reprise</v>
          </cell>
        </row>
        <row r="566">
          <cell r="A566">
            <v>3286</v>
          </cell>
          <cell r="B566">
            <v>1</v>
          </cell>
          <cell r="C566" t="str">
            <v>IV25704</v>
          </cell>
          <cell r="D566" t="str">
            <v>RN DES BATTERIES CONDENSATEURS INSTALLEES A LA LAVERIE DAOUI</v>
          </cell>
          <cell r="E566" t="str">
            <v>Approuvé</v>
          </cell>
          <cell r="F566" t="str">
            <v>K04705</v>
          </cell>
          <cell r="G566">
            <v>2</v>
          </cell>
          <cell r="H566" t="str">
            <v>Reprise</v>
          </cell>
          <cell r="I566" t="str">
            <v>REPRISE</v>
          </cell>
          <cell r="J566" t="str">
            <v>Budgété</v>
          </cell>
          <cell r="K566">
            <v>440000</v>
          </cell>
          <cell r="L566">
            <v>440000</v>
          </cell>
          <cell r="O566">
            <v>440000</v>
          </cell>
          <cell r="S566">
            <v>13579</v>
          </cell>
          <cell r="T566" t="str">
            <v>NABZAR AHMED</v>
          </cell>
          <cell r="U566" t="str">
            <v>Ordinaire</v>
          </cell>
          <cell r="V566" t="str">
            <v>Reprise</v>
          </cell>
          <cell r="W566" t="str">
            <v>Renouvellement</v>
          </cell>
          <cell r="X566" t="str">
            <v>Aucune</v>
          </cell>
          <cell r="Y566" t="str">
            <v>Prévu</v>
          </cell>
          <cell r="Z566" t="str">
            <v>Reprise</v>
          </cell>
        </row>
        <row r="567">
          <cell r="A567">
            <v>3287</v>
          </cell>
          <cell r="B567">
            <v>1</v>
          </cell>
          <cell r="C567" t="str">
            <v>IV25705</v>
          </cell>
          <cell r="D567" t="str">
            <v>FOURNITURE, INSTALLATION ET MISE EN SERVICE DES CELLULES DISJONCTEURS DU POSTE P17</v>
          </cell>
          <cell r="E567" t="str">
            <v>Approuvé</v>
          </cell>
          <cell r="F567" t="str">
            <v>K04705</v>
          </cell>
          <cell r="G567">
            <v>2</v>
          </cell>
          <cell r="H567" t="str">
            <v>Reprise</v>
          </cell>
          <cell r="I567" t="str">
            <v>REPRISE</v>
          </cell>
          <cell r="J567" t="str">
            <v>Budgété</v>
          </cell>
          <cell r="K567">
            <v>2000000</v>
          </cell>
          <cell r="L567">
            <v>2000000</v>
          </cell>
          <cell r="O567">
            <v>2000000</v>
          </cell>
          <cell r="S567">
            <v>13580</v>
          </cell>
          <cell r="T567" t="str">
            <v>AIT HSSAINE IDIR</v>
          </cell>
          <cell r="U567" t="str">
            <v>Ordinaire</v>
          </cell>
          <cell r="V567" t="str">
            <v>Reprise</v>
          </cell>
          <cell r="W567" t="str">
            <v>Renouvellement</v>
          </cell>
          <cell r="X567" t="str">
            <v>Aucune</v>
          </cell>
          <cell r="Y567" t="str">
            <v>Prévu</v>
          </cell>
          <cell r="Z567" t="str">
            <v>Reprise</v>
          </cell>
        </row>
        <row r="568">
          <cell r="A568">
            <v>3288</v>
          </cell>
          <cell r="B568">
            <v>1</v>
          </cell>
          <cell r="C568" t="str">
            <v>IV25706</v>
          </cell>
          <cell r="D568" t="str">
            <v>RN DES CLIMATISEURS DES CABINES DE COMMANDE DES MACHINES DU PW ET LIAISON SC</v>
          </cell>
          <cell r="E568" t="str">
            <v>Approuvé</v>
          </cell>
          <cell r="F568" t="str">
            <v>K04705</v>
          </cell>
          <cell r="G568">
            <v>2</v>
          </cell>
          <cell r="H568" t="str">
            <v>Reprise</v>
          </cell>
          <cell r="I568" t="str">
            <v>REPRISE</v>
          </cell>
          <cell r="J568" t="str">
            <v>Budgété</v>
          </cell>
          <cell r="K568">
            <v>480000</v>
          </cell>
          <cell r="L568">
            <v>480000</v>
          </cell>
          <cell r="O568">
            <v>480000</v>
          </cell>
          <cell r="S568">
            <v>13581</v>
          </cell>
          <cell r="T568" t="str">
            <v>NABZAR AHMED</v>
          </cell>
          <cell r="U568" t="str">
            <v>Ordinaire</v>
          </cell>
          <cell r="V568" t="str">
            <v>Reprise</v>
          </cell>
          <cell r="W568" t="str">
            <v>Renouvellement</v>
          </cell>
          <cell r="X568" t="str">
            <v>Aucune</v>
          </cell>
          <cell r="Y568" t="str">
            <v>Prévu</v>
          </cell>
          <cell r="Z568" t="str">
            <v>Reprise</v>
          </cell>
        </row>
        <row r="569">
          <cell r="A569">
            <v>3289</v>
          </cell>
          <cell r="B569">
            <v>1</v>
          </cell>
          <cell r="C569" t="str">
            <v>IV25707</v>
          </cell>
          <cell r="D569" t="str">
            <v>FOURNITURE, INSTALLATION ET MISE EN SERVICE DES AUTOMATES PROGRAMMABLES DU PW ET LIAISON SC</v>
          </cell>
          <cell r="E569" t="str">
            <v>Approuvé</v>
          </cell>
          <cell r="F569" t="str">
            <v>K04705</v>
          </cell>
          <cell r="G569">
            <v>2</v>
          </cell>
          <cell r="H569" t="str">
            <v>Reprise</v>
          </cell>
          <cell r="I569" t="str">
            <v>REPRISE</v>
          </cell>
          <cell r="J569" t="str">
            <v>Budgété</v>
          </cell>
          <cell r="K569">
            <v>4700000</v>
          </cell>
          <cell r="L569">
            <v>4700000</v>
          </cell>
          <cell r="O569">
            <v>4700000</v>
          </cell>
          <cell r="S569">
            <v>13582</v>
          </cell>
          <cell r="T569" t="str">
            <v>NABZAR AHMED</v>
          </cell>
          <cell r="U569" t="str">
            <v>Ordinaire</v>
          </cell>
          <cell r="V569" t="str">
            <v>Reprise</v>
          </cell>
          <cell r="W569" t="str">
            <v>Renouvellement</v>
          </cell>
          <cell r="X569" t="str">
            <v>Aucune</v>
          </cell>
          <cell r="Y569" t="str">
            <v>Prévu</v>
          </cell>
          <cell r="Z569" t="str">
            <v>Reprise</v>
          </cell>
        </row>
        <row r="570">
          <cell r="A570">
            <v>3290</v>
          </cell>
          <cell r="B570">
            <v>1</v>
          </cell>
          <cell r="C570" t="str">
            <v>IV25708</v>
          </cell>
          <cell r="D570" t="str">
            <v>ACHAT D'UNE VALISE D'INJECTION DE COURANT POUR ETALONNAGE DES RELAIS DE PROTECTION</v>
          </cell>
          <cell r="E570" t="str">
            <v>Approuvé</v>
          </cell>
          <cell r="F570" t="str">
            <v>K04705</v>
          </cell>
          <cell r="G570">
            <v>2</v>
          </cell>
          <cell r="H570" t="str">
            <v>Reprise</v>
          </cell>
          <cell r="I570" t="str">
            <v>REPRISE</v>
          </cell>
          <cell r="J570" t="str">
            <v>Budgété</v>
          </cell>
          <cell r="K570">
            <v>200000</v>
          </cell>
          <cell r="L570">
            <v>200000</v>
          </cell>
          <cell r="O570">
            <v>200000</v>
          </cell>
          <cell r="S570">
            <v>13583</v>
          </cell>
          <cell r="T570" t="str">
            <v>NABZAR AHMED</v>
          </cell>
          <cell r="U570" t="str">
            <v>Ordinaire</v>
          </cell>
          <cell r="V570" t="str">
            <v>Reprise</v>
          </cell>
          <cell r="W570" t="str">
            <v>Dotations nouvelles</v>
          </cell>
          <cell r="X570" t="str">
            <v>Aucune</v>
          </cell>
          <cell r="Y570" t="str">
            <v>Prévu</v>
          </cell>
          <cell r="Z570" t="str">
            <v>Reprise</v>
          </cell>
        </row>
        <row r="571">
          <cell r="A571">
            <v>3291</v>
          </cell>
          <cell r="B571">
            <v>1</v>
          </cell>
          <cell r="C571" t="str">
            <v>IV25709</v>
          </cell>
          <cell r="D571" t="str">
            <v>ACHAT DE 04 POSTES DE CONDUITE INDUSTRIELS AVEC LEURS IMPRIMANTES POUR LES SALLES DE CONTRÔLE SU SECTEUR DAOUI</v>
          </cell>
          <cell r="E571" t="str">
            <v>Approuvé</v>
          </cell>
          <cell r="F571" t="str">
            <v>K04705</v>
          </cell>
          <cell r="G571">
            <v>2</v>
          </cell>
          <cell r="H571" t="str">
            <v>Reprise</v>
          </cell>
          <cell r="I571" t="str">
            <v>REPRISE</v>
          </cell>
          <cell r="J571" t="str">
            <v>Budgété</v>
          </cell>
          <cell r="K571">
            <v>450000</v>
          </cell>
          <cell r="L571">
            <v>450000</v>
          </cell>
          <cell r="O571">
            <v>450000</v>
          </cell>
          <cell r="S571">
            <v>13584</v>
          </cell>
          <cell r="T571" t="str">
            <v>NABZAR AHMED</v>
          </cell>
          <cell r="U571" t="str">
            <v>Ordinaire</v>
          </cell>
          <cell r="V571" t="str">
            <v>Reprise</v>
          </cell>
          <cell r="W571" t="str">
            <v>Dotations nouvelles</v>
          </cell>
          <cell r="X571" t="str">
            <v>Aucune</v>
          </cell>
          <cell r="Y571" t="str">
            <v>Prévu</v>
          </cell>
          <cell r="Z571" t="str">
            <v>Reprise</v>
          </cell>
        </row>
        <row r="572">
          <cell r="A572">
            <v>3292</v>
          </cell>
          <cell r="B572">
            <v>1</v>
          </cell>
          <cell r="C572" t="str">
            <v>IV25710</v>
          </cell>
          <cell r="D572" t="str">
            <v>ACQUISITION D'UN KIT D'ANALYSE DES GAZ</v>
          </cell>
          <cell r="E572" t="str">
            <v>Approuvé</v>
          </cell>
          <cell r="F572" t="str">
            <v>K04705</v>
          </cell>
          <cell r="G572">
            <v>2</v>
          </cell>
          <cell r="H572" t="str">
            <v>Reprise</v>
          </cell>
          <cell r="I572" t="str">
            <v>REPRISE</v>
          </cell>
          <cell r="J572" t="str">
            <v>Budgété</v>
          </cell>
          <cell r="K572">
            <v>190000</v>
          </cell>
          <cell r="L572">
            <v>190000</v>
          </cell>
          <cell r="O572">
            <v>190000</v>
          </cell>
          <cell r="S572">
            <v>13585</v>
          </cell>
          <cell r="T572" t="str">
            <v>NABZAR AHMED</v>
          </cell>
          <cell r="U572" t="str">
            <v>Etudes et essais</v>
          </cell>
          <cell r="V572" t="str">
            <v>Reprise</v>
          </cell>
          <cell r="W572" t="str">
            <v>Dotations nouvelles</v>
          </cell>
          <cell r="X572" t="str">
            <v>Aucune</v>
          </cell>
          <cell r="Y572" t="str">
            <v>Prévu</v>
          </cell>
          <cell r="Z572" t="str">
            <v>Reprise</v>
          </cell>
        </row>
        <row r="573">
          <cell r="A573">
            <v>3293</v>
          </cell>
          <cell r="B573">
            <v>1</v>
          </cell>
          <cell r="C573" t="str">
            <v>IV25714</v>
          </cell>
          <cell r="D573" t="str">
            <v>ACQUISITION  D'UN  EXTRACTEUR  D'OXYGENE  POUR  LE  BLOC  OPERATOIRE  DE  L'HOPITAL  OCP  KHOURIBGA</v>
          </cell>
          <cell r="E573" t="str">
            <v>Approuvé</v>
          </cell>
          <cell r="F573" t="str">
            <v>K01408</v>
          </cell>
          <cell r="G573">
            <v>2</v>
          </cell>
          <cell r="H573" t="str">
            <v>Reprise</v>
          </cell>
          <cell r="I573" t="str">
            <v>REPRISE</v>
          </cell>
          <cell r="J573" t="str">
            <v>Budgété</v>
          </cell>
          <cell r="K573">
            <v>24000</v>
          </cell>
          <cell r="L573">
            <v>24000</v>
          </cell>
          <cell r="P573">
            <v>24000</v>
          </cell>
          <cell r="S573">
            <v>13586</v>
          </cell>
          <cell r="T573" t="str">
            <v>NABZAR AHMED</v>
          </cell>
          <cell r="U573" t="str">
            <v>Médical</v>
          </cell>
          <cell r="V573" t="str">
            <v>Reprise</v>
          </cell>
          <cell r="W573" t="str">
            <v>Dotations nouvelles</v>
          </cell>
          <cell r="X573" t="str">
            <v>Aucune</v>
          </cell>
          <cell r="Y573" t="str">
            <v>Prévu</v>
          </cell>
          <cell r="Z573" t="str">
            <v>Reprise</v>
          </cell>
        </row>
        <row r="574">
          <cell r="A574">
            <v>3294</v>
          </cell>
          <cell r="B574">
            <v>1</v>
          </cell>
          <cell r="C574" t="str">
            <v>IV25719</v>
          </cell>
          <cell r="D574" t="str">
            <v>RENOUVELLEMENT DES CELLULES MT DES STATIONS  DE POMPAGE</v>
          </cell>
          <cell r="E574" t="str">
            <v>Approuvé</v>
          </cell>
          <cell r="F574" t="str">
            <v>K11706</v>
          </cell>
          <cell r="G574">
            <v>2</v>
          </cell>
          <cell r="H574" t="str">
            <v>Reprise</v>
          </cell>
          <cell r="I574" t="str">
            <v>REPRISE</v>
          </cell>
          <cell r="J574" t="str">
            <v>Budgété</v>
          </cell>
          <cell r="K574">
            <v>2000000</v>
          </cell>
          <cell r="L574">
            <v>2000000</v>
          </cell>
          <cell r="O574">
            <v>2000000</v>
          </cell>
          <cell r="S574">
            <v>13587</v>
          </cell>
          <cell r="T574" t="str">
            <v>NABZAR AHMED</v>
          </cell>
          <cell r="U574" t="str">
            <v>Ordinaire</v>
          </cell>
          <cell r="V574" t="str">
            <v>Reprise</v>
          </cell>
          <cell r="W574" t="str">
            <v>Renouvellement</v>
          </cell>
          <cell r="X574" t="str">
            <v>Aucune</v>
          </cell>
          <cell r="Y574" t="str">
            <v>Prévu</v>
          </cell>
          <cell r="Z574" t="str">
            <v>Reprise</v>
          </cell>
        </row>
        <row r="575">
          <cell r="A575">
            <v>3295</v>
          </cell>
          <cell r="B575">
            <v>1</v>
          </cell>
          <cell r="C575" t="str">
            <v>IV25722</v>
          </cell>
          <cell r="D575" t="str">
            <v>Réalisation d'une station de chargement de phosphate humide à Béni-Idir</v>
          </cell>
          <cell r="E575" t="str">
            <v>Approuvé</v>
          </cell>
          <cell r="F575" t="str">
            <v>K04113</v>
          </cell>
          <cell r="G575">
            <v>4</v>
          </cell>
          <cell r="H575" t="str">
            <v>Report 2007</v>
          </cell>
          <cell r="I575" t="str">
            <v>REPORT</v>
          </cell>
          <cell r="J575" t="str">
            <v>Budgété</v>
          </cell>
          <cell r="K575">
            <v>70996377.719999999</v>
          </cell>
          <cell r="L575">
            <v>70996377.719999999</v>
          </cell>
          <cell r="M575">
            <v>40000000</v>
          </cell>
          <cell r="N575">
            <v>40000000</v>
          </cell>
          <cell r="O575">
            <v>30996377.719999999</v>
          </cell>
          <cell r="S575">
            <v>24308</v>
          </cell>
          <cell r="T575" t="str">
            <v>BOUKAISSI FOUAD</v>
          </cell>
          <cell r="U575" t="str">
            <v>Important</v>
          </cell>
          <cell r="V575" t="str">
            <v>Reprise</v>
          </cell>
          <cell r="W575" t="str">
            <v>Dotations nouvelles</v>
          </cell>
          <cell r="X575" t="str">
            <v>Aucune</v>
          </cell>
          <cell r="Y575" t="str">
            <v>Prévu</v>
          </cell>
          <cell r="Z575" t="str">
            <v>Reprise</v>
          </cell>
        </row>
        <row r="576">
          <cell r="A576">
            <v>3296</v>
          </cell>
          <cell r="B576">
            <v>1</v>
          </cell>
          <cell r="C576" t="str">
            <v>IV25733</v>
          </cell>
          <cell r="D576" t="str">
            <v>RENOUVELLEMENT DE 2 TRANSFORMATEURS TRIPHASES 63 KVA ET 1 TRANSFORMATEUR TRIPHASE 160 KVA</v>
          </cell>
          <cell r="E576" t="str">
            <v>Approuvé</v>
          </cell>
          <cell r="F576" t="str">
            <v>K03294</v>
          </cell>
          <cell r="G576">
            <v>2</v>
          </cell>
          <cell r="H576" t="str">
            <v>Reprise</v>
          </cell>
          <cell r="I576" t="str">
            <v>REPRISE</v>
          </cell>
          <cell r="J576" t="str">
            <v>Budgété</v>
          </cell>
          <cell r="K576">
            <v>140000</v>
          </cell>
          <cell r="L576">
            <v>140000</v>
          </cell>
          <cell r="O576">
            <v>140000</v>
          </cell>
          <cell r="S576">
            <v>13589</v>
          </cell>
          <cell r="T576" t="str">
            <v>HALMI Abderrahmane</v>
          </cell>
          <cell r="U576" t="str">
            <v>Ordinaire</v>
          </cell>
          <cell r="V576" t="str">
            <v>Reprise</v>
          </cell>
          <cell r="W576" t="str">
            <v>Renouvellement</v>
          </cell>
          <cell r="X576" t="str">
            <v>Aucune</v>
          </cell>
          <cell r="Y576" t="str">
            <v>Prévu</v>
          </cell>
          <cell r="Z576" t="str">
            <v>Reprise</v>
          </cell>
        </row>
        <row r="577">
          <cell r="A577">
            <v>3297</v>
          </cell>
          <cell r="B577">
            <v>1</v>
          </cell>
          <cell r="C577" t="str">
            <v>IV25789</v>
          </cell>
          <cell r="D577" t="str">
            <v>OUTILLAGE ET EQUIPEMENTS DANS LE CADRE DU BUDGET ACCORDE AUX DIRECTIONS OPERATIONNELLES</v>
          </cell>
          <cell r="E577" t="str">
            <v>Approuvé</v>
          </cell>
          <cell r="F577" t="str">
            <v>K01009</v>
          </cell>
          <cell r="G577">
            <v>2</v>
          </cell>
          <cell r="H577" t="str">
            <v>Reprise</v>
          </cell>
          <cell r="I577" t="str">
            <v>REPRISE</v>
          </cell>
          <cell r="J577" t="str">
            <v>Budgété</v>
          </cell>
          <cell r="K577">
            <v>493138.96</v>
          </cell>
          <cell r="L577">
            <v>493138.96</v>
          </cell>
          <cell r="P577">
            <v>493138.96</v>
          </cell>
          <cell r="S577">
            <v>13590</v>
          </cell>
          <cell r="T577" t="str">
            <v>NABZAR AHMED</v>
          </cell>
          <cell r="U577" t="str">
            <v>Ordinaire</v>
          </cell>
          <cell r="V577" t="str">
            <v>Reprise</v>
          </cell>
          <cell r="W577" t="str">
            <v>Dotations nouvelles</v>
          </cell>
          <cell r="X577" t="str">
            <v>Aucune</v>
          </cell>
          <cell r="Y577" t="str">
            <v>Prévu</v>
          </cell>
          <cell r="Z577" t="str">
            <v>Reprise</v>
          </cell>
        </row>
        <row r="578">
          <cell r="A578">
            <v>3298</v>
          </cell>
          <cell r="B578">
            <v>1</v>
          </cell>
          <cell r="C578" t="str">
            <v>IV25815</v>
          </cell>
          <cell r="D578" t="str">
            <v>RN DE 04 CHARGEURS DE BATTERIES POUR LES POSTES ELECTRIQUES DE L'UNITE DE BENI - IDIR</v>
          </cell>
          <cell r="E578" t="str">
            <v>Approuvé</v>
          </cell>
          <cell r="F578" t="str">
            <v>K04116</v>
          </cell>
          <cell r="G578">
            <v>2</v>
          </cell>
          <cell r="H578" t="str">
            <v>Reprise</v>
          </cell>
          <cell r="I578" t="str">
            <v>REPRISE</v>
          </cell>
          <cell r="J578" t="str">
            <v>Budgété</v>
          </cell>
          <cell r="K578">
            <v>490000</v>
          </cell>
          <cell r="L578">
            <v>490000</v>
          </cell>
          <cell r="O578">
            <v>490000</v>
          </cell>
          <cell r="S578">
            <v>13591</v>
          </cell>
          <cell r="T578" t="str">
            <v>NABZAR AHMED</v>
          </cell>
          <cell r="U578" t="str">
            <v>Ordinaire</v>
          </cell>
          <cell r="V578" t="str">
            <v>Reprise</v>
          </cell>
          <cell r="W578" t="str">
            <v>Renouvellement</v>
          </cell>
          <cell r="X578" t="str">
            <v>Aucune</v>
          </cell>
          <cell r="Y578" t="str">
            <v>Prévu</v>
          </cell>
          <cell r="Z578" t="str">
            <v>Reprise</v>
          </cell>
        </row>
        <row r="579">
          <cell r="A579">
            <v>3299</v>
          </cell>
          <cell r="B579">
            <v>1</v>
          </cell>
          <cell r="C579" t="str">
            <v>IV25816</v>
          </cell>
          <cell r="D579" t="str">
            <v>RN DE 02 GROUPES ELECTROGENES SUR CHASSIS</v>
          </cell>
          <cell r="E579" t="str">
            <v>Approuvé</v>
          </cell>
          <cell r="F579" t="str">
            <v>K04535</v>
          </cell>
          <cell r="G579">
            <v>3</v>
          </cell>
          <cell r="H579" t="str">
            <v>Report 2007</v>
          </cell>
          <cell r="I579" t="str">
            <v>REPORT</v>
          </cell>
          <cell r="J579" t="str">
            <v>Budgété</v>
          </cell>
          <cell r="K579">
            <v>348000</v>
          </cell>
          <cell r="L579">
            <v>348000</v>
          </cell>
          <cell r="M579">
            <v>348000</v>
          </cell>
          <cell r="N579">
            <v>348000</v>
          </cell>
          <cell r="O579">
            <v>0</v>
          </cell>
          <cell r="S579">
            <v>23656</v>
          </cell>
          <cell r="T579" t="str">
            <v>NABZAR AHMED</v>
          </cell>
          <cell r="U579" t="str">
            <v>Ordinaire</v>
          </cell>
          <cell r="V579" t="str">
            <v>Reprise</v>
          </cell>
          <cell r="W579" t="str">
            <v>Renouvellement</v>
          </cell>
          <cell r="X579" t="str">
            <v>Aucune</v>
          </cell>
          <cell r="Y579" t="str">
            <v>Prévu</v>
          </cell>
          <cell r="Z579" t="str">
            <v>Reprise</v>
          </cell>
        </row>
        <row r="580">
          <cell r="A580">
            <v>3300</v>
          </cell>
          <cell r="B580">
            <v>1</v>
          </cell>
          <cell r="C580" t="str">
            <v>IV25817</v>
          </cell>
          <cell r="D580" t="str">
            <v>RN DE 02 PRESSES A VULCANISER COMPLETES POUR BANDE LARGEUR 1400 MM</v>
          </cell>
          <cell r="E580" t="str">
            <v>Approuvé</v>
          </cell>
          <cell r="F580" t="str">
            <v>K04535</v>
          </cell>
          <cell r="G580">
            <v>2</v>
          </cell>
          <cell r="H580" t="str">
            <v>Reprise</v>
          </cell>
          <cell r="I580" t="str">
            <v>REPRISE</v>
          </cell>
          <cell r="J580" t="str">
            <v>Budgété</v>
          </cell>
          <cell r="K580">
            <v>1600000</v>
          </cell>
          <cell r="L580">
            <v>1600000</v>
          </cell>
          <cell r="O580">
            <v>1600000</v>
          </cell>
          <cell r="S580">
            <v>13593</v>
          </cell>
          <cell r="T580" t="str">
            <v>NABZAR AHMED</v>
          </cell>
          <cell r="U580" t="str">
            <v>Ordinaire</v>
          </cell>
          <cell r="V580" t="str">
            <v>Reprise</v>
          </cell>
          <cell r="W580" t="str">
            <v>Renouvellement</v>
          </cell>
          <cell r="X580" t="str">
            <v>Aucune</v>
          </cell>
          <cell r="Y580" t="str">
            <v>Prévu</v>
          </cell>
          <cell r="Z580" t="str">
            <v>Reprise</v>
          </cell>
        </row>
        <row r="581">
          <cell r="A581">
            <v>3301</v>
          </cell>
          <cell r="B581">
            <v>1</v>
          </cell>
          <cell r="C581" t="str">
            <v>IV25819</v>
          </cell>
          <cell r="D581" t="str">
            <v>RENOUVELLEMENT  DE  8  BOUTEILLES  DE  CHLORE  POUR  PISCINES  DE  PMK</v>
          </cell>
          <cell r="E581" t="str">
            <v>Approuvé</v>
          </cell>
          <cell r="F581" t="str">
            <v>K01039</v>
          </cell>
          <cell r="G581">
            <v>2</v>
          </cell>
          <cell r="H581" t="str">
            <v>Reprise</v>
          </cell>
          <cell r="I581" t="str">
            <v>REPRISE</v>
          </cell>
          <cell r="J581" t="str">
            <v>Budgété</v>
          </cell>
          <cell r="K581">
            <v>180000</v>
          </cell>
          <cell r="L581">
            <v>180000</v>
          </cell>
          <cell r="O581">
            <v>180000</v>
          </cell>
          <cell r="S581">
            <v>13594</v>
          </cell>
          <cell r="T581" t="str">
            <v>NABZAR AHMED</v>
          </cell>
          <cell r="U581" t="str">
            <v>Social</v>
          </cell>
          <cell r="V581" t="str">
            <v>Reprise</v>
          </cell>
          <cell r="W581" t="str">
            <v>Renouvellement</v>
          </cell>
          <cell r="X581" t="str">
            <v>Aucune</v>
          </cell>
          <cell r="Y581" t="str">
            <v>Prévu</v>
          </cell>
          <cell r="Z581" t="str">
            <v>Reprise</v>
          </cell>
        </row>
        <row r="582">
          <cell r="A582">
            <v>3302</v>
          </cell>
          <cell r="B582">
            <v>1</v>
          </cell>
          <cell r="C582" t="str">
            <v>IV25820</v>
          </cell>
          <cell r="D582" t="str">
            <v>RENOUVELLEMENT  DE  2  GROUPES  MOTOPOMPES  POUR  PMK / AK / S</v>
          </cell>
          <cell r="E582" t="str">
            <v>Approuvé</v>
          </cell>
          <cell r="F582" t="str">
            <v>K01037</v>
          </cell>
          <cell r="G582">
            <v>2</v>
          </cell>
          <cell r="H582" t="str">
            <v>Reprise</v>
          </cell>
          <cell r="I582" t="str">
            <v>REPRISE</v>
          </cell>
          <cell r="J582" t="str">
            <v>Budgété</v>
          </cell>
          <cell r="K582">
            <v>80000</v>
          </cell>
          <cell r="L582">
            <v>80000</v>
          </cell>
          <cell r="O582">
            <v>80000</v>
          </cell>
          <cell r="S582">
            <v>13595</v>
          </cell>
          <cell r="T582" t="str">
            <v>NABZAR AHMED</v>
          </cell>
          <cell r="U582" t="str">
            <v>Social</v>
          </cell>
          <cell r="V582" t="str">
            <v>Reprise</v>
          </cell>
          <cell r="W582" t="str">
            <v>Renouvellement</v>
          </cell>
          <cell r="X582" t="str">
            <v>Aucune</v>
          </cell>
          <cell r="Y582" t="str">
            <v>Prévu</v>
          </cell>
          <cell r="Z582" t="str">
            <v>Reprise</v>
          </cell>
        </row>
        <row r="583">
          <cell r="A583">
            <v>3303</v>
          </cell>
          <cell r="B583">
            <v>1</v>
          </cell>
          <cell r="C583" t="str">
            <v>IV25821</v>
          </cell>
          <cell r="D583" t="str">
            <v>ACQUISITION  DE  4  CUISINIERES  A  GAZ  POUR  LE  CERCLE  DU  PERSONNEL  DE  PMK / AK / S</v>
          </cell>
          <cell r="E583" t="str">
            <v>Approuvé</v>
          </cell>
          <cell r="F583" t="str">
            <v>K01034</v>
          </cell>
          <cell r="G583">
            <v>2</v>
          </cell>
          <cell r="H583" t="str">
            <v>Reprise</v>
          </cell>
          <cell r="I583" t="str">
            <v>REPRISE</v>
          </cell>
          <cell r="J583" t="str">
            <v>Budgété</v>
          </cell>
          <cell r="K583">
            <v>200000</v>
          </cell>
          <cell r="L583">
            <v>200000</v>
          </cell>
          <cell r="O583">
            <v>200000</v>
          </cell>
          <cell r="S583">
            <v>13596</v>
          </cell>
          <cell r="T583" t="str">
            <v>NABZAR AHMED</v>
          </cell>
          <cell r="U583" t="str">
            <v>Social</v>
          </cell>
          <cell r="V583" t="str">
            <v>Reprise</v>
          </cell>
          <cell r="W583" t="str">
            <v>Dotations nouvelles</v>
          </cell>
          <cell r="X583" t="str">
            <v>Aucune</v>
          </cell>
          <cell r="Y583" t="str">
            <v>Prévu</v>
          </cell>
          <cell r="Z583" t="str">
            <v>Reprise</v>
          </cell>
        </row>
        <row r="584">
          <cell r="A584">
            <v>3304</v>
          </cell>
          <cell r="B584">
            <v>1</v>
          </cell>
          <cell r="C584" t="str">
            <v>IV25822</v>
          </cell>
          <cell r="D584" t="str">
            <v>RENOUVELLEMENT DE 03 BASCULES</v>
          </cell>
          <cell r="E584" t="str">
            <v>Approuvé</v>
          </cell>
          <cell r="F584" t="str">
            <v>K03531</v>
          </cell>
          <cell r="G584">
            <v>2</v>
          </cell>
          <cell r="H584" t="str">
            <v>Reprise</v>
          </cell>
          <cell r="I584" t="str">
            <v>REPRISE</v>
          </cell>
          <cell r="J584" t="str">
            <v>Budgété</v>
          </cell>
          <cell r="K584">
            <v>75000</v>
          </cell>
          <cell r="L584">
            <v>75000</v>
          </cell>
          <cell r="O584">
            <v>75000</v>
          </cell>
          <cell r="S584">
            <v>13597</v>
          </cell>
          <cell r="T584" t="str">
            <v>CHARKI EL YAMANI</v>
          </cell>
          <cell r="U584" t="str">
            <v>Ordinaire</v>
          </cell>
          <cell r="V584" t="str">
            <v>Reprise</v>
          </cell>
          <cell r="W584" t="str">
            <v>Renouvellement</v>
          </cell>
          <cell r="X584" t="str">
            <v>Aucune</v>
          </cell>
          <cell r="Y584" t="str">
            <v>Prévu</v>
          </cell>
          <cell r="Z584" t="str">
            <v>Reprise</v>
          </cell>
        </row>
        <row r="585">
          <cell r="A585">
            <v>3305</v>
          </cell>
          <cell r="B585">
            <v>1</v>
          </cell>
          <cell r="C585" t="str">
            <v>IV25832</v>
          </cell>
          <cell r="D585" t="str">
            <v>EQUIPEMENTS BUREAUTIQUES POUR LA MISE EN OEUVRE DU  PROJET GMAO A PMK</v>
          </cell>
          <cell r="E585" t="str">
            <v>Approuvé</v>
          </cell>
          <cell r="F585" t="str">
            <v>K11010</v>
          </cell>
          <cell r="G585">
            <v>2</v>
          </cell>
          <cell r="H585" t="str">
            <v>Reprise</v>
          </cell>
          <cell r="I585" t="str">
            <v>REPRISE</v>
          </cell>
          <cell r="J585" t="str">
            <v>Budgété</v>
          </cell>
          <cell r="K585">
            <v>2738490</v>
          </cell>
          <cell r="L585">
            <v>2738490</v>
          </cell>
          <cell r="P585">
            <v>2738490</v>
          </cell>
          <cell r="S585">
            <v>13598</v>
          </cell>
          <cell r="T585" t="str">
            <v>NABZAR AHMED</v>
          </cell>
          <cell r="U585" t="str">
            <v>Administratif</v>
          </cell>
          <cell r="V585" t="str">
            <v>Reprise</v>
          </cell>
          <cell r="W585" t="str">
            <v>Dotations nouvelles</v>
          </cell>
          <cell r="X585" t="str">
            <v>Aucune</v>
          </cell>
          <cell r="Y585" t="str">
            <v>Prévu</v>
          </cell>
          <cell r="Z585" t="str">
            <v>Reprise</v>
          </cell>
        </row>
        <row r="586">
          <cell r="A586">
            <v>3306</v>
          </cell>
          <cell r="B586">
            <v>1</v>
          </cell>
          <cell r="C586" t="str">
            <v>IV25833</v>
          </cell>
          <cell r="D586" t="str">
            <v>RENOUVELLEMENT DE DEUX SONDEUSES</v>
          </cell>
          <cell r="E586" t="str">
            <v>Approuvé</v>
          </cell>
          <cell r="F586" t="str">
            <v>K03841</v>
          </cell>
          <cell r="G586">
            <v>2</v>
          </cell>
          <cell r="H586" t="str">
            <v>Reprise</v>
          </cell>
          <cell r="I586" t="str">
            <v>REPRISE</v>
          </cell>
          <cell r="J586" t="str">
            <v>Budgété</v>
          </cell>
          <cell r="K586">
            <v>36000000</v>
          </cell>
          <cell r="L586">
            <v>36000000</v>
          </cell>
          <cell r="O586">
            <v>36000000</v>
          </cell>
          <cell r="S586">
            <v>13599</v>
          </cell>
          <cell r="T586" t="str">
            <v>CHEHTANE Mohammed</v>
          </cell>
          <cell r="U586" t="str">
            <v>Ordinaire</v>
          </cell>
          <cell r="V586" t="str">
            <v>Reprise</v>
          </cell>
          <cell r="W586" t="str">
            <v>Renouvellement</v>
          </cell>
          <cell r="X586" t="str">
            <v>Aucune</v>
          </cell>
          <cell r="Y586" t="str">
            <v>Prévu</v>
          </cell>
          <cell r="Z586" t="str">
            <v>Reprise</v>
          </cell>
        </row>
        <row r="587">
          <cell r="A587">
            <v>3307</v>
          </cell>
          <cell r="B587">
            <v>1</v>
          </cell>
          <cell r="C587" t="str">
            <v>IV25873</v>
          </cell>
          <cell r="D587" t="str">
            <v>RENOUVELLEMENT DE 04 CRIBLES</v>
          </cell>
          <cell r="E587" t="str">
            <v>Approuvé</v>
          </cell>
          <cell r="F587" t="str">
            <v>K04240</v>
          </cell>
          <cell r="G587">
            <v>2</v>
          </cell>
          <cell r="H587" t="str">
            <v>Reprise</v>
          </cell>
          <cell r="I587" t="str">
            <v>REPRISE</v>
          </cell>
          <cell r="J587" t="str">
            <v>Budgété</v>
          </cell>
          <cell r="K587">
            <v>4000000</v>
          </cell>
          <cell r="L587">
            <v>4000000</v>
          </cell>
          <cell r="O587">
            <v>4000000</v>
          </cell>
          <cell r="S587">
            <v>13600</v>
          </cell>
          <cell r="T587" t="str">
            <v>NABZAR AHMED</v>
          </cell>
          <cell r="U587" t="str">
            <v>Ordinaire</v>
          </cell>
          <cell r="V587" t="str">
            <v>Reprise</v>
          </cell>
          <cell r="W587" t="str">
            <v>Renouvellement</v>
          </cell>
          <cell r="X587" t="str">
            <v>Aucune</v>
          </cell>
          <cell r="Y587" t="str">
            <v>Prévu</v>
          </cell>
          <cell r="Z587" t="str">
            <v>Reprise</v>
          </cell>
        </row>
        <row r="588">
          <cell r="A588">
            <v>3308</v>
          </cell>
          <cell r="B588">
            <v>1</v>
          </cell>
          <cell r="C588" t="str">
            <v>IV25878</v>
          </cell>
          <cell r="D588" t="str">
            <v>ACHAT DE 20 APPAREILS TELEPHONIQUES BLINDES</v>
          </cell>
          <cell r="E588" t="str">
            <v>Approuvé</v>
          </cell>
          <cell r="F588" t="str">
            <v>K04240</v>
          </cell>
          <cell r="G588">
            <v>2</v>
          </cell>
          <cell r="H588" t="str">
            <v>Reprise</v>
          </cell>
          <cell r="I588" t="str">
            <v>REPRISE</v>
          </cell>
          <cell r="J588" t="str">
            <v>Budgété</v>
          </cell>
          <cell r="K588">
            <v>280000</v>
          </cell>
          <cell r="L588">
            <v>280000</v>
          </cell>
          <cell r="O588">
            <v>280000</v>
          </cell>
          <cell r="S588">
            <v>13601</v>
          </cell>
          <cell r="T588" t="str">
            <v>NABZAR AHMED</v>
          </cell>
          <cell r="U588" t="str">
            <v>Ordinaire</v>
          </cell>
          <cell r="V588" t="str">
            <v>Reprise</v>
          </cell>
          <cell r="W588" t="str">
            <v>Dotations nouvelles</v>
          </cell>
          <cell r="X588" t="str">
            <v>Aucune</v>
          </cell>
          <cell r="Y588" t="str">
            <v>Prévu</v>
          </cell>
          <cell r="Z588" t="str">
            <v>Reprise</v>
          </cell>
        </row>
        <row r="589">
          <cell r="A589">
            <v>3309</v>
          </cell>
          <cell r="B589">
            <v>1</v>
          </cell>
          <cell r="C589" t="str">
            <v>IV25879</v>
          </cell>
          <cell r="D589" t="str">
            <v>ACHAT DU MATERIEL DE FROID POUR PMK/TD</v>
          </cell>
          <cell r="E589" t="str">
            <v>Approuvé</v>
          </cell>
          <cell r="F589" t="str">
            <v>K04240</v>
          </cell>
          <cell r="G589">
            <v>2</v>
          </cell>
          <cell r="H589" t="str">
            <v>Reprise</v>
          </cell>
          <cell r="I589" t="str">
            <v>REPRISE</v>
          </cell>
          <cell r="J589" t="str">
            <v>Budgété</v>
          </cell>
          <cell r="K589">
            <v>100000</v>
          </cell>
          <cell r="L589">
            <v>100000</v>
          </cell>
          <cell r="O589">
            <v>100000</v>
          </cell>
          <cell r="S589">
            <v>13602</v>
          </cell>
          <cell r="T589" t="str">
            <v>BENAMEUR Fayçal</v>
          </cell>
          <cell r="U589" t="str">
            <v>Administratif</v>
          </cell>
          <cell r="V589" t="str">
            <v>Reprise</v>
          </cell>
          <cell r="W589" t="str">
            <v>Dotations nouvelles</v>
          </cell>
          <cell r="X589" t="str">
            <v>Aucune</v>
          </cell>
          <cell r="Y589" t="str">
            <v>Prévu</v>
          </cell>
          <cell r="Z589" t="str">
            <v>Reprise</v>
          </cell>
        </row>
        <row r="590">
          <cell r="A590">
            <v>3310</v>
          </cell>
          <cell r="B590">
            <v>1</v>
          </cell>
          <cell r="C590" t="str">
            <v>IV25880</v>
          </cell>
          <cell r="D590" t="str">
            <v>ACHAT DE 02 GRANULOMETRES LASERS</v>
          </cell>
          <cell r="E590" t="str">
            <v>Approuvé</v>
          </cell>
          <cell r="F590" t="str">
            <v>K04215</v>
          </cell>
          <cell r="G590">
            <v>2</v>
          </cell>
          <cell r="H590" t="str">
            <v>Reprise</v>
          </cell>
          <cell r="I590" t="str">
            <v>REPRISE</v>
          </cell>
          <cell r="J590" t="str">
            <v>Budgété</v>
          </cell>
          <cell r="K590">
            <v>490000</v>
          </cell>
          <cell r="L590">
            <v>490000</v>
          </cell>
          <cell r="O590">
            <v>490000</v>
          </cell>
          <cell r="S590">
            <v>13603</v>
          </cell>
          <cell r="T590" t="str">
            <v>NABZAR AHMED</v>
          </cell>
          <cell r="U590" t="str">
            <v>Etudes et essais</v>
          </cell>
          <cell r="V590" t="str">
            <v>Reprise</v>
          </cell>
          <cell r="W590" t="str">
            <v>Dotations nouvelles</v>
          </cell>
          <cell r="X590" t="str">
            <v>Aucune</v>
          </cell>
          <cell r="Y590" t="str">
            <v>Prévu</v>
          </cell>
          <cell r="Z590" t="str">
            <v>Reprise</v>
          </cell>
        </row>
        <row r="591">
          <cell r="A591">
            <v>3311</v>
          </cell>
          <cell r="B591">
            <v>1</v>
          </cell>
          <cell r="C591" t="str">
            <v>IV25881</v>
          </cell>
          <cell r="D591" t="str">
            <v>CONSTRUCTION D'UN LABORATOIRE A LA LAVERIE DAOUI</v>
          </cell>
          <cell r="E591" t="str">
            <v>Approuvé</v>
          </cell>
          <cell r="F591" t="str">
            <v>K04215</v>
          </cell>
          <cell r="G591">
            <v>2</v>
          </cell>
          <cell r="H591" t="str">
            <v>Reprise</v>
          </cell>
          <cell r="I591" t="str">
            <v>REPRISE</v>
          </cell>
          <cell r="J591" t="str">
            <v>Budgété</v>
          </cell>
          <cell r="K591">
            <v>490000</v>
          </cell>
          <cell r="L591">
            <v>490000</v>
          </cell>
          <cell r="O591">
            <v>490000</v>
          </cell>
          <cell r="S591">
            <v>13604</v>
          </cell>
          <cell r="T591" t="str">
            <v>NABZAR AHMED</v>
          </cell>
          <cell r="U591" t="str">
            <v>Administratif</v>
          </cell>
          <cell r="V591" t="str">
            <v>Reprise</v>
          </cell>
          <cell r="W591" t="str">
            <v>Dotations nouvelles</v>
          </cell>
          <cell r="X591" t="str">
            <v>Aucune</v>
          </cell>
          <cell r="Y591" t="str">
            <v>Prévu</v>
          </cell>
          <cell r="Z591" t="str">
            <v>Reprise</v>
          </cell>
        </row>
        <row r="592">
          <cell r="A592">
            <v>3312</v>
          </cell>
          <cell r="B592">
            <v>1</v>
          </cell>
          <cell r="C592" t="str">
            <v>IV25884</v>
          </cell>
          <cell r="D592" t="str">
            <v>ACHAT D'UN JAR TEST POUR LES ESSAIS DE DECANTATION</v>
          </cell>
          <cell r="E592" t="str">
            <v>Approuvé</v>
          </cell>
          <cell r="F592" t="str">
            <v>K04215</v>
          </cell>
          <cell r="G592">
            <v>2</v>
          </cell>
          <cell r="H592" t="str">
            <v>Reprise</v>
          </cell>
          <cell r="I592" t="str">
            <v>REPRISE</v>
          </cell>
          <cell r="J592" t="str">
            <v>Budgété</v>
          </cell>
          <cell r="K592">
            <v>300000</v>
          </cell>
          <cell r="L592">
            <v>300000</v>
          </cell>
          <cell r="O592">
            <v>300000</v>
          </cell>
          <cell r="S592">
            <v>13605</v>
          </cell>
          <cell r="T592" t="str">
            <v>NABZAR AHMED</v>
          </cell>
          <cell r="U592" t="str">
            <v>Etudes et essais</v>
          </cell>
          <cell r="V592" t="str">
            <v>Reprise</v>
          </cell>
          <cell r="W592" t="str">
            <v>Dotations nouvelles</v>
          </cell>
          <cell r="X592" t="str">
            <v>Aucune</v>
          </cell>
          <cell r="Y592" t="str">
            <v>Prévu</v>
          </cell>
          <cell r="Z592" t="str">
            <v>Reprise</v>
          </cell>
        </row>
        <row r="593">
          <cell r="A593">
            <v>3313</v>
          </cell>
          <cell r="B593">
            <v>1</v>
          </cell>
          <cell r="C593" t="str">
            <v>IV25885</v>
          </cell>
          <cell r="D593" t="str">
            <v>AUGMENTATION DE LA CAPACITE DU POSTE DE SEPARATION SOLIDE LIQUIDE (BOUES ET PHOSPHATES)</v>
          </cell>
          <cell r="E593" t="str">
            <v>Approuvé</v>
          </cell>
          <cell r="F593" t="str">
            <v>K04215</v>
          </cell>
          <cell r="G593">
            <v>3</v>
          </cell>
          <cell r="H593" t="str">
            <v>Annulation</v>
          </cell>
          <cell r="I593" t="str">
            <v>ANNULATION</v>
          </cell>
          <cell r="J593" t="str">
            <v>Budgété</v>
          </cell>
          <cell r="K593">
            <v>0</v>
          </cell>
          <cell r="L593">
            <v>0</v>
          </cell>
          <cell r="O593">
            <v>0</v>
          </cell>
          <cell r="S593">
            <v>19573</v>
          </cell>
          <cell r="T593" t="str">
            <v>NABZAR AHMED</v>
          </cell>
          <cell r="U593" t="str">
            <v>Important</v>
          </cell>
          <cell r="V593" t="str">
            <v>Reprise</v>
          </cell>
          <cell r="W593" t="str">
            <v>Dotations nouvelles</v>
          </cell>
          <cell r="X593" t="str">
            <v>Aucune</v>
          </cell>
          <cell r="Y593" t="str">
            <v>Prévu</v>
          </cell>
          <cell r="Z593" t="str">
            <v>Reprise</v>
          </cell>
        </row>
        <row r="594">
          <cell r="A594">
            <v>3314</v>
          </cell>
          <cell r="B594">
            <v>1</v>
          </cell>
          <cell r="C594" t="str">
            <v>IV25887</v>
          </cell>
          <cell r="D594" t="str">
            <v>RN DES REFECTOIRES ET BLOCS SANITAIRE LAVERIE ET PARC EL WAFI</v>
          </cell>
          <cell r="E594" t="str">
            <v>Approuvé</v>
          </cell>
          <cell r="F594" t="str">
            <v>K04241</v>
          </cell>
          <cell r="G594">
            <v>2</v>
          </cell>
          <cell r="H594" t="str">
            <v>Reprise</v>
          </cell>
          <cell r="I594" t="str">
            <v>REPRISE</v>
          </cell>
          <cell r="J594" t="str">
            <v>Budgété</v>
          </cell>
          <cell r="K594">
            <v>490000</v>
          </cell>
          <cell r="L594">
            <v>490000</v>
          </cell>
          <cell r="O594">
            <v>490000</v>
          </cell>
          <cell r="S594">
            <v>13607</v>
          </cell>
          <cell r="T594" t="str">
            <v>NABZAR AHMED</v>
          </cell>
          <cell r="U594" t="str">
            <v>Administratif</v>
          </cell>
          <cell r="V594" t="str">
            <v>Reprise</v>
          </cell>
          <cell r="W594" t="str">
            <v>Renouvellement</v>
          </cell>
          <cell r="X594" t="str">
            <v>Aucune</v>
          </cell>
          <cell r="Y594" t="str">
            <v>Prévu</v>
          </cell>
          <cell r="Z594" t="str">
            <v>Reprise</v>
          </cell>
        </row>
        <row r="595">
          <cell r="A595">
            <v>3315</v>
          </cell>
          <cell r="B595">
            <v>1</v>
          </cell>
          <cell r="C595" t="str">
            <v>IV25888</v>
          </cell>
          <cell r="D595" t="str">
            <v>RENOVATION DE LA STATION DE FLOCULATION DAOUI</v>
          </cell>
          <cell r="E595" t="str">
            <v>Approuvé</v>
          </cell>
          <cell r="F595" t="str">
            <v>K04215</v>
          </cell>
          <cell r="G595">
            <v>2</v>
          </cell>
          <cell r="H595" t="str">
            <v>Reprise</v>
          </cell>
          <cell r="I595" t="str">
            <v>REPRISE</v>
          </cell>
          <cell r="J595" t="str">
            <v>Budgété</v>
          </cell>
          <cell r="K595">
            <v>480000</v>
          </cell>
          <cell r="L595">
            <v>480000</v>
          </cell>
          <cell r="O595">
            <v>480000</v>
          </cell>
          <cell r="S595">
            <v>13608</v>
          </cell>
          <cell r="T595" t="str">
            <v>NABZAR AHMED</v>
          </cell>
          <cell r="U595" t="str">
            <v>Ordinaire</v>
          </cell>
          <cell r="V595" t="str">
            <v>Reprise</v>
          </cell>
          <cell r="W595" t="str">
            <v>Dotations nouvelles</v>
          </cell>
          <cell r="X595" t="str">
            <v>Aucune</v>
          </cell>
          <cell r="Y595" t="str">
            <v>Prévu</v>
          </cell>
          <cell r="Z595" t="str">
            <v>Reprise</v>
          </cell>
        </row>
        <row r="596">
          <cell r="A596">
            <v>3316</v>
          </cell>
          <cell r="B596">
            <v>1</v>
          </cell>
          <cell r="C596" t="str">
            <v>IV25894</v>
          </cell>
          <cell r="D596" t="str">
            <v>MOBILIER DE BUREAU POUR PMK / AK /A</v>
          </cell>
          <cell r="E596" t="str">
            <v>Approuvé</v>
          </cell>
          <cell r="F596" t="str">
            <v>K01011</v>
          </cell>
          <cell r="G596">
            <v>2</v>
          </cell>
          <cell r="H596" t="str">
            <v>Reprise</v>
          </cell>
          <cell r="I596" t="str">
            <v>REPRISE</v>
          </cell>
          <cell r="J596" t="str">
            <v>Budgété</v>
          </cell>
          <cell r="K596">
            <v>77000</v>
          </cell>
          <cell r="L596">
            <v>77000</v>
          </cell>
          <cell r="O596">
            <v>77000</v>
          </cell>
          <cell r="S596">
            <v>13609</v>
          </cell>
          <cell r="T596" t="str">
            <v>NABZAR AHMED</v>
          </cell>
          <cell r="U596" t="str">
            <v>Administratif</v>
          </cell>
          <cell r="V596" t="str">
            <v>Reprise</v>
          </cell>
          <cell r="W596" t="str">
            <v>Renouvellement</v>
          </cell>
          <cell r="X596" t="str">
            <v>Aucune</v>
          </cell>
          <cell r="Y596" t="str">
            <v>Prévu</v>
          </cell>
          <cell r="Z596" t="str">
            <v>Reprise</v>
          </cell>
        </row>
        <row r="597">
          <cell r="A597">
            <v>3317</v>
          </cell>
          <cell r="B597">
            <v>1</v>
          </cell>
          <cell r="C597" t="str">
            <v>IV25895</v>
          </cell>
          <cell r="D597" t="str">
            <v>ACQUISITION  DE  08  APPAREILS TELEPHONIQUES  POUR  PMK / AK / A</v>
          </cell>
          <cell r="E597" t="str">
            <v>Approuvé</v>
          </cell>
          <cell r="F597" t="str">
            <v>K01011</v>
          </cell>
          <cell r="G597">
            <v>2</v>
          </cell>
          <cell r="H597" t="str">
            <v>Reprise</v>
          </cell>
          <cell r="I597" t="str">
            <v>REPRISE</v>
          </cell>
          <cell r="J597" t="str">
            <v>Budgété</v>
          </cell>
          <cell r="K597">
            <v>8000</v>
          </cell>
          <cell r="L597">
            <v>8000</v>
          </cell>
          <cell r="O597">
            <v>8000</v>
          </cell>
          <cell r="S597">
            <v>13610</v>
          </cell>
          <cell r="T597" t="str">
            <v>NABZAR AHMED</v>
          </cell>
          <cell r="U597" t="str">
            <v>Administratif</v>
          </cell>
          <cell r="V597" t="str">
            <v>Reprise</v>
          </cell>
          <cell r="W597" t="str">
            <v>Renouvellement</v>
          </cell>
          <cell r="X597" t="str">
            <v>Aucune</v>
          </cell>
          <cell r="Y597" t="str">
            <v>Prévu</v>
          </cell>
          <cell r="Z597" t="str">
            <v>Reprise</v>
          </cell>
        </row>
        <row r="598">
          <cell r="A598">
            <v>3318</v>
          </cell>
          <cell r="B598">
            <v>1</v>
          </cell>
          <cell r="C598" t="str">
            <v>IV25906</v>
          </cell>
          <cell r="D598" t="str">
            <v>ACQUISITION MOBILIER DE BUREAU</v>
          </cell>
          <cell r="E598" t="str">
            <v>Approuvé</v>
          </cell>
          <cell r="F598" t="str">
            <v>K11520</v>
          </cell>
          <cell r="G598">
            <v>2</v>
          </cell>
          <cell r="H598" t="str">
            <v>Reprise</v>
          </cell>
          <cell r="I598" t="str">
            <v>REPRISE</v>
          </cell>
          <cell r="J598" t="str">
            <v>Budgété</v>
          </cell>
          <cell r="K598">
            <v>34000</v>
          </cell>
          <cell r="L598">
            <v>34000</v>
          </cell>
          <cell r="O598">
            <v>34000</v>
          </cell>
          <cell r="S598">
            <v>13665</v>
          </cell>
          <cell r="T598" t="str">
            <v>NABZAR AHMED</v>
          </cell>
          <cell r="U598" t="str">
            <v>Administratif</v>
          </cell>
          <cell r="V598" t="str">
            <v>Reprise</v>
          </cell>
          <cell r="W598" t="str">
            <v>Dotations nouvelles</v>
          </cell>
          <cell r="X598" t="str">
            <v>Aucune</v>
          </cell>
          <cell r="Y598" t="str">
            <v>Prévu</v>
          </cell>
          <cell r="Z598" t="str">
            <v>Reprise</v>
          </cell>
        </row>
        <row r="599">
          <cell r="A599">
            <v>3319</v>
          </cell>
          <cell r="B599">
            <v>1</v>
          </cell>
          <cell r="C599" t="str">
            <v>IV25907</v>
          </cell>
          <cell r="D599" t="str">
            <v>EQUIPEMENT AUDIO-VISUEL</v>
          </cell>
          <cell r="E599" t="str">
            <v>Approuvé</v>
          </cell>
          <cell r="F599" t="str">
            <v>K11520</v>
          </cell>
          <cell r="G599">
            <v>2</v>
          </cell>
          <cell r="H599" t="str">
            <v>Reprise</v>
          </cell>
          <cell r="I599" t="str">
            <v>REPRISE</v>
          </cell>
          <cell r="J599" t="str">
            <v>Budgété</v>
          </cell>
          <cell r="K599">
            <v>35000</v>
          </cell>
          <cell r="L599">
            <v>35000</v>
          </cell>
          <cell r="O599">
            <v>35000</v>
          </cell>
          <cell r="S599">
            <v>13666</v>
          </cell>
          <cell r="T599" t="str">
            <v>NABZAR AHMED</v>
          </cell>
          <cell r="U599" t="str">
            <v>Administratif</v>
          </cell>
          <cell r="V599" t="str">
            <v>Reprise</v>
          </cell>
          <cell r="W599" t="str">
            <v>Dotations nouvelles</v>
          </cell>
          <cell r="X599" t="str">
            <v>Aucune</v>
          </cell>
          <cell r="Y599" t="str">
            <v>Prévu</v>
          </cell>
          <cell r="Z599" t="str">
            <v>Reprise</v>
          </cell>
        </row>
        <row r="600">
          <cell r="A600">
            <v>3320</v>
          </cell>
          <cell r="B600">
            <v>1</v>
          </cell>
          <cell r="C600" t="str">
            <v>IV25909</v>
          </cell>
          <cell r="D600" t="str">
            <v>ACQUISITION DE MOBILIER DE BUREAU POUR PMK / AK / J</v>
          </cell>
          <cell r="E600" t="str">
            <v>Approuvé</v>
          </cell>
          <cell r="F600" t="str">
            <v>K01012</v>
          </cell>
          <cell r="G600">
            <v>2</v>
          </cell>
          <cell r="H600" t="str">
            <v>Reprise</v>
          </cell>
          <cell r="I600" t="str">
            <v>REPRISE</v>
          </cell>
          <cell r="J600" t="str">
            <v>Budgété</v>
          </cell>
          <cell r="K600">
            <v>77000</v>
          </cell>
          <cell r="L600">
            <v>77000</v>
          </cell>
          <cell r="O600">
            <v>77000</v>
          </cell>
          <cell r="S600">
            <v>13667</v>
          </cell>
          <cell r="T600" t="str">
            <v>NABZAR AHMED</v>
          </cell>
          <cell r="U600" t="str">
            <v>Administratif</v>
          </cell>
          <cell r="V600" t="str">
            <v>Reprise</v>
          </cell>
          <cell r="W600" t="str">
            <v>Dotations nouvelles</v>
          </cell>
          <cell r="X600" t="str">
            <v>Aucune</v>
          </cell>
          <cell r="Y600" t="str">
            <v>Prévu</v>
          </cell>
          <cell r="Z600" t="str">
            <v>Reprise</v>
          </cell>
        </row>
        <row r="601">
          <cell r="A601">
            <v>3321</v>
          </cell>
          <cell r="B601">
            <v>1</v>
          </cell>
          <cell r="C601" t="str">
            <v>IV25910</v>
          </cell>
          <cell r="D601" t="str">
            <v>ACHAT DE 04 BASCULES INTERGATRICES</v>
          </cell>
          <cell r="E601" t="str">
            <v>Approuvé</v>
          </cell>
          <cell r="F601" t="str">
            <v>K03390</v>
          </cell>
          <cell r="G601">
            <v>2</v>
          </cell>
          <cell r="H601" t="str">
            <v>Reprise</v>
          </cell>
          <cell r="I601" t="str">
            <v>REPRISE</v>
          </cell>
          <cell r="J601" t="str">
            <v>Budgété</v>
          </cell>
          <cell r="K601">
            <v>400000</v>
          </cell>
          <cell r="L601">
            <v>400000</v>
          </cell>
          <cell r="O601">
            <v>400000</v>
          </cell>
          <cell r="S601">
            <v>13668</v>
          </cell>
          <cell r="T601" t="str">
            <v>EL KASSI SOUFIYANE</v>
          </cell>
          <cell r="U601" t="str">
            <v>Ordinaire</v>
          </cell>
          <cell r="V601" t="str">
            <v>Reprise</v>
          </cell>
          <cell r="W601" t="str">
            <v>Dotations nouvelles</v>
          </cell>
          <cell r="X601" t="str">
            <v>Aucune</v>
          </cell>
          <cell r="Y601" t="str">
            <v>Prévu</v>
          </cell>
          <cell r="Z601" t="str">
            <v>Reprise</v>
          </cell>
        </row>
        <row r="602">
          <cell r="A602">
            <v>3322</v>
          </cell>
          <cell r="B602">
            <v>1</v>
          </cell>
          <cell r="C602" t="str">
            <v>IV25920</v>
          </cell>
          <cell r="D602" t="str">
            <v>ACQUISITION  D'UNE  TABLE  POUR  MICRO  ET UNE  TABLE  DE  DECHARGE  POUR  PMK / AK / C</v>
          </cell>
          <cell r="E602" t="str">
            <v>Approuvé</v>
          </cell>
          <cell r="F602" t="str">
            <v>K01013</v>
          </cell>
          <cell r="G602">
            <v>2</v>
          </cell>
          <cell r="H602" t="str">
            <v>Reprise</v>
          </cell>
          <cell r="I602" t="str">
            <v>REPRISE</v>
          </cell>
          <cell r="J602" t="str">
            <v>Budgété</v>
          </cell>
          <cell r="K602">
            <v>4000</v>
          </cell>
          <cell r="L602">
            <v>4000</v>
          </cell>
          <cell r="O602">
            <v>4000</v>
          </cell>
          <cell r="S602">
            <v>13669</v>
          </cell>
          <cell r="T602" t="str">
            <v>NABZAR AHMED</v>
          </cell>
          <cell r="U602" t="str">
            <v>Administratif</v>
          </cell>
          <cell r="V602" t="str">
            <v>Reprise</v>
          </cell>
          <cell r="W602" t="str">
            <v>Dotations nouvelles</v>
          </cell>
          <cell r="X602" t="str">
            <v>Aucune</v>
          </cell>
          <cell r="Y602" t="str">
            <v>Prévu</v>
          </cell>
          <cell r="Z602" t="str">
            <v>Reprise</v>
          </cell>
        </row>
        <row r="603">
          <cell r="A603">
            <v>3323</v>
          </cell>
          <cell r="B603">
            <v>1</v>
          </cell>
          <cell r="C603" t="str">
            <v>IV25921</v>
          </cell>
          <cell r="D603" t="str">
            <v>ACQUISITION  D'UNE  ARMOIRE  POUR CLASSEMENT  ET D'UN  BAC  A  DOSSIER  POUR  PMK/AK/C.</v>
          </cell>
          <cell r="E603" t="str">
            <v>Approuvé</v>
          </cell>
          <cell r="F603" t="str">
            <v>K01013</v>
          </cell>
          <cell r="G603">
            <v>2</v>
          </cell>
          <cell r="H603" t="str">
            <v>Reprise</v>
          </cell>
          <cell r="I603" t="str">
            <v>REPRISE</v>
          </cell>
          <cell r="J603" t="str">
            <v>Budgété</v>
          </cell>
          <cell r="K603">
            <v>5500</v>
          </cell>
          <cell r="L603">
            <v>5500</v>
          </cell>
          <cell r="O603">
            <v>5500</v>
          </cell>
          <cell r="S603">
            <v>13670</v>
          </cell>
          <cell r="T603" t="str">
            <v>NABZAR AHMED</v>
          </cell>
          <cell r="U603" t="str">
            <v>Administratif</v>
          </cell>
          <cell r="V603" t="str">
            <v>Reprise</v>
          </cell>
          <cell r="W603" t="str">
            <v>Dotations nouvelles</v>
          </cell>
          <cell r="X603" t="str">
            <v>Aucune</v>
          </cell>
          <cell r="Y603" t="str">
            <v>Prévu</v>
          </cell>
          <cell r="Z603" t="str">
            <v>Reprise</v>
          </cell>
        </row>
        <row r="604">
          <cell r="A604">
            <v>3324</v>
          </cell>
          <cell r="B604">
            <v>1</v>
          </cell>
          <cell r="C604" t="str">
            <v>IV25923</v>
          </cell>
          <cell r="D604" t="str">
            <v xml:space="preserve"> RENOUVELLEMENT DES BUREAUX DE PMK / AK / C</v>
          </cell>
          <cell r="E604" t="str">
            <v>Approuvé</v>
          </cell>
          <cell r="F604" t="str">
            <v>K01013</v>
          </cell>
          <cell r="G604">
            <v>2</v>
          </cell>
          <cell r="H604" t="str">
            <v>Reprise</v>
          </cell>
          <cell r="I604" t="str">
            <v>REPRISE</v>
          </cell>
          <cell r="J604" t="str">
            <v>Budgété</v>
          </cell>
          <cell r="K604">
            <v>25000</v>
          </cell>
          <cell r="L604">
            <v>25000</v>
          </cell>
          <cell r="O604">
            <v>25000</v>
          </cell>
          <cell r="S604">
            <v>13671</v>
          </cell>
          <cell r="T604" t="str">
            <v>NABZAR AHMED</v>
          </cell>
          <cell r="U604" t="str">
            <v>Administratif</v>
          </cell>
          <cell r="V604" t="str">
            <v>Reprise</v>
          </cell>
          <cell r="W604" t="str">
            <v>Renouvellement</v>
          </cell>
          <cell r="X604" t="str">
            <v>Aucune</v>
          </cell>
          <cell r="Y604" t="str">
            <v>Prévu</v>
          </cell>
          <cell r="Z604" t="str">
            <v>Reprise</v>
          </cell>
        </row>
        <row r="605">
          <cell r="A605">
            <v>3325</v>
          </cell>
          <cell r="B605">
            <v>1</v>
          </cell>
          <cell r="C605" t="str">
            <v>IV25924</v>
          </cell>
          <cell r="D605" t="str">
            <v>ACQUISITION  DE  03  RAYONNAGES  POUR  ARCHIVAGE  POUR  PMK / AK / C</v>
          </cell>
          <cell r="E605" t="str">
            <v>Approuvé</v>
          </cell>
          <cell r="F605" t="str">
            <v>K01013</v>
          </cell>
          <cell r="G605">
            <v>2</v>
          </cell>
          <cell r="H605" t="str">
            <v>Reprise</v>
          </cell>
          <cell r="I605" t="str">
            <v>REPRISE</v>
          </cell>
          <cell r="J605" t="str">
            <v>Budgété</v>
          </cell>
          <cell r="K605">
            <v>30000</v>
          </cell>
          <cell r="L605">
            <v>30000</v>
          </cell>
          <cell r="O605">
            <v>30000</v>
          </cell>
          <cell r="S605">
            <v>13672</v>
          </cell>
          <cell r="T605" t="str">
            <v>NABZAR AHMED</v>
          </cell>
          <cell r="U605" t="str">
            <v>Administratif</v>
          </cell>
          <cell r="V605" t="str">
            <v>Reprise</v>
          </cell>
          <cell r="W605" t="str">
            <v>Dotations nouvelles</v>
          </cell>
          <cell r="X605" t="str">
            <v>Aucune</v>
          </cell>
          <cell r="Y605" t="str">
            <v>Prévu</v>
          </cell>
          <cell r="Z605" t="str">
            <v>Reprise</v>
          </cell>
        </row>
        <row r="606">
          <cell r="A606">
            <v>3326</v>
          </cell>
          <cell r="B606">
            <v>1</v>
          </cell>
          <cell r="C606" t="str">
            <v>IV25925</v>
          </cell>
          <cell r="D606" t="str">
            <v>ACQUISITION  D'UNE  FONTAINE  REFRIGERANTE  POUR  PMK / AK / C</v>
          </cell>
          <cell r="E606" t="str">
            <v>Approuvé</v>
          </cell>
          <cell r="F606" t="str">
            <v>K01013</v>
          </cell>
          <cell r="G606">
            <v>2</v>
          </cell>
          <cell r="H606" t="str">
            <v>Reprise</v>
          </cell>
          <cell r="I606" t="str">
            <v>REPRISE</v>
          </cell>
          <cell r="J606" t="str">
            <v>Budgété</v>
          </cell>
          <cell r="K606">
            <v>10000</v>
          </cell>
          <cell r="L606">
            <v>10000</v>
          </cell>
          <cell r="O606">
            <v>10000</v>
          </cell>
          <cell r="S606">
            <v>13673</v>
          </cell>
          <cell r="T606" t="str">
            <v>NABZAR AHMED</v>
          </cell>
          <cell r="U606" t="str">
            <v>Ordinaire</v>
          </cell>
          <cell r="V606" t="str">
            <v>Reprise</v>
          </cell>
          <cell r="W606" t="str">
            <v>Dotations nouvelles</v>
          </cell>
          <cell r="X606" t="str">
            <v>Aucune</v>
          </cell>
          <cell r="Y606" t="str">
            <v>Prévu</v>
          </cell>
          <cell r="Z606" t="str">
            <v>Reprise</v>
          </cell>
        </row>
        <row r="607">
          <cell r="A607">
            <v>3327</v>
          </cell>
          <cell r="B607">
            <v>1</v>
          </cell>
          <cell r="C607" t="str">
            <v>IV25928</v>
          </cell>
          <cell r="D607" t="str">
            <v>EQUIPEMENT DES NOUVEAUX BUREAUX DU SERVICE MATERIEL DE PMK/TD</v>
          </cell>
          <cell r="E607" t="str">
            <v>Approuvé</v>
          </cell>
          <cell r="F607" t="str">
            <v>K04702</v>
          </cell>
          <cell r="G607">
            <v>2</v>
          </cell>
          <cell r="H607" t="str">
            <v>Reprise</v>
          </cell>
          <cell r="I607" t="str">
            <v>REPRISE</v>
          </cell>
          <cell r="J607" t="str">
            <v>Budgété</v>
          </cell>
          <cell r="K607">
            <v>480000</v>
          </cell>
          <cell r="L607">
            <v>480000</v>
          </cell>
          <cell r="O607">
            <v>480000</v>
          </cell>
          <cell r="S607">
            <v>13674</v>
          </cell>
          <cell r="T607" t="str">
            <v>BENMAKHLOUF HATIM</v>
          </cell>
          <cell r="U607" t="str">
            <v>Administratif</v>
          </cell>
          <cell r="V607" t="str">
            <v>Reprise</v>
          </cell>
          <cell r="W607" t="str">
            <v>Dotations nouvelles</v>
          </cell>
          <cell r="X607" t="str">
            <v>Aucune</v>
          </cell>
          <cell r="Y607" t="str">
            <v>Prévu</v>
          </cell>
          <cell r="Z607" t="str">
            <v>Reprise</v>
          </cell>
        </row>
        <row r="608">
          <cell r="A608">
            <v>3328</v>
          </cell>
          <cell r="B608">
            <v>1</v>
          </cell>
          <cell r="C608" t="str">
            <v>IV25932</v>
          </cell>
          <cell r="D608" t="str">
            <v>ACHAT D'UN MOTEUR THERMIQUE DIESEL CUMMINS-M11 POUR LES 03 CAMIONS TEREX TA30 DE RAVITAILLEMENT.</v>
          </cell>
          <cell r="E608" t="str">
            <v>Approuvé</v>
          </cell>
          <cell r="F608" t="str">
            <v>K03555</v>
          </cell>
          <cell r="G608">
            <v>2</v>
          </cell>
          <cell r="H608" t="str">
            <v>Reprise</v>
          </cell>
          <cell r="I608" t="str">
            <v>REPRISE</v>
          </cell>
          <cell r="J608" t="str">
            <v>Budgété</v>
          </cell>
          <cell r="K608">
            <v>600000</v>
          </cell>
          <cell r="L608">
            <v>600000</v>
          </cell>
          <cell r="O608">
            <v>600000</v>
          </cell>
          <cell r="S608">
            <v>13675</v>
          </cell>
          <cell r="T608" t="str">
            <v>KHOUILI ABDELAADIM</v>
          </cell>
          <cell r="U608" t="str">
            <v>Ordinaire</v>
          </cell>
          <cell r="V608" t="str">
            <v>Reprise</v>
          </cell>
          <cell r="W608" t="str">
            <v>Dotations nouvelles</v>
          </cell>
          <cell r="X608" t="str">
            <v>Aucune</v>
          </cell>
          <cell r="Y608" t="str">
            <v>Prévu</v>
          </cell>
          <cell r="Z608" t="str">
            <v>Reprise</v>
          </cell>
        </row>
        <row r="609">
          <cell r="A609">
            <v>3329</v>
          </cell>
          <cell r="B609">
            <v>1</v>
          </cell>
          <cell r="C609" t="str">
            <v>IV25978</v>
          </cell>
          <cell r="D609" t="str">
            <v>ACQUISITION DES ÉQUIPEMENTS DE FROID ET CLIMATISATION</v>
          </cell>
          <cell r="E609" t="str">
            <v>Approuvé</v>
          </cell>
          <cell r="F609" t="str">
            <v>K11707</v>
          </cell>
          <cell r="G609">
            <v>2</v>
          </cell>
          <cell r="H609" t="str">
            <v>Reprise</v>
          </cell>
          <cell r="I609" t="str">
            <v>REPRISE</v>
          </cell>
          <cell r="J609" t="str">
            <v>Budgété</v>
          </cell>
          <cell r="K609">
            <v>200000</v>
          </cell>
          <cell r="L609">
            <v>200000</v>
          </cell>
          <cell r="O609">
            <v>200000</v>
          </cell>
          <cell r="S609">
            <v>13676</v>
          </cell>
          <cell r="T609" t="str">
            <v>NABZAR AHMED</v>
          </cell>
          <cell r="U609" t="str">
            <v>Ordinaire</v>
          </cell>
          <cell r="V609" t="str">
            <v>Reprise</v>
          </cell>
          <cell r="W609" t="str">
            <v>Dotations nouvelles</v>
          </cell>
          <cell r="X609" t="str">
            <v>Aucune</v>
          </cell>
          <cell r="Y609" t="str">
            <v>Prévu</v>
          </cell>
          <cell r="Z609" t="str">
            <v>Reprise</v>
          </cell>
        </row>
        <row r="610">
          <cell r="A610">
            <v>3330</v>
          </cell>
          <cell r="B610">
            <v>1</v>
          </cell>
          <cell r="C610" t="str">
            <v>IV25980</v>
          </cell>
          <cell r="D610" t="str">
            <v>EXTENSION DE L'ATELIER DE BOBINAGE</v>
          </cell>
          <cell r="E610" t="str">
            <v>Approuvé</v>
          </cell>
          <cell r="F610" t="str">
            <v>K11709</v>
          </cell>
          <cell r="G610">
            <v>2</v>
          </cell>
          <cell r="H610" t="str">
            <v>Reprise</v>
          </cell>
          <cell r="I610" t="str">
            <v>REPRISE</v>
          </cell>
          <cell r="J610" t="str">
            <v>Budgété</v>
          </cell>
          <cell r="K610">
            <v>1500000</v>
          </cell>
          <cell r="L610">
            <v>1500000</v>
          </cell>
          <cell r="O610">
            <v>1500000</v>
          </cell>
          <cell r="S610">
            <v>13677</v>
          </cell>
          <cell r="T610" t="str">
            <v>NABZAR AHMED</v>
          </cell>
          <cell r="U610" t="str">
            <v>Ordinaire</v>
          </cell>
          <cell r="V610" t="str">
            <v>Reprise</v>
          </cell>
          <cell r="W610" t="str">
            <v>Dotations nouvelles</v>
          </cell>
          <cell r="X610" t="str">
            <v>Aucune</v>
          </cell>
          <cell r="Y610" t="str">
            <v>Prévu</v>
          </cell>
          <cell r="Z610" t="str">
            <v>Reprise</v>
          </cell>
        </row>
        <row r="611">
          <cell r="A611">
            <v>3331</v>
          </cell>
          <cell r="B611">
            <v>1</v>
          </cell>
          <cell r="C611" t="str">
            <v>IV25981</v>
          </cell>
          <cell r="D611" t="str">
            <v xml:space="preserve">ACQUISITION DES ÉLECTROPOMPES DE RELAIS POUR FORAGES </v>
          </cell>
          <cell r="E611" t="str">
            <v>Approuvé</v>
          </cell>
          <cell r="F611" t="str">
            <v>K11701</v>
          </cell>
          <cell r="G611">
            <v>2</v>
          </cell>
          <cell r="H611" t="str">
            <v>Reprise</v>
          </cell>
          <cell r="I611" t="str">
            <v>REPRISE</v>
          </cell>
          <cell r="J611" t="str">
            <v>Budgété</v>
          </cell>
          <cell r="K611">
            <v>500000</v>
          </cell>
          <cell r="L611">
            <v>500000</v>
          </cell>
          <cell r="O611">
            <v>500000</v>
          </cell>
          <cell r="S611">
            <v>13678</v>
          </cell>
          <cell r="T611" t="str">
            <v>NABZAR AHMED</v>
          </cell>
          <cell r="U611" t="str">
            <v>Ordinaire</v>
          </cell>
          <cell r="V611" t="str">
            <v>Reprise</v>
          </cell>
          <cell r="W611" t="str">
            <v>Dotations nouvelles</v>
          </cell>
          <cell r="X611" t="str">
            <v>Aucune</v>
          </cell>
          <cell r="Y611" t="str">
            <v>Prévu</v>
          </cell>
          <cell r="Z611" t="str">
            <v>Reprise</v>
          </cell>
        </row>
        <row r="612">
          <cell r="A612">
            <v>3332</v>
          </cell>
          <cell r="B612">
            <v>1</v>
          </cell>
          <cell r="C612" t="str">
            <v>IV26183</v>
          </cell>
          <cell r="D612" t="str">
            <v>ACHAT DES APPAREILS TELEPHONIQUES BLINDES POUR LES INSTALLATIONS PMK/TB</v>
          </cell>
          <cell r="E612" t="str">
            <v>Approuvé</v>
          </cell>
          <cell r="F612" t="str">
            <v>K04131</v>
          </cell>
          <cell r="G612">
            <v>2</v>
          </cell>
          <cell r="H612" t="str">
            <v>Reprise</v>
          </cell>
          <cell r="I612" t="str">
            <v>REPRISE</v>
          </cell>
          <cell r="J612" t="str">
            <v>Budgété</v>
          </cell>
          <cell r="K612">
            <v>150000</v>
          </cell>
          <cell r="L612">
            <v>150000</v>
          </cell>
          <cell r="O612">
            <v>150000</v>
          </cell>
          <cell r="S612">
            <v>13679</v>
          </cell>
          <cell r="T612" t="str">
            <v>BENCHEKROUN MOUHSINE HAMEDA</v>
          </cell>
          <cell r="U612" t="str">
            <v>Ordinaire</v>
          </cell>
          <cell r="V612" t="str">
            <v>Reprise</v>
          </cell>
          <cell r="W612" t="str">
            <v>Dotations nouvelles</v>
          </cell>
          <cell r="X612" t="str">
            <v>Aucune</v>
          </cell>
          <cell r="Y612" t="str">
            <v>Prévu</v>
          </cell>
          <cell r="Z612" t="str">
            <v>Reprise</v>
          </cell>
        </row>
        <row r="613">
          <cell r="A613">
            <v>3333</v>
          </cell>
          <cell r="B613">
            <v>1</v>
          </cell>
          <cell r="C613" t="str">
            <v>IV26187</v>
          </cell>
          <cell r="D613" t="str">
            <v>RN DE 02 MOTEURS THERMIQUES DIESEL POUR LA CHARGEUSE ET LA GRUE DE PMK/T</v>
          </cell>
          <cell r="E613" t="str">
            <v>Approuvé</v>
          </cell>
          <cell r="F613" t="str">
            <v>K04516</v>
          </cell>
          <cell r="G613">
            <v>2</v>
          </cell>
          <cell r="H613" t="str">
            <v>Reprise</v>
          </cell>
          <cell r="I613" t="str">
            <v>REPRISE</v>
          </cell>
          <cell r="J613" t="str">
            <v>Budgété</v>
          </cell>
          <cell r="K613">
            <v>450000</v>
          </cell>
          <cell r="L613">
            <v>450000</v>
          </cell>
          <cell r="O613">
            <v>450000</v>
          </cell>
          <cell r="S613">
            <v>13680</v>
          </cell>
          <cell r="T613" t="str">
            <v>NABZAR AHMED</v>
          </cell>
          <cell r="U613" t="str">
            <v>Ordinaire</v>
          </cell>
          <cell r="V613" t="str">
            <v>Reprise</v>
          </cell>
          <cell r="W613" t="str">
            <v>Renouvellement</v>
          </cell>
          <cell r="X613" t="str">
            <v>Aucune</v>
          </cell>
          <cell r="Y613" t="str">
            <v>Prévu</v>
          </cell>
          <cell r="Z613" t="str">
            <v>Reprise</v>
          </cell>
        </row>
        <row r="614">
          <cell r="A614">
            <v>3334</v>
          </cell>
          <cell r="B614">
            <v>1</v>
          </cell>
          <cell r="C614" t="str">
            <v>IV26190</v>
          </cell>
          <cell r="D614" t="str">
            <v>RN DU GROUPE ELECTROGENE POUR L'ANTENNE DE SECURITE DU COZ</v>
          </cell>
          <cell r="E614" t="str">
            <v>Approuvé</v>
          </cell>
          <cell r="F614" t="str">
            <v>K04012</v>
          </cell>
          <cell r="G614">
            <v>3</v>
          </cell>
          <cell r="H614" t="str">
            <v>Report 2007</v>
          </cell>
          <cell r="I614" t="str">
            <v>REPORT</v>
          </cell>
          <cell r="J614" t="str">
            <v>Budgété</v>
          </cell>
          <cell r="K614">
            <v>111600</v>
          </cell>
          <cell r="L614">
            <v>111600</v>
          </cell>
          <cell r="M614">
            <v>111600</v>
          </cell>
          <cell r="N614">
            <v>111600</v>
          </cell>
          <cell r="O614">
            <v>0</v>
          </cell>
          <cell r="S614">
            <v>23759</v>
          </cell>
          <cell r="T614" t="str">
            <v>NABZAR AHMED</v>
          </cell>
          <cell r="U614" t="str">
            <v>Ordinaire</v>
          </cell>
          <cell r="V614" t="str">
            <v>Reprise</v>
          </cell>
          <cell r="W614" t="str">
            <v>Renouvellement</v>
          </cell>
          <cell r="X614" t="str">
            <v>Aucune</v>
          </cell>
          <cell r="Y614" t="str">
            <v>Prévu</v>
          </cell>
          <cell r="Z614" t="str">
            <v>Reprise</v>
          </cell>
        </row>
        <row r="615">
          <cell r="A615">
            <v>3335</v>
          </cell>
          <cell r="B615">
            <v>1</v>
          </cell>
          <cell r="C615" t="str">
            <v>IV26199</v>
          </cell>
          <cell r="D615" t="str">
            <v>ACHAT DES APPAREILS DE FROID ET DE CLIMATISATION, POUR LES INSTALLATIONS PMK/TB</v>
          </cell>
          <cell r="E615" t="str">
            <v>Approuvé</v>
          </cell>
          <cell r="F615" t="str">
            <v>K04131</v>
          </cell>
          <cell r="G615">
            <v>2</v>
          </cell>
          <cell r="H615" t="str">
            <v>Reprise</v>
          </cell>
          <cell r="I615" t="str">
            <v>REPRISE</v>
          </cell>
          <cell r="J615" t="str">
            <v>Budgété</v>
          </cell>
          <cell r="K615">
            <v>244000</v>
          </cell>
          <cell r="L615">
            <v>244000</v>
          </cell>
          <cell r="O615">
            <v>244000</v>
          </cell>
          <cell r="S615">
            <v>13682</v>
          </cell>
          <cell r="T615" t="str">
            <v>NABZAR AHMED</v>
          </cell>
          <cell r="U615" t="str">
            <v>Administratif</v>
          </cell>
          <cell r="V615" t="str">
            <v>Reprise</v>
          </cell>
          <cell r="W615" t="str">
            <v>Dotations nouvelles</v>
          </cell>
          <cell r="X615" t="str">
            <v>Aucune</v>
          </cell>
          <cell r="Y615" t="str">
            <v>Prévu</v>
          </cell>
          <cell r="Z615" t="str">
            <v>Reprise</v>
          </cell>
        </row>
        <row r="616">
          <cell r="A616">
            <v>3336</v>
          </cell>
          <cell r="B616">
            <v>1</v>
          </cell>
          <cell r="C616" t="str">
            <v>IV26270</v>
          </cell>
          <cell r="D616" t="str">
            <v>ACHAT DE LOGICIELS D'AIDE A L'EXPLOITATION ET A LA MAINTENANCE</v>
          </cell>
          <cell r="E616" t="str">
            <v>Approuvé</v>
          </cell>
          <cell r="F616" t="str">
            <v>K04001</v>
          </cell>
          <cell r="G616">
            <v>2</v>
          </cell>
          <cell r="H616" t="str">
            <v>Reprise</v>
          </cell>
          <cell r="I616" t="str">
            <v>REPRISE</v>
          </cell>
          <cell r="J616" t="str">
            <v>Budgété</v>
          </cell>
          <cell r="K616">
            <v>1500000</v>
          </cell>
          <cell r="L616">
            <v>1500000</v>
          </cell>
          <cell r="O616">
            <v>1500000</v>
          </cell>
          <cell r="S616">
            <v>13683</v>
          </cell>
          <cell r="T616" t="str">
            <v>MANSOURI OMAR</v>
          </cell>
          <cell r="U616" t="str">
            <v>Administratif</v>
          </cell>
          <cell r="V616" t="str">
            <v>Reprise</v>
          </cell>
          <cell r="W616" t="str">
            <v>Dotations nouvelles</v>
          </cell>
          <cell r="X616" t="str">
            <v>Aucune</v>
          </cell>
          <cell r="Y616" t="str">
            <v>Prévu</v>
          </cell>
          <cell r="Z616" t="str">
            <v>Reprise</v>
          </cell>
        </row>
        <row r="617">
          <cell r="A617">
            <v>3337</v>
          </cell>
          <cell r="B617">
            <v>1</v>
          </cell>
          <cell r="C617" t="str">
            <v>IV26273</v>
          </cell>
          <cell r="D617" t="str">
            <v>REGULARISATION DE LA SORTIE DE LA BANDE TRANSPORTEUSE POUR CONSOMMATION</v>
          </cell>
          <cell r="E617" t="str">
            <v>Approuvé</v>
          </cell>
          <cell r="F617" t="str">
            <v>K07209</v>
          </cell>
          <cell r="G617">
            <v>2</v>
          </cell>
          <cell r="H617" t="str">
            <v>Reprise</v>
          </cell>
          <cell r="I617" t="str">
            <v>REPRISE</v>
          </cell>
          <cell r="J617" t="str">
            <v>Budgété</v>
          </cell>
          <cell r="K617">
            <v>5457240</v>
          </cell>
          <cell r="L617">
            <v>5457240</v>
          </cell>
          <cell r="O617">
            <v>5457240</v>
          </cell>
          <cell r="S617">
            <v>13684</v>
          </cell>
          <cell r="T617" t="str">
            <v>EZZAKI Hassan</v>
          </cell>
          <cell r="U617" t="str">
            <v>Ordinaire</v>
          </cell>
          <cell r="V617" t="str">
            <v>Reprise</v>
          </cell>
          <cell r="W617" t="str">
            <v>Dotations nouvelles</v>
          </cell>
          <cell r="X617" t="str">
            <v>Aucune</v>
          </cell>
          <cell r="Y617" t="str">
            <v>Prévu</v>
          </cell>
          <cell r="Z617" t="str">
            <v>Reprise</v>
          </cell>
        </row>
        <row r="618">
          <cell r="A618">
            <v>3338</v>
          </cell>
          <cell r="B618">
            <v>1</v>
          </cell>
          <cell r="C618" t="str">
            <v>IV26274</v>
          </cell>
          <cell r="D618" t="str">
            <v>04 CLIMATISEURS</v>
          </cell>
          <cell r="E618" t="str">
            <v>Approuvé</v>
          </cell>
          <cell r="F618" t="str">
            <v>K11800</v>
          </cell>
          <cell r="G618">
            <v>2</v>
          </cell>
          <cell r="H618" t="str">
            <v>Reprise</v>
          </cell>
          <cell r="I618" t="str">
            <v>REPRISE</v>
          </cell>
          <cell r="J618" t="str">
            <v>Budgété</v>
          </cell>
          <cell r="K618">
            <v>40000</v>
          </cell>
          <cell r="L618">
            <v>40000</v>
          </cell>
          <cell r="O618">
            <v>40000</v>
          </cell>
          <cell r="S618">
            <v>13685</v>
          </cell>
          <cell r="T618" t="str">
            <v>NABZAR AHMED</v>
          </cell>
          <cell r="U618" t="str">
            <v>Administratif</v>
          </cell>
          <cell r="V618" t="str">
            <v>Reprise</v>
          </cell>
          <cell r="W618" t="str">
            <v>Dotations nouvelles</v>
          </cell>
          <cell r="X618" t="str">
            <v>Aucune</v>
          </cell>
          <cell r="Y618" t="str">
            <v>Prévu</v>
          </cell>
          <cell r="Z618" t="str">
            <v>Reprise</v>
          </cell>
        </row>
        <row r="619">
          <cell r="A619">
            <v>3339</v>
          </cell>
          <cell r="B619">
            <v>1</v>
          </cell>
          <cell r="C619" t="str">
            <v>IV26275</v>
          </cell>
          <cell r="D619" t="str">
            <v>MOBILIER DE BUREAU</v>
          </cell>
          <cell r="E619" t="str">
            <v>Approuvé</v>
          </cell>
          <cell r="F619" t="str">
            <v>K11800</v>
          </cell>
          <cell r="G619">
            <v>2</v>
          </cell>
          <cell r="H619" t="str">
            <v>Reprise</v>
          </cell>
          <cell r="I619" t="str">
            <v>REPRISE</v>
          </cell>
          <cell r="J619" t="str">
            <v>Budgété</v>
          </cell>
          <cell r="K619">
            <v>44000</v>
          </cell>
          <cell r="L619">
            <v>44000</v>
          </cell>
          <cell r="O619">
            <v>44000</v>
          </cell>
          <cell r="S619">
            <v>13686</v>
          </cell>
          <cell r="T619" t="str">
            <v>NABZAR AHMED</v>
          </cell>
          <cell r="U619" t="str">
            <v>Administratif</v>
          </cell>
          <cell r="V619" t="str">
            <v>Reprise</v>
          </cell>
          <cell r="W619" t="str">
            <v>Dotations nouvelles</v>
          </cell>
          <cell r="X619" t="str">
            <v>Aucune</v>
          </cell>
          <cell r="Y619" t="str">
            <v>Prévu</v>
          </cell>
          <cell r="Z619" t="str">
            <v>Reprise</v>
          </cell>
        </row>
        <row r="620">
          <cell r="A620">
            <v>3340</v>
          </cell>
          <cell r="B620">
            <v>1</v>
          </cell>
          <cell r="C620" t="str">
            <v>IV26276</v>
          </cell>
          <cell r="D620" t="str">
            <v>05 APPAREILS TELEPHONIQUES</v>
          </cell>
          <cell r="E620" t="str">
            <v>Approuvé</v>
          </cell>
          <cell r="F620" t="str">
            <v>K11800</v>
          </cell>
          <cell r="G620">
            <v>2</v>
          </cell>
          <cell r="H620" t="str">
            <v>Reprise</v>
          </cell>
          <cell r="I620" t="str">
            <v>REPRISE</v>
          </cell>
          <cell r="J620" t="str">
            <v>Budgété</v>
          </cell>
          <cell r="K620">
            <v>5000</v>
          </cell>
          <cell r="L620">
            <v>5000</v>
          </cell>
          <cell r="O620">
            <v>5000</v>
          </cell>
          <cell r="S620">
            <v>13687</v>
          </cell>
          <cell r="T620" t="str">
            <v>NABZAR AHMED</v>
          </cell>
          <cell r="U620" t="str">
            <v>Administratif</v>
          </cell>
          <cell r="V620" t="str">
            <v>Reprise</v>
          </cell>
          <cell r="W620" t="str">
            <v>Dotations nouvelles</v>
          </cell>
          <cell r="X620" t="str">
            <v>Aucune</v>
          </cell>
          <cell r="Y620" t="str">
            <v>Prévu</v>
          </cell>
          <cell r="Z620" t="str">
            <v>Reprise</v>
          </cell>
        </row>
        <row r="621">
          <cell r="A621">
            <v>3341</v>
          </cell>
          <cell r="B621">
            <v>1</v>
          </cell>
          <cell r="C621" t="str">
            <v>IV26278</v>
          </cell>
          <cell r="D621" t="str">
            <v>CLIMATISEURS DE BUREAU</v>
          </cell>
          <cell r="E621" t="str">
            <v>Approuvé</v>
          </cell>
          <cell r="F621" t="str">
            <v>K07019</v>
          </cell>
          <cell r="G621">
            <v>2</v>
          </cell>
          <cell r="H621" t="str">
            <v>Reprise</v>
          </cell>
          <cell r="I621" t="str">
            <v>REPRISE</v>
          </cell>
          <cell r="J621" t="str">
            <v>Budgété</v>
          </cell>
          <cell r="K621">
            <v>110000</v>
          </cell>
          <cell r="L621">
            <v>110000</v>
          </cell>
          <cell r="O621">
            <v>110000</v>
          </cell>
          <cell r="S621">
            <v>13688</v>
          </cell>
          <cell r="T621" t="str">
            <v>EZZAKI Hassan</v>
          </cell>
          <cell r="U621" t="str">
            <v>Administratif</v>
          </cell>
          <cell r="V621" t="str">
            <v>Reprise</v>
          </cell>
          <cell r="W621" t="str">
            <v>Dotations nouvelles</v>
          </cell>
          <cell r="X621" t="str">
            <v>Aucune</v>
          </cell>
          <cell r="Y621" t="str">
            <v>Prévu</v>
          </cell>
          <cell r="Z621" t="str">
            <v>Reprise</v>
          </cell>
        </row>
        <row r="622">
          <cell r="A622">
            <v>3342</v>
          </cell>
          <cell r="B622">
            <v>1</v>
          </cell>
          <cell r="C622" t="str">
            <v>IV26283</v>
          </cell>
          <cell r="D622" t="str">
            <v>ACHAT MATERIEL POUR L'ATELIER MECANIQUE DE PMK/TD/MM-D</v>
          </cell>
          <cell r="E622" t="str">
            <v>Approuvé</v>
          </cell>
          <cell r="F622" t="str">
            <v>K04702</v>
          </cell>
          <cell r="G622">
            <v>2</v>
          </cell>
          <cell r="H622" t="str">
            <v>Reprise</v>
          </cell>
          <cell r="I622" t="str">
            <v>REPRISE</v>
          </cell>
          <cell r="J622" t="str">
            <v>Budgété</v>
          </cell>
          <cell r="K622">
            <v>111500</v>
          </cell>
          <cell r="L622">
            <v>111500</v>
          </cell>
          <cell r="O622">
            <v>111500</v>
          </cell>
          <cell r="S622">
            <v>13689</v>
          </cell>
          <cell r="T622" t="str">
            <v>BENMAKHLOUF HATIM</v>
          </cell>
          <cell r="U622" t="str">
            <v>Ordinaire</v>
          </cell>
          <cell r="V622" t="str">
            <v>Reprise</v>
          </cell>
          <cell r="W622" t="str">
            <v>Dotations nouvelles</v>
          </cell>
          <cell r="X622" t="str">
            <v>Aucune</v>
          </cell>
          <cell r="Y622" t="str">
            <v>Prévu</v>
          </cell>
          <cell r="Z622" t="str">
            <v>Reprise</v>
          </cell>
        </row>
        <row r="623">
          <cell r="A623">
            <v>3343</v>
          </cell>
          <cell r="B623">
            <v>1</v>
          </cell>
          <cell r="C623" t="str">
            <v>IV26284</v>
          </cell>
          <cell r="D623" t="str">
            <v>RN DU MOBILIER ET D'EQUIPENEMT DU BUREAU A PMK/TB</v>
          </cell>
          <cell r="E623" t="str">
            <v>Approuvé</v>
          </cell>
          <cell r="F623" t="str">
            <v>K04131</v>
          </cell>
          <cell r="G623">
            <v>2</v>
          </cell>
          <cell r="H623" t="str">
            <v>Reprise</v>
          </cell>
          <cell r="I623" t="str">
            <v>REPRISE</v>
          </cell>
          <cell r="J623" t="str">
            <v>Budgété</v>
          </cell>
          <cell r="K623">
            <v>171000</v>
          </cell>
          <cell r="L623">
            <v>171000</v>
          </cell>
          <cell r="O623">
            <v>171000</v>
          </cell>
          <cell r="S623">
            <v>13690</v>
          </cell>
          <cell r="T623" t="str">
            <v>BENCHEKROUN MOUHSINE HAMEDA</v>
          </cell>
          <cell r="U623" t="str">
            <v>Administratif</v>
          </cell>
          <cell r="V623" t="str">
            <v>Reprise</v>
          </cell>
          <cell r="W623" t="str">
            <v>Renouvellement</v>
          </cell>
          <cell r="X623" t="str">
            <v>Aucune</v>
          </cell>
          <cell r="Y623" t="str">
            <v>Prévu</v>
          </cell>
          <cell r="Z623" t="str">
            <v>Reprise</v>
          </cell>
        </row>
        <row r="624">
          <cell r="A624">
            <v>3344</v>
          </cell>
          <cell r="B624">
            <v>1</v>
          </cell>
          <cell r="C624" t="str">
            <v>IV26286</v>
          </cell>
          <cell r="D624" t="str">
            <v>ACQUISITION DE 02 CUISINIERES PROFESSIONNELLES 08 FEUX POUR RESTAURANTS OCP KHOURIBGA</v>
          </cell>
          <cell r="E624" t="str">
            <v>Approuvé</v>
          </cell>
          <cell r="F624" t="str">
            <v>K01032</v>
          </cell>
          <cell r="G624">
            <v>2</v>
          </cell>
          <cell r="H624" t="str">
            <v>Reprise</v>
          </cell>
          <cell r="I624" t="str">
            <v>REPRISE</v>
          </cell>
          <cell r="J624" t="str">
            <v>Budgété</v>
          </cell>
          <cell r="K624">
            <v>400000</v>
          </cell>
          <cell r="L624">
            <v>400000</v>
          </cell>
          <cell r="O624">
            <v>400000</v>
          </cell>
          <cell r="S624">
            <v>13691</v>
          </cell>
          <cell r="T624" t="str">
            <v>NABZAR AHMED</v>
          </cell>
          <cell r="U624" t="str">
            <v>Social</v>
          </cell>
          <cell r="V624" t="str">
            <v>Reprise</v>
          </cell>
          <cell r="W624" t="str">
            <v>Dotations nouvelles</v>
          </cell>
          <cell r="X624" t="str">
            <v>Aucune</v>
          </cell>
          <cell r="Y624" t="str">
            <v>Prévu</v>
          </cell>
          <cell r="Z624" t="str">
            <v>Reprise</v>
          </cell>
        </row>
        <row r="625">
          <cell r="A625">
            <v>3345</v>
          </cell>
          <cell r="B625">
            <v>1</v>
          </cell>
          <cell r="C625" t="str">
            <v>IV26290</v>
          </cell>
          <cell r="D625" t="str">
            <v>RENOUVELLEMENT DE 12 EXTINCTEURS</v>
          </cell>
          <cell r="E625" t="str">
            <v>Approuvé</v>
          </cell>
          <cell r="F625" t="str">
            <v>K03053</v>
          </cell>
          <cell r="G625">
            <v>2</v>
          </cell>
          <cell r="H625" t="str">
            <v>Reprise</v>
          </cell>
          <cell r="I625" t="str">
            <v>REPRISE</v>
          </cell>
          <cell r="J625" t="str">
            <v>Budgété</v>
          </cell>
          <cell r="K625">
            <v>8400</v>
          </cell>
          <cell r="L625">
            <v>8400</v>
          </cell>
          <cell r="O625">
            <v>8400</v>
          </cell>
          <cell r="S625">
            <v>13692</v>
          </cell>
          <cell r="T625" t="str">
            <v>SAAD Khalifa</v>
          </cell>
          <cell r="U625" t="str">
            <v>Ordinaire</v>
          </cell>
          <cell r="V625" t="str">
            <v>Reprise</v>
          </cell>
          <cell r="W625" t="str">
            <v>Renouvellement</v>
          </cell>
          <cell r="X625" t="str">
            <v>Aucune</v>
          </cell>
          <cell r="Y625" t="str">
            <v>Prévu</v>
          </cell>
          <cell r="Z625" t="str">
            <v>Reprise</v>
          </cell>
        </row>
        <row r="626">
          <cell r="A626">
            <v>3346</v>
          </cell>
          <cell r="B626">
            <v>1</v>
          </cell>
          <cell r="C626" t="str">
            <v>IV26291</v>
          </cell>
          <cell r="D626" t="str">
            <v>REMISE A NIVEAU ET EXTENSION DES INFRASTRUCTURES DE TÉLÉCOMMUNICATION ET TRANSMISSION DE DONNÉES A PMK/T</v>
          </cell>
          <cell r="E626" t="str">
            <v>Approuvé</v>
          </cell>
          <cell r="F626" t="str">
            <v>K04001</v>
          </cell>
          <cell r="G626">
            <v>2</v>
          </cell>
          <cell r="H626" t="str">
            <v>Reprise</v>
          </cell>
          <cell r="I626" t="str">
            <v>REPRISE</v>
          </cell>
          <cell r="J626" t="str">
            <v>Budgété</v>
          </cell>
          <cell r="K626">
            <v>4000000</v>
          </cell>
          <cell r="L626">
            <v>4000000</v>
          </cell>
          <cell r="O626">
            <v>4000000</v>
          </cell>
          <cell r="S626">
            <v>13693</v>
          </cell>
          <cell r="T626" t="str">
            <v>NABZAR AHMED</v>
          </cell>
          <cell r="U626" t="str">
            <v>Administratif</v>
          </cell>
          <cell r="V626" t="str">
            <v>Reprise</v>
          </cell>
          <cell r="W626" t="str">
            <v>Dotations nouvelles</v>
          </cell>
          <cell r="X626" t="str">
            <v>Aucune</v>
          </cell>
          <cell r="Y626" t="str">
            <v>Prévu</v>
          </cell>
          <cell r="Z626" t="str">
            <v>Reprise</v>
          </cell>
        </row>
        <row r="627">
          <cell r="A627">
            <v>3347</v>
          </cell>
          <cell r="B627">
            <v>1</v>
          </cell>
          <cell r="C627" t="str">
            <v>IV26292</v>
          </cell>
          <cell r="D627" t="str">
            <v>ACQUISITION, INSTALLATION ET MISE EN SERVICE D'UNE ALIMENTATION SECOURS AU BATIMENT ADMINISTRATIF DE PMK/T</v>
          </cell>
          <cell r="E627" t="str">
            <v>Approuvé</v>
          </cell>
          <cell r="F627" t="str">
            <v>K04001</v>
          </cell>
          <cell r="G627">
            <v>2</v>
          </cell>
          <cell r="H627" t="str">
            <v>Reprise</v>
          </cell>
          <cell r="I627" t="str">
            <v>REPRISE</v>
          </cell>
          <cell r="J627" t="str">
            <v>Budgété</v>
          </cell>
          <cell r="K627">
            <v>150000</v>
          </cell>
          <cell r="L627">
            <v>150000</v>
          </cell>
          <cell r="O627">
            <v>150000</v>
          </cell>
          <cell r="S627">
            <v>13694</v>
          </cell>
          <cell r="T627" t="str">
            <v>MANSOURI OMAR</v>
          </cell>
          <cell r="U627" t="str">
            <v>Administratif</v>
          </cell>
          <cell r="V627" t="str">
            <v>Reprise</v>
          </cell>
          <cell r="W627" t="str">
            <v>Dotations nouvelles</v>
          </cell>
          <cell r="X627" t="str">
            <v>Aucune</v>
          </cell>
          <cell r="Y627" t="str">
            <v>Prévu</v>
          </cell>
          <cell r="Z627" t="str">
            <v>Reprise</v>
          </cell>
        </row>
        <row r="628">
          <cell r="A628">
            <v>3348</v>
          </cell>
          <cell r="B628">
            <v>1</v>
          </cell>
          <cell r="C628" t="str">
            <v>IV26293</v>
          </cell>
          <cell r="D628" t="str">
            <v>ACHAT DE 40 CLIMATISEURS INDUSTRIELS POUR LES INSTALLATIONS ET ATELIERS DE MAINTENANCE DE PMK/TB</v>
          </cell>
          <cell r="E628" t="str">
            <v>Approuvé</v>
          </cell>
          <cell r="F628" t="str">
            <v>K04601</v>
          </cell>
          <cell r="G628">
            <v>2</v>
          </cell>
          <cell r="H628" t="str">
            <v>Reprise</v>
          </cell>
          <cell r="I628" t="str">
            <v>REPRISE</v>
          </cell>
          <cell r="J628" t="str">
            <v>Budgété</v>
          </cell>
          <cell r="K628">
            <v>480000</v>
          </cell>
          <cell r="L628">
            <v>480000</v>
          </cell>
          <cell r="O628">
            <v>480000</v>
          </cell>
          <cell r="S628">
            <v>13695</v>
          </cell>
          <cell r="T628" t="str">
            <v>NABZAR AHMED</v>
          </cell>
          <cell r="U628" t="str">
            <v>Ordinaire</v>
          </cell>
          <cell r="V628" t="str">
            <v>Reprise</v>
          </cell>
          <cell r="W628" t="str">
            <v>Dotations nouvelles</v>
          </cell>
          <cell r="X628" t="str">
            <v>Aucune</v>
          </cell>
          <cell r="Y628" t="str">
            <v>Prévu</v>
          </cell>
          <cell r="Z628" t="str">
            <v>Reprise</v>
          </cell>
        </row>
        <row r="629">
          <cell r="A629">
            <v>3349</v>
          </cell>
          <cell r="B629">
            <v>1</v>
          </cell>
          <cell r="C629" t="str">
            <v>IV26294</v>
          </cell>
          <cell r="D629" t="str">
            <v>ACHAT DE 20 REFRIGERATEURS POUR LES ATELIERS DE MAINTENANCE DE PMK/TB</v>
          </cell>
          <cell r="E629" t="str">
            <v>Approuvé</v>
          </cell>
          <cell r="F629" t="str">
            <v>K04601</v>
          </cell>
          <cell r="G629">
            <v>2</v>
          </cell>
          <cell r="H629" t="str">
            <v>Reprise</v>
          </cell>
          <cell r="I629" t="str">
            <v>REPRISE</v>
          </cell>
          <cell r="J629" t="str">
            <v>Budgété</v>
          </cell>
          <cell r="K629">
            <v>240000</v>
          </cell>
          <cell r="L629">
            <v>240000</v>
          </cell>
          <cell r="O629">
            <v>240000</v>
          </cell>
          <cell r="S629">
            <v>13696</v>
          </cell>
          <cell r="T629" t="str">
            <v>NABZAR AHMED</v>
          </cell>
          <cell r="U629" t="str">
            <v>Administratif</v>
          </cell>
          <cell r="V629" t="str">
            <v>Reprise</v>
          </cell>
          <cell r="W629" t="str">
            <v>Dotations nouvelles</v>
          </cell>
          <cell r="X629" t="str">
            <v>Aucune</v>
          </cell>
          <cell r="Y629" t="str">
            <v>Prévu</v>
          </cell>
          <cell r="Z629" t="str">
            <v>Reprise</v>
          </cell>
        </row>
        <row r="630">
          <cell r="A630">
            <v>3350</v>
          </cell>
          <cell r="B630">
            <v>1</v>
          </cell>
          <cell r="C630" t="str">
            <v>IV26296</v>
          </cell>
          <cell r="D630" t="str">
            <v>ACHAT DE 30 ONDULEURS POUR LES INSTALLATIONS DE PMK/TB</v>
          </cell>
          <cell r="E630" t="str">
            <v>Approuvé</v>
          </cell>
          <cell r="F630" t="str">
            <v>K04601</v>
          </cell>
          <cell r="G630">
            <v>2</v>
          </cell>
          <cell r="H630" t="str">
            <v>Reprise</v>
          </cell>
          <cell r="I630" t="str">
            <v>REPRISE</v>
          </cell>
          <cell r="J630" t="str">
            <v>Budgété</v>
          </cell>
          <cell r="K630">
            <v>300000</v>
          </cell>
          <cell r="L630">
            <v>300000</v>
          </cell>
          <cell r="O630">
            <v>300000</v>
          </cell>
          <cell r="S630">
            <v>13697</v>
          </cell>
          <cell r="T630" t="str">
            <v>NABZAR AHMED</v>
          </cell>
          <cell r="U630" t="str">
            <v>Ordinaire</v>
          </cell>
          <cell r="V630" t="str">
            <v>Reprise</v>
          </cell>
          <cell r="W630" t="str">
            <v>Dotations nouvelles</v>
          </cell>
          <cell r="X630" t="str">
            <v>Aucune</v>
          </cell>
          <cell r="Y630" t="str">
            <v>Prévu</v>
          </cell>
          <cell r="Z630" t="str">
            <v>Reprise</v>
          </cell>
        </row>
        <row r="631">
          <cell r="A631">
            <v>3351</v>
          </cell>
          <cell r="B631">
            <v>1</v>
          </cell>
          <cell r="C631" t="str">
            <v>IV26297</v>
          </cell>
          <cell r="D631" t="str">
            <v>RENOVATION DES EQUIPEMENTS DE COMMANDE, DE MESURE ET DE PROTECTION DES INSTALLATIONS DE PMK/TB</v>
          </cell>
          <cell r="E631" t="str">
            <v>Approuvé</v>
          </cell>
          <cell r="F631" t="str">
            <v>K04116</v>
          </cell>
          <cell r="G631">
            <v>2</v>
          </cell>
          <cell r="H631" t="str">
            <v>Reprise</v>
          </cell>
          <cell r="I631" t="str">
            <v>REPRISE</v>
          </cell>
          <cell r="J631" t="str">
            <v>Budgété</v>
          </cell>
          <cell r="K631">
            <v>2500000</v>
          </cell>
          <cell r="L631">
            <v>2500000</v>
          </cell>
          <cell r="O631">
            <v>2500000</v>
          </cell>
          <cell r="S631">
            <v>13698</v>
          </cell>
          <cell r="T631" t="str">
            <v>NABZAR AHMED</v>
          </cell>
          <cell r="U631" t="str">
            <v>Ordinaire</v>
          </cell>
          <cell r="V631" t="str">
            <v>Reprise</v>
          </cell>
          <cell r="W631" t="str">
            <v>Dotations nouvelles</v>
          </cell>
          <cell r="X631" t="str">
            <v>Aucune</v>
          </cell>
          <cell r="Y631" t="str">
            <v>Prévu</v>
          </cell>
          <cell r="Z631" t="str">
            <v>Reprise</v>
          </cell>
        </row>
        <row r="632">
          <cell r="A632">
            <v>3352</v>
          </cell>
          <cell r="B632">
            <v>1</v>
          </cell>
          <cell r="C632" t="str">
            <v>IV26302</v>
          </cell>
          <cell r="D632" t="str">
            <v>RENOVATION DES AUTOMATISMES DES INSTALLATIONS DE BENI-IDIR</v>
          </cell>
          <cell r="E632" t="str">
            <v>Approuvé</v>
          </cell>
          <cell r="F632" t="str">
            <v>K04116</v>
          </cell>
          <cell r="G632">
            <v>2</v>
          </cell>
          <cell r="H632" t="str">
            <v>Reprise</v>
          </cell>
          <cell r="I632" t="str">
            <v>REPRISE</v>
          </cell>
          <cell r="J632" t="str">
            <v>Budgété</v>
          </cell>
          <cell r="K632">
            <v>2500000</v>
          </cell>
          <cell r="L632">
            <v>2500000</v>
          </cell>
          <cell r="O632">
            <v>2500000</v>
          </cell>
          <cell r="S632">
            <v>13699</v>
          </cell>
          <cell r="T632" t="str">
            <v>NABZAR AHMED</v>
          </cell>
          <cell r="U632" t="str">
            <v>Ordinaire</v>
          </cell>
          <cell r="V632" t="str">
            <v>Reprise</v>
          </cell>
          <cell r="W632" t="str">
            <v>Dotations nouvelles</v>
          </cell>
          <cell r="X632" t="str">
            <v>Aucune</v>
          </cell>
          <cell r="Y632" t="str">
            <v>Prévu</v>
          </cell>
          <cell r="Z632" t="str">
            <v>Reprise</v>
          </cell>
        </row>
        <row r="633">
          <cell r="A633">
            <v>3353</v>
          </cell>
          <cell r="B633">
            <v>1</v>
          </cell>
          <cell r="C633" t="str">
            <v>IV26303</v>
          </cell>
          <cell r="D633" t="str">
            <v>ACQUSITION DE 03 THERMOMETRE</v>
          </cell>
          <cell r="E633" t="str">
            <v>Approuvé</v>
          </cell>
          <cell r="F633" t="str">
            <v>K04010</v>
          </cell>
          <cell r="G633">
            <v>2</v>
          </cell>
          <cell r="H633" t="str">
            <v>Reprise</v>
          </cell>
          <cell r="I633" t="str">
            <v>REPRISE</v>
          </cell>
          <cell r="J633" t="str">
            <v>Budgété</v>
          </cell>
          <cell r="K633">
            <v>48000</v>
          </cell>
          <cell r="L633">
            <v>48000</v>
          </cell>
          <cell r="O633">
            <v>48000</v>
          </cell>
          <cell r="S633">
            <v>13700</v>
          </cell>
          <cell r="T633" t="str">
            <v>MOUNTASSIR CHAKOUR</v>
          </cell>
          <cell r="U633" t="str">
            <v>Etudes et essais</v>
          </cell>
          <cell r="V633" t="str">
            <v>Reprise</v>
          </cell>
          <cell r="W633" t="str">
            <v>Dotations nouvelles</v>
          </cell>
          <cell r="X633" t="str">
            <v>Aucune</v>
          </cell>
          <cell r="Y633" t="str">
            <v>Prévu</v>
          </cell>
          <cell r="Z633" t="str">
            <v>Reprise</v>
          </cell>
        </row>
        <row r="634">
          <cell r="A634">
            <v>3354</v>
          </cell>
          <cell r="B634">
            <v>1</v>
          </cell>
          <cell r="C634" t="str">
            <v>IV26306</v>
          </cell>
          <cell r="D634" t="str">
            <v>ACHAT D'UN SPECTROMETRE DE FLUORESCENCE X AVEC ACCESSOIRES POUR L'UNITE PMK/TD</v>
          </cell>
          <cell r="E634" t="str">
            <v>Approuvé</v>
          </cell>
          <cell r="F634" t="str">
            <v>K04022</v>
          </cell>
          <cell r="G634">
            <v>2</v>
          </cell>
          <cell r="H634" t="str">
            <v>Reprise</v>
          </cell>
          <cell r="I634" t="str">
            <v>REPRISE</v>
          </cell>
          <cell r="J634" t="str">
            <v>Budgété</v>
          </cell>
          <cell r="K634">
            <v>2000000</v>
          </cell>
          <cell r="L634">
            <v>2000000</v>
          </cell>
          <cell r="O634">
            <v>2000000</v>
          </cell>
          <cell r="S634">
            <v>13701</v>
          </cell>
          <cell r="T634" t="str">
            <v>NABZAR AHMED</v>
          </cell>
          <cell r="U634" t="str">
            <v>Etudes et essais</v>
          </cell>
          <cell r="V634" t="str">
            <v>Reprise</v>
          </cell>
          <cell r="W634" t="str">
            <v>Dotations nouvelles</v>
          </cell>
          <cell r="X634" t="str">
            <v>Aucune</v>
          </cell>
          <cell r="Y634" t="str">
            <v>Prévu</v>
          </cell>
          <cell r="Z634" t="str">
            <v>Reprise</v>
          </cell>
        </row>
        <row r="635">
          <cell r="A635">
            <v>3355</v>
          </cell>
          <cell r="B635">
            <v>1</v>
          </cell>
          <cell r="C635" t="str">
            <v>IV26374</v>
          </cell>
          <cell r="D635" t="str">
            <v>ACQUISITION DE 50 APPAREILS TELEPHONIQUES POUR LE SERVICE PMK / AD</v>
          </cell>
          <cell r="E635" t="str">
            <v>Approuvé</v>
          </cell>
          <cell r="F635" t="str">
            <v>K01070</v>
          </cell>
          <cell r="G635">
            <v>3</v>
          </cell>
          <cell r="H635" t="str">
            <v>REPORT 2007</v>
          </cell>
          <cell r="I635" t="str">
            <v>REPORT</v>
          </cell>
          <cell r="J635" t="str">
            <v>Budgété</v>
          </cell>
          <cell r="K635">
            <v>50000</v>
          </cell>
          <cell r="L635">
            <v>50000</v>
          </cell>
          <cell r="M635">
            <v>50000</v>
          </cell>
          <cell r="N635">
            <v>50000</v>
          </cell>
          <cell r="O635">
            <v>0</v>
          </cell>
          <cell r="S635">
            <v>24505</v>
          </cell>
          <cell r="T635" t="str">
            <v>NABZAR AHMED</v>
          </cell>
          <cell r="U635" t="str">
            <v>Administratif</v>
          </cell>
          <cell r="V635" t="str">
            <v>Reprise</v>
          </cell>
          <cell r="W635" t="str">
            <v>Dotations nouvelles</v>
          </cell>
          <cell r="X635" t="str">
            <v>Aucune</v>
          </cell>
          <cell r="Y635" t="str">
            <v>Prévu</v>
          </cell>
          <cell r="Z635" t="str">
            <v>Reprise</v>
          </cell>
        </row>
        <row r="636">
          <cell r="A636">
            <v>3356</v>
          </cell>
          <cell r="B636">
            <v>1</v>
          </cell>
          <cell r="C636" t="str">
            <v>IV26375</v>
          </cell>
          <cell r="D636" t="str">
            <v>ACQUISITION DE 05 MACHINES A CALCULER</v>
          </cell>
          <cell r="E636" t="str">
            <v>Approuvé</v>
          </cell>
          <cell r="F636" t="str">
            <v>K01070</v>
          </cell>
          <cell r="G636">
            <v>2</v>
          </cell>
          <cell r="H636" t="str">
            <v>Reprise</v>
          </cell>
          <cell r="I636" t="str">
            <v>REPRISE</v>
          </cell>
          <cell r="J636" t="str">
            <v>Budgété</v>
          </cell>
          <cell r="K636">
            <v>7500</v>
          </cell>
          <cell r="L636">
            <v>7500</v>
          </cell>
          <cell r="O636">
            <v>7500</v>
          </cell>
          <cell r="S636">
            <v>13703</v>
          </cell>
          <cell r="T636" t="str">
            <v>NABZAR AHMED</v>
          </cell>
          <cell r="U636" t="str">
            <v>Administratif</v>
          </cell>
          <cell r="V636" t="str">
            <v>Reprise</v>
          </cell>
          <cell r="W636" t="str">
            <v>Dotations nouvelles</v>
          </cell>
          <cell r="X636" t="str">
            <v>Aucune</v>
          </cell>
          <cell r="Y636" t="str">
            <v>Prévu</v>
          </cell>
          <cell r="Z636" t="str">
            <v>Reprise</v>
          </cell>
        </row>
        <row r="637">
          <cell r="A637">
            <v>3357</v>
          </cell>
          <cell r="B637">
            <v>1</v>
          </cell>
          <cell r="C637" t="str">
            <v>IV26376</v>
          </cell>
          <cell r="D637" t="str">
            <v>ACQUISITION DES EQUIPEMENTS DE BUREAU POUR LE SECRETARIAT PMK</v>
          </cell>
          <cell r="E637" t="str">
            <v>Approuvé</v>
          </cell>
          <cell r="F637" t="str">
            <v>K02219</v>
          </cell>
          <cell r="G637">
            <v>2</v>
          </cell>
          <cell r="H637" t="str">
            <v>Reprise</v>
          </cell>
          <cell r="I637" t="str">
            <v>REPRISE</v>
          </cell>
          <cell r="J637" t="str">
            <v>Budgété</v>
          </cell>
          <cell r="K637">
            <v>49500</v>
          </cell>
          <cell r="L637">
            <v>49500</v>
          </cell>
          <cell r="O637">
            <v>49500</v>
          </cell>
          <cell r="S637">
            <v>13704</v>
          </cell>
          <cell r="T637" t="str">
            <v>NABZAR AHMED</v>
          </cell>
          <cell r="U637" t="str">
            <v>Administratif</v>
          </cell>
          <cell r="V637" t="str">
            <v>Reprise</v>
          </cell>
          <cell r="W637" t="str">
            <v>Dotations nouvelles</v>
          </cell>
          <cell r="X637" t="str">
            <v>Aucune</v>
          </cell>
          <cell r="Y637" t="str">
            <v>Prévu</v>
          </cell>
          <cell r="Z637" t="str">
            <v>Reprise</v>
          </cell>
        </row>
        <row r="638">
          <cell r="A638">
            <v>3358</v>
          </cell>
          <cell r="B638">
            <v>1</v>
          </cell>
          <cell r="C638" t="str">
            <v>IV26377</v>
          </cell>
          <cell r="D638" t="str">
            <v>ACQUISTION DE 20 FAUTEUILS DE BUREAUX ROULANTS</v>
          </cell>
          <cell r="E638" t="str">
            <v>Approuvé</v>
          </cell>
          <cell r="F638" t="str">
            <v>K01070</v>
          </cell>
          <cell r="G638">
            <v>2</v>
          </cell>
          <cell r="H638" t="str">
            <v>Reprise</v>
          </cell>
          <cell r="I638" t="str">
            <v>REPRISE</v>
          </cell>
          <cell r="J638" t="str">
            <v>Budgété</v>
          </cell>
          <cell r="K638">
            <v>60000</v>
          </cell>
          <cell r="L638">
            <v>60000</v>
          </cell>
          <cell r="O638">
            <v>60000</v>
          </cell>
          <cell r="S638">
            <v>13705</v>
          </cell>
          <cell r="T638" t="str">
            <v>NABZAR AHMED</v>
          </cell>
          <cell r="U638" t="str">
            <v>Administratif</v>
          </cell>
          <cell r="V638" t="str">
            <v>Reprise</v>
          </cell>
          <cell r="W638" t="str">
            <v>Dotations nouvelles</v>
          </cell>
          <cell r="X638" t="str">
            <v>Aucune</v>
          </cell>
          <cell r="Y638" t="str">
            <v>Prévu</v>
          </cell>
          <cell r="Z638" t="str">
            <v>Reprise</v>
          </cell>
        </row>
        <row r="639">
          <cell r="A639">
            <v>3359</v>
          </cell>
          <cell r="B639">
            <v>1</v>
          </cell>
          <cell r="C639" t="str">
            <v>IV26378</v>
          </cell>
          <cell r="D639" t="str">
            <v>ACQUISITION DE 02 MOTOCYCLETTES POUR PMK/AD</v>
          </cell>
          <cell r="E639" t="str">
            <v>Approuvé</v>
          </cell>
          <cell r="F639" t="str">
            <v>K01070</v>
          </cell>
          <cell r="G639">
            <v>2</v>
          </cell>
          <cell r="H639" t="str">
            <v>Reprise</v>
          </cell>
          <cell r="I639" t="str">
            <v>REPRISE</v>
          </cell>
          <cell r="J639" t="str">
            <v>Budgété</v>
          </cell>
          <cell r="K639">
            <v>17000</v>
          </cell>
          <cell r="L639">
            <v>17000</v>
          </cell>
          <cell r="O639">
            <v>17000</v>
          </cell>
          <cell r="S639">
            <v>13706</v>
          </cell>
          <cell r="T639" t="str">
            <v>NABZAR AHMED</v>
          </cell>
          <cell r="U639" t="str">
            <v>Administratif</v>
          </cell>
          <cell r="V639" t="str">
            <v>Reprise</v>
          </cell>
          <cell r="W639" t="str">
            <v>Dotations nouvelles</v>
          </cell>
          <cell r="X639" t="str">
            <v>Aucune</v>
          </cell>
          <cell r="Y639" t="str">
            <v>Prévu</v>
          </cell>
          <cell r="Z639" t="str">
            <v>Reprise</v>
          </cell>
        </row>
        <row r="640">
          <cell r="A640">
            <v>3360</v>
          </cell>
          <cell r="B640">
            <v>1</v>
          </cell>
          <cell r="C640" t="str">
            <v>IV26379</v>
          </cell>
          <cell r="D640" t="str">
            <v>ACQUISITION DE 04 FONTAINES REFRIGERANTES POUR PMK/AD</v>
          </cell>
          <cell r="E640" t="str">
            <v>Approuvé</v>
          </cell>
          <cell r="F640" t="str">
            <v>K01070</v>
          </cell>
          <cell r="G640">
            <v>2</v>
          </cell>
          <cell r="H640" t="str">
            <v>Reprise</v>
          </cell>
          <cell r="I640" t="str">
            <v>REPRISE</v>
          </cell>
          <cell r="J640" t="str">
            <v>Budgété</v>
          </cell>
          <cell r="K640">
            <v>40000</v>
          </cell>
          <cell r="L640">
            <v>40000</v>
          </cell>
          <cell r="O640">
            <v>40000</v>
          </cell>
          <cell r="S640">
            <v>13707</v>
          </cell>
          <cell r="T640" t="str">
            <v>NABZAR AHMED</v>
          </cell>
          <cell r="U640" t="str">
            <v>Administratif</v>
          </cell>
          <cell r="V640" t="str">
            <v>Reprise</v>
          </cell>
          <cell r="W640" t="str">
            <v>Dotations nouvelles</v>
          </cell>
          <cell r="X640" t="str">
            <v>Aucune</v>
          </cell>
          <cell r="Y640" t="str">
            <v>Prévu</v>
          </cell>
          <cell r="Z640" t="str">
            <v>Reprise</v>
          </cell>
        </row>
        <row r="641">
          <cell r="A641">
            <v>3361</v>
          </cell>
          <cell r="B641">
            <v>1</v>
          </cell>
          <cell r="C641" t="str">
            <v>IV26382</v>
          </cell>
          <cell r="D641" t="str">
            <v>ACQUISITION D'UN LOGICIEL DE GESTION D'EVALUATION DES RISQUES</v>
          </cell>
          <cell r="E641" t="str">
            <v>Approuvé</v>
          </cell>
          <cell r="F641" t="str">
            <v>K02219</v>
          </cell>
          <cell r="G641">
            <v>2</v>
          </cell>
          <cell r="H641" t="str">
            <v>Reprise</v>
          </cell>
          <cell r="I641" t="str">
            <v>REPRISE</v>
          </cell>
          <cell r="J641" t="str">
            <v>Budgété</v>
          </cell>
          <cell r="K641">
            <v>1500000</v>
          </cell>
          <cell r="L641">
            <v>1500000</v>
          </cell>
          <cell r="O641">
            <v>1500000</v>
          </cell>
          <cell r="S641">
            <v>13708</v>
          </cell>
          <cell r="T641" t="str">
            <v>NABZAR AHMED</v>
          </cell>
          <cell r="U641" t="str">
            <v>Administratif</v>
          </cell>
          <cell r="V641" t="str">
            <v>Reprise</v>
          </cell>
          <cell r="W641" t="str">
            <v>Dotations nouvelles</v>
          </cell>
          <cell r="X641" t="str">
            <v>Aucune</v>
          </cell>
          <cell r="Y641" t="str">
            <v>Prévu</v>
          </cell>
          <cell r="Z641" t="str">
            <v>Reprise</v>
          </cell>
        </row>
        <row r="642">
          <cell r="A642">
            <v>3362</v>
          </cell>
          <cell r="B642">
            <v>1</v>
          </cell>
          <cell r="C642" t="str">
            <v>IV26388</v>
          </cell>
          <cell r="D642" t="str">
            <v>RENOUVELLEMENT DE 02 CAMIONS DE CHANTIER</v>
          </cell>
          <cell r="E642" t="str">
            <v>Approuvé</v>
          </cell>
          <cell r="F642" t="str">
            <v>K03843</v>
          </cell>
          <cell r="G642">
            <v>2</v>
          </cell>
          <cell r="H642" t="str">
            <v>Reprise</v>
          </cell>
          <cell r="I642" t="str">
            <v>REPRISE</v>
          </cell>
          <cell r="J642" t="str">
            <v>Budgété</v>
          </cell>
          <cell r="K642">
            <v>12000000</v>
          </cell>
          <cell r="L642">
            <v>12000000</v>
          </cell>
          <cell r="O642">
            <v>12000000</v>
          </cell>
          <cell r="S642">
            <v>13709</v>
          </cell>
          <cell r="T642" t="str">
            <v>EL KAISSI ABDERRAZAK</v>
          </cell>
          <cell r="U642" t="str">
            <v>Ordinaire</v>
          </cell>
          <cell r="V642" t="str">
            <v>Reprise</v>
          </cell>
          <cell r="W642" t="str">
            <v>Renouvellement</v>
          </cell>
          <cell r="X642" t="str">
            <v>Aucune</v>
          </cell>
          <cell r="Y642" t="str">
            <v>Prévu</v>
          </cell>
          <cell r="Z642" t="str">
            <v>Reprise</v>
          </cell>
        </row>
        <row r="643">
          <cell r="A643">
            <v>3363</v>
          </cell>
          <cell r="B643">
            <v>1</v>
          </cell>
          <cell r="C643" t="str">
            <v>IV26521</v>
          </cell>
          <cell r="D643" t="str">
            <v>ACQUISITION  DE  20  TABLES  POUR  MICROS  POUR  PMK / AD</v>
          </cell>
          <cell r="E643" t="str">
            <v>Approuvé</v>
          </cell>
          <cell r="F643" t="str">
            <v>K01070</v>
          </cell>
          <cell r="G643">
            <v>2</v>
          </cell>
          <cell r="H643" t="str">
            <v>Reprise</v>
          </cell>
          <cell r="I643" t="str">
            <v>REPRISE</v>
          </cell>
          <cell r="J643" t="str">
            <v>Budgété</v>
          </cell>
          <cell r="K643">
            <v>40000</v>
          </cell>
          <cell r="L643">
            <v>40000</v>
          </cell>
          <cell r="O643">
            <v>40000</v>
          </cell>
          <cell r="S643">
            <v>13710</v>
          </cell>
          <cell r="T643" t="str">
            <v>NABZAR AHMED</v>
          </cell>
          <cell r="U643" t="str">
            <v>Administratif</v>
          </cell>
          <cell r="V643" t="str">
            <v>Reprise</v>
          </cell>
          <cell r="W643" t="str">
            <v>Dotations nouvelles</v>
          </cell>
          <cell r="X643" t="str">
            <v>Aucune</v>
          </cell>
          <cell r="Y643" t="str">
            <v>Prévu</v>
          </cell>
          <cell r="Z643" t="str">
            <v>Reprise</v>
          </cell>
        </row>
        <row r="644">
          <cell r="A644">
            <v>3364</v>
          </cell>
          <cell r="B644">
            <v>1</v>
          </cell>
          <cell r="C644" t="str">
            <v>IV26532</v>
          </cell>
          <cell r="D644" t="str">
            <v>ACHAT D'EQUIPEMENT BUREAUTIQUE POUR LA DIRECTION POLE MINES</v>
          </cell>
          <cell r="E644" t="str">
            <v>Approuvé</v>
          </cell>
          <cell r="F644" t="str">
            <v>K02219</v>
          </cell>
          <cell r="G644">
            <v>4</v>
          </cell>
          <cell r="H644" t="str">
            <v>V2</v>
          </cell>
          <cell r="I644" t="str">
            <v>TRANSFERT</v>
          </cell>
          <cell r="J644" t="str">
            <v>Budgété</v>
          </cell>
          <cell r="K644">
            <v>81000</v>
          </cell>
          <cell r="L644">
            <v>81000</v>
          </cell>
          <cell r="O644">
            <v>81000</v>
          </cell>
          <cell r="S644">
            <v>14724</v>
          </cell>
          <cell r="T644" t="str">
            <v>NABZAR AHMED</v>
          </cell>
          <cell r="U644" t="str">
            <v>Administratif</v>
          </cell>
          <cell r="V644" t="str">
            <v>Reprise</v>
          </cell>
          <cell r="W644" t="str">
            <v>Dotations nouvelles</v>
          </cell>
          <cell r="X644" t="str">
            <v>Aucune</v>
          </cell>
          <cell r="Y644" t="str">
            <v>Prévu</v>
          </cell>
          <cell r="Z644" t="str">
            <v>Reprise</v>
          </cell>
        </row>
        <row r="645">
          <cell r="A645">
            <v>3365</v>
          </cell>
          <cell r="B645">
            <v>1</v>
          </cell>
          <cell r="C645" t="str">
            <v>IV26545</v>
          </cell>
          <cell r="D645" t="str">
            <v>RENOUVELLEMENT  D'UNE  FONTAINE  REFRIGERANTE  DE  PMK / GE</v>
          </cell>
          <cell r="E645" t="str">
            <v>Approuvé</v>
          </cell>
          <cell r="F645" t="str">
            <v>K01369</v>
          </cell>
          <cell r="G645">
            <v>2</v>
          </cell>
          <cell r="H645" t="str">
            <v>Reprise</v>
          </cell>
          <cell r="I645" t="str">
            <v>REPRISE</v>
          </cell>
          <cell r="J645" t="str">
            <v>Budgété</v>
          </cell>
          <cell r="K645">
            <v>9000</v>
          </cell>
          <cell r="L645">
            <v>9000</v>
          </cell>
          <cell r="O645">
            <v>9000</v>
          </cell>
          <cell r="S645">
            <v>13712</v>
          </cell>
          <cell r="T645" t="str">
            <v>NABZAR AHMED</v>
          </cell>
          <cell r="U645" t="str">
            <v>Social</v>
          </cell>
          <cell r="V645" t="str">
            <v>Reprise</v>
          </cell>
          <cell r="W645" t="str">
            <v>Renouvellement</v>
          </cell>
          <cell r="X645" t="str">
            <v>Aucune</v>
          </cell>
          <cell r="Y645" t="str">
            <v>Prévu</v>
          </cell>
          <cell r="Z645" t="str">
            <v>Reprise</v>
          </cell>
        </row>
        <row r="646">
          <cell r="A646">
            <v>3366</v>
          </cell>
          <cell r="B646">
            <v>1</v>
          </cell>
          <cell r="C646" t="str">
            <v>IV26607</v>
          </cell>
          <cell r="D646" t="str">
            <v>DEPOUSSIERAGE DES INSTALLATIONS PORTUAIRES DES EMBARQUEMENTS CASABLANCA</v>
          </cell>
          <cell r="E646" t="str">
            <v>Approuvé</v>
          </cell>
          <cell r="F646" t="str">
            <v>K07019</v>
          </cell>
          <cell r="G646">
            <v>3</v>
          </cell>
          <cell r="H646" t="str">
            <v>VERSION 2006 ( annulation et reprise AE engagé en 2005 )</v>
          </cell>
          <cell r="I646" t="str">
            <v>CORRECTION POUR_REPORT</v>
          </cell>
          <cell r="J646" t="str">
            <v>Budgété</v>
          </cell>
          <cell r="K646">
            <v>26154414</v>
          </cell>
          <cell r="L646">
            <v>26154414</v>
          </cell>
          <cell r="O646">
            <v>23980760</v>
          </cell>
          <cell r="P646">
            <v>2173654</v>
          </cell>
          <cell r="S646">
            <v>13713</v>
          </cell>
          <cell r="T646" t="str">
            <v>NABZAR AHMED</v>
          </cell>
          <cell r="U646" t="str">
            <v>Important</v>
          </cell>
          <cell r="V646" t="str">
            <v>Reprise</v>
          </cell>
          <cell r="W646" t="str">
            <v>Dotations nouvelles</v>
          </cell>
          <cell r="X646" t="str">
            <v>Aucune</v>
          </cell>
          <cell r="Y646" t="str">
            <v>Prévu</v>
          </cell>
          <cell r="Z646" t="str">
            <v>Reprise</v>
          </cell>
        </row>
        <row r="647">
          <cell r="A647">
            <v>3367</v>
          </cell>
          <cell r="B647">
            <v>1</v>
          </cell>
          <cell r="C647" t="str">
            <v>IV26609</v>
          </cell>
          <cell r="D647" t="str">
            <v>DEPOUSSIERAGE DES INSTALLATIONS PORTUAIRES DE PMK/TC</v>
          </cell>
          <cell r="E647" t="str">
            <v>Approuvé</v>
          </cell>
          <cell r="F647" t="str">
            <v>K07019</v>
          </cell>
          <cell r="G647">
            <v>3</v>
          </cell>
          <cell r="H647" t="str">
            <v>Reprise</v>
          </cell>
          <cell r="I647" t="str">
            <v>REPRISE</v>
          </cell>
          <cell r="J647" t="str">
            <v>Budgété</v>
          </cell>
          <cell r="K647">
            <v>40000000</v>
          </cell>
          <cell r="L647">
            <v>40000000</v>
          </cell>
          <cell r="O647">
            <v>40000000</v>
          </cell>
          <cell r="S647">
            <v>24315</v>
          </cell>
          <cell r="T647" t="str">
            <v>NABZAR AHMED</v>
          </cell>
          <cell r="U647" t="str">
            <v>Important</v>
          </cell>
          <cell r="V647" t="str">
            <v>Reprise</v>
          </cell>
          <cell r="W647" t="str">
            <v>Dotations nouvelles</v>
          </cell>
          <cell r="X647" t="str">
            <v>Aucune</v>
          </cell>
          <cell r="Y647" t="str">
            <v>Prévu</v>
          </cell>
          <cell r="Z647" t="str">
            <v>Reprise</v>
          </cell>
        </row>
        <row r="648">
          <cell r="A648">
            <v>3368</v>
          </cell>
          <cell r="B648">
            <v>1</v>
          </cell>
          <cell r="C648" t="str">
            <v>IV26726</v>
          </cell>
          <cell r="D648" t="str">
            <v>EQUIPEMENT POUR LA SALLE AUDIO-VISUEL DU MUSEE</v>
          </cell>
          <cell r="E648" t="str">
            <v>Approuvé</v>
          </cell>
          <cell r="F648" t="str">
            <v>K11063</v>
          </cell>
          <cell r="G648">
            <v>3</v>
          </cell>
          <cell r="H648" t="str">
            <v>Reprise</v>
          </cell>
          <cell r="I648" t="str">
            <v>REPRISE</v>
          </cell>
          <cell r="J648" t="str">
            <v>Budgété</v>
          </cell>
          <cell r="K648">
            <v>143000</v>
          </cell>
          <cell r="L648">
            <v>143000</v>
          </cell>
          <cell r="O648">
            <v>143000</v>
          </cell>
          <cell r="S648">
            <v>21157</v>
          </cell>
          <cell r="T648" t="str">
            <v>NABZAR AHMED</v>
          </cell>
          <cell r="U648" t="str">
            <v>Ordinaire</v>
          </cell>
          <cell r="V648" t="str">
            <v>Reprise</v>
          </cell>
          <cell r="W648" t="str">
            <v>Dotations nouvelles</v>
          </cell>
          <cell r="X648" t="str">
            <v>Aucune</v>
          </cell>
          <cell r="Y648" t="str">
            <v>Prévu</v>
          </cell>
          <cell r="Z648" t="str">
            <v>Reprise</v>
          </cell>
        </row>
        <row r="649">
          <cell r="A649">
            <v>3369</v>
          </cell>
          <cell r="B649">
            <v>1</v>
          </cell>
          <cell r="C649" t="str">
            <v>IV26741</v>
          </cell>
          <cell r="D649" t="str">
            <v>PINCE A SERTIR</v>
          </cell>
          <cell r="E649" t="str">
            <v>Approuvé</v>
          </cell>
          <cell r="F649" t="str">
            <v>K07121</v>
          </cell>
          <cell r="G649">
            <v>2</v>
          </cell>
          <cell r="H649" t="str">
            <v>Reprise</v>
          </cell>
          <cell r="I649" t="str">
            <v>REPRISE</v>
          </cell>
          <cell r="J649" t="str">
            <v>Budgété</v>
          </cell>
          <cell r="K649">
            <v>20000</v>
          </cell>
          <cell r="L649">
            <v>20000</v>
          </cell>
          <cell r="O649">
            <v>20000</v>
          </cell>
          <cell r="S649">
            <v>13716</v>
          </cell>
          <cell r="T649" t="str">
            <v>NABZAR AHMED</v>
          </cell>
          <cell r="U649" t="str">
            <v>Ordinaire</v>
          </cell>
          <cell r="V649" t="str">
            <v>Reprise</v>
          </cell>
          <cell r="W649" t="str">
            <v>Dotations nouvelles</v>
          </cell>
          <cell r="X649" t="str">
            <v>Aucune</v>
          </cell>
          <cell r="Y649" t="str">
            <v>Prévu</v>
          </cell>
          <cell r="Z649" t="str">
            <v>Reprise</v>
          </cell>
        </row>
        <row r="650">
          <cell r="A650">
            <v>3370</v>
          </cell>
          <cell r="B650">
            <v>1</v>
          </cell>
          <cell r="C650" t="str">
            <v>IV26751</v>
          </cell>
          <cell r="D650" t="str">
            <v>AMENAGEMENT DE HANGARS A L'USINE DE KHOURIBGA (UK) EN GARAGES POUR SOTREG</v>
          </cell>
          <cell r="E650" t="str">
            <v>Approuvé</v>
          </cell>
          <cell r="F650" t="str">
            <v>K11019</v>
          </cell>
          <cell r="G650">
            <v>2</v>
          </cell>
          <cell r="H650" t="str">
            <v>Reprise</v>
          </cell>
          <cell r="I650" t="str">
            <v>REPRISE</v>
          </cell>
          <cell r="J650" t="str">
            <v>Budgété</v>
          </cell>
          <cell r="K650">
            <v>6000000</v>
          </cell>
          <cell r="L650">
            <v>6000000</v>
          </cell>
          <cell r="O650">
            <v>6000000</v>
          </cell>
          <cell r="S650">
            <v>13717</v>
          </cell>
          <cell r="T650" t="str">
            <v>NABZAR AHMED</v>
          </cell>
          <cell r="U650" t="str">
            <v>Ordinaire</v>
          </cell>
          <cell r="V650" t="str">
            <v>Reprise</v>
          </cell>
          <cell r="W650" t="str">
            <v>Dotations nouvelles</v>
          </cell>
          <cell r="X650" t="str">
            <v>Aucune</v>
          </cell>
          <cell r="Y650" t="str">
            <v>Prévu</v>
          </cell>
          <cell r="Z650" t="str">
            <v>Reprise</v>
          </cell>
        </row>
        <row r="651">
          <cell r="A651">
            <v>3371</v>
          </cell>
          <cell r="B651">
            <v>1</v>
          </cell>
          <cell r="C651" t="str">
            <v>IV26778</v>
          </cell>
          <cell r="D651" t="str">
            <v>RENOUVELLEMENT 02 CHARGEURS BATTERIES 120 VCC POUR STATION RELAIS ET FBS</v>
          </cell>
          <cell r="E651" t="str">
            <v>Approuvé</v>
          </cell>
          <cell r="F651" t="str">
            <v>K11701</v>
          </cell>
          <cell r="G651">
            <v>2</v>
          </cell>
          <cell r="H651" t="str">
            <v>Reprise</v>
          </cell>
          <cell r="I651" t="str">
            <v>REPRISE</v>
          </cell>
          <cell r="J651" t="str">
            <v>Budgété</v>
          </cell>
          <cell r="K651">
            <v>300000</v>
          </cell>
          <cell r="L651">
            <v>300000</v>
          </cell>
          <cell r="O651">
            <v>300000</v>
          </cell>
          <cell r="S651">
            <v>13718</v>
          </cell>
          <cell r="T651" t="str">
            <v>NABZAR AHMED</v>
          </cell>
          <cell r="U651" t="str">
            <v>Ordinaire</v>
          </cell>
          <cell r="V651" t="str">
            <v>Reprise</v>
          </cell>
          <cell r="W651" t="str">
            <v>Renouvellement</v>
          </cell>
          <cell r="X651" t="str">
            <v>Aucune</v>
          </cell>
          <cell r="Y651" t="str">
            <v>Prévu</v>
          </cell>
          <cell r="Z651" t="str">
            <v>Reprise</v>
          </cell>
        </row>
        <row r="652">
          <cell r="A652">
            <v>3372</v>
          </cell>
          <cell r="B652">
            <v>1</v>
          </cell>
          <cell r="C652" t="str">
            <v>IV26798</v>
          </cell>
          <cell r="D652" t="str">
            <v>ACQUISITION  DE  10  APPAREILS  TELEPHONIQUES  POUR  LE  SERVICE  CONTROLE  DE  GESTION  DE  LA  DIVISION  GESTION  ADMINISTRATIVE  ET  SOCIALE.</v>
          </cell>
          <cell r="E652" t="str">
            <v>Approuvé</v>
          </cell>
          <cell r="F652" t="str">
            <v>K01013</v>
          </cell>
          <cell r="G652">
            <v>2</v>
          </cell>
          <cell r="H652" t="str">
            <v>Reprise</v>
          </cell>
          <cell r="I652" t="str">
            <v>REPRISE</v>
          </cell>
          <cell r="J652" t="str">
            <v>Budgété</v>
          </cell>
          <cell r="K652">
            <v>12000</v>
          </cell>
          <cell r="L652">
            <v>12000</v>
          </cell>
          <cell r="O652">
            <v>12000</v>
          </cell>
          <cell r="S652">
            <v>13719</v>
          </cell>
          <cell r="T652" t="str">
            <v>NABZAR AHMED</v>
          </cell>
          <cell r="U652" t="str">
            <v>Administratif</v>
          </cell>
          <cell r="V652" t="str">
            <v>Reprise</v>
          </cell>
          <cell r="W652" t="str">
            <v>Renouvellement</v>
          </cell>
          <cell r="X652" t="str">
            <v>Aucune</v>
          </cell>
          <cell r="Y652" t="str">
            <v>Prévu</v>
          </cell>
          <cell r="Z652" t="str">
            <v>Reprise</v>
          </cell>
        </row>
        <row r="653">
          <cell r="A653">
            <v>3373</v>
          </cell>
          <cell r="B653">
            <v>1</v>
          </cell>
          <cell r="C653" t="str">
            <v>IV26800</v>
          </cell>
          <cell r="D653" t="str">
            <v>ACHAT DE 07 TELECOPIEURS POUR LA DIRECTION TRAITEMENT ET EMBARQUEMENTS</v>
          </cell>
          <cell r="E653" t="str">
            <v>Approuvé</v>
          </cell>
          <cell r="F653" t="str">
            <v>K04003</v>
          </cell>
          <cell r="G653">
            <v>2</v>
          </cell>
          <cell r="H653" t="str">
            <v>Reprise</v>
          </cell>
          <cell r="I653" t="str">
            <v>REPRISE</v>
          </cell>
          <cell r="J653" t="str">
            <v>Budgété</v>
          </cell>
          <cell r="K653">
            <v>56000</v>
          </cell>
          <cell r="L653">
            <v>56000</v>
          </cell>
          <cell r="O653">
            <v>56000</v>
          </cell>
          <cell r="S653">
            <v>13720</v>
          </cell>
          <cell r="T653" t="str">
            <v>MANSOURI OMAR</v>
          </cell>
          <cell r="U653" t="str">
            <v>Administratif</v>
          </cell>
          <cell r="V653" t="str">
            <v>Reprise</v>
          </cell>
          <cell r="W653" t="str">
            <v>Dotations nouvelles</v>
          </cell>
          <cell r="X653" t="str">
            <v>Aucune</v>
          </cell>
          <cell r="Y653" t="str">
            <v>Prévu</v>
          </cell>
          <cell r="Z653" t="str">
            <v>Reprise</v>
          </cell>
        </row>
        <row r="654">
          <cell r="A654">
            <v>3374</v>
          </cell>
          <cell r="B654">
            <v>1</v>
          </cell>
          <cell r="C654" t="str">
            <v>IV26806</v>
          </cell>
          <cell r="D654" t="str">
            <v>ACHAT DES EQUIPEMENTS DE TELECOMMUNICATIONS</v>
          </cell>
          <cell r="E654" t="str">
            <v>Approuvé</v>
          </cell>
          <cell r="F654" t="str">
            <v>K04012</v>
          </cell>
          <cell r="G654">
            <v>2</v>
          </cell>
          <cell r="H654" t="str">
            <v>Reprise</v>
          </cell>
          <cell r="I654" t="str">
            <v>REPRISE</v>
          </cell>
          <cell r="J654" t="str">
            <v>Budgété</v>
          </cell>
          <cell r="K654">
            <v>200000</v>
          </cell>
          <cell r="L654">
            <v>200000</v>
          </cell>
          <cell r="O654">
            <v>200000</v>
          </cell>
          <cell r="S654">
            <v>13721</v>
          </cell>
          <cell r="T654" t="str">
            <v>ASSOUD ABDERRAHIM</v>
          </cell>
          <cell r="U654" t="str">
            <v>Administratif</v>
          </cell>
          <cell r="V654" t="str">
            <v>Reprise</v>
          </cell>
          <cell r="W654" t="str">
            <v>Dotations nouvelles</v>
          </cell>
          <cell r="X654" t="str">
            <v>Aucune</v>
          </cell>
          <cell r="Y654" t="str">
            <v>Prévu</v>
          </cell>
          <cell r="Z654" t="str">
            <v>Reprise</v>
          </cell>
        </row>
        <row r="655">
          <cell r="A655">
            <v>3375</v>
          </cell>
          <cell r="B655">
            <v>1</v>
          </cell>
          <cell r="C655" t="str">
            <v>IV26878</v>
          </cell>
          <cell r="D655" t="str">
            <v>1 MOTEUR SYNCHRONE POUR LA DRAGLINE M8400</v>
          </cell>
          <cell r="E655" t="str">
            <v>Approuvé</v>
          </cell>
          <cell r="F655" t="str">
            <v>K03840</v>
          </cell>
          <cell r="G655">
            <v>4</v>
          </cell>
          <cell r="H655" t="str">
            <v>Report</v>
          </cell>
          <cell r="I655" t="str">
            <v>REPORT</v>
          </cell>
          <cell r="J655" t="str">
            <v>Budgété</v>
          </cell>
          <cell r="K655">
            <v>6000000</v>
          </cell>
          <cell r="L655">
            <v>6000000</v>
          </cell>
          <cell r="M655">
            <v>6000000</v>
          </cell>
          <cell r="N655">
            <v>6000000</v>
          </cell>
          <cell r="O655">
            <v>0</v>
          </cell>
          <cell r="S655">
            <v>24339</v>
          </cell>
          <cell r="T655" t="str">
            <v>EL BOUCHRIFI Yagoub</v>
          </cell>
          <cell r="U655" t="str">
            <v>Ordinaire</v>
          </cell>
          <cell r="V655" t="str">
            <v>Reprise</v>
          </cell>
          <cell r="W655" t="str">
            <v>Renouvellement</v>
          </cell>
          <cell r="X655" t="str">
            <v>Aucune</v>
          </cell>
          <cell r="Y655" t="str">
            <v>Prévu</v>
          </cell>
          <cell r="Z655" t="str">
            <v>Reprise</v>
          </cell>
        </row>
        <row r="656">
          <cell r="A656">
            <v>3553</v>
          </cell>
          <cell r="B656">
            <v>1</v>
          </cell>
          <cell r="C656" t="str">
            <v>COMPRESSEUR AIR</v>
          </cell>
          <cell r="D656" t="str">
            <v>RENOUVELLEMENT 01 COMPRESSEUR AIR</v>
          </cell>
          <cell r="E656" t="str">
            <v>Approbation a échoué</v>
          </cell>
          <cell r="F656" t="str">
            <v>K11602</v>
          </cell>
          <cell r="G656">
            <v>1</v>
          </cell>
          <cell r="H656" t="str">
            <v>WORKPLAN</v>
          </cell>
          <cell r="J656" t="str">
            <v>A soumettre</v>
          </cell>
          <cell r="S656">
            <v>10575</v>
          </cell>
          <cell r="T656" t="str">
            <v>MAGHRANI SAID</v>
          </cell>
          <cell r="U656" t="str">
            <v>Ordinaire</v>
          </cell>
          <cell r="V656" t="str">
            <v>R2 : Maintien outil production</v>
          </cell>
          <cell r="W656" t="str">
            <v>Renouvellement</v>
          </cell>
          <cell r="X656" t="str">
            <v>Aucune</v>
          </cell>
          <cell r="Y656" t="str">
            <v>Prévu</v>
          </cell>
          <cell r="Z656" t="str">
            <v>Logistique-Khouribga</v>
          </cell>
        </row>
        <row r="657">
          <cell r="A657">
            <v>3554</v>
          </cell>
          <cell r="B657">
            <v>1</v>
          </cell>
          <cell r="C657" t="str">
            <v>BOUTEILLES GAZ</v>
          </cell>
          <cell r="D657" t="str">
            <v>ACHAT DE 05 BOUTEILLES VIDES DE GAZ</v>
          </cell>
          <cell r="E657" t="str">
            <v>Non approuvé</v>
          </cell>
          <cell r="F657" t="str">
            <v>K11604</v>
          </cell>
          <cell r="G657">
            <v>1</v>
          </cell>
          <cell r="J657" t="str">
            <v>A soumettre</v>
          </cell>
          <cell r="S657">
            <v>15444</v>
          </cell>
          <cell r="T657" t="str">
            <v>BOUZZIT BRAHIM</v>
          </cell>
          <cell r="U657" t="str">
            <v>Ordinaire</v>
          </cell>
          <cell r="V657" t="str">
            <v>R2 : Maintien outil production</v>
          </cell>
          <cell r="W657" t="str">
            <v>Dotations nouvelles</v>
          </cell>
          <cell r="X657" t="str">
            <v>Aucune</v>
          </cell>
          <cell r="Y657" t="str">
            <v>Prévu</v>
          </cell>
          <cell r="Z657" t="str">
            <v>Logistique-Khouribga</v>
          </cell>
        </row>
        <row r="658">
          <cell r="A658">
            <v>3556</v>
          </cell>
          <cell r="B658">
            <v>1</v>
          </cell>
          <cell r="C658" t="str">
            <v>TABOURETS</v>
          </cell>
          <cell r="D658" t="str">
            <v>ACHATS DE 30 TABOURETS D'ATELIERS</v>
          </cell>
          <cell r="E658" t="str">
            <v>Non approuvé</v>
          </cell>
          <cell r="F658" t="str">
            <v>K11602</v>
          </cell>
          <cell r="G658">
            <v>1</v>
          </cell>
          <cell r="H658" t="str">
            <v>vi</v>
          </cell>
          <cell r="I658" t="str">
            <v>BUDGET INITIAL</v>
          </cell>
          <cell r="J658" t="str">
            <v>A soumettre</v>
          </cell>
          <cell r="K658">
            <v>180000</v>
          </cell>
          <cell r="L658">
            <v>180000</v>
          </cell>
          <cell r="M658">
            <v>180000</v>
          </cell>
          <cell r="N658">
            <v>180000</v>
          </cell>
          <cell r="S658">
            <v>14910</v>
          </cell>
          <cell r="T658" t="str">
            <v>BOUZZIT BRAHIM</v>
          </cell>
          <cell r="U658" t="str">
            <v>Ordinaire</v>
          </cell>
          <cell r="V658" t="str">
            <v>R2 : Maintien outil production</v>
          </cell>
          <cell r="W658" t="str">
            <v>Dotations nouvelles</v>
          </cell>
          <cell r="X658" t="str">
            <v>Aucune</v>
          </cell>
          <cell r="Y658" t="str">
            <v>Prévu</v>
          </cell>
          <cell r="Z658" t="str">
            <v>Logistique-Khouribga</v>
          </cell>
        </row>
        <row r="659">
          <cell r="A659">
            <v>3557</v>
          </cell>
          <cell r="B659">
            <v>1</v>
          </cell>
          <cell r="C659" t="str">
            <v>PALAN</v>
          </cell>
          <cell r="D659" t="str">
            <v>ACHAT 01 PALAN DE 15 TONNES</v>
          </cell>
          <cell r="E659" t="str">
            <v>Non approuvé</v>
          </cell>
          <cell r="F659" t="str">
            <v>K11603</v>
          </cell>
          <cell r="G659">
            <v>1</v>
          </cell>
          <cell r="H659" t="str">
            <v>vi</v>
          </cell>
          <cell r="I659" t="str">
            <v>BUDGET INITIAL</v>
          </cell>
          <cell r="J659" t="str">
            <v>A soumettre</v>
          </cell>
          <cell r="K659">
            <v>400000</v>
          </cell>
          <cell r="L659">
            <v>400000</v>
          </cell>
          <cell r="M659">
            <v>400000</v>
          </cell>
          <cell r="N659">
            <v>400000</v>
          </cell>
          <cell r="S659">
            <v>14911</v>
          </cell>
          <cell r="T659" t="str">
            <v>BOUZZIT BRAHIM</v>
          </cell>
          <cell r="U659" t="str">
            <v>Ordinaire</v>
          </cell>
          <cell r="V659" t="str">
            <v>R2 : Maintien outil production</v>
          </cell>
          <cell r="W659" t="str">
            <v>Dotations nouvelles</v>
          </cell>
          <cell r="X659" t="str">
            <v>Aucune</v>
          </cell>
          <cell r="Y659" t="str">
            <v>Prévu</v>
          </cell>
          <cell r="Z659" t="str">
            <v>Logistique-Khouribga</v>
          </cell>
        </row>
        <row r="660">
          <cell r="A660">
            <v>3558</v>
          </cell>
          <cell r="B660">
            <v>1</v>
          </cell>
          <cell r="C660" t="str">
            <v>TAILLEUSE D'ENGRENAGE</v>
          </cell>
          <cell r="D660" t="str">
            <v>ACHAT DE 01 TAILLEUSE D'ENGRENAGE</v>
          </cell>
          <cell r="E660" t="str">
            <v>Approuvé CP</v>
          </cell>
          <cell r="F660" t="str">
            <v>K11602</v>
          </cell>
          <cell r="G660">
            <v>1</v>
          </cell>
          <cell r="H660" t="str">
            <v>WORKPLAN</v>
          </cell>
          <cell r="J660" t="str">
            <v>A soumettre</v>
          </cell>
          <cell r="S660">
            <v>10581</v>
          </cell>
          <cell r="T660" t="str">
            <v>BOUZZIT BRAHIM</v>
          </cell>
          <cell r="U660" t="str">
            <v>Ordinaire</v>
          </cell>
          <cell r="V660" t="str">
            <v>R2 : Maintien outil production</v>
          </cell>
          <cell r="W660" t="str">
            <v>Dotations nouvelles</v>
          </cell>
          <cell r="X660" t="str">
            <v>Aucune</v>
          </cell>
          <cell r="Y660" t="str">
            <v>Prévu</v>
          </cell>
          <cell r="Z660" t="str">
            <v>Logistique-Khouribga</v>
          </cell>
        </row>
        <row r="661">
          <cell r="A661">
            <v>3559</v>
          </cell>
          <cell r="B661">
            <v>1</v>
          </cell>
          <cell r="C661" t="str">
            <v>PLIEUSE DE TOLE</v>
          </cell>
          <cell r="D661" t="str">
            <v>ACHAT  01 PLIEUSE DE TOLE</v>
          </cell>
          <cell r="E661" t="str">
            <v>Non approuvé</v>
          </cell>
          <cell r="F661" t="str">
            <v>K11604</v>
          </cell>
          <cell r="G661">
            <v>1</v>
          </cell>
          <cell r="H661" t="str">
            <v>vi</v>
          </cell>
          <cell r="I661" t="str">
            <v>BUDGET INITIAL</v>
          </cell>
          <cell r="J661" t="str">
            <v>A soumettre</v>
          </cell>
          <cell r="K661">
            <v>2000000</v>
          </cell>
          <cell r="L661">
            <v>2000000</v>
          </cell>
          <cell r="M661">
            <v>2000000</v>
          </cell>
          <cell r="N661">
            <v>2000000</v>
          </cell>
          <cell r="S661">
            <v>14914</v>
          </cell>
          <cell r="T661" t="str">
            <v>BOUZZIT BRAHIM</v>
          </cell>
          <cell r="U661" t="str">
            <v>Ordinaire</v>
          </cell>
          <cell r="V661" t="str">
            <v>R2 : Maintien outil production</v>
          </cell>
          <cell r="W661" t="str">
            <v>Dotations nouvelles</v>
          </cell>
          <cell r="X661" t="str">
            <v>Aucune</v>
          </cell>
          <cell r="Y661" t="str">
            <v>Prévu</v>
          </cell>
          <cell r="Z661" t="str">
            <v>Logistique-Khouribga</v>
          </cell>
        </row>
        <row r="662">
          <cell r="A662">
            <v>3568</v>
          </cell>
          <cell r="B662">
            <v>1</v>
          </cell>
          <cell r="C662" t="str">
            <v>POSTES EMETTEURS/RECEPTEURS</v>
          </cell>
          <cell r="D662" t="str">
            <v>ACQUISITION DE 11 POSTES EMETEURS/RECEPTEURS + 01 STATION DE BASE DESTINES AU POI DE PMK/LM</v>
          </cell>
          <cell r="E662" t="str">
            <v>Non approuvé</v>
          </cell>
          <cell r="F662" t="str">
            <v>K11520</v>
          </cell>
          <cell r="G662">
            <v>1</v>
          </cell>
          <cell r="H662" t="str">
            <v>vi</v>
          </cell>
          <cell r="I662" t="str">
            <v>BUDGET INITIAL</v>
          </cell>
          <cell r="J662" t="str">
            <v>A soumettre</v>
          </cell>
          <cell r="K662">
            <v>200000</v>
          </cell>
          <cell r="L662">
            <v>200000</v>
          </cell>
          <cell r="M662">
            <v>200000</v>
          </cell>
          <cell r="N662">
            <v>200000</v>
          </cell>
          <cell r="S662">
            <v>14865</v>
          </cell>
          <cell r="T662" t="str">
            <v>FIKRI ABOUTHARIK</v>
          </cell>
          <cell r="U662" t="str">
            <v>Ordinaire</v>
          </cell>
          <cell r="V662" t="str">
            <v>R7 : Environnement et Sécurité</v>
          </cell>
          <cell r="W662" t="str">
            <v>Dotations nouvelles</v>
          </cell>
          <cell r="X662" t="str">
            <v>Aucune</v>
          </cell>
          <cell r="Y662" t="str">
            <v>Prévu</v>
          </cell>
          <cell r="Z662" t="str">
            <v>Logistique-Khouribga</v>
          </cell>
        </row>
        <row r="663">
          <cell r="A663">
            <v>3569</v>
          </cell>
          <cell r="B663">
            <v>1</v>
          </cell>
          <cell r="C663" t="str">
            <v>ENVIRONNEMENT</v>
          </cell>
          <cell r="D663" t="str">
            <v>ENVIRONNEMENT</v>
          </cell>
          <cell r="E663" t="str">
            <v>Non approuvé</v>
          </cell>
          <cell r="F663" t="str">
            <v>K11520</v>
          </cell>
          <cell r="G663">
            <v>1</v>
          </cell>
          <cell r="H663" t="str">
            <v>vi</v>
          </cell>
          <cell r="I663" t="str">
            <v>BUDGET INITIAL</v>
          </cell>
          <cell r="J663" t="str">
            <v>A soumettre</v>
          </cell>
          <cell r="K663">
            <v>1500000</v>
          </cell>
          <cell r="L663">
            <v>1500000</v>
          </cell>
          <cell r="M663">
            <v>1500000</v>
          </cell>
          <cell r="N663">
            <v>1500000</v>
          </cell>
          <cell r="S663">
            <v>14915</v>
          </cell>
          <cell r="T663" t="str">
            <v>FIKRI ABOUTHARIK</v>
          </cell>
          <cell r="U663" t="str">
            <v>Ordinaire</v>
          </cell>
          <cell r="V663" t="str">
            <v>R7 : Environnement et Sécurité</v>
          </cell>
          <cell r="W663" t="str">
            <v>Dotations nouvelles</v>
          </cell>
          <cell r="X663" t="str">
            <v>Aucune</v>
          </cell>
          <cell r="Y663" t="str">
            <v>Prévu</v>
          </cell>
          <cell r="Z663" t="str">
            <v>Logistique-Khouribga</v>
          </cell>
        </row>
        <row r="664">
          <cell r="A664">
            <v>3570</v>
          </cell>
          <cell r="B664">
            <v>1</v>
          </cell>
          <cell r="C664" t="str">
            <v>CASQUES</v>
          </cell>
          <cell r="D664" t="str">
            <v>EQUIPEMENTS DE COMMUNICATION ET DE CONTRÔLE DESTINES A LA SECURITE ET LA QUALITE A PMK/LM</v>
          </cell>
          <cell r="E664" t="str">
            <v>Approuvé CP</v>
          </cell>
          <cell r="F664" t="str">
            <v>K11520</v>
          </cell>
          <cell r="G664">
            <v>1</v>
          </cell>
          <cell r="H664" t="str">
            <v>vi</v>
          </cell>
          <cell r="I664" t="str">
            <v>BUDGET INITIAL</v>
          </cell>
          <cell r="J664" t="str">
            <v>En cours</v>
          </cell>
          <cell r="K664">
            <v>500000</v>
          </cell>
          <cell r="L664">
            <v>500000</v>
          </cell>
          <cell r="M664">
            <v>500000</v>
          </cell>
          <cell r="N664">
            <v>500000</v>
          </cell>
          <cell r="S664">
            <v>14917</v>
          </cell>
          <cell r="T664" t="str">
            <v>FIKRI ABOUTHARIK</v>
          </cell>
          <cell r="U664" t="str">
            <v>Ordinaire</v>
          </cell>
          <cell r="V664" t="str">
            <v>R7 : Environnement et Sécurité</v>
          </cell>
          <cell r="W664" t="str">
            <v>Dotations nouvelles</v>
          </cell>
          <cell r="X664" t="str">
            <v>Aucune</v>
          </cell>
          <cell r="Y664" t="str">
            <v>Prévu</v>
          </cell>
          <cell r="Z664" t="str">
            <v>Logistique-Khouribga</v>
          </cell>
        </row>
        <row r="665">
          <cell r="A665">
            <v>3571</v>
          </cell>
          <cell r="B665">
            <v>1</v>
          </cell>
          <cell r="C665" t="str">
            <v>MOBILIER DE BUREAU</v>
          </cell>
          <cell r="D665" t="str">
            <v>ACHAT DE MOBILIER DE BUREAU</v>
          </cell>
          <cell r="E665" t="str">
            <v>Approuvé</v>
          </cell>
          <cell r="F665">
            <v>0</v>
          </cell>
          <cell r="G665">
            <v>1</v>
          </cell>
          <cell r="H665" t="str">
            <v>vi</v>
          </cell>
          <cell r="I665" t="str">
            <v>BUDGET INITIAL</v>
          </cell>
          <cell r="J665" t="str">
            <v>En cours</v>
          </cell>
          <cell r="K665">
            <v>70000</v>
          </cell>
          <cell r="L665">
            <v>70000</v>
          </cell>
          <cell r="M665">
            <v>70000</v>
          </cell>
          <cell r="N665">
            <v>70000</v>
          </cell>
          <cell r="S665">
            <v>14864</v>
          </cell>
          <cell r="T665" t="str">
            <v>DAOUDI JAWAD</v>
          </cell>
          <cell r="U665" t="str">
            <v>Administratif</v>
          </cell>
          <cell r="V665" t="str">
            <v>R6 : Social et Administratif</v>
          </cell>
          <cell r="W665" t="str">
            <v>Dotations nouvelles</v>
          </cell>
          <cell r="X665" t="str">
            <v>Aucune</v>
          </cell>
          <cell r="Y665" t="str">
            <v>Prévu</v>
          </cell>
          <cell r="Z665" t="str">
            <v>Logistique-Khouribga</v>
          </cell>
        </row>
        <row r="666">
          <cell r="A666">
            <v>3574</v>
          </cell>
          <cell r="B666">
            <v>1</v>
          </cell>
          <cell r="C666" t="str">
            <v>Aménagement PMK/TB</v>
          </cell>
          <cell r="D666" t="str">
            <v>Aménagement et entretien des locaux et blocs sanitaires à PMK/TB</v>
          </cell>
          <cell r="E666" t="str">
            <v>Approuvé Entité</v>
          </cell>
          <cell r="F666" t="str">
            <v>K04131</v>
          </cell>
          <cell r="G666">
            <v>1</v>
          </cell>
          <cell r="H666" t="str">
            <v>WORKPLAN</v>
          </cell>
          <cell r="J666" t="str">
            <v>A soumettre</v>
          </cell>
          <cell r="S666">
            <v>10621</v>
          </cell>
          <cell r="T666" t="str">
            <v>ABROUQ ABDALLAH</v>
          </cell>
          <cell r="U666" t="str">
            <v>Ordinaire</v>
          </cell>
          <cell r="V666" t="str">
            <v>R7 : Environnement et Sécurité</v>
          </cell>
          <cell r="W666" t="str">
            <v>Dotations nouvelles</v>
          </cell>
          <cell r="X666" t="str">
            <v>Aucune</v>
          </cell>
          <cell r="Y666" t="str">
            <v>Prévu</v>
          </cell>
          <cell r="Z666" t="str">
            <v>Traitement-Khouribga</v>
          </cell>
        </row>
        <row r="667">
          <cell r="A667">
            <v>3575</v>
          </cell>
          <cell r="B667">
            <v>1</v>
          </cell>
          <cell r="C667" t="str">
            <v>ETUDES ET ESSAIS</v>
          </cell>
          <cell r="D667" t="str">
            <v>ETUDES ET ESSAIS A KHOURIBGA</v>
          </cell>
          <cell r="E667" t="str">
            <v>Approuvé CP</v>
          </cell>
          <cell r="F667" t="str">
            <v>K11050</v>
          </cell>
          <cell r="G667">
            <v>1</v>
          </cell>
          <cell r="H667" t="str">
            <v>vi</v>
          </cell>
          <cell r="I667" t="str">
            <v>BUDGET INITIAL</v>
          </cell>
          <cell r="J667" t="str">
            <v>En cours</v>
          </cell>
          <cell r="K667">
            <v>480000</v>
          </cell>
          <cell r="L667">
            <v>480000</v>
          </cell>
          <cell r="M667">
            <v>480000</v>
          </cell>
          <cell r="N667">
            <v>480000</v>
          </cell>
          <cell r="S667">
            <v>14920</v>
          </cell>
          <cell r="T667" t="str">
            <v>BOUALAM MOUTASSIM</v>
          </cell>
          <cell r="U667" t="str">
            <v>Etudes et essais</v>
          </cell>
          <cell r="V667" t="str">
            <v>R5 : Etudes et Essais</v>
          </cell>
          <cell r="W667" t="str">
            <v>Dotations nouvelles</v>
          </cell>
          <cell r="X667" t="str">
            <v>Aucune</v>
          </cell>
          <cell r="Y667" t="str">
            <v>Prévu</v>
          </cell>
          <cell r="Z667" t="str">
            <v>Logistique-Khouribga</v>
          </cell>
        </row>
        <row r="668">
          <cell r="A668">
            <v>3577</v>
          </cell>
          <cell r="B668">
            <v>1</v>
          </cell>
          <cell r="C668" t="str">
            <v>ACHATS DE TERRAINS A KHOURIBGA</v>
          </cell>
          <cell r="D668" t="str">
            <v>ACHATS DE TERRAINS A KHOURIBGA POUR LA MINE OULAD FARES</v>
          </cell>
          <cell r="E668" t="str">
            <v>Approuvé</v>
          </cell>
          <cell r="F668" t="str">
            <v>K11050</v>
          </cell>
          <cell r="G668">
            <v>1</v>
          </cell>
          <cell r="H668" t="str">
            <v>vi</v>
          </cell>
          <cell r="I668" t="str">
            <v>BUDGET INITIAL</v>
          </cell>
          <cell r="J668" t="str">
            <v>Budgété</v>
          </cell>
          <cell r="K668">
            <v>200000000</v>
          </cell>
          <cell r="L668">
            <v>200000000</v>
          </cell>
          <cell r="M668">
            <v>30000000</v>
          </cell>
          <cell r="N668">
            <v>30000000</v>
          </cell>
          <cell r="Q668">
            <v>70000000</v>
          </cell>
          <cell r="R668">
            <v>100000000</v>
          </cell>
          <cell r="S668">
            <v>24326</v>
          </cell>
          <cell r="T668" t="str">
            <v>BOUALAM MOUTASSIM</v>
          </cell>
          <cell r="U668" t="str">
            <v>Ordinaire</v>
          </cell>
          <cell r="V668" t="str">
            <v>R11 : Terrains</v>
          </cell>
          <cell r="W668" t="str">
            <v>Dotations nouvelles</v>
          </cell>
          <cell r="X668" t="str">
            <v>Aucune</v>
          </cell>
          <cell r="Y668" t="str">
            <v>Prévu</v>
          </cell>
          <cell r="Z668" t="str">
            <v>Logistique-Khouribga</v>
          </cell>
        </row>
        <row r="669">
          <cell r="A669">
            <v>3580</v>
          </cell>
          <cell r="B669">
            <v>1</v>
          </cell>
          <cell r="C669" t="str">
            <v>5 chaise pour PMK/IE</v>
          </cell>
          <cell r="D669" t="str">
            <v>5 CHAISES POUR BUREAU DE PMK/IE</v>
          </cell>
          <cell r="E669" t="str">
            <v>Refusé</v>
          </cell>
          <cell r="F669" t="str">
            <v>K02229</v>
          </cell>
          <cell r="G669">
            <v>1</v>
          </cell>
          <cell r="H669" t="str">
            <v>WORKPLAN</v>
          </cell>
          <cell r="J669" t="str">
            <v>A soumettre</v>
          </cell>
          <cell r="S669">
            <v>10766</v>
          </cell>
          <cell r="T669" t="str">
            <v>KAZZOUZI El Bachir</v>
          </cell>
          <cell r="U669" t="str">
            <v>Administratif</v>
          </cell>
          <cell r="V669" t="str">
            <v>R6 : Social et Administratif</v>
          </cell>
          <cell r="W669" t="str">
            <v>Renouvellement</v>
          </cell>
          <cell r="X669" t="str">
            <v>Aucune</v>
          </cell>
          <cell r="Y669" t="str">
            <v>Prévu</v>
          </cell>
          <cell r="Z669" t="str">
            <v>Administration-Khouribga</v>
          </cell>
        </row>
        <row r="670">
          <cell r="A670">
            <v>3596</v>
          </cell>
          <cell r="B670">
            <v>1</v>
          </cell>
          <cell r="C670" t="str">
            <v>MATERIEL BUREAUTIQUE</v>
          </cell>
          <cell r="D670" t="str">
            <v>Acquisition du materiel Bureautique</v>
          </cell>
          <cell r="E670" t="str">
            <v>Non approuvé</v>
          </cell>
          <cell r="F670" t="str">
            <v>K11718</v>
          </cell>
          <cell r="G670">
            <v>1</v>
          </cell>
          <cell r="H670" t="str">
            <v>vi</v>
          </cell>
          <cell r="I670" t="str">
            <v>BUDGET INITIAL</v>
          </cell>
          <cell r="J670" t="str">
            <v>A soumettre</v>
          </cell>
          <cell r="K670">
            <v>300000</v>
          </cell>
          <cell r="L670">
            <v>300000</v>
          </cell>
          <cell r="M670">
            <v>300000</v>
          </cell>
          <cell r="N670">
            <v>300000</v>
          </cell>
          <cell r="S670">
            <v>14921</v>
          </cell>
          <cell r="T670" t="str">
            <v>SAOUD KARIM</v>
          </cell>
          <cell r="U670" t="str">
            <v>Administratif</v>
          </cell>
          <cell r="V670" t="str">
            <v>R6 : Social et Administratif</v>
          </cell>
          <cell r="W670" t="str">
            <v>Dotations nouvelles</v>
          </cell>
          <cell r="X670" t="str">
            <v>Aucune</v>
          </cell>
          <cell r="Y670" t="str">
            <v>Prévu</v>
          </cell>
          <cell r="Z670" t="str">
            <v>Logistique-Khouribga</v>
          </cell>
        </row>
        <row r="671">
          <cell r="A671">
            <v>3597</v>
          </cell>
          <cell r="B671">
            <v>1</v>
          </cell>
          <cell r="C671" t="str">
            <v>POMPES FORAGE</v>
          </cell>
          <cell r="D671" t="str">
            <v>Acquisition de 04 pompes pour les forages</v>
          </cell>
          <cell r="E671" t="str">
            <v>Non approuvé</v>
          </cell>
          <cell r="F671" t="str">
            <v>K11701</v>
          </cell>
          <cell r="G671">
            <v>1</v>
          </cell>
          <cell r="H671" t="str">
            <v>vi</v>
          </cell>
          <cell r="I671" t="str">
            <v>BUDGET INITIAL</v>
          </cell>
          <cell r="J671" t="str">
            <v>A soumettre</v>
          </cell>
          <cell r="K671">
            <v>300000</v>
          </cell>
          <cell r="L671">
            <v>300000</v>
          </cell>
          <cell r="M671">
            <v>300000</v>
          </cell>
          <cell r="N671">
            <v>300000</v>
          </cell>
          <cell r="S671">
            <v>14922</v>
          </cell>
          <cell r="T671" t="str">
            <v>SAOUD KARIM</v>
          </cell>
          <cell r="U671" t="str">
            <v>Ordinaire</v>
          </cell>
          <cell r="V671" t="str">
            <v>R4 : Aug capacité production</v>
          </cell>
          <cell r="W671" t="str">
            <v>Dotations nouvelles</v>
          </cell>
          <cell r="X671" t="str">
            <v>Aucune</v>
          </cell>
          <cell r="Y671" t="str">
            <v>Prévu</v>
          </cell>
          <cell r="Z671" t="str">
            <v>Logistique-Khouribga</v>
          </cell>
        </row>
        <row r="672">
          <cell r="A672">
            <v>3606</v>
          </cell>
          <cell r="B672">
            <v>1</v>
          </cell>
          <cell r="C672" t="str">
            <v>ENGINS</v>
          </cell>
          <cell r="D672" t="str">
            <v>RENOUVELLEMENT DE LA DRAGLINE MARCHEUSE BUCYRUS-ERIE 9W</v>
          </cell>
          <cell r="E672" t="str">
            <v>Non approuvé</v>
          </cell>
          <cell r="G672">
            <v>1</v>
          </cell>
          <cell r="J672" t="str">
            <v>A soumettre</v>
          </cell>
          <cell r="S672">
            <v>10935</v>
          </cell>
          <cell r="T672" t="str">
            <v>AATOUF Abderrahim</v>
          </cell>
          <cell r="U672" t="str">
            <v>Ordinaire</v>
          </cell>
          <cell r="V672" t="str">
            <v>R2 : Maintien outil production</v>
          </cell>
          <cell r="W672" t="str">
            <v>Renouvellement</v>
          </cell>
          <cell r="X672" t="str">
            <v>Aucune</v>
          </cell>
          <cell r="Y672" t="str">
            <v>Prévu</v>
          </cell>
          <cell r="Z672" t="str">
            <v>Production-Khouribga</v>
          </cell>
        </row>
        <row r="673">
          <cell r="A673">
            <v>3608</v>
          </cell>
          <cell r="B673">
            <v>1</v>
          </cell>
          <cell r="C673" t="str">
            <v>Enveloppe budgétaire PMK</v>
          </cell>
          <cell r="D673" t="str">
            <v>Achat d'outillage et equipements dans le cadre du budget accordé aux directions opérationnelles</v>
          </cell>
          <cell r="E673" t="str">
            <v>Approuvé</v>
          </cell>
          <cell r="F673" t="str">
            <v>K02219</v>
          </cell>
          <cell r="G673">
            <v>2</v>
          </cell>
          <cell r="H673" t="str">
            <v>ENVELOPPE BUDGETAIRE 2007 PMK</v>
          </cell>
          <cell r="I673" t="str">
            <v>REPORT</v>
          </cell>
          <cell r="J673" t="str">
            <v>Budgété</v>
          </cell>
          <cell r="K673">
            <v>726972</v>
          </cell>
          <cell r="L673">
            <v>726972</v>
          </cell>
          <cell r="M673">
            <v>500000</v>
          </cell>
          <cell r="N673">
            <v>500000</v>
          </cell>
          <cell r="O673">
            <v>226972</v>
          </cell>
          <cell r="S673">
            <v>24235</v>
          </cell>
          <cell r="T673" t="str">
            <v>KAZZOUZI El Bachir</v>
          </cell>
          <cell r="U673" t="str">
            <v>Ordinaire</v>
          </cell>
          <cell r="V673" t="str">
            <v>R2 : Maintien outil production</v>
          </cell>
          <cell r="W673" t="str">
            <v>Dotations nouvelles</v>
          </cell>
          <cell r="X673" t="str">
            <v>Aucune</v>
          </cell>
          <cell r="Y673" t="str">
            <v>Imprévu</v>
          </cell>
          <cell r="Z673" t="str">
            <v>Reprise</v>
          </cell>
        </row>
        <row r="674">
          <cell r="A674">
            <v>3616</v>
          </cell>
          <cell r="B674">
            <v>1</v>
          </cell>
          <cell r="C674" t="str">
            <v>MATERIEL ELECTRIQUE</v>
          </cell>
          <cell r="D674" t="str">
            <v>MATERIEL DE MESURE</v>
          </cell>
          <cell r="E674" t="str">
            <v>Approuvé</v>
          </cell>
          <cell r="F674" t="str">
            <v>K07121</v>
          </cell>
          <cell r="G674">
            <v>1</v>
          </cell>
          <cell r="H674" t="str">
            <v>WORKPLAN</v>
          </cell>
          <cell r="J674" t="str">
            <v>A soumettre</v>
          </cell>
          <cell r="S674">
            <v>14677</v>
          </cell>
          <cell r="T674" t="str">
            <v>RAOUIA ELMOSTAFA</v>
          </cell>
          <cell r="U674" t="str">
            <v>Ordinaire</v>
          </cell>
          <cell r="V674" t="str">
            <v>R2 : Maintien outil production</v>
          </cell>
          <cell r="W674" t="str">
            <v>Dotations nouvelles</v>
          </cell>
          <cell r="X674" t="str">
            <v>Aucune</v>
          </cell>
          <cell r="Y674" t="str">
            <v>Prévu</v>
          </cell>
          <cell r="Z674" t="str">
            <v>Embarquement-Casablanca</v>
          </cell>
        </row>
        <row r="675">
          <cell r="A675">
            <v>3617</v>
          </cell>
          <cell r="B675">
            <v>1</v>
          </cell>
          <cell r="C675" t="str">
            <v>MOTEURS ELECTRIQUES</v>
          </cell>
          <cell r="D675" t="str">
            <v>MOTEURS ELECTRIQUES</v>
          </cell>
          <cell r="E675" t="str">
            <v>Non approuvé</v>
          </cell>
          <cell r="F675" t="str">
            <v>K07121</v>
          </cell>
          <cell r="G675">
            <v>1</v>
          </cell>
          <cell r="H675" t="str">
            <v>WORKPLAN</v>
          </cell>
          <cell r="J675" t="str">
            <v>A soumettre</v>
          </cell>
          <cell r="S675">
            <v>14679</v>
          </cell>
          <cell r="T675" t="str">
            <v>RAOUIA ELMOSTAFA</v>
          </cell>
          <cell r="U675" t="str">
            <v>Ordinaire</v>
          </cell>
          <cell r="V675" t="str">
            <v>R2 : Maintien outil production</v>
          </cell>
          <cell r="W675" t="str">
            <v>Dotations nouvelles</v>
          </cell>
          <cell r="X675" t="str">
            <v>Aucune</v>
          </cell>
          <cell r="Y675" t="str">
            <v>Prévu</v>
          </cell>
          <cell r="Z675" t="str">
            <v>Embarquement-Casablanca</v>
          </cell>
        </row>
        <row r="676">
          <cell r="A676">
            <v>3618</v>
          </cell>
          <cell r="B676">
            <v>1</v>
          </cell>
          <cell r="C676" t="str">
            <v>MOTEURS ET DISJONCTEURS ELECT.</v>
          </cell>
          <cell r="D676" t="str">
            <v>MOTEURS ET DISJONCTEURS ELECTRIQUES</v>
          </cell>
          <cell r="E676" t="str">
            <v>Non approuvé</v>
          </cell>
          <cell r="F676" t="str">
            <v>K07121</v>
          </cell>
          <cell r="G676">
            <v>1</v>
          </cell>
          <cell r="H676" t="str">
            <v>WORKPLAN</v>
          </cell>
          <cell r="J676" t="str">
            <v>A soumettre</v>
          </cell>
          <cell r="S676">
            <v>14680</v>
          </cell>
          <cell r="T676" t="str">
            <v>RAOUIA ELMOSTAFA</v>
          </cell>
          <cell r="U676" t="str">
            <v>Ordinaire</v>
          </cell>
          <cell r="V676" t="str">
            <v>R2 : Maintien outil production</v>
          </cell>
          <cell r="W676" t="str">
            <v>Dotations nouvelles</v>
          </cell>
          <cell r="X676" t="str">
            <v>Aucune</v>
          </cell>
          <cell r="Y676" t="str">
            <v>Prévu</v>
          </cell>
          <cell r="Z676" t="str">
            <v>Embarquement-Casablanca</v>
          </cell>
        </row>
        <row r="677">
          <cell r="A677">
            <v>3620</v>
          </cell>
          <cell r="B677">
            <v>1</v>
          </cell>
          <cell r="C677" t="str">
            <v>MATERIEL D'ATELIER MECANIQUE</v>
          </cell>
          <cell r="D677" t="str">
            <v>PERCEUSES ET MEULEUSES</v>
          </cell>
          <cell r="E677" t="str">
            <v>Approuvé</v>
          </cell>
          <cell r="F677" t="str">
            <v>K07209</v>
          </cell>
          <cell r="G677">
            <v>1</v>
          </cell>
          <cell r="H677" t="str">
            <v>WORKPLAN</v>
          </cell>
          <cell r="J677" t="str">
            <v>A soumettre</v>
          </cell>
          <cell r="S677">
            <v>14682</v>
          </cell>
          <cell r="T677" t="str">
            <v>RAOUIA ELMOSTAFA</v>
          </cell>
          <cell r="U677" t="str">
            <v>Ordinaire</v>
          </cell>
          <cell r="V677" t="str">
            <v>R2 : Maintien outil production</v>
          </cell>
          <cell r="W677" t="str">
            <v>Dotations nouvelles</v>
          </cell>
          <cell r="X677" t="str">
            <v>Aucune</v>
          </cell>
          <cell r="Y677" t="str">
            <v>Prévu</v>
          </cell>
          <cell r="Z677" t="str">
            <v>Embarquement-Casablanca</v>
          </cell>
        </row>
        <row r="678">
          <cell r="A678">
            <v>3622</v>
          </cell>
          <cell r="B678">
            <v>1</v>
          </cell>
          <cell r="C678" t="str">
            <v>MATERIEL D'ATELIER</v>
          </cell>
          <cell r="D678" t="str">
            <v>MATERIEL DE SOUDURE ET DE CONTROLE</v>
          </cell>
          <cell r="E678" t="str">
            <v>Approuvé</v>
          </cell>
          <cell r="F678" t="str">
            <v>K07019</v>
          </cell>
          <cell r="G678">
            <v>1</v>
          </cell>
          <cell r="H678" t="str">
            <v>WORKPLAN</v>
          </cell>
          <cell r="J678" t="str">
            <v>A soumettre</v>
          </cell>
          <cell r="S678">
            <v>14686</v>
          </cell>
          <cell r="T678" t="str">
            <v>RAOUIA ELMOSTAFA</v>
          </cell>
          <cell r="U678" t="str">
            <v>Ordinaire</v>
          </cell>
          <cell r="V678" t="str">
            <v>R2 : Maintien outil production</v>
          </cell>
          <cell r="W678" t="str">
            <v>Dotations nouvelles</v>
          </cell>
          <cell r="X678" t="str">
            <v>Aucune</v>
          </cell>
          <cell r="Y678" t="str">
            <v>Prévu</v>
          </cell>
          <cell r="Z678" t="str">
            <v>Embarquement-Casablanca</v>
          </cell>
        </row>
        <row r="679">
          <cell r="A679">
            <v>3623</v>
          </cell>
          <cell r="B679">
            <v>1</v>
          </cell>
          <cell r="C679" t="str">
            <v>MATERIEL DE MANUTENTION</v>
          </cell>
          <cell r="D679" t="str">
            <v>MATERIEL DE LEVAGE ET MANUTENTION</v>
          </cell>
          <cell r="E679" t="str">
            <v>Approuvé</v>
          </cell>
          <cell r="F679" t="str">
            <v>K07019</v>
          </cell>
          <cell r="G679">
            <v>1</v>
          </cell>
          <cell r="H679" t="str">
            <v>WORKPLAN</v>
          </cell>
          <cell r="J679" t="str">
            <v>A soumettre</v>
          </cell>
          <cell r="S679">
            <v>14687</v>
          </cell>
          <cell r="T679" t="str">
            <v>RAOUIA ELMOSTAFA</v>
          </cell>
          <cell r="U679" t="str">
            <v>Ordinaire</v>
          </cell>
          <cell r="V679" t="str">
            <v>R2 : Maintien outil production</v>
          </cell>
          <cell r="W679" t="str">
            <v>Dotations nouvelles</v>
          </cell>
          <cell r="X679" t="str">
            <v>Aucune</v>
          </cell>
          <cell r="Y679" t="str">
            <v>Prévu</v>
          </cell>
          <cell r="Z679" t="str">
            <v>Embarquement-Casablanca</v>
          </cell>
        </row>
        <row r="680">
          <cell r="A680">
            <v>3624</v>
          </cell>
          <cell r="B680">
            <v>1</v>
          </cell>
          <cell r="C680" t="str">
            <v>MATERIEL DE TELECOMMUNICATION</v>
          </cell>
          <cell r="D680" t="str">
            <v>POSTES EMETTEURS RECEPTEURS</v>
          </cell>
          <cell r="E680" t="str">
            <v>Approuvé</v>
          </cell>
          <cell r="F680" t="str">
            <v>K07019</v>
          </cell>
          <cell r="G680">
            <v>1</v>
          </cell>
          <cell r="H680" t="str">
            <v>WORKPLAN</v>
          </cell>
          <cell r="J680" t="str">
            <v>A soumettre</v>
          </cell>
          <cell r="S680">
            <v>14688</v>
          </cell>
          <cell r="T680" t="str">
            <v>RAOUIA ELMOSTAFA</v>
          </cell>
          <cell r="U680" t="str">
            <v>Ordinaire</v>
          </cell>
          <cell r="V680" t="str">
            <v>R2 : Maintien outil production</v>
          </cell>
          <cell r="W680" t="str">
            <v>Dotations nouvelles</v>
          </cell>
          <cell r="X680" t="str">
            <v>Aucune</v>
          </cell>
          <cell r="Y680" t="str">
            <v>Prévu</v>
          </cell>
          <cell r="Z680" t="str">
            <v>Embarquement-Casablanca</v>
          </cell>
        </row>
        <row r="681">
          <cell r="A681">
            <v>3625</v>
          </cell>
          <cell r="B681">
            <v>1</v>
          </cell>
          <cell r="C681" t="str">
            <v>MATERIEL DE STATION SERVICE</v>
          </cell>
          <cell r="D681" t="str">
            <v>POMPE ET ENSEMBLE DE GRAISSAGE</v>
          </cell>
          <cell r="E681" t="str">
            <v>Non approuvé</v>
          </cell>
          <cell r="F681" t="str">
            <v>K07111</v>
          </cell>
          <cell r="G681">
            <v>1</v>
          </cell>
          <cell r="H681" t="str">
            <v>WORKPLAN</v>
          </cell>
          <cell r="J681" t="str">
            <v>A soumettre</v>
          </cell>
          <cell r="S681">
            <v>14689</v>
          </cell>
          <cell r="T681" t="str">
            <v>RAOUIA ELMOSTAFA</v>
          </cell>
          <cell r="U681" t="str">
            <v>Ordinaire</v>
          </cell>
          <cell r="V681" t="str">
            <v>R2 : Maintien outil production</v>
          </cell>
          <cell r="W681" t="str">
            <v>Dotations nouvelles</v>
          </cell>
          <cell r="X681" t="str">
            <v>Aucune</v>
          </cell>
          <cell r="Y681" t="str">
            <v>Prévu</v>
          </cell>
          <cell r="Z681" t="str">
            <v>Embarquement-Casablanca</v>
          </cell>
        </row>
        <row r="682">
          <cell r="A682">
            <v>3626</v>
          </cell>
          <cell r="B682">
            <v>1</v>
          </cell>
          <cell r="C682" t="str">
            <v>MATERIEL DIVERS A CARCT. TECH.</v>
          </cell>
          <cell r="D682" t="str">
            <v>JUMELLE ET ESCABOTS</v>
          </cell>
          <cell r="E682" t="str">
            <v>Non approuvé</v>
          </cell>
          <cell r="F682" t="str">
            <v>K07019</v>
          </cell>
          <cell r="G682">
            <v>1</v>
          </cell>
          <cell r="H682" t="str">
            <v>WORKPLAN</v>
          </cell>
          <cell r="J682" t="str">
            <v>A soumettre</v>
          </cell>
          <cell r="S682">
            <v>14690</v>
          </cell>
          <cell r="T682" t="str">
            <v>RAOUIA ELMOSTAFA</v>
          </cell>
          <cell r="U682" t="str">
            <v>Ordinaire</v>
          </cell>
          <cell r="V682" t="str">
            <v>R2 : Maintien outil production</v>
          </cell>
          <cell r="W682" t="str">
            <v>Dotations nouvelles</v>
          </cell>
          <cell r="X682" t="str">
            <v>Aucune</v>
          </cell>
          <cell r="Y682" t="str">
            <v>Prévu</v>
          </cell>
          <cell r="Z682" t="str">
            <v>Embarquement-Casablanca</v>
          </cell>
        </row>
        <row r="683">
          <cell r="A683">
            <v>3633</v>
          </cell>
          <cell r="B683">
            <v>1</v>
          </cell>
          <cell r="C683" t="str">
            <v>MATERIEL ET LIGNES ELECTRIQUES</v>
          </cell>
          <cell r="D683" t="str">
            <v>TRANSFORMATEURS</v>
          </cell>
          <cell r="E683" t="str">
            <v>Approuvé</v>
          </cell>
          <cell r="F683" t="str">
            <v>K07121</v>
          </cell>
          <cell r="G683">
            <v>1</v>
          </cell>
          <cell r="H683" t="str">
            <v>WORKPLAN</v>
          </cell>
          <cell r="J683" t="str">
            <v>A soumettre</v>
          </cell>
          <cell r="S683">
            <v>14753</v>
          </cell>
          <cell r="T683" t="str">
            <v>RAOUIA ELMOSTAFA</v>
          </cell>
          <cell r="U683" t="str">
            <v>Ordinaire</v>
          </cell>
          <cell r="V683" t="str">
            <v>R2 : Maintien outil production</v>
          </cell>
          <cell r="W683" t="str">
            <v>Dotations nouvelles</v>
          </cell>
          <cell r="X683" t="str">
            <v>Aucune</v>
          </cell>
          <cell r="Y683" t="str">
            <v>Prévu</v>
          </cell>
          <cell r="Z683" t="str">
            <v>Embarquement-Casablanca</v>
          </cell>
        </row>
        <row r="684">
          <cell r="A684">
            <v>3636</v>
          </cell>
          <cell r="B684">
            <v>1</v>
          </cell>
          <cell r="C684" t="str">
            <v>DEPOUSSIERAGE DES INSTAL.</v>
          </cell>
          <cell r="D684" t="str">
            <v>DEPOUSSIERAGE DES INSTALLATIONS PORTUAIRES DES EMBARQUEMENTS CASABLANCA</v>
          </cell>
          <cell r="E684" t="str">
            <v>Approuvé Entité</v>
          </cell>
          <cell r="F684" t="str">
            <v>K07019</v>
          </cell>
          <cell r="G684">
            <v>1</v>
          </cell>
          <cell r="H684" t="str">
            <v>WORKPLAN</v>
          </cell>
          <cell r="J684" t="str">
            <v>A soumettre</v>
          </cell>
          <cell r="S684">
            <v>14785</v>
          </cell>
          <cell r="T684" t="str">
            <v>ZAID MOHAMED</v>
          </cell>
          <cell r="U684" t="str">
            <v>Important</v>
          </cell>
          <cell r="V684" t="str">
            <v>R7 : Environnement et Sécurité</v>
          </cell>
          <cell r="W684" t="str">
            <v>Dotations nouvelles</v>
          </cell>
          <cell r="X684" t="str">
            <v>Aucune</v>
          </cell>
          <cell r="Y684" t="str">
            <v>Prévu</v>
          </cell>
          <cell r="Z684" t="str">
            <v>Embarquement-Casablanca</v>
          </cell>
        </row>
        <row r="685">
          <cell r="A685">
            <v>3641</v>
          </cell>
          <cell r="B685">
            <v>1</v>
          </cell>
          <cell r="C685" t="str">
            <v>BANC D'ESSAI</v>
          </cell>
          <cell r="D685" t="str">
            <v>ACHAT D'UN BANC D'ESSAI HYDRAULIQUE</v>
          </cell>
          <cell r="E685" t="str">
            <v>Approuvé CP</v>
          </cell>
          <cell r="F685" t="str">
            <v>K11608</v>
          </cell>
          <cell r="G685">
            <v>1</v>
          </cell>
          <cell r="H685" t="str">
            <v>vi</v>
          </cell>
          <cell r="I685" t="str">
            <v>BUDGET INITIAL</v>
          </cell>
          <cell r="J685" t="str">
            <v>En cours</v>
          </cell>
          <cell r="K685">
            <v>1000000</v>
          </cell>
          <cell r="L685">
            <v>1000000</v>
          </cell>
          <cell r="M685">
            <v>1000000</v>
          </cell>
          <cell r="N685">
            <v>1000000</v>
          </cell>
          <cell r="S685">
            <v>14923</v>
          </cell>
          <cell r="T685" t="str">
            <v>BOUZZIT BRAHIM</v>
          </cell>
          <cell r="U685" t="str">
            <v>Ordinaire</v>
          </cell>
          <cell r="V685" t="str">
            <v>R3 : Amélioration prix revient</v>
          </cell>
          <cell r="W685" t="str">
            <v>Dotations nouvelles</v>
          </cell>
          <cell r="X685" t="str">
            <v>Aucune</v>
          </cell>
          <cell r="Y685" t="str">
            <v>Prévu</v>
          </cell>
          <cell r="Z685" t="str">
            <v>Logistique-Khouribga</v>
          </cell>
        </row>
        <row r="686">
          <cell r="A686">
            <v>3642</v>
          </cell>
          <cell r="B686">
            <v>1</v>
          </cell>
          <cell r="C686" t="str">
            <v>MOBILIER</v>
          </cell>
          <cell r="D686" t="str">
            <v>RENOUVELLEMENT DE MOBILIERS DE BUREAUX</v>
          </cell>
          <cell r="E686" t="str">
            <v>Approuvé Entité</v>
          </cell>
          <cell r="F686" t="str">
            <v>K03500</v>
          </cell>
          <cell r="G686">
            <v>1</v>
          </cell>
          <cell r="H686" t="str">
            <v>WORKPLAN</v>
          </cell>
          <cell r="J686" t="str">
            <v>A soumettre</v>
          </cell>
          <cell r="S686">
            <v>14820</v>
          </cell>
          <cell r="T686" t="str">
            <v>CHARKI EL YAMANI</v>
          </cell>
          <cell r="U686" t="str">
            <v>Administratif</v>
          </cell>
          <cell r="V686" t="str">
            <v>R6 : Social et Administratif</v>
          </cell>
          <cell r="W686" t="str">
            <v>Renouvellement</v>
          </cell>
          <cell r="X686" t="str">
            <v>Aucune</v>
          </cell>
          <cell r="Y686" t="str">
            <v>Prévu</v>
          </cell>
          <cell r="Z686" t="str">
            <v>Production-Khouribga</v>
          </cell>
        </row>
        <row r="687">
          <cell r="A687">
            <v>3643</v>
          </cell>
          <cell r="B687">
            <v>1</v>
          </cell>
          <cell r="C687" t="str">
            <v>TELEPHONES</v>
          </cell>
          <cell r="D687" t="str">
            <v>RENOUVELLEMENT DE 100 APPAREILS TELEPHONIQUES</v>
          </cell>
          <cell r="E687" t="str">
            <v>Approuvé</v>
          </cell>
          <cell r="F687" t="str">
            <v>K03500</v>
          </cell>
          <cell r="G687">
            <v>1</v>
          </cell>
          <cell r="H687" t="str">
            <v>WORKPLAN</v>
          </cell>
          <cell r="J687" t="str">
            <v>A soumettre</v>
          </cell>
          <cell r="S687">
            <v>14843</v>
          </cell>
          <cell r="T687" t="str">
            <v>CHARKI EL YAMANI</v>
          </cell>
          <cell r="U687" t="str">
            <v>Administratif</v>
          </cell>
          <cell r="V687" t="str">
            <v>R8 : Informatique</v>
          </cell>
          <cell r="W687" t="str">
            <v>Renouvellement</v>
          </cell>
          <cell r="X687" t="str">
            <v>Aucune</v>
          </cell>
          <cell r="Y687" t="str">
            <v>Prévu</v>
          </cell>
          <cell r="Z687" t="str">
            <v>Production-Khouribga</v>
          </cell>
        </row>
        <row r="688">
          <cell r="A688">
            <v>3645</v>
          </cell>
          <cell r="B688">
            <v>1</v>
          </cell>
          <cell r="C688" t="str">
            <v>CLIMATISEURS</v>
          </cell>
          <cell r="D688" t="str">
            <v>Renouvellement des climatiseurs de bureaux</v>
          </cell>
          <cell r="E688" t="str">
            <v>Approuvé</v>
          </cell>
          <cell r="F688" t="str">
            <v>K03500</v>
          </cell>
          <cell r="G688">
            <v>1</v>
          </cell>
          <cell r="H688" t="str">
            <v>WORKPLAN</v>
          </cell>
          <cell r="J688" t="str">
            <v>A soumettre</v>
          </cell>
          <cell r="S688">
            <v>14847</v>
          </cell>
          <cell r="T688" t="str">
            <v>CHARKI EL YAMANI</v>
          </cell>
          <cell r="U688" t="str">
            <v>Administratif</v>
          </cell>
          <cell r="V688" t="str">
            <v>R6 : Social et Administratif</v>
          </cell>
          <cell r="W688" t="str">
            <v>Renouvellement</v>
          </cell>
          <cell r="X688" t="str">
            <v>Aucune</v>
          </cell>
          <cell r="Y688" t="str">
            <v>Prévu</v>
          </cell>
          <cell r="Z688" t="str">
            <v>Production-Khouribga</v>
          </cell>
        </row>
        <row r="689">
          <cell r="A689">
            <v>3650</v>
          </cell>
          <cell r="B689">
            <v>1</v>
          </cell>
          <cell r="C689" t="str">
            <v>MOBILIERS</v>
          </cell>
          <cell r="D689" t="str">
            <v>ACHAT DE MOBILIERS DE BUREAUX</v>
          </cell>
          <cell r="E689" t="str">
            <v>Approbation a échoué</v>
          </cell>
          <cell r="F689" t="str">
            <v>K03545</v>
          </cell>
          <cell r="G689">
            <v>1</v>
          </cell>
          <cell r="H689" t="str">
            <v>WORKPLAN</v>
          </cell>
          <cell r="J689" t="str">
            <v>A soumettre</v>
          </cell>
          <cell r="S689">
            <v>14858</v>
          </cell>
          <cell r="T689" t="str">
            <v>CHARKI EL YAMANI</v>
          </cell>
          <cell r="U689" t="str">
            <v>Administratif</v>
          </cell>
          <cell r="V689" t="str">
            <v>R6 : Social et Administratif</v>
          </cell>
          <cell r="W689" t="str">
            <v>Dotations nouvelles</v>
          </cell>
          <cell r="X689" t="str">
            <v>Aucune</v>
          </cell>
          <cell r="Y689" t="str">
            <v>Prévu</v>
          </cell>
          <cell r="Z689" t="str">
            <v>Production-Khouribga</v>
          </cell>
        </row>
        <row r="690">
          <cell r="A690">
            <v>3651</v>
          </cell>
          <cell r="B690">
            <v>1</v>
          </cell>
          <cell r="C690" t="str">
            <v>DEPOUSSIERAGE PMK/TC</v>
          </cell>
          <cell r="D690" t="str">
            <v>DEPOUSSIERAGE DES INSTALLATIONS PORTUAIRES DE PMK/TC</v>
          </cell>
          <cell r="E690" t="str">
            <v>Non approuvé</v>
          </cell>
          <cell r="F690" t="str">
            <v>K07019</v>
          </cell>
          <cell r="G690">
            <v>1</v>
          </cell>
          <cell r="H690" t="str">
            <v>WORKPLAN</v>
          </cell>
          <cell r="J690" t="str">
            <v>A soumettre</v>
          </cell>
          <cell r="S690">
            <v>14860</v>
          </cell>
          <cell r="T690" t="str">
            <v>ZAID MOHAMED</v>
          </cell>
          <cell r="U690" t="str">
            <v>Ordinaire</v>
          </cell>
          <cell r="V690" t="str">
            <v>R7 : Environnement et Sécurité</v>
          </cell>
          <cell r="W690" t="str">
            <v>Dotations nouvelles</v>
          </cell>
          <cell r="X690" t="str">
            <v>Aucune</v>
          </cell>
          <cell r="Y690" t="str">
            <v>Prévu</v>
          </cell>
          <cell r="Z690" t="str">
            <v>Embarquement-Casablanca</v>
          </cell>
        </row>
        <row r="691">
          <cell r="A691">
            <v>3652</v>
          </cell>
          <cell r="B691">
            <v>1</v>
          </cell>
          <cell r="C691" t="str">
            <v>MOBILIER3</v>
          </cell>
          <cell r="D691" t="str">
            <v>ACHAT DE MOBILIERS DE BUREAU</v>
          </cell>
          <cell r="E691" t="str">
            <v>Approuvé</v>
          </cell>
          <cell r="F691" t="str">
            <v>K03540</v>
          </cell>
          <cell r="G691">
            <v>1</v>
          </cell>
          <cell r="H691" t="str">
            <v>WORKPLAN</v>
          </cell>
          <cell r="J691" t="str">
            <v>A soumettre</v>
          </cell>
          <cell r="S691">
            <v>14861</v>
          </cell>
          <cell r="T691" t="str">
            <v>CHARKI EL YAMANI</v>
          </cell>
          <cell r="U691" t="str">
            <v>Administratif</v>
          </cell>
          <cell r="V691" t="str">
            <v>R6 : Social et Administratif</v>
          </cell>
          <cell r="W691" t="str">
            <v>Dotations nouvelles</v>
          </cell>
          <cell r="X691" t="str">
            <v>Aucune</v>
          </cell>
          <cell r="Y691" t="str">
            <v>Prévu</v>
          </cell>
          <cell r="Z691" t="str">
            <v>Production-Khouribga</v>
          </cell>
        </row>
        <row r="692">
          <cell r="A692">
            <v>3653</v>
          </cell>
          <cell r="B692">
            <v>1</v>
          </cell>
          <cell r="C692" t="str">
            <v>MOBILIER BUREAU</v>
          </cell>
          <cell r="D692" t="str">
            <v>ACHAT DE MOBILIER DE BUREAU A PMK/L</v>
          </cell>
          <cell r="E692" t="str">
            <v>Approuvé</v>
          </cell>
          <cell r="F692" t="str">
            <v>K11020</v>
          </cell>
          <cell r="G692">
            <v>1</v>
          </cell>
          <cell r="H692" t="str">
            <v>WORKPLAN</v>
          </cell>
          <cell r="J692" t="str">
            <v>A soumettre</v>
          </cell>
          <cell r="S692">
            <v>14862</v>
          </cell>
          <cell r="T692" t="str">
            <v>DAOUDI JAWAD</v>
          </cell>
          <cell r="U692" t="str">
            <v>Administratif</v>
          </cell>
          <cell r="V692" t="str">
            <v>R6 : Social et Administratif</v>
          </cell>
          <cell r="W692" t="str">
            <v>Dotations nouvelles</v>
          </cell>
          <cell r="X692" t="str">
            <v>Aucune</v>
          </cell>
          <cell r="Y692" t="str">
            <v>Prévu</v>
          </cell>
          <cell r="Z692" t="str">
            <v>Logistique-Khouribga</v>
          </cell>
        </row>
        <row r="693">
          <cell r="A693">
            <v>3654</v>
          </cell>
          <cell r="B693">
            <v>1</v>
          </cell>
          <cell r="C693" t="str">
            <v>POMPES POUR PISCINES</v>
          </cell>
          <cell r="D693" t="str">
            <v>POMPES POUR PISCINES</v>
          </cell>
          <cell r="E693" t="str">
            <v>Non approuvé</v>
          </cell>
          <cell r="F693" t="str">
            <v>K01037</v>
          </cell>
          <cell r="G693">
            <v>1</v>
          </cell>
          <cell r="H693" t="str">
            <v>WORKPLAN</v>
          </cell>
          <cell r="J693" t="str">
            <v>A soumettre</v>
          </cell>
          <cell r="S693">
            <v>14871</v>
          </cell>
          <cell r="T693" t="str">
            <v>DERDAKI MOHAMED</v>
          </cell>
          <cell r="U693" t="str">
            <v>Social</v>
          </cell>
          <cell r="V693" t="str">
            <v>R6 : Social et Administratif</v>
          </cell>
          <cell r="W693" t="str">
            <v>Renouvellement</v>
          </cell>
          <cell r="X693" t="str">
            <v>Aucune</v>
          </cell>
          <cell r="Y693" t="str">
            <v>Prévu</v>
          </cell>
          <cell r="Z693" t="str">
            <v>Administration-Khouribga</v>
          </cell>
        </row>
        <row r="694">
          <cell r="A694">
            <v>3655</v>
          </cell>
          <cell r="B694">
            <v>1</v>
          </cell>
          <cell r="C694" t="str">
            <v>POMPE D'EPREUVE CHAUFFE EAU</v>
          </cell>
          <cell r="D694" t="str">
            <v>POMPE D'EPREUVE CHAUFFE EAU</v>
          </cell>
          <cell r="E694" t="str">
            <v>Non approuvé</v>
          </cell>
          <cell r="F694" t="str">
            <v>K01049</v>
          </cell>
          <cell r="G694">
            <v>1</v>
          </cell>
          <cell r="H694" t="str">
            <v>WORKPLAN</v>
          </cell>
          <cell r="J694" t="str">
            <v>A soumettre</v>
          </cell>
          <cell r="S694">
            <v>14874</v>
          </cell>
          <cell r="T694" t="str">
            <v>DERDAKI MOHAMED</v>
          </cell>
          <cell r="U694" t="str">
            <v>Habitat</v>
          </cell>
          <cell r="V694" t="str">
            <v>R6 : Social et Administratif</v>
          </cell>
          <cell r="W694" t="str">
            <v>Dotations nouvelles</v>
          </cell>
          <cell r="X694" t="str">
            <v>Aucune</v>
          </cell>
          <cell r="Y694" t="str">
            <v>Prévu</v>
          </cell>
          <cell r="Z694" t="str">
            <v>Administration-Khouribga</v>
          </cell>
        </row>
        <row r="695">
          <cell r="A695">
            <v>3657</v>
          </cell>
          <cell r="B695">
            <v>1</v>
          </cell>
          <cell r="C695" t="str">
            <v>PALAN DIFFERENTIEL 4 TONNES</v>
          </cell>
          <cell r="D695" t="str">
            <v>PALAN DIFFERENTIEL  4 TONNES</v>
          </cell>
          <cell r="E695" t="str">
            <v>Non approuvé</v>
          </cell>
          <cell r="G695">
            <v>1</v>
          </cell>
          <cell r="H695" t="str">
            <v>WORKPLAN</v>
          </cell>
          <cell r="J695" t="str">
            <v>A soumettre</v>
          </cell>
          <cell r="S695">
            <v>14905</v>
          </cell>
          <cell r="T695" t="str">
            <v>DERDAKI MOHAMED</v>
          </cell>
          <cell r="U695" t="str">
            <v>Social</v>
          </cell>
          <cell r="V695" t="str">
            <v>R6 : Social et Administratif</v>
          </cell>
          <cell r="W695" t="str">
            <v>Dotations nouvelles</v>
          </cell>
          <cell r="X695" t="str">
            <v>Aucune</v>
          </cell>
          <cell r="Y695" t="str">
            <v>Prévu</v>
          </cell>
          <cell r="Z695" t="str">
            <v>Administration-Khouribga</v>
          </cell>
        </row>
        <row r="696">
          <cell r="A696">
            <v>3658</v>
          </cell>
          <cell r="B696">
            <v>1</v>
          </cell>
          <cell r="C696" t="str">
            <v>GERBEUR DE 1000 KG</v>
          </cell>
          <cell r="D696" t="str">
            <v>Acqisition d'un gerbeur de 1000 Kg</v>
          </cell>
          <cell r="E696" t="str">
            <v>Non approuvé</v>
          </cell>
          <cell r="G696">
            <v>1</v>
          </cell>
          <cell r="H696" t="str">
            <v>WORKPLAN</v>
          </cell>
          <cell r="J696" t="str">
            <v>A soumettre</v>
          </cell>
          <cell r="S696">
            <v>14909</v>
          </cell>
          <cell r="T696" t="str">
            <v>DERDAKI MOHAMED</v>
          </cell>
          <cell r="U696" t="str">
            <v>Social</v>
          </cell>
          <cell r="V696" t="str">
            <v>R6 : Social et Administratif</v>
          </cell>
          <cell r="W696" t="str">
            <v>Dotations nouvelles</v>
          </cell>
          <cell r="X696" t="str">
            <v>Aucune</v>
          </cell>
          <cell r="Y696" t="str">
            <v>Prévu</v>
          </cell>
          <cell r="Z696" t="str">
            <v>Administration-Khouribga</v>
          </cell>
        </row>
        <row r="697">
          <cell r="A697">
            <v>3659</v>
          </cell>
          <cell r="B697">
            <v>1</v>
          </cell>
          <cell r="C697" t="str">
            <v>PERCEUSE SUR COLONNE</v>
          </cell>
          <cell r="D697" t="str">
            <v>Acquisition d'une perceuse sur colonne</v>
          </cell>
          <cell r="E697" t="str">
            <v>Non approuvé</v>
          </cell>
          <cell r="G697">
            <v>1</v>
          </cell>
          <cell r="H697" t="str">
            <v>WORKPLAN</v>
          </cell>
          <cell r="J697" t="str">
            <v>A soumettre</v>
          </cell>
          <cell r="S697">
            <v>14912</v>
          </cell>
          <cell r="T697" t="str">
            <v>DERDAKI MOHAMED</v>
          </cell>
          <cell r="U697" t="str">
            <v>Social</v>
          </cell>
          <cell r="V697" t="str">
            <v>R6 : Social et Administratif</v>
          </cell>
          <cell r="W697" t="str">
            <v>Dotations nouvelles</v>
          </cell>
          <cell r="X697" t="str">
            <v>Aucune</v>
          </cell>
          <cell r="Y697" t="str">
            <v>Prévu</v>
          </cell>
          <cell r="Z697" t="str">
            <v>Administration-Khouribga</v>
          </cell>
        </row>
        <row r="698">
          <cell r="A698">
            <v>3660</v>
          </cell>
          <cell r="B698">
            <v>1</v>
          </cell>
          <cell r="C698" t="str">
            <v>MANEGES POUR PARC DE JEUX</v>
          </cell>
          <cell r="D698" t="str">
            <v>Manèges pour parc de jeux du club des ingénieurs</v>
          </cell>
          <cell r="E698" t="str">
            <v>Non approuvé</v>
          </cell>
          <cell r="G698">
            <v>1</v>
          </cell>
          <cell r="H698" t="str">
            <v>WORKPLAN</v>
          </cell>
          <cell r="J698" t="str">
            <v>A soumettre</v>
          </cell>
          <cell r="S698">
            <v>14916</v>
          </cell>
          <cell r="T698" t="str">
            <v>DERDAKI MOHAMED</v>
          </cell>
          <cell r="U698" t="str">
            <v>Social</v>
          </cell>
          <cell r="V698" t="str">
            <v>R6 : Social et Administratif</v>
          </cell>
          <cell r="W698" t="str">
            <v>Dotations nouvelles</v>
          </cell>
          <cell r="X698" t="str">
            <v>Aucune</v>
          </cell>
          <cell r="Y698" t="str">
            <v>Prévu</v>
          </cell>
          <cell r="Z698" t="str">
            <v>Administration-Khouribga</v>
          </cell>
        </row>
        <row r="699">
          <cell r="A699">
            <v>3661</v>
          </cell>
          <cell r="B699">
            <v>1</v>
          </cell>
          <cell r="C699" t="str">
            <v>EQUIPEMENT P/ SALLES DE SPORTS</v>
          </cell>
          <cell r="D699" t="str">
            <v>Equipement pour salles de sports</v>
          </cell>
          <cell r="E699" t="str">
            <v>Non approuvé</v>
          </cell>
          <cell r="G699">
            <v>1</v>
          </cell>
          <cell r="H699" t="str">
            <v>WORKPLAN</v>
          </cell>
          <cell r="J699" t="str">
            <v>A soumettre</v>
          </cell>
          <cell r="S699">
            <v>14918</v>
          </cell>
          <cell r="T699" t="str">
            <v>DERDAKI MOHAMED</v>
          </cell>
          <cell r="U699" t="str">
            <v>Social</v>
          </cell>
          <cell r="V699" t="str">
            <v>R6 : Social et Administratif</v>
          </cell>
          <cell r="W699" t="str">
            <v>Dotations nouvelles</v>
          </cell>
          <cell r="X699" t="str">
            <v>Aucune</v>
          </cell>
          <cell r="Y699" t="str">
            <v>Prévu</v>
          </cell>
          <cell r="Z699" t="str">
            <v>Administration-Khouribga</v>
          </cell>
        </row>
        <row r="700">
          <cell r="A700">
            <v>3662</v>
          </cell>
          <cell r="B700">
            <v>1</v>
          </cell>
          <cell r="C700" t="str">
            <v>MOBILIER P/ ETS SOCIAUX.</v>
          </cell>
          <cell r="D700" t="str">
            <v>Mobilier pour les établissements sociaux.</v>
          </cell>
          <cell r="E700" t="str">
            <v>Non approuvé</v>
          </cell>
          <cell r="G700">
            <v>1</v>
          </cell>
          <cell r="H700" t="str">
            <v>WORKPLAN</v>
          </cell>
          <cell r="J700" t="str">
            <v>A soumettre</v>
          </cell>
          <cell r="S700">
            <v>14919</v>
          </cell>
          <cell r="T700" t="str">
            <v>DERDAKI MOHAMED</v>
          </cell>
          <cell r="U700" t="str">
            <v>Social</v>
          </cell>
          <cell r="V700" t="str">
            <v>R6 : Social et Administratif</v>
          </cell>
          <cell r="W700" t="str">
            <v>Dotations nouvelles</v>
          </cell>
          <cell r="X700" t="str">
            <v>Aucune</v>
          </cell>
          <cell r="Y700" t="str">
            <v>Prévu</v>
          </cell>
          <cell r="Z700" t="str">
            <v>Administration-Khouribga</v>
          </cell>
        </row>
        <row r="701">
          <cell r="A701">
            <v>3726</v>
          </cell>
          <cell r="B701">
            <v>1</v>
          </cell>
          <cell r="C701" t="str">
            <v>EQUIPEMENT ATELIER</v>
          </cell>
          <cell r="D701" t="str">
            <v>EQUIPEMENT ATELIER BOBINAGE  REPORT L2</v>
          </cell>
          <cell r="E701" t="str">
            <v>Approuvé CP</v>
          </cell>
          <cell r="F701" t="str">
            <v>K11708</v>
          </cell>
          <cell r="G701">
            <v>1</v>
          </cell>
          <cell r="H701" t="str">
            <v>WORKPLAN</v>
          </cell>
          <cell r="J701" t="str">
            <v>A soumettre</v>
          </cell>
          <cell r="S701">
            <v>15078</v>
          </cell>
          <cell r="T701" t="str">
            <v>SAOUD KARIM</v>
          </cell>
          <cell r="U701" t="str">
            <v>Ordinaire</v>
          </cell>
          <cell r="V701" t="str">
            <v>R2 : Maintien outil production</v>
          </cell>
          <cell r="W701" t="str">
            <v>Dotations nouvelles</v>
          </cell>
          <cell r="X701" t="str">
            <v>Aucune</v>
          </cell>
          <cell r="Y701" t="str">
            <v>Prévu</v>
          </cell>
          <cell r="Z701" t="str">
            <v>Logistique-Khouribga</v>
          </cell>
        </row>
        <row r="702">
          <cell r="A702">
            <v>3729</v>
          </cell>
          <cell r="B702">
            <v>1</v>
          </cell>
          <cell r="C702" t="str">
            <v>FOUR A PYROLYSE</v>
          </cell>
          <cell r="D702" t="str">
            <v>FOUR A PYROLYSE - MOTEUR REPORT L2</v>
          </cell>
          <cell r="E702" t="str">
            <v>Approuvé CP</v>
          </cell>
          <cell r="F702" t="str">
            <v>K11709</v>
          </cell>
          <cell r="G702">
            <v>1</v>
          </cell>
          <cell r="H702" t="str">
            <v>WORKPLAN</v>
          </cell>
          <cell r="J702" t="str">
            <v>A soumettre</v>
          </cell>
          <cell r="S702">
            <v>15081</v>
          </cell>
          <cell r="T702" t="str">
            <v>SAOUD KARIM</v>
          </cell>
          <cell r="U702" t="str">
            <v>Ordinaire</v>
          </cell>
          <cell r="V702" t="str">
            <v>R2 : Maintien outil production</v>
          </cell>
          <cell r="W702" t="str">
            <v>Dotations nouvelles</v>
          </cell>
          <cell r="X702" t="str">
            <v>Aucune</v>
          </cell>
          <cell r="Y702" t="str">
            <v>Prévu</v>
          </cell>
          <cell r="Z702" t="str">
            <v>Logistique-Khouribga</v>
          </cell>
        </row>
        <row r="703">
          <cell r="A703">
            <v>3733</v>
          </cell>
          <cell r="B703">
            <v>1</v>
          </cell>
          <cell r="C703" t="str">
            <v>VIDEO SURVEILLANCE</v>
          </cell>
          <cell r="D703" t="str">
            <v>VIDEO SURVEILLANCE REPORT L2</v>
          </cell>
          <cell r="E703" t="str">
            <v>Approuvé CP</v>
          </cell>
          <cell r="F703" t="str">
            <v>K11718</v>
          </cell>
          <cell r="G703">
            <v>1</v>
          </cell>
          <cell r="H703" t="str">
            <v>WORKPLAN</v>
          </cell>
          <cell r="J703" t="str">
            <v>A soumettre</v>
          </cell>
          <cell r="S703">
            <v>15086</v>
          </cell>
          <cell r="T703" t="str">
            <v>SAOUD KARIM</v>
          </cell>
          <cell r="U703" t="str">
            <v>Ordinaire</v>
          </cell>
          <cell r="V703" t="str">
            <v>R7 : Environnement et Sécurité</v>
          </cell>
          <cell r="W703" t="str">
            <v>Dotations nouvelles</v>
          </cell>
          <cell r="X703" t="str">
            <v>Aucune</v>
          </cell>
          <cell r="Y703" t="str">
            <v>Prévu</v>
          </cell>
          <cell r="Z703" t="str">
            <v>Logistique-Khouribga</v>
          </cell>
        </row>
        <row r="704">
          <cell r="A704">
            <v>3736</v>
          </cell>
          <cell r="B704">
            <v>1</v>
          </cell>
          <cell r="C704" t="str">
            <v>PRESSE HYDROLIQUE - CISAILLE</v>
          </cell>
          <cell r="D704" t="str">
            <v>PRESSE HYDROLIQUE - CISAILLE REPORT L2</v>
          </cell>
          <cell r="E704" t="str">
            <v>Approuvé CP</v>
          </cell>
          <cell r="F704" t="str">
            <v>K11708</v>
          </cell>
          <cell r="G704">
            <v>1</v>
          </cell>
          <cell r="H704" t="str">
            <v>WORKPLAN</v>
          </cell>
          <cell r="J704" t="str">
            <v>A soumettre</v>
          </cell>
          <cell r="S704">
            <v>15089</v>
          </cell>
          <cell r="T704" t="str">
            <v>SAOUD KARIM</v>
          </cell>
          <cell r="U704" t="str">
            <v>Ordinaire</v>
          </cell>
          <cell r="V704" t="str">
            <v>R2 : Maintien outil production</v>
          </cell>
          <cell r="W704" t="str">
            <v>Dotations nouvelles</v>
          </cell>
          <cell r="X704" t="str">
            <v>Aucune</v>
          </cell>
          <cell r="Y704" t="str">
            <v>Prévu</v>
          </cell>
          <cell r="Z704" t="str">
            <v>Logistique-Khouribga</v>
          </cell>
        </row>
        <row r="705">
          <cell r="A705">
            <v>3739</v>
          </cell>
          <cell r="B705">
            <v>1</v>
          </cell>
          <cell r="C705" t="str">
            <v>RENOUVELLEMENT MACHINE OUITL</v>
          </cell>
          <cell r="D705" t="str">
            <v>RENOUVELLEMENT MACHINE OUTIL REPORT L2</v>
          </cell>
          <cell r="E705" t="str">
            <v>Non approuvé</v>
          </cell>
          <cell r="F705" t="str">
            <v>K11602</v>
          </cell>
          <cell r="G705">
            <v>1</v>
          </cell>
          <cell r="H705" t="str">
            <v>WORKPLAN</v>
          </cell>
          <cell r="J705" t="str">
            <v>A soumettre</v>
          </cell>
          <cell r="S705">
            <v>15092</v>
          </cell>
          <cell r="T705" t="str">
            <v>BOUZZIT BRAHIM</v>
          </cell>
          <cell r="U705" t="str">
            <v>Ordinaire</v>
          </cell>
          <cell r="V705" t="str">
            <v>R2 : Maintien outil production</v>
          </cell>
          <cell r="W705" t="str">
            <v>Renouvellement</v>
          </cell>
          <cell r="X705" t="str">
            <v>Aucune</v>
          </cell>
          <cell r="Y705" t="str">
            <v>Prévu</v>
          </cell>
          <cell r="Z705" t="str">
            <v>Logistique-Khouribga</v>
          </cell>
        </row>
        <row r="706">
          <cell r="A706">
            <v>3740</v>
          </cell>
          <cell r="B706">
            <v>1</v>
          </cell>
          <cell r="C706" t="str">
            <v>MACHINE OUITL</v>
          </cell>
          <cell r="D706" t="str">
            <v>RN MACHINE OUTIL REPORT L2</v>
          </cell>
          <cell r="E706" t="str">
            <v>Non approuvé</v>
          </cell>
          <cell r="F706" t="str">
            <v>K11602</v>
          </cell>
          <cell r="G706">
            <v>1</v>
          </cell>
          <cell r="H706" t="str">
            <v>WORKPLAN</v>
          </cell>
          <cell r="J706" t="str">
            <v>A soumettre</v>
          </cell>
          <cell r="S706">
            <v>15094</v>
          </cell>
          <cell r="T706" t="str">
            <v>BOUZZIT BRAHIM</v>
          </cell>
          <cell r="U706" t="str">
            <v>Ordinaire</v>
          </cell>
          <cell r="V706" t="str">
            <v>R2 : Maintien outil production</v>
          </cell>
          <cell r="W706" t="str">
            <v>Renouvellement</v>
          </cell>
          <cell r="X706" t="str">
            <v>Aucune</v>
          </cell>
          <cell r="Y706" t="str">
            <v>Prévu</v>
          </cell>
          <cell r="Z706" t="str">
            <v>Logistique-Khouribga</v>
          </cell>
        </row>
        <row r="707">
          <cell r="A707">
            <v>3741</v>
          </cell>
          <cell r="B707">
            <v>1</v>
          </cell>
          <cell r="C707" t="str">
            <v xml:space="preserve"> MACHINE OUITL</v>
          </cell>
          <cell r="D707" t="str">
            <v>RN MACHINE OUTIL  REPORT L2</v>
          </cell>
          <cell r="E707" t="str">
            <v>Non approuvé</v>
          </cell>
          <cell r="F707" t="str">
            <v>K11606</v>
          </cell>
          <cell r="G707">
            <v>1</v>
          </cell>
          <cell r="H707" t="str">
            <v>WORKPLAN</v>
          </cell>
          <cell r="J707" t="str">
            <v>A soumettre</v>
          </cell>
          <cell r="S707">
            <v>15095</v>
          </cell>
          <cell r="T707" t="str">
            <v>BOUZZIT BRAHIM</v>
          </cell>
          <cell r="U707" t="str">
            <v>Ordinaire</v>
          </cell>
          <cell r="V707" t="str">
            <v>R2 : Maintien outil production</v>
          </cell>
          <cell r="W707" t="str">
            <v>Renouvellement</v>
          </cell>
          <cell r="X707" t="str">
            <v>Aucune</v>
          </cell>
          <cell r="Y707" t="str">
            <v>Prévu</v>
          </cell>
          <cell r="Z707" t="str">
            <v>Logistique-Khouribga</v>
          </cell>
        </row>
        <row r="708">
          <cell r="A708">
            <v>3745</v>
          </cell>
          <cell r="B708">
            <v>1</v>
          </cell>
          <cell r="C708" t="str">
            <v>Dépoussiérage PMK/TB/B</v>
          </cell>
          <cell r="D708" t="str">
            <v>Fourniture et installation des équipements de dépoussiérage des fours sécheurs de Béni-Idir</v>
          </cell>
          <cell r="E708" t="str">
            <v>Approuvé</v>
          </cell>
          <cell r="F708" t="str">
            <v>K04116</v>
          </cell>
          <cell r="G708">
            <v>2</v>
          </cell>
          <cell r="H708" t="str">
            <v>Avant projet 2007</v>
          </cell>
          <cell r="I708" t="str">
            <v>BUDGET INITIAL</v>
          </cell>
          <cell r="J708" t="str">
            <v>Budgété</v>
          </cell>
          <cell r="K708">
            <v>50000000</v>
          </cell>
          <cell r="L708">
            <v>50000000</v>
          </cell>
          <cell r="M708">
            <v>50000000</v>
          </cell>
          <cell r="N708">
            <v>50000000</v>
          </cell>
          <cell r="S708">
            <v>24276</v>
          </cell>
          <cell r="T708" t="str">
            <v>MANSOURI OMAR</v>
          </cell>
          <cell r="U708" t="str">
            <v>Ordinaire</v>
          </cell>
          <cell r="V708" t="str">
            <v>R2 : Maintien outil production</v>
          </cell>
          <cell r="W708" t="str">
            <v>Dotations nouvelles</v>
          </cell>
          <cell r="X708" t="str">
            <v>Aucune</v>
          </cell>
          <cell r="Y708" t="str">
            <v>Prévu</v>
          </cell>
          <cell r="Z708" t="str">
            <v>Traitement-Khouribga</v>
          </cell>
        </row>
        <row r="709">
          <cell r="A709">
            <v>3746</v>
          </cell>
          <cell r="B709">
            <v>1</v>
          </cell>
          <cell r="C709" t="str">
            <v>REALISATION CONDUITE D'EAU</v>
          </cell>
          <cell r="D709" t="str">
            <v>REALISATION CONDUITE D'EAU DE LIAISON STATION BOUJNIBA REPORT L2</v>
          </cell>
          <cell r="E709" t="str">
            <v>Non approuvé</v>
          </cell>
          <cell r="F709" t="str">
            <v>K11718</v>
          </cell>
          <cell r="G709">
            <v>1</v>
          </cell>
          <cell r="H709" t="str">
            <v>WORKPLAN</v>
          </cell>
          <cell r="J709" t="str">
            <v>A soumettre</v>
          </cell>
          <cell r="S709">
            <v>15114</v>
          </cell>
          <cell r="T709" t="str">
            <v>SAOUD KARIM</v>
          </cell>
          <cell r="U709" t="str">
            <v>Ordinaire</v>
          </cell>
          <cell r="V709" t="str">
            <v>R4 : Aug capacité production</v>
          </cell>
          <cell r="W709" t="str">
            <v>Dotations nouvelles</v>
          </cell>
          <cell r="X709" t="str">
            <v>Aucune</v>
          </cell>
          <cell r="Y709" t="str">
            <v>Prévu</v>
          </cell>
          <cell r="Z709" t="str">
            <v>Logistique-Khouribga</v>
          </cell>
        </row>
        <row r="710">
          <cell r="A710">
            <v>3756</v>
          </cell>
          <cell r="B710">
            <v>1</v>
          </cell>
          <cell r="C710" t="str">
            <v>REALISATION LOCAL</v>
          </cell>
          <cell r="D710" t="str">
            <v>REALISATION LOCAL FOURNITURE ET INSTALLATION EQUIPEMENT ET SABLAGE REPORT L2</v>
          </cell>
          <cell r="E710" t="str">
            <v>Non approuvé</v>
          </cell>
          <cell r="F710" t="str">
            <v>K11718</v>
          </cell>
          <cell r="G710">
            <v>1</v>
          </cell>
          <cell r="H710" t="str">
            <v>WORKPLAN</v>
          </cell>
          <cell r="J710" t="str">
            <v>A soumettre</v>
          </cell>
          <cell r="S710">
            <v>15149</v>
          </cell>
          <cell r="T710" t="str">
            <v>SAOUD KARIM</v>
          </cell>
          <cell r="U710" t="str">
            <v>Ordinaire</v>
          </cell>
          <cell r="V710" t="str">
            <v>R2 : Maintien outil production</v>
          </cell>
          <cell r="W710" t="str">
            <v>Dotations nouvelles</v>
          </cell>
          <cell r="X710" t="str">
            <v>Aucune</v>
          </cell>
          <cell r="Y710" t="str">
            <v>Prévu</v>
          </cell>
          <cell r="Z710" t="str">
            <v>Logistique-Khouribga</v>
          </cell>
        </row>
        <row r="711">
          <cell r="A711">
            <v>3757</v>
          </cell>
          <cell r="B711">
            <v>1</v>
          </cell>
          <cell r="C711" t="str">
            <v>RENOUVELLEMENT  CABLE</v>
          </cell>
          <cell r="D711" t="str">
            <v>RENOUVELLEMENT 23 KMS CABLE FIBRE OPTIQUE CENTRAL TEL. UGM REPORT L2</v>
          </cell>
          <cell r="E711" t="str">
            <v>Non approuvé</v>
          </cell>
          <cell r="F711" t="str">
            <v>K11703</v>
          </cell>
          <cell r="G711">
            <v>1</v>
          </cell>
          <cell r="H711" t="str">
            <v>WORKPLAN</v>
          </cell>
          <cell r="J711" t="str">
            <v>A soumettre</v>
          </cell>
          <cell r="S711">
            <v>15151</v>
          </cell>
          <cell r="T711" t="str">
            <v>SAOUD KARIM</v>
          </cell>
          <cell r="U711" t="str">
            <v>Ordinaire</v>
          </cell>
          <cell r="V711" t="str">
            <v>R2 : Maintien outil production</v>
          </cell>
          <cell r="W711" t="str">
            <v>Renouvellement</v>
          </cell>
          <cell r="X711" t="str">
            <v>Aucune</v>
          </cell>
          <cell r="Y711" t="str">
            <v>Prévu</v>
          </cell>
          <cell r="Z711" t="str">
            <v>Logistique-Khouribga</v>
          </cell>
        </row>
        <row r="712">
          <cell r="A712">
            <v>3758</v>
          </cell>
          <cell r="B712">
            <v>1</v>
          </cell>
          <cell r="C712" t="str">
            <v>TIREUSE PLANS</v>
          </cell>
          <cell r="D712" t="str">
            <v>RENOUVELLEMENT TIREUSE PLANS REPORT L2</v>
          </cell>
          <cell r="E712" t="str">
            <v>Approuvé CP</v>
          </cell>
          <cell r="F712" t="str">
            <v>K11718</v>
          </cell>
          <cell r="G712">
            <v>1</v>
          </cell>
          <cell r="H712" t="str">
            <v>WORKPLAN</v>
          </cell>
          <cell r="J712" t="str">
            <v>A soumettre</v>
          </cell>
          <cell r="S712">
            <v>15153</v>
          </cell>
          <cell r="T712" t="str">
            <v>SAOUD KARIM</v>
          </cell>
          <cell r="U712" t="str">
            <v>Ordinaire</v>
          </cell>
          <cell r="V712" t="str">
            <v>R2 : Maintien outil production</v>
          </cell>
          <cell r="W712" t="str">
            <v>Renouvellement</v>
          </cell>
          <cell r="X712" t="str">
            <v>Aucune</v>
          </cell>
          <cell r="Y712" t="str">
            <v>Prévu</v>
          </cell>
          <cell r="Z712" t="str">
            <v>Logistique-Khouribga</v>
          </cell>
        </row>
        <row r="713">
          <cell r="A713">
            <v>3759</v>
          </cell>
          <cell r="B713">
            <v>1</v>
          </cell>
          <cell r="C713" t="str">
            <v>MACHINE EQUILIBREUSE</v>
          </cell>
          <cell r="D713" t="str">
            <v>AQUISITION MACHINE EQUILIBREUSE ATELIER BOBINAGE REPORT L2</v>
          </cell>
          <cell r="E713" t="str">
            <v>Approuvé CP</v>
          </cell>
          <cell r="F713" t="str">
            <v>K11709</v>
          </cell>
          <cell r="G713">
            <v>1</v>
          </cell>
          <cell r="H713" t="str">
            <v>WORKPLAN</v>
          </cell>
          <cell r="J713" t="str">
            <v>A soumettre</v>
          </cell>
          <cell r="S713">
            <v>15155</v>
          </cell>
          <cell r="T713" t="str">
            <v>SAOUD KARIM</v>
          </cell>
          <cell r="U713" t="str">
            <v>Ordinaire</v>
          </cell>
          <cell r="V713" t="str">
            <v>R4 : Aug capacité production</v>
          </cell>
          <cell r="W713" t="str">
            <v>Dotations nouvelles</v>
          </cell>
          <cell r="X713" t="str">
            <v>Aucune</v>
          </cell>
          <cell r="Y713" t="str">
            <v>Prévu</v>
          </cell>
          <cell r="Z713" t="str">
            <v>Logistique-Khouribga</v>
          </cell>
        </row>
        <row r="714">
          <cell r="A714">
            <v>3760</v>
          </cell>
          <cell r="B714">
            <v>1</v>
          </cell>
          <cell r="C714" t="str">
            <v xml:space="preserve"> CLIMATISEURS</v>
          </cell>
          <cell r="D714" t="str">
            <v>ACHAT DE 6 CLIMATISEURS REPORT L2</v>
          </cell>
          <cell r="E714" t="str">
            <v>Non approuvé</v>
          </cell>
          <cell r="F714" t="str">
            <v>K11509</v>
          </cell>
          <cell r="G714">
            <v>1</v>
          </cell>
          <cell r="H714" t="str">
            <v>WORKPLAN</v>
          </cell>
          <cell r="J714" t="str">
            <v>A soumettre</v>
          </cell>
          <cell r="S714">
            <v>15157</v>
          </cell>
          <cell r="T714" t="str">
            <v>BOUZZIT BRAHIM</v>
          </cell>
          <cell r="U714" t="str">
            <v>Administratif</v>
          </cell>
          <cell r="V714" t="str">
            <v>R6 : Social et Administratif</v>
          </cell>
          <cell r="W714" t="str">
            <v>Dotations nouvelles</v>
          </cell>
          <cell r="X714" t="str">
            <v>Aucune</v>
          </cell>
          <cell r="Y714" t="str">
            <v>Prévu</v>
          </cell>
          <cell r="Z714" t="str">
            <v>Logistique-Khouribga</v>
          </cell>
        </row>
        <row r="715">
          <cell r="A715">
            <v>3761</v>
          </cell>
          <cell r="B715">
            <v>1</v>
          </cell>
          <cell r="C715" t="str">
            <v>POMPES A EAU</v>
          </cell>
          <cell r="D715" t="str">
            <v>RENOUVELLEMENT DE 02 POMPES A EAU ADDUCTION DIAMETRE 800MM REPORT L2</v>
          </cell>
          <cell r="E715" t="str">
            <v>Non approuvé</v>
          </cell>
          <cell r="F715" t="str">
            <v>K11700</v>
          </cell>
          <cell r="G715">
            <v>1</v>
          </cell>
          <cell r="H715" t="str">
            <v>WORKPLAN</v>
          </cell>
          <cell r="J715" t="str">
            <v>A soumettre</v>
          </cell>
          <cell r="S715">
            <v>15161</v>
          </cell>
          <cell r="T715" t="str">
            <v>SAOUD KARIM</v>
          </cell>
          <cell r="U715" t="str">
            <v>Ordinaire</v>
          </cell>
          <cell r="V715" t="str">
            <v>R4 : Aug capacité production</v>
          </cell>
          <cell r="W715" t="str">
            <v>Renouvellement</v>
          </cell>
          <cell r="X715" t="str">
            <v>Aucune</v>
          </cell>
          <cell r="Y715" t="str">
            <v>Prévu</v>
          </cell>
          <cell r="Z715" t="str">
            <v>Logistique-Khouribga</v>
          </cell>
        </row>
        <row r="716">
          <cell r="A716">
            <v>3762</v>
          </cell>
          <cell r="B716">
            <v>1</v>
          </cell>
          <cell r="C716" t="str">
            <v xml:space="preserve"> CONDUITE D'EAU</v>
          </cell>
          <cell r="D716" t="str">
            <v>REALISATION D'UNE CONDUITE D'EAU POUR LAVERIE REPORT L2</v>
          </cell>
          <cell r="E716" t="str">
            <v>Approuvé Entité</v>
          </cell>
          <cell r="F716" t="str">
            <v>K11700</v>
          </cell>
          <cell r="G716">
            <v>1</v>
          </cell>
          <cell r="H716" t="str">
            <v>WORKPLAN</v>
          </cell>
          <cell r="J716" t="str">
            <v>A soumettre</v>
          </cell>
          <cell r="S716">
            <v>15163</v>
          </cell>
          <cell r="T716" t="str">
            <v>SAOUD KARIM</v>
          </cell>
          <cell r="U716" t="str">
            <v>Ordinaire</v>
          </cell>
          <cell r="V716" t="str">
            <v>R4 : Aug capacité production</v>
          </cell>
          <cell r="W716" t="str">
            <v>Dotations nouvelles</v>
          </cell>
          <cell r="X716" t="str">
            <v>Aucune</v>
          </cell>
          <cell r="Y716" t="str">
            <v>Prévu</v>
          </cell>
          <cell r="Z716" t="str">
            <v>Logistique-Khouribga</v>
          </cell>
        </row>
        <row r="717">
          <cell r="A717">
            <v>3763</v>
          </cell>
          <cell r="B717">
            <v>1</v>
          </cell>
          <cell r="C717" t="str">
            <v xml:space="preserve"> BANC ESSAI</v>
          </cell>
          <cell r="D717" t="str">
            <v>FOURNITURE INSTALLATION BANC ESSAI EN CHARGE AT.BOBINAGE REPORT L2</v>
          </cell>
          <cell r="E717" t="str">
            <v>Non approuvé</v>
          </cell>
          <cell r="F717" t="str">
            <v>K11709</v>
          </cell>
          <cell r="G717">
            <v>1</v>
          </cell>
          <cell r="H717" t="str">
            <v>WORKPLAN</v>
          </cell>
          <cell r="J717" t="str">
            <v>A soumettre</v>
          </cell>
          <cell r="S717">
            <v>15165</v>
          </cell>
          <cell r="T717" t="str">
            <v>SAOUD KARIM</v>
          </cell>
          <cell r="U717" t="str">
            <v>Ordinaire</v>
          </cell>
          <cell r="V717" t="str">
            <v>R2 : Maintien outil production</v>
          </cell>
          <cell r="W717" t="str">
            <v>Dotations nouvelles</v>
          </cell>
          <cell r="X717" t="str">
            <v>Aucune</v>
          </cell>
          <cell r="Y717" t="str">
            <v>Prévu</v>
          </cell>
          <cell r="Z717" t="str">
            <v>Logistique-Khouribga</v>
          </cell>
        </row>
        <row r="718">
          <cell r="A718">
            <v>3764</v>
          </cell>
          <cell r="B718">
            <v>1</v>
          </cell>
          <cell r="C718" t="str">
            <v>STATION POMPAGE</v>
          </cell>
          <cell r="D718" t="str">
            <v>RENOUVELLEMENT DE 02 MOTOS COMPRESSEURS STATION POMPAGE REPORT L2</v>
          </cell>
          <cell r="E718" t="str">
            <v>Non approuvé</v>
          </cell>
          <cell r="F718" t="str">
            <v>K11700</v>
          </cell>
          <cell r="G718">
            <v>1</v>
          </cell>
          <cell r="H718" t="str">
            <v>WORKPLAN</v>
          </cell>
          <cell r="J718" t="str">
            <v>A soumettre</v>
          </cell>
          <cell r="S718">
            <v>15167</v>
          </cell>
          <cell r="T718" t="str">
            <v>SAOUD KARIM</v>
          </cell>
          <cell r="U718" t="str">
            <v>Ordinaire</v>
          </cell>
          <cell r="V718" t="str">
            <v>R2 : Maintien outil production</v>
          </cell>
          <cell r="W718" t="str">
            <v>Renouvellement</v>
          </cell>
          <cell r="X718" t="str">
            <v>Aucune</v>
          </cell>
          <cell r="Y718" t="str">
            <v>Prévu</v>
          </cell>
          <cell r="Z718" t="str">
            <v>Logistique-Khouribga</v>
          </cell>
        </row>
        <row r="719">
          <cell r="A719">
            <v>3765</v>
          </cell>
          <cell r="B719">
            <v>1</v>
          </cell>
          <cell r="C719" t="str">
            <v xml:space="preserve"> MACHINE REGENERATRICE</v>
          </cell>
          <cell r="D719" t="str">
            <v>RENOUVELLEMENT MACHINE REGENERATRICE HUILE TRANSFORMATEUR REPORT L2</v>
          </cell>
          <cell r="E719" t="str">
            <v>Approuvé CP</v>
          </cell>
          <cell r="F719" t="str">
            <v>K11709</v>
          </cell>
          <cell r="G719">
            <v>1</v>
          </cell>
          <cell r="H719" t="str">
            <v>WORKPLAN</v>
          </cell>
          <cell r="J719" t="str">
            <v>A soumettre</v>
          </cell>
          <cell r="S719">
            <v>15170</v>
          </cell>
          <cell r="T719" t="str">
            <v>SAOUD KARIM</v>
          </cell>
          <cell r="U719" t="str">
            <v>Ordinaire</v>
          </cell>
          <cell r="V719" t="str">
            <v>R2 : Maintien outil production</v>
          </cell>
          <cell r="W719" t="str">
            <v>Renouvellement</v>
          </cell>
          <cell r="X719" t="str">
            <v>Aucune</v>
          </cell>
          <cell r="Y719" t="str">
            <v>Prévu</v>
          </cell>
          <cell r="Z719" t="str">
            <v>Logistique-Khouribga</v>
          </cell>
        </row>
        <row r="720">
          <cell r="A720">
            <v>3766</v>
          </cell>
          <cell r="B720">
            <v>1</v>
          </cell>
          <cell r="C720" t="str">
            <v>AUTO COMMUTATEUR</v>
          </cell>
          <cell r="D720" t="str">
            <v>RENOUVELLEMENT AUTO COMMUTATEUR POINT B REPORT L2</v>
          </cell>
          <cell r="E720" t="str">
            <v>Approuvé CP</v>
          </cell>
          <cell r="F720" t="str">
            <v>K11718</v>
          </cell>
          <cell r="G720">
            <v>1</v>
          </cell>
          <cell r="H720" t="str">
            <v>WORKPLAN</v>
          </cell>
          <cell r="J720" t="str">
            <v>A soumettre</v>
          </cell>
          <cell r="S720">
            <v>15171</v>
          </cell>
          <cell r="T720" t="str">
            <v>SAOUD KARIM</v>
          </cell>
          <cell r="U720" t="str">
            <v>Ordinaire</v>
          </cell>
          <cell r="V720" t="str">
            <v>R2 : Maintien outil production</v>
          </cell>
          <cell r="W720" t="str">
            <v>Renouvellement</v>
          </cell>
          <cell r="X720" t="str">
            <v>Aucune</v>
          </cell>
          <cell r="Y720" t="str">
            <v>Prévu</v>
          </cell>
          <cell r="Z720" t="str">
            <v>Logistique-Khouribga</v>
          </cell>
        </row>
        <row r="721">
          <cell r="A721">
            <v>3767</v>
          </cell>
          <cell r="B721">
            <v>1</v>
          </cell>
          <cell r="C721" t="str">
            <v>DEVIATION CONDUITE</v>
          </cell>
          <cell r="D721" t="str">
            <v>DEVIATION CONDUITE D'EAU POTABLE DIAMETRE 700 REPORT L2</v>
          </cell>
          <cell r="E721" t="str">
            <v>Non approuvé</v>
          </cell>
          <cell r="F721" t="str">
            <v>K11700</v>
          </cell>
          <cell r="G721">
            <v>1</v>
          </cell>
          <cell r="H721" t="str">
            <v>WORKPLAN</v>
          </cell>
          <cell r="J721" t="str">
            <v>A soumettre</v>
          </cell>
          <cell r="S721">
            <v>15172</v>
          </cell>
          <cell r="T721" t="str">
            <v>SAOUD KARIM</v>
          </cell>
          <cell r="U721" t="str">
            <v>Ordinaire</v>
          </cell>
          <cell r="V721" t="str">
            <v>R4 : Aug capacité production</v>
          </cell>
          <cell r="W721" t="str">
            <v>Dotations nouvelles</v>
          </cell>
          <cell r="X721" t="str">
            <v>Aucune</v>
          </cell>
          <cell r="Y721" t="str">
            <v>Prévu</v>
          </cell>
          <cell r="Z721" t="str">
            <v>Logistique-Khouribga</v>
          </cell>
        </row>
        <row r="722">
          <cell r="A722">
            <v>3768</v>
          </cell>
          <cell r="B722">
            <v>1</v>
          </cell>
          <cell r="C722" t="str">
            <v>installations électriques</v>
          </cell>
          <cell r="D722" t="str">
            <v>Mise à niveau des installations électriques basse tension des établissements sociaux de la ville de Khouribga REPORT L2</v>
          </cell>
          <cell r="E722" t="str">
            <v>Approuvé Entité</v>
          </cell>
          <cell r="F722" t="str">
            <v>K11706</v>
          </cell>
          <cell r="G722">
            <v>1</v>
          </cell>
          <cell r="H722" t="str">
            <v>WORKPLAN</v>
          </cell>
          <cell r="J722" t="str">
            <v>A soumettre</v>
          </cell>
          <cell r="S722">
            <v>15173</v>
          </cell>
          <cell r="T722" t="str">
            <v>SAOUD KARIM</v>
          </cell>
          <cell r="U722" t="str">
            <v>Ordinaire</v>
          </cell>
          <cell r="V722" t="str">
            <v>R2 : Maintien outil production</v>
          </cell>
          <cell r="W722" t="str">
            <v>Dotations nouvelles</v>
          </cell>
          <cell r="X722" t="str">
            <v>Aucune</v>
          </cell>
          <cell r="Y722" t="str">
            <v>Prévu</v>
          </cell>
          <cell r="Z722" t="str">
            <v>Logistique-Khouribga</v>
          </cell>
        </row>
        <row r="723">
          <cell r="A723">
            <v>3769</v>
          </cell>
          <cell r="B723">
            <v>1</v>
          </cell>
          <cell r="C723" t="str">
            <v>variateurs de vitesse MT</v>
          </cell>
          <cell r="D723" t="str">
            <v>Acquisition et mise en service de variateurs de vitesse MT pour l'adduction  1100 mm REPORT L2</v>
          </cell>
          <cell r="E723" t="str">
            <v>Non approuvé</v>
          </cell>
          <cell r="F723" t="str">
            <v>K11701</v>
          </cell>
          <cell r="G723">
            <v>1</v>
          </cell>
          <cell r="H723" t="str">
            <v>WORKPLAN</v>
          </cell>
          <cell r="J723" t="str">
            <v>A soumettre</v>
          </cell>
          <cell r="S723">
            <v>15174</v>
          </cell>
          <cell r="T723" t="str">
            <v>SAOUD KARIM</v>
          </cell>
          <cell r="U723" t="str">
            <v>Ordinaire</v>
          </cell>
          <cell r="V723" t="str">
            <v>R4 : Aug capacité production</v>
          </cell>
          <cell r="W723" t="str">
            <v>Dotations nouvelles</v>
          </cell>
          <cell r="X723" t="str">
            <v>Aucune</v>
          </cell>
          <cell r="Y723" t="str">
            <v>Prévu</v>
          </cell>
          <cell r="Z723" t="str">
            <v>Logistique-Khouribga</v>
          </cell>
        </row>
        <row r="724">
          <cell r="A724">
            <v>3783</v>
          </cell>
          <cell r="B724">
            <v>1</v>
          </cell>
          <cell r="C724" t="str">
            <v>sondeuses diesel</v>
          </cell>
          <cell r="D724" t="str">
            <v>Complément pour le renouvellement de 2 sondeuses 45 R</v>
          </cell>
          <cell r="E724" t="str">
            <v>Approuvé</v>
          </cell>
          <cell r="F724" t="str">
            <v>K03300</v>
          </cell>
          <cell r="G724">
            <v>2</v>
          </cell>
          <cell r="H724" t="str">
            <v>V1</v>
          </cell>
          <cell r="I724" t="str">
            <v>COMPLEMENT</v>
          </cell>
          <cell r="J724" t="str">
            <v>Budgété</v>
          </cell>
          <cell r="K724">
            <v>351000</v>
          </cell>
          <cell r="L724">
            <v>351000</v>
          </cell>
          <cell r="O724">
            <v>351000</v>
          </cell>
          <cell r="S724">
            <v>19057</v>
          </cell>
          <cell r="T724" t="str">
            <v>CHEHTANE Mohammed</v>
          </cell>
          <cell r="U724" t="str">
            <v>Ordinaire</v>
          </cell>
          <cell r="V724" t="str">
            <v>R2 : Maintien outil production</v>
          </cell>
          <cell r="W724" t="str">
            <v>Renouvellement</v>
          </cell>
          <cell r="X724" t="str">
            <v>Aucune</v>
          </cell>
          <cell r="Y724" t="str">
            <v>Imprévu</v>
          </cell>
          <cell r="Z724" t="str">
            <v>Production-Khouribga</v>
          </cell>
        </row>
        <row r="725">
          <cell r="A725">
            <v>3786</v>
          </cell>
          <cell r="B725">
            <v>1</v>
          </cell>
          <cell r="C725" t="str">
            <v>Dragline 8400 M</v>
          </cell>
          <cell r="D725" t="str">
            <v>Achat d'1 dragline d'occasion type M 8400</v>
          </cell>
          <cell r="E725" t="str">
            <v>Approuvé Entité</v>
          </cell>
          <cell r="F725" t="str">
            <v>K03840</v>
          </cell>
          <cell r="G725">
            <v>1</v>
          </cell>
          <cell r="H725" t="str">
            <v>WORKPLAN</v>
          </cell>
          <cell r="J725" t="str">
            <v>A soumettre</v>
          </cell>
          <cell r="S725">
            <v>15246</v>
          </cell>
          <cell r="T725" t="str">
            <v>MAGHRAOUI Brahim</v>
          </cell>
          <cell r="U725" t="str">
            <v>Ordinaire</v>
          </cell>
          <cell r="V725" t="str">
            <v>R4 : Aug capacité production</v>
          </cell>
          <cell r="W725" t="str">
            <v>Dotations nouvelles</v>
          </cell>
          <cell r="X725" t="str">
            <v>Aucune</v>
          </cell>
          <cell r="Y725" t="str">
            <v>Prévu</v>
          </cell>
          <cell r="Z725" t="str">
            <v>Production-Khouribga</v>
          </cell>
        </row>
        <row r="726">
          <cell r="A726">
            <v>3788</v>
          </cell>
          <cell r="B726">
            <v>1</v>
          </cell>
          <cell r="C726" t="str">
            <v>Outillage d'atelier</v>
          </cell>
          <cell r="D726" t="str">
            <v>Renouvellement d'outillage d'atelier</v>
          </cell>
          <cell r="E726" t="str">
            <v>Approuvé</v>
          </cell>
          <cell r="F726" t="str">
            <v>K03540</v>
          </cell>
          <cell r="G726">
            <v>1</v>
          </cell>
          <cell r="H726" t="str">
            <v>WORKPLAN</v>
          </cell>
          <cell r="J726" t="str">
            <v>A soumettre</v>
          </cell>
          <cell r="S726">
            <v>15251</v>
          </cell>
          <cell r="T726" t="str">
            <v>MAGHRAOUI Brahim</v>
          </cell>
          <cell r="U726" t="str">
            <v>Ordinaire</v>
          </cell>
          <cell r="V726" t="str">
            <v>R2 : Maintien outil production</v>
          </cell>
          <cell r="W726" t="str">
            <v>Renouvellement</v>
          </cell>
          <cell r="X726" t="str">
            <v>Aucune</v>
          </cell>
          <cell r="Y726" t="str">
            <v>Prévu</v>
          </cell>
          <cell r="Z726" t="str">
            <v>Production-Khouribga</v>
          </cell>
        </row>
        <row r="727">
          <cell r="A727">
            <v>3789</v>
          </cell>
          <cell r="B727">
            <v>1</v>
          </cell>
          <cell r="C727" t="str">
            <v>outillage d'atelier</v>
          </cell>
          <cell r="D727" t="str">
            <v>Renouvellement de postes de soudure statiques</v>
          </cell>
          <cell r="E727" t="str">
            <v>Approuvé</v>
          </cell>
          <cell r="F727" t="str">
            <v>K03541</v>
          </cell>
          <cell r="G727">
            <v>1</v>
          </cell>
          <cell r="H727" t="str">
            <v>WORKPLAN</v>
          </cell>
          <cell r="J727" t="str">
            <v>A soumettre</v>
          </cell>
          <cell r="S727">
            <v>15252</v>
          </cell>
          <cell r="T727" t="str">
            <v>BOUZEKKOURA Mohamed</v>
          </cell>
          <cell r="U727" t="str">
            <v>Ordinaire</v>
          </cell>
          <cell r="V727" t="str">
            <v>R2 : Maintien outil production</v>
          </cell>
          <cell r="W727" t="str">
            <v>Renouvellement</v>
          </cell>
          <cell r="X727" t="str">
            <v>Aucune</v>
          </cell>
          <cell r="Y727" t="str">
            <v>Prévu</v>
          </cell>
          <cell r="Z727" t="str">
            <v>Production-Khouribga</v>
          </cell>
        </row>
        <row r="728">
          <cell r="A728">
            <v>3790</v>
          </cell>
          <cell r="B728">
            <v>1</v>
          </cell>
          <cell r="C728" t="str">
            <v>2 tracks D9R</v>
          </cell>
          <cell r="D728" t="str">
            <v>Achat de 02 tracks droit et gauche D9R</v>
          </cell>
          <cell r="E728" t="str">
            <v>Approbation a échoué</v>
          </cell>
          <cell r="F728" t="str">
            <v>K03541</v>
          </cell>
          <cell r="G728">
            <v>1</v>
          </cell>
          <cell r="H728" t="str">
            <v>WORKPLAN</v>
          </cell>
          <cell r="J728" t="str">
            <v>A soumettre</v>
          </cell>
          <cell r="S728">
            <v>15253</v>
          </cell>
          <cell r="T728" t="str">
            <v>MAGHRAOUI Brahim</v>
          </cell>
          <cell r="U728" t="str">
            <v>Ordinaire</v>
          </cell>
          <cell r="V728" t="str">
            <v>R4 : Aug capacité production</v>
          </cell>
          <cell r="W728" t="str">
            <v>Dotations nouvelles</v>
          </cell>
          <cell r="X728" t="str">
            <v>Aucune</v>
          </cell>
          <cell r="Y728" t="str">
            <v>Prévu</v>
          </cell>
          <cell r="Z728" t="str">
            <v>Production-Khouribga</v>
          </cell>
        </row>
        <row r="729">
          <cell r="A729">
            <v>3791</v>
          </cell>
          <cell r="B729">
            <v>1</v>
          </cell>
          <cell r="C729" t="str">
            <v>outillage des ateliers</v>
          </cell>
          <cell r="D729" t="str">
            <v>Achat d'outillages d'ateliers</v>
          </cell>
          <cell r="E729" t="str">
            <v>Approuvé</v>
          </cell>
          <cell r="F729" t="str">
            <v>K03560</v>
          </cell>
          <cell r="G729">
            <v>1</v>
          </cell>
          <cell r="H729" t="str">
            <v>WORKPLAN</v>
          </cell>
          <cell r="J729" t="str">
            <v>A soumettre</v>
          </cell>
          <cell r="S729">
            <v>15254</v>
          </cell>
          <cell r="T729" t="str">
            <v>MAGHRAOUI Brahim</v>
          </cell>
          <cell r="U729" t="str">
            <v>Ordinaire</v>
          </cell>
          <cell r="V729" t="str">
            <v>R4 : Aug capacité production</v>
          </cell>
          <cell r="W729" t="str">
            <v>Dotations nouvelles</v>
          </cell>
          <cell r="X729" t="str">
            <v>Aucune</v>
          </cell>
          <cell r="Y729" t="str">
            <v>Prévu</v>
          </cell>
          <cell r="Z729" t="str">
            <v>Production-Khouribga</v>
          </cell>
        </row>
        <row r="730">
          <cell r="A730">
            <v>3793</v>
          </cell>
          <cell r="B730">
            <v>1</v>
          </cell>
          <cell r="C730" t="str">
            <v>postes émetteurs récepteurs</v>
          </cell>
          <cell r="D730" t="str">
            <v>Achat de 30 postes émetteurs récepteurs portatifs</v>
          </cell>
          <cell r="E730" t="str">
            <v>Approuvé</v>
          </cell>
          <cell r="F730" t="str">
            <v>K03546</v>
          </cell>
          <cell r="G730">
            <v>1</v>
          </cell>
          <cell r="H730" t="str">
            <v>WORKPLAN</v>
          </cell>
          <cell r="J730" t="str">
            <v>A soumettre</v>
          </cell>
          <cell r="S730">
            <v>15258</v>
          </cell>
          <cell r="T730" t="str">
            <v>MAGHRAOUI Brahim</v>
          </cell>
          <cell r="U730" t="str">
            <v>Ordinaire</v>
          </cell>
          <cell r="V730" t="str">
            <v>R2 : Maintien outil production</v>
          </cell>
          <cell r="W730" t="str">
            <v>Dotations nouvelles</v>
          </cell>
          <cell r="X730" t="str">
            <v>Aucune</v>
          </cell>
          <cell r="Y730" t="str">
            <v>Prévu</v>
          </cell>
          <cell r="Z730" t="str">
            <v>Production-Khouribga</v>
          </cell>
        </row>
        <row r="731">
          <cell r="A731">
            <v>3805</v>
          </cell>
          <cell r="B731">
            <v>1</v>
          </cell>
          <cell r="C731" t="str">
            <v>MATERIEL DAO-CAO</v>
          </cell>
          <cell r="D731" t="str">
            <v>FOURNITURE ET INSTALLATION MATERIEL DAO-CAO BUREAU D'ETUDE PMK/LV REPORT L2</v>
          </cell>
          <cell r="E731" t="str">
            <v>Approuvé Entité</v>
          </cell>
          <cell r="F731" t="str">
            <v>K11060</v>
          </cell>
          <cell r="G731">
            <v>1</v>
          </cell>
          <cell r="H731" t="str">
            <v>WORKPLAN</v>
          </cell>
          <cell r="J731" t="str">
            <v>A soumettre</v>
          </cell>
          <cell r="S731">
            <v>15321</v>
          </cell>
          <cell r="T731" t="str">
            <v>ZAHRI ABDESLAM</v>
          </cell>
          <cell r="U731" t="str">
            <v>Ordinaire</v>
          </cell>
          <cell r="V731" t="str">
            <v>R8 : Informatique</v>
          </cell>
          <cell r="W731" t="str">
            <v>Dotations nouvelles</v>
          </cell>
          <cell r="X731" t="str">
            <v>Aucune</v>
          </cell>
          <cell r="Y731" t="str">
            <v>Prévu</v>
          </cell>
          <cell r="Z731" t="str">
            <v>Logistique-Khouribga</v>
          </cell>
        </row>
        <row r="732">
          <cell r="A732">
            <v>3806</v>
          </cell>
          <cell r="B732">
            <v>1</v>
          </cell>
          <cell r="C732" t="str">
            <v>REPRISE ET LIAISON</v>
          </cell>
          <cell r="D732" t="str">
            <v>REPRISE ET LIAISON EXTENSION ZC SUD</v>
          </cell>
          <cell r="E732" t="str">
            <v>Approbation a échoué</v>
          </cell>
          <cell r="F732" t="str">
            <v>K11050</v>
          </cell>
          <cell r="G732">
            <v>1</v>
          </cell>
          <cell r="H732" t="str">
            <v>WORKPLAN</v>
          </cell>
          <cell r="J732" t="str">
            <v>A soumettre</v>
          </cell>
          <cell r="S732">
            <v>15323</v>
          </cell>
          <cell r="T732" t="str">
            <v>BOUALAM MOUTASSIM</v>
          </cell>
          <cell r="U732" t="str">
            <v>Important</v>
          </cell>
          <cell r="V732" t="str">
            <v>R4 : Aug capacité production</v>
          </cell>
          <cell r="W732" t="str">
            <v>Dotations nouvelles</v>
          </cell>
          <cell r="X732" t="str">
            <v>Aucune</v>
          </cell>
          <cell r="Y732" t="str">
            <v>Prévu</v>
          </cell>
          <cell r="Z732" t="str">
            <v>Logistique-Khouribga</v>
          </cell>
        </row>
        <row r="733">
          <cell r="A733">
            <v>3807</v>
          </cell>
          <cell r="B733">
            <v>1</v>
          </cell>
          <cell r="C733" t="str">
            <v>ETUDES DE CARACTERISATION</v>
          </cell>
          <cell r="D733" t="str">
            <v>ETUDES DIVERSES MINE OULAD FARES</v>
          </cell>
          <cell r="E733" t="str">
            <v>Approuvé</v>
          </cell>
          <cell r="F733" t="str">
            <v>K11050</v>
          </cell>
          <cell r="G733">
            <v>1</v>
          </cell>
          <cell r="H733" t="str">
            <v>WORKPLAN</v>
          </cell>
          <cell r="J733" t="str">
            <v>A soumettre</v>
          </cell>
          <cell r="S733">
            <v>15325</v>
          </cell>
          <cell r="T733" t="str">
            <v>BOUALAM MOUTASSIM</v>
          </cell>
          <cell r="U733" t="str">
            <v>Etudes et essais</v>
          </cell>
          <cell r="V733" t="str">
            <v>R5 : Etudes et Essais</v>
          </cell>
          <cell r="W733" t="str">
            <v>Dotations nouvelles</v>
          </cell>
          <cell r="X733" t="str">
            <v>Aucune</v>
          </cell>
          <cell r="Y733" t="str">
            <v>Prévu</v>
          </cell>
          <cell r="Z733" t="str">
            <v>Logistique-Khouribga</v>
          </cell>
        </row>
        <row r="734">
          <cell r="A734">
            <v>3808</v>
          </cell>
          <cell r="B734">
            <v>1</v>
          </cell>
          <cell r="C734" t="str">
            <v>EQUIPEMENTS DES BUREAUX</v>
          </cell>
          <cell r="D734" t="str">
            <v>MATERIEL ET MOBILIER DE BUREAU</v>
          </cell>
          <cell r="E734" t="str">
            <v>Non approuvé</v>
          </cell>
          <cell r="F734" t="str">
            <v>K07019</v>
          </cell>
          <cell r="G734">
            <v>1</v>
          </cell>
          <cell r="H734" t="str">
            <v>WORKPLAN</v>
          </cell>
          <cell r="J734" t="str">
            <v>A soumettre</v>
          </cell>
          <cell r="S734">
            <v>15333</v>
          </cell>
          <cell r="T734" t="str">
            <v>AFARID SAID</v>
          </cell>
          <cell r="U734" t="str">
            <v>Administratif</v>
          </cell>
          <cell r="V734" t="str">
            <v>R6 : Social et Administratif</v>
          </cell>
          <cell r="W734" t="str">
            <v>Dotations nouvelles</v>
          </cell>
          <cell r="X734" t="str">
            <v>Aucune</v>
          </cell>
          <cell r="Y734" t="str">
            <v>Prévu</v>
          </cell>
          <cell r="Z734" t="str">
            <v>Embarquement-Casablanca</v>
          </cell>
        </row>
        <row r="735">
          <cell r="A735">
            <v>3821</v>
          </cell>
          <cell r="B735">
            <v>1</v>
          </cell>
          <cell r="C735" t="str">
            <v>EQUIPEMENT MINE</v>
          </cell>
          <cell r="D735" t="str">
            <v>EQUIPEMENT MINE OULAD FARES</v>
          </cell>
          <cell r="E735" t="str">
            <v>Approuvé CP</v>
          </cell>
          <cell r="F735" t="str">
            <v>K11050</v>
          </cell>
          <cell r="G735">
            <v>1</v>
          </cell>
          <cell r="H735" t="str">
            <v>WORKPLAN</v>
          </cell>
          <cell r="J735" t="str">
            <v>A soumettre</v>
          </cell>
          <cell r="S735">
            <v>15366</v>
          </cell>
          <cell r="T735" t="str">
            <v>BOUALAM MOUTASSIM</v>
          </cell>
          <cell r="U735" t="str">
            <v>Important</v>
          </cell>
          <cell r="V735" t="str">
            <v>R4 : Aug capacité production</v>
          </cell>
          <cell r="W735" t="str">
            <v>Dotations nouvelles</v>
          </cell>
          <cell r="X735" t="str">
            <v>Aucune</v>
          </cell>
          <cell r="Y735" t="str">
            <v>Prévu</v>
          </cell>
          <cell r="Z735" t="str">
            <v>Logistique-Khouribga</v>
          </cell>
        </row>
        <row r="736">
          <cell r="A736">
            <v>3822</v>
          </cell>
          <cell r="B736">
            <v>1</v>
          </cell>
          <cell r="C736" t="str">
            <v>GODET POUR 195M</v>
          </cell>
          <cell r="D736" t="str">
            <v>Achat d'un godet pour la dragline 195 M</v>
          </cell>
          <cell r="E736" t="str">
            <v>Approuvé Entité</v>
          </cell>
          <cell r="F736" t="str">
            <v>K03740</v>
          </cell>
          <cell r="G736">
            <v>1</v>
          </cell>
          <cell r="H736" t="str">
            <v>WORKPLAN</v>
          </cell>
          <cell r="J736" t="str">
            <v>A soumettre</v>
          </cell>
          <cell r="S736">
            <v>15370</v>
          </cell>
          <cell r="T736" t="str">
            <v>HALMI Abderrahmane</v>
          </cell>
          <cell r="U736" t="str">
            <v>Ordinaire</v>
          </cell>
          <cell r="V736" t="str">
            <v>R2 : Maintien outil production</v>
          </cell>
          <cell r="W736" t="str">
            <v>Dotations nouvelles</v>
          </cell>
          <cell r="X736" t="str">
            <v>Aucune</v>
          </cell>
          <cell r="Y736" t="str">
            <v>Prévu</v>
          </cell>
          <cell r="Z736" t="str">
            <v>Production-Khouribga</v>
          </cell>
        </row>
        <row r="737">
          <cell r="A737">
            <v>3824</v>
          </cell>
          <cell r="B737">
            <v>1</v>
          </cell>
          <cell r="C737" t="str">
            <v>MATERIEL &amp; MOBILIER DE  BUREAU</v>
          </cell>
          <cell r="D737" t="str">
            <v>MOBILIER DE BUREAU</v>
          </cell>
          <cell r="E737" t="str">
            <v>Approuvé</v>
          </cell>
          <cell r="F737" t="str">
            <v>K07019</v>
          </cell>
          <cell r="G737">
            <v>1</v>
          </cell>
          <cell r="H737" t="str">
            <v>WORKPLAN</v>
          </cell>
          <cell r="J737" t="str">
            <v>A soumettre</v>
          </cell>
          <cell r="S737">
            <v>15387</v>
          </cell>
          <cell r="T737" t="str">
            <v>AFARID SAID</v>
          </cell>
          <cell r="U737" t="str">
            <v>Administratif</v>
          </cell>
          <cell r="V737" t="str">
            <v>R6 : Social et Administratif</v>
          </cell>
          <cell r="W737" t="str">
            <v>Dotations nouvelles</v>
          </cell>
          <cell r="X737" t="str">
            <v>Aucune</v>
          </cell>
          <cell r="Y737" t="str">
            <v>Prévu</v>
          </cell>
          <cell r="Z737" t="str">
            <v>Embarquement-Casablanca</v>
          </cell>
        </row>
        <row r="738">
          <cell r="A738">
            <v>3826</v>
          </cell>
          <cell r="B738">
            <v>1</v>
          </cell>
          <cell r="C738" t="str">
            <v>MATERIEL DE CONDITIONNEMENT</v>
          </cell>
          <cell r="D738" t="str">
            <v>FROID ET CLIMATISATION</v>
          </cell>
          <cell r="E738" t="str">
            <v>Approuvé</v>
          </cell>
          <cell r="F738" t="str">
            <v>K07019</v>
          </cell>
          <cell r="G738">
            <v>1</v>
          </cell>
          <cell r="H738" t="str">
            <v>WORKPLAN</v>
          </cell>
          <cell r="J738" t="str">
            <v>A soumettre</v>
          </cell>
          <cell r="S738">
            <v>15389</v>
          </cell>
          <cell r="T738" t="str">
            <v>AFARID SAID</v>
          </cell>
          <cell r="U738" t="str">
            <v>Administratif</v>
          </cell>
          <cell r="V738" t="str">
            <v>R6 : Social et Administratif</v>
          </cell>
          <cell r="W738" t="str">
            <v>Dotations nouvelles</v>
          </cell>
          <cell r="X738" t="str">
            <v>Aucune</v>
          </cell>
          <cell r="Y738" t="str">
            <v>Prévu</v>
          </cell>
          <cell r="Z738" t="str">
            <v>Embarquement-Casablanca</v>
          </cell>
        </row>
        <row r="739">
          <cell r="A739">
            <v>3849</v>
          </cell>
          <cell r="B739">
            <v>1</v>
          </cell>
          <cell r="C739" t="str">
            <v>Pompes</v>
          </cell>
          <cell r="D739" t="str">
            <v>Renouvellement de trois groupes motopompes portatifs et une électropompe submersible pour la DCI de PMK/T</v>
          </cell>
          <cell r="E739" t="str">
            <v>Approuvé Entité</v>
          </cell>
          <cell r="F739" t="str">
            <v>K04012</v>
          </cell>
          <cell r="G739">
            <v>1</v>
          </cell>
          <cell r="H739" t="str">
            <v>WORKPLAN</v>
          </cell>
          <cell r="J739" t="str">
            <v>A soumettre</v>
          </cell>
          <cell r="S739">
            <v>15463</v>
          </cell>
          <cell r="T739" t="str">
            <v>ASSOUD ABDERRAHIM</v>
          </cell>
          <cell r="U739" t="str">
            <v>Ordinaire</v>
          </cell>
          <cell r="V739" t="str">
            <v>R7 : Environnement et Sécurité</v>
          </cell>
          <cell r="W739" t="str">
            <v>Renouvellement</v>
          </cell>
          <cell r="X739" t="str">
            <v>Aucune</v>
          </cell>
          <cell r="Y739" t="str">
            <v>Prévu</v>
          </cell>
          <cell r="Z739" t="str">
            <v>Traitement-Khouribga</v>
          </cell>
        </row>
        <row r="740">
          <cell r="A740">
            <v>3863</v>
          </cell>
          <cell r="B740">
            <v>1</v>
          </cell>
          <cell r="C740" t="str">
            <v>MATERIEL ELECTRIQ</v>
          </cell>
          <cell r="D740" t="str">
            <v>MOTEURS ELECTRIQUES</v>
          </cell>
          <cell r="E740" t="str">
            <v>Approuvé</v>
          </cell>
          <cell r="F740" t="str">
            <v>K07121</v>
          </cell>
          <cell r="G740">
            <v>1</v>
          </cell>
          <cell r="H740" t="str">
            <v>WORKPLAN</v>
          </cell>
          <cell r="J740" t="str">
            <v>A soumettre</v>
          </cell>
          <cell r="S740">
            <v>15521</v>
          </cell>
          <cell r="T740" t="str">
            <v>RAOUIA ELMOSTAFA</v>
          </cell>
          <cell r="U740" t="str">
            <v>Ordinaire</v>
          </cell>
          <cell r="V740" t="str">
            <v>R2 : Maintien outil production</v>
          </cell>
          <cell r="W740" t="str">
            <v>Dotations nouvelles</v>
          </cell>
          <cell r="X740" t="str">
            <v>Aucune</v>
          </cell>
          <cell r="Y740" t="str">
            <v>Prévu</v>
          </cell>
          <cell r="Z740" t="str">
            <v>Embarquement-Casablanca</v>
          </cell>
        </row>
        <row r="741">
          <cell r="A741">
            <v>3866</v>
          </cell>
          <cell r="B741">
            <v>1</v>
          </cell>
          <cell r="C741" t="str">
            <v>MATERIEL ELECTRIQ.</v>
          </cell>
          <cell r="D741" t="str">
            <v>MOTEURS ET DISJONCTEURS</v>
          </cell>
          <cell r="E741" t="str">
            <v>Approuvé</v>
          </cell>
          <cell r="F741" t="str">
            <v>K07121</v>
          </cell>
          <cell r="G741">
            <v>1</v>
          </cell>
          <cell r="H741" t="str">
            <v>WORKPLAN</v>
          </cell>
          <cell r="J741" t="str">
            <v>A soumettre</v>
          </cell>
          <cell r="S741">
            <v>15527</v>
          </cell>
          <cell r="T741" t="str">
            <v>RAOUIA ELMOSTAFA</v>
          </cell>
          <cell r="U741" t="str">
            <v>Ordinaire</v>
          </cell>
          <cell r="V741" t="str">
            <v>R2 : Maintien outil production</v>
          </cell>
          <cell r="W741" t="str">
            <v>Dotations nouvelles</v>
          </cell>
          <cell r="X741" t="str">
            <v>Aucune</v>
          </cell>
          <cell r="Y741" t="str">
            <v>Prévu</v>
          </cell>
          <cell r="Z741" t="str">
            <v>Embarquement-Casablanca</v>
          </cell>
        </row>
        <row r="742">
          <cell r="A742">
            <v>3872</v>
          </cell>
          <cell r="B742">
            <v>1</v>
          </cell>
          <cell r="C742" t="str">
            <v>MATERIEL TECHNIQUE</v>
          </cell>
          <cell r="D742" t="str">
            <v>MATERIEL DE RANGEMENT</v>
          </cell>
          <cell r="E742" t="str">
            <v>Non approuvé</v>
          </cell>
          <cell r="F742" t="str">
            <v>K07019</v>
          </cell>
          <cell r="G742">
            <v>1</v>
          </cell>
          <cell r="H742" t="str">
            <v>WORKPLAN</v>
          </cell>
          <cell r="J742" t="str">
            <v>A soumettre</v>
          </cell>
          <cell r="S742">
            <v>15540</v>
          </cell>
          <cell r="T742" t="str">
            <v>RAOUIA ELMOSTAFA</v>
          </cell>
          <cell r="U742" t="str">
            <v>Ordinaire</v>
          </cell>
          <cell r="V742" t="str">
            <v>R2 : Maintien outil production</v>
          </cell>
          <cell r="W742" t="str">
            <v>Dotations nouvelles</v>
          </cell>
          <cell r="X742" t="str">
            <v>Aucune</v>
          </cell>
          <cell r="Y742" t="str">
            <v>Prévu</v>
          </cell>
          <cell r="Z742" t="str">
            <v>Embarquement-Casablanca</v>
          </cell>
        </row>
        <row r="743">
          <cell r="A743">
            <v>3874</v>
          </cell>
          <cell r="B743">
            <v>1</v>
          </cell>
          <cell r="C743" t="str">
            <v>INSTAL. AIR COMPRIME</v>
          </cell>
          <cell r="D743" t="str">
            <v>COMPRESSEUR D'AIR COMPRIME</v>
          </cell>
          <cell r="E743" t="str">
            <v>Approuvé</v>
          </cell>
          <cell r="F743" t="str">
            <v>K07217</v>
          </cell>
          <cell r="G743">
            <v>1</v>
          </cell>
          <cell r="H743" t="str">
            <v>WORKPLAN</v>
          </cell>
          <cell r="J743" t="str">
            <v>A soumettre</v>
          </cell>
          <cell r="S743">
            <v>15563</v>
          </cell>
          <cell r="T743" t="str">
            <v>RAOUIA ELMOSTAFA</v>
          </cell>
          <cell r="U743" t="str">
            <v>Ordinaire</v>
          </cell>
          <cell r="V743" t="str">
            <v>R2 : Maintien outil production</v>
          </cell>
          <cell r="W743" t="str">
            <v>Renouvellement</v>
          </cell>
          <cell r="X743" t="str">
            <v>Aucune</v>
          </cell>
          <cell r="Y743" t="str">
            <v>Prévu</v>
          </cell>
          <cell r="Z743" t="str">
            <v>Embarquement-Casablanca</v>
          </cell>
        </row>
        <row r="744">
          <cell r="A744">
            <v>3875</v>
          </cell>
          <cell r="B744">
            <v>1</v>
          </cell>
          <cell r="C744" t="str">
            <v>MATERIEL DE STAT. SERVICE</v>
          </cell>
          <cell r="D744" t="str">
            <v>POMPE ET ENSEMBLE DE GRAISSAGE</v>
          </cell>
          <cell r="E744" t="str">
            <v>Approuvé</v>
          </cell>
          <cell r="F744" t="str">
            <v>K07111</v>
          </cell>
          <cell r="G744">
            <v>1</v>
          </cell>
          <cell r="H744" t="str">
            <v>WORKPLAN</v>
          </cell>
          <cell r="J744" t="str">
            <v>A soumettre</v>
          </cell>
          <cell r="S744">
            <v>15565</v>
          </cell>
          <cell r="T744" t="str">
            <v>RAOUIA ELMOSTAFA</v>
          </cell>
          <cell r="U744" t="str">
            <v>Ordinaire</v>
          </cell>
          <cell r="V744" t="str">
            <v>R2 : Maintien outil production</v>
          </cell>
          <cell r="W744" t="str">
            <v>Dotations nouvelles</v>
          </cell>
          <cell r="X744" t="str">
            <v>Aucune</v>
          </cell>
          <cell r="Y744" t="str">
            <v>Prévu</v>
          </cell>
          <cell r="Z744" t="str">
            <v>Embarquement-Casablanca</v>
          </cell>
        </row>
        <row r="745">
          <cell r="A745">
            <v>3880</v>
          </cell>
          <cell r="B745">
            <v>1</v>
          </cell>
          <cell r="C745" t="str">
            <v>moteur électrique</v>
          </cell>
          <cell r="D745" t="str">
            <v>Renouvellement d'un moteur électrique 190 KW</v>
          </cell>
          <cell r="E745" t="str">
            <v>Non approuvé</v>
          </cell>
          <cell r="F745" t="str">
            <v>K03190</v>
          </cell>
          <cell r="G745">
            <v>1</v>
          </cell>
          <cell r="H745" t="str">
            <v>WORKPLAN</v>
          </cell>
          <cell r="J745" t="str">
            <v>A soumettre</v>
          </cell>
          <cell r="S745">
            <v>15575</v>
          </cell>
          <cell r="T745" t="str">
            <v>DRIBA Hamid</v>
          </cell>
          <cell r="U745" t="str">
            <v>Ordinaire</v>
          </cell>
          <cell r="V745" t="str">
            <v>R2 : Maintien outil production</v>
          </cell>
          <cell r="W745" t="str">
            <v>Renouvellement</v>
          </cell>
          <cell r="X745" t="str">
            <v>Aucune</v>
          </cell>
          <cell r="Y745" t="str">
            <v>Prévu</v>
          </cell>
          <cell r="Z745" t="str">
            <v>Production-Khouribga</v>
          </cell>
        </row>
        <row r="746">
          <cell r="A746">
            <v>3881</v>
          </cell>
          <cell r="B746">
            <v>1</v>
          </cell>
          <cell r="C746" t="str">
            <v>01 moteur électrique</v>
          </cell>
          <cell r="D746" t="str">
            <v>Renouvellement d'un moteur électrique 190 KW</v>
          </cell>
          <cell r="E746" t="str">
            <v>Approuvé</v>
          </cell>
          <cell r="F746" t="str">
            <v>K03190</v>
          </cell>
          <cell r="G746">
            <v>1</v>
          </cell>
          <cell r="H746" t="str">
            <v>WORKPLAN</v>
          </cell>
          <cell r="J746" t="str">
            <v>A soumettre</v>
          </cell>
          <cell r="S746">
            <v>15589</v>
          </cell>
          <cell r="T746" t="str">
            <v>DRIBA Hamid</v>
          </cell>
          <cell r="U746" t="str">
            <v>Ordinaire</v>
          </cell>
          <cell r="V746" t="str">
            <v>R2 : Maintien outil production</v>
          </cell>
          <cell r="W746" t="str">
            <v>Renouvellement</v>
          </cell>
          <cell r="X746" t="str">
            <v>Aucune</v>
          </cell>
          <cell r="Y746" t="str">
            <v>Prévu</v>
          </cell>
          <cell r="Z746" t="str">
            <v>Production-Khouribga</v>
          </cell>
        </row>
        <row r="747">
          <cell r="A747">
            <v>3883</v>
          </cell>
          <cell r="B747">
            <v>1</v>
          </cell>
          <cell r="C747" t="str">
            <v>MOTEURS POUR MEA</v>
          </cell>
          <cell r="D747" t="str">
            <v>Achat de moteurs électriques pour MEA</v>
          </cell>
          <cell r="E747" t="str">
            <v>Approuvé</v>
          </cell>
          <cell r="F747" t="str">
            <v>K03731</v>
          </cell>
          <cell r="G747">
            <v>1</v>
          </cell>
          <cell r="H747" t="str">
            <v>WORKPLAN</v>
          </cell>
          <cell r="J747" t="str">
            <v>A soumettre</v>
          </cell>
          <cell r="S747">
            <v>15597</v>
          </cell>
          <cell r="T747" t="str">
            <v>BOUTABBA ABDELGHANI</v>
          </cell>
          <cell r="U747" t="str">
            <v>Ordinaire</v>
          </cell>
          <cell r="V747" t="str">
            <v>R3 : Amélioration prix revient</v>
          </cell>
          <cell r="W747" t="str">
            <v>Dotations nouvelles</v>
          </cell>
          <cell r="X747" t="str">
            <v>Aucune</v>
          </cell>
          <cell r="Y747" t="str">
            <v>Prévu</v>
          </cell>
          <cell r="Z747" t="str">
            <v>Production-Khouribga</v>
          </cell>
        </row>
        <row r="748">
          <cell r="A748">
            <v>3895</v>
          </cell>
          <cell r="B748">
            <v>1</v>
          </cell>
          <cell r="C748" t="str">
            <v>Matériel électrique</v>
          </cell>
          <cell r="D748" t="str">
            <v>Achat de matériels électriques</v>
          </cell>
          <cell r="E748" t="str">
            <v>Approuvé</v>
          </cell>
          <cell r="F748" t="str">
            <v>K03840</v>
          </cell>
          <cell r="G748">
            <v>1</v>
          </cell>
          <cell r="H748" t="str">
            <v>WORKPLAN</v>
          </cell>
          <cell r="J748" t="str">
            <v>A soumettre</v>
          </cell>
          <cell r="S748">
            <v>15689</v>
          </cell>
          <cell r="T748" t="str">
            <v>EL BOUCHRIFI Yagoub</v>
          </cell>
          <cell r="U748" t="str">
            <v>Ordinaire</v>
          </cell>
          <cell r="V748" t="str">
            <v>R4 : Aug capacité production</v>
          </cell>
          <cell r="W748" t="str">
            <v>Dotations nouvelles</v>
          </cell>
          <cell r="X748" t="str">
            <v>Aucune</v>
          </cell>
          <cell r="Y748" t="str">
            <v>Prévu</v>
          </cell>
          <cell r="Z748" t="str">
            <v>Production-Khouribga</v>
          </cell>
        </row>
        <row r="749">
          <cell r="A749">
            <v>3896</v>
          </cell>
          <cell r="B749">
            <v>1</v>
          </cell>
          <cell r="C749" t="str">
            <v>Outillage d'ateliers</v>
          </cell>
          <cell r="D749" t="str">
            <v>Achat d'outillage d'atelier</v>
          </cell>
          <cell r="E749" t="str">
            <v>Approuvé</v>
          </cell>
          <cell r="F749" t="str">
            <v>K03731</v>
          </cell>
          <cell r="G749">
            <v>1</v>
          </cell>
          <cell r="H749" t="str">
            <v>WORKPLAN</v>
          </cell>
          <cell r="J749" t="str">
            <v>A soumettre</v>
          </cell>
          <cell r="S749">
            <v>15691</v>
          </cell>
          <cell r="T749" t="str">
            <v>BOUTABBA ABDELGHANI</v>
          </cell>
          <cell r="U749" t="str">
            <v>Ordinaire</v>
          </cell>
          <cell r="V749" t="str">
            <v>R3 : Amélioration prix revient</v>
          </cell>
          <cell r="W749" t="str">
            <v>Dotations nouvelles</v>
          </cell>
          <cell r="X749" t="str">
            <v>Aucune</v>
          </cell>
          <cell r="Y749" t="str">
            <v>Prévu</v>
          </cell>
          <cell r="Z749" t="str">
            <v>Production-Khouribga</v>
          </cell>
        </row>
        <row r="750">
          <cell r="A750">
            <v>3900</v>
          </cell>
          <cell r="B750">
            <v>1</v>
          </cell>
          <cell r="C750" t="str">
            <v>Palan</v>
          </cell>
          <cell r="D750" t="str">
            <v>Etude, fourniture et installation d'un palan électrique 8 tonnes et pont roulant à l'atelier électrique MEA</v>
          </cell>
          <cell r="E750" t="str">
            <v>Approuvé Entité</v>
          </cell>
          <cell r="F750" t="str">
            <v>K03731</v>
          </cell>
          <cell r="G750">
            <v>1</v>
          </cell>
          <cell r="H750" t="str">
            <v>WORKPLAN</v>
          </cell>
          <cell r="J750" t="str">
            <v>A soumettre</v>
          </cell>
          <cell r="S750">
            <v>15696</v>
          </cell>
          <cell r="T750" t="str">
            <v>BOUTABBA ABDELGHANI</v>
          </cell>
          <cell r="U750" t="str">
            <v>Ordinaire</v>
          </cell>
          <cell r="V750" t="str">
            <v>R2 : Maintien outil production</v>
          </cell>
          <cell r="W750" t="str">
            <v>Dotations nouvelles</v>
          </cell>
          <cell r="X750" t="str">
            <v>Aucune</v>
          </cell>
          <cell r="Y750" t="str">
            <v>Prévu</v>
          </cell>
          <cell r="Z750" t="str">
            <v>Production-Khouribga</v>
          </cell>
        </row>
        <row r="751">
          <cell r="A751">
            <v>3901</v>
          </cell>
          <cell r="B751">
            <v>1</v>
          </cell>
          <cell r="C751" t="str">
            <v>outillage</v>
          </cell>
          <cell r="D751" t="str">
            <v>Achat d'outillages pour les ateliers</v>
          </cell>
          <cell r="E751" t="str">
            <v>Approuvé</v>
          </cell>
          <cell r="F751" t="str">
            <v>K03710</v>
          </cell>
          <cell r="G751">
            <v>1</v>
          </cell>
          <cell r="H751" t="str">
            <v>WORKPLAN</v>
          </cell>
          <cell r="J751" t="str">
            <v>A soumettre</v>
          </cell>
          <cell r="S751">
            <v>15700</v>
          </cell>
          <cell r="T751" t="str">
            <v>MAHSOUN Abdellah</v>
          </cell>
          <cell r="U751" t="str">
            <v>Ordinaire</v>
          </cell>
          <cell r="V751" t="str">
            <v>R3 : Amélioration prix revient</v>
          </cell>
          <cell r="W751" t="str">
            <v>Dotations nouvelles</v>
          </cell>
          <cell r="X751" t="str">
            <v>Aucune</v>
          </cell>
          <cell r="Y751" t="str">
            <v>Prévu</v>
          </cell>
          <cell r="Z751" t="str">
            <v>Production-Khouribga</v>
          </cell>
        </row>
        <row r="752">
          <cell r="A752">
            <v>3902</v>
          </cell>
          <cell r="B752">
            <v>1</v>
          </cell>
          <cell r="C752" t="str">
            <v>machine de lavage</v>
          </cell>
          <cell r="D752" t="str">
            <v>Achat de 04 machines thermiques de lavage à eau chaude</v>
          </cell>
          <cell r="E752" t="str">
            <v>Approuvé Entité</v>
          </cell>
          <cell r="F752" t="str">
            <v>K03821</v>
          </cell>
          <cell r="G752">
            <v>1</v>
          </cell>
          <cell r="H752" t="str">
            <v>WORKPLAN</v>
          </cell>
          <cell r="J752" t="str">
            <v>A soumettre</v>
          </cell>
          <cell r="S752">
            <v>15703</v>
          </cell>
          <cell r="T752" t="str">
            <v>EL BOUCHRIFI Yagoub</v>
          </cell>
          <cell r="U752" t="str">
            <v>Ordinaire</v>
          </cell>
          <cell r="V752" t="str">
            <v>R4 : Aug capacité production</v>
          </cell>
          <cell r="W752" t="str">
            <v>Dotations nouvelles</v>
          </cell>
          <cell r="X752" t="str">
            <v>Aucune</v>
          </cell>
          <cell r="Y752" t="str">
            <v>Prévu</v>
          </cell>
          <cell r="Z752" t="str">
            <v>Production-Khouribga</v>
          </cell>
        </row>
        <row r="753">
          <cell r="A753">
            <v>3907</v>
          </cell>
          <cell r="B753">
            <v>1</v>
          </cell>
          <cell r="C753" t="str">
            <v>ALARME POUR  PMK / IC</v>
          </cell>
          <cell r="D753" t="str">
            <v>RENOUVELLEMENT DU SYSTEME D'ALARME DE PMK / IC</v>
          </cell>
          <cell r="E753" t="str">
            <v>Non approuvé</v>
          </cell>
          <cell r="F753" t="str">
            <v>K01001</v>
          </cell>
          <cell r="G753">
            <v>1</v>
          </cell>
          <cell r="H753" t="str">
            <v>WORKPLAN</v>
          </cell>
          <cell r="J753" t="str">
            <v>A soumettre</v>
          </cell>
          <cell r="S753">
            <v>15718</v>
          </cell>
          <cell r="T753" t="str">
            <v>EL MANSOURI MUSTAPHA</v>
          </cell>
          <cell r="U753" t="str">
            <v>Administratif</v>
          </cell>
          <cell r="V753" t="str">
            <v>R7 : Environnement et Sécurité</v>
          </cell>
          <cell r="W753" t="str">
            <v>Renouvellement</v>
          </cell>
          <cell r="X753" t="str">
            <v>Aucune</v>
          </cell>
          <cell r="Y753" t="str">
            <v>Imprévu</v>
          </cell>
          <cell r="Z753" t="str">
            <v>Administration-Khouribga</v>
          </cell>
        </row>
        <row r="754">
          <cell r="A754">
            <v>3911</v>
          </cell>
          <cell r="B754">
            <v>1</v>
          </cell>
          <cell r="C754" t="str">
            <v>01 Nacelle tout terrain</v>
          </cell>
          <cell r="D754" t="str">
            <v xml:space="preserve"> Achat d'un Nacelle tout terrain automotrice</v>
          </cell>
          <cell r="E754" t="str">
            <v>Approuvé Entité</v>
          </cell>
          <cell r="F754" t="str">
            <v>K03710</v>
          </cell>
          <cell r="G754">
            <v>1</v>
          </cell>
          <cell r="H754" t="str">
            <v>WORKPLAN</v>
          </cell>
          <cell r="J754" t="str">
            <v>A soumettre</v>
          </cell>
          <cell r="S754">
            <v>15727</v>
          </cell>
          <cell r="T754" t="str">
            <v>HALMI Abderrahmane</v>
          </cell>
          <cell r="U754" t="str">
            <v>Ordinaire</v>
          </cell>
          <cell r="V754" t="str">
            <v>R2 : Maintien outil production</v>
          </cell>
          <cell r="W754" t="str">
            <v>Dotations nouvelles</v>
          </cell>
          <cell r="X754" t="str">
            <v>Aucune</v>
          </cell>
          <cell r="Y754" t="str">
            <v>Prévu</v>
          </cell>
          <cell r="Z754" t="str">
            <v>Production-Khouribga</v>
          </cell>
        </row>
        <row r="755">
          <cell r="A755">
            <v>3912</v>
          </cell>
          <cell r="B755">
            <v>1</v>
          </cell>
          <cell r="C755" t="str">
            <v>01 Barre d'alésage</v>
          </cell>
          <cell r="D755" t="str">
            <v>Achat d'une barre d'alésage</v>
          </cell>
          <cell r="E755" t="str">
            <v>Approuvé Entité</v>
          </cell>
          <cell r="F755" t="str">
            <v>K03710</v>
          </cell>
          <cell r="G755">
            <v>1</v>
          </cell>
          <cell r="H755" t="str">
            <v>WORKPLAN</v>
          </cell>
          <cell r="J755" t="str">
            <v>A soumettre</v>
          </cell>
          <cell r="S755">
            <v>15729</v>
          </cell>
          <cell r="T755" t="str">
            <v>SABRI NAJIB</v>
          </cell>
          <cell r="U755" t="str">
            <v>Ordinaire</v>
          </cell>
          <cell r="V755" t="str">
            <v>R2 : Maintien outil production</v>
          </cell>
          <cell r="W755" t="str">
            <v>Dotations nouvelles</v>
          </cell>
          <cell r="X755" t="str">
            <v>Aucune</v>
          </cell>
          <cell r="Y755" t="str">
            <v>Prévu</v>
          </cell>
          <cell r="Z755" t="str">
            <v>Production-Khouribga</v>
          </cell>
        </row>
        <row r="756">
          <cell r="A756">
            <v>3913</v>
          </cell>
          <cell r="B756">
            <v>1</v>
          </cell>
          <cell r="C756" t="str">
            <v>Machine à développer les plans</v>
          </cell>
          <cell r="D756" t="str">
            <v>Achat d'une machine à développer les plans TDS 600</v>
          </cell>
          <cell r="E756" t="str">
            <v>Approbation a échoué</v>
          </cell>
          <cell r="F756" t="str">
            <v>K03571</v>
          </cell>
          <cell r="G756">
            <v>1</v>
          </cell>
          <cell r="H756" t="str">
            <v>WORKPLAN</v>
          </cell>
          <cell r="J756" t="str">
            <v>A soumettre</v>
          </cell>
          <cell r="S756">
            <v>15743</v>
          </cell>
          <cell r="T756" t="str">
            <v>MAGHRAOUI Brahim</v>
          </cell>
          <cell r="U756" t="str">
            <v>Ordinaire</v>
          </cell>
          <cell r="V756" t="str">
            <v>R3 : Amélioration prix revient</v>
          </cell>
          <cell r="W756" t="str">
            <v>Dotations nouvelles</v>
          </cell>
          <cell r="X756" t="str">
            <v>Aucune</v>
          </cell>
          <cell r="Y756" t="str">
            <v>Prévu</v>
          </cell>
          <cell r="Z756" t="str">
            <v>Production-Khouribga</v>
          </cell>
        </row>
        <row r="757">
          <cell r="A757">
            <v>3915</v>
          </cell>
          <cell r="B757">
            <v>1</v>
          </cell>
          <cell r="C757" t="str">
            <v>DATA SHOW et Télecopieurs</v>
          </cell>
          <cell r="D757" t="str">
            <v>Achat d'un appareil DATA SHOW et Télecopieurs</v>
          </cell>
          <cell r="E757" t="str">
            <v>Approuvé</v>
          </cell>
          <cell r="F757" t="str">
            <v>K03051</v>
          </cell>
          <cell r="G757">
            <v>1</v>
          </cell>
          <cell r="H757" t="str">
            <v>WORKPLAN</v>
          </cell>
          <cell r="J757" t="str">
            <v>A soumettre</v>
          </cell>
          <cell r="S757">
            <v>15747</v>
          </cell>
          <cell r="T757" t="str">
            <v>CHARKI EL YAMANI</v>
          </cell>
          <cell r="U757" t="str">
            <v>Administratif</v>
          </cell>
          <cell r="V757" t="str">
            <v>R6 : Social et Administratif</v>
          </cell>
          <cell r="W757" t="str">
            <v>Dotations nouvelles</v>
          </cell>
          <cell r="X757" t="str">
            <v>Aucune</v>
          </cell>
          <cell r="Y757" t="str">
            <v>Prévu</v>
          </cell>
          <cell r="Z757" t="str">
            <v>Production-Khouribga</v>
          </cell>
        </row>
        <row r="758">
          <cell r="A758">
            <v>3916</v>
          </cell>
          <cell r="B758">
            <v>1</v>
          </cell>
          <cell r="C758" t="str">
            <v>Inhalateur d'oxygène</v>
          </cell>
          <cell r="D758" t="str">
            <v>Achat de 3 inhalateurs d'oxygène</v>
          </cell>
          <cell r="E758" t="str">
            <v>Approuvé</v>
          </cell>
          <cell r="F758" t="str">
            <v>K03051</v>
          </cell>
          <cell r="G758">
            <v>1</v>
          </cell>
          <cell r="H758" t="str">
            <v>WORKPLAN</v>
          </cell>
          <cell r="J758" t="str">
            <v>A soumettre</v>
          </cell>
          <cell r="S758">
            <v>15750</v>
          </cell>
          <cell r="T758" t="str">
            <v>SAAD Khalifa</v>
          </cell>
          <cell r="U758" t="str">
            <v>Ordinaire</v>
          </cell>
          <cell r="V758" t="str">
            <v>R7 : Environnement et Sécurité</v>
          </cell>
          <cell r="W758" t="str">
            <v>Dotations nouvelles</v>
          </cell>
          <cell r="X758" t="str">
            <v>Aucune</v>
          </cell>
          <cell r="Y758" t="str">
            <v>Prévu</v>
          </cell>
          <cell r="Z758" t="str">
            <v>Production-Khouribga</v>
          </cell>
        </row>
        <row r="759">
          <cell r="A759">
            <v>3917</v>
          </cell>
          <cell r="B759">
            <v>1</v>
          </cell>
          <cell r="C759" t="str">
            <v>Outillage d'atel</v>
          </cell>
          <cell r="D759" t="str">
            <v>Achat d'outillage pour les ateliers de maintenance PMK/PC</v>
          </cell>
          <cell r="E759" t="str">
            <v>Approuvé Entité</v>
          </cell>
          <cell r="F759" t="str">
            <v>K03810</v>
          </cell>
          <cell r="G759">
            <v>1</v>
          </cell>
          <cell r="H759" t="str">
            <v>WORKPLAN</v>
          </cell>
          <cell r="J759" t="str">
            <v>A soumettre</v>
          </cell>
          <cell r="S759">
            <v>15752</v>
          </cell>
          <cell r="T759" t="str">
            <v>EL BOUCHRIFI Yagoub</v>
          </cell>
          <cell r="U759" t="str">
            <v>Ordinaire</v>
          </cell>
          <cell r="V759" t="str">
            <v>R4 : Aug capacité production</v>
          </cell>
          <cell r="W759" t="str">
            <v>Dotations nouvelles</v>
          </cell>
          <cell r="X759" t="str">
            <v>Aucune</v>
          </cell>
          <cell r="Y759" t="str">
            <v>Prévu</v>
          </cell>
          <cell r="Z759" t="str">
            <v>Production-Khouribga</v>
          </cell>
        </row>
        <row r="760">
          <cell r="A760">
            <v>3918</v>
          </cell>
          <cell r="B760">
            <v>1</v>
          </cell>
          <cell r="C760" t="str">
            <v>Postes de soudure</v>
          </cell>
          <cell r="D760" t="str">
            <v>Achat de postes de soudures</v>
          </cell>
          <cell r="E760" t="str">
            <v>Approuvé</v>
          </cell>
          <cell r="F760" t="str">
            <v>K03731</v>
          </cell>
          <cell r="G760">
            <v>4</v>
          </cell>
          <cell r="H760" t="str">
            <v>V3</v>
          </cell>
          <cell r="I760" t="str">
            <v>RECLASSEMENT</v>
          </cell>
          <cell r="J760" t="str">
            <v>Budgété</v>
          </cell>
          <cell r="K760">
            <v>793000</v>
          </cell>
          <cell r="L760">
            <v>793000</v>
          </cell>
          <cell r="M760">
            <v>793000</v>
          </cell>
          <cell r="N760">
            <v>793000</v>
          </cell>
          <cell r="S760">
            <v>24467</v>
          </cell>
          <cell r="T760" t="str">
            <v>EL BOUCHRIFI Yagoub</v>
          </cell>
          <cell r="U760" t="str">
            <v>Ordinaire</v>
          </cell>
          <cell r="V760" t="str">
            <v>R4 : Aug capacité production</v>
          </cell>
          <cell r="W760" t="str">
            <v>Dotations nouvelles</v>
          </cell>
          <cell r="X760" t="str">
            <v>Aucune</v>
          </cell>
          <cell r="Y760" t="str">
            <v>Prévu</v>
          </cell>
          <cell r="Z760" t="str">
            <v>Production-Khouribga</v>
          </cell>
        </row>
        <row r="761">
          <cell r="A761">
            <v>3924</v>
          </cell>
          <cell r="B761">
            <v>1</v>
          </cell>
          <cell r="C761" t="str">
            <v>RN DE CLIMATISEUR</v>
          </cell>
          <cell r="D761" t="str">
            <v>RN DE 2 CLIMATISEURS POUR PMK/IE</v>
          </cell>
          <cell r="E761" t="str">
            <v>Refusé</v>
          </cell>
          <cell r="F761" t="str">
            <v>K02229</v>
          </cell>
          <cell r="G761">
            <v>1</v>
          </cell>
          <cell r="H761" t="str">
            <v>WORKPLAN</v>
          </cell>
          <cell r="J761" t="str">
            <v>A soumettre</v>
          </cell>
          <cell r="S761">
            <v>15784</v>
          </cell>
          <cell r="T761" t="str">
            <v>KAZZOUZI El Bachir</v>
          </cell>
          <cell r="U761" t="str">
            <v>Administratif</v>
          </cell>
          <cell r="V761" t="str">
            <v>R6 : Social et Administratif</v>
          </cell>
          <cell r="W761" t="str">
            <v>Renouvellement</v>
          </cell>
          <cell r="X761" t="str">
            <v>Aucune</v>
          </cell>
          <cell r="Y761" t="str">
            <v>Prévu</v>
          </cell>
          <cell r="Z761" t="str">
            <v>Administration-Khouribga</v>
          </cell>
        </row>
        <row r="762">
          <cell r="A762">
            <v>3928</v>
          </cell>
          <cell r="B762">
            <v>1</v>
          </cell>
          <cell r="C762" t="str">
            <v>EQUIPEMENT DE TREMIE</v>
          </cell>
          <cell r="D762" t="str">
            <v>Equipement de la trémie extension zone centrale sud de MEA par un bâtiment de criblage et un parc de stockage</v>
          </cell>
          <cell r="E762" t="str">
            <v>Approuvé Entité</v>
          </cell>
          <cell r="F762" t="str">
            <v>K03292</v>
          </cell>
          <cell r="G762">
            <v>1</v>
          </cell>
          <cell r="H762" t="str">
            <v>WORKPLAN</v>
          </cell>
          <cell r="J762" t="str">
            <v>A soumettre</v>
          </cell>
          <cell r="S762">
            <v>15792</v>
          </cell>
          <cell r="T762" t="str">
            <v>NAJAM SAID</v>
          </cell>
          <cell r="U762" t="str">
            <v>Ordinaire</v>
          </cell>
          <cell r="V762" t="str">
            <v>R4 : Aug capacité production</v>
          </cell>
          <cell r="W762" t="str">
            <v>Dotations nouvelles</v>
          </cell>
          <cell r="X762" t="str">
            <v>Aucune</v>
          </cell>
          <cell r="Y762" t="str">
            <v>Prévu</v>
          </cell>
          <cell r="Z762" t="str">
            <v>Production-Khouribga</v>
          </cell>
        </row>
        <row r="763">
          <cell r="A763">
            <v>3929</v>
          </cell>
          <cell r="B763">
            <v>1</v>
          </cell>
          <cell r="C763" t="str">
            <v>RN BULLS D9</v>
          </cell>
          <cell r="D763" t="str">
            <v>Renouvellement de 7 bulls D9</v>
          </cell>
          <cell r="E763" t="str">
            <v>Approuvé Entité</v>
          </cell>
          <cell r="F763" t="str">
            <v>K03842</v>
          </cell>
          <cell r="G763">
            <v>1</v>
          </cell>
          <cell r="H763" t="str">
            <v>WORKPLAN</v>
          </cell>
          <cell r="J763" t="str">
            <v>A soumettre</v>
          </cell>
          <cell r="S763">
            <v>15794</v>
          </cell>
          <cell r="T763" t="str">
            <v>RAMZI ABDELKRIM</v>
          </cell>
          <cell r="U763" t="str">
            <v>Ordinaire</v>
          </cell>
          <cell r="V763" t="str">
            <v>R2 : Maintien outil production</v>
          </cell>
          <cell r="W763" t="str">
            <v>Renouvellement</v>
          </cell>
          <cell r="X763" t="str">
            <v>Aucune</v>
          </cell>
          <cell r="Y763" t="str">
            <v>Prévu</v>
          </cell>
          <cell r="Z763" t="str">
            <v>Production-Khouribga</v>
          </cell>
        </row>
        <row r="764">
          <cell r="A764">
            <v>3930</v>
          </cell>
          <cell r="B764">
            <v>1</v>
          </cell>
          <cell r="C764" t="str">
            <v>Bulls D9</v>
          </cell>
          <cell r="D764" t="str">
            <v>Achat de 7 bulls D9</v>
          </cell>
          <cell r="E764" t="str">
            <v>Approbation a échoué</v>
          </cell>
          <cell r="F764" t="str">
            <v>K03742</v>
          </cell>
          <cell r="G764">
            <v>1</v>
          </cell>
          <cell r="H764" t="str">
            <v>WORKPLAN</v>
          </cell>
          <cell r="J764" t="str">
            <v>A soumettre</v>
          </cell>
          <cell r="S764">
            <v>15796</v>
          </cell>
          <cell r="T764" t="str">
            <v>RAMZI ABDELKRIM</v>
          </cell>
          <cell r="U764" t="str">
            <v>Ordinaire</v>
          </cell>
          <cell r="V764" t="str">
            <v>R4 : Aug capacité production</v>
          </cell>
          <cell r="W764" t="str">
            <v>Dotations nouvelles</v>
          </cell>
          <cell r="X764" t="str">
            <v>Aucune</v>
          </cell>
          <cell r="Y764" t="str">
            <v>Prévu</v>
          </cell>
          <cell r="Z764" t="str">
            <v>Production-Khouribga</v>
          </cell>
        </row>
        <row r="765">
          <cell r="A765">
            <v>3938</v>
          </cell>
          <cell r="B765">
            <v>1</v>
          </cell>
          <cell r="C765" t="str">
            <v>PLIEUSE  DE TOLE</v>
          </cell>
          <cell r="D765" t="str">
            <v>Renouvellement d'une plieuse de tôles</v>
          </cell>
          <cell r="G765">
            <v>1</v>
          </cell>
          <cell r="H765" t="str">
            <v>vi</v>
          </cell>
          <cell r="I765" t="str">
            <v>BUDGET INITIAL</v>
          </cell>
          <cell r="J765" t="str">
            <v>A soumettre</v>
          </cell>
          <cell r="K765">
            <v>1000000</v>
          </cell>
          <cell r="L765">
            <v>1000000</v>
          </cell>
          <cell r="M765">
            <v>1000000</v>
          </cell>
          <cell r="N765">
            <v>1000000</v>
          </cell>
          <cell r="S765">
            <v>15823</v>
          </cell>
          <cell r="T765" t="str">
            <v>BOUZZIT BRAHIM</v>
          </cell>
          <cell r="U765" t="str">
            <v>Ordinaire</v>
          </cell>
          <cell r="V765" t="str">
            <v>R2 : Maintien outil production</v>
          </cell>
          <cell r="W765" t="str">
            <v>Renouvellement</v>
          </cell>
          <cell r="X765" t="str">
            <v>Aucune</v>
          </cell>
          <cell r="Y765" t="str">
            <v>Prévu</v>
          </cell>
          <cell r="Z765" t="str">
            <v>Logistique-Khouribga</v>
          </cell>
        </row>
        <row r="766">
          <cell r="A766">
            <v>3939</v>
          </cell>
          <cell r="B766">
            <v>1</v>
          </cell>
          <cell r="C766" t="str">
            <v>rectifieuse d'engrenage</v>
          </cell>
          <cell r="D766" t="str">
            <v>Achat d'une rectifieuse d'engrenage</v>
          </cell>
          <cell r="F766">
            <v>1</v>
          </cell>
          <cell r="G766" t="str">
            <v>WORKPLAN</v>
          </cell>
          <cell r="I766" t="str">
            <v>A soumettre</v>
          </cell>
          <cell r="S766">
            <v>15824</v>
          </cell>
          <cell r="T766" t="str">
            <v>BOUZZIT BRAHIM</v>
          </cell>
          <cell r="U766" t="str">
            <v>Ordinaire</v>
          </cell>
          <cell r="V766" t="str">
            <v>R3 : Amélioration prix revient</v>
          </cell>
          <cell r="W766" t="str">
            <v>Dotations nouvelles</v>
          </cell>
          <cell r="X766" t="str">
            <v>Aucune</v>
          </cell>
          <cell r="Y766" t="str">
            <v>Prévu</v>
          </cell>
          <cell r="Z766" t="str">
            <v>Logistique-Khouribga</v>
          </cell>
        </row>
        <row r="767">
          <cell r="A767">
            <v>3940</v>
          </cell>
          <cell r="B767">
            <v>1</v>
          </cell>
          <cell r="C767" t="str">
            <v>cintreuse de tôles</v>
          </cell>
          <cell r="D767" t="str">
            <v>Renouvellement d'une cintreuse de tôles</v>
          </cell>
          <cell r="G767">
            <v>1</v>
          </cell>
          <cell r="H767" t="str">
            <v>vi</v>
          </cell>
          <cell r="I767" t="str">
            <v>BUDGET INITIAL</v>
          </cell>
          <cell r="J767" t="str">
            <v>En cours</v>
          </cell>
          <cell r="K767">
            <v>800000</v>
          </cell>
          <cell r="L767">
            <v>800000</v>
          </cell>
          <cell r="M767">
            <v>800000</v>
          </cell>
          <cell r="N767">
            <v>800000</v>
          </cell>
          <cell r="S767">
            <v>15827</v>
          </cell>
          <cell r="T767" t="str">
            <v>BOUZZIT BRAHIM</v>
          </cell>
          <cell r="U767" t="str">
            <v>Ordinaire</v>
          </cell>
          <cell r="V767" t="str">
            <v>R3 : Amélioration prix revient</v>
          </cell>
          <cell r="W767" t="str">
            <v>Renouvellement</v>
          </cell>
          <cell r="X767" t="str">
            <v>Aucune</v>
          </cell>
          <cell r="Y767" t="str">
            <v>Prévu</v>
          </cell>
          <cell r="Z767" t="str">
            <v>Logistique-Khouribga</v>
          </cell>
        </row>
        <row r="768">
          <cell r="A768">
            <v>3941</v>
          </cell>
          <cell r="B768">
            <v>1</v>
          </cell>
          <cell r="C768" t="str">
            <v>cisaille guillotine</v>
          </cell>
          <cell r="D768" t="str">
            <v>Renouvellement de la cisaille guillotine</v>
          </cell>
          <cell r="G768">
            <v>1</v>
          </cell>
          <cell r="H768" t="str">
            <v>vi</v>
          </cell>
          <cell r="I768" t="str">
            <v>BUDGET INITIAL</v>
          </cell>
          <cell r="J768" t="str">
            <v>A soumettre</v>
          </cell>
          <cell r="K768">
            <v>1000000</v>
          </cell>
          <cell r="L768">
            <v>1000000</v>
          </cell>
          <cell r="M768">
            <v>1000000</v>
          </cell>
          <cell r="N768">
            <v>1000000</v>
          </cell>
          <cell r="S768">
            <v>15830</v>
          </cell>
          <cell r="T768" t="str">
            <v>BOUZZIT BRAHIM</v>
          </cell>
          <cell r="U768" t="str">
            <v>Ordinaire</v>
          </cell>
          <cell r="V768" t="str">
            <v>R3 : Amélioration prix revient</v>
          </cell>
          <cell r="W768" t="str">
            <v>Renouvellement</v>
          </cell>
          <cell r="X768" t="str">
            <v>Aucune</v>
          </cell>
          <cell r="Y768" t="str">
            <v>Prévu</v>
          </cell>
          <cell r="Z768" t="str">
            <v>Logistique-Khouribga</v>
          </cell>
        </row>
        <row r="769">
          <cell r="A769">
            <v>3942</v>
          </cell>
          <cell r="B769">
            <v>1</v>
          </cell>
          <cell r="C769" t="str">
            <v>rigidité diélectrique</v>
          </cell>
          <cell r="D769" t="str">
            <v>Achat d'un appareil pour la détermination de la rigidité diélectriqueNormes : NF EN 60156   ou norme équivalente</v>
          </cell>
          <cell r="G769">
            <v>1</v>
          </cell>
          <cell r="H769" t="str">
            <v>vi</v>
          </cell>
          <cell r="I769" t="str">
            <v>BUDGET INITIAL</v>
          </cell>
          <cell r="J769" t="str">
            <v>A soumettre</v>
          </cell>
          <cell r="K769">
            <v>250000</v>
          </cell>
          <cell r="L769">
            <v>250000</v>
          </cell>
          <cell r="M769">
            <v>250000</v>
          </cell>
          <cell r="N769">
            <v>250000</v>
          </cell>
          <cell r="S769">
            <v>15832</v>
          </cell>
          <cell r="T769" t="str">
            <v>BENZAKI HASSAN</v>
          </cell>
          <cell r="U769" t="str">
            <v>Ordinaire</v>
          </cell>
          <cell r="V769" t="str">
            <v>R3 : Amélioration prix revient</v>
          </cell>
          <cell r="W769" t="str">
            <v>Dotations nouvelles</v>
          </cell>
          <cell r="X769" t="str">
            <v>Aucune</v>
          </cell>
          <cell r="Y769" t="str">
            <v>Prévu</v>
          </cell>
          <cell r="Z769" t="str">
            <v>Logistique-Khouribga</v>
          </cell>
        </row>
        <row r="770">
          <cell r="A770">
            <v>3943</v>
          </cell>
          <cell r="B770">
            <v>1</v>
          </cell>
          <cell r="C770" t="str">
            <v>analyse vibratoire</v>
          </cell>
          <cell r="D770" t="str">
            <v>Achat d'un appareil de mesure et d'analyse vibratoire</v>
          </cell>
          <cell r="G770">
            <v>1</v>
          </cell>
          <cell r="H770" t="str">
            <v>vi</v>
          </cell>
          <cell r="I770" t="str">
            <v>BUDGET INITIAL</v>
          </cell>
          <cell r="J770" t="str">
            <v>A soumettre</v>
          </cell>
          <cell r="K770">
            <v>50000</v>
          </cell>
          <cell r="L770">
            <v>50000</v>
          </cell>
          <cell r="M770">
            <v>50000</v>
          </cell>
          <cell r="N770">
            <v>50000</v>
          </cell>
          <cell r="S770">
            <v>15834</v>
          </cell>
          <cell r="T770" t="str">
            <v>BENZAKI HASSAN</v>
          </cell>
          <cell r="U770" t="str">
            <v>Ordinaire</v>
          </cell>
          <cell r="V770" t="str">
            <v>R3 : Amélioration prix revient</v>
          </cell>
          <cell r="W770" t="str">
            <v>Dotations nouvelles</v>
          </cell>
          <cell r="X770" t="str">
            <v>Aucune</v>
          </cell>
          <cell r="Y770" t="str">
            <v>Prévu</v>
          </cell>
          <cell r="Z770" t="str">
            <v>Logistique-Khouribga</v>
          </cell>
        </row>
        <row r="771">
          <cell r="A771">
            <v>3944</v>
          </cell>
          <cell r="B771">
            <v>1</v>
          </cell>
          <cell r="C771" t="str">
            <v>appareil pour essai</v>
          </cell>
          <cell r="D771" t="str">
            <v>Achat d'un appareil pour essai de torsion des fils métalliques suivant norme NFA 03-707 ou norme équivalente</v>
          </cell>
          <cell r="G771">
            <v>1</v>
          </cell>
          <cell r="H771" t="str">
            <v>vi</v>
          </cell>
          <cell r="I771" t="str">
            <v>BUDGET INITIAL</v>
          </cell>
          <cell r="J771" t="str">
            <v>A soumettre</v>
          </cell>
          <cell r="K771">
            <v>150000</v>
          </cell>
          <cell r="L771">
            <v>150000</v>
          </cell>
          <cell r="M771">
            <v>150000</v>
          </cell>
          <cell r="N771">
            <v>150000</v>
          </cell>
          <cell r="S771">
            <v>15836</v>
          </cell>
          <cell r="T771" t="str">
            <v>BENZAKI HASSAN</v>
          </cell>
          <cell r="U771" t="str">
            <v>Ordinaire</v>
          </cell>
          <cell r="V771" t="str">
            <v>R3 : Amélioration prix revient</v>
          </cell>
          <cell r="W771" t="str">
            <v>Dotations nouvelles</v>
          </cell>
          <cell r="X771" t="str">
            <v>Aucune</v>
          </cell>
          <cell r="Y771" t="str">
            <v>Prévu</v>
          </cell>
          <cell r="Z771" t="str">
            <v>Logistique-Khouribga</v>
          </cell>
        </row>
        <row r="772">
          <cell r="A772">
            <v>3945</v>
          </cell>
          <cell r="B772">
            <v>1</v>
          </cell>
          <cell r="C772" t="str">
            <v>four à moufle</v>
          </cell>
          <cell r="D772" t="str">
            <v>Renouvellement d'un four à moufle  (nécessaire à plusieurs essais)</v>
          </cell>
          <cell r="G772">
            <v>1</v>
          </cell>
          <cell r="H772" t="str">
            <v>vi</v>
          </cell>
          <cell r="I772" t="str">
            <v>BUDGET INITIAL</v>
          </cell>
          <cell r="J772" t="str">
            <v>En cours</v>
          </cell>
          <cell r="K772">
            <v>150000</v>
          </cell>
          <cell r="L772">
            <v>150000</v>
          </cell>
          <cell r="M772">
            <v>150000</v>
          </cell>
          <cell r="N772">
            <v>150000</v>
          </cell>
          <cell r="S772">
            <v>15838</v>
          </cell>
          <cell r="T772" t="str">
            <v>BENZAKI HASSAN</v>
          </cell>
          <cell r="U772" t="str">
            <v>Ordinaire</v>
          </cell>
          <cell r="V772" t="str">
            <v>R3 : Amélioration prix revient</v>
          </cell>
          <cell r="W772" t="str">
            <v>Renouvellement</v>
          </cell>
          <cell r="X772" t="str">
            <v>Aucune</v>
          </cell>
          <cell r="Y772" t="str">
            <v>Prévu</v>
          </cell>
          <cell r="Z772" t="str">
            <v>Logistique-Khouribga</v>
          </cell>
        </row>
        <row r="773">
          <cell r="A773">
            <v>3946</v>
          </cell>
          <cell r="B773">
            <v>1</v>
          </cell>
          <cell r="C773" t="str">
            <v>MATERIEL INFORMAT.</v>
          </cell>
          <cell r="D773" t="str">
            <v>RETRO - PROJECTEUR DATA SHOW</v>
          </cell>
          <cell r="E773" t="str">
            <v>Approbation a échoué</v>
          </cell>
          <cell r="F773" t="str">
            <v>K07019</v>
          </cell>
          <cell r="G773">
            <v>1</v>
          </cell>
          <cell r="H773" t="str">
            <v>WORKPLAN</v>
          </cell>
          <cell r="J773" t="str">
            <v>A soumettre</v>
          </cell>
          <cell r="S773">
            <v>15839</v>
          </cell>
          <cell r="T773" t="str">
            <v>AFARID SAID</v>
          </cell>
          <cell r="U773" t="str">
            <v>Administratif</v>
          </cell>
          <cell r="V773" t="str">
            <v>R8 : Informatique</v>
          </cell>
          <cell r="W773" t="str">
            <v>Dotations nouvelles</v>
          </cell>
          <cell r="X773" t="str">
            <v>Aucune</v>
          </cell>
          <cell r="Y773" t="str">
            <v>Imprévu</v>
          </cell>
          <cell r="Z773" t="str">
            <v>Embarquement-Casablanca</v>
          </cell>
        </row>
        <row r="774">
          <cell r="A774">
            <v>3947</v>
          </cell>
          <cell r="B774">
            <v>1</v>
          </cell>
          <cell r="C774" t="str">
            <v>déshumidificateurs</v>
          </cell>
          <cell r="D774" t="str">
            <v>MATERIEL LABORATOIRE DES LUBRIFIANTS</v>
          </cell>
          <cell r="E774" t="str">
            <v>Non approuvé</v>
          </cell>
          <cell r="F774" t="str">
            <v>K11800</v>
          </cell>
          <cell r="G774">
            <v>1</v>
          </cell>
          <cell r="H774" t="str">
            <v>vi</v>
          </cell>
          <cell r="I774" t="str">
            <v>BUDGET INITIAL</v>
          </cell>
          <cell r="J774" t="str">
            <v>A soumettre</v>
          </cell>
          <cell r="K774">
            <v>100000</v>
          </cell>
          <cell r="L774">
            <v>100000</v>
          </cell>
          <cell r="M774">
            <v>100000</v>
          </cell>
          <cell r="N774">
            <v>100000</v>
          </cell>
          <cell r="S774">
            <v>15842</v>
          </cell>
          <cell r="T774" t="str">
            <v>BENZAKI HASSAN</v>
          </cell>
          <cell r="U774" t="str">
            <v>Ordinaire</v>
          </cell>
          <cell r="V774" t="str">
            <v>R2 : Maintien outil production</v>
          </cell>
          <cell r="W774" t="str">
            <v>Dotations nouvelles</v>
          </cell>
          <cell r="X774" t="str">
            <v>Aucune</v>
          </cell>
          <cell r="Y774" t="str">
            <v>Prévu</v>
          </cell>
          <cell r="Z774" t="str">
            <v>Logistique-Khouribga</v>
          </cell>
        </row>
        <row r="775">
          <cell r="A775">
            <v>3948</v>
          </cell>
          <cell r="B775">
            <v>1</v>
          </cell>
          <cell r="C775" t="str">
            <v>Achat d'un condictivimètre</v>
          </cell>
          <cell r="D775" t="str">
            <v xml:space="preserve">Achat d'un condictivimètre pour l'essai de l'eau analytique </v>
          </cell>
          <cell r="G775">
            <v>1</v>
          </cell>
          <cell r="H775" t="str">
            <v>vi</v>
          </cell>
          <cell r="I775" t="str">
            <v>BUDGET INITIAL</v>
          </cell>
          <cell r="J775" t="str">
            <v>En cours</v>
          </cell>
          <cell r="K775">
            <v>50000</v>
          </cell>
          <cell r="L775">
            <v>50000</v>
          </cell>
          <cell r="M775">
            <v>50000</v>
          </cell>
          <cell r="N775">
            <v>50000</v>
          </cell>
          <cell r="S775">
            <v>15844</v>
          </cell>
          <cell r="T775" t="str">
            <v>BENZAKI HASSAN</v>
          </cell>
          <cell r="U775" t="str">
            <v>Ordinaire</v>
          </cell>
          <cell r="V775" t="str">
            <v>R2 : Maintien outil production</v>
          </cell>
          <cell r="W775" t="str">
            <v>Dotations nouvelles</v>
          </cell>
          <cell r="X775" t="str">
            <v>Aucune</v>
          </cell>
          <cell r="Y775" t="str">
            <v>Prévu</v>
          </cell>
          <cell r="Z775" t="str">
            <v>Logistique-Khouribga</v>
          </cell>
        </row>
        <row r="776">
          <cell r="A776">
            <v>3949</v>
          </cell>
          <cell r="B776">
            <v>1</v>
          </cell>
          <cell r="C776" t="str">
            <v>détermination du point éclair</v>
          </cell>
          <cell r="D776" t="str">
            <v>ACHAT MATERIEL LABORATOIRES DES LUBRIFIANTS</v>
          </cell>
          <cell r="E776" t="str">
            <v>Approuvé CP</v>
          </cell>
          <cell r="F776" t="str">
            <v>K11801</v>
          </cell>
          <cell r="G776">
            <v>1</v>
          </cell>
          <cell r="H776" t="str">
            <v>vi</v>
          </cell>
          <cell r="I776" t="str">
            <v>BUDGET INITIAL</v>
          </cell>
          <cell r="J776" t="str">
            <v>En cours</v>
          </cell>
          <cell r="K776">
            <v>250000</v>
          </cell>
          <cell r="L776">
            <v>250000</v>
          </cell>
          <cell r="M776">
            <v>250000</v>
          </cell>
          <cell r="N776">
            <v>250000</v>
          </cell>
          <cell r="S776">
            <v>15846</v>
          </cell>
          <cell r="T776" t="str">
            <v>BENZAKI HASSAN</v>
          </cell>
          <cell r="U776" t="str">
            <v>Ordinaire</v>
          </cell>
          <cell r="V776" t="str">
            <v>R3 : Amélioration prix revient</v>
          </cell>
          <cell r="W776" t="str">
            <v>Renouvellement</v>
          </cell>
          <cell r="X776" t="str">
            <v>Aucune</v>
          </cell>
          <cell r="Y776" t="str">
            <v>Prévu</v>
          </cell>
          <cell r="Z776" t="str">
            <v>Logistique-Khouribga</v>
          </cell>
        </row>
        <row r="777">
          <cell r="A777">
            <v>3951</v>
          </cell>
          <cell r="B777">
            <v>1</v>
          </cell>
          <cell r="C777" t="str">
            <v>un appareil  pour essai</v>
          </cell>
          <cell r="D777" t="str">
            <v>Renouvellement d'un appareil  pour essai de corrosion à la lame de cuivreNormes : NF EN ISO 2160  ou norme équivalente</v>
          </cell>
          <cell r="G777">
            <v>1</v>
          </cell>
          <cell r="H777" t="str">
            <v>vi</v>
          </cell>
          <cell r="I777" t="str">
            <v>BUDGET INITIAL</v>
          </cell>
          <cell r="J777" t="str">
            <v>A soumettre</v>
          </cell>
          <cell r="K777">
            <v>150000</v>
          </cell>
          <cell r="L777">
            <v>150000</v>
          </cell>
          <cell r="M777">
            <v>150000</v>
          </cell>
          <cell r="N777">
            <v>150000</v>
          </cell>
          <cell r="S777">
            <v>15850</v>
          </cell>
          <cell r="T777" t="str">
            <v>BENZAKI HASSAN</v>
          </cell>
          <cell r="U777" t="str">
            <v>Ordinaire</v>
          </cell>
          <cell r="V777" t="str">
            <v>R3 : Amélioration prix revient</v>
          </cell>
          <cell r="W777" t="str">
            <v>Renouvellement</v>
          </cell>
          <cell r="X777" t="str">
            <v>Aucune</v>
          </cell>
          <cell r="Y777" t="str">
            <v>Prévu</v>
          </cell>
          <cell r="Z777" t="str">
            <v>Logistique-Khouribga</v>
          </cell>
        </row>
        <row r="778">
          <cell r="A778">
            <v>3952</v>
          </cell>
          <cell r="B778">
            <v>1</v>
          </cell>
          <cell r="C778" t="str">
            <v>ACQUISITION D'OUTILLAGE</v>
          </cell>
          <cell r="D778" t="str">
            <v>ACQUISITION D'EQUIPEMENTS D'ATELIERS ET D'OUTILLAGES</v>
          </cell>
          <cell r="E778" t="str">
            <v>Approuvé Entité</v>
          </cell>
          <cell r="F778" t="str">
            <v>K11602</v>
          </cell>
          <cell r="G778">
            <v>1</v>
          </cell>
          <cell r="H778" t="str">
            <v>vi</v>
          </cell>
          <cell r="I778" t="str">
            <v>BUDGET INITIAL</v>
          </cell>
          <cell r="J778" t="str">
            <v>En cours</v>
          </cell>
          <cell r="K778">
            <v>2400000</v>
          </cell>
          <cell r="L778">
            <v>2400000</v>
          </cell>
          <cell r="M778">
            <v>2400000</v>
          </cell>
          <cell r="N778">
            <v>2400000</v>
          </cell>
          <cell r="S778">
            <v>15853</v>
          </cell>
          <cell r="T778" t="str">
            <v>MAGHRANI SAID</v>
          </cell>
          <cell r="U778" t="str">
            <v>Ordinaire</v>
          </cell>
          <cell r="V778" t="str">
            <v>R2 : Maintien outil production</v>
          </cell>
          <cell r="W778" t="str">
            <v>Dotations nouvelles</v>
          </cell>
          <cell r="X778" t="str">
            <v>Aucune</v>
          </cell>
          <cell r="Y778" t="str">
            <v>Prévu</v>
          </cell>
          <cell r="Z778" t="str">
            <v>Logistique-Khouribga</v>
          </cell>
        </row>
        <row r="779">
          <cell r="A779">
            <v>3956</v>
          </cell>
          <cell r="B779">
            <v>1</v>
          </cell>
          <cell r="C779" t="str">
            <v>humidificateurs</v>
          </cell>
          <cell r="D779" t="str">
            <v>Achat de 04 humidificateurs pour laboratoire des bandes</v>
          </cell>
          <cell r="G779">
            <v>1</v>
          </cell>
          <cell r="H779" t="str">
            <v>vi</v>
          </cell>
          <cell r="I779" t="str">
            <v>BUDGET INITIAL</v>
          </cell>
          <cell r="J779" t="str">
            <v>A soumettre</v>
          </cell>
          <cell r="K779">
            <v>100000</v>
          </cell>
          <cell r="L779">
            <v>100000</v>
          </cell>
          <cell r="M779">
            <v>100000</v>
          </cell>
          <cell r="N779">
            <v>100000</v>
          </cell>
          <cell r="S779">
            <v>15859</v>
          </cell>
          <cell r="T779" t="str">
            <v>BENZAKI HASSAN</v>
          </cell>
          <cell r="U779" t="str">
            <v>Ordinaire</v>
          </cell>
          <cell r="V779" t="str">
            <v>R3 : Amélioration prix revient</v>
          </cell>
          <cell r="W779" t="str">
            <v>Dotations nouvelles</v>
          </cell>
          <cell r="X779" t="str">
            <v>Aucune</v>
          </cell>
          <cell r="Y779" t="str">
            <v>Prévu</v>
          </cell>
          <cell r="Z779" t="str">
            <v>Logistique-Khouribga</v>
          </cell>
        </row>
        <row r="780">
          <cell r="A780">
            <v>3957</v>
          </cell>
          <cell r="B780">
            <v>1</v>
          </cell>
          <cell r="C780" t="str">
            <v xml:space="preserve"> APPAREILS TELEPHONIQUES</v>
          </cell>
          <cell r="D780" t="str">
            <v>ACHAT DE 10 APPAREILS TELEPHONIQUES</v>
          </cell>
          <cell r="G780">
            <v>1</v>
          </cell>
          <cell r="H780" t="str">
            <v>WORKPLAN</v>
          </cell>
          <cell r="J780" t="str">
            <v>A soumettre</v>
          </cell>
          <cell r="S780">
            <v>15860</v>
          </cell>
          <cell r="T780" t="str">
            <v>ZEGGUIR OMAR</v>
          </cell>
          <cell r="U780" t="str">
            <v>Administratif</v>
          </cell>
          <cell r="V780" t="str">
            <v>R6 : Social et Administratif</v>
          </cell>
          <cell r="W780" t="str">
            <v>Dotations nouvelles</v>
          </cell>
          <cell r="X780" t="str">
            <v>Aucune</v>
          </cell>
          <cell r="Y780" t="str">
            <v>Prévu</v>
          </cell>
          <cell r="Z780" t="str">
            <v>Logistique-Khouribga</v>
          </cell>
        </row>
        <row r="781">
          <cell r="A781">
            <v>3974</v>
          </cell>
          <cell r="B781">
            <v>1</v>
          </cell>
          <cell r="C781" t="str">
            <v>CLIMATISEUR</v>
          </cell>
          <cell r="D781" t="str">
            <v>ACQUISITITION DE 16 CLIMATISEURS ET 01 REFRIGERATEUR</v>
          </cell>
          <cell r="E781" t="str">
            <v>Approuvé CP</v>
          </cell>
          <cell r="F781">
            <v>0</v>
          </cell>
          <cell r="G781">
            <v>1</v>
          </cell>
          <cell r="H781" t="str">
            <v>WORKPLAN</v>
          </cell>
          <cell r="J781" t="str">
            <v>A soumettre</v>
          </cell>
          <cell r="S781">
            <v>15897</v>
          </cell>
          <cell r="T781" t="str">
            <v>JARHOU Mohammed</v>
          </cell>
          <cell r="U781" t="str">
            <v>Administratif</v>
          </cell>
          <cell r="V781" t="str">
            <v>R6 : Social et Administratif</v>
          </cell>
          <cell r="W781" t="str">
            <v>Dotations nouvelles</v>
          </cell>
          <cell r="X781" t="str">
            <v>Aucune</v>
          </cell>
          <cell r="Y781" t="str">
            <v>Prévu</v>
          </cell>
          <cell r="Z781" t="str">
            <v>Logistique-Khouribga</v>
          </cell>
        </row>
        <row r="782">
          <cell r="A782">
            <v>3983</v>
          </cell>
          <cell r="B782">
            <v>1</v>
          </cell>
          <cell r="C782" t="str">
            <v>RN MOBILIER BUREAU</v>
          </cell>
          <cell r="D782" t="str">
            <v>RENOUVELLEMENT DE MOBILIER DE BUREAU</v>
          </cell>
          <cell r="E782" t="str">
            <v>Approuvé CP</v>
          </cell>
          <cell r="F782">
            <v>0</v>
          </cell>
          <cell r="G782">
            <v>1</v>
          </cell>
          <cell r="H782" t="str">
            <v>WORKPLAN</v>
          </cell>
          <cell r="J782" t="str">
            <v>A soumettre</v>
          </cell>
          <cell r="S782">
            <v>15920</v>
          </cell>
          <cell r="T782" t="str">
            <v>ZEGGUIR OMAR</v>
          </cell>
          <cell r="U782" t="str">
            <v>Administratif</v>
          </cell>
          <cell r="V782" t="str">
            <v>R6 : Social et Administratif</v>
          </cell>
          <cell r="W782" t="str">
            <v>Renouvellement</v>
          </cell>
          <cell r="X782" t="str">
            <v>Aucune</v>
          </cell>
          <cell r="Y782" t="str">
            <v>Prévu</v>
          </cell>
          <cell r="Z782" t="str">
            <v>Logistique-Khouribga</v>
          </cell>
        </row>
        <row r="783">
          <cell r="A783">
            <v>4039</v>
          </cell>
          <cell r="B783">
            <v>1</v>
          </cell>
          <cell r="C783" t="str">
            <v>EQUIPEMENTS DE BUREAUX PMK/IE</v>
          </cell>
          <cell r="D783" t="str">
            <v>MOBILIER ET MATERIEL DE BUREAUX POUR PMK/IE</v>
          </cell>
          <cell r="E783" t="str">
            <v>Approuvé</v>
          </cell>
          <cell r="F783" t="str">
            <v>K02229</v>
          </cell>
          <cell r="G783">
            <v>1</v>
          </cell>
          <cell r="H783" t="str">
            <v>WORKPLAN</v>
          </cell>
          <cell r="J783" t="str">
            <v>A soumettre</v>
          </cell>
          <cell r="S783">
            <v>16046</v>
          </cell>
          <cell r="T783" t="str">
            <v>KAZZOUZI El Bachir</v>
          </cell>
          <cell r="U783" t="str">
            <v>Administratif</v>
          </cell>
          <cell r="V783" t="str">
            <v>R6 : Social et Administratif</v>
          </cell>
          <cell r="W783" t="str">
            <v>Dotations nouvelles</v>
          </cell>
          <cell r="X783" t="str">
            <v>Aucune</v>
          </cell>
          <cell r="Y783" t="str">
            <v>Prévu</v>
          </cell>
          <cell r="Z783" t="str">
            <v>Administration-Khouribga</v>
          </cell>
        </row>
        <row r="784">
          <cell r="A784">
            <v>4040</v>
          </cell>
          <cell r="B784">
            <v>1</v>
          </cell>
          <cell r="C784" t="str">
            <v>CAMERAS DE SURVEILLANCE</v>
          </cell>
          <cell r="D784" t="str">
            <v>Fourniture et installation de caméras de surveillance</v>
          </cell>
          <cell r="E784" t="str">
            <v>Approuvé Entité</v>
          </cell>
          <cell r="F784" t="str">
            <v>K03700</v>
          </cell>
          <cell r="G784">
            <v>1</v>
          </cell>
          <cell r="H784" t="str">
            <v>WORKPLAN</v>
          </cell>
          <cell r="J784" t="str">
            <v>A soumettre</v>
          </cell>
          <cell r="S784">
            <v>16048</v>
          </cell>
          <cell r="T784" t="str">
            <v>HALMI Abderrahmane</v>
          </cell>
          <cell r="U784" t="str">
            <v>Ordinaire</v>
          </cell>
          <cell r="V784" t="str">
            <v>R7 : Environnement et Sécurité</v>
          </cell>
          <cell r="W784" t="str">
            <v>Dotations nouvelles</v>
          </cell>
          <cell r="X784" t="str">
            <v>Aucune</v>
          </cell>
          <cell r="Y784" t="str">
            <v>Prévu</v>
          </cell>
          <cell r="Z784" t="str">
            <v>Production-Khouribga</v>
          </cell>
        </row>
        <row r="785">
          <cell r="A785">
            <v>4056</v>
          </cell>
          <cell r="B785">
            <v>1</v>
          </cell>
          <cell r="C785" t="str">
            <v>ACHAT MOBILIER BUREAU</v>
          </cell>
          <cell r="D785" t="str">
            <v>ACHAT DE MOBILIER BUREAU</v>
          </cell>
          <cell r="E785" t="str">
            <v>Non approuvé</v>
          </cell>
          <cell r="F785">
            <v>0</v>
          </cell>
          <cell r="G785">
            <v>1</v>
          </cell>
          <cell r="H785" t="str">
            <v>WORKPLAN</v>
          </cell>
          <cell r="J785" t="str">
            <v>A soumettre</v>
          </cell>
          <cell r="S785">
            <v>16076</v>
          </cell>
          <cell r="T785" t="str">
            <v>ZEGGUIR OMAR</v>
          </cell>
          <cell r="U785" t="str">
            <v>Administratif</v>
          </cell>
          <cell r="V785" t="str">
            <v>R6 : Social et Administratif</v>
          </cell>
          <cell r="W785" t="str">
            <v>Dotations nouvelles</v>
          </cell>
          <cell r="X785" t="str">
            <v>Aucune</v>
          </cell>
          <cell r="Y785" t="str">
            <v>Prévu</v>
          </cell>
          <cell r="Z785" t="str">
            <v>Logistique-Khouribga</v>
          </cell>
        </row>
        <row r="786">
          <cell r="A786">
            <v>4061</v>
          </cell>
          <cell r="B786">
            <v>1</v>
          </cell>
          <cell r="C786" t="str">
            <v xml:space="preserve"> MATERIEL DE BUREAUTIQUE</v>
          </cell>
          <cell r="D786" t="str">
            <v>ACQUISITION DE MATERIEL  BUREAUTIQUE</v>
          </cell>
          <cell r="E786" t="str">
            <v>Approuvé CP</v>
          </cell>
          <cell r="F786">
            <v>0</v>
          </cell>
          <cell r="G786">
            <v>1</v>
          </cell>
          <cell r="H786" t="str">
            <v>WORKPLAN</v>
          </cell>
          <cell r="J786" t="str">
            <v>A soumettre</v>
          </cell>
          <cell r="S786">
            <v>16084</v>
          </cell>
          <cell r="T786" t="str">
            <v>JARHOU Mohammed</v>
          </cell>
          <cell r="U786" t="str">
            <v>Administratif</v>
          </cell>
          <cell r="V786" t="str">
            <v>R6 : Social et Administratif</v>
          </cell>
          <cell r="W786" t="str">
            <v>Dotations nouvelles</v>
          </cell>
          <cell r="X786" t="str">
            <v>Aucune</v>
          </cell>
          <cell r="Y786" t="str">
            <v>Prévu</v>
          </cell>
          <cell r="Z786" t="str">
            <v>Logistique-Khouribga</v>
          </cell>
        </row>
        <row r="787">
          <cell r="A787">
            <v>4064</v>
          </cell>
          <cell r="B787">
            <v>1</v>
          </cell>
          <cell r="C787" t="str">
            <v>Achat de terrains</v>
          </cell>
          <cell r="D787" t="str">
            <v>Achat de 3000 Ha de terrains collectifs au gisement d'ELHALASSA (Sidi Chennane Ouest)</v>
          </cell>
          <cell r="E787" t="str">
            <v>Approbation a échoué</v>
          </cell>
          <cell r="F787" t="str">
            <v>K03300</v>
          </cell>
          <cell r="G787">
            <v>1</v>
          </cell>
          <cell r="H787" t="str">
            <v>WORKPLAN</v>
          </cell>
          <cell r="J787" t="str">
            <v>A soumettre</v>
          </cell>
          <cell r="S787">
            <v>16109</v>
          </cell>
          <cell r="T787" t="str">
            <v>ECHAARANI Hicham</v>
          </cell>
          <cell r="U787" t="str">
            <v>Ordinaire</v>
          </cell>
          <cell r="V787" t="str">
            <v>R11 : Terrains</v>
          </cell>
          <cell r="W787" t="str">
            <v>Dotations nouvelles</v>
          </cell>
          <cell r="X787" t="str">
            <v>Aucune</v>
          </cell>
          <cell r="Y787" t="str">
            <v>Prévu</v>
          </cell>
          <cell r="Z787" t="str">
            <v>Production-Khouribga</v>
          </cell>
        </row>
        <row r="788">
          <cell r="A788">
            <v>4070</v>
          </cell>
          <cell r="B788">
            <v>1</v>
          </cell>
          <cell r="C788" t="str">
            <v>Compresseur</v>
          </cell>
          <cell r="D788" t="str">
            <v>Renouvellement d'un compresseur d'air à la station de chargement au COZ</v>
          </cell>
          <cell r="E788" t="str">
            <v>Approuvé Entité</v>
          </cell>
          <cell r="F788" t="str">
            <v>K04310</v>
          </cell>
          <cell r="G788">
            <v>1</v>
          </cell>
          <cell r="H788" t="str">
            <v>WORKPLAN</v>
          </cell>
          <cell r="J788" t="str">
            <v>A soumettre</v>
          </cell>
          <cell r="S788">
            <v>16124</v>
          </cell>
          <cell r="T788" t="str">
            <v>CHNANI ABDELHADI</v>
          </cell>
          <cell r="U788" t="str">
            <v>Ordinaire</v>
          </cell>
          <cell r="V788" t="str">
            <v>R2 : Maintien outil production</v>
          </cell>
          <cell r="W788" t="str">
            <v>Renouvellement</v>
          </cell>
          <cell r="X788" t="str">
            <v>Aucune</v>
          </cell>
          <cell r="Y788" t="str">
            <v>Prévu</v>
          </cell>
          <cell r="Z788" t="str">
            <v>Traitement-Khouribga</v>
          </cell>
        </row>
        <row r="789">
          <cell r="A789">
            <v>4071</v>
          </cell>
          <cell r="B789">
            <v>1</v>
          </cell>
          <cell r="C789" t="str">
            <v>Enrouleurs de câble</v>
          </cell>
          <cell r="D789" t="str">
            <v>Renouvellement de 02 enrouleurs de câble de la stockeuse orientable au COZ</v>
          </cell>
          <cell r="E789" t="str">
            <v>Approuvé Entité</v>
          </cell>
          <cell r="F789" t="str">
            <v>K04306</v>
          </cell>
          <cell r="G789">
            <v>1</v>
          </cell>
          <cell r="H789" t="str">
            <v>WORKPLAN</v>
          </cell>
          <cell r="J789" t="str">
            <v>A soumettre</v>
          </cell>
          <cell r="S789">
            <v>16125</v>
          </cell>
          <cell r="T789" t="str">
            <v>CHNANI ABDELHADI</v>
          </cell>
          <cell r="U789" t="str">
            <v>Ordinaire</v>
          </cell>
          <cell r="V789" t="str">
            <v>R2 : Maintien outil production</v>
          </cell>
          <cell r="W789" t="str">
            <v>Renouvellement</v>
          </cell>
          <cell r="X789" t="str">
            <v>Aucune</v>
          </cell>
          <cell r="Y789" t="str">
            <v>Prévu</v>
          </cell>
          <cell r="Z789" t="str">
            <v>Traitement-Khouribga</v>
          </cell>
        </row>
        <row r="790">
          <cell r="A790">
            <v>4072</v>
          </cell>
          <cell r="B790">
            <v>1</v>
          </cell>
          <cell r="C790" t="str">
            <v>Mobilier de bureau</v>
          </cell>
          <cell r="D790" t="str">
            <v>Renouvellement du mobilier de bureaux pour les ateliers de maintenance de PMK/TD</v>
          </cell>
          <cell r="E790" t="str">
            <v>Approbation a échoué</v>
          </cell>
          <cell r="F790" t="str">
            <v>K04701</v>
          </cell>
          <cell r="G790">
            <v>1</v>
          </cell>
          <cell r="H790" t="str">
            <v>WORKPLAN</v>
          </cell>
          <cell r="J790" t="str">
            <v>A soumettre</v>
          </cell>
          <cell r="S790">
            <v>16127</v>
          </cell>
          <cell r="T790" t="str">
            <v>CHNANI ABDELHADI</v>
          </cell>
          <cell r="U790" t="str">
            <v>Administratif</v>
          </cell>
          <cell r="V790" t="str">
            <v>R6 : Social et Administratif</v>
          </cell>
          <cell r="W790" t="str">
            <v>Renouvellement</v>
          </cell>
          <cell r="X790" t="str">
            <v>Aucune</v>
          </cell>
          <cell r="Y790" t="str">
            <v>Prévu</v>
          </cell>
          <cell r="Z790" t="str">
            <v>Traitement-Khouribga</v>
          </cell>
        </row>
        <row r="791">
          <cell r="A791">
            <v>4073</v>
          </cell>
          <cell r="B791">
            <v>1</v>
          </cell>
          <cell r="C791" t="str">
            <v>Outillage PMK/TD</v>
          </cell>
          <cell r="D791" t="str">
            <v>Renouvellement d'outillage et des équipements des ateliers de maintenance de PMK/TD</v>
          </cell>
          <cell r="E791" t="str">
            <v>Approuvé Entité</v>
          </cell>
          <cell r="F791" t="str">
            <v>K04802</v>
          </cell>
          <cell r="G791">
            <v>1</v>
          </cell>
          <cell r="H791" t="str">
            <v>WORKPLAN</v>
          </cell>
          <cell r="J791" t="str">
            <v>A soumettre</v>
          </cell>
          <cell r="S791">
            <v>16129</v>
          </cell>
          <cell r="T791" t="str">
            <v>CHNANI ABDELHADI</v>
          </cell>
          <cell r="U791" t="str">
            <v>Ordinaire</v>
          </cell>
          <cell r="V791" t="str">
            <v>R2 : Maintien outil production</v>
          </cell>
          <cell r="W791" t="str">
            <v>Renouvellement</v>
          </cell>
          <cell r="X791" t="str">
            <v>Aucune</v>
          </cell>
          <cell r="Y791" t="str">
            <v>Prévu</v>
          </cell>
          <cell r="Z791" t="str">
            <v>Traitement-Khouribga</v>
          </cell>
        </row>
        <row r="792">
          <cell r="A792">
            <v>4074</v>
          </cell>
          <cell r="B792">
            <v>1</v>
          </cell>
          <cell r="C792" t="str">
            <v>BUDGET IV PMK / AK / S 2007</v>
          </cell>
          <cell r="D792" t="str">
            <v>Equipement pour Etablissements Sociaux</v>
          </cell>
          <cell r="E792" t="str">
            <v>Approuvé</v>
          </cell>
          <cell r="F792" t="str">
            <v>K01049</v>
          </cell>
          <cell r="G792">
            <v>1</v>
          </cell>
          <cell r="H792" t="str">
            <v>WORKPLAN</v>
          </cell>
          <cell r="J792" t="str">
            <v>A soumettre</v>
          </cell>
          <cell r="S792">
            <v>16130</v>
          </cell>
          <cell r="T792" t="str">
            <v>DERDAKI MOHAMED</v>
          </cell>
          <cell r="U792" t="str">
            <v>Social</v>
          </cell>
          <cell r="V792" t="str">
            <v>R6 : Social et Administratif</v>
          </cell>
          <cell r="W792" t="str">
            <v>Dotations nouvelles</v>
          </cell>
          <cell r="X792" t="str">
            <v>Aucune</v>
          </cell>
          <cell r="Y792" t="str">
            <v>Prévu</v>
          </cell>
          <cell r="Z792" t="str">
            <v>Administration-Khouribga</v>
          </cell>
        </row>
        <row r="793">
          <cell r="A793">
            <v>4075</v>
          </cell>
          <cell r="B793">
            <v>1</v>
          </cell>
          <cell r="C793" t="str">
            <v>Tireuse de plan</v>
          </cell>
          <cell r="D793" t="str">
            <v>Achat d'une tireuse de plans pour PMK/TD</v>
          </cell>
          <cell r="E793" t="str">
            <v>Approuvé Entité</v>
          </cell>
          <cell r="F793" t="str">
            <v>K04802</v>
          </cell>
          <cell r="G793">
            <v>1</v>
          </cell>
          <cell r="H793" t="str">
            <v>WORKPLAN</v>
          </cell>
          <cell r="J793" t="str">
            <v>A soumettre</v>
          </cell>
          <cell r="S793">
            <v>16132</v>
          </cell>
          <cell r="T793" t="str">
            <v>CHNANI ABDELHADI</v>
          </cell>
          <cell r="U793" t="str">
            <v>Ordinaire</v>
          </cell>
          <cell r="V793" t="str">
            <v>R2 : Maintien outil production</v>
          </cell>
          <cell r="W793" t="str">
            <v>Dotations nouvelles</v>
          </cell>
          <cell r="X793" t="str">
            <v>Aucune</v>
          </cell>
          <cell r="Y793" t="str">
            <v>Prévu</v>
          </cell>
          <cell r="Z793" t="str">
            <v>Traitement-Khouribga</v>
          </cell>
        </row>
        <row r="794">
          <cell r="A794">
            <v>4076</v>
          </cell>
          <cell r="B794">
            <v>1</v>
          </cell>
          <cell r="C794" t="str">
            <v>Outillage</v>
          </cell>
          <cell r="D794" t="str">
            <v>Renouvellement d'outillage et d'équipements des ateliers de la maintenance mécanique de PMK/TD</v>
          </cell>
          <cell r="E794" t="str">
            <v>Approbation a échoué</v>
          </cell>
          <cell r="F794" t="str">
            <v>K04802</v>
          </cell>
          <cell r="G794">
            <v>1</v>
          </cell>
          <cell r="H794" t="str">
            <v>WORKPLAN</v>
          </cell>
          <cell r="J794" t="str">
            <v>A soumettre</v>
          </cell>
          <cell r="S794">
            <v>16133</v>
          </cell>
          <cell r="T794" t="str">
            <v>CHNANI ABDELHADI</v>
          </cell>
          <cell r="U794" t="str">
            <v>Ordinaire</v>
          </cell>
          <cell r="V794" t="str">
            <v>R2 : Maintien outil production</v>
          </cell>
          <cell r="W794" t="str">
            <v>Renouvellement</v>
          </cell>
          <cell r="X794" t="str">
            <v>Aucune</v>
          </cell>
          <cell r="Y794" t="str">
            <v>Prévu</v>
          </cell>
          <cell r="Z794" t="str">
            <v>Traitement-Khouribga</v>
          </cell>
        </row>
        <row r="795">
          <cell r="A795">
            <v>4077</v>
          </cell>
          <cell r="B795">
            <v>1</v>
          </cell>
          <cell r="C795" t="str">
            <v>Outillage et équipement</v>
          </cell>
          <cell r="D795" t="str">
            <v>Achat d'outillage et d'équipements des ateliers de la maintenance mécanique de PMK/TD</v>
          </cell>
          <cell r="E795" t="str">
            <v>Approuvé Entité</v>
          </cell>
          <cell r="F795" t="str">
            <v>K04802</v>
          </cell>
          <cell r="G795">
            <v>1</v>
          </cell>
          <cell r="H795" t="str">
            <v>WORKPLAN</v>
          </cell>
          <cell r="J795" t="str">
            <v>A soumettre</v>
          </cell>
          <cell r="S795">
            <v>16135</v>
          </cell>
          <cell r="T795" t="str">
            <v>CHNANI ABDELHADI</v>
          </cell>
          <cell r="U795" t="str">
            <v>Ordinaire</v>
          </cell>
          <cell r="V795" t="str">
            <v>R2 : Maintien outil production</v>
          </cell>
          <cell r="W795" t="str">
            <v>Dotations nouvelles</v>
          </cell>
          <cell r="X795" t="str">
            <v>Aucune</v>
          </cell>
          <cell r="Y795" t="str">
            <v>Prévu</v>
          </cell>
          <cell r="Z795" t="str">
            <v>Traitement-Khouribga</v>
          </cell>
        </row>
        <row r="796">
          <cell r="A796">
            <v>4078</v>
          </cell>
          <cell r="B796">
            <v>1</v>
          </cell>
          <cell r="C796" t="str">
            <v>MANUTENTION ET LEVAGE</v>
          </cell>
          <cell r="D796" t="str">
            <v>ECHELLES ET ESCABOTS</v>
          </cell>
          <cell r="E796" t="str">
            <v>Non approuvé</v>
          </cell>
          <cell r="F796" t="str">
            <v>K07121</v>
          </cell>
          <cell r="G796">
            <v>1</v>
          </cell>
          <cell r="H796" t="str">
            <v>WORKPLAN</v>
          </cell>
          <cell r="J796" t="str">
            <v>A soumettre</v>
          </cell>
          <cell r="S796">
            <v>16147</v>
          </cell>
          <cell r="T796" t="str">
            <v>RAOUIA ELMOSTAFA</v>
          </cell>
          <cell r="U796" t="str">
            <v>Ordinaire</v>
          </cell>
          <cell r="V796" t="str">
            <v>R2 : Maintien outil production</v>
          </cell>
          <cell r="W796" t="str">
            <v>Dotations nouvelles</v>
          </cell>
          <cell r="X796" t="str">
            <v>Aucune</v>
          </cell>
          <cell r="Y796" t="str">
            <v>Prévu</v>
          </cell>
          <cell r="Z796" t="str">
            <v>Embarquement-Casablanca</v>
          </cell>
        </row>
        <row r="797">
          <cell r="A797">
            <v>4079</v>
          </cell>
          <cell r="B797">
            <v>1</v>
          </cell>
          <cell r="C797" t="str">
            <v>MANUTENTION &amp; LEVAGE</v>
          </cell>
          <cell r="D797" t="str">
            <v>ECHELLES ET ESCABOTS</v>
          </cell>
          <cell r="E797" t="str">
            <v>Approuvé</v>
          </cell>
          <cell r="F797" t="str">
            <v>K07121</v>
          </cell>
          <cell r="G797">
            <v>1</v>
          </cell>
          <cell r="H797" t="str">
            <v>WORKPLAN</v>
          </cell>
          <cell r="J797" t="str">
            <v>A soumettre</v>
          </cell>
          <cell r="S797">
            <v>16149</v>
          </cell>
          <cell r="T797" t="str">
            <v>RAOUIA ELMOSTAFA</v>
          </cell>
          <cell r="U797" t="str">
            <v>Ordinaire</v>
          </cell>
          <cell r="V797" t="str">
            <v>R2 : Maintien outil production</v>
          </cell>
          <cell r="W797" t="str">
            <v>Dotations nouvelles</v>
          </cell>
          <cell r="X797" t="str">
            <v>Aucune</v>
          </cell>
          <cell r="Y797" t="str">
            <v>Prévu</v>
          </cell>
          <cell r="Z797" t="str">
            <v>Embarquement-Casablanca</v>
          </cell>
        </row>
        <row r="798">
          <cell r="A798">
            <v>4080</v>
          </cell>
          <cell r="B798">
            <v>1</v>
          </cell>
          <cell r="C798" t="str">
            <v>Joy PMK/TD</v>
          </cell>
          <cell r="D798" t="str">
            <v>Fourniture et installation d'une Joy pour les mises à terril de PMK/TD</v>
          </cell>
          <cell r="E798" t="str">
            <v>Approuvé Entité</v>
          </cell>
          <cell r="F798" t="str">
            <v>K04308</v>
          </cell>
          <cell r="G798">
            <v>1</v>
          </cell>
          <cell r="H798" t="str">
            <v>WORKPLAN</v>
          </cell>
          <cell r="J798" t="str">
            <v>A soumettre</v>
          </cell>
          <cell r="S798">
            <v>16150</v>
          </cell>
          <cell r="T798" t="str">
            <v>CHNANI ABDELHADI</v>
          </cell>
          <cell r="U798" t="str">
            <v>Ordinaire</v>
          </cell>
          <cell r="V798" t="str">
            <v>R2 : Maintien outil production</v>
          </cell>
          <cell r="W798" t="str">
            <v>Dotations nouvelles</v>
          </cell>
          <cell r="X798" t="str">
            <v>Aucune</v>
          </cell>
          <cell r="Y798" t="str">
            <v>Prévu</v>
          </cell>
          <cell r="Z798" t="str">
            <v>Traitement-Khouribga</v>
          </cell>
        </row>
        <row r="799">
          <cell r="A799">
            <v>4081</v>
          </cell>
          <cell r="B799">
            <v>1</v>
          </cell>
          <cell r="C799" t="str">
            <v>Pompe station de reprise</v>
          </cell>
          <cell r="D799" t="str">
            <v>Renouvellement de 02 pompes de la station de reprise des eaux claires</v>
          </cell>
          <cell r="E799" t="str">
            <v>Approuvé Entité</v>
          </cell>
          <cell r="F799" t="str">
            <v>K04811</v>
          </cell>
          <cell r="G799">
            <v>1</v>
          </cell>
          <cell r="H799" t="str">
            <v>WORKPLAN</v>
          </cell>
          <cell r="J799" t="str">
            <v>A soumettre</v>
          </cell>
          <cell r="S799">
            <v>16152</v>
          </cell>
          <cell r="T799" t="str">
            <v>CHNANI ABDELHADI</v>
          </cell>
          <cell r="U799" t="str">
            <v>Ordinaire</v>
          </cell>
          <cell r="V799" t="str">
            <v>R2 : Maintien outil production</v>
          </cell>
          <cell r="W799" t="str">
            <v>Renouvellement</v>
          </cell>
          <cell r="X799" t="str">
            <v>Aucune</v>
          </cell>
          <cell r="Y799" t="str">
            <v>Prévu</v>
          </cell>
          <cell r="Z799" t="str">
            <v>Traitement-Khouribga</v>
          </cell>
        </row>
        <row r="800">
          <cell r="A800">
            <v>4082</v>
          </cell>
          <cell r="B800">
            <v>1</v>
          </cell>
          <cell r="C800" t="str">
            <v>Poste de soudage PMK/TD</v>
          </cell>
          <cell r="D800" t="str">
            <v>Renouvellement de 14 postes de soudage des services de maintenance de PMK/TD</v>
          </cell>
          <cell r="E800" t="str">
            <v>Approbation a échoué</v>
          </cell>
          <cell r="F800" t="str">
            <v>K04802</v>
          </cell>
          <cell r="G800">
            <v>1</v>
          </cell>
          <cell r="H800" t="str">
            <v>WORKPLAN</v>
          </cell>
          <cell r="J800" t="str">
            <v>A soumettre</v>
          </cell>
          <cell r="S800">
            <v>16154</v>
          </cell>
          <cell r="T800" t="str">
            <v>CHNANI ABDELHADI</v>
          </cell>
          <cell r="U800" t="str">
            <v>Ordinaire</v>
          </cell>
          <cell r="V800" t="str">
            <v>R2 : Maintien outil production</v>
          </cell>
          <cell r="W800" t="str">
            <v>Renouvellement</v>
          </cell>
          <cell r="X800" t="str">
            <v>Aucune</v>
          </cell>
          <cell r="Y800" t="str">
            <v>Prévu</v>
          </cell>
          <cell r="Z800" t="str">
            <v>Traitement-Khouribga</v>
          </cell>
        </row>
        <row r="801">
          <cell r="A801">
            <v>4083</v>
          </cell>
          <cell r="B801">
            <v>1</v>
          </cell>
          <cell r="C801" t="str">
            <v>Réducteurs PMK/TD</v>
          </cell>
          <cell r="D801" t="str">
            <v>Renouvellement de 30 réducteurs de vitesse pour COZ, Laverie DAOUI et carreau TS</v>
          </cell>
          <cell r="E801" t="str">
            <v>Approbation a échoué</v>
          </cell>
          <cell r="F801" t="str">
            <v>K04315</v>
          </cell>
          <cell r="G801">
            <v>1</v>
          </cell>
          <cell r="H801" t="str">
            <v>WORKPLAN</v>
          </cell>
          <cell r="J801" t="str">
            <v>A soumettre</v>
          </cell>
          <cell r="S801">
            <v>16155</v>
          </cell>
          <cell r="T801" t="str">
            <v>CHNANI ABDELHADI</v>
          </cell>
          <cell r="U801" t="str">
            <v>Ordinaire</v>
          </cell>
          <cell r="V801" t="str">
            <v>R2 : Maintien outil production</v>
          </cell>
          <cell r="W801" t="str">
            <v>Renouvellement</v>
          </cell>
          <cell r="X801" t="str">
            <v>Aucune</v>
          </cell>
          <cell r="Y801" t="str">
            <v>Prévu</v>
          </cell>
          <cell r="Z801" t="str">
            <v>Traitement-Khouribga</v>
          </cell>
        </row>
        <row r="802">
          <cell r="A802">
            <v>4085</v>
          </cell>
          <cell r="B802">
            <v>1</v>
          </cell>
          <cell r="C802" t="str">
            <v>Bascules intégratrices</v>
          </cell>
          <cell r="D802" t="str">
            <v>Renouvellement de 08 bascules intégratrices pour l'unité DAOUI et COZ</v>
          </cell>
          <cell r="E802" t="str">
            <v>Approuvé Entité</v>
          </cell>
          <cell r="F802" t="str">
            <v>K04238</v>
          </cell>
          <cell r="G802">
            <v>1</v>
          </cell>
          <cell r="H802" t="str">
            <v>WORKPLAN</v>
          </cell>
          <cell r="J802" t="str">
            <v>A soumettre</v>
          </cell>
          <cell r="S802">
            <v>16172</v>
          </cell>
          <cell r="T802" t="str">
            <v>BERRADA ACHRAF</v>
          </cell>
          <cell r="U802" t="str">
            <v>Ordinaire</v>
          </cell>
          <cell r="V802" t="str">
            <v>R2 : Maintien outil production</v>
          </cell>
          <cell r="W802" t="str">
            <v>Renouvellement</v>
          </cell>
          <cell r="X802" t="str">
            <v>Aucune</v>
          </cell>
          <cell r="Y802" t="str">
            <v>Prévu</v>
          </cell>
          <cell r="Z802" t="str">
            <v>Traitement-Khouribga</v>
          </cell>
        </row>
        <row r="803">
          <cell r="A803">
            <v>4086</v>
          </cell>
          <cell r="B803">
            <v>1</v>
          </cell>
          <cell r="C803" t="str">
            <v>Chaudière PMK/TB</v>
          </cell>
          <cell r="D803" t="str">
            <v>Fourniture et installation d'une chaudière 5 T/H et ses accessoires</v>
          </cell>
          <cell r="E803" t="str">
            <v>Approbation a échoué</v>
          </cell>
          <cell r="F803" t="str">
            <v>K04114</v>
          </cell>
          <cell r="G803">
            <v>1</v>
          </cell>
          <cell r="H803" t="str">
            <v>WORKPLAN</v>
          </cell>
          <cell r="J803" t="str">
            <v>A soumettre</v>
          </cell>
          <cell r="S803">
            <v>16174</v>
          </cell>
          <cell r="T803" t="str">
            <v>BOUZIAN JALAL</v>
          </cell>
          <cell r="U803" t="str">
            <v>Ordinaire</v>
          </cell>
          <cell r="V803" t="str">
            <v>R2 : Maintien outil production</v>
          </cell>
          <cell r="W803" t="str">
            <v>Dotations nouvelles</v>
          </cell>
          <cell r="X803" t="str">
            <v>Aucune</v>
          </cell>
          <cell r="Y803" t="str">
            <v>Prévu</v>
          </cell>
          <cell r="Z803" t="str">
            <v>Traitement-Khouribga</v>
          </cell>
        </row>
        <row r="804">
          <cell r="A804">
            <v>4087</v>
          </cell>
          <cell r="B804">
            <v>1</v>
          </cell>
          <cell r="C804" t="str">
            <v>Convertisseurs fréquence</v>
          </cell>
          <cell r="D804" t="str">
            <v>Achat de 14 convertisseurs de fréquence pour l'unité DAOUI et COZ</v>
          </cell>
          <cell r="E804" t="str">
            <v>Approuvé Entité</v>
          </cell>
          <cell r="F804" t="str">
            <v>K04307</v>
          </cell>
          <cell r="G804">
            <v>1</v>
          </cell>
          <cell r="H804" t="str">
            <v>WORKPLAN</v>
          </cell>
          <cell r="J804" t="str">
            <v>A soumettre</v>
          </cell>
          <cell r="S804">
            <v>16176</v>
          </cell>
          <cell r="T804" t="str">
            <v>BERRADA ACHRAF</v>
          </cell>
          <cell r="U804" t="str">
            <v>Ordinaire</v>
          </cell>
          <cell r="V804" t="str">
            <v>R2 : Maintien outil production</v>
          </cell>
          <cell r="W804" t="str">
            <v>Dotations nouvelles</v>
          </cell>
          <cell r="X804" t="str">
            <v>Aucune</v>
          </cell>
          <cell r="Y804" t="str">
            <v>Prévu</v>
          </cell>
          <cell r="Z804" t="str">
            <v>Traitement-Khouribga</v>
          </cell>
        </row>
        <row r="805">
          <cell r="A805">
            <v>4088</v>
          </cell>
          <cell r="B805">
            <v>1</v>
          </cell>
          <cell r="C805" t="str">
            <v>Chargeurs batteries PMK/TD/CE</v>
          </cell>
          <cell r="D805" t="str">
            <v>Renouvellement de 07 chargeurs de batteries pour l'unité COZ et ses annexes</v>
          </cell>
          <cell r="E805" t="str">
            <v>Approuvé Entité</v>
          </cell>
          <cell r="F805" t="str">
            <v>K04302</v>
          </cell>
          <cell r="G805">
            <v>1</v>
          </cell>
          <cell r="H805" t="str">
            <v>WORKPLAN</v>
          </cell>
          <cell r="J805" t="str">
            <v>A soumettre</v>
          </cell>
          <cell r="S805">
            <v>16178</v>
          </cell>
          <cell r="T805" t="str">
            <v>BERRADA ACHRAF</v>
          </cell>
          <cell r="U805" t="str">
            <v>Ordinaire</v>
          </cell>
          <cell r="V805" t="str">
            <v>R2 : Maintien outil production</v>
          </cell>
          <cell r="W805" t="str">
            <v>Renouvellement</v>
          </cell>
          <cell r="X805" t="str">
            <v>Aucune</v>
          </cell>
          <cell r="Y805" t="str">
            <v>Prévu</v>
          </cell>
          <cell r="Z805" t="str">
            <v>Traitement-Khouribga</v>
          </cell>
        </row>
        <row r="806">
          <cell r="A806">
            <v>4089</v>
          </cell>
          <cell r="B806">
            <v>1</v>
          </cell>
          <cell r="C806" t="str">
            <v>Outillage PMK/TD/CE</v>
          </cell>
          <cell r="D806" t="str">
            <v>Achat d'outillage et d'équipements des ateliers de la maintenance électrique de PMK/TD</v>
          </cell>
          <cell r="E806" t="str">
            <v>Approbation a échoué</v>
          </cell>
          <cell r="F806" t="str">
            <v>K04701</v>
          </cell>
          <cell r="G806">
            <v>1</v>
          </cell>
          <cell r="H806" t="str">
            <v>WORKPLAN</v>
          </cell>
          <cell r="J806" t="str">
            <v>A soumettre</v>
          </cell>
          <cell r="S806">
            <v>16180</v>
          </cell>
          <cell r="T806" t="str">
            <v>BERRADA ACHRAF</v>
          </cell>
          <cell r="U806" t="str">
            <v>Ordinaire</v>
          </cell>
          <cell r="V806" t="str">
            <v>R2 : Maintien outil production</v>
          </cell>
          <cell r="W806" t="str">
            <v>Dotations nouvelles</v>
          </cell>
          <cell r="X806" t="str">
            <v>Aucune</v>
          </cell>
          <cell r="Y806" t="str">
            <v>Prévu</v>
          </cell>
          <cell r="Z806" t="str">
            <v>Traitement-Khouribga</v>
          </cell>
        </row>
        <row r="807">
          <cell r="A807">
            <v>4090</v>
          </cell>
          <cell r="B807">
            <v>1</v>
          </cell>
          <cell r="C807" t="str">
            <v>Moteurs électriques PMK/TD/CE</v>
          </cell>
          <cell r="D807" t="str">
            <v>Renouvellement de 45 moteurs électriques pour PMK/TD et la roue palle KRUPP</v>
          </cell>
          <cell r="E807" t="str">
            <v>Approbation a échoué</v>
          </cell>
          <cell r="F807" t="str">
            <v>K04306</v>
          </cell>
          <cell r="G807">
            <v>1</v>
          </cell>
          <cell r="H807" t="str">
            <v>WORKPLAN</v>
          </cell>
          <cell r="J807" t="str">
            <v>A soumettre</v>
          </cell>
          <cell r="S807">
            <v>16182</v>
          </cell>
          <cell r="T807" t="str">
            <v>BERRADA ACHRAF</v>
          </cell>
          <cell r="U807" t="str">
            <v>Ordinaire</v>
          </cell>
          <cell r="V807" t="str">
            <v>R2 : Maintien outil production</v>
          </cell>
          <cell r="W807" t="str">
            <v>Renouvellement</v>
          </cell>
          <cell r="X807" t="str">
            <v>Aucune</v>
          </cell>
          <cell r="Y807" t="str">
            <v>Prévu</v>
          </cell>
          <cell r="Z807" t="str">
            <v>Traitement-Khouribga</v>
          </cell>
        </row>
        <row r="808">
          <cell r="A808">
            <v>4091</v>
          </cell>
          <cell r="B808">
            <v>1</v>
          </cell>
          <cell r="C808" t="str">
            <v>Cellule MT PMK/TD/CE</v>
          </cell>
          <cell r="D808" t="str">
            <v>Rénovation des cellules MT au poste (P5) au COZ</v>
          </cell>
          <cell r="E808" t="str">
            <v>Approbation a échoué</v>
          </cell>
          <cell r="F808" t="str">
            <v>K04810</v>
          </cell>
          <cell r="G808">
            <v>1</v>
          </cell>
          <cell r="H808" t="str">
            <v>WORKPLAN</v>
          </cell>
          <cell r="J808" t="str">
            <v>A soumettre</v>
          </cell>
          <cell r="S808">
            <v>16184</v>
          </cell>
          <cell r="T808" t="str">
            <v>BERRADA ACHRAF</v>
          </cell>
          <cell r="U808" t="str">
            <v>Ordinaire</v>
          </cell>
          <cell r="V808" t="str">
            <v>R2 : Maintien outil production</v>
          </cell>
          <cell r="W808" t="str">
            <v>Dotations nouvelles</v>
          </cell>
          <cell r="X808" t="str">
            <v>Aucune</v>
          </cell>
          <cell r="Y808" t="str">
            <v>Prévu</v>
          </cell>
          <cell r="Z808" t="str">
            <v>Traitement-Khouribga</v>
          </cell>
        </row>
        <row r="809">
          <cell r="A809">
            <v>4092</v>
          </cell>
          <cell r="B809">
            <v>1</v>
          </cell>
          <cell r="C809" t="str">
            <v>Ecluses</v>
          </cell>
          <cell r="D809" t="str">
            <v>Installation et mise en service des écluses rotatives au niveau des buses de sorties des fours sécheurs</v>
          </cell>
          <cell r="E809" t="str">
            <v>Approuvé</v>
          </cell>
          <cell r="F809" t="str">
            <v>K04116</v>
          </cell>
          <cell r="G809">
            <v>1</v>
          </cell>
          <cell r="H809" t="str">
            <v>WORKPLAN</v>
          </cell>
          <cell r="J809" t="str">
            <v>A soumettre</v>
          </cell>
          <cell r="S809">
            <v>16186</v>
          </cell>
          <cell r="T809" t="str">
            <v>BOUZIAN JALAL</v>
          </cell>
          <cell r="U809" t="str">
            <v>Ordinaire</v>
          </cell>
          <cell r="V809" t="str">
            <v>R2 : Maintien outil production</v>
          </cell>
          <cell r="W809" t="str">
            <v>Dotations nouvelles</v>
          </cell>
          <cell r="X809" t="str">
            <v>Aucune</v>
          </cell>
          <cell r="Y809" t="str">
            <v>Prévu</v>
          </cell>
          <cell r="Z809" t="str">
            <v>Traitement-Khouribga</v>
          </cell>
        </row>
        <row r="810">
          <cell r="A810">
            <v>4094</v>
          </cell>
          <cell r="B810">
            <v>1</v>
          </cell>
          <cell r="C810" t="str">
            <v>BUDGET IV PMK / AK / S 2007 RN</v>
          </cell>
          <cell r="D810" t="str">
            <v>Equipement pour Etablissements Sociaux</v>
          </cell>
          <cell r="E810" t="str">
            <v>Approuvé</v>
          </cell>
          <cell r="F810" t="str">
            <v>K01039</v>
          </cell>
          <cell r="G810">
            <v>1</v>
          </cell>
          <cell r="H810" t="str">
            <v>WORKPLAN</v>
          </cell>
          <cell r="J810" t="str">
            <v>A soumettre</v>
          </cell>
          <cell r="S810">
            <v>16189</v>
          </cell>
          <cell r="T810" t="str">
            <v>DERDAKI MOHAMED</v>
          </cell>
          <cell r="U810" t="str">
            <v>Social</v>
          </cell>
          <cell r="V810" t="str">
            <v>R6 : Social et Administratif</v>
          </cell>
          <cell r="W810" t="str">
            <v>Renouvellement</v>
          </cell>
          <cell r="X810" t="str">
            <v>Aucune</v>
          </cell>
          <cell r="Y810" t="str">
            <v>Prévu</v>
          </cell>
          <cell r="Z810" t="str">
            <v>Administration-Khouribga</v>
          </cell>
        </row>
        <row r="811">
          <cell r="A811">
            <v>4095</v>
          </cell>
          <cell r="B811">
            <v>1</v>
          </cell>
          <cell r="C811" t="str">
            <v>Clôture PMK/TD/D</v>
          </cell>
          <cell r="D811" t="str">
            <v>Clôture du secteur Parc El Wafi et des têtes motrices de la liaison Sidi Chennane</v>
          </cell>
          <cell r="E811" t="str">
            <v>Approbation a échoué</v>
          </cell>
          <cell r="F811" t="str">
            <v>K04230</v>
          </cell>
          <cell r="G811">
            <v>1</v>
          </cell>
          <cell r="H811" t="str">
            <v>WORKPLAN</v>
          </cell>
          <cell r="J811" t="str">
            <v>A soumettre</v>
          </cell>
          <cell r="S811">
            <v>16192</v>
          </cell>
          <cell r="T811" t="str">
            <v>BENAMEUR Fayçal</v>
          </cell>
          <cell r="U811" t="str">
            <v>Ordinaire</v>
          </cell>
          <cell r="V811" t="str">
            <v>R7 : Environnement et Sécurité</v>
          </cell>
          <cell r="W811" t="str">
            <v>Dotations nouvelles</v>
          </cell>
          <cell r="X811" t="str">
            <v>Aucune</v>
          </cell>
          <cell r="Y811" t="str">
            <v>Prévu</v>
          </cell>
          <cell r="Z811" t="str">
            <v>Traitement-Khouribga</v>
          </cell>
        </row>
        <row r="812">
          <cell r="A812">
            <v>4098</v>
          </cell>
          <cell r="B812">
            <v>1</v>
          </cell>
          <cell r="C812" t="str">
            <v>Réaménagement Administratif</v>
          </cell>
          <cell r="D812" t="str">
            <v>Réaménagement du bloc administratif de la laverie Daoui</v>
          </cell>
          <cell r="E812" t="str">
            <v>Approuvé Entité</v>
          </cell>
          <cell r="F812" t="str">
            <v>K04241</v>
          </cell>
          <cell r="G812">
            <v>1</v>
          </cell>
          <cell r="H812" t="str">
            <v>WORKPLAN</v>
          </cell>
          <cell r="J812" t="str">
            <v>A soumettre</v>
          </cell>
          <cell r="S812">
            <v>16198</v>
          </cell>
          <cell r="T812" t="str">
            <v>BENAMEUR Fayçal</v>
          </cell>
          <cell r="U812" t="str">
            <v>Administratif</v>
          </cell>
          <cell r="V812" t="str">
            <v>R6 : Social et Administratif</v>
          </cell>
          <cell r="W812" t="str">
            <v>Dotations nouvelles</v>
          </cell>
          <cell r="X812" t="str">
            <v>Aucune</v>
          </cell>
          <cell r="Y812" t="str">
            <v>Prévu</v>
          </cell>
          <cell r="Z812" t="str">
            <v>Traitement-Khouribga</v>
          </cell>
        </row>
        <row r="813">
          <cell r="A813">
            <v>4099</v>
          </cell>
          <cell r="B813">
            <v>1</v>
          </cell>
          <cell r="C813" t="str">
            <v>EQUIPEMENT POUR PMK/AK/M</v>
          </cell>
          <cell r="D813" t="str">
            <v>Equipement pour l'hôpital de PMK / AK</v>
          </cell>
          <cell r="E813" t="str">
            <v>Approuvé</v>
          </cell>
          <cell r="F813" t="str">
            <v>K01419</v>
          </cell>
          <cell r="G813">
            <v>1</v>
          </cell>
          <cell r="H813" t="str">
            <v>WORKPLAN</v>
          </cell>
          <cell r="J813" t="str">
            <v>A soumettre</v>
          </cell>
          <cell r="S813">
            <v>16200</v>
          </cell>
          <cell r="T813" t="str">
            <v>LAGHRIB LEKBIR</v>
          </cell>
          <cell r="U813" t="str">
            <v>Médical</v>
          </cell>
          <cell r="V813" t="str">
            <v>R10 : Médical</v>
          </cell>
          <cell r="W813" t="str">
            <v>Dotations nouvelles</v>
          </cell>
          <cell r="X813" t="str">
            <v>Aucune</v>
          </cell>
          <cell r="Y813" t="str">
            <v>Prévu</v>
          </cell>
          <cell r="Z813" t="str">
            <v>Administration-Khouribga</v>
          </cell>
        </row>
        <row r="814">
          <cell r="A814">
            <v>4100</v>
          </cell>
          <cell r="B814">
            <v>1</v>
          </cell>
          <cell r="C814" t="str">
            <v>Aménagement bassins boues</v>
          </cell>
          <cell r="D814" t="str">
            <v>Aménagement de nouveaux bassins d'épandage des boues</v>
          </cell>
          <cell r="E814" t="str">
            <v>Approuvé</v>
          </cell>
          <cell r="F814" t="str">
            <v>K04215</v>
          </cell>
          <cell r="G814">
            <v>1</v>
          </cell>
          <cell r="H814" t="str">
            <v>WORKPLAN</v>
          </cell>
          <cell r="J814" t="str">
            <v>A soumettre</v>
          </cell>
          <cell r="S814">
            <v>16201</v>
          </cell>
          <cell r="T814" t="str">
            <v>BENAMEUR Fayçal</v>
          </cell>
          <cell r="U814" t="str">
            <v>Ordinaire</v>
          </cell>
          <cell r="V814" t="str">
            <v>R2 : Maintien outil production</v>
          </cell>
          <cell r="W814" t="str">
            <v>Dotations nouvelles</v>
          </cell>
          <cell r="X814" t="str">
            <v>Aucune</v>
          </cell>
          <cell r="Y814" t="str">
            <v>Prévu</v>
          </cell>
          <cell r="Z814" t="str">
            <v>Traitement-Khouribga</v>
          </cell>
        </row>
        <row r="815">
          <cell r="A815">
            <v>4101</v>
          </cell>
          <cell r="B815">
            <v>1</v>
          </cell>
          <cell r="C815" t="str">
            <v>Equipement de bureaux pour AK</v>
          </cell>
          <cell r="D815" t="str">
            <v>Equipement de bureaux</v>
          </cell>
          <cell r="E815" t="str">
            <v>Approuvé</v>
          </cell>
          <cell r="F815" t="str">
            <v>K01419</v>
          </cell>
          <cell r="G815">
            <v>1</v>
          </cell>
          <cell r="H815" t="str">
            <v>WORKPLAN</v>
          </cell>
          <cell r="J815" t="str">
            <v>A soumettre</v>
          </cell>
          <cell r="S815">
            <v>16203</v>
          </cell>
          <cell r="T815" t="str">
            <v>DERDAKI MOHAMED</v>
          </cell>
          <cell r="U815" t="str">
            <v>Administratif</v>
          </cell>
          <cell r="V815" t="str">
            <v>R6 : Social et Administratif</v>
          </cell>
          <cell r="W815" t="str">
            <v>Renouvellement</v>
          </cell>
          <cell r="X815" t="str">
            <v>Aucune</v>
          </cell>
          <cell r="Y815" t="str">
            <v>Prévu</v>
          </cell>
          <cell r="Z815" t="str">
            <v>Administration-Khouribga</v>
          </cell>
        </row>
        <row r="816">
          <cell r="A816">
            <v>4102</v>
          </cell>
          <cell r="B816">
            <v>1</v>
          </cell>
          <cell r="C816" t="str">
            <v>Mobilier de bureau PMK/TD/D</v>
          </cell>
          <cell r="D816" t="str">
            <v>Achat  de mobilier de bureau pour PMK/TD/D</v>
          </cell>
          <cell r="E816" t="str">
            <v>Approuvé Entité</v>
          </cell>
          <cell r="F816" t="str">
            <v>K04240</v>
          </cell>
          <cell r="G816">
            <v>1</v>
          </cell>
          <cell r="H816" t="str">
            <v>WORKPLAN</v>
          </cell>
          <cell r="J816" t="str">
            <v>A soumettre</v>
          </cell>
          <cell r="S816">
            <v>16204</v>
          </cell>
          <cell r="T816" t="str">
            <v>BENAMEUR Fayçal</v>
          </cell>
          <cell r="U816" t="str">
            <v>Administratif</v>
          </cell>
          <cell r="V816" t="str">
            <v>R6 : Social et Administratif</v>
          </cell>
          <cell r="W816" t="str">
            <v>Dotations nouvelles</v>
          </cell>
          <cell r="X816" t="str">
            <v>Aucune</v>
          </cell>
          <cell r="Y816" t="str">
            <v>Prévu</v>
          </cell>
          <cell r="Z816" t="str">
            <v>Traitement-Khouribga</v>
          </cell>
        </row>
        <row r="817">
          <cell r="A817">
            <v>4103</v>
          </cell>
          <cell r="B817">
            <v>1</v>
          </cell>
          <cell r="C817" t="str">
            <v>Mobilier de bureau AK</v>
          </cell>
          <cell r="D817" t="str">
            <v>Mobilier de bureau pour AK RN</v>
          </cell>
          <cell r="E817" t="str">
            <v>Approuvé</v>
          </cell>
          <cell r="F817" t="str">
            <v>K01419</v>
          </cell>
          <cell r="G817">
            <v>1</v>
          </cell>
          <cell r="H817" t="str">
            <v>WORKPLAN</v>
          </cell>
          <cell r="J817" t="str">
            <v>A soumettre</v>
          </cell>
          <cell r="S817">
            <v>16208</v>
          </cell>
          <cell r="T817" t="str">
            <v>DERDAKI MOHAMED</v>
          </cell>
          <cell r="U817" t="str">
            <v>Administratif</v>
          </cell>
          <cell r="V817" t="str">
            <v>R6 : Social et Administratif</v>
          </cell>
          <cell r="W817" t="str">
            <v>Renouvellement</v>
          </cell>
          <cell r="X817" t="str">
            <v>Aucune</v>
          </cell>
          <cell r="Y817" t="str">
            <v>Prévu</v>
          </cell>
          <cell r="Z817" t="str">
            <v>Administration-Khouribga</v>
          </cell>
        </row>
        <row r="818">
          <cell r="A818">
            <v>4104</v>
          </cell>
          <cell r="B818">
            <v>1</v>
          </cell>
          <cell r="C818" t="str">
            <v>Mobilier de bureau IC en DN</v>
          </cell>
          <cell r="D818" t="str">
            <v>Mobilier de bureau pour PMK / IC en DN</v>
          </cell>
          <cell r="E818" t="str">
            <v>Approuvé</v>
          </cell>
          <cell r="F818" t="str">
            <v>K01001</v>
          </cell>
          <cell r="G818">
            <v>1</v>
          </cell>
          <cell r="H818" t="str">
            <v>WORKPLAN</v>
          </cell>
          <cell r="J818" t="str">
            <v>A soumettre</v>
          </cell>
          <cell r="S818">
            <v>16210</v>
          </cell>
          <cell r="T818" t="str">
            <v>DERDAKI MOHAMED</v>
          </cell>
          <cell r="U818" t="str">
            <v>Administratif</v>
          </cell>
          <cell r="V818" t="str">
            <v>R6 : Social et Administratif</v>
          </cell>
          <cell r="W818" t="str">
            <v>Dotations nouvelles</v>
          </cell>
          <cell r="X818" t="str">
            <v>Aucune</v>
          </cell>
          <cell r="Y818" t="str">
            <v>Prévu</v>
          </cell>
          <cell r="Z818" t="str">
            <v>Administration-Khouribga</v>
          </cell>
        </row>
        <row r="819">
          <cell r="A819">
            <v>4105</v>
          </cell>
          <cell r="B819">
            <v>1</v>
          </cell>
          <cell r="C819" t="str">
            <v>Matériel Informatique PMK / IC</v>
          </cell>
          <cell r="D819" t="str">
            <v>Matériel Informatique PMK / IC</v>
          </cell>
          <cell r="E819" t="str">
            <v>Approuvé</v>
          </cell>
          <cell r="F819" t="str">
            <v>K01001</v>
          </cell>
          <cell r="G819">
            <v>1</v>
          </cell>
          <cell r="H819" t="str">
            <v>WORKPLAN</v>
          </cell>
          <cell r="J819" t="str">
            <v>A soumettre</v>
          </cell>
          <cell r="S819">
            <v>16212</v>
          </cell>
          <cell r="T819" t="str">
            <v>DERDAKI MOHAMED</v>
          </cell>
          <cell r="U819" t="str">
            <v>Administratif</v>
          </cell>
          <cell r="V819" t="str">
            <v>R8 : Informatique</v>
          </cell>
          <cell r="W819" t="str">
            <v>Dotations nouvelles</v>
          </cell>
          <cell r="X819" t="str">
            <v>Aucune</v>
          </cell>
          <cell r="Y819" t="str">
            <v>Prévu</v>
          </cell>
          <cell r="Z819" t="str">
            <v>Administration-Khouribga</v>
          </cell>
        </row>
        <row r="820">
          <cell r="A820">
            <v>4106</v>
          </cell>
          <cell r="B820">
            <v>1</v>
          </cell>
          <cell r="C820" t="str">
            <v>EQUIPEMENT POUR L'HOPITAL</v>
          </cell>
          <cell r="D820" t="str">
            <v>EQUIPEMENT POUR L'HOPITAL DE PMK/AK</v>
          </cell>
          <cell r="E820" t="str">
            <v>Approuvé CP</v>
          </cell>
          <cell r="F820" t="str">
            <v>K01419</v>
          </cell>
          <cell r="G820">
            <v>1</v>
          </cell>
          <cell r="H820" t="str">
            <v>WORKPLAN</v>
          </cell>
          <cell r="J820" t="str">
            <v>A soumettre</v>
          </cell>
          <cell r="S820">
            <v>16214</v>
          </cell>
          <cell r="T820" t="str">
            <v>LAGHRIB LEKBIR</v>
          </cell>
          <cell r="U820" t="str">
            <v>Médical</v>
          </cell>
          <cell r="V820" t="str">
            <v>R10 : Médical</v>
          </cell>
          <cell r="W820" t="str">
            <v>Renouvellement</v>
          </cell>
          <cell r="X820" t="str">
            <v>Aucune</v>
          </cell>
          <cell r="Y820" t="str">
            <v>Prévu</v>
          </cell>
          <cell r="Z820" t="str">
            <v>Administration-Khouribga</v>
          </cell>
        </row>
        <row r="821">
          <cell r="A821">
            <v>4107</v>
          </cell>
          <cell r="B821">
            <v>1</v>
          </cell>
          <cell r="C821" t="str">
            <v>Groupes électro-compresseurs</v>
          </cell>
          <cell r="D821" t="str">
            <v>Achat de 08 groupes électro-compresseurs à pistons bi-étages</v>
          </cell>
          <cell r="E821" t="str">
            <v>Approbation a échoué</v>
          </cell>
          <cell r="F821" t="str">
            <v>K04236</v>
          </cell>
          <cell r="G821">
            <v>1</v>
          </cell>
          <cell r="H821" t="str">
            <v>WORKPLAN</v>
          </cell>
          <cell r="J821" t="str">
            <v>A soumettre</v>
          </cell>
          <cell r="S821">
            <v>16216</v>
          </cell>
          <cell r="T821" t="str">
            <v>BENAMEUR Fayçal</v>
          </cell>
          <cell r="U821" t="str">
            <v>Ordinaire</v>
          </cell>
          <cell r="V821" t="str">
            <v>R2 : Maintien outil production</v>
          </cell>
          <cell r="W821" t="str">
            <v>Dotations nouvelles</v>
          </cell>
          <cell r="X821" t="str">
            <v>Aucune</v>
          </cell>
          <cell r="Y821" t="str">
            <v>Prévu</v>
          </cell>
          <cell r="Z821" t="str">
            <v>Traitement-Khouribga</v>
          </cell>
        </row>
        <row r="822">
          <cell r="A822">
            <v>4108</v>
          </cell>
          <cell r="B822">
            <v>1</v>
          </cell>
          <cell r="C822" t="str">
            <v>BICYCLETTES POUR CHAOUCHS</v>
          </cell>
          <cell r="D822" t="str">
            <v>BICYCLETTES POUR CHAOUCHS</v>
          </cell>
          <cell r="E822" t="str">
            <v>Approuvé CP</v>
          </cell>
          <cell r="F822" t="str">
            <v>K01001</v>
          </cell>
          <cell r="G822">
            <v>1</v>
          </cell>
          <cell r="H822" t="str">
            <v>WORKPLAN</v>
          </cell>
          <cell r="J822" t="str">
            <v>A soumettre</v>
          </cell>
          <cell r="S822">
            <v>16218</v>
          </cell>
          <cell r="T822" t="str">
            <v>DERDAKI MOHAMED</v>
          </cell>
          <cell r="U822" t="str">
            <v>Administratif</v>
          </cell>
          <cell r="V822" t="str">
            <v>R6 : Social et Administratif</v>
          </cell>
          <cell r="W822" t="str">
            <v>Renouvellement</v>
          </cell>
          <cell r="X822" t="str">
            <v>Aucune</v>
          </cell>
          <cell r="Y822" t="str">
            <v>Prévu</v>
          </cell>
          <cell r="Z822" t="str">
            <v>Administration-Khouribga</v>
          </cell>
        </row>
        <row r="823">
          <cell r="A823">
            <v>4110</v>
          </cell>
          <cell r="B823">
            <v>1</v>
          </cell>
          <cell r="C823" t="str">
            <v xml:space="preserve"> MACHINES OUTILS</v>
          </cell>
          <cell r="D823" t="str">
            <v>RENOUVELLEMENT DES MACHINES OUTILS</v>
          </cell>
          <cell r="E823" t="str">
            <v>Approuvé CP</v>
          </cell>
          <cell r="F823" t="str">
            <v>K11602</v>
          </cell>
          <cell r="G823">
            <v>1</v>
          </cell>
          <cell r="H823" t="str">
            <v>WORKPLAN</v>
          </cell>
          <cell r="J823" t="str">
            <v>A soumettre</v>
          </cell>
          <cell r="S823">
            <v>16221</v>
          </cell>
          <cell r="T823" t="str">
            <v>BOUZZIT BRAHIM</v>
          </cell>
          <cell r="U823" t="str">
            <v>Ordinaire</v>
          </cell>
          <cell r="V823" t="str">
            <v>R2 : Maintien outil production</v>
          </cell>
          <cell r="W823" t="str">
            <v>Renouvellement</v>
          </cell>
          <cell r="X823" t="str">
            <v>Aucune</v>
          </cell>
          <cell r="Y823" t="str">
            <v>Prévu</v>
          </cell>
          <cell r="Z823" t="str">
            <v>Logistique-Khouribga</v>
          </cell>
        </row>
        <row r="824">
          <cell r="A824">
            <v>4111</v>
          </cell>
          <cell r="B824">
            <v>1</v>
          </cell>
          <cell r="C824" t="str">
            <v>MOTEURS   ELECTRIQUES</v>
          </cell>
          <cell r="D824" t="str">
            <v>ACQUISITION DES MOTEURS ELECTRIQUES DE PUISSANCE INFERIEURE OU EGALE A 7,5 KW</v>
          </cell>
          <cell r="G824">
            <v>1</v>
          </cell>
          <cell r="H824" t="str">
            <v>WORKPLAN</v>
          </cell>
          <cell r="J824" t="str">
            <v>A soumettre</v>
          </cell>
          <cell r="S824">
            <v>16223</v>
          </cell>
          <cell r="T824" t="str">
            <v>SAOUD KARIM</v>
          </cell>
          <cell r="U824" t="str">
            <v>Ordinaire</v>
          </cell>
          <cell r="V824" t="str">
            <v>R4 : Aug capacité production</v>
          </cell>
          <cell r="W824" t="str">
            <v>Dotations nouvelles</v>
          </cell>
          <cell r="X824" t="str">
            <v>Aucune</v>
          </cell>
          <cell r="Y824" t="str">
            <v>Prévu</v>
          </cell>
          <cell r="Z824" t="str">
            <v>Logistique-Khouribga</v>
          </cell>
        </row>
        <row r="825">
          <cell r="A825">
            <v>4112</v>
          </cell>
          <cell r="B825">
            <v>1</v>
          </cell>
          <cell r="C825" t="str">
            <v>réducteurs de vitesse PW et SC</v>
          </cell>
          <cell r="D825" t="str">
            <v>Achat de 23 réducteurs de vitesse pour les installations de Sidi Chennane et Parc El Wafi</v>
          </cell>
          <cell r="E825" t="str">
            <v>Approbation a échoué</v>
          </cell>
          <cell r="F825" t="str">
            <v>K04235</v>
          </cell>
          <cell r="G825">
            <v>1</v>
          </cell>
          <cell r="H825" t="str">
            <v>WORKPLAN</v>
          </cell>
          <cell r="J825" t="str">
            <v>A soumettre</v>
          </cell>
          <cell r="S825">
            <v>16225</v>
          </cell>
          <cell r="T825" t="str">
            <v>CHNANI ABDELHADI</v>
          </cell>
          <cell r="U825" t="str">
            <v>Ordinaire</v>
          </cell>
          <cell r="V825" t="str">
            <v>R2 : Maintien outil production</v>
          </cell>
          <cell r="W825" t="str">
            <v>Dotations nouvelles</v>
          </cell>
          <cell r="X825" t="str">
            <v>Aucune</v>
          </cell>
          <cell r="Y825" t="str">
            <v>Prévu</v>
          </cell>
          <cell r="Z825" t="str">
            <v>Traitement-Khouribga</v>
          </cell>
        </row>
        <row r="826">
          <cell r="A826">
            <v>4113</v>
          </cell>
          <cell r="B826">
            <v>1</v>
          </cell>
          <cell r="C826" t="str">
            <v>Gestion de carburant</v>
          </cell>
          <cell r="D826" t="str">
            <v>Automatisation du système de gestion de carburant au secteur MEA</v>
          </cell>
          <cell r="E826" t="str">
            <v>Approuvé Entité</v>
          </cell>
          <cell r="F826" t="str">
            <v>K03533</v>
          </cell>
          <cell r="G826">
            <v>1</v>
          </cell>
          <cell r="H826" t="str">
            <v>WORKPLAN</v>
          </cell>
          <cell r="J826" t="str">
            <v>A soumettre</v>
          </cell>
          <cell r="S826">
            <v>16227</v>
          </cell>
          <cell r="T826" t="str">
            <v>CHARKI EL YAMANI</v>
          </cell>
          <cell r="U826" t="str">
            <v>Ordinaire</v>
          </cell>
          <cell r="V826" t="str">
            <v>R7 : Environnement et Sécurité</v>
          </cell>
          <cell r="W826" t="str">
            <v>Dotations nouvelles</v>
          </cell>
          <cell r="X826" t="str">
            <v>Aucune</v>
          </cell>
          <cell r="Y826" t="str">
            <v>Prévu</v>
          </cell>
          <cell r="Z826" t="str">
            <v>Production-Khouribga</v>
          </cell>
        </row>
        <row r="827">
          <cell r="A827">
            <v>4114</v>
          </cell>
          <cell r="B827">
            <v>1</v>
          </cell>
          <cell r="C827" t="str">
            <v xml:space="preserve">  CLIMATISEURS</v>
          </cell>
          <cell r="D827" t="str">
            <v>RENOUVELLEMENT DE 16 CLIMATISEURS</v>
          </cell>
          <cell r="E827" t="str">
            <v>Approuvé CP</v>
          </cell>
          <cell r="F827">
            <v>0</v>
          </cell>
          <cell r="G827">
            <v>1</v>
          </cell>
          <cell r="H827" t="str">
            <v>WORKPLAN</v>
          </cell>
          <cell r="J827" t="str">
            <v>A soumettre</v>
          </cell>
          <cell r="S827">
            <v>16228</v>
          </cell>
          <cell r="T827" t="str">
            <v>JARHOU Mohammed</v>
          </cell>
          <cell r="U827" t="str">
            <v>Administratif</v>
          </cell>
          <cell r="V827" t="str">
            <v>R6 : Social et Administratif</v>
          </cell>
          <cell r="W827" t="str">
            <v>Renouvellement</v>
          </cell>
          <cell r="X827" t="str">
            <v>Aucune</v>
          </cell>
          <cell r="Y827" t="str">
            <v>Prévu</v>
          </cell>
          <cell r="Z827" t="str">
            <v>Logistique-Khouribga</v>
          </cell>
        </row>
        <row r="828">
          <cell r="A828">
            <v>4115</v>
          </cell>
          <cell r="B828">
            <v>1</v>
          </cell>
          <cell r="C828" t="str">
            <v>Réducteurs de vitesse UD et TS</v>
          </cell>
          <cell r="D828" t="str">
            <v>Renouvellement de 11 réducteurs de vitesse pour les installations de la laverie DAOUI et carreau TS</v>
          </cell>
          <cell r="E828" t="str">
            <v>Approbation a échoué</v>
          </cell>
          <cell r="F828" t="str">
            <v>K04202</v>
          </cell>
          <cell r="G828">
            <v>1</v>
          </cell>
          <cell r="H828" t="str">
            <v>WORKPLAN</v>
          </cell>
          <cell r="J828" t="str">
            <v>A soumettre</v>
          </cell>
          <cell r="S828">
            <v>16230</v>
          </cell>
          <cell r="T828" t="str">
            <v>BENAMEUR Fayçal</v>
          </cell>
          <cell r="U828" t="str">
            <v>Ordinaire</v>
          </cell>
          <cell r="V828" t="str">
            <v>R2 : Maintien outil production</v>
          </cell>
          <cell r="W828" t="str">
            <v>Renouvellement</v>
          </cell>
          <cell r="X828" t="str">
            <v>Aucune</v>
          </cell>
          <cell r="Y828" t="str">
            <v>Prévu</v>
          </cell>
          <cell r="Z828" t="str">
            <v>Traitement-Khouribga</v>
          </cell>
        </row>
        <row r="829">
          <cell r="A829">
            <v>4118</v>
          </cell>
          <cell r="B829">
            <v>1</v>
          </cell>
          <cell r="C829" t="str">
            <v xml:space="preserve"> MUSEE</v>
          </cell>
          <cell r="D829" t="str">
            <v>Equipement d'un laboratoire de recherche en paléontologie</v>
          </cell>
          <cell r="E829" t="str">
            <v>Approbation a échoué</v>
          </cell>
          <cell r="F829" t="str">
            <v>K11063</v>
          </cell>
          <cell r="G829">
            <v>1</v>
          </cell>
          <cell r="H829" t="str">
            <v>vi</v>
          </cell>
          <cell r="I829" t="str">
            <v>BUDGET INITIAL</v>
          </cell>
          <cell r="J829" t="str">
            <v>Rejeté</v>
          </cell>
          <cell r="K829">
            <v>20000000</v>
          </cell>
          <cell r="L829">
            <v>20000000</v>
          </cell>
          <cell r="M829">
            <v>20000000</v>
          </cell>
          <cell r="N829">
            <v>20000000</v>
          </cell>
          <cell r="S829">
            <v>16237</v>
          </cell>
          <cell r="T829" t="str">
            <v>ZAHRI ABDESLAM</v>
          </cell>
          <cell r="U829" t="str">
            <v>Ordinaire</v>
          </cell>
          <cell r="V829" t="str">
            <v>R5 : Etudes et Essais</v>
          </cell>
          <cell r="W829" t="str">
            <v>Dotations nouvelles</v>
          </cell>
          <cell r="X829" t="str">
            <v>Aucune</v>
          </cell>
          <cell r="Y829" t="str">
            <v>Prévu</v>
          </cell>
          <cell r="Z829" t="str">
            <v>Logistique-Khouribga</v>
          </cell>
        </row>
        <row r="830">
          <cell r="A830">
            <v>4119</v>
          </cell>
          <cell r="B830">
            <v>1</v>
          </cell>
          <cell r="C830" t="str">
            <v>Augmentation capacité convoy</v>
          </cell>
          <cell r="D830" t="str">
            <v>Augmentation de la capacité des convoyeurs DC1, DC2 et DC3</v>
          </cell>
          <cell r="E830" t="str">
            <v>Approuvé Entité</v>
          </cell>
          <cell r="F830" t="str">
            <v>K04310</v>
          </cell>
          <cell r="G830">
            <v>1</v>
          </cell>
          <cell r="H830" t="str">
            <v>WORKPLAN</v>
          </cell>
          <cell r="J830" t="str">
            <v>A soumettre</v>
          </cell>
          <cell r="S830">
            <v>16238</v>
          </cell>
          <cell r="T830" t="str">
            <v>LEBBARDI ABDELJABBAR</v>
          </cell>
          <cell r="U830" t="str">
            <v>Ordinaire</v>
          </cell>
          <cell r="V830" t="str">
            <v>R4 : Aug capacité production</v>
          </cell>
          <cell r="W830" t="str">
            <v>Dotations nouvelles</v>
          </cell>
          <cell r="X830" t="str">
            <v>Aucune</v>
          </cell>
          <cell r="Y830" t="str">
            <v>Prévu</v>
          </cell>
          <cell r="Z830" t="str">
            <v>Traitement-Khouribga</v>
          </cell>
        </row>
        <row r="831">
          <cell r="A831">
            <v>4120</v>
          </cell>
          <cell r="B831">
            <v>1</v>
          </cell>
          <cell r="C831" t="str">
            <v>Augmentation capacité stock C</v>
          </cell>
          <cell r="D831" t="str">
            <v>Augmentation de la capacité du stock C</v>
          </cell>
          <cell r="E831" t="str">
            <v>Approuvé Entité</v>
          </cell>
          <cell r="F831" t="str">
            <v>K04309</v>
          </cell>
          <cell r="G831">
            <v>1</v>
          </cell>
          <cell r="H831" t="str">
            <v>WORKPLAN</v>
          </cell>
          <cell r="J831" t="str">
            <v>A soumettre</v>
          </cell>
          <cell r="S831">
            <v>16241</v>
          </cell>
          <cell r="T831" t="str">
            <v>LEBBARDI ABDELJABBAR</v>
          </cell>
          <cell r="U831" t="str">
            <v>Ordinaire</v>
          </cell>
          <cell r="V831" t="str">
            <v>R4 : Aug capacité production</v>
          </cell>
          <cell r="W831" t="str">
            <v>Dotations nouvelles</v>
          </cell>
          <cell r="X831" t="str">
            <v>Aucune</v>
          </cell>
          <cell r="Y831" t="str">
            <v>Prévu</v>
          </cell>
          <cell r="Z831" t="str">
            <v>Traitement-Khouribga</v>
          </cell>
        </row>
        <row r="832">
          <cell r="A832">
            <v>4121</v>
          </cell>
          <cell r="B832">
            <v>1</v>
          </cell>
          <cell r="C832" t="str">
            <v>Dumper</v>
          </cell>
          <cell r="D832" t="str">
            <v>Achat d'un dumper pour les travaux d'hygiène pour PMK/TD/Z</v>
          </cell>
          <cell r="E832" t="str">
            <v>Approuvé Entité</v>
          </cell>
          <cell r="F832" t="str">
            <v>K04315</v>
          </cell>
          <cell r="G832">
            <v>1</v>
          </cell>
          <cell r="H832" t="str">
            <v>WORKPLAN</v>
          </cell>
          <cell r="J832" t="str">
            <v>A soumettre</v>
          </cell>
          <cell r="S832">
            <v>16243</v>
          </cell>
          <cell r="T832" t="str">
            <v>LEBBARDI ABDELJABBAR</v>
          </cell>
          <cell r="U832" t="str">
            <v>Ordinaire</v>
          </cell>
          <cell r="V832" t="str">
            <v>R9 : Véhicules</v>
          </cell>
          <cell r="W832" t="str">
            <v>Dotations nouvelles</v>
          </cell>
          <cell r="X832" t="str">
            <v>Aucune</v>
          </cell>
          <cell r="Y832" t="str">
            <v>Prévu</v>
          </cell>
          <cell r="Z832" t="str">
            <v>Traitement-Khouribga</v>
          </cell>
        </row>
        <row r="833">
          <cell r="A833">
            <v>4123</v>
          </cell>
          <cell r="B833">
            <v>1</v>
          </cell>
          <cell r="C833" t="str">
            <v>Outillage PMK/TD/Z</v>
          </cell>
          <cell r="D833" t="str">
            <v>Achat des appareils de mesure pour l'atelier de séchage au COZ</v>
          </cell>
          <cell r="E833" t="str">
            <v>Approbation a échoué</v>
          </cell>
          <cell r="F833" t="str">
            <v>K04315</v>
          </cell>
          <cell r="G833">
            <v>1</v>
          </cell>
          <cell r="H833" t="str">
            <v>WORKPLAN</v>
          </cell>
          <cell r="J833" t="str">
            <v>A soumettre</v>
          </cell>
          <cell r="S833">
            <v>16248</v>
          </cell>
          <cell r="T833" t="str">
            <v>LEBBARDI ABDELJABBAR</v>
          </cell>
          <cell r="U833" t="str">
            <v>Etudes et essais</v>
          </cell>
          <cell r="V833" t="str">
            <v>R5 : Etudes et Essais</v>
          </cell>
          <cell r="W833" t="str">
            <v>Dotations nouvelles</v>
          </cell>
          <cell r="X833" t="str">
            <v>Aucune</v>
          </cell>
          <cell r="Y833" t="str">
            <v>Prévu</v>
          </cell>
          <cell r="Z833" t="str">
            <v>Traitement-Khouribga</v>
          </cell>
        </row>
        <row r="834">
          <cell r="A834">
            <v>4124</v>
          </cell>
          <cell r="B834">
            <v>1</v>
          </cell>
          <cell r="C834" t="str">
            <v>IV23741</v>
          </cell>
          <cell r="D834" t="str">
            <v>MATERIEL SPECIFIQUE POUR ATELIER ET STATION SERVICE</v>
          </cell>
          <cell r="E834" t="str">
            <v>Approuvé</v>
          </cell>
          <cell r="F834" t="str">
            <v>K07019</v>
          </cell>
          <cell r="G834">
            <v>1</v>
          </cell>
          <cell r="H834" t="str">
            <v>WORKPLAN</v>
          </cell>
          <cell r="J834" t="str">
            <v>A soumettre</v>
          </cell>
          <cell r="S834">
            <v>16250</v>
          </cell>
          <cell r="T834" t="str">
            <v>RAOUIA ELMOSTAFA</v>
          </cell>
          <cell r="U834" t="str">
            <v>Ordinaire</v>
          </cell>
          <cell r="V834" t="str">
            <v>R2 : Maintien outil production</v>
          </cell>
          <cell r="W834" t="str">
            <v>Dotations nouvelles</v>
          </cell>
          <cell r="X834" t="str">
            <v>Aucune</v>
          </cell>
          <cell r="Y834" t="str">
            <v>Prévu</v>
          </cell>
          <cell r="Z834" t="str">
            <v>Embarquement-Casablanca</v>
          </cell>
        </row>
        <row r="835">
          <cell r="A835">
            <v>4125</v>
          </cell>
          <cell r="B835">
            <v>1</v>
          </cell>
          <cell r="C835" t="str">
            <v>Appareils de mesure PMK/TD/Z</v>
          </cell>
          <cell r="D835" t="str">
            <v>Achat des appareils de mesure pour l'atelier de séchage au COZ</v>
          </cell>
          <cell r="E835" t="str">
            <v>Approuvé Entité</v>
          </cell>
          <cell r="F835" t="str">
            <v>K04315</v>
          </cell>
          <cell r="G835">
            <v>1</v>
          </cell>
          <cell r="H835" t="str">
            <v>WORKPLAN</v>
          </cell>
          <cell r="J835" t="str">
            <v>A soumettre</v>
          </cell>
          <cell r="S835">
            <v>16251</v>
          </cell>
          <cell r="T835" t="str">
            <v>LEBBARDI ABDELJABBAR</v>
          </cell>
          <cell r="U835" t="str">
            <v>Etudes et essais</v>
          </cell>
          <cell r="V835" t="str">
            <v>R5 : Etudes et Essais</v>
          </cell>
          <cell r="W835" t="str">
            <v>Dotations nouvelles</v>
          </cell>
          <cell r="X835" t="str">
            <v>Aucune</v>
          </cell>
          <cell r="Y835" t="str">
            <v>Prévu</v>
          </cell>
          <cell r="Z835" t="str">
            <v>Traitement-Khouribga</v>
          </cell>
        </row>
        <row r="836">
          <cell r="A836">
            <v>4126</v>
          </cell>
          <cell r="B836">
            <v>1</v>
          </cell>
          <cell r="C836" t="str">
            <v>Anémomètre PMK/TD/Z</v>
          </cell>
          <cell r="D836" t="str">
            <v>Achat d'un anémomètre et accessoires pour les fours sécheurs au COZ</v>
          </cell>
          <cell r="E836" t="str">
            <v>Approbation a échoué</v>
          </cell>
          <cell r="F836" t="str">
            <v>K04315</v>
          </cell>
          <cell r="G836">
            <v>1</v>
          </cell>
          <cell r="H836" t="str">
            <v>WORKPLAN</v>
          </cell>
          <cell r="J836" t="str">
            <v>A soumettre</v>
          </cell>
          <cell r="S836">
            <v>16253</v>
          </cell>
          <cell r="T836" t="str">
            <v>LEBBARDI ABDELJABBAR</v>
          </cell>
          <cell r="U836" t="str">
            <v>Etudes et essais</v>
          </cell>
          <cell r="V836" t="str">
            <v>R5 : Etudes et Essais</v>
          </cell>
          <cell r="W836" t="str">
            <v>Dotations nouvelles</v>
          </cell>
          <cell r="X836" t="str">
            <v>Aucune</v>
          </cell>
          <cell r="Y836" t="str">
            <v>Prévu</v>
          </cell>
          <cell r="Z836" t="str">
            <v>Traitement-Khouribga</v>
          </cell>
        </row>
        <row r="837">
          <cell r="A837">
            <v>4128</v>
          </cell>
          <cell r="B837">
            <v>1</v>
          </cell>
          <cell r="C837" t="str">
            <v>Tachymètre PMK/TD/Z</v>
          </cell>
          <cell r="D837" t="str">
            <v>Achat d'un tachymètre pour le séchage au COZ</v>
          </cell>
          <cell r="E837" t="str">
            <v>Approbation a échoué</v>
          </cell>
          <cell r="F837" t="str">
            <v>K04315</v>
          </cell>
          <cell r="G837">
            <v>1</v>
          </cell>
          <cell r="H837" t="str">
            <v>WORKPLAN</v>
          </cell>
          <cell r="J837" t="str">
            <v>A soumettre</v>
          </cell>
          <cell r="S837">
            <v>16259</v>
          </cell>
          <cell r="T837" t="str">
            <v>LEBBARDI ABDELJABBAR</v>
          </cell>
          <cell r="U837" t="str">
            <v>Etudes et essais</v>
          </cell>
          <cell r="V837" t="str">
            <v>R5 : Etudes et Essais</v>
          </cell>
          <cell r="W837" t="str">
            <v>Dotations nouvelles</v>
          </cell>
          <cell r="X837" t="str">
            <v>Aucune</v>
          </cell>
          <cell r="Y837" t="str">
            <v>Prévu</v>
          </cell>
          <cell r="Z837" t="str">
            <v>Traitement-Khouribga</v>
          </cell>
        </row>
        <row r="838">
          <cell r="A838">
            <v>4129</v>
          </cell>
          <cell r="B838">
            <v>1</v>
          </cell>
          <cell r="C838" t="str">
            <v>Echelles PMK/TD/Z</v>
          </cell>
          <cell r="D838" t="str">
            <v>Achat de 08 échelles pour PMK/TD/Z</v>
          </cell>
          <cell r="E838" t="str">
            <v>Approuvé Entité</v>
          </cell>
          <cell r="F838" t="str">
            <v>K04315</v>
          </cell>
          <cell r="G838">
            <v>1</v>
          </cell>
          <cell r="H838" t="str">
            <v>WORKPLAN</v>
          </cell>
          <cell r="J838" t="str">
            <v>A soumettre</v>
          </cell>
          <cell r="S838">
            <v>16261</v>
          </cell>
          <cell r="T838" t="str">
            <v>LEBBARDI ABDELJABBAR</v>
          </cell>
          <cell r="U838" t="str">
            <v>Ordinaire</v>
          </cell>
          <cell r="V838" t="str">
            <v>R2 : Maintien outil production</v>
          </cell>
          <cell r="W838" t="str">
            <v>Dotations nouvelles</v>
          </cell>
          <cell r="X838" t="str">
            <v>Aucune</v>
          </cell>
          <cell r="Y838" t="str">
            <v>Prévu</v>
          </cell>
          <cell r="Z838" t="str">
            <v>Traitement-Khouribga</v>
          </cell>
        </row>
        <row r="839">
          <cell r="A839">
            <v>4130</v>
          </cell>
          <cell r="B839">
            <v>1</v>
          </cell>
          <cell r="C839" t="str">
            <v>Moteurs électriques Krupp</v>
          </cell>
          <cell r="D839" t="str">
            <v>Renouvellement de 10 moteurs électriques pour la roue pelle KRUPP</v>
          </cell>
          <cell r="E839" t="str">
            <v>Approbation a échoué</v>
          </cell>
          <cell r="F839" t="str">
            <v>K04705</v>
          </cell>
          <cell r="G839">
            <v>1</v>
          </cell>
          <cell r="H839" t="str">
            <v>WORKPLAN</v>
          </cell>
          <cell r="J839" t="str">
            <v>A soumettre</v>
          </cell>
          <cell r="S839">
            <v>16263</v>
          </cell>
          <cell r="T839" t="str">
            <v>AIT HSSAINE IDIR</v>
          </cell>
          <cell r="U839" t="str">
            <v>Ordinaire</v>
          </cell>
          <cell r="V839" t="str">
            <v>R2 : Maintien outil production</v>
          </cell>
          <cell r="W839" t="str">
            <v>Renouvellement</v>
          </cell>
          <cell r="X839" t="str">
            <v>Aucune</v>
          </cell>
          <cell r="Y839" t="str">
            <v>Prévu</v>
          </cell>
          <cell r="Z839" t="str">
            <v>Traitement-Khouribga</v>
          </cell>
        </row>
        <row r="840">
          <cell r="A840">
            <v>4132</v>
          </cell>
          <cell r="B840">
            <v>1</v>
          </cell>
          <cell r="C840" t="str">
            <v>Moteurs électriques Revamping</v>
          </cell>
          <cell r="D840" t="str">
            <v>Achat de 35 moteurs électriques pour la laverie DAOUI</v>
          </cell>
          <cell r="E840" t="str">
            <v>Approbation a échoué</v>
          </cell>
          <cell r="F840" t="str">
            <v>K04705</v>
          </cell>
          <cell r="G840">
            <v>1</v>
          </cell>
          <cell r="H840" t="str">
            <v>WORKPLAN</v>
          </cell>
          <cell r="J840" t="str">
            <v>A soumettre</v>
          </cell>
          <cell r="S840">
            <v>16266</v>
          </cell>
          <cell r="T840" t="str">
            <v>BERRADA ACHRAF</v>
          </cell>
          <cell r="U840" t="str">
            <v>Ordinaire</v>
          </cell>
          <cell r="V840" t="str">
            <v>R2 : Maintien outil production</v>
          </cell>
          <cell r="W840" t="str">
            <v>Dotations nouvelles</v>
          </cell>
          <cell r="X840" t="str">
            <v>Aucune</v>
          </cell>
          <cell r="Y840" t="str">
            <v>Prévu</v>
          </cell>
          <cell r="Z840" t="str">
            <v>Traitement-Khouribga</v>
          </cell>
        </row>
        <row r="841">
          <cell r="A841">
            <v>4138</v>
          </cell>
          <cell r="B841">
            <v>1</v>
          </cell>
          <cell r="C841" t="str">
            <v>Ponts roulants PMK/TD/LE</v>
          </cell>
          <cell r="D841" t="str">
            <v>Révision et remise en état des ponts roulants du Parc El Wafi, carreau et liaison Sidi Chennane</v>
          </cell>
          <cell r="E841" t="str">
            <v>Approbation a échoué</v>
          </cell>
          <cell r="F841" t="str">
            <v>K04701</v>
          </cell>
          <cell r="G841">
            <v>1</v>
          </cell>
          <cell r="H841" t="str">
            <v>WORKPLAN</v>
          </cell>
          <cell r="J841" t="str">
            <v>A soumettre</v>
          </cell>
          <cell r="S841">
            <v>16280</v>
          </cell>
          <cell r="T841" t="str">
            <v>AIT HSSAINE IDIR</v>
          </cell>
          <cell r="U841" t="str">
            <v>Ordinaire</v>
          </cell>
          <cell r="V841" t="str">
            <v>R2 : Maintien outil production</v>
          </cell>
          <cell r="W841" t="str">
            <v>Dotations nouvelles</v>
          </cell>
          <cell r="X841" t="str">
            <v>Aucune</v>
          </cell>
          <cell r="Y841" t="str">
            <v>Prévu</v>
          </cell>
          <cell r="Z841" t="str">
            <v>Traitement-Khouribga</v>
          </cell>
        </row>
        <row r="842">
          <cell r="A842">
            <v>4141</v>
          </cell>
          <cell r="B842">
            <v>1</v>
          </cell>
          <cell r="C842" t="str">
            <v>Automates PW PMK/TD/LE</v>
          </cell>
          <cell r="D842" t="str">
            <v>Fourniture et installation et mise en service des automates programmables pour les roue pelles et stockeuses au Parc El Wafi</v>
          </cell>
          <cell r="E842" t="str">
            <v>Approuvé Entité</v>
          </cell>
          <cell r="F842" t="str">
            <v>K04705</v>
          </cell>
          <cell r="G842">
            <v>1</v>
          </cell>
          <cell r="H842" t="str">
            <v>WORKPLAN</v>
          </cell>
          <cell r="J842" t="str">
            <v>A soumettre</v>
          </cell>
          <cell r="S842">
            <v>16285</v>
          </cell>
          <cell r="T842" t="str">
            <v>AIT HSSAINE IDIR</v>
          </cell>
          <cell r="U842" t="str">
            <v>Ordinaire</v>
          </cell>
          <cell r="V842" t="str">
            <v>R2 : Maintien outil production</v>
          </cell>
          <cell r="W842" t="str">
            <v>Dotations nouvelles</v>
          </cell>
          <cell r="X842" t="str">
            <v>Aucune</v>
          </cell>
          <cell r="Y842" t="str">
            <v>Prévu</v>
          </cell>
          <cell r="Z842" t="str">
            <v>Traitement-Khouribga</v>
          </cell>
        </row>
        <row r="843">
          <cell r="A843">
            <v>4142</v>
          </cell>
          <cell r="B843">
            <v>1</v>
          </cell>
          <cell r="C843" t="str">
            <v>Lignes aériennes PMK/TD/LE</v>
          </cell>
          <cell r="D843" t="str">
            <v>Fourniture et installation et mise en service de 02 lignes életriques aériennes</v>
          </cell>
          <cell r="E843" t="str">
            <v>Approuvé Entité</v>
          </cell>
          <cell r="F843" t="str">
            <v>K04705</v>
          </cell>
          <cell r="G843">
            <v>1</v>
          </cell>
          <cell r="H843" t="str">
            <v>WORKPLAN</v>
          </cell>
          <cell r="J843" t="str">
            <v>A soumettre</v>
          </cell>
          <cell r="S843">
            <v>16287</v>
          </cell>
          <cell r="T843" t="str">
            <v>AIT HSSAINE IDIR</v>
          </cell>
          <cell r="U843" t="str">
            <v>Ordinaire</v>
          </cell>
          <cell r="V843" t="str">
            <v>R2 : Maintien outil production</v>
          </cell>
          <cell r="W843" t="str">
            <v>Dotations nouvelles</v>
          </cell>
          <cell r="X843" t="str">
            <v>Aucune</v>
          </cell>
          <cell r="Y843" t="str">
            <v>Prévu</v>
          </cell>
          <cell r="Z843" t="str">
            <v>Traitement-Khouribga</v>
          </cell>
        </row>
        <row r="844">
          <cell r="A844">
            <v>4144</v>
          </cell>
          <cell r="B844">
            <v>1</v>
          </cell>
          <cell r="C844" t="str">
            <v>Groupe électrogène PMK/TD/LE</v>
          </cell>
          <cell r="D844" t="str">
            <v>Renouvellement d'un groupe électrogène du décanteur de la laverie DAOUI</v>
          </cell>
          <cell r="E844" t="str">
            <v>Approuvé Entité</v>
          </cell>
          <cell r="F844" t="str">
            <v>K04705</v>
          </cell>
          <cell r="G844">
            <v>1</v>
          </cell>
          <cell r="H844" t="str">
            <v>WORKPLAN</v>
          </cell>
          <cell r="J844" t="str">
            <v>A soumettre</v>
          </cell>
          <cell r="S844">
            <v>16290</v>
          </cell>
          <cell r="T844" t="str">
            <v>AIT HSSAINE IDIR</v>
          </cell>
          <cell r="U844" t="str">
            <v>Ordinaire</v>
          </cell>
          <cell r="V844" t="str">
            <v>R2 : Maintien outil production</v>
          </cell>
          <cell r="W844" t="str">
            <v>Renouvellement</v>
          </cell>
          <cell r="X844" t="str">
            <v>Aucune</v>
          </cell>
          <cell r="Y844" t="str">
            <v>Prévu</v>
          </cell>
          <cell r="Z844" t="str">
            <v>Traitement-Khouribga</v>
          </cell>
        </row>
        <row r="845">
          <cell r="A845">
            <v>4156</v>
          </cell>
          <cell r="B845">
            <v>1</v>
          </cell>
          <cell r="C845" t="str">
            <v>Extincteurs et camera PMK/TS</v>
          </cell>
          <cell r="D845" t="str">
            <v>Achat de 40 extincteurs à poudre polyvalente et une camera radar pour le service de sécurité de PMK/T</v>
          </cell>
          <cell r="E845" t="str">
            <v>Approuvé Entité</v>
          </cell>
          <cell r="F845" t="str">
            <v>K04012</v>
          </cell>
          <cell r="G845">
            <v>1</v>
          </cell>
          <cell r="H845" t="str">
            <v>WORKPLAN</v>
          </cell>
          <cell r="J845" t="str">
            <v>A soumettre</v>
          </cell>
          <cell r="S845">
            <v>16324</v>
          </cell>
          <cell r="T845" t="str">
            <v>ASSOUD ABDERRAHIM</v>
          </cell>
          <cell r="U845" t="str">
            <v>Ordinaire</v>
          </cell>
          <cell r="V845" t="str">
            <v>R7 : Environnement et Sécurité</v>
          </cell>
          <cell r="W845" t="str">
            <v>Dotations nouvelles</v>
          </cell>
          <cell r="X845" t="str">
            <v>Aucune</v>
          </cell>
          <cell r="Y845" t="str">
            <v>Prévu</v>
          </cell>
          <cell r="Z845" t="str">
            <v>Traitement-Khouribga</v>
          </cell>
        </row>
        <row r="846">
          <cell r="A846">
            <v>4158</v>
          </cell>
          <cell r="B846">
            <v>1</v>
          </cell>
          <cell r="C846" t="str">
            <v>Répartiteur d'échantillons</v>
          </cell>
          <cell r="D846" t="str">
            <v>Achat d'un répartiteur d'échantillons et Kit de mesure</v>
          </cell>
          <cell r="E846" t="str">
            <v>Approuvé Entité</v>
          </cell>
          <cell r="F846" t="str">
            <v>K04010</v>
          </cell>
          <cell r="G846">
            <v>1</v>
          </cell>
          <cell r="H846" t="str">
            <v>WORKPLAN</v>
          </cell>
          <cell r="J846" t="str">
            <v>A soumettre</v>
          </cell>
          <cell r="S846">
            <v>16327</v>
          </cell>
          <cell r="T846" t="str">
            <v>MOUNTASSIR CHAKOUR</v>
          </cell>
          <cell r="U846" t="str">
            <v>Etudes et essais</v>
          </cell>
          <cell r="V846" t="str">
            <v>R5 : Etudes et Essais</v>
          </cell>
          <cell r="W846" t="str">
            <v>Dotations nouvelles</v>
          </cell>
          <cell r="X846" t="str">
            <v>Aucune</v>
          </cell>
          <cell r="Y846" t="str">
            <v>Prévu</v>
          </cell>
          <cell r="Z846" t="str">
            <v>Traitement-Khouribga</v>
          </cell>
        </row>
        <row r="847">
          <cell r="A847">
            <v>4159</v>
          </cell>
          <cell r="B847">
            <v>1</v>
          </cell>
          <cell r="C847" t="str">
            <v>Kit de mesure des poussières</v>
          </cell>
          <cell r="D847" t="str">
            <v>Achat d'un kit de mesure de dépôt de poussière</v>
          </cell>
          <cell r="E847" t="str">
            <v>Approbation a échoué</v>
          </cell>
          <cell r="F847" t="str">
            <v>K04010</v>
          </cell>
          <cell r="G847">
            <v>1</v>
          </cell>
          <cell r="H847" t="str">
            <v>WORKPLAN</v>
          </cell>
          <cell r="J847" t="str">
            <v>A soumettre</v>
          </cell>
          <cell r="S847">
            <v>16330</v>
          </cell>
          <cell r="T847" t="str">
            <v>MOUNTASSIR CHAKOUR</v>
          </cell>
          <cell r="U847" t="str">
            <v>Etudes et essais</v>
          </cell>
          <cell r="V847" t="str">
            <v>R5 : Etudes et Essais</v>
          </cell>
          <cell r="W847" t="str">
            <v>Dotations nouvelles</v>
          </cell>
          <cell r="X847" t="str">
            <v>Aucune</v>
          </cell>
          <cell r="Y847" t="str">
            <v>Prévu</v>
          </cell>
          <cell r="Z847" t="str">
            <v>Traitement-Khouribga</v>
          </cell>
        </row>
        <row r="848">
          <cell r="A848">
            <v>4162</v>
          </cell>
          <cell r="B848">
            <v>1</v>
          </cell>
          <cell r="C848" t="str">
            <v>Afficheurs méssage PMK/TB/ME</v>
          </cell>
          <cell r="D848" t="str">
            <v>Acquisition des afficheurs de message pour PMK/TB</v>
          </cell>
          <cell r="E848" t="str">
            <v>Approuvé Entité</v>
          </cell>
          <cell r="F848" t="str">
            <v>K04116</v>
          </cell>
          <cell r="G848">
            <v>1</v>
          </cell>
          <cell r="H848" t="str">
            <v>WORKPLAN</v>
          </cell>
          <cell r="J848" t="str">
            <v>A soumettre</v>
          </cell>
          <cell r="S848">
            <v>16336</v>
          </cell>
          <cell r="T848" t="str">
            <v>HADINI MOHAMED</v>
          </cell>
          <cell r="U848" t="str">
            <v>Ordinaire</v>
          </cell>
          <cell r="V848" t="str">
            <v>R2 : Maintien outil production</v>
          </cell>
          <cell r="W848" t="str">
            <v>Dotations nouvelles</v>
          </cell>
          <cell r="X848" t="str">
            <v>Aucune</v>
          </cell>
          <cell r="Y848" t="str">
            <v>Prévu</v>
          </cell>
          <cell r="Z848" t="str">
            <v>Traitement-Khouribga</v>
          </cell>
        </row>
        <row r="849">
          <cell r="A849">
            <v>4163</v>
          </cell>
          <cell r="B849">
            <v>1</v>
          </cell>
          <cell r="C849" t="str">
            <v>Balance PMK/TB/BE</v>
          </cell>
          <cell r="D849" t="str">
            <v>Renouvellement d'une balance de précision pour le laboratoire secondaire de l'usine de l'enrichissement à sec</v>
          </cell>
          <cell r="E849" t="str">
            <v>Approuvé Entité</v>
          </cell>
          <cell r="F849" t="str">
            <v>K04125</v>
          </cell>
          <cell r="G849">
            <v>1</v>
          </cell>
          <cell r="H849" t="str">
            <v>WORKPLAN</v>
          </cell>
          <cell r="J849" t="str">
            <v>A soumettre</v>
          </cell>
          <cell r="S849">
            <v>16338</v>
          </cell>
          <cell r="T849" t="str">
            <v>NOUARI SAID</v>
          </cell>
          <cell r="U849" t="str">
            <v>Etudes et essais</v>
          </cell>
          <cell r="V849" t="str">
            <v>R5 : Etudes et Essais</v>
          </cell>
          <cell r="W849" t="str">
            <v>Renouvellement</v>
          </cell>
          <cell r="X849" t="str">
            <v>Aucune</v>
          </cell>
          <cell r="Y849" t="str">
            <v>Prévu</v>
          </cell>
          <cell r="Z849" t="str">
            <v>Traitement-Khouribga</v>
          </cell>
        </row>
        <row r="850">
          <cell r="A850">
            <v>4171</v>
          </cell>
          <cell r="B850">
            <v>1</v>
          </cell>
          <cell r="C850" t="str">
            <v>Outillage&amp;équipements</v>
          </cell>
          <cell r="D850" t="str">
            <v>Achat de matériel et outillage pour les travaux de vulcanisation</v>
          </cell>
          <cell r="E850" t="str">
            <v>Approuvé Entité</v>
          </cell>
          <cell r="F850" t="str">
            <v>K04535</v>
          </cell>
          <cell r="G850">
            <v>1</v>
          </cell>
          <cell r="H850" t="str">
            <v>WORKPLAN</v>
          </cell>
          <cell r="J850" t="str">
            <v>A soumettre</v>
          </cell>
          <cell r="S850">
            <v>16355</v>
          </cell>
          <cell r="T850" t="str">
            <v>LATRACH KHALID</v>
          </cell>
          <cell r="U850" t="str">
            <v>Ordinaire</v>
          </cell>
          <cell r="V850" t="str">
            <v>R2 : Maintien outil production</v>
          </cell>
          <cell r="W850" t="str">
            <v>Dotations nouvelles</v>
          </cell>
          <cell r="X850" t="str">
            <v>Aucune</v>
          </cell>
          <cell r="Y850" t="str">
            <v>Prévu</v>
          </cell>
          <cell r="Z850" t="str">
            <v>Traitement-Khouribga</v>
          </cell>
        </row>
        <row r="851">
          <cell r="A851">
            <v>4173</v>
          </cell>
          <cell r="B851">
            <v>1</v>
          </cell>
          <cell r="C851" t="str">
            <v>Aménagement locaux PMK/TB/M</v>
          </cell>
          <cell r="D851" t="str">
            <v>Aménagement et extension des locaux et parcs de PMK/TB</v>
          </cell>
          <cell r="E851" t="str">
            <v>Approbation a échoué</v>
          </cell>
          <cell r="F851" t="str">
            <v>K04601</v>
          </cell>
          <cell r="G851">
            <v>1</v>
          </cell>
          <cell r="H851" t="str">
            <v>WORKPLAN</v>
          </cell>
          <cell r="J851" t="str">
            <v>A soumettre</v>
          </cell>
          <cell r="S851">
            <v>16359</v>
          </cell>
          <cell r="T851" t="str">
            <v>TOGHZAOUI ABDELLATIF</v>
          </cell>
          <cell r="U851" t="str">
            <v>Ordinaire</v>
          </cell>
          <cell r="V851" t="str">
            <v>R2 : Maintien outil production</v>
          </cell>
          <cell r="W851" t="str">
            <v>Dotations nouvelles</v>
          </cell>
          <cell r="X851" t="str">
            <v>Aucune</v>
          </cell>
          <cell r="Y851" t="str">
            <v>Prévu</v>
          </cell>
          <cell r="Z851" t="str">
            <v>Traitement-Khouribga</v>
          </cell>
        </row>
        <row r="852">
          <cell r="A852">
            <v>4175</v>
          </cell>
          <cell r="B852">
            <v>1</v>
          </cell>
          <cell r="C852" t="str">
            <v>Equipement PMK/TM/C</v>
          </cell>
          <cell r="D852" t="str">
            <v>Achat du matériel pour les ateliers centralisés de PMK/TM/C</v>
          </cell>
          <cell r="E852" t="str">
            <v>Approuvé Entité</v>
          </cell>
          <cell r="F852" t="str">
            <v>K04530</v>
          </cell>
          <cell r="G852">
            <v>1</v>
          </cell>
          <cell r="H852" t="str">
            <v>WORKPLAN</v>
          </cell>
          <cell r="J852" t="str">
            <v>A soumettre</v>
          </cell>
          <cell r="S852">
            <v>16363</v>
          </cell>
          <cell r="T852" t="str">
            <v>LAHMIDI MOUHCINE</v>
          </cell>
          <cell r="U852" t="str">
            <v>Ordinaire</v>
          </cell>
          <cell r="V852" t="str">
            <v>R2 : Maintien outil production</v>
          </cell>
          <cell r="W852" t="str">
            <v>Dotations nouvelles</v>
          </cell>
          <cell r="X852" t="str">
            <v>Aucune</v>
          </cell>
          <cell r="Y852" t="str">
            <v>Prévu</v>
          </cell>
          <cell r="Z852" t="str">
            <v>Traitement-Khouribga</v>
          </cell>
        </row>
        <row r="853">
          <cell r="A853">
            <v>4176</v>
          </cell>
          <cell r="B853">
            <v>1</v>
          </cell>
          <cell r="C853" t="str">
            <v>MATERIEL DE PROJECTION</v>
          </cell>
          <cell r="D853" t="str">
            <v>MATERIEL BUREAUTIQUE ET DE PROJECTION</v>
          </cell>
          <cell r="E853" t="str">
            <v>Approbation a échoué</v>
          </cell>
          <cell r="F853" t="str">
            <v>K07019</v>
          </cell>
          <cell r="G853">
            <v>1</v>
          </cell>
          <cell r="H853" t="str">
            <v>WORKPLAN</v>
          </cell>
          <cell r="J853" t="str">
            <v>A soumettre</v>
          </cell>
          <cell r="S853">
            <v>16365</v>
          </cell>
          <cell r="T853" t="str">
            <v>TIBAR AZIZ</v>
          </cell>
          <cell r="U853" t="str">
            <v>Administratif</v>
          </cell>
          <cell r="V853" t="str">
            <v>R6 : Social et Administratif</v>
          </cell>
          <cell r="W853" t="str">
            <v>Dotations nouvelles</v>
          </cell>
          <cell r="X853" t="str">
            <v>Aucune</v>
          </cell>
          <cell r="Y853" t="str">
            <v>Prévu</v>
          </cell>
          <cell r="Z853" t="str">
            <v>Embarquement-Casablanca</v>
          </cell>
        </row>
        <row r="854">
          <cell r="A854">
            <v>4177</v>
          </cell>
          <cell r="B854">
            <v>1</v>
          </cell>
          <cell r="C854" t="str">
            <v>Moteurs électriques (50) TB/ME</v>
          </cell>
          <cell r="D854" t="str">
            <v>Achat de 50 moteurs électriques basse tension pour les installations de la Division Traitement Béni-Idir</v>
          </cell>
          <cell r="E854" t="str">
            <v>Approbation a échoué</v>
          </cell>
          <cell r="F854" t="str">
            <v>K04116</v>
          </cell>
          <cell r="G854">
            <v>1</v>
          </cell>
          <cell r="H854" t="str">
            <v>WORKPLAN</v>
          </cell>
          <cell r="J854" t="str">
            <v>A soumettre</v>
          </cell>
          <cell r="S854">
            <v>16367</v>
          </cell>
          <cell r="T854" t="str">
            <v>HADINI MOHAMED</v>
          </cell>
          <cell r="U854" t="str">
            <v>Ordinaire</v>
          </cell>
          <cell r="V854" t="str">
            <v>R2 : Maintien outil production</v>
          </cell>
          <cell r="W854" t="str">
            <v>Dotations nouvelles</v>
          </cell>
          <cell r="X854" t="str">
            <v>Aucune</v>
          </cell>
          <cell r="Y854" t="str">
            <v>Prévu</v>
          </cell>
          <cell r="Z854" t="str">
            <v>Traitement-Khouribga</v>
          </cell>
        </row>
        <row r="855">
          <cell r="A855">
            <v>4178</v>
          </cell>
          <cell r="B855">
            <v>1</v>
          </cell>
          <cell r="C855" t="str">
            <v>Moteurs électriques (09) TB/ME</v>
          </cell>
          <cell r="D855" t="str">
            <v>Renouvellement de 09 moteurs moyenne tension pour les installations de la Division Traitement Béni-Idir</v>
          </cell>
          <cell r="E855" t="str">
            <v>Approbation a échoué</v>
          </cell>
          <cell r="F855" t="str">
            <v>K04125</v>
          </cell>
          <cell r="G855">
            <v>1</v>
          </cell>
          <cell r="H855" t="str">
            <v>WORKPLAN</v>
          </cell>
          <cell r="J855" t="str">
            <v>A soumettre</v>
          </cell>
          <cell r="S855">
            <v>16369</v>
          </cell>
          <cell r="T855" t="str">
            <v>HADINI MOHAMED</v>
          </cell>
          <cell r="U855" t="str">
            <v>Ordinaire</v>
          </cell>
          <cell r="V855" t="str">
            <v>R2 : Maintien outil production</v>
          </cell>
          <cell r="W855" t="str">
            <v>Dotations nouvelles</v>
          </cell>
          <cell r="X855" t="str">
            <v>Aucune</v>
          </cell>
          <cell r="Y855" t="str">
            <v>Prévu</v>
          </cell>
          <cell r="Z855" t="str">
            <v>Traitement-Khouribga</v>
          </cell>
        </row>
        <row r="856">
          <cell r="A856">
            <v>4179</v>
          </cell>
          <cell r="B856">
            <v>1</v>
          </cell>
          <cell r="C856" t="str">
            <v>Moteurs électriques MT PMK/TB</v>
          </cell>
          <cell r="D856" t="str">
            <v>Achat de 09 moteurs électriques moyenne tension pour les installations de PMK/TB</v>
          </cell>
          <cell r="E856" t="str">
            <v>Approbation a échoué</v>
          </cell>
          <cell r="F856" t="str">
            <v>K04131</v>
          </cell>
          <cell r="G856">
            <v>1</v>
          </cell>
          <cell r="H856" t="str">
            <v>WORKPLAN</v>
          </cell>
          <cell r="J856" t="str">
            <v>A soumettre</v>
          </cell>
          <cell r="S856">
            <v>16371</v>
          </cell>
          <cell r="T856" t="str">
            <v>HADINI MOHAMED</v>
          </cell>
          <cell r="U856" t="str">
            <v>Ordinaire</v>
          </cell>
          <cell r="V856" t="str">
            <v>R2 : Maintien outil production</v>
          </cell>
          <cell r="W856" t="str">
            <v>Dotations nouvelles</v>
          </cell>
          <cell r="X856" t="str">
            <v>Aucune</v>
          </cell>
          <cell r="Y856" t="str">
            <v>Prévu</v>
          </cell>
          <cell r="Z856" t="str">
            <v>Traitement-Khouribga</v>
          </cell>
        </row>
        <row r="857">
          <cell r="A857">
            <v>4180</v>
          </cell>
          <cell r="B857">
            <v>1</v>
          </cell>
          <cell r="C857" t="str">
            <v>Bascule intégratrice PMK/TB/ME</v>
          </cell>
          <cell r="D857" t="str">
            <v>Achat de 04 bascules intégratrices pour la station de chargement de l'unité de Béni-Idir</v>
          </cell>
          <cell r="E857" t="str">
            <v>Approuvé Entité</v>
          </cell>
          <cell r="F857" t="str">
            <v>K04131</v>
          </cell>
          <cell r="G857">
            <v>1</v>
          </cell>
          <cell r="H857" t="str">
            <v>WORKPLAN</v>
          </cell>
          <cell r="J857" t="str">
            <v>A soumettre</v>
          </cell>
          <cell r="S857">
            <v>16373</v>
          </cell>
          <cell r="T857" t="str">
            <v>HADINI MOHAMED</v>
          </cell>
          <cell r="U857" t="str">
            <v>Ordinaire</v>
          </cell>
          <cell r="V857" t="str">
            <v>R2 : Maintien outil production</v>
          </cell>
          <cell r="W857" t="str">
            <v>Dotations nouvelles</v>
          </cell>
          <cell r="X857" t="str">
            <v>Aucune</v>
          </cell>
          <cell r="Y857" t="str">
            <v>Prévu</v>
          </cell>
          <cell r="Z857" t="str">
            <v>Traitement-Khouribga</v>
          </cell>
        </row>
        <row r="858">
          <cell r="A858">
            <v>4181</v>
          </cell>
          <cell r="B858">
            <v>1</v>
          </cell>
          <cell r="C858" t="str">
            <v>Poste émet/récept PMK/TB</v>
          </cell>
          <cell r="D858" t="str">
            <v>Achat des postes émetteurs / récepteurs pour la direction PMK/T</v>
          </cell>
          <cell r="E858" t="str">
            <v>Approuvé Entité</v>
          </cell>
          <cell r="F858" t="str">
            <v>K04100</v>
          </cell>
          <cell r="G858">
            <v>1</v>
          </cell>
          <cell r="H858" t="str">
            <v>WORKPLAN</v>
          </cell>
          <cell r="J858" t="str">
            <v>A soumettre</v>
          </cell>
          <cell r="S858">
            <v>16375</v>
          </cell>
          <cell r="T858" t="str">
            <v>HADINI MOHAMED</v>
          </cell>
          <cell r="U858" t="str">
            <v>Ordinaire</v>
          </cell>
          <cell r="V858" t="str">
            <v>R2 : Maintien outil production</v>
          </cell>
          <cell r="W858" t="str">
            <v>Dotations nouvelles</v>
          </cell>
          <cell r="X858" t="str">
            <v>Aucune</v>
          </cell>
          <cell r="Y858" t="str">
            <v>Prévu</v>
          </cell>
          <cell r="Z858" t="str">
            <v>Traitement-Khouribga</v>
          </cell>
        </row>
        <row r="859">
          <cell r="A859">
            <v>4182</v>
          </cell>
          <cell r="B859">
            <v>1</v>
          </cell>
          <cell r="C859" t="str">
            <v>chargeurs batteries PMK/TB/ME</v>
          </cell>
          <cell r="D859" t="str">
            <v>Achat des chargeurs de batteries pour les postes électriques des installations de PMK/TB</v>
          </cell>
          <cell r="E859" t="str">
            <v>Approuvé Entité</v>
          </cell>
          <cell r="F859" t="str">
            <v>K04131</v>
          </cell>
          <cell r="G859">
            <v>1</v>
          </cell>
          <cell r="H859" t="str">
            <v>WORKPLAN</v>
          </cell>
          <cell r="J859" t="str">
            <v>A soumettre</v>
          </cell>
          <cell r="S859">
            <v>16377</v>
          </cell>
          <cell r="T859" t="str">
            <v>HADINI MOHAMED</v>
          </cell>
          <cell r="U859" t="str">
            <v>Ordinaire</v>
          </cell>
          <cell r="V859" t="str">
            <v>R2 : Maintien outil production</v>
          </cell>
          <cell r="W859" t="str">
            <v>Dotations nouvelles</v>
          </cell>
          <cell r="X859" t="str">
            <v>Aucune</v>
          </cell>
          <cell r="Y859" t="str">
            <v>Prévu</v>
          </cell>
          <cell r="Z859" t="str">
            <v>Traitement-Khouribga</v>
          </cell>
        </row>
        <row r="860">
          <cell r="A860">
            <v>4184</v>
          </cell>
          <cell r="B860">
            <v>1</v>
          </cell>
          <cell r="C860" t="str">
            <v>RESEAU 60KV</v>
          </cell>
          <cell r="D860" t="str">
            <v>ALIMENTATION DE SECOURS DU RESEAU 60KV A PARTIR DU NOUVEAU POSTE ONE 225/60KV A MRIZIGUE</v>
          </cell>
          <cell r="G860">
            <v>1</v>
          </cell>
          <cell r="H860" t="str">
            <v>vi</v>
          </cell>
          <cell r="I860" t="str">
            <v>BUDGET INITIAL</v>
          </cell>
          <cell r="J860" t="str">
            <v>Rejeté</v>
          </cell>
          <cell r="K860">
            <v>13000000</v>
          </cell>
          <cell r="L860">
            <v>13000000</v>
          </cell>
          <cell r="M860">
            <v>13000000</v>
          </cell>
          <cell r="N860">
            <v>13000000</v>
          </cell>
          <cell r="S860">
            <v>16382</v>
          </cell>
          <cell r="T860" t="str">
            <v>SAOUD KARIM</v>
          </cell>
          <cell r="U860" t="str">
            <v>Ordinaire</v>
          </cell>
          <cell r="V860" t="str">
            <v>R4 : Aug capacité production</v>
          </cell>
          <cell r="W860" t="str">
            <v>Dotations nouvelles</v>
          </cell>
          <cell r="X860" t="str">
            <v>Aucune</v>
          </cell>
          <cell r="Y860" t="str">
            <v>Prévu</v>
          </cell>
          <cell r="Z860" t="str">
            <v>Logistique-Khouribga</v>
          </cell>
        </row>
        <row r="861">
          <cell r="A861">
            <v>4185</v>
          </cell>
          <cell r="B861">
            <v>1</v>
          </cell>
          <cell r="C861" t="str">
            <v>Cheminée séchage BI</v>
          </cell>
          <cell r="D861" t="str">
            <v>Fourniture et installation de 08 cheminées des fours sécheurs de Béni-Idir</v>
          </cell>
          <cell r="E861" t="str">
            <v>Approuvé Entité</v>
          </cell>
          <cell r="F861" t="str">
            <v>K04116</v>
          </cell>
          <cell r="G861">
            <v>1</v>
          </cell>
          <cell r="H861" t="str">
            <v>WORKPLAN</v>
          </cell>
          <cell r="J861" t="str">
            <v>A soumettre</v>
          </cell>
          <cell r="S861">
            <v>16383</v>
          </cell>
          <cell r="T861" t="str">
            <v>JERRAR HICHAM</v>
          </cell>
          <cell r="U861" t="str">
            <v>Ordinaire</v>
          </cell>
          <cell r="V861" t="str">
            <v>R2 : Maintien outil production</v>
          </cell>
          <cell r="W861" t="str">
            <v>Dotations nouvelles</v>
          </cell>
          <cell r="X861" t="str">
            <v>Aucune</v>
          </cell>
          <cell r="Y861" t="str">
            <v>Prévu</v>
          </cell>
          <cell r="Z861" t="str">
            <v>Traitement-Khouribga</v>
          </cell>
        </row>
        <row r="862">
          <cell r="A862">
            <v>4186</v>
          </cell>
          <cell r="B862">
            <v>1</v>
          </cell>
          <cell r="C862" t="str">
            <v>Equipement atelier PMK/TB/MM</v>
          </cell>
          <cell r="D862" t="str">
            <v>Renouvellement des équipements des ateliers mécaniques de Béni-Idir</v>
          </cell>
          <cell r="E862" t="str">
            <v>Approuvé Entité</v>
          </cell>
          <cell r="F862" t="str">
            <v>K04602</v>
          </cell>
          <cell r="G862">
            <v>1</v>
          </cell>
          <cell r="H862" t="str">
            <v>WORKPLAN</v>
          </cell>
          <cell r="J862" t="str">
            <v>A soumettre</v>
          </cell>
          <cell r="S862">
            <v>16385</v>
          </cell>
          <cell r="T862" t="str">
            <v>JERRAR HICHAM</v>
          </cell>
          <cell r="U862" t="str">
            <v>Ordinaire</v>
          </cell>
          <cell r="V862" t="str">
            <v>R2 : Maintien outil production</v>
          </cell>
          <cell r="W862" t="str">
            <v>Renouvellement</v>
          </cell>
          <cell r="X862" t="str">
            <v>Aucune</v>
          </cell>
          <cell r="Y862" t="str">
            <v>Prévu</v>
          </cell>
          <cell r="Z862" t="str">
            <v>Traitement-Khouribga</v>
          </cell>
        </row>
        <row r="863">
          <cell r="A863">
            <v>4187</v>
          </cell>
          <cell r="B863">
            <v>1</v>
          </cell>
          <cell r="C863" t="str">
            <v>Equipements atelier PMK/TB/MM</v>
          </cell>
          <cell r="D863" t="str">
            <v>Achat d'équipements pour les ateliers de maintenance</v>
          </cell>
          <cell r="E863" t="str">
            <v>Approbation a échoué</v>
          </cell>
          <cell r="F863" t="str">
            <v>K04602</v>
          </cell>
          <cell r="G863">
            <v>1</v>
          </cell>
          <cell r="H863" t="str">
            <v>WORKPLAN</v>
          </cell>
          <cell r="J863" t="str">
            <v>A soumettre</v>
          </cell>
          <cell r="S863">
            <v>16387</v>
          </cell>
          <cell r="T863" t="str">
            <v>JERRAR HICHAM</v>
          </cell>
          <cell r="U863" t="str">
            <v>Ordinaire</v>
          </cell>
          <cell r="V863" t="str">
            <v>R2 : Maintien outil production</v>
          </cell>
          <cell r="W863" t="str">
            <v>Dotations nouvelles</v>
          </cell>
          <cell r="X863" t="str">
            <v>Aucune</v>
          </cell>
          <cell r="Y863" t="str">
            <v>Prévu</v>
          </cell>
          <cell r="Z863" t="str">
            <v>Traitement-Khouribga</v>
          </cell>
        </row>
        <row r="864">
          <cell r="A864">
            <v>4188</v>
          </cell>
          <cell r="B864">
            <v>1</v>
          </cell>
          <cell r="C864" t="str">
            <v>Outillage PMK/TB/MM</v>
          </cell>
          <cell r="D864" t="str">
            <v>Renouvellement d'outillage pour l'atelier mécanique de PMK/TB</v>
          </cell>
          <cell r="E864" t="str">
            <v>Approuvé Entité</v>
          </cell>
          <cell r="F864" t="str">
            <v>K04602</v>
          </cell>
          <cell r="G864">
            <v>1</v>
          </cell>
          <cell r="H864" t="str">
            <v>WORKPLAN</v>
          </cell>
          <cell r="J864" t="str">
            <v>A soumettre</v>
          </cell>
          <cell r="S864">
            <v>16389</v>
          </cell>
          <cell r="T864" t="str">
            <v>JERRAR HICHAM</v>
          </cell>
          <cell r="U864" t="str">
            <v>Ordinaire</v>
          </cell>
          <cell r="V864" t="str">
            <v>R2 : Maintien outil production</v>
          </cell>
          <cell r="W864" t="str">
            <v>Renouvellement</v>
          </cell>
          <cell r="X864" t="str">
            <v>Aucune</v>
          </cell>
          <cell r="Y864" t="str">
            <v>Prévu</v>
          </cell>
          <cell r="Z864" t="str">
            <v>Traitement-Khouribga</v>
          </cell>
        </row>
        <row r="865">
          <cell r="A865">
            <v>4189</v>
          </cell>
          <cell r="B865">
            <v>1</v>
          </cell>
          <cell r="C865" t="str">
            <v>Réducteurs PMK/TB/MM</v>
          </cell>
          <cell r="D865" t="str">
            <v>Renouvellement de 70 réducteurs de vitesse des installations de PMK/TB</v>
          </cell>
          <cell r="E865" t="str">
            <v>Approuvé Entité</v>
          </cell>
          <cell r="F865" t="str">
            <v>K04602</v>
          </cell>
          <cell r="G865">
            <v>1</v>
          </cell>
          <cell r="H865" t="str">
            <v>WORKPLAN</v>
          </cell>
          <cell r="J865" t="str">
            <v>A soumettre</v>
          </cell>
          <cell r="S865">
            <v>16391</v>
          </cell>
          <cell r="T865" t="str">
            <v>JERRAR HICHAM</v>
          </cell>
          <cell r="U865" t="str">
            <v>Ordinaire</v>
          </cell>
          <cell r="V865" t="str">
            <v>R2 : Maintien outil production</v>
          </cell>
          <cell r="W865" t="str">
            <v>Renouvellement</v>
          </cell>
          <cell r="X865" t="str">
            <v>Aucune</v>
          </cell>
          <cell r="Y865" t="str">
            <v>Prévu</v>
          </cell>
          <cell r="Z865" t="str">
            <v>Traitement-Khouribga</v>
          </cell>
        </row>
        <row r="866">
          <cell r="A866">
            <v>4190</v>
          </cell>
          <cell r="B866">
            <v>1</v>
          </cell>
          <cell r="C866" t="str">
            <v>SCANNER</v>
          </cell>
          <cell r="D866" t="str">
            <v>Equipements bureautiques (18 Scanners) pour PMK dans le cadre du projet GMAO</v>
          </cell>
          <cell r="E866" t="str">
            <v>Approuvé</v>
          </cell>
          <cell r="F866" t="str">
            <v>K02219</v>
          </cell>
          <cell r="G866">
            <v>1</v>
          </cell>
          <cell r="H866" t="str">
            <v>WORKPLAN</v>
          </cell>
          <cell r="J866" t="str">
            <v>A soumettre</v>
          </cell>
          <cell r="S866">
            <v>16393</v>
          </cell>
          <cell r="T866" t="str">
            <v>SAOUD KARIM</v>
          </cell>
          <cell r="U866" t="str">
            <v>Ordinaire</v>
          </cell>
          <cell r="V866" t="str">
            <v>R8 : Informatique</v>
          </cell>
          <cell r="W866" t="str">
            <v>Dotations nouvelles</v>
          </cell>
          <cell r="X866" t="str">
            <v>Aucune</v>
          </cell>
          <cell r="Y866" t="str">
            <v>Imprévu</v>
          </cell>
          <cell r="Z866" t="str">
            <v>Logistique-Khouribga</v>
          </cell>
        </row>
        <row r="867">
          <cell r="A867">
            <v>4191</v>
          </cell>
          <cell r="B867">
            <v>1</v>
          </cell>
          <cell r="C867" t="str">
            <v>Mobilier de bureaux PMK/TB/MM</v>
          </cell>
          <cell r="D867" t="str">
            <v>Renouvellement du mobilier de bureaux pour les ateliers mécaniques de PMK/TB/MM</v>
          </cell>
          <cell r="E867" t="str">
            <v>Approuvé Entité</v>
          </cell>
          <cell r="F867" t="str">
            <v>K04603</v>
          </cell>
          <cell r="G867">
            <v>1</v>
          </cell>
          <cell r="H867" t="str">
            <v>WORKPLAN</v>
          </cell>
          <cell r="J867" t="str">
            <v>A soumettre</v>
          </cell>
          <cell r="S867">
            <v>16394</v>
          </cell>
          <cell r="T867" t="str">
            <v>JERRAR HICHAM</v>
          </cell>
          <cell r="U867" t="str">
            <v>Administratif</v>
          </cell>
          <cell r="V867" t="str">
            <v>R6 : Social et Administratif</v>
          </cell>
          <cell r="W867" t="str">
            <v>Renouvellement</v>
          </cell>
          <cell r="X867" t="str">
            <v>Aucune</v>
          </cell>
          <cell r="Y867" t="str">
            <v>Prévu</v>
          </cell>
          <cell r="Z867" t="str">
            <v>Traitement-Khouribga</v>
          </cell>
        </row>
        <row r="868">
          <cell r="A868">
            <v>4192</v>
          </cell>
          <cell r="B868">
            <v>1</v>
          </cell>
          <cell r="C868" t="str">
            <v>Tracteur et Chariot PMK/TB/MM</v>
          </cell>
          <cell r="D868" t="str">
            <v>Renouvellement d'un tracteur et un chariot pour PMK/TB</v>
          </cell>
          <cell r="E868" t="str">
            <v>Approuvé Entité</v>
          </cell>
          <cell r="F868" t="str">
            <v>K04602</v>
          </cell>
          <cell r="G868">
            <v>1</v>
          </cell>
          <cell r="H868" t="str">
            <v>WORKPLAN</v>
          </cell>
          <cell r="J868" t="str">
            <v>A soumettre</v>
          </cell>
          <cell r="S868">
            <v>16397</v>
          </cell>
          <cell r="T868" t="str">
            <v>JERRAR HICHAM</v>
          </cell>
          <cell r="U868" t="str">
            <v>Ordinaire</v>
          </cell>
          <cell r="V868" t="str">
            <v>R9 : Véhicules</v>
          </cell>
          <cell r="W868" t="str">
            <v>Renouvellement</v>
          </cell>
          <cell r="X868" t="str">
            <v>Aucune</v>
          </cell>
          <cell r="Y868" t="str">
            <v>Prévu</v>
          </cell>
          <cell r="Z868" t="str">
            <v>Traitement-Khouribga</v>
          </cell>
        </row>
        <row r="869">
          <cell r="A869">
            <v>4194</v>
          </cell>
          <cell r="B869">
            <v>1</v>
          </cell>
          <cell r="C869" t="str">
            <v>Treuils PMK/TB/MM</v>
          </cell>
          <cell r="D869" t="str">
            <v>Renouvellement de 40 treuils des installations de PMK/TB</v>
          </cell>
          <cell r="E869" t="str">
            <v>Approuvé Entité</v>
          </cell>
          <cell r="F869" t="str">
            <v>K04601</v>
          </cell>
          <cell r="G869">
            <v>1</v>
          </cell>
          <cell r="H869" t="str">
            <v>WORKPLAN</v>
          </cell>
          <cell r="J869" t="str">
            <v>A soumettre</v>
          </cell>
          <cell r="S869">
            <v>16401</v>
          </cell>
          <cell r="T869" t="str">
            <v>JERRAR HICHAM</v>
          </cell>
          <cell r="U869" t="str">
            <v>Ordinaire</v>
          </cell>
          <cell r="V869" t="str">
            <v>R2 : Maintien outil production</v>
          </cell>
          <cell r="W869" t="str">
            <v>Renouvellement</v>
          </cell>
          <cell r="X869" t="str">
            <v>Aucune</v>
          </cell>
          <cell r="Y869" t="str">
            <v>Prévu</v>
          </cell>
          <cell r="Z869" t="str">
            <v>Traitement-Khouribga</v>
          </cell>
        </row>
        <row r="870">
          <cell r="A870">
            <v>4195</v>
          </cell>
          <cell r="B870">
            <v>1</v>
          </cell>
          <cell r="C870" t="str">
            <v>Enrouleurs de câbles PMK/TB/MM</v>
          </cell>
          <cell r="D870" t="str">
            <v>Renouvellement de 10 enrouleurs de câbles des roue pelles et stockeuses à Béni-Idir</v>
          </cell>
          <cell r="E870" t="str">
            <v>Approuvé Entité</v>
          </cell>
          <cell r="F870" t="str">
            <v>K04108</v>
          </cell>
          <cell r="G870">
            <v>1</v>
          </cell>
          <cell r="H870" t="str">
            <v>WORKPLAN</v>
          </cell>
          <cell r="J870" t="str">
            <v>A soumettre</v>
          </cell>
          <cell r="S870">
            <v>16403</v>
          </cell>
          <cell r="T870" t="str">
            <v>JERRAR HICHAM</v>
          </cell>
          <cell r="U870" t="str">
            <v>Ordinaire</v>
          </cell>
          <cell r="V870" t="str">
            <v>R2 : Maintien outil production</v>
          </cell>
          <cell r="W870" t="str">
            <v>Renouvellement</v>
          </cell>
          <cell r="X870" t="str">
            <v>Aucune</v>
          </cell>
          <cell r="Y870" t="str">
            <v>Prévu</v>
          </cell>
          <cell r="Z870" t="str">
            <v>Traitement-Khouribga</v>
          </cell>
        </row>
        <row r="871">
          <cell r="A871">
            <v>4196</v>
          </cell>
          <cell r="B871">
            <v>1</v>
          </cell>
          <cell r="C871" t="str">
            <v>Poste de soudage PMK/TB/MM</v>
          </cell>
          <cell r="D871" t="str">
            <v>Renouvellement de 18 postes de soudage pour les ateliers mécaniques de PMK/TB</v>
          </cell>
          <cell r="E871" t="str">
            <v>Approuvé Entité</v>
          </cell>
          <cell r="F871" t="str">
            <v>K04602</v>
          </cell>
          <cell r="G871">
            <v>1</v>
          </cell>
          <cell r="H871" t="str">
            <v>WORKPLAN</v>
          </cell>
          <cell r="J871" t="str">
            <v>A soumettre</v>
          </cell>
          <cell r="S871">
            <v>16405</v>
          </cell>
          <cell r="T871" t="str">
            <v>JERRAR HICHAM</v>
          </cell>
          <cell r="U871" t="str">
            <v>Ordinaire</v>
          </cell>
          <cell r="V871" t="str">
            <v>R2 : Maintien outil production</v>
          </cell>
          <cell r="W871" t="str">
            <v>Renouvellement</v>
          </cell>
          <cell r="X871" t="str">
            <v>Aucune</v>
          </cell>
          <cell r="Y871" t="str">
            <v>Prévu</v>
          </cell>
          <cell r="Z871" t="str">
            <v>Traitement-Khouribga</v>
          </cell>
        </row>
        <row r="872">
          <cell r="A872">
            <v>4197</v>
          </cell>
          <cell r="B872">
            <v>1</v>
          </cell>
          <cell r="C872" t="str">
            <v>Engins manutention PMK/TB/MM</v>
          </cell>
          <cell r="D872" t="str">
            <v>Renouvellement des engins de manutention pour PMK/TB/MM</v>
          </cell>
          <cell r="E872" t="str">
            <v>Approuvé Entité</v>
          </cell>
          <cell r="F872" t="str">
            <v>K04602</v>
          </cell>
          <cell r="G872">
            <v>1</v>
          </cell>
          <cell r="J872" t="str">
            <v>A soumettre</v>
          </cell>
          <cell r="S872">
            <v>19812</v>
          </cell>
          <cell r="T872" t="str">
            <v>JERRAR HICHAM</v>
          </cell>
          <cell r="U872" t="str">
            <v>Ordinaire</v>
          </cell>
          <cell r="V872" t="str">
            <v>R9 : Véhicules</v>
          </cell>
          <cell r="W872" t="str">
            <v>Renouvellement</v>
          </cell>
          <cell r="X872" t="str">
            <v>Aucune</v>
          </cell>
          <cell r="Y872" t="str">
            <v>Prévu</v>
          </cell>
          <cell r="Z872" t="str">
            <v>Traitement-Khouribga</v>
          </cell>
        </row>
        <row r="873">
          <cell r="A873">
            <v>4198</v>
          </cell>
          <cell r="B873">
            <v>1</v>
          </cell>
          <cell r="C873" t="str">
            <v>Humidimètres PMK/TB/ME</v>
          </cell>
          <cell r="D873" t="str">
            <v>Achat de 5 humidimètres pour les fours sécheurs de PMK/TB</v>
          </cell>
          <cell r="E873" t="str">
            <v>Approuvé Entité</v>
          </cell>
          <cell r="F873" t="str">
            <v>K04116</v>
          </cell>
          <cell r="G873">
            <v>1</v>
          </cell>
          <cell r="H873" t="str">
            <v>WORKPLAN</v>
          </cell>
          <cell r="J873" t="str">
            <v>A soumettre</v>
          </cell>
          <cell r="S873">
            <v>16411</v>
          </cell>
          <cell r="T873" t="str">
            <v>JERRAR HICHAM</v>
          </cell>
          <cell r="U873" t="str">
            <v>Administratif</v>
          </cell>
          <cell r="V873" t="str">
            <v>R6 : Social et Administratif</v>
          </cell>
          <cell r="W873" t="str">
            <v>Dotations nouvelles</v>
          </cell>
          <cell r="X873" t="str">
            <v>Aucune</v>
          </cell>
          <cell r="Y873" t="str">
            <v>Prévu</v>
          </cell>
          <cell r="Z873" t="str">
            <v>Traitement-Khouribga</v>
          </cell>
        </row>
        <row r="874">
          <cell r="A874">
            <v>4200</v>
          </cell>
          <cell r="B874">
            <v>1</v>
          </cell>
          <cell r="C874" t="str">
            <v>Bande transporteuse</v>
          </cell>
          <cell r="D874" t="str">
            <v>Renouvellement partiel de la bande des convoyeurs des liaisons de PMK/TB</v>
          </cell>
          <cell r="E874" t="str">
            <v>Approbation a échoué</v>
          </cell>
          <cell r="F874" t="str">
            <v>K04105</v>
          </cell>
          <cell r="G874">
            <v>1</v>
          </cell>
          <cell r="H874" t="str">
            <v>WORKPLAN</v>
          </cell>
          <cell r="J874" t="str">
            <v>A soumettre</v>
          </cell>
          <cell r="S874">
            <v>16414</v>
          </cell>
          <cell r="T874" t="str">
            <v>JERRAR HICHAM</v>
          </cell>
          <cell r="U874" t="str">
            <v>Ordinaire</v>
          </cell>
          <cell r="V874" t="str">
            <v>R2 : Maintien outil production</v>
          </cell>
          <cell r="W874" t="str">
            <v>Renouvellement</v>
          </cell>
          <cell r="X874" t="str">
            <v>Aucune</v>
          </cell>
          <cell r="Y874" t="str">
            <v>Prévu</v>
          </cell>
          <cell r="Z874" t="str">
            <v>Traitement-Khouribga</v>
          </cell>
        </row>
        <row r="875">
          <cell r="A875">
            <v>4201</v>
          </cell>
          <cell r="B875">
            <v>1</v>
          </cell>
          <cell r="C875" t="str">
            <v>IV23744</v>
          </cell>
          <cell r="D875" t="str">
            <v>MATERIEL ET OUTILLAGE POUR ATELIER ET STATION SERVICE</v>
          </cell>
          <cell r="E875" t="str">
            <v>Approuvé</v>
          </cell>
          <cell r="F875" t="str">
            <v>K07111</v>
          </cell>
          <cell r="G875">
            <v>1</v>
          </cell>
          <cell r="H875" t="str">
            <v>WORKPLAN</v>
          </cell>
          <cell r="J875" t="str">
            <v>A soumettre</v>
          </cell>
          <cell r="S875">
            <v>16416</v>
          </cell>
          <cell r="T875" t="str">
            <v>RAOUIA ELMOSTAFA</v>
          </cell>
          <cell r="U875" t="str">
            <v>Ordinaire</v>
          </cell>
          <cell r="V875" t="str">
            <v>R2 : Maintien outil production</v>
          </cell>
          <cell r="W875" t="str">
            <v>Dotations nouvelles</v>
          </cell>
          <cell r="X875" t="str">
            <v>Aucune</v>
          </cell>
          <cell r="Y875" t="str">
            <v>Prévu</v>
          </cell>
          <cell r="Z875" t="str">
            <v>Embarquement-Casablanca</v>
          </cell>
        </row>
        <row r="876">
          <cell r="A876">
            <v>4204</v>
          </cell>
          <cell r="B876">
            <v>1</v>
          </cell>
          <cell r="C876" t="str">
            <v>G.P.S de positionnement</v>
          </cell>
          <cell r="D876" t="str">
            <v>G.P.S de positionnement</v>
          </cell>
          <cell r="E876" t="str">
            <v>Refusé</v>
          </cell>
          <cell r="F876" t="str">
            <v>K03020</v>
          </cell>
          <cell r="G876">
            <v>1</v>
          </cell>
          <cell r="H876" t="str">
            <v>WORKPLAN</v>
          </cell>
          <cell r="J876" t="str">
            <v>A soumettre</v>
          </cell>
          <cell r="S876">
            <v>16430</v>
          </cell>
          <cell r="T876" t="str">
            <v>CHEHTANE Mohammed</v>
          </cell>
          <cell r="U876" t="str">
            <v>Ordinaire</v>
          </cell>
          <cell r="V876" t="str">
            <v>R3 : Amélioration prix revient</v>
          </cell>
          <cell r="W876" t="str">
            <v>Dotations nouvelles</v>
          </cell>
          <cell r="X876" t="str">
            <v>Aucune</v>
          </cell>
          <cell r="Y876" t="str">
            <v>Prévu</v>
          </cell>
          <cell r="Z876" t="str">
            <v>Production-Khouribga</v>
          </cell>
        </row>
        <row r="877">
          <cell r="A877">
            <v>4208</v>
          </cell>
          <cell r="B877">
            <v>1</v>
          </cell>
          <cell r="C877" t="str">
            <v>Outillage PMK/TB/ME</v>
          </cell>
          <cell r="D877" t="str">
            <v>Acquisition de l'outillage pour les ateliers de maintenance électrique et régulation de PMK/TB</v>
          </cell>
          <cell r="E877" t="str">
            <v>Approuvé Entité</v>
          </cell>
          <cell r="F877" t="str">
            <v>K04605</v>
          </cell>
          <cell r="G877">
            <v>1</v>
          </cell>
          <cell r="H877" t="str">
            <v>WORKPLAN</v>
          </cell>
          <cell r="J877" t="str">
            <v>A soumettre</v>
          </cell>
          <cell r="S877">
            <v>16438</v>
          </cell>
          <cell r="T877" t="str">
            <v>HADINI MOHAMED</v>
          </cell>
          <cell r="U877" t="str">
            <v>Ordinaire</v>
          </cell>
          <cell r="V877" t="str">
            <v>R2 : Maintien outil production</v>
          </cell>
          <cell r="W877" t="str">
            <v>Dotations nouvelles</v>
          </cell>
          <cell r="X877" t="str">
            <v>Aucune</v>
          </cell>
          <cell r="Y877" t="str">
            <v>Prévu</v>
          </cell>
          <cell r="Z877" t="str">
            <v>Traitement-Khouribga</v>
          </cell>
        </row>
        <row r="878">
          <cell r="A878">
            <v>4223</v>
          </cell>
          <cell r="B878">
            <v>1</v>
          </cell>
          <cell r="C878" t="str">
            <v>ACQUISITION D'UN TELECOPIEUR</v>
          </cell>
          <cell r="D878" t="str">
            <v>AQUISITION D'UN TELECOPIEUR POUR PMK /IC</v>
          </cell>
          <cell r="E878" t="str">
            <v>Approuvé</v>
          </cell>
          <cell r="F878" t="str">
            <v>K01001</v>
          </cell>
          <cell r="G878">
            <v>1</v>
          </cell>
          <cell r="H878" t="str">
            <v>WORKPLAN</v>
          </cell>
          <cell r="J878" t="str">
            <v>A soumettre</v>
          </cell>
          <cell r="S878">
            <v>16466</v>
          </cell>
          <cell r="T878" t="str">
            <v>DERDAKI MOHAMED</v>
          </cell>
          <cell r="U878" t="str">
            <v>Administratif</v>
          </cell>
          <cell r="V878" t="str">
            <v>R6 : Social et Administratif</v>
          </cell>
          <cell r="W878" t="str">
            <v>Dotations nouvelles</v>
          </cell>
          <cell r="X878" t="str">
            <v>Aucune</v>
          </cell>
          <cell r="Y878" t="str">
            <v>Prévu</v>
          </cell>
          <cell r="Z878" t="str">
            <v>Administration-Khouribga</v>
          </cell>
        </row>
        <row r="879">
          <cell r="A879">
            <v>4225</v>
          </cell>
          <cell r="B879">
            <v>1</v>
          </cell>
          <cell r="C879" t="str">
            <v>ARMOIRES METALIQUES</v>
          </cell>
          <cell r="D879" t="str">
            <v>RENOUVELLEMENT MOBILIER DE BUREAU</v>
          </cell>
          <cell r="E879" t="str">
            <v>Approuvé CP</v>
          </cell>
          <cell r="F879" t="str">
            <v>G06017</v>
          </cell>
          <cell r="G879">
            <v>1</v>
          </cell>
          <cell r="H879" t="str">
            <v>WORKPLAN</v>
          </cell>
          <cell r="J879" t="str">
            <v>A soumettre</v>
          </cell>
          <cell r="S879">
            <v>16473</v>
          </cell>
          <cell r="T879" t="str">
            <v>BENAISSA Jamal</v>
          </cell>
          <cell r="U879" t="str">
            <v>Administratif</v>
          </cell>
          <cell r="V879" t="str">
            <v>R6 : Social et Administratif</v>
          </cell>
          <cell r="W879" t="str">
            <v>Renouvellement</v>
          </cell>
          <cell r="X879" t="str">
            <v>Aucune</v>
          </cell>
          <cell r="Y879" t="str">
            <v>Prévu</v>
          </cell>
          <cell r="Z879" t="str">
            <v>Services Fonctionnels</v>
          </cell>
        </row>
        <row r="880">
          <cell r="A880">
            <v>4226</v>
          </cell>
          <cell r="B880">
            <v>1</v>
          </cell>
          <cell r="C880" t="str">
            <v>Matériel Topographique</v>
          </cell>
          <cell r="D880" t="str">
            <v>Achat de matériel topographique</v>
          </cell>
          <cell r="E880" t="str">
            <v>Approuvé</v>
          </cell>
          <cell r="F880" t="str">
            <v>K03020</v>
          </cell>
          <cell r="G880">
            <v>1</v>
          </cell>
          <cell r="H880" t="str">
            <v>WORKPLAN</v>
          </cell>
          <cell r="J880" t="str">
            <v>A soumettre</v>
          </cell>
          <cell r="S880">
            <v>16475</v>
          </cell>
          <cell r="T880" t="str">
            <v>CHEHTANE Mohammed</v>
          </cell>
          <cell r="U880" t="str">
            <v>Administratif</v>
          </cell>
          <cell r="V880" t="str">
            <v>R6 : Social et Administratif</v>
          </cell>
          <cell r="W880" t="str">
            <v>Dotations nouvelles</v>
          </cell>
          <cell r="X880" t="str">
            <v>Aucune</v>
          </cell>
          <cell r="Y880" t="str">
            <v>Prévu</v>
          </cell>
          <cell r="Z880" t="str">
            <v>Production-Khouribga</v>
          </cell>
        </row>
        <row r="881">
          <cell r="A881">
            <v>4254</v>
          </cell>
          <cell r="B881">
            <v>1</v>
          </cell>
          <cell r="C881" t="str">
            <v xml:space="preserve"> LABORATOIRE DES BANDES</v>
          </cell>
          <cell r="D881" t="str">
            <v xml:space="preserve"> MATERIEL LABORATOIRE DES BANDES</v>
          </cell>
          <cell r="E881" t="str">
            <v>Approuvé CP</v>
          </cell>
          <cell r="F881" t="str">
            <v>K11800</v>
          </cell>
          <cell r="G881">
            <v>1</v>
          </cell>
          <cell r="H881" t="str">
            <v>WORKPLAN</v>
          </cell>
          <cell r="J881" t="str">
            <v>A soumettre</v>
          </cell>
          <cell r="S881">
            <v>16537</v>
          </cell>
          <cell r="T881" t="str">
            <v>BENZAKI HASSAN</v>
          </cell>
          <cell r="U881" t="str">
            <v>Ordinaire</v>
          </cell>
          <cell r="V881" t="str">
            <v>R3 : Amélioration prix revient</v>
          </cell>
          <cell r="W881" t="str">
            <v>Dotations nouvelles</v>
          </cell>
          <cell r="X881" t="str">
            <v>Aucune</v>
          </cell>
          <cell r="Y881" t="str">
            <v>Prévu</v>
          </cell>
          <cell r="Z881" t="str">
            <v>Logistique-Khouribga</v>
          </cell>
        </row>
        <row r="882">
          <cell r="A882">
            <v>4260</v>
          </cell>
          <cell r="B882">
            <v>1</v>
          </cell>
          <cell r="C882" t="str">
            <v>flèche de pelle 191M2</v>
          </cell>
          <cell r="D882" t="str">
            <v>Changement de la flèche de la pelle 191 M2</v>
          </cell>
          <cell r="E882" t="str">
            <v>Approbation a échoué</v>
          </cell>
          <cell r="F882" t="str">
            <v>K03740</v>
          </cell>
          <cell r="G882">
            <v>1</v>
          </cell>
          <cell r="H882" t="str">
            <v>WORKPLAN</v>
          </cell>
          <cell r="J882" t="str">
            <v>A soumettre</v>
          </cell>
          <cell r="S882">
            <v>16551</v>
          </cell>
          <cell r="T882" t="str">
            <v>SABRI NAJIB</v>
          </cell>
          <cell r="U882" t="str">
            <v>Ordinaire</v>
          </cell>
          <cell r="V882" t="str">
            <v>R2 : Maintien outil production</v>
          </cell>
          <cell r="W882" t="str">
            <v>Renouvellement</v>
          </cell>
          <cell r="X882" t="str">
            <v>Aucune</v>
          </cell>
          <cell r="Y882" t="str">
            <v>Prévu</v>
          </cell>
          <cell r="Z882" t="str">
            <v>Production-Khouribga</v>
          </cell>
        </row>
        <row r="883">
          <cell r="A883">
            <v>4263</v>
          </cell>
          <cell r="B883">
            <v>1</v>
          </cell>
          <cell r="C883" t="str">
            <v>Mobilier de bureau PMK/TB/ME</v>
          </cell>
          <cell r="D883" t="str">
            <v>Renouvellement du mobilier de bureau pour les ateliers de maintenance électrique et régulation de PMK/TB</v>
          </cell>
          <cell r="E883" t="str">
            <v>Approuvé Entité</v>
          </cell>
          <cell r="F883" t="str">
            <v>K04601</v>
          </cell>
          <cell r="G883">
            <v>1</v>
          </cell>
          <cell r="H883" t="str">
            <v>WORKPLAN</v>
          </cell>
          <cell r="J883" t="str">
            <v>A soumettre</v>
          </cell>
          <cell r="S883">
            <v>16562</v>
          </cell>
          <cell r="T883" t="str">
            <v>HADINI MOHAMED</v>
          </cell>
          <cell r="U883" t="str">
            <v>Administratif</v>
          </cell>
          <cell r="V883" t="str">
            <v>R6 : Social et Administratif</v>
          </cell>
          <cell r="W883" t="str">
            <v>Dotations nouvelles</v>
          </cell>
          <cell r="X883" t="str">
            <v>Aucune</v>
          </cell>
          <cell r="Y883" t="str">
            <v>Prévu</v>
          </cell>
          <cell r="Z883" t="str">
            <v>Traitement-Khouribga</v>
          </cell>
        </row>
        <row r="884">
          <cell r="A884">
            <v>4270</v>
          </cell>
          <cell r="B884">
            <v>1</v>
          </cell>
          <cell r="C884" t="str">
            <v>Augmentation de décapage PMK/P</v>
          </cell>
          <cell r="D884" t="str">
            <v>Augmentation du potentiel de décapage de PMK/P par l'acquisition d'une dragline et bulldozers</v>
          </cell>
          <cell r="E884" t="str">
            <v>Approuvé</v>
          </cell>
          <cell r="F884" t="str">
            <v>K03740</v>
          </cell>
          <cell r="G884">
            <v>1</v>
          </cell>
          <cell r="H884" t="str">
            <v>WORKPLAN</v>
          </cell>
          <cell r="J884" t="str">
            <v>A soumettre</v>
          </cell>
          <cell r="S884">
            <v>16577</v>
          </cell>
          <cell r="T884" t="str">
            <v>HALMI Abderrahmane</v>
          </cell>
          <cell r="U884" t="str">
            <v>Ordinaire</v>
          </cell>
          <cell r="V884" t="str">
            <v>R2 : Maintien outil production</v>
          </cell>
          <cell r="W884" t="str">
            <v>Renouvellement</v>
          </cell>
          <cell r="X884" t="str">
            <v>Aucune</v>
          </cell>
          <cell r="Y884" t="str">
            <v>Prévu</v>
          </cell>
          <cell r="Z884" t="str">
            <v>Production-Khouribga</v>
          </cell>
        </row>
        <row r="885">
          <cell r="A885">
            <v>4275</v>
          </cell>
          <cell r="B885">
            <v>1</v>
          </cell>
          <cell r="C885" t="str">
            <v>Aménagement des ateliers à COZ</v>
          </cell>
          <cell r="D885" t="str">
            <v>Aménagement des ateliers de maintenance à COZ</v>
          </cell>
          <cell r="E885" t="str">
            <v>Approuvé Entité</v>
          </cell>
          <cell r="F885" t="str">
            <v>K04802</v>
          </cell>
          <cell r="G885">
            <v>1</v>
          </cell>
          <cell r="H885" t="str">
            <v>WORKPLAN</v>
          </cell>
          <cell r="J885" t="str">
            <v>A soumettre</v>
          </cell>
          <cell r="S885">
            <v>16590</v>
          </cell>
          <cell r="T885" t="str">
            <v>CHNANI ABDELHADI</v>
          </cell>
          <cell r="U885" t="str">
            <v>Administratif</v>
          </cell>
          <cell r="V885" t="str">
            <v>R6 : Social et Administratif</v>
          </cell>
          <cell r="W885" t="str">
            <v>Dotations nouvelles</v>
          </cell>
          <cell r="X885" t="str">
            <v>Aucune</v>
          </cell>
          <cell r="Y885" t="str">
            <v>Prévu</v>
          </cell>
          <cell r="Z885" t="str">
            <v>Traitement-Khouribga</v>
          </cell>
        </row>
        <row r="886">
          <cell r="A886">
            <v>4301</v>
          </cell>
          <cell r="B886">
            <v>1</v>
          </cell>
          <cell r="C886" t="str">
            <v>Matériel de santé et sécurité</v>
          </cell>
          <cell r="D886" t="str">
            <v>Matériel de santé et de sécurité</v>
          </cell>
          <cell r="E886" t="str">
            <v>Approuvé</v>
          </cell>
          <cell r="F886" t="str">
            <v>K03051</v>
          </cell>
          <cell r="G886">
            <v>1</v>
          </cell>
          <cell r="H886" t="str">
            <v>WORKPLAN</v>
          </cell>
          <cell r="J886" t="str">
            <v>A soumettre</v>
          </cell>
          <cell r="S886">
            <v>16643</v>
          </cell>
          <cell r="T886" t="str">
            <v>SAAD Khalifa</v>
          </cell>
          <cell r="U886" t="str">
            <v>Médical</v>
          </cell>
          <cell r="V886" t="str">
            <v>R7 : Environnement et Sécurité</v>
          </cell>
          <cell r="W886" t="str">
            <v>Dotations nouvelles</v>
          </cell>
          <cell r="X886" t="str">
            <v>Aucune</v>
          </cell>
          <cell r="Y886" t="str">
            <v>Prévu</v>
          </cell>
          <cell r="Z886" t="str">
            <v>Production-Khouribga</v>
          </cell>
        </row>
        <row r="887">
          <cell r="A887">
            <v>4752</v>
          </cell>
          <cell r="B887">
            <v>1</v>
          </cell>
          <cell r="C887" t="str">
            <v xml:space="preserve"> TABOURETS</v>
          </cell>
          <cell r="D887" t="str">
            <v>ACHAT DE 10 TABOURETS POUR LABORATOIRES</v>
          </cell>
          <cell r="G887">
            <v>1</v>
          </cell>
          <cell r="H887" t="str">
            <v>WORKPLAN</v>
          </cell>
          <cell r="J887" t="str">
            <v>A soumettre</v>
          </cell>
          <cell r="S887">
            <v>17449</v>
          </cell>
          <cell r="T887" t="str">
            <v>ZEGGUIR OMAR</v>
          </cell>
          <cell r="U887" t="str">
            <v>Ordinaire</v>
          </cell>
          <cell r="V887" t="str">
            <v>R3 : Amélioration prix revient</v>
          </cell>
          <cell r="W887" t="str">
            <v>Dotations nouvelles</v>
          </cell>
          <cell r="X887" t="str">
            <v>Aucune</v>
          </cell>
          <cell r="Y887" t="str">
            <v>Prévu</v>
          </cell>
          <cell r="Z887" t="str">
            <v>Logistique-Khouribga</v>
          </cell>
        </row>
        <row r="888">
          <cell r="A888">
            <v>4905</v>
          </cell>
          <cell r="B888">
            <v>1</v>
          </cell>
          <cell r="C888" t="str">
            <v>Cameras infrarouges</v>
          </cell>
          <cell r="D888" t="str">
            <v>Achat de 02 cameras infrarouges</v>
          </cell>
          <cell r="E888" t="str">
            <v>Approuvé CP</v>
          </cell>
          <cell r="F888" t="str">
            <v>K03545</v>
          </cell>
          <cell r="G888">
            <v>1</v>
          </cell>
          <cell r="H888" t="str">
            <v>WORKPLAN</v>
          </cell>
          <cell r="J888" t="str">
            <v>A soumettre</v>
          </cell>
          <cell r="S888">
            <v>17772</v>
          </cell>
          <cell r="T888" t="str">
            <v>MAGHRAOUI Brahim</v>
          </cell>
          <cell r="U888" t="str">
            <v>Ordinaire</v>
          </cell>
          <cell r="V888" t="str">
            <v>R2 : Maintien outil production</v>
          </cell>
          <cell r="W888" t="str">
            <v>Dotations nouvelles</v>
          </cell>
          <cell r="X888" t="str">
            <v>Aucune</v>
          </cell>
          <cell r="Y888" t="str">
            <v>Prévu</v>
          </cell>
          <cell r="Z888" t="str">
            <v>Production-Khouribga</v>
          </cell>
        </row>
        <row r="889">
          <cell r="A889">
            <v>4909</v>
          </cell>
          <cell r="B889">
            <v>1</v>
          </cell>
          <cell r="C889" t="str">
            <v>Bans d'essai</v>
          </cell>
          <cell r="D889" t="str">
            <v>Renouvellement d'un banc d'essai pour moteurs diesel</v>
          </cell>
          <cell r="E889" t="str">
            <v>Approuvé</v>
          </cell>
          <cell r="F889" t="str">
            <v>K03550</v>
          </cell>
          <cell r="G889">
            <v>1</v>
          </cell>
          <cell r="H889" t="str">
            <v>WORKPLAN</v>
          </cell>
          <cell r="J889" t="str">
            <v>A soumettre</v>
          </cell>
          <cell r="S889">
            <v>17781</v>
          </cell>
          <cell r="T889" t="str">
            <v>MAGHRAOUI Brahim</v>
          </cell>
          <cell r="U889" t="str">
            <v>Ordinaire</v>
          </cell>
          <cell r="V889" t="str">
            <v>R2 : Maintien outil production</v>
          </cell>
          <cell r="W889" t="str">
            <v>Renouvellement</v>
          </cell>
          <cell r="X889" t="str">
            <v>Aucune</v>
          </cell>
          <cell r="Y889" t="str">
            <v>Prévu</v>
          </cell>
          <cell r="Z889" t="str">
            <v>Production-Khouribga</v>
          </cell>
        </row>
        <row r="890">
          <cell r="A890">
            <v>4975</v>
          </cell>
          <cell r="B890">
            <v>1</v>
          </cell>
          <cell r="C890" t="str">
            <v>RESEAU  HT</v>
          </cell>
          <cell r="D890" t="str">
            <v>MISE A NIVEAU DU RESEAU HT DE LA ZONE KHOURIBGA</v>
          </cell>
          <cell r="G890">
            <v>1</v>
          </cell>
          <cell r="H890" t="str">
            <v>vi</v>
          </cell>
          <cell r="I890" t="str">
            <v>BUDGET INITIAL</v>
          </cell>
          <cell r="J890" t="str">
            <v>En cours</v>
          </cell>
          <cell r="K890">
            <v>3500000</v>
          </cell>
          <cell r="L890">
            <v>3500000</v>
          </cell>
          <cell r="M890">
            <v>3500000</v>
          </cell>
          <cell r="N890">
            <v>3500000</v>
          </cell>
          <cell r="S890">
            <v>17901</v>
          </cell>
          <cell r="T890" t="str">
            <v>SAOUD KARIM</v>
          </cell>
          <cell r="U890" t="str">
            <v>Ordinaire</v>
          </cell>
          <cell r="V890" t="str">
            <v>R4 : Aug capacité production</v>
          </cell>
          <cell r="W890" t="str">
            <v>Dotations nouvelles</v>
          </cell>
          <cell r="X890" t="str">
            <v>Aucune</v>
          </cell>
          <cell r="Y890" t="str">
            <v>Prévu</v>
          </cell>
          <cell r="Z890" t="str">
            <v>Logistique-Khouribga</v>
          </cell>
        </row>
        <row r="891">
          <cell r="A891">
            <v>4997</v>
          </cell>
          <cell r="B891">
            <v>1</v>
          </cell>
          <cell r="C891" t="str">
            <v>RENOUVELLEMENT D'UN CAMION DCI</v>
          </cell>
          <cell r="D891" t="str">
            <v>RENOUVELLEMENT D'UN CAMION DCI</v>
          </cell>
          <cell r="E891" t="str">
            <v>Refusé</v>
          </cell>
          <cell r="F891" t="str">
            <v>K03541</v>
          </cell>
          <cell r="G891">
            <v>1</v>
          </cell>
          <cell r="H891" t="str">
            <v>WORKPLAN</v>
          </cell>
          <cell r="J891" t="str">
            <v>A soumettre</v>
          </cell>
          <cell r="S891">
            <v>17928</v>
          </cell>
          <cell r="T891" t="str">
            <v>CHEHTANE Mohammed</v>
          </cell>
          <cell r="U891" t="str">
            <v>Ordinaire</v>
          </cell>
          <cell r="V891" t="str">
            <v>R7 : Environnement et Sécurité</v>
          </cell>
          <cell r="W891" t="str">
            <v>Renouvellement</v>
          </cell>
          <cell r="X891" t="str">
            <v>Aucune</v>
          </cell>
          <cell r="Y891" t="str">
            <v>Prévu</v>
          </cell>
          <cell r="Z891" t="str">
            <v>Production-Khouribga</v>
          </cell>
        </row>
        <row r="892">
          <cell r="A892">
            <v>5010</v>
          </cell>
          <cell r="B892">
            <v>1</v>
          </cell>
          <cell r="C892" t="str">
            <v>RENOUVELLEMENT CAMION DCI</v>
          </cell>
          <cell r="D892" t="str">
            <v>RENOUVELLEMENT D'UN CAMION DCI</v>
          </cell>
          <cell r="E892" t="str">
            <v>Approuvé Entité</v>
          </cell>
          <cell r="F892" t="str">
            <v>K03053</v>
          </cell>
          <cell r="G892">
            <v>1</v>
          </cell>
          <cell r="H892" t="str">
            <v>WORKPLAN</v>
          </cell>
          <cell r="J892" t="str">
            <v>A soumettre</v>
          </cell>
          <cell r="S892">
            <v>17947</v>
          </cell>
          <cell r="T892" t="str">
            <v>SAAD Khalifa</v>
          </cell>
          <cell r="U892" t="str">
            <v>Ordinaire</v>
          </cell>
          <cell r="V892" t="str">
            <v>R7 : Environnement et Sécurité</v>
          </cell>
          <cell r="W892" t="str">
            <v>Renouvellement</v>
          </cell>
          <cell r="X892" t="str">
            <v>Aucune</v>
          </cell>
          <cell r="Y892" t="str">
            <v>Prévu</v>
          </cell>
          <cell r="Z892" t="str">
            <v>Production-Khouribga</v>
          </cell>
        </row>
        <row r="893">
          <cell r="A893">
            <v>5014</v>
          </cell>
          <cell r="B893">
            <v>1</v>
          </cell>
          <cell r="C893" t="str">
            <v xml:space="preserve"> PELLES HYDRAULIQUES</v>
          </cell>
          <cell r="D893" t="str">
            <v>RENOUVELLEMENT DE 4 PELLES HYDRAULIQUES</v>
          </cell>
          <cell r="E893" t="str">
            <v>Non approuvé</v>
          </cell>
          <cell r="F893" t="str">
            <v>K03740</v>
          </cell>
          <cell r="G893">
            <v>1</v>
          </cell>
          <cell r="H893" t="str">
            <v>WORKPLAN</v>
          </cell>
          <cell r="J893" t="str">
            <v>A soumettre</v>
          </cell>
          <cell r="S893">
            <v>17953</v>
          </cell>
          <cell r="T893" t="str">
            <v>MAGHRAOUI Brahim</v>
          </cell>
          <cell r="U893" t="str">
            <v>Ordinaire</v>
          </cell>
          <cell r="V893" t="str">
            <v>R2 : Maintien outil production</v>
          </cell>
          <cell r="W893" t="str">
            <v>Renouvellement</v>
          </cell>
          <cell r="X893" t="str">
            <v>Aucune</v>
          </cell>
          <cell r="Y893" t="str">
            <v>Prévu</v>
          </cell>
          <cell r="Z893" t="str">
            <v>Production-Khouribga</v>
          </cell>
        </row>
        <row r="894">
          <cell r="A894">
            <v>5252</v>
          </cell>
          <cell r="B894">
            <v>1</v>
          </cell>
          <cell r="C894" t="str">
            <v>ARMOIRES PROTECTION</v>
          </cell>
          <cell r="D894" t="str">
            <v>FOURNITURE INSTALLATION ET MISE EN SERVICE DE 07 ARMOIRES DE PROTECTION ET DE MESURE DES TRANSFORMATEURS</v>
          </cell>
          <cell r="E894" t="str">
            <v>Approuvé</v>
          </cell>
          <cell r="F894" t="str">
            <v>K11706</v>
          </cell>
          <cell r="G894">
            <v>1</v>
          </cell>
          <cell r="H894" t="str">
            <v>WORKPLAN</v>
          </cell>
          <cell r="J894" t="str">
            <v>A soumettre</v>
          </cell>
          <cell r="S894">
            <v>18552</v>
          </cell>
          <cell r="T894" t="str">
            <v>SAOUD KARIM</v>
          </cell>
          <cell r="U894" t="str">
            <v>Ordinaire</v>
          </cell>
          <cell r="V894" t="str">
            <v>R3 : Amélioration prix revient</v>
          </cell>
          <cell r="W894" t="str">
            <v>Dotations nouvelles</v>
          </cell>
          <cell r="X894" t="str">
            <v>Aucune</v>
          </cell>
          <cell r="Y894" t="str">
            <v>Imprévu</v>
          </cell>
          <cell r="Z894" t="str">
            <v>Logistique-Khouribga</v>
          </cell>
        </row>
        <row r="895">
          <cell r="A895">
            <v>5327</v>
          </cell>
          <cell r="B895">
            <v>1</v>
          </cell>
          <cell r="C895" t="str">
            <v>CAMERA NUMERIQUE</v>
          </cell>
          <cell r="D895" t="str">
            <v>MATERIEL  POUR  PMK / AK / A</v>
          </cell>
          <cell r="E895" t="str">
            <v>Approuvé CP</v>
          </cell>
          <cell r="F895" t="str">
            <v>K01011</v>
          </cell>
          <cell r="G895">
            <v>1</v>
          </cell>
          <cell r="H895" t="str">
            <v>WORKPLAN</v>
          </cell>
          <cell r="J895" t="str">
            <v>A soumettre</v>
          </cell>
          <cell r="S895">
            <v>18730</v>
          </cell>
          <cell r="T895" t="str">
            <v>DERDAKI MOHAMED</v>
          </cell>
          <cell r="U895" t="str">
            <v>Administratif</v>
          </cell>
          <cell r="V895" t="str">
            <v>R6 : Social et Administratif</v>
          </cell>
          <cell r="W895" t="str">
            <v>Dotations nouvelles</v>
          </cell>
          <cell r="X895" t="str">
            <v>Aucune</v>
          </cell>
          <cell r="Y895" t="str">
            <v>Prévu</v>
          </cell>
          <cell r="Z895" t="str">
            <v>Administration-Khouribga</v>
          </cell>
        </row>
        <row r="896">
          <cell r="A896">
            <v>5366</v>
          </cell>
          <cell r="B896">
            <v>1</v>
          </cell>
          <cell r="C896" t="str">
            <v>Rénovation décanteur D1</v>
          </cell>
          <cell r="D896" t="str">
            <v>Rénovation du système d'entrainement du décanteur n°1 de la laverie DAOUI</v>
          </cell>
          <cell r="E896" t="str">
            <v>Approuvé</v>
          </cell>
          <cell r="F896" t="str">
            <v>K04215</v>
          </cell>
          <cell r="G896">
            <v>1</v>
          </cell>
          <cell r="H896" t="str">
            <v>WORKPLAN</v>
          </cell>
          <cell r="J896" t="str">
            <v>A soumettre</v>
          </cell>
          <cell r="S896">
            <v>18825</v>
          </cell>
          <cell r="T896" t="str">
            <v>BENMAKHLOUF HATIM</v>
          </cell>
          <cell r="U896" t="str">
            <v>Ordinaire</v>
          </cell>
          <cell r="V896" t="str">
            <v>R2 : Maintien outil production</v>
          </cell>
          <cell r="W896" t="str">
            <v>Dotations nouvelles</v>
          </cell>
          <cell r="X896" t="str">
            <v>Aucune</v>
          </cell>
          <cell r="Y896" t="str">
            <v>Prévu</v>
          </cell>
          <cell r="Z896" t="str">
            <v>Traitement-Khouribga</v>
          </cell>
        </row>
        <row r="897">
          <cell r="A897">
            <v>5367</v>
          </cell>
          <cell r="B897">
            <v>1</v>
          </cell>
          <cell r="C897" t="str">
            <v>MATERIEL BUREAUT. ET PROJEC.</v>
          </cell>
          <cell r="D897" t="str">
            <v>MATERIEL BUREAUTIQUE ET DE PROJECTION</v>
          </cell>
          <cell r="E897" t="str">
            <v>Approuvé</v>
          </cell>
          <cell r="F897" t="str">
            <v>K07019</v>
          </cell>
          <cell r="G897">
            <v>1</v>
          </cell>
          <cell r="H897" t="str">
            <v>WORKPLAN</v>
          </cell>
          <cell r="J897" t="str">
            <v>A soumettre</v>
          </cell>
          <cell r="S897">
            <v>18827</v>
          </cell>
          <cell r="T897" t="str">
            <v>TIBAR AZIZ</v>
          </cell>
          <cell r="U897" t="str">
            <v>Administratif</v>
          </cell>
          <cell r="V897" t="str">
            <v>R8 : Informatique</v>
          </cell>
          <cell r="W897" t="str">
            <v>Dotations nouvelles</v>
          </cell>
          <cell r="X897" t="str">
            <v>Aucune</v>
          </cell>
          <cell r="Y897" t="str">
            <v>Prévu</v>
          </cell>
          <cell r="Z897" t="str">
            <v>Embarquement-Casablanca</v>
          </cell>
        </row>
        <row r="898">
          <cell r="A898">
            <v>5373</v>
          </cell>
          <cell r="B898">
            <v>1</v>
          </cell>
          <cell r="C898" t="str">
            <v>DATA SHOW</v>
          </cell>
          <cell r="D898" t="str">
            <v>Achat de matériel audio-visuel pour les salles de réunions de PMK/TM</v>
          </cell>
          <cell r="E898" t="str">
            <v>Approbation a échoué</v>
          </cell>
          <cell r="F898" t="str">
            <v>K04001</v>
          </cell>
          <cell r="G898">
            <v>1</v>
          </cell>
          <cell r="H898" t="str">
            <v>WORKPLAN</v>
          </cell>
          <cell r="J898" t="str">
            <v>A soumettre</v>
          </cell>
          <cell r="S898">
            <v>18836</v>
          </cell>
          <cell r="T898" t="str">
            <v>MANSOURI OMAR</v>
          </cell>
          <cell r="U898" t="str">
            <v>Administratif</v>
          </cell>
          <cell r="V898" t="str">
            <v>R6 : Social et Administratif</v>
          </cell>
          <cell r="W898" t="str">
            <v>Dotations nouvelles</v>
          </cell>
          <cell r="X898" t="str">
            <v>Aucune</v>
          </cell>
          <cell r="Y898" t="str">
            <v>Prévu</v>
          </cell>
          <cell r="Z898" t="str">
            <v>Traitement-Khouribga</v>
          </cell>
        </row>
        <row r="899">
          <cell r="A899">
            <v>5382</v>
          </cell>
          <cell r="B899">
            <v>1</v>
          </cell>
          <cell r="C899" t="str">
            <v>Renouvellement de mobiliers</v>
          </cell>
          <cell r="D899" t="str">
            <v>Renouvellement de mobiliers de bureau et de réfrigérateurs</v>
          </cell>
          <cell r="E899" t="str">
            <v>Approuvé Entité</v>
          </cell>
          <cell r="F899" t="str">
            <v>K03800</v>
          </cell>
          <cell r="G899">
            <v>1</v>
          </cell>
          <cell r="H899" t="str">
            <v>WORKPLAN</v>
          </cell>
          <cell r="J899" t="str">
            <v>A soumettre</v>
          </cell>
          <cell r="S899">
            <v>18880</v>
          </cell>
          <cell r="T899" t="str">
            <v>EL BOUCHRIFI Yagoub</v>
          </cell>
          <cell r="U899" t="str">
            <v>Ordinaire</v>
          </cell>
          <cell r="V899" t="str">
            <v>R6 : Social et Administratif</v>
          </cell>
          <cell r="W899" t="str">
            <v>Renouvellement</v>
          </cell>
          <cell r="X899" t="str">
            <v>Aucune</v>
          </cell>
          <cell r="Y899" t="str">
            <v>Prévu</v>
          </cell>
          <cell r="Z899" t="str">
            <v>Production-Khouribga</v>
          </cell>
        </row>
        <row r="900">
          <cell r="A900">
            <v>5383</v>
          </cell>
          <cell r="B900">
            <v>1</v>
          </cell>
          <cell r="C900" t="str">
            <v>Réfrigérateurs</v>
          </cell>
          <cell r="D900" t="str">
            <v>Renouvellement de 05 Réfrigérateurs</v>
          </cell>
          <cell r="E900" t="str">
            <v>Non approuvé</v>
          </cell>
          <cell r="F900" t="str">
            <v>K03540</v>
          </cell>
          <cell r="G900">
            <v>1</v>
          </cell>
          <cell r="H900" t="str">
            <v>WORKPLAN</v>
          </cell>
          <cell r="J900" t="str">
            <v>A soumettre</v>
          </cell>
          <cell r="S900">
            <v>18882</v>
          </cell>
          <cell r="T900" t="str">
            <v>EL BOUCHRIFI Yagoub</v>
          </cell>
          <cell r="U900" t="str">
            <v>Ordinaire</v>
          </cell>
          <cell r="V900" t="str">
            <v>R6 : Social et Administratif</v>
          </cell>
          <cell r="W900" t="str">
            <v>Renouvellement</v>
          </cell>
          <cell r="X900" t="str">
            <v>Aucune</v>
          </cell>
          <cell r="Y900" t="str">
            <v>Prévu</v>
          </cell>
          <cell r="Z900" t="str">
            <v>Production-Khouribga</v>
          </cell>
        </row>
        <row r="901">
          <cell r="A901">
            <v>5431</v>
          </cell>
          <cell r="B901">
            <v>1</v>
          </cell>
          <cell r="C901" t="str">
            <v>CAMION NACELLE POUR PMK/TD</v>
          </cell>
          <cell r="D901" t="str">
            <v>ACHAT D'UN CAMION NACELLE POUR PMK/TD</v>
          </cell>
          <cell r="E901" t="str">
            <v>Non approuvé</v>
          </cell>
          <cell r="F901" t="str">
            <v>K04518</v>
          </cell>
          <cell r="G901">
            <v>1</v>
          </cell>
          <cell r="H901" t="str">
            <v>WORKPLAN</v>
          </cell>
          <cell r="J901" t="str">
            <v>A soumettre</v>
          </cell>
          <cell r="S901">
            <v>19000</v>
          </cell>
          <cell r="T901" t="str">
            <v>CHNANI ABDELHADI</v>
          </cell>
          <cell r="U901" t="str">
            <v>Ordinaire</v>
          </cell>
          <cell r="V901" t="str">
            <v>R9 : Véhicules</v>
          </cell>
          <cell r="W901" t="str">
            <v>Dotations nouvelles</v>
          </cell>
          <cell r="X901" t="str">
            <v>Aucune</v>
          </cell>
          <cell r="Y901" t="str">
            <v>Prévu</v>
          </cell>
          <cell r="Z901" t="str">
            <v>Traitement-Khouribga</v>
          </cell>
        </row>
        <row r="902">
          <cell r="A902">
            <v>5432</v>
          </cell>
          <cell r="B902">
            <v>1</v>
          </cell>
          <cell r="C902" t="str">
            <v>Compresseur d'air PMKTD</v>
          </cell>
          <cell r="D902" t="str">
            <v>Renouvellement d'un compresseur d'air de la station de reprise des eaux claires de PMKTD</v>
          </cell>
          <cell r="E902" t="str">
            <v>Non approuvé</v>
          </cell>
          <cell r="F902" t="str">
            <v>K04811</v>
          </cell>
          <cell r="G902">
            <v>1</v>
          </cell>
          <cell r="H902" t="str">
            <v>WORKPLAN</v>
          </cell>
          <cell r="J902" t="str">
            <v>A soumettre</v>
          </cell>
          <cell r="S902">
            <v>19002</v>
          </cell>
          <cell r="T902" t="str">
            <v>CHNANI ABDELHADI</v>
          </cell>
          <cell r="U902" t="str">
            <v>Ordinaire</v>
          </cell>
          <cell r="V902" t="str">
            <v>R2 : Maintien outil production</v>
          </cell>
          <cell r="W902" t="str">
            <v>Renouvellement</v>
          </cell>
          <cell r="X902" t="str">
            <v>Aucune</v>
          </cell>
          <cell r="Y902" t="str">
            <v>Prévu</v>
          </cell>
          <cell r="Z902" t="str">
            <v>Traitement-Khouribga</v>
          </cell>
        </row>
        <row r="903">
          <cell r="A903">
            <v>5444</v>
          </cell>
          <cell r="B903">
            <v>1</v>
          </cell>
          <cell r="C903" t="str">
            <v>Chargeuse sur pneus pour PMK/T</v>
          </cell>
          <cell r="D903" t="str">
            <v>RN d'une chargeuse sur pneus pour PMK/T</v>
          </cell>
          <cell r="E903" t="str">
            <v>Non approuvé</v>
          </cell>
          <cell r="F903" t="str">
            <v>K04519</v>
          </cell>
          <cell r="G903">
            <v>1</v>
          </cell>
          <cell r="H903" t="str">
            <v>WORKPLAN</v>
          </cell>
          <cell r="J903" t="str">
            <v>A soumettre</v>
          </cell>
          <cell r="S903">
            <v>19053</v>
          </cell>
          <cell r="T903" t="str">
            <v>OUAMALICH KARIM</v>
          </cell>
          <cell r="U903" t="str">
            <v>Ordinaire</v>
          </cell>
          <cell r="V903" t="str">
            <v>R9 : Véhicules</v>
          </cell>
          <cell r="W903" t="str">
            <v>Renouvellement</v>
          </cell>
          <cell r="X903" t="str">
            <v>Aucune</v>
          </cell>
          <cell r="Y903" t="str">
            <v>Prévu</v>
          </cell>
          <cell r="Z903" t="str">
            <v>Traitement-Khouribga</v>
          </cell>
        </row>
        <row r="904">
          <cell r="A904">
            <v>5456</v>
          </cell>
          <cell r="B904">
            <v>1</v>
          </cell>
          <cell r="C904" t="str">
            <v>Aménagement des locauxPMK/TB</v>
          </cell>
          <cell r="D904" t="str">
            <v>Aménagement des locaux et parcs de PMK/TB</v>
          </cell>
          <cell r="E904" t="str">
            <v>Non approuvé</v>
          </cell>
          <cell r="F904" t="str">
            <v>K04116</v>
          </cell>
          <cell r="G904">
            <v>1</v>
          </cell>
          <cell r="H904" t="str">
            <v>WORKPLAN</v>
          </cell>
          <cell r="J904" t="str">
            <v>A soumettre</v>
          </cell>
          <cell r="S904">
            <v>19093</v>
          </cell>
          <cell r="T904" t="str">
            <v>TOGHZAOUI ABDELLATIF</v>
          </cell>
          <cell r="U904" t="str">
            <v>Administratif</v>
          </cell>
          <cell r="V904" t="str">
            <v>R7 : Environnement et Sécurité</v>
          </cell>
          <cell r="W904" t="str">
            <v>Dotations nouvelles</v>
          </cell>
          <cell r="X904" t="str">
            <v>Aucune</v>
          </cell>
          <cell r="Y904" t="str">
            <v>Prévu</v>
          </cell>
          <cell r="Z904" t="str">
            <v>Traitement-Khouribga</v>
          </cell>
        </row>
        <row r="905">
          <cell r="A905">
            <v>5457</v>
          </cell>
          <cell r="B905">
            <v>1</v>
          </cell>
          <cell r="C905" t="str">
            <v>Tracteur PMK/TD/CM</v>
          </cell>
          <cell r="D905" t="str">
            <v>Renouvellement du tracteur avec chariot remorque de PMK/TD/CM</v>
          </cell>
          <cell r="E905" t="str">
            <v>Non approuvé</v>
          </cell>
          <cell r="F905" t="str">
            <v>K04802</v>
          </cell>
          <cell r="G905">
            <v>1</v>
          </cell>
          <cell r="H905" t="str">
            <v>WORKPLAN</v>
          </cell>
          <cell r="J905" t="str">
            <v>A soumettre</v>
          </cell>
          <cell r="S905">
            <v>19094</v>
          </cell>
          <cell r="T905" t="str">
            <v>LAHMIDI MOUHCINE</v>
          </cell>
          <cell r="U905" t="str">
            <v>Ordinaire</v>
          </cell>
          <cell r="V905" t="str">
            <v>R2 : Maintien outil production</v>
          </cell>
          <cell r="W905" t="str">
            <v>Renouvellement</v>
          </cell>
          <cell r="X905" t="str">
            <v>Aucune</v>
          </cell>
          <cell r="Y905" t="str">
            <v>Prévu</v>
          </cell>
          <cell r="Z905" t="str">
            <v>Traitement-Khouribga</v>
          </cell>
        </row>
        <row r="906">
          <cell r="A906">
            <v>5458</v>
          </cell>
          <cell r="B906">
            <v>1</v>
          </cell>
          <cell r="C906" t="str">
            <v>Moteurs thermiques</v>
          </cell>
          <cell r="D906" t="str">
            <v>Renouvellement de 02 moteurs thermiques Diesel des locotracteurs de PMK/T</v>
          </cell>
          <cell r="E906" t="str">
            <v>Non approuvé</v>
          </cell>
          <cell r="F906" t="str">
            <v>K04516</v>
          </cell>
          <cell r="G906">
            <v>1</v>
          </cell>
          <cell r="H906" t="str">
            <v>WORKPLAN</v>
          </cell>
          <cell r="J906" t="str">
            <v>A soumettre</v>
          </cell>
          <cell r="S906">
            <v>19095</v>
          </cell>
          <cell r="T906" t="str">
            <v>LAHMIDI MOUHCINE</v>
          </cell>
          <cell r="U906" t="str">
            <v>Ordinaire</v>
          </cell>
          <cell r="V906" t="str">
            <v>R2 : Maintien outil production</v>
          </cell>
          <cell r="W906" t="str">
            <v>Renouvellement</v>
          </cell>
          <cell r="X906" t="str">
            <v>Aucune</v>
          </cell>
          <cell r="Y906" t="str">
            <v>Prévu</v>
          </cell>
          <cell r="Z906" t="str">
            <v>Traitement-Khouribga</v>
          </cell>
        </row>
        <row r="907">
          <cell r="A907">
            <v>5459</v>
          </cell>
          <cell r="B907">
            <v>1</v>
          </cell>
          <cell r="C907" t="str">
            <v>Grue sur roues de PMK/T</v>
          </cell>
          <cell r="D907" t="str">
            <v>Renouvellement d'une grue sur roues de PMK/T</v>
          </cell>
          <cell r="E907" t="str">
            <v>Non approuvé</v>
          </cell>
          <cell r="F907" t="str">
            <v>K04516</v>
          </cell>
          <cell r="G907">
            <v>1</v>
          </cell>
          <cell r="J907" t="str">
            <v>A soumettre</v>
          </cell>
          <cell r="S907">
            <v>20039</v>
          </cell>
          <cell r="T907" t="str">
            <v>OUAMALICH KARIM</v>
          </cell>
          <cell r="U907" t="str">
            <v>Ordinaire</v>
          </cell>
          <cell r="V907" t="str">
            <v>R9 : Véhicules</v>
          </cell>
          <cell r="W907" t="str">
            <v>Renouvellement</v>
          </cell>
          <cell r="X907" t="str">
            <v>Aucune</v>
          </cell>
          <cell r="Y907" t="str">
            <v>Prévu</v>
          </cell>
          <cell r="Z907" t="str">
            <v>Traitement-Khouribga</v>
          </cell>
        </row>
        <row r="908">
          <cell r="A908">
            <v>5460</v>
          </cell>
          <cell r="B908">
            <v>1</v>
          </cell>
          <cell r="C908" t="str">
            <v>Chariots élévateurs à fourches</v>
          </cell>
          <cell r="D908" t="str">
            <v>Renouvellement de 03 chariots élévateurs à fourches de 5 000 Kg pour la manutention des modules à PMK/T</v>
          </cell>
          <cell r="E908" t="str">
            <v>Non approuvé</v>
          </cell>
          <cell r="F908" t="str">
            <v>K04702</v>
          </cell>
          <cell r="G908">
            <v>1</v>
          </cell>
          <cell r="H908" t="str">
            <v>WORKPLAN</v>
          </cell>
          <cell r="J908" t="str">
            <v>A soumettre</v>
          </cell>
          <cell r="S908">
            <v>19097</v>
          </cell>
          <cell r="T908" t="str">
            <v>LAHMIDI MOUHCINE</v>
          </cell>
          <cell r="U908" t="str">
            <v>Ordinaire</v>
          </cell>
          <cell r="V908" t="str">
            <v>R2 : Maintien outil production</v>
          </cell>
          <cell r="W908" t="str">
            <v>Renouvellement</v>
          </cell>
          <cell r="X908" t="str">
            <v>Aucune</v>
          </cell>
          <cell r="Y908" t="str">
            <v>Prévu</v>
          </cell>
          <cell r="Z908" t="str">
            <v>Traitement-Khouribga</v>
          </cell>
        </row>
        <row r="909">
          <cell r="A909">
            <v>5461</v>
          </cell>
          <cell r="B909">
            <v>1</v>
          </cell>
          <cell r="C909" t="str">
            <v>Chargeuse sur pneus PMK/T</v>
          </cell>
          <cell r="D909" t="str">
            <v>Renouvellement d'une chargeuse sur pneus pour PMK/T</v>
          </cell>
          <cell r="E909" t="str">
            <v>Non approuvé</v>
          </cell>
          <cell r="F909" t="str">
            <v>K04519</v>
          </cell>
          <cell r="G909">
            <v>1</v>
          </cell>
          <cell r="J909" t="str">
            <v>A soumettre</v>
          </cell>
          <cell r="S909">
            <v>19991</v>
          </cell>
          <cell r="T909" t="str">
            <v>OUAMALICH KARIM</v>
          </cell>
          <cell r="U909" t="str">
            <v>Ordinaire</v>
          </cell>
          <cell r="V909" t="str">
            <v>R9 : Véhicules</v>
          </cell>
          <cell r="W909" t="str">
            <v>Renouvellement</v>
          </cell>
          <cell r="X909" t="str">
            <v>Aucune</v>
          </cell>
          <cell r="Y909" t="str">
            <v>Prévu</v>
          </cell>
          <cell r="Z909" t="str">
            <v>Traitement-Khouribga</v>
          </cell>
        </row>
        <row r="910">
          <cell r="A910">
            <v>5462</v>
          </cell>
          <cell r="B910">
            <v>1</v>
          </cell>
          <cell r="C910" t="str">
            <v>Vidéosurveillance PMK/TD</v>
          </cell>
          <cell r="D910" t="str">
            <v>Fourniture, installation et mise en service d'un système de vidéosurveillance des installations de PMK/TD</v>
          </cell>
          <cell r="E910" t="str">
            <v>Non approuvé</v>
          </cell>
          <cell r="F910" t="str">
            <v>K04705</v>
          </cell>
          <cell r="G910">
            <v>1</v>
          </cell>
          <cell r="H910" t="str">
            <v>WORKPLAN</v>
          </cell>
          <cell r="J910" t="str">
            <v>A soumettre</v>
          </cell>
          <cell r="S910">
            <v>19099</v>
          </cell>
          <cell r="T910" t="str">
            <v>AIT HSSAINE IDIR</v>
          </cell>
          <cell r="U910" t="str">
            <v>Ordinaire</v>
          </cell>
          <cell r="V910" t="str">
            <v>R2 : Maintien outil production</v>
          </cell>
          <cell r="W910" t="str">
            <v>Dotations nouvelles</v>
          </cell>
          <cell r="X910" t="str">
            <v>Aucune</v>
          </cell>
          <cell r="Y910" t="str">
            <v>Prévu</v>
          </cell>
          <cell r="Z910" t="str">
            <v>Traitement-Khouribga</v>
          </cell>
        </row>
        <row r="911">
          <cell r="A911">
            <v>5463</v>
          </cell>
          <cell r="B911">
            <v>1</v>
          </cell>
          <cell r="C911" t="str">
            <v>Cribles des fours sécheurs</v>
          </cell>
          <cell r="D911" t="str">
            <v>Renouvellement des cribles des fours sécheurs</v>
          </cell>
          <cell r="E911" t="str">
            <v>Non approuvé</v>
          </cell>
          <cell r="F911" t="str">
            <v>K04307</v>
          </cell>
          <cell r="G911">
            <v>1</v>
          </cell>
          <cell r="H911" t="str">
            <v>WORKPLAN</v>
          </cell>
          <cell r="J911" t="str">
            <v>A soumettre</v>
          </cell>
          <cell r="S911">
            <v>19100</v>
          </cell>
          <cell r="T911" t="str">
            <v>LEBBARDI ABDELJABBAR</v>
          </cell>
          <cell r="U911" t="str">
            <v>Ordinaire</v>
          </cell>
          <cell r="V911" t="str">
            <v>R2 : Maintien outil production</v>
          </cell>
          <cell r="W911" t="str">
            <v>Renouvellement</v>
          </cell>
          <cell r="X911" t="str">
            <v>Aucune</v>
          </cell>
          <cell r="Y911" t="str">
            <v>Prévu</v>
          </cell>
          <cell r="Z911" t="str">
            <v>Traitement-Khouribga</v>
          </cell>
        </row>
        <row r="912">
          <cell r="A912">
            <v>5464</v>
          </cell>
          <cell r="B912">
            <v>1</v>
          </cell>
          <cell r="C912" t="str">
            <v>Réaménagement des locaux</v>
          </cell>
          <cell r="D912" t="str">
            <v>Réaménagement des locaux du personnel</v>
          </cell>
          <cell r="E912" t="str">
            <v>Non approuvé</v>
          </cell>
          <cell r="F912" t="str">
            <v>K04315</v>
          </cell>
          <cell r="G912">
            <v>1</v>
          </cell>
          <cell r="H912" t="str">
            <v>WORKPLAN</v>
          </cell>
          <cell r="J912" t="str">
            <v>A soumettre</v>
          </cell>
          <cell r="S912">
            <v>19101</v>
          </cell>
          <cell r="T912" t="str">
            <v>LEBBARDI ABDELJABBAR</v>
          </cell>
          <cell r="U912" t="str">
            <v>Administratif</v>
          </cell>
          <cell r="V912" t="str">
            <v>R7 : Environnement et Sécurité</v>
          </cell>
          <cell r="W912" t="str">
            <v>Dotations nouvelles</v>
          </cell>
          <cell r="X912" t="str">
            <v>Aucune</v>
          </cell>
          <cell r="Y912" t="str">
            <v>Prévu</v>
          </cell>
          <cell r="Z912" t="str">
            <v>Traitement-Khouribga</v>
          </cell>
        </row>
        <row r="913">
          <cell r="A913">
            <v>5465</v>
          </cell>
          <cell r="B913">
            <v>1</v>
          </cell>
          <cell r="C913" t="str">
            <v>Central téléphonique DAOUI</v>
          </cell>
          <cell r="D913" t="str">
            <v>Fourniture, installation et mise en service d'un central téléphonique au secteur DAOUI</v>
          </cell>
          <cell r="E913" t="str">
            <v>Non approuvé</v>
          </cell>
          <cell r="F913" t="str">
            <v>K04705</v>
          </cell>
          <cell r="G913">
            <v>1</v>
          </cell>
          <cell r="H913" t="str">
            <v>WORKPLAN</v>
          </cell>
          <cell r="J913" t="str">
            <v>A soumettre</v>
          </cell>
          <cell r="S913">
            <v>19102</v>
          </cell>
          <cell r="T913" t="str">
            <v>AIT HSSAINE IDIR</v>
          </cell>
          <cell r="U913" t="str">
            <v>Ordinaire</v>
          </cell>
          <cell r="V913" t="str">
            <v>R2 : Maintien outil production</v>
          </cell>
          <cell r="W913" t="str">
            <v>Dotations nouvelles</v>
          </cell>
          <cell r="X913" t="str">
            <v>Aucune</v>
          </cell>
          <cell r="Y913" t="str">
            <v>Prévu</v>
          </cell>
          <cell r="Z913" t="str">
            <v>Traitement-Khouribga</v>
          </cell>
        </row>
        <row r="914">
          <cell r="A914">
            <v>5466</v>
          </cell>
          <cell r="B914">
            <v>1</v>
          </cell>
          <cell r="C914" t="str">
            <v>Fours à calcination labo</v>
          </cell>
          <cell r="D914" t="str">
            <v>Renouvellement de 03 fours à calcination</v>
          </cell>
          <cell r="E914" t="str">
            <v>Non approuvé</v>
          </cell>
          <cell r="F914" t="str">
            <v>K04116</v>
          </cell>
          <cell r="G914">
            <v>1</v>
          </cell>
          <cell r="H914" t="str">
            <v>WORKPLAN</v>
          </cell>
          <cell r="J914" t="str">
            <v>A soumettre</v>
          </cell>
          <cell r="S914">
            <v>19103</v>
          </cell>
          <cell r="T914" t="str">
            <v>KABBAGE NADIA</v>
          </cell>
          <cell r="U914" t="str">
            <v>Ordinaire</v>
          </cell>
          <cell r="V914" t="str">
            <v>R2 : Maintien outil production</v>
          </cell>
          <cell r="W914" t="str">
            <v>Renouvellement</v>
          </cell>
          <cell r="X914" t="str">
            <v>Aucune</v>
          </cell>
          <cell r="Y914" t="str">
            <v>Prévu</v>
          </cell>
          <cell r="Z914" t="str">
            <v>Traitement-Khouribga</v>
          </cell>
        </row>
        <row r="915">
          <cell r="A915">
            <v>5469</v>
          </cell>
          <cell r="B915">
            <v>1</v>
          </cell>
          <cell r="C915" t="str">
            <v>MATERIEL POUR PMK / AK / A</v>
          </cell>
          <cell r="D915" t="str">
            <v>APPAREIL PHOTO NUMERIQUE PROFESSIONNEL POUR ETABLISSEMENT DES CARTES DE TRAVAIL  ET APPAREIL POUR EDITION DES BADGES ET CARTES DE TRAVAIL.</v>
          </cell>
          <cell r="E915" t="str">
            <v>Approuvé</v>
          </cell>
          <cell r="F915" t="str">
            <v>K01011</v>
          </cell>
          <cell r="G915">
            <v>1</v>
          </cell>
          <cell r="H915" t="str">
            <v>WORKPLAN</v>
          </cell>
          <cell r="J915" t="str">
            <v>A soumettre</v>
          </cell>
          <cell r="S915">
            <v>19123</v>
          </cell>
          <cell r="T915" t="str">
            <v>DERDAKI MOHAMED</v>
          </cell>
          <cell r="U915" t="str">
            <v>Administratif</v>
          </cell>
          <cell r="V915" t="str">
            <v>R6 : Social et Administratif</v>
          </cell>
          <cell r="W915" t="str">
            <v>Dotations nouvelles</v>
          </cell>
          <cell r="X915" t="str">
            <v>Aucune</v>
          </cell>
          <cell r="Y915" t="str">
            <v>Prévu</v>
          </cell>
          <cell r="Z915" t="str">
            <v>Administration-Khouribga</v>
          </cell>
        </row>
        <row r="916">
          <cell r="A916">
            <v>5475</v>
          </cell>
          <cell r="B916">
            <v>1</v>
          </cell>
          <cell r="C916" t="str">
            <v>Gisement Sud Est Ouled Farès</v>
          </cell>
          <cell r="D916" t="str">
            <v>Reconnaissance Minéralurgique du Gisement Sud Est des Ouled Farès</v>
          </cell>
          <cell r="E916" t="str">
            <v>Non approuvé</v>
          </cell>
          <cell r="F916" t="str">
            <v>K03009</v>
          </cell>
          <cell r="G916">
            <v>1</v>
          </cell>
          <cell r="H916" t="str">
            <v>WORKPLAN</v>
          </cell>
          <cell r="J916" t="str">
            <v>A soumettre</v>
          </cell>
          <cell r="S916">
            <v>19155</v>
          </cell>
          <cell r="T916" t="str">
            <v>BOUYA BAADI</v>
          </cell>
          <cell r="U916" t="str">
            <v>Etudes et essais</v>
          </cell>
          <cell r="V916" t="str">
            <v>R4 : Aug capacité production</v>
          </cell>
          <cell r="W916" t="str">
            <v>Dotations nouvelles</v>
          </cell>
          <cell r="X916" t="str">
            <v>Aucune</v>
          </cell>
          <cell r="Y916" t="str">
            <v>Prévu</v>
          </cell>
          <cell r="Z916" t="str">
            <v>Administration-Khouribga</v>
          </cell>
        </row>
        <row r="917">
          <cell r="A917">
            <v>5476</v>
          </cell>
          <cell r="B917">
            <v>1</v>
          </cell>
          <cell r="C917" t="str">
            <v>RECONNAISSANCE MINES</v>
          </cell>
          <cell r="D917" t="str">
            <v>Reconnanssance Minéralurgique du Gisement Sud Est des Ouled Farès</v>
          </cell>
          <cell r="E917" t="str">
            <v>Non approuvé</v>
          </cell>
          <cell r="F917" t="str">
            <v>K03009</v>
          </cell>
          <cell r="G917">
            <v>1</v>
          </cell>
          <cell r="H917" t="str">
            <v>WORKPLAN</v>
          </cell>
          <cell r="J917" t="str">
            <v>A soumettre</v>
          </cell>
          <cell r="S917">
            <v>19157</v>
          </cell>
          <cell r="T917" t="str">
            <v>BOUYA BAADI</v>
          </cell>
          <cell r="U917" t="str">
            <v>Etudes et essais</v>
          </cell>
          <cell r="V917" t="str">
            <v>R4 : Aug capacité production</v>
          </cell>
          <cell r="W917" t="str">
            <v>Dotations nouvelles</v>
          </cell>
          <cell r="X917" t="str">
            <v>Aucune</v>
          </cell>
          <cell r="Y917" t="str">
            <v>Prévu</v>
          </cell>
          <cell r="Z917" t="str">
            <v>Administration-Khouribga</v>
          </cell>
        </row>
        <row r="918">
          <cell r="A918">
            <v>5513</v>
          </cell>
          <cell r="B918">
            <v>1</v>
          </cell>
          <cell r="C918" t="str">
            <v>CESSION D'UN BULL D11</v>
          </cell>
          <cell r="D918" t="str">
            <v>Régularisation des immobilisations cédées par PMB/EB à PMK/P</v>
          </cell>
          <cell r="E918" t="str">
            <v>Approuvé</v>
          </cell>
          <cell r="F918" t="str">
            <v>K03842</v>
          </cell>
          <cell r="G918">
            <v>1</v>
          </cell>
          <cell r="H918" t="str">
            <v>WORKPLAN</v>
          </cell>
          <cell r="J918" t="str">
            <v>A soumettre</v>
          </cell>
          <cell r="S918">
            <v>19246</v>
          </cell>
          <cell r="T918" t="str">
            <v>EL KASSI SOUFIYANE</v>
          </cell>
          <cell r="U918" t="str">
            <v>Ordinaire</v>
          </cell>
          <cell r="V918" t="str">
            <v>R4 : Aug capacité production</v>
          </cell>
          <cell r="W918" t="str">
            <v>Dotations nouvelles</v>
          </cell>
          <cell r="X918" t="str">
            <v>Aucune</v>
          </cell>
          <cell r="Y918" t="str">
            <v>Imprévu</v>
          </cell>
          <cell r="Z918" t="str">
            <v>Production-Khouribga</v>
          </cell>
        </row>
        <row r="919">
          <cell r="A919">
            <v>5588</v>
          </cell>
          <cell r="B919">
            <v>1</v>
          </cell>
          <cell r="C919" t="str">
            <v>DESTRUCTEUR  DE  PAPIER</v>
          </cell>
          <cell r="D919" t="str">
            <v>Acquisition d'un destructeur de papier pour PMK / AD</v>
          </cell>
          <cell r="E919" t="str">
            <v>Non approuvé</v>
          </cell>
          <cell r="F919" t="str">
            <v>K01070</v>
          </cell>
          <cell r="G919">
            <v>1</v>
          </cell>
          <cell r="H919" t="str">
            <v>WORKPLAN</v>
          </cell>
          <cell r="J919" t="str">
            <v>A soumettre</v>
          </cell>
          <cell r="S919">
            <v>19592</v>
          </cell>
          <cell r="T919" t="str">
            <v>DERDAKI MOHAMED</v>
          </cell>
          <cell r="U919" t="str">
            <v>Administratif</v>
          </cell>
          <cell r="V919" t="str">
            <v>R6 : Social et Administratif</v>
          </cell>
          <cell r="W919" t="str">
            <v>Dotations nouvelles</v>
          </cell>
          <cell r="X919" t="str">
            <v>Aucune</v>
          </cell>
          <cell r="Y919" t="str">
            <v>Prévu</v>
          </cell>
          <cell r="Z919" t="str">
            <v>Administration-Khouribga</v>
          </cell>
        </row>
        <row r="920">
          <cell r="A920">
            <v>5589</v>
          </cell>
          <cell r="B920">
            <v>1</v>
          </cell>
          <cell r="C920" t="str">
            <v>MOBILIER  DE  BUREAU  POUR  AD</v>
          </cell>
          <cell r="D920" t="str">
            <v>Acquisition de mobilier de bureau pour PMK / AD</v>
          </cell>
          <cell r="E920" t="str">
            <v>Approuvé</v>
          </cell>
          <cell r="F920" t="str">
            <v>K01070</v>
          </cell>
          <cell r="G920">
            <v>1</v>
          </cell>
          <cell r="H920" t="str">
            <v>WORKPLAN</v>
          </cell>
          <cell r="J920" t="str">
            <v>A soumettre</v>
          </cell>
          <cell r="S920">
            <v>19593</v>
          </cell>
          <cell r="T920" t="str">
            <v>LARHZAOUI NADIA</v>
          </cell>
          <cell r="U920" t="str">
            <v>Administratif</v>
          </cell>
          <cell r="V920" t="str">
            <v>R6 : Social et Administratif</v>
          </cell>
          <cell r="W920" t="str">
            <v>Dotations nouvelles</v>
          </cell>
          <cell r="X920" t="str">
            <v>Aucune</v>
          </cell>
          <cell r="Y920" t="str">
            <v>Prévu</v>
          </cell>
          <cell r="Z920" t="str">
            <v>Administration-Khouribga</v>
          </cell>
        </row>
        <row r="921">
          <cell r="A921">
            <v>5590</v>
          </cell>
          <cell r="B921">
            <v>1</v>
          </cell>
          <cell r="C921" t="str">
            <v>CLIMATISEURS POUR AD</v>
          </cell>
          <cell r="D921" t="str">
            <v>Renouvellement de climatiseurs pour PMK / AD</v>
          </cell>
          <cell r="E921" t="str">
            <v>Approuvé</v>
          </cell>
          <cell r="F921" t="str">
            <v>K01070</v>
          </cell>
          <cell r="G921">
            <v>1</v>
          </cell>
          <cell r="H921" t="str">
            <v>WORKPLAN</v>
          </cell>
          <cell r="J921" t="str">
            <v>A soumettre</v>
          </cell>
          <cell r="S921">
            <v>19596</v>
          </cell>
          <cell r="T921" t="str">
            <v>LARHZAOUI NADIA</v>
          </cell>
          <cell r="U921" t="str">
            <v>Administratif</v>
          </cell>
          <cell r="V921" t="str">
            <v>R6 : Social et Administratif</v>
          </cell>
          <cell r="W921" t="str">
            <v>Renouvellement</v>
          </cell>
          <cell r="X921" t="str">
            <v>Aucune</v>
          </cell>
          <cell r="Y921" t="str">
            <v>Prévu</v>
          </cell>
          <cell r="Z921" t="str">
            <v>Administration-Khouribga</v>
          </cell>
        </row>
        <row r="922">
          <cell r="A922">
            <v>5591</v>
          </cell>
          <cell r="B922">
            <v>1</v>
          </cell>
          <cell r="C922" t="str">
            <v>BALANCE DE PRECISION POUR AD</v>
          </cell>
          <cell r="D922" t="str">
            <v>BALANCE DE PRECISION POUR AD</v>
          </cell>
          <cell r="E922" t="str">
            <v>Approuvé</v>
          </cell>
          <cell r="F922" t="str">
            <v>K01070</v>
          </cell>
          <cell r="G922">
            <v>1</v>
          </cell>
          <cell r="H922" t="str">
            <v>WORKPLAN</v>
          </cell>
          <cell r="J922" t="str">
            <v>A soumettre</v>
          </cell>
          <cell r="S922">
            <v>19600</v>
          </cell>
          <cell r="T922" t="str">
            <v>LARHZAOUI NADIA</v>
          </cell>
          <cell r="U922" t="str">
            <v>Administratif</v>
          </cell>
          <cell r="V922" t="str">
            <v>R6 : Social et Administratif</v>
          </cell>
          <cell r="W922" t="str">
            <v>Dotations nouvelles</v>
          </cell>
          <cell r="X922" t="str">
            <v>Aucune</v>
          </cell>
          <cell r="Y922" t="str">
            <v>Prévu</v>
          </cell>
          <cell r="Z922" t="str">
            <v>Administration-Khouribga</v>
          </cell>
        </row>
        <row r="923">
          <cell r="A923">
            <v>5594</v>
          </cell>
          <cell r="B923">
            <v>1</v>
          </cell>
          <cell r="C923" t="str">
            <v>MOBILIER DE BUREAU PMK/AD</v>
          </cell>
          <cell r="D923" t="str">
            <v>MOBILIER DE BUREAU POUR PMK/AD</v>
          </cell>
          <cell r="E923" t="str">
            <v>Non approuvé</v>
          </cell>
          <cell r="F923" t="str">
            <v>K01070</v>
          </cell>
          <cell r="G923">
            <v>1</v>
          </cell>
          <cell r="H923" t="str">
            <v>v1</v>
          </cell>
          <cell r="I923" t="str">
            <v>BUDGET INITIAL</v>
          </cell>
          <cell r="J923" t="str">
            <v>A soumettre</v>
          </cell>
          <cell r="K923">
            <v>45000</v>
          </cell>
          <cell r="L923">
            <v>45000</v>
          </cell>
          <cell r="M923">
            <v>45000</v>
          </cell>
          <cell r="N923">
            <v>45000</v>
          </cell>
          <cell r="O923">
            <v>0</v>
          </cell>
          <cell r="S923">
            <v>19607</v>
          </cell>
          <cell r="T923" t="str">
            <v>LARHZAOUI NADIA</v>
          </cell>
          <cell r="U923" t="str">
            <v>Administratif</v>
          </cell>
          <cell r="V923" t="str">
            <v>R6 : Social et Administratif</v>
          </cell>
          <cell r="W923" t="str">
            <v>Dotations nouvelles</v>
          </cell>
          <cell r="X923" t="str">
            <v>Aucune</v>
          </cell>
          <cell r="Y923" t="str">
            <v>Prévu</v>
          </cell>
          <cell r="Z923" t="str">
            <v>Administration-Khouribga</v>
          </cell>
        </row>
        <row r="924">
          <cell r="A924">
            <v>5598</v>
          </cell>
          <cell r="B924">
            <v>1</v>
          </cell>
          <cell r="C924" t="str">
            <v>DESTRUCTEUR DE PAPIER A AD</v>
          </cell>
          <cell r="D924" t="str">
            <v>Acquisition d'un Destructeur de papier pour PMK / AD</v>
          </cell>
          <cell r="E924" t="str">
            <v>Approuvé CP</v>
          </cell>
          <cell r="F924" t="str">
            <v>K01070</v>
          </cell>
          <cell r="G924">
            <v>1</v>
          </cell>
          <cell r="H924" t="str">
            <v>WORKPLAN</v>
          </cell>
          <cell r="J924" t="str">
            <v>A soumettre</v>
          </cell>
          <cell r="S924">
            <v>19641</v>
          </cell>
          <cell r="T924" t="str">
            <v>LARHZAOUI NADIA</v>
          </cell>
          <cell r="U924" t="str">
            <v>Administratif</v>
          </cell>
          <cell r="V924" t="str">
            <v>R6 : Social et Administratif</v>
          </cell>
          <cell r="W924" t="str">
            <v>Dotations nouvelles</v>
          </cell>
          <cell r="X924" t="str">
            <v>Aucune</v>
          </cell>
          <cell r="Y924" t="str">
            <v>Prévu</v>
          </cell>
          <cell r="Z924" t="str">
            <v>Administration-Khouribga</v>
          </cell>
        </row>
        <row r="925">
          <cell r="A925">
            <v>5601</v>
          </cell>
          <cell r="B925">
            <v>1</v>
          </cell>
          <cell r="C925" t="str">
            <v>FAUTEUILS POUR PMK / AD</v>
          </cell>
          <cell r="D925" t="str">
            <v>30 FAUTEUILS ROULANTS POUR PMK / AD</v>
          </cell>
          <cell r="E925" t="str">
            <v>Approuvé CP</v>
          </cell>
          <cell r="F925" t="str">
            <v>K01070</v>
          </cell>
          <cell r="G925">
            <v>1</v>
          </cell>
          <cell r="H925" t="str">
            <v>WORKPLAN</v>
          </cell>
          <cell r="J925" t="str">
            <v>A soumettre</v>
          </cell>
          <cell r="S925">
            <v>19649</v>
          </cell>
          <cell r="T925" t="str">
            <v>LARHZAOUI NADIA</v>
          </cell>
          <cell r="U925" t="str">
            <v>Administratif</v>
          </cell>
          <cell r="V925" t="str">
            <v>R6 : Social et Administratif</v>
          </cell>
          <cell r="W925" t="str">
            <v>Dotations nouvelles</v>
          </cell>
          <cell r="X925" t="str">
            <v>Aucune</v>
          </cell>
          <cell r="Y925" t="str">
            <v>Prévu</v>
          </cell>
          <cell r="Z925" t="str">
            <v>Administration-Khouribga</v>
          </cell>
        </row>
        <row r="926">
          <cell r="A926">
            <v>5602</v>
          </cell>
          <cell r="B926">
            <v>1</v>
          </cell>
          <cell r="C926" t="str">
            <v>CHAISES FIXES POUR AD</v>
          </cell>
          <cell r="D926" t="str">
            <v>40 CHAISES FIXES POUR PMK / AD</v>
          </cell>
          <cell r="E926" t="str">
            <v>Approuvé CP</v>
          </cell>
          <cell r="F926" t="str">
            <v>K01070</v>
          </cell>
          <cell r="G926">
            <v>1</v>
          </cell>
          <cell r="H926" t="str">
            <v>WORKPLAN</v>
          </cell>
          <cell r="J926" t="str">
            <v>A soumettre</v>
          </cell>
          <cell r="S926">
            <v>19655</v>
          </cell>
          <cell r="T926" t="str">
            <v>LARHZAOUI NADIA</v>
          </cell>
          <cell r="U926" t="str">
            <v>Administratif</v>
          </cell>
          <cell r="V926" t="str">
            <v>R6 : Social et Administratif</v>
          </cell>
          <cell r="W926" t="str">
            <v>Dotations nouvelles</v>
          </cell>
          <cell r="X926" t="str">
            <v>Aucune</v>
          </cell>
          <cell r="Y926" t="str">
            <v>Prévu</v>
          </cell>
          <cell r="Z926" t="str">
            <v>Administration-Khouribga</v>
          </cell>
        </row>
        <row r="927">
          <cell r="A927">
            <v>5603</v>
          </cell>
          <cell r="B927">
            <v>1</v>
          </cell>
          <cell r="C927" t="str">
            <v>BUREAUX POUR PMK / AD</v>
          </cell>
          <cell r="D927" t="str">
            <v>10 BUREAUX POUR PMK / AD</v>
          </cell>
          <cell r="E927" t="str">
            <v>Non approuvé</v>
          </cell>
          <cell r="F927" t="str">
            <v>K01070</v>
          </cell>
          <cell r="G927">
            <v>1</v>
          </cell>
          <cell r="H927" t="str">
            <v>WORKPLAN</v>
          </cell>
          <cell r="J927" t="str">
            <v>A soumettre</v>
          </cell>
          <cell r="S927">
            <v>19660</v>
          </cell>
          <cell r="T927" t="str">
            <v>LARHZAOUI NADIA</v>
          </cell>
          <cell r="U927" t="str">
            <v>Administratif</v>
          </cell>
          <cell r="V927" t="str">
            <v>R6 : Social et Administratif</v>
          </cell>
          <cell r="W927" t="str">
            <v>Dotations nouvelles</v>
          </cell>
          <cell r="X927" t="str">
            <v>Aucune</v>
          </cell>
          <cell r="Y927" t="str">
            <v>Prévu</v>
          </cell>
          <cell r="Z927" t="str">
            <v>Administration-Khouribga</v>
          </cell>
        </row>
        <row r="928">
          <cell r="A928">
            <v>5604</v>
          </cell>
          <cell r="B928">
            <v>1</v>
          </cell>
          <cell r="C928" t="str">
            <v>ARMOIRES  POUR PMK / AD</v>
          </cell>
          <cell r="D928" t="str">
            <v>10 ARMOIRES  POUR PMK / AD</v>
          </cell>
          <cell r="E928" t="str">
            <v>Approuvé CP</v>
          </cell>
          <cell r="F928" t="str">
            <v>K01070</v>
          </cell>
          <cell r="G928">
            <v>1</v>
          </cell>
          <cell r="H928" t="str">
            <v>WORKPLAN</v>
          </cell>
          <cell r="J928" t="str">
            <v>A soumettre</v>
          </cell>
          <cell r="S928">
            <v>19666</v>
          </cell>
          <cell r="T928" t="str">
            <v>LARHZAOUI NADIA</v>
          </cell>
          <cell r="U928" t="str">
            <v>Administratif</v>
          </cell>
          <cell r="V928" t="str">
            <v>R6 : Social et Administratif</v>
          </cell>
          <cell r="W928" t="str">
            <v>Dotations nouvelles</v>
          </cell>
          <cell r="X928" t="str">
            <v>Aucune</v>
          </cell>
          <cell r="Y928" t="str">
            <v>Prévu</v>
          </cell>
          <cell r="Z928" t="str">
            <v>Administration-Khouribga</v>
          </cell>
        </row>
        <row r="929">
          <cell r="A929">
            <v>5632</v>
          </cell>
          <cell r="B929">
            <v>1</v>
          </cell>
          <cell r="C929" t="str">
            <v>MOBILIER DE BUREAU  PMK / GE</v>
          </cell>
          <cell r="D929" t="str">
            <v>MOBILIER DE BUREAU  POUR PMK / GE</v>
          </cell>
          <cell r="E929" t="str">
            <v>Non approuvé</v>
          </cell>
          <cell r="F929" t="str">
            <v>K01369</v>
          </cell>
          <cell r="G929">
            <v>1</v>
          </cell>
          <cell r="H929" t="str">
            <v>WORKPLAN</v>
          </cell>
          <cell r="J929" t="str">
            <v>A soumettre</v>
          </cell>
          <cell r="S929">
            <v>19994</v>
          </cell>
          <cell r="T929" t="str">
            <v>BOUYA BAADI</v>
          </cell>
          <cell r="U929" t="str">
            <v>Administratif</v>
          </cell>
          <cell r="V929" t="str">
            <v>R6 : Social et Administratif</v>
          </cell>
          <cell r="W929" t="str">
            <v>Renouvellement</v>
          </cell>
          <cell r="X929" t="str">
            <v>Aucune</v>
          </cell>
          <cell r="Y929" t="str">
            <v>Prévu</v>
          </cell>
          <cell r="Z929" t="str">
            <v>Administration-Khouribga</v>
          </cell>
        </row>
        <row r="930">
          <cell r="A930">
            <v>5739</v>
          </cell>
          <cell r="B930">
            <v>1</v>
          </cell>
          <cell r="C930" t="str">
            <v>Cession du matériel</v>
          </cell>
          <cell r="D930" t="str">
            <v>régularisation des immobilisations cédées par SOTREG à PMK/P</v>
          </cell>
          <cell r="E930" t="str">
            <v>Approuvé</v>
          </cell>
          <cell r="F930" t="str">
            <v>K03523</v>
          </cell>
          <cell r="G930">
            <v>1</v>
          </cell>
          <cell r="H930" t="str">
            <v>WORKPLAN</v>
          </cell>
          <cell r="J930" t="str">
            <v>A soumettre</v>
          </cell>
          <cell r="S930">
            <v>20437</v>
          </cell>
          <cell r="T930" t="str">
            <v>RAMZI ABDELKRIM</v>
          </cell>
          <cell r="U930" t="str">
            <v>Ordinaire</v>
          </cell>
          <cell r="V930" t="str">
            <v>R9 : Véhicules</v>
          </cell>
          <cell r="W930" t="str">
            <v>Dotations nouvelles</v>
          </cell>
          <cell r="X930" t="str">
            <v>Aucune</v>
          </cell>
          <cell r="Y930" t="str">
            <v>Imprévu</v>
          </cell>
          <cell r="Z930" t="str">
            <v>Production-Khouribga</v>
          </cell>
        </row>
        <row r="931">
          <cell r="A931">
            <v>5747</v>
          </cell>
          <cell r="B931">
            <v>1</v>
          </cell>
          <cell r="C931" t="str">
            <v>MATERIEL DE CHAUFFAGE</v>
          </cell>
          <cell r="D931" t="str">
            <v>ETUDE, FOURNITURE, INSTALLATION ET MISE EN SERVICE D'UN CHAUFFE EAU A PANNEAUX SOLAIRES</v>
          </cell>
          <cell r="E931" t="str">
            <v>Approuvé CP</v>
          </cell>
          <cell r="F931" t="str">
            <v>K07019</v>
          </cell>
          <cell r="G931">
            <v>1</v>
          </cell>
          <cell r="H931" t="str">
            <v>WORKPLAN</v>
          </cell>
          <cell r="J931" t="str">
            <v>A soumettre</v>
          </cell>
          <cell r="S931">
            <v>20507</v>
          </cell>
          <cell r="T931" t="str">
            <v>RAOUIA ELMOSTAFA</v>
          </cell>
          <cell r="U931" t="str">
            <v>Ordinaire</v>
          </cell>
          <cell r="V931" t="str">
            <v>R7 : Environnement et Sécurité</v>
          </cell>
          <cell r="W931" t="str">
            <v>Dotations nouvelles</v>
          </cell>
          <cell r="X931" t="str">
            <v>Aucune</v>
          </cell>
          <cell r="Y931" t="str">
            <v>Prévu</v>
          </cell>
          <cell r="Z931" t="str">
            <v>Embarquement-Casablanca</v>
          </cell>
        </row>
        <row r="932">
          <cell r="A932">
            <v>5751</v>
          </cell>
          <cell r="B932">
            <v>1</v>
          </cell>
          <cell r="C932" t="str">
            <v>TRANSFORMATEURS DE PUISSANCE</v>
          </cell>
          <cell r="D932" t="str">
            <v>TRANSFORMATEURS DE PUISSANCE POUR P3 ET P4</v>
          </cell>
          <cell r="E932" t="str">
            <v>Non approuvé</v>
          </cell>
          <cell r="F932" t="str">
            <v>K07121</v>
          </cell>
          <cell r="G932">
            <v>1</v>
          </cell>
          <cell r="H932" t="str">
            <v>WORKPLAN</v>
          </cell>
          <cell r="J932" t="str">
            <v>A soumettre</v>
          </cell>
          <cell r="S932">
            <v>20515</v>
          </cell>
          <cell r="T932" t="str">
            <v>RAOUIA ELMOSTAFA</v>
          </cell>
          <cell r="U932" t="str">
            <v>Ordinaire</v>
          </cell>
          <cell r="V932" t="str">
            <v>R2 : Maintien outil production</v>
          </cell>
          <cell r="W932" t="str">
            <v>Dotations nouvelles</v>
          </cell>
          <cell r="X932" t="str">
            <v>Aucune</v>
          </cell>
          <cell r="Y932" t="str">
            <v>Prévu</v>
          </cell>
          <cell r="Z932" t="str">
            <v>Embarquement-Casablanca</v>
          </cell>
        </row>
        <row r="933">
          <cell r="A933">
            <v>5752</v>
          </cell>
          <cell r="B933">
            <v>1</v>
          </cell>
          <cell r="C933" t="str">
            <v>ELECTRIQUE</v>
          </cell>
          <cell r="D933" t="str">
            <v>TRANSFORMATEURS DE PUISSANCE</v>
          </cell>
          <cell r="E933" t="str">
            <v>Approuvé CP</v>
          </cell>
          <cell r="F933" t="str">
            <v>K07121</v>
          </cell>
          <cell r="G933">
            <v>1</v>
          </cell>
          <cell r="H933" t="str">
            <v>WORKPLAN</v>
          </cell>
          <cell r="J933" t="str">
            <v>A soumettre</v>
          </cell>
          <cell r="S933">
            <v>20517</v>
          </cell>
          <cell r="T933" t="str">
            <v>RAOUIA ELMOSTAFA</v>
          </cell>
          <cell r="U933" t="str">
            <v>Ordinaire</v>
          </cell>
          <cell r="V933" t="str">
            <v>R2 : Maintien outil production</v>
          </cell>
          <cell r="W933" t="str">
            <v>Renouvellement</v>
          </cell>
          <cell r="X933" t="str">
            <v>Aucune</v>
          </cell>
          <cell r="Y933" t="str">
            <v>Prévu</v>
          </cell>
          <cell r="Z933" t="str">
            <v>Embarquement-Casablanca</v>
          </cell>
        </row>
        <row r="934">
          <cell r="A934">
            <v>5755</v>
          </cell>
          <cell r="B934">
            <v>1</v>
          </cell>
          <cell r="C934" t="str">
            <v>INFORMATIQUE</v>
          </cell>
          <cell r="D934" t="str">
            <v>IMPRIMANTES LASER</v>
          </cell>
          <cell r="E934" t="str">
            <v>Non approuvé</v>
          </cell>
          <cell r="G934">
            <v>1</v>
          </cell>
          <cell r="H934" t="str">
            <v>WORKPLAN</v>
          </cell>
          <cell r="J934" t="str">
            <v>A soumettre</v>
          </cell>
          <cell r="S934">
            <v>20528</v>
          </cell>
          <cell r="T934" t="str">
            <v>TIBAR AZIZ</v>
          </cell>
          <cell r="U934" t="str">
            <v>Administratif</v>
          </cell>
          <cell r="V934" t="str">
            <v>R8 : Informatique</v>
          </cell>
          <cell r="W934" t="str">
            <v>Renouvellement</v>
          </cell>
          <cell r="X934" t="str">
            <v>Aucune</v>
          </cell>
          <cell r="Y934" t="str">
            <v>Prévu</v>
          </cell>
          <cell r="Z934" t="str">
            <v>Embarquement-Casablanca</v>
          </cell>
        </row>
        <row r="935">
          <cell r="A935">
            <v>5768</v>
          </cell>
          <cell r="B935">
            <v>1</v>
          </cell>
          <cell r="C935" t="str">
            <v>INFORMATIQU</v>
          </cell>
          <cell r="D935" t="str">
            <v>IMPRIMANTES</v>
          </cell>
          <cell r="E935" t="str">
            <v>Approuvé CP</v>
          </cell>
          <cell r="F935" t="str">
            <v>K07019</v>
          </cell>
          <cell r="G935">
            <v>1</v>
          </cell>
          <cell r="H935" t="str">
            <v>WORKPLAN</v>
          </cell>
          <cell r="J935" t="str">
            <v>A soumettre</v>
          </cell>
          <cell r="S935">
            <v>20844</v>
          </cell>
          <cell r="T935" t="str">
            <v>TIBAR AZIZ</v>
          </cell>
          <cell r="U935" t="str">
            <v>Administratif</v>
          </cell>
          <cell r="V935" t="str">
            <v>R8 : Informatique</v>
          </cell>
          <cell r="W935" t="str">
            <v>Renouvellement</v>
          </cell>
          <cell r="X935" t="str">
            <v>Aucune</v>
          </cell>
          <cell r="Y935" t="str">
            <v>Prévu</v>
          </cell>
          <cell r="Z935" t="str">
            <v>Embarquement-Casablanca</v>
          </cell>
        </row>
        <row r="936">
          <cell r="A936">
            <v>5891</v>
          </cell>
          <cell r="B936">
            <v>1</v>
          </cell>
          <cell r="C936" t="str">
            <v>35 moteurs électriques</v>
          </cell>
          <cell r="D936" t="str">
            <v>Achat de 35 moteurs électriques pour la laverie Daoui</v>
          </cell>
          <cell r="E936" t="str">
            <v>Approuvé CP</v>
          </cell>
          <cell r="F936" t="str">
            <v>K04705</v>
          </cell>
          <cell r="G936">
            <v>1</v>
          </cell>
          <cell r="H936" t="str">
            <v>WORKPLAN</v>
          </cell>
          <cell r="J936" t="str">
            <v>A soumettre</v>
          </cell>
          <cell r="S936">
            <v>21738</v>
          </cell>
          <cell r="T936" t="str">
            <v>BERRADA ACHRAF</v>
          </cell>
          <cell r="U936" t="str">
            <v>Ordinaire</v>
          </cell>
          <cell r="V936" t="str">
            <v>R2 : Maintien outil production</v>
          </cell>
          <cell r="W936" t="str">
            <v>Dotations nouvelles</v>
          </cell>
          <cell r="X936" t="str">
            <v>Aucune</v>
          </cell>
          <cell r="Y936" t="str">
            <v>Imprévu</v>
          </cell>
          <cell r="Z936" t="str">
            <v>Traitement-Khouribga</v>
          </cell>
        </row>
        <row r="937">
          <cell r="A937">
            <v>5897</v>
          </cell>
          <cell r="B937">
            <v>1</v>
          </cell>
          <cell r="C937" t="str">
            <v>sertisseuse 6 nappes</v>
          </cell>
          <cell r="D937" t="str">
            <v>Achat d'une sertisseuse 6 nappes</v>
          </cell>
          <cell r="E937" t="str">
            <v>Non approuvé</v>
          </cell>
          <cell r="F937" t="str">
            <v>K03541</v>
          </cell>
          <cell r="G937">
            <v>1</v>
          </cell>
          <cell r="H937" t="str">
            <v>WORKPLAN</v>
          </cell>
          <cell r="J937" t="str">
            <v>A soumettre</v>
          </cell>
          <cell r="S937">
            <v>21884</v>
          </cell>
          <cell r="T937" t="str">
            <v>MHADI HICHAM</v>
          </cell>
          <cell r="U937" t="str">
            <v>Ordinaire</v>
          </cell>
          <cell r="V937" t="str">
            <v>R3 : Amélioration prix revient</v>
          </cell>
          <cell r="W937" t="str">
            <v>Dotations nouvelles</v>
          </cell>
          <cell r="X937" t="str">
            <v>Aucune</v>
          </cell>
          <cell r="Y937" t="str">
            <v>Imprévu</v>
          </cell>
          <cell r="Z937" t="str">
            <v>Production-Khouribga</v>
          </cell>
        </row>
        <row r="938">
          <cell r="A938">
            <v>5902</v>
          </cell>
          <cell r="B938">
            <v>1</v>
          </cell>
          <cell r="C938" t="str">
            <v>ANALYSEUR D'HEMATOLOGIE</v>
          </cell>
          <cell r="D938" t="str">
            <v>ANALYSEUR D'HEMATOLOGIE POUR AK/M</v>
          </cell>
          <cell r="E938" t="str">
            <v>Non approuvé</v>
          </cell>
          <cell r="F938" t="str">
            <v>K01413</v>
          </cell>
          <cell r="G938">
            <v>1</v>
          </cell>
          <cell r="H938" t="str">
            <v>WORKPLAN</v>
          </cell>
          <cell r="J938" t="str">
            <v>A soumettre</v>
          </cell>
          <cell r="S938">
            <v>21978</v>
          </cell>
          <cell r="T938" t="str">
            <v>LAGHRIB LEKBIR</v>
          </cell>
          <cell r="U938" t="str">
            <v>Médical</v>
          </cell>
          <cell r="V938" t="str">
            <v>R10 : Médical</v>
          </cell>
          <cell r="W938" t="str">
            <v>Renouvellement</v>
          </cell>
          <cell r="X938" t="str">
            <v>Aucune</v>
          </cell>
          <cell r="Y938" t="str">
            <v>Imprévu</v>
          </cell>
          <cell r="Z938" t="str">
            <v>Administration-Khouribga</v>
          </cell>
        </row>
        <row r="939">
          <cell r="A939">
            <v>5906</v>
          </cell>
          <cell r="B939">
            <v>1</v>
          </cell>
          <cell r="C939" t="str">
            <v>armoires metalliques PMK/IE</v>
          </cell>
          <cell r="D939" t="str">
            <v>5 armoires metalliques pour PMK/IE</v>
          </cell>
          <cell r="E939" t="str">
            <v>Non approuvé</v>
          </cell>
          <cell r="F939" t="str">
            <v>K02229</v>
          </cell>
          <cell r="G939">
            <v>1</v>
          </cell>
          <cell r="H939" t="str">
            <v>WORKPLAN</v>
          </cell>
          <cell r="J939" t="str">
            <v>A soumettre</v>
          </cell>
          <cell r="S939">
            <v>21996</v>
          </cell>
          <cell r="T939" t="str">
            <v>KAZZOUZI El Bachir</v>
          </cell>
          <cell r="U939" t="str">
            <v>Administratif</v>
          </cell>
          <cell r="V939" t="str">
            <v>R6 : Social et Administratif</v>
          </cell>
          <cell r="W939" t="str">
            <v>Dotations nouvelles</v>
          </cell>
          <cell r="X939" t="str">
            <v>Aucune</v>
          </cell>
          <cell r="Y939" t="str">
            <v>Prévu</v>
          </cell>
          <cell r="Z939" t="str">
            <v>Administration-Khouribga</v>
          </cell>
        </row>
        <row r="940">
          <cell r="A940">
            <v>5935</v>
          </cell>
          <cell r="B940">
            <v>1</v>
          </cell>
          <cell r="C940" t="str">
            <v>MATERIEL LABORATOIRE LUBR</v>
          </cell>
          <cell r="D940" t="str">
            <v>ACHAT MATERIEL LABORATOIRE LUBRIFIANTS</v>
          </cell>
          <cell r="E940" t="str">
            <v>Non approuvé</v>
          </cell>
          <cell r="F940" t="str">
            <v>K11801</v>
          </cell>
          <cell r="G940">
            <v>1</v>
          </cell>
          <cell r="H940" t="str">
            <v>vi</v>
          </cell>
          <cell r="I940" t="str">
            <v>BUDGET INITIAL</v>
          </cell>
          <cell r="J940" t="str">
            <v>A soumettre</v>
          </cell>
          <cell r="K940">
            <v>960000</v>
          </cell>
          <cell r="L940">
            <v>960000</v>
          </cell>
          <cell r="Q940">
            <v>960000</v>
          </cell>
          <cell r="S940">
            <v>22295</v>
          </cell>
          <cell r="T940" t="str">
            <v>BENZAKI HASSAN</v>
          </cell>
          <cell r="U940" t="str">
            <v>Ordinaire</v>
          </cell>
          <cell r="V940" t="str">
            <v>R3 : Amélioration prix revient</v>
          </cell>
          <cell r="W940" t="str">
            <v>Dotations nouvelles</v>
          </cell>
          <cell r="X940" t="str">
            <v>Aucune</v>
          </cell>
          <cell r="Y940" t="str">
            <v>Prévu</v>
          </cell>
          <cell r="Z940" t="str">
            <v>Logistique-Khouribga</v>
          </cell>
        </row>
        <row r="941">
          <cell r="A941">
            <v>5936</v>
          </cell>
          <cell r="B941">
            <v>1</v>
          </cell>
          <cell r="C941" t="str">
            <v>MATERIEL LABORATOIRES BAN</v>
          </cell>
          <cell r="D941" t="str">
            <v>ACHAT MATERIEL LABORATOIRES DES BANDES</v>
          </cell>
          <cell r="E941" t="str">
            <v>Non approuvé</v>
          </cell>
          <cell r="F941" t="str">
            <v>K11800</v>
          </cell>
          <cell r="G941">
            <v>1</v>
          </cell>
          <cell r="H941" t="str">
            <v>vi</v>
          </cell>
          <cell r="I941" t="str">
            <v>BUDGET INITIAL</v>
          </cell>
          <cell r="J941" t="str">
            <v>A soumettre</v>
          </cell>
          <cell r="K941">
            <v>950000</v>
          </cell>
          <cell r="L941">
            <v>950000</v>
          </cell>
          <cell r="Q941">
            <v>950000</v>
          </cell>
          <cell r="S941">
            <v>22298</v>
          </cell>
          <cell r="T941" t="str">
            <v>BENZAKI HASSAN</v>
          </cell>
          <cell r="U941" t="str">
            <v>Ordinaire</v>
          </cell>
          <cell r="V941" t="str">
            <v>R3 : Amélioration prix revient</v>
          </cell>
          <cell r="W941" t="str">
            <v>Dotations nouvelles</v>
          </cell>
          <cell r="X941" t="str">
            <v>Aucune</v>
          </cell>
          <cell r="Y941" t="str">
            <v>Prévu</v>
          </cell>
          <cell r="Z941" t="str">
            <v>Logistique-Khouribga</v>
          </cell>
        </row>
        <row r="942">
          <cell r="A942">
            <v>5950</v>
          </cell>
          <cell r="B942">
            <v>1</v>
          </cell>
          <cell r="C942" t="str">
            <v>EQUIPEMENT BUREAUTIQUE MUSEE</v>
          </cell>
          <cell r="D942" t="str">
            <v>EQUIPEMENT BUREAUTIQUE POUR LA  MUSEE DE LA MINE A KHOURIBGA</v>
          </cell>
          <cell r="E942" t="str">
            <v>Approuvé</v>
          </cell>
          <cell r="F942" t="str">
            <v>K11063</v>
          </cell>
          <cell r="G942">
            <v>1</v>
          </cell>
          <cell r="H942" t="str">
            <v>initial</v>
          </cell>
          <cell r="J942" t="str">
            <v>En cours</v>
          </cell>
          <cell r="K942">
            <v>111600</v>
          </cell>
          <cell r="L942">
            <v>111600</v>
          </cell>
          <cell r="M942">
            <v>111600</v>
          </cell>
          <cell r="N942">
            <v>111600</v>
          </cell>
          <cell r="S942">
            <v>22345</v>
          </cell>
          <cell r="T942" t="str">
            <v>ZAHRI ABDESLAM</v>
          </cell>
          <cell r="U942" t="str">
            <v>Administratif</v>
          </cell>
          <cell r="V942" t="str">
            <v>R8 : Informatique</v>
          </cell>
          <cell r="W942" t="str">
            <v>Dotations nouvelles</v>
          </cell>
          <cell r="X942" t="str">
            <v>Aucune</v>
          </cell>
          <cell r="Y942" t="str">
            <v>Imprévu</v>
          </cell>
          <cell r="Z942" t="str">
            <v>Logistique-Khouribga</v>
          </cell>
        </row>
        <row r="943">
          <cell r="A943">
            <v>6000</v>
          </cell>
          <cell r="B943">
            <v>1</v>
          </cell>
          <cell r="C943" t="str">
            <v>ACHAT DE  TERRAINS</v>
          </cell>
          <cell r="D943" t="str">
            <v>ACHAT DE TERRAINS (DEBLOCAGE DU PHOSPHATE DE MEA VERS LES USINES DE TRAITEMENT)</v>
          </cell>
          <cell r="E943" t="str">
            <v>Non approuvé</v>
          </cell>
          <cell r="F943" t="str">
            <v>K04001</v>
          </cell>
          <cell r="G943">
            <v>1</v>
          </cell>
          <cell r="H943" t="str">
            <v>WORKPLAN</v>
          </cell>
          <cell r="J943" t="str">
            <v>A soumettre</v>
          </cell>
          <cell r="S943">
            <v>22609</v>
          </cell>
          <cell r="T943" t="str">
            <v>BOUALAM MOUTASSIM</v>
          </cell>
          <cell r="U943" t="str">
            <v>Ordinaire</v>
          </cell>
          <cell r="V943" t="str">
            <v>R11 : Terrains</v>
          </cell>
          <cell r="W943" t="str">
            <v>Dotations nouvelles</v>
          </cell>
          <cell r="X943" t="str">
            <v>Aucune</v>
          </cell>
          <cell r="Y943" t="str">
            <v>Prévu</v>
          </cell>
          <cell r="Z943" t="str">
            <v>Logistique-Khouribga</v>
          </cell>
        </row>
        <row r="944">
          <cell r="A944">
            <v>6001</v>
          </cell>
          <cell r="B944">
            <v>1</v>
          </cell>
          <cell r="C944" t="str">
            <v>ETUDES</v>
          </cell>
          <cell r="D944" t="str">
            <v>ETUDES (REALISATION D'EQUIPEMENTS POUR PERMETTRE L'ALIMENTATION SIMULTANEE DES DEUX LIAISONS MEA/PARC EL WAFI ET MEA/BENI-IDIR)</v>
          </cell>
          <cell r="G944">
            <v>1</v>
          </cell>
          <cell r="H944" t="str">
            <v>WORKPLAN</v>
          </cell>
          <cell r="J944" t="str">
            <v>A soumettre</v>
          </cell>
          <cell r="S944">
            <v>22610</v>
          </cell>
          <cell r="T944" t="str">
            <v>BOUALAM MOUTASSIM</v>
          </cell>
          <cell r="U944" t="str">
            <v>Etudes et essais</v>
          </cell>
          <cell r="V944" t="str">
            <v>R5 : Etudes et Essais</v>
          </cell>
          <cell r="W944" t="str">
            <v>Dotations nouvelles</v>
          </cell>
          <cell r="X944" t="str">
            <v>Aucune</v>
          </cell>
          <cell r="Y944" t="str">
            <v>Prévu</v>
          </cell>
          <cell r="Z944" t="str">
            <v>Logistique-Khouribga</v>
          </cell>
        </row>
        <row r="945">
          <cell r="A945">
            <v>6002</v>
          </cell>
          <cell r="B945">
            <v>1</v>
          </cell>
          <cell r="C945" t="str">
            <v>REALISATION D'EQUIPEMENTS</v>
          </cell>
          <cell r="D945" t="str">
            <v>AMENAGEMENT  (REALISATION D'EQUIPEMENTS POUR PERMETTRE L'ALIMENTATION SIMULTANEE DES DEUX LIAISONS MEA/PARC EL WAFI ET MEA/BENI-IDIR)</v>
          </cell>
          <cell r="E945" t="str">
            <v>Non approuvé</v>
          </cell>
          <cell r="F945" t="str">
            <v>K04001</v>
          </cell>
          <cell r="G945">
            <v>1</v>
          </cell>
          <cell r="H945" t="str">
            <v>WORKPLAN</v>
          </cell>
          <cell r="J945" t="str">
            <v>A soumettre</v>
          </cell>
          <cell r="S945">
            <v>22611</v>
          </cell>
          <cell r="T945" t="str">
            <v>BOUALAM MOUTASSIM</v>
          </cell>
          <cell r="U945" t="str">
            <v>Important</v>
          </cell>
          <cell r="V945" t="str">
            <v>R4 : Aug capacité production</v>
          </cell>
          <cell r="W945" t="str">
            <v>Dotations nouvelles</v>
          </cell>
          <cell r="X945" t="str">
            <v>Aucune</v>
          </cell>
          <cell r="Y945" t="str">
            <v>Prévu</v>
          </cell>
          <cell r="Z945" t="str">
            <v>Logistique-Khouribga</v>
          </cell>
        </row>
        <row r="946">
          <cell r="A946">
            <v>6028</v>
          </cell>
          <cell r="B946">
            <v>1</v>
          </cell>
          <cell r="C946" t="str">
            <v>Matériel froid</v>
          </cell>
          <cell r="D946" t="str">
            <v>Matériel froid et climatisation</v>
          </cell>
          <cell r="E946" t="str">
            <v>Non approuvé</v>
          </cell>
          <cell r="F946" t="str">
            <v>K11019</v>
          </cell>
          <cell r="G946">
            <v>1</v>
          </cell>
          <cell r="J946" t="str">
            <v>A soumettre</v>
          </cell>
          <cell r="K946">
            <v>77500</v>
          </cell>
          <cell r="L946">
            <v>77500</v>
          </cell>
          <cell r="Q946">
            <v>77500</v>
          </cell>
          <cell r="S946">
            <v>23017</v>
          </cell>
          <cell r="T946" t="str">
            <v>BOUZZIT BRAHIM</v>
          </cell>
          <cell r="U946" t="str">
            <v>Administratif</v>
          </cell>
          <cell r="V946" t="str">
            <v>R6 : Social et Administratif</v>
          </cell>
          <cell r="W946" t="str">
            <v>Dotations nouvelles</v>
          </cell>
          <cell r="X946" t="str">
            <v>Aucune</v>
          </cell>
          <cell r="Y946" t="str">
            <v>Prévu</v>
          </cell>
          <cell r="Z946" t="str">
            <v>Logistique-Khouribga</v>
          </cell>
        </row>
        <row r="947">
          <cell r="A947">
            <v>6029</v>
          </cell>
          <cell r="B947">
            <v>1</v>
          </cell>
          <cell r="C947" t="str">
            <v>Mobilier de  bureaux</v>
          </cell>
          <cell r="D947" t="str">
            <v>Mobilier de bureaux</v>
          </cell>
          <cell r="E947" t="str">
            <v>Non approuvé</v>
          </cell>
          <cell r="F947" t="str">
            <v>K11019</v>
          </cell>
          <cell r="G947">
            <v>1</v>
          </cell>
          <cell r="J947" t="str">
            <v>A soumettre</v>
          </cell>
          <cell r="K947">
            <v>374000</v>
          </cell>
          <cell r="L947">
            <v>374000</v>
          </cell>
          <cell r="Q947">
            <v>374000</v>
          </cell>
          <cell r="S947">
            <v>23018</v>
          </cell>
          <cell r="T947" t="str">
            <v>SAOUD KARIM</v>
          </cell>
          <cell r="U947" t="str">
            <v>Administratif</v>
          </cell>
          <cell r="V947" t="str">
            <v>R6 : Social et Administratif</v>
          </cell>
          <cell r="W947" t="str">
            <v>Dotations nouvelles</v>
          </cell>
          <cell r="X947" t="str">
            <v>Aucune</v>
          </cell>
          <cell r="Y947" t="str">
            <v>Prévu</v>
          </cell>
          <cell r="Z947" t="str">
            <v>Logistique-Khouribga</v>
          </cell>
        </row>
        <row r="948">
          <cell r="A948">
            <v>6030</v>
          </cell>
          <cell r="B948">
            <v>1</v>
          </cell>
          <cell r="C948" t="str">
            <v>M atériel</v>
          </cell>
          <cell r="D948" t="str">
            <v>Outillage mécanique</v>
          </cell>
          <cell r="E948" t="str">
            <v>Non approuvé</v>
          </cell>
          <cell r="F948" t="str">
            <v>K11608</v>
          </cell>
          <cell r="G948">
            <v>1</v>
          </cell>
          <cell r="J948" t="str">
            <v>A soumettre</v>
          </cell>
          <cell r="K948">
            <v>123000</v>
          </cell>
          <cell r="L948">
            <v>123000</v>
          </cell>
          <cell r="Q948">
            <v>123000</v>
          </cell>
          <cell r="S948">
            <v>23019</v>
          </cell>
          <cell r="T948" t="str">
            <v>BOUZZIT BRAHIM</v>
          </cell>
          <cell r="U948" t="str">
            <v>Ordinaire</v>
          </cell>
          <cell r="V948" t="str">
            <v>R3 : Amélioration prix revient</v>
          </cell>
          <cell r="W948" t="str">
            <v>Renouvellement</v>
          </cell>
          <cell r="X948" t="str">
            <v>Aucune</v>
          </cell>
          <cell r="Y948" t="str">
            <v>Prévu</v>
          </cell>
          <cell r="Z948" t="str">
            <v>Logistique-Khouribga</v>
          </cell>
        </row>
        <row r="949">
          <cell r="A949">
            <v>6031</v>
          </cell>
          <cell r="B949">
            <v>1</v>
          </cell>
          <cell r="C949" t="str">
            <v>Outillage  mécanique</v>
          </cell>
          <cell r="D949" t="str">
            <v>Outillage mécanique</v>
          </cell>
          <cell r="E949" t="str">
            <v>Non approuvé</v>
          </cell>
          <cell r="F949" t="str">
            <v>K11608</v>
          </cell>
          <cell r="G949">
            <v>1</v>
          </cell>
          <cell r="J949" t="str">
            <v>A soumettre</v>
          </cell>
          <cell r="K949">
            <v>293914</v>
          </cell>
          <cell r="L949">
            <v>293914</v>
          </cell>
          <cell r="Q949">
            <v>293914</v>
          </cell>
          <cell r="S949">
            <v>23020</v>
          </cell>
          <cell r="T949" t="str">
            <v>BOUZZIT BRAHIM</v>
          </cell>
          <cell r="U949" t="str">
            <v>Ordinaire</v>
          </cell>
          <cell r="V949" t="str">
            <v>R2 : Maintien outil production</v>
          </cell>
          <cell r="W949" t="str">
            <v>Dotations nouvelles</v>
          </cell>
          <cell r="X949" t="str">
            <v>Aucune</v>
          </cell>
          <cell r="Y949" t="str">
            <v>Prévu</v>
          </cell>
          <cell r="Z949" t="str">
            <v>Logistique-Khouribga</v>
          </cell>
        </row>
        <row r="950">
          <cell r="A950">
            <v>6032</v>
          </cell>
          <cell r="B950">
            <v>1</v>
          </cell>
          <cell r="C950" t="str">
            <v>Outillage  électrique</v>
          </cell>
          <cell r="D950" t="str">
            <v>Outillage électrique</v>
          </cell>
          <cell r="E950" t="str">
            <v>Non approuvé</v>
          </cell>
          <cell r="F950" t="str">
            <v>K11718</v>
          </cell>
          <cell r="G950">
            <v>1</v>
          </cell>
          <cell r="J950" t="str">
            <v>A soumettre</v>
          </cell>
          <cell r="K950">
            <v>295000</v>
          </cell>
          <cell r="L950">
            <v>295000</v>
          </cell>
          <cell r="Q950">
            <v>295000</v>
          </cell>
          <cell r="S950">
            <v>23029</v>
          </cell>
          <cell r="T950" t="str">
            <v>SAOUD KARIM</v>
          </cell>
          <cell r="U950" t="str">
            <v>Ordinaire</v>
          </cell>
          <cell r="V950" t="str">
            <v>R2 : Maintien outil production</v>
          </cell>
          <cell r="W950" t="str">
            <v>Dotations nouvelles</v>
          </cell>
          <cell r="X950" t="str">
            <v>Aucune</v>
          </cell>
          <cell r="Y950" t="str">
            <v>Prévu</v>
          </cell>
          <cell r="Z950" t="str">
            <v>Logistique-Khouribga</v>
          </cell>
        </row>
        <row r="951">
          <cell r="A951">
            <v>6033</v>
          </cell>
          <cell r="B951">
            <v>1</v>
          </cell>
          <cell r="C951" t="str">
            <v>appareils  télephoniques</v>
          </cell>
          <cell r="D951" t="str">
            <v>Renouvellement de 08 appareils télephoniques</v>
          </cell>
          <cell r="E951" t="str">
            <v>Non approuvé</v>
          </cell>
          <cell r="F951" t="str">
            <v>K11522</v>
          </cell>
          <cell r="G951">
            <v>1</v>
          </cell>
          <cell r="J951" t="str">
            <v>A soumettre</v>
          </cell>
          <cell r="K951">
            <v>8000</v>
          </cell>
          <cell r="L951">
            <v>8000</v>
          </cell>
          <cell r="Q951">
            <v>8000</v>
          </cell>
          <cell r="S951">
            <v>23031</v>
          </cell>
          <cell r="T951" t="str">
            <v>FIKRI ABOUTHARIK</v>
          </cell>
          <cell r="U951" t="str">
            <v>Administratif</v>
          </cell>
          <cell r="V951" t="str">
            <v>R6 : Social et Administratif</v>
          </cell>
          <cell r="W951" t="str">
            <v>Renouvellement</v>
          </cell>
          <cell r="X951" t="str">
            <v>Aucune</v>
          </cell>
          <cell r="Y951" t="str">
            <v>Prévu</v>
          </cell>
          <cell r="Z951" t="str">
            <v>Logistique-Khouribga</v>
          </cell>
        </row>
        <row r="952">
          <cell r="A952">
            <v>6034</v>
          </cell>
          <cell r="B952">
            <v>1</v>
          </cell>
          <cell r="C952" t="str">
            <v xml:space="preserve"> appareils respiratoires</v>
          </cell>
          <cell r="D952" t="str">
            <v>Achat de 04 appareils respiratoires isolants</v>
          </cell>
          <cell r="E952" t="str">
            <v>Non approuvé</v>
          </cell>
          <cell r="F952" t="str">
            <v>K11522</v>
          </cell>
          <cell r="G952">
            <v>1</v>
          </cell>
          <cell r="J952" t="str">
            <v>A soumettre</v>
          </cell>
          <cell r="K952">
            <v>80000</v>
          </cell>
          <cell r="L952">
            <v>80000</v>
          </cell>
          <cell r="Q952">
            <v>80000</v>
          </cell>
          <cell r="S952">
            <v>23032</v>
          </cell>
          <cell r="T952" t="str">
            <v>FIKRI ABOUTHARIK</v>
          </cell>
          <cell r="U952" t="str">
            <v>Ordinaire</v>
          </cell>
          <cell r="V952" t="str">
            <v>R3 : Amélioration prix revient</v>
          </cell>
          <cell r="W952" t="str">
            <v>Dotations nouvelles</v>
          </cell>
          <cell r="X952" t="str">
            <v>Aucune</v>
          </cell>
          <cell r="Y952" t="str">
            <v>Prévu</v>
          </cell>
          <cell r="Z952" t="str">
            <v>Logistique-Khouribga</v>
          </cell>
        </row>
        <row r="953">
          <cell r="A953">
            <v>6035</v>
          </cell>
          <cell r="B953">
            <v>1</v>
          </cell>
          <cell r="C953" t="str">
            <v>palans</v>
          </cell>
          <cell r="D953" t="str">
            <v>Renouvellement de 02 palans</v>
          </cell>
          <cell r="E953" t="str">
            <v>Non approuvé</v>
          </cell>
          <cell r="F953" t="str">
            <v>K11709</v>
          </cell>
          <cell r="G953">
            <v>1</v>
          </cell>
          <cell r="J953" t="str">
            <v>A soumettre</v>
          </cell>
          <cell r="K953">
            <v>400000</v>
          </cell>
          <cell r="L953">
            <v>400000</v>
          </cell>
          <cell r="Q953">
            <v>400000</v>
          </cell>
          <cell r="S953">
            <v>23033</v>
          </cell>
          <cell r="T953" t="str">
            <v>SAOUD KARIM</v>
          </cell>
          <cell r="U953" t="str">
            <v>Ordinaire</v>
          </cell>
          <cell r="V953" t="str">
            <v>R2 : Maintien outil production</v>
          </cell>
          <cell r="W953" t="str">
            <v>Renouvellement</v>
          </cell>
          <cell r="X953" t="str">
            <v>Aucune</v>
          </cell>
          <cell r="Y953" t="str">
            <v>Prévu</v>
          </cell>
          <cell r="Z953" t="str">
            <v>Logistique-Khouribga</v>
          </cell>
        </row>
        <row r="954">
          <cell r="A954">
            <v>6036</v>
          </cell>
          <cell r="B954">
            <v>1</v>
          </cell>
          <cell r="C954" t="str">
            <v>chargeurs de batteries</v>
          </cell>
          <cell r="D954" t="str">
            <v>Renouvellement de 02 chargeurs de batteries</v>
          </cell>
          <cell r="E954" t="str">
            <v>Non approuvé</v>
          </cell>
          <cell r="F954" t="str">
            <v>K11705</v>
          </cell>
          <cell r="G954">
            <v>1</v>
          </cell>
          <cell r="J954" t="str">
            <v>A soumettre</v>
          </cell>
          <cell r="K954">
            <v>650000</v>
          </cell>
          <cell r="L954">
            <v>650000</v>
          </cell>
          <cell r="Q954">
            <v>650000</v>
          </cell>
          <cell r="S954">
            <v>23034</v>
          </cell>
          <cell r="T954" t="str">
            <v>SAOUD KARIM</v>
          </cell>
          <cell r="U954" t="str">
            <v>Ordinaire</v>
          </cell>
          <cell r="V954" t="str">
            <v>R2 : Maintien outil production</v>
          </cell>
          <cell r="W954" t="str">
            <v>Renouvellement</v>
          </cell>
          <cell r="X954" t="str">
            <v>Aucune</v>
          </cell>
          <cell r="Y954" t="str">
            <v>Prévu</v>
          </cell>
          <cell r="Z954" t="str">
            <v>Logistique-Khouribga</v>
          </cell>
        </row>
        <row r="955">
          <cell r="A955">
            <v>6037</v>
          </cell>
          <cell r="B955">
            <v>1</v>
          </cell>
          <cell r="C955" t="str">
            <v>stations de pompage</v>
          </cell>
          <cell r="D955" t="str">
            <v>Alimentation secours des appareils d'instrumentation des stations de pompage et Châteaux d'eau</v>
          </cell>
          <cell r="E955" t="str">
            <v>Non approuvé</v>
          </cell>
          <cell r="F955" t="str">
            <v>K11705</v>
          </cell>
          <cell r="G955">
            <v>1</v>
          </cell>
          <cell r="J955" t="str">
            <v>A soumettre</v>
          </cell>
          <cell r="K955">
            <v>450000</v>
          </cell>
          <cell r="L955">
            <v>450000</v>
          </cell>
          <cell r="Q955">
            <v>450000</v>
          </cell>
          <cell r="S955">
            <v>23038</v>
          </cell>
          <cell r="T955" t="str">
            <v>SAOUD KARIM</v>
          </cell>
          <cell r="U955" t="str">
            <v>Ordinaire</v>
          </cell>
          <cell r="V955" t="str">
            <v>R3 : Amélioration prix revient</v>
          </cell>
          <cell r="W955" t="str">
            <v>Dotations nouvelles</v>
          </cell>
          <cell r="X955" t="str">
            <v>Aucune</v>
          </cell>
          <cell r="Y955" t="str">
            <v>Prévu</v>
          </cell>
          <cell r="Z955" t="str">
            <v>Logistique-Khouribga</v>
          </cell>
        </row>
        <row r="956">
          <cell r="A956">
            <v>6057</v>
          </cell>
          <cell r="B956">
            <v>1</v>
          </cell>
          <cell r="C956" t="str">
            <v>vidéo surveillance</v>
          </cell>
          <cell r="D956" t="str">
            <v>Fourniture,  installation et mise en service d'un système de vidéo surveillance entre forage et station principale**Acquisition de 15 postes E/R(10 postes TW et 05 Fixes)</v>
          </cell>
          <cell r="E956" t="str">
            <v>Non approuvé</v>
          </cell>
          <cell r="F956" t="str">
            <v>K11705</v>
          </cell>
          <cell r="G956">
            <v>1</v>
          </cell>
          <cell r="J956" t="str">
            <v>A soumettre</v>
          </cell>
          <cell r="K956">
            <v>700000</v>
          </cell>
          <cell r="L956">
            <v>700000</v>
          </cell>
          <cell r="Q956">
            <v>700000</v>
          </cell>
          <cell r="S956">
            <v>23041</v>
          </cell>
          <cell r="T956" t="str">
            <v>SAOUD KARIM</v>
          </cell>
          <cell r="U956" t="str">
            <v>Ordinaire</v>
          </cell>
          <cell r="V956" t="str">
            <v>R7 : Environnement et Sécurité</v>
          </cell>
          <cell r="W956" t="str">
            <v>Dotations nouvelles</v>
          </cell>
          <cell r="X956" t="str">
            <v>Aucune</v>
          </cell>
          <cell r="Y956" t="str">
            <v>Prévu</v>
          </cell>
          <cell r="Z956" t="str">
            <v>Logistique-Khouribga</v>
          </cell>
        </row>
        <row r="957">
          <cell r="A957">
            <v>6058</v>
          </cell>
          <cell r="B957">
            <v>1</v>
          </cell>
          <cell r="C957" t="str">
            <v xml:space="preserve"> tanks à chlore</v>
          </cell>
          <cell r="D957" t="str">
            <v>Réalisation d'une tour de neutralisation des tanks à chlore</v>
          </cell>
          <cell r="E957" t="str">
            <v>Non approuvé</v>
          </cell>
          <cell r="F957" t="str">
            <v>K11700</v>
          </cell>
          <cell r="G957">
            <v>1</v>
          </cell>
          <cell r="J957" t="str">
            <v>A soumettre</v>
          </cell>
          <cell r="K957">
            <v>300000</v>
          </cell>
          <cell r="L957">
            <v>300000</v>
          </cell>
          <cell r="Q957">
            <v>300000</v>
          </cell>
          <cell r="S957">
            <v>23042</v>
          </cell>
          <cell r="T957" t="str">
            <v>SAOUD KARIM</v>
          </cell>
          <cell r="U957" t="str">
            <v>Ordinaire</v>
          </cell>
          <cell r="V957" t="str">
            <v>R7 : Environnement et Sécurité</v>
          </cell>
          <cell r="W957" t="str">
            <v>Dotations nouvelles</v>
          </cell>
          <cell r="X957" t="str">
            <v>Aucune</v>
          </cell>
          <cell r="Y957" t="str">
            <v>Prévu</v>
          </cell>
          <cell r="Z957" t="str">
            <v>Logistique-Khouribga</v>
          </cell>
        </row>
        <row r="958">
          <cell r="A958">
            <v>6059</v>
          </cell>
          <cell r="B958">
            <v>1</v>
          </cell>
          <cell r="C958" t="str">
            <v xml:space="preserve"> chlometre</v>
          </cell>
          <cell r="D958" t="str">
            <v>Renouvellement d'un chlometre au château de Boujniba</v>
          </cell>
          <cell r="E958" t="str">
            <v>Non approuvé</v>
          </cell>
          <cell r="F958" t="str">
            <v>K11701</v>
          </cell>
          <cell r="G958">
            <v>1</v>
          </cell>
          <cell r="J958" t="str">
            <v>A soumettre</v>
          </cell>
          <cell r="K958">
            <v>300000</v>
          </cell>
          <cell r="L958">
            <v>300000</v>
          </cell>
          <cell r="Q958">
            <v>300000</v>
          </cell>
          <cell r="S958">
            <v>23044</v>
          </cell>
          <cell r="T958" t="str">
            <v>SAOUD KARIM</v>
          </cell>
          <cell r="U958" t="str">
            <v>Ordinaire</v>
          </cell>
          <cell r="V958" t="str">
            <v>R2 : Maintien outil production</v>
          </cell>
          <cell r="W958" t="str">
            <v>Renouvellement</v>
          </cell>
          <cell r="X958" t="str">
            <v>Aucune</v>
          </cell>
          <cell r="Y958" t="str">
            <v>Prévu</v>
          </cell>
          <cell r="Z958" t="str">
            <v>Logistique-Khouribga</v>
          </cell>
        </row>
        <row r="959">
          <cell r="A959">
            <v>6060</v>
          </cell>
          <cell r="B959">
            <v>1</v>
          </cell>
          <cell r="C959" t="str">
            <v xml:space="preserve">  pompes</v>
          </cell>
          <cell r="D959" t="str">
            <v>Renouvellement groupes électropompes 40 KW , 10 électropompes et pompes d'épuisement</v>
          </cell>
          <cell r="E959" t="str">
            <v>Non approuvé</v>
          </cell>
          <cell r="F959" t="str">
            <v>K11702</v>
          </cell>
          <cell r="G959">
            <v>1</v>
          </cell>
          <cell r="J959" t="str">
            <v>A soumettre</v>
          </cell>
          <cell r="K959">
            <v>470000</v>
          </cell>
          <cell r="L959">
            <v>470000</v>
          </cell>
          <cell r="Q959">
            <v>470000</v>
          </cell>
          <cell r="S959">
            <v>23046</v>
          </cell>
          <cell r="T959" t="str">
            <v>SAOUD KARIM</v>
          </cell>
          <cell r="U959" t="str">
            <v>Ordinaire</v>
          </cell>
          <cell r="V959" t="str">
            <v>R2 : Maintien outil production</v>
          </cell>
          <cell r="W959" t="str">
            <v>Renouvellement</v>
          </cell>
          <cell r="X959" t="str">
            <v>Aucune</v>
          </cell>
          <cell r="Y959" t="str">
            <v>Prévu</v>
          </cell>
          <cell r="Z959" t="str">
            <v>Logistique-Khouribga</v>
          </cell>
        </row>
        <row r="960">
          <cell r="A960">
            <v>6061</v>
          </cell>
          <cell r="B960">
            <v>1</v>
          </cell>
          <cell r="C960" t="str">
            <v>électropompe 220 KW</v>
          </cell>
          <cell r="D960" t="str">
            <v>Acquisition groupe électropompe 220 KW</v>
          </cell>
          <cell r="E960" t="str">
            <v>Non approuvé</v>
          </cell>
          <cell r="F960" t="str">
            <v>K11702</v>
          </cell>
          <cell r="G960">
            <v>1</v>
          </cell>
          <cell r="J960" t="str">
            <v>A soumettre</v>
          </cell>
          <cell r="K960">
            <v>350000</v>
          </cell>
          <cell r="L960">
            <v>350000</v>
          </cell>
          <cell r="Q960">
            <v>350000</v>
          </cell>
          <cell r="S960">
            <v>23049</v>
          </cell>
          <cell r="T960" t="str">
            <v>SAOUD KARIM</v>
          </cell>
          <cell r="U960" t="str">
            <v>Ordinaire</v>
          </cell>
          <cell r="V960" t="str">
            <v>R3 : Amélioration prix revient</v>
          </cell>
          <cell r="W960" t="str">
            <v>Dotations nouvelles</v>
          </cell>
          <cell r="X960" t="str">
            <v>Aucune</v>
          </cell>
          <cell r="Y960" t="str">
            <v>Prévu</v>
          </cell>
          <cell r="Z960" t="str">
            <v>Logistique-Khouribga</v>
          </cell>
        </row>
        <row r="961">
          <cell r="A961">
            <v>6062</v>
          </cell>
          <cell r="B961">
            <v>1</v>
          </cell>
          <cell r="C961" t="str">
            <v>06 Disjoncteurs 60KV</v>
          </cell>
          <cell r="D961" t="str">
            <v>Renouvellement de 06 Disjoncteurs 60KV pour les postes électriques.</v>
          </cell>
          <cell r="E961" t="str">
            <v>Non approuvé</v>
          </cell>
          <cell r="F961" t="str">
            <v>K11706</v>
          </cell>
          <cell r="G961">
            <v>1</v>
          </cell>
          <cell r="J961" t="str">
            <v>A soumettre</v>
          </cell>
          <cell r="K961">
            <v>2500000</v>
          </cell>
          <cell r="L961">
            <v>2500000</v>
          </cell>
          <cell r="Q961">
            <v>2500000</v>
          </cell>
          <cell r="S961">
            <v>23051</v>
          </cell>
          <cell r="T961" t="str">
            <v>SAOUD KARIM</v>
          </cell>
          <cell r="U961" t="str">
            <v>Ordinaire</v>
          </cell>
          <cell r="V961" t="str">
            <v>R2 : Maintien outil production</v>
          </cell>
          <cell r="W961" t="str">
            <v>Renouvellement</v>
          </cell>
          <cell r="X961" t="str">
            <v>Aucune</v>
          </cell>
          <cell r="Y961" t="str">
            <v>Prévu</v>
          </cell>
          <cell r="Z961" t="str">
            <v>Logistique-Khouribga</v>
          </cell>
        </row>
        <row r="962">
          <cell r="A962">
            <v>6065</v>
          </cell>
          <cell r="B962">
            <v>1</v>
          </cell>
          <cell r="C962" t="str">
            <v>mesure de vibration</v>
          </cell>
          <cell r="D962" t="str">
            <v>Complément pour l'achat d'un appareil de mesure de vibration.</v>
          </cell>
          <cell r="E962" t="str">
            <v>Approuvé CP</v>
          </cell>
          <cell r="F962" t="str">
            <v>K03546</v>
          </cell>
          <cell r="G962">
            <v>1</v>
          </cell>
          <cell r="H962" t="str">
            <v>WORKPLAN</v>
          </cell>
          <cell r="J962" t="str">
            <v>A soumettre</v>
          </cell>
          <cell r="S962">
            <v>22777</v>
          </cell>
          <cell r="T962" t="str">
            <v>MEFTAH Ahmed</v>
          </cell>
          <cell r="U962" t="str">
            <v>Ordinaire</v>
          </cell>
          <cell r="V962" t="str">
            <v>Reprise</v>
          </cell>
          <cell r="W962" t="str">
            <v>Dotations nouvelles</v>
          </cell>
          <cell r="X962" t="str">
            <v>Aucune</v>
          </cell>
          <cell r="Y962" t="str">
            <v>Imprévu</v>
          </cell>
          <cell r="Z962" t="str">
            <v>Production-Khouribga</v>
          </cell>
        </row>
        <row r="963">
          <cell r="A963">
            <v>6066</v>
          </cell>
          <cell r="B963">
            <v>1</v>
          </cell>
          <cell r="C963" t="str">
            <v>cisaille électrique</v>
          </cell>
          <cell r="D963" t="str">
            <v>Achat de 01 cisaille électrique</v>
          </cell>
          <cell r="E963" t="str">
            <v>Non approuvé</v>
          </cell>
          <cell r="F963" t="str">
            <v>K11709</v>
          </cell>
          <cell r="G963">
            <v>1</v>
          </cell>
          <cell r="J963" t="str">
            <v>A soumettre</v>
          </cell>
          <cell r="K963">
            <v>500000</v>
          </cell>
          <cell r="L963">
            <v>500000</v>
          </cell>
          <cell r="Q963">
            <v>500000</v>
          </cell>
          <cell r="S963">
            <v>23052</v>
          </cell>
          <cell r="T963" t="str">
            <v>SAOUD KARIM</v>
          </cell>
          <cell r="U963" t="str">
            <v>Ordinaire</v>
          </cell>
          <cell r="V963" t="str">
            <v>R3 : Amélioration prix revient</v>
          </cell>
          <cell r="W963" t="str">
            <v>Dotations nouvelles</v>
          </cell>
          <cell r="X963" t="str">
            <v>Aucune</v>
          </cell>
          <cell r="Y963" t="str">
            <v>Prévu</v>
          </cell>
          <cell r="Z963" t="str">
            <v>Logistique-Khouribga</v>
          </cell>
        </row>
        <row r="964">
          <cell r="A964">
            <v>6067</v>
          </cell>
          <cell r="B964">
            <v>1</v>
          </cell>
          <cell r="C964" t="str">
            <v>MATERIEL  AUDIO VISUEL</v>
          </cell>
          <cell r="D964" t="str">
            <v>MATERIEL AUDIO VISUEL POUR LA FORMATION ET LA CAPITALISATION DU SAVOIR</v>
          </cell>
          <cell r="E964" t="str">
            <v>Non approuvé</v>
          </cell>
          <cell r="F964" t="str">
            <v>K11708</v>
          </cell>
          <cell r="G964">
            <v>1</v>
          </cell>
          <cell r="J964" t="str">
            <v>A soumettre</v>
          </cell>
          <cell r="K964">
            <v>230000</v>
          </cell>
          <cell r="L964">
            <v>230000</v>
          </cell>
          <cell r="Q964">
            <v>230000</v>
          </cell>
          <cell r="S964">
            <v>23054</v>
          </cell>
          <cell r="T964" t="str">
            <v>SAOUD KARIM</v>
          </cell>
          <cell r="U964" t="str">
            <v>Administratif</v>
          </cell>
          <cell r="V964" t="str">
            <v>R6 : Social et Administratif</v>
          </cell>
          <cell r="W964" t="str">
            <v>Dotations nouvelles</v>
          </cell>
          <cell r="X964" t="str">
            <v>Aucune</v>
          </cell>
          <cell r="Y964" t="str">
            <v>Prévu</v>
          </cell>
          <cell r="Z964" t="str">
            <v>Logistique-Khouribga</v>
          </cell>
        </row>
        <row r="965">
          <cell r="A965">
            <v>6069</v>
          </cell>
          <cell r="B965">
            <v>1</v>
          </cell>
          <cell r="C965" t="str">
            <v>projet T2 SC</v>
          </cell>
          <cell r="D965" t="str">
            <v>Complément pour la construction de la trémie T2 d'épierrage criblage à Sidi chennane</v>
          </cell>
          <cell r="E965" t="str">
            <v>Non approuvé</v>
          </cell>
          <cell r="F965" t="str">
            <v>K03300</v>
          </cell>
          <cell r="G965">
            <v>1</v>
          </cell>
          <cell r="H965" t="str">
            <v>WORKPLAN</v>
          </cell>
          <cell r="J965" t="str">
            <v>A soumettre</v>
          </cell>
          <cell r="S965">
            <v>22798</v>
          </cell>
          <cell r="T965" t="str">
            <v>AMRAOUZA OMAR</v>
          </cell>
          <cell r="U965" t="str">
            <v>Important</v>
          </cell>
          <cell r="V965" t="str">
            <v>R4 : Aug capacité production</v>
          </cell>
          <cell r="W965" t="str">
            <v>Dotations nouvelles</v>
          </cell>
          <cell r="X965" t="str">
            <v>Aucune</v>
          </cell>
          <cell r="Y965" t="str">
            <v>Imprévu</v>
          </cell>
          <cell r="Z965" t="str">
            <v>Production-Khouribga</v>
          </cell>
        </row>
        <row r="966">
          <cell r="A966">
            <v>6073</v>
          </cell>
          <cell r="B966">
            <v>1</v>
          </cell>
          <cell r="C966" t="str">
            <v>ORDINAIRE</v>
          </cell>
          <cell r="D966" t="str">
            <v>MATERIEL ET OUTILLAGE D'ATELIER ET STATION SERVICE</v>
          </cell>
          <cell r="E966" t="str">
            <v>Non approuvé</v>
          </cell>
          <cell r="G966">
            <v>1</v>
          </cell>
          <cell r="H966" t="str">
            <v>WORKPLAN</v>
          </cell>
          <cell r="J966" t="str">
            <v>A soumettre</v>
          </cell>
          <cell r="S966">
            <v>22809</v>
          </cell>
          <cell r="T966" t="str">
            <v>RAOUIA ELMOSTAFA</v>
          </cell>
          <cell r="U966" t="str">
            <v>Ordinaire</v>
          </cell>
          <cell r="V966" t="str">
            <v>R2 : Maintien outil production</v>
          </cell>
          <cell r="W966" t="str">
            <v>Dotations nouvelles</v>
          </cell>
          <cell r="X966" t="str">
            <v>Aucune</v>
          </cell>
          <cell r="Y966" t="str">
            <v>Prévu</v>
          </cell>
          <cell r="Z966" t="str">
            <v>Embarquement-Casablanca</v>
          </cell>
        </row>
        <row r="967">
          <cell r="A967">
            <v>6074</v>
          </cell>
          <cell r="B967">
            <v>1</v>
          </cell>
          <cell r="C967" t="str">
            <v>ACHAT MATERIEL ET OUTILLAGE</v>
          </cell>
          <cell r="D967" t="str">
            <v>MATERIEL ET OUTILLAGE D'ATELIER ET STATION SERVICE</v>
          </cell>
          <cell r="E967" t="str">
            <v>Approuvé CP</v>
          </cell>
          <cell r="F967" t="str">
            <v>K07111</v>
          </cell>
          <cell r="G967">
            <v>1</v>
          </cell>
          <cell r="H967" t="str">
            <v>WORKPLAN</v>
          </cell>
          <cell r="J967" t="str">
            <v>A soumettre</v>
          </cell>
          <cell r="S967">
            <v>22810</v>
          </cell>
          <cell r="T967" t="str">
            <v>RAOUIA ELMOSTAFA</v>
          </cell>
          <cell r="U967" t="str">
            <v>Ordinaire</v>
          </cell>
          <cell r="V967" t="str">
            <v>R2 : Maintien outil production</v>
          </cell>
          <cell r="W967" t="str">
            <v>Dotations nouvelles</v>
          </cell>
          <cell r="X967" t="str">
            <v>Aucune</v>
          </cell>
          <cell r="Y967" t="str">
            <v>Prévu</v>
          </cell>
          <cell r="Z967" t="str">
            <v>Embarquement-Casablanca</v>
          </cell>
        </row>
        <row r="968">
          <cell r="A968">
            <v>6075</v>
          </cell>
          <cell r="B968">
            <v>1</v>
          </cell>
          <cell r="C968" t="str">
            <v>ACHAT MAT. D'ECHANTILLONAGE</v>
          </cell>
          <cell r="D968" t="str">
            <v>ETUVE DE SECHAGE</v>
          </cell>
          <cell r="E968" t="str">
            <v>Approuvé CP</v>
          </cell>
          <cell r="F968" t="str">
            <v>K07215</v>
          </cell>
          <cell r="G968">
            <v>1</v>
          </cell>
          <cell r="H968" t="str">
            <v>WORKPLAN</v>
          </cell>
          <cell r="J968" t="str">
            <v>A soumettre</v>
          </cell>
          <cell r="S968">
            <v>22811</v>
          </cell>
          <cell r="T968" t="str">
            <v>DADI SAID</v>
          </cell>
          <cell r="U968" t="str">
            <v>Ordinaire</v>
          </cell>
          <cell r="V968" t="str">
            <v>R2 : Maintien outil production</v>
          </cell>
          <cell r="W968" t="str">
            <v>Dotations nouvelles</v>
          </cell>
          <cell r="X968" t="str">
            <v>Aucune</v>
          </cell>
          <cell r="Y968" t="str">
            <v>Prévu</v>
          </cell>
          <cell r="Z968" t="str">
            <v>Embarquement-Casablanca</v>
          </cell>
        </row>
        <row r="969">
          <cell r="A969">
            <v>6076</v>
          </cell>
          <cell r="B969">
            <v>1</v>
          </cell>
          <cell r="C969" t="str">
            <v>MATERIEL DE PESAGE</v>
          </cell>
          <cell r="D969" t="str">
            <v>BALANCE ELECTRONIQUE</v>
          </cell>
          <cell r="E969" t="str">
            <v>Approuvé CP</v>
          </cell>
          <cell r="F969" t="str">
            <v>K07019</v>
          </cell>
          <cell r="G969">
            <v>1</v>
          </cell>
          <cell r="H969" t="str">
            <v>WORKPLAN</v>
          </cell>
          <cell r="J969" t="str">
            <v>A soumettre</v>
          </cell>
          <cell r="S969">
            <v>22812</v>
          </cell>
          <cell r="T969" t="str">
            <v>RAOUIA ELMOSTAFA</v>
          </cell>
          <cell r="U969" t="str">
            <v>Ordinaire</v>
          </cell>
          <cell r="V969" t="str">
            <v>R2 : Maintien outil production</v>
          </cell>
          <cell r="W969" t="str">
            <v>Dotations nouvelles</v>
          </cell>
          <cell r="X969" t="str">
            <v>Aucune</v>
          </cell>
          <cell r="Y969" t="str">
            <v>Prévu</v>
          </cell>
          <cell r="Z969" t="str">
            <v>Embarquement-Casablanca</v>
          </cell>
        </row>
        <row r="970">
          <cell r="A970">
            <v>6077</v>
          </cell>
          <cell r="B970">
            <v>1</v>
          </cell>
          <cell r="C970" t="str">
            <v>MOTEURS ELECTRIQ</v>
          </cell>
          <cell r="D970" t="str">
            <v>MOTEURS ELECTRIQUES</v>
          </cell>
          <cell r="E970" t="str">
            <v>Approuvé CP</v>
          </cell>
          <cell r="F970" t="str">
            <v>K07121</v>
          </cell>
          <cell r="G970">
            <v>1</v>
          </cell>
          <cell r="H970" t="str">
            <v>WORKPLAN</v>
          </cell>
          <cell r="J970" t="str">
            <v>A soumettre</v>
          </cell>
          <cell r="S970">
            <v>22813</v>
          </cell>
          <cell r="T970" t="str">
            <v>RAOUIA ELMOSTAFA</v>
          </cell>
          <cell r="U970" t="str">
            <v>Ordinaire</v>
          </cell>
          <cell r="V970" t="str">
            <v>R2 : Maintien outil production</v>
          </cell>
          <cell r="W970" t="str">
            <v>Dotations nouvelles</v>
          </cell>
          <cell r="X970" t="str">
            <v>Aucune</v>
          </cell>
          <cell r="Y970" t="str">
            <v>Prévu</v>
          </cell>
          <cell r="Z970" t="str">
            <v>Embarquement-Casablanca</v>
          </cell>
        </row>
        <row r="971">
          <cell r="A971">
            <v>6082</v>
          </cell>
          <cell r="B971">
            <v>1</v>
          </cell>
          <cell r="C971" t="str">
            <v>Moteur Electrique</v>
          </cell>
          <cell r="D971" t="str">
            <v>Achat d'un moteur électrique synchrone pour la Dragline 8400M</v>
          </cell>
          <cell r="E971" t="str">
            <v>Non approuvé</v>
          </cell>
          <cell r="F971" t="str">
            <v>K03840</v>
          </cell>
          <cell r="G971">
            <v>1</v>
          </cell>
          <cell r="H971" t="str">
            <v>WORKPLAN</v>
          </cell>
          <cell r="J971" t="str">
            <v>A soumettre</v>
          </cell>
          <cell r="S971">
            <v>22832</v>
          </cell>
          <cell r="T971" t="str">
            <v>EL BOUCHRIFI Yagoub</v>
          </cell>
          <cell r="U971" t="str">
            <v>Ordinaire</v>
          </cell>
          <cell r="V971" t="str">
            <v>R2 : Maintien outil production</v>
          </cell>
          <cell r="W971" t="str">
            <v>Dotations nouvelles</v>
          </cell>
          <cell r="X971" t="str">
            <v>Aucune</v>
          </cell>
          <cell r="Y971" t="str">
            <v>Prévu</v>
          </cell>
          <cell r="Z971" t="str">
            <v>Production-Khouribga</v>
          </cell>
        </row>
        <row r="972">
          <cell r="A972">
            <v>6110</v>
          </cell>
          <cell r="B972">
            <v>1</v>
          </cell>
          <cell r="C972" t="str">
            <v>Automatisme Fours UBI</v>
          </cell>
          <cell r="D972" t="str">
            <v>Rénovation des automatismes et supervision des fours sécheurs de Béni-Idir</v>
          </cell>
          <cell r="E972" t="str">
            <v>Non approuvé</v>
          </cell>
          <cell r="F972" t="str">
            <v>K04118</v>
          </cell>
          <cell r="G972">
            <v>1</v>
          </cell>
          <cell r="H972" t="str">
            <v>WORKPLAN</v>
          </cell>
          <cell r="J972" t="str">
            <v>A soumettre</v>
          </cell>
          <cell r="S972">
            <v>22900</v>
          </cell>
          <cell r="T972" t="str">
            <v>HADINI MOHAMED</v>
          </cell>
          <cell r="U972" t="str">
            <v>Ordinaire</v>
          </cell>
          <cell r="V972" t="str">
            <v>R2 : Maintien outil production</v>
          </cell>
          <cell r="W972" t="str">
            <v>Dotations nouvelles</v>
          </cell>
          <cell r="X972" t="str">
            <v>Aucune</v>
          </cell>
          <cell r="Y972" t="str">
            <v>Prévu</v>
          </cell>
          <cell r="Z972" t="str">
            <v>Traitement-Khouribga</v>
          </cell>
        </row>
        <row r="973">
          <cell r="A973">
            <v>6118</v>
          </cell>
          <cell r="B973">
            <v>1</v>
          </cell>
          <cell r="C973" t="str">
            <v>RN de deux sondeuses</v>
          </cell>
          <cell r="D973" t="str">
            <v>Complément pour renouvellement de deux sondeuses 45R</v>
          </cell>
          <cell r="E973" t="str">
            <v>Approuvé</v>
          </cell>
          <cell r="F973" t="str">
            <v>K03300</v>
          </cell>
          <cell r="G973">
            <v>1</v>
          </cell>
          <cell r="H973" t="str">
            <v>WORKPLAN</v>
          </cell>
          <cell r="J973" t="str">
            <v>A soumettre</v>
          </cell>
          <cell r="S973">
            <v>22930</v>
          </cell>
          <cell r="T973" t="str">
            <v>CHEHTANE Mohammed</v>
          </cell>
          <cell r="U973" t="str">
            <v>Ordinaire</v>
          </cell>
          <cell r="V973" t="str">
            <v>R2 : Maintien outil production</v>
          </cell>
          <cell r="W973" t="str">
            <v>Renouvellement</v>
          </cell>
          <cell r="X973" t="str">
            <v>Aucune</v>
          </cell>
          <cell r="Y973" t="str">
            <v>Prévu</v>
          </cell>
          <cell r="Z973" t="str">
            <v>Production-Khouribga</v>
          </cell>
        </row>
        <row r="974">
          <cell r="A974">
            <v>6119</v>
          </cell>
          <cell r="B974">
            <v>1</v>
          </cell>
          <cell r="C974" t="str">
            <v>cession matériel</v>
          </cell>
          <cell r="D974" t="str">
            <v>REGULARISATION DES IMMOBILISATIONS CEDEES PAR SOTREG A PMK/P</v>
          </cell>
          <cell r="E974" t="str">
            <v>Approuvé</v>
          </cell>
          <cell r="F974" t="str">
            <v>K03523</v>
          </cell>
          <cell r="G974">
            <v>1</v>
          </cell>
          <cell r="H974" t="str">
            <v>WORKPLAN</v>
          </cell>
          <cell r="J974" t="str">
            <v>A soumettre</v>
          </cell>
          <cell r="S974">
            <v>22932</v>
          </cell>
          <cell r="T974" t="str">
            <v>RAMZI ABDELKRIM</v>
          </cell>
          <cell r="U974" t="str">
            <v>Administratif</v>
          </cell>
          <cell r="V974" t="str">
            <v>R9 : Véhicules</v>
          </cell>
          <cell r="W974" t="str">
            <v>Dotations nouvelles</v>
          </cell>
          <cell r="X974" t="str">
            <v>Aucune</v>
          </cell>
          <cell r="Y974" t="str">
            <v>Prévu</v>
          </cell>
          <cell r="Z974" t="str">
            <v>Production-Khouribga</v>
          </cell>
        </row>
        <row r="975">
          <cell r="A975">
            <v>6130</v>
          </cell>
          <cell r="B975">
            <v>1</v>
          </cell>
          <cell r="C975" t="str">
            <v>BADGEUSE</v>
          </cell>
          <cell r="D975" t="str">
            <v>BADGEUSE DE POINTAGE</v>
          </cell>
          <cell r="E975" t="str">
            <v>Approuvé CP</v>
          </cell>
          <cell r="F975" t="str">
            <v>K07019</v>
          </cell>
          <cell r="G975">
            <v>1</v>
          </cell>
          <cell r="H975" t="str">
            <v>WORKPLAN</v>
          </cell>
          <cell r="J975" t="str">
            <v>A soumettre</v>
          </cell>
          <cell r="S975">
            <v>22952</v>
          </cell>
          <cell r="T975" t="str">
            <v>TIBAR AZIZ</v>
          </cell>
          <cell r="U975" t="str">
            <v>Ordinaire</v>
          </cell>
          <cell r="V975" t="str">
            <v>R7 : Environnement et Sécurité</v>
          </cell>
          <cell r="W975" t="str">
            <v>Dotations nouvelles</v>
          </cell>
          <cell r="X975" t="str">
            <v>Aucune</v>
          </cell>
          <cell r="Y975" t="str">
            <v>Prévu</v>
          </cell>
          <cell r="Z975" t="str">
            <v>Embarquement-Casablanca</v>
          </cell>
        </row>
        <row r="976">
          <cell r="A976">
            <v>6144</v>
          </cell>
          <cell r="B976">
            <v>1</v>
          </cell>
          <cell r="C976" t="str">
            <v>FRAIS NOTARIAUX EX-BAN</v>
          </cell>
          <cell r="D976" t="str">
            <v>Frais notariaux d'acte de cession de 26 logements Ex-BAN au profit de l'OCP</v>
          </cell>
          <cell r="E976" t="str">
            <v>Non approuvé</v>
          </cell>
          <cell r="G976">
            <v>1</v>
          </cell>
          <cell r="H976" t="str">
            <v>WORKPLAN</v>
          </cell>
          <cell r="J976" t="str">
            <v>A soumettre</v>
          </cell>
          <cell r="S976">
            <v>22993</v>
          </cell>
          <cell r="T976" t="str">
            <v>DERDAKI MOHAMED</v>
          </cell>
          <cell r="U976" t="str">
            <v>Habitat</v>
          </cell>
          <cell r="V976" t="str">
            <v>R6 : Social et Administratif</v>
          </cell>
          <cell r="W976" t="str">
            <v>Dotations nouvelles</v>
          </cell>
          <cell r="X976" t="str">
            <v>Aucune</v>
          </cell>
          <cell r="Y976" t="str">
            <v>Imprévu</v>
          </cell>
          <cell r="Z976" t="str">
            <v>Administration-Khouribga</v>
          </cell>
        </row>
        <row r="977">
          <cell r="A977">
            <v>6145</v>
          </cell>
          <cell r="B977">
            <v>1</v>
          </cell>
          <cell r="C977" t="str">
            <v>FRAIS NOTARIAUX EX-BAN - AK</v>
          </cell>
          <cell r="D977" t="str">
            <v>Frais notariaux d'acte de cession de 26 logements Ex-BAN au profit de l'OCP</v>
          </cell>
          <cell r="E977" t="str">
            <v>Non approuvé</v>
          </cell>
          <cell r="F977" t="str">
            <v>K01051</v>
          </cell>
          <cell r="G977">
            <v>1</v>
          </cell>
          <cell r="H977" t="str">
            <v>WORKPLAN</v>
          </cell>
          <cell r="J977" t="str">
            <v>A soumettre</v>
          </cell>
          <cell r="S977">
            <v>22995</v>
          </cell>
          <cell r="T977" t="str">
            <v>DERDAKI MOHAMED</v>
          </cell>
          <cell r="U977" t="str">
            <v>Habitat</v>
          </cell>
          <cell r="V977" t="str">
            <v>R6 : Social et Administratif</v>
          </cell>
          <cell r="W977" t="str">
            <v>Dotations nouvelles</v>
          </cell>
          <cell r="X977" t="str">
            <v>Aucune</v>
          </cell>
          <cell r="Y977" t="str">
            <v>Imprévu</v>
          </cell>
          <cell r="Z977" t="str">
            <v>Administration-Khouribga</v>
          </cell>
        </row>
        <row r="978">
          <cell r="A978">
            <v>6154</v>
          </cell>
          <cell r="B978">
            <v>1</v>
          </cell>
          <cell r="C978" t="str">
            <v>ACHAT REFRIGERATEURS</v>
          </cell>
          <cell r="D978" t="str">
            <v>REFRIGERATEURS</v>
          </cell>
          <cell r="E978" t="str">
            <v>Approuvé CP</v>
          </cell>
          <cell r="F978" t="str">
            <v>K07019</v>
          </cell>
          <cell r="G978">
            <v>1</v>
          </cell>
          <cell r="J978" t="str">
            <v>Soumis</v>
          </cell>
          <cell r="L978">
            <v>16000</v>
          </cell>
          <cell r="S978">
            <v>23072</v>
          </cell>
          <cell r="T978" t="str">
            <v>AFARID SAID</v>
          </cell>
          <cell r="U978" t="str">
            <v>Administratif</v>
          </cell>
          <cell r="V978" t="str">
            <v>R6 : Social et Administratif</v>
          </cell>
          <cell r="W978" t="str">
            <v>Dotations nouvelles</v>
          </cell>
          <cell r="X978" t="str">
            <v>Aucune</v>
          </cell>
          <cell r="Y978" t="str">
            <v>Prévu</v>
          </cell>
          <cell r="Z978" t="str">
            <v>Embarquement-Casablanca</v>
          </cell>
        </row>
        <row r="979">
          <cell r="A979">
            <v>6155</v>
          </cell>
          <cell r="B979">
            <v>1</v>
          </cell>
          <cell r="C979" t="str">
            <v>ECHELLES ET ESCABOTS</v>
          </cell>
          <cell r="D979" t="str">
            <v>ECHELLES ET ESCABOTS</v>
          </cell>
          <cell r="E979" t="str">
            <v>Approuvé CP</v>
          </cell>
          <cell r="F979" t="str">
            <v>K07202</v>
          </cell>
          <cell r="G979">
            <v>1</v>
          </cell>
          <cell r="H979" t="str">
            <v>WORKPLAN</v>
          </cell>
          <cell r="J979" t="str">
            <v>A soumettre</v>
          </cell>
          <cell r="S979">
            <v>23048</v>
          </cell>
          <cell r="T979" t="str">
            <v>EL FATTAHI ABDELHAMID</v>
          </cell>
          <cell r="U979" t="str">
            <v>Ordinaire</v>
          </cell>
          <cell r="V979" t="str">
            <v>R2 : Maintien outil production</v>
          </cell>
          <cell r="W979" t="str">
            <v>Dotations nouvelles</v>
          </cell>
          <cell r="X979" t="str">
            <v>Aucune</v>
          </cell>
          <cell r="Y979" t="str">
            <v>Prévu</v>
          </cell>
          <cell r="Z979" t="str">
            <v>Embarquement-Casablanca</v>
          </cell>
        </row>
        <row r="980">
          <cell r="A980">
            <v>6156</v>
          </cell>
          <cell r="B980">
            <v>1</v>
          </cell>
          <cell r="C980" t="str">
            <v>ACHAT MATERIEL DE SECURITE</v>
          </cell>
          <cell r="D980" t="str">
            <v>GROUPES ELECTROGENES ET LAMPES TORCHES</v>
          </cell>
          <cell r="E980" t="str">
            <v>Approuvé CP</v>
          </cell>
          <cell r="F980" t="str">
            <v>K07202</v>
          </cell>
          <cell r="G980">
            <v>1</v>
          </cell>
          <cell r="H980" t="str">
            <v>WORKPLAN</v>
          </cell>
          <cell r="J980" t="str">
            <v>A soumettre</v>
          </cell>
          <cell r="S980">
            <v>23050</v>
          </cell>
          <cell r="T980" t="str">
            <v>EL FATTAHI ABDELHAMID</v>
          </cell>
          <cell r="U980" t="str">
            <v>Ordinaire</v>
          </cell>
          <cell r="V980" t="str">
            <v>R7 : Environnement et Sécurité</v>
          </cell>
          <cell r="W980" t="str">
            <v>Dotations nouvelles</v>
          </cell>
          <cell r="X980" t="str">
            <v>Aucune</v>
          </cell>
          <cell r="Y980" t="str">
            <v>Prévu</v>
          </cell>
          <cell r="Z980" t="str">
            <v>Embarquement-Casablanca</v>
          </cell>
        </row>
        <row r="981">
          <cell r="A981">
            <v>6157</v>
          </cell>
          <cell r="B981">
            <v>1</v>
          </cell>
          <cell r="C981" t="str">
            <v>ENROULEURS DE CABLE</v>
          </cell>
          <cell r="D981" t="str">
            <v>ACHAT DE 04 ENROULEURS DE CABLES CX 30</v>
          </cell>
          <cell r="E981" t="str">
            <v>Approuvé CP</v>
          </cell>
          <cell r="F981" t="str">
            <v>K07121</v>
          </cell>
          <cell r="G981">
            <v>1</v>
          </cell>
          <cell r="H981" t="str">
            <v>WORKPLAN</v>
          </cell>
          <cell r="J981" t="str">
            <v>A soumettre</v>
          </cell>
          <cell r="S981">
            <v>23053</v>
          </cell>
          <cell r="T981" t="str">
            <v>RAOUIA ELMOSTAFA</v>
          </cell>
          <cell r="U981" t="str">
            <v>Ordinaire</v>
          </cell>
          <cell r="V981" t="str">
            <v>R2 : Maintien outil production</v>
          </cell>
          <cell r="W981" t="str">
            <v>Dotations nouvelles</v>
          </cell>
          <cell r="X981" t="str">
            <v>Aucune</v>
          </cell>
          <cell r="Y981" t="str">
            <v>Prévu</v>
          </cell>
          <cell r="Z981" t="str">
            <v>Embarquement-Casablanca</v>
          </cell>
        </row>
        <row r="982">
          <cell r="A982">
            <v>6158</v>
          </cell>
          <cell r="B982">
            <v>1</v>
          </cell>
          <cell r="C982" t="str">
            <v>ACHAT MATERIEL D'ATELIER</v>
          </cell>
          <cell r="D982" t="str">
            <v>TABLES ET TABLEAUX D'AFFICHAGE</v>
          </cell>
          <cell r="E982" t="str">
            <v>Approuvé CP</v>
          </cell>
          <cell r="F982" t="str">
            <v>K07111</v>
          </cell>
          <cell r="G982">
            <v>1</v>
          </cell>
          <cell r="H982" t="str">
            <v>WORKPLAN</v>
          </cell>
          <cell r="J982" t="str">
            <v>A soumettre</v>
          </cell>
          <cell r="S982">
            <v>23055</v>
          </cell>
          <cell r="T982" t="str">
            <v>RAOUIA ELMOSTAFA</v>
          </cell>
          <cell r="U982" t="str">
            <v>Ordinaire</v>
          </cell>
          <cell r="V982" t="str">
            <v>R2 : Maintien outil production</v>
          </cell>
          <cell r="W982" t="str">
            <v>Dotations nouvelles</v>
          </cell>
          <cell r="X982" t="str">
            <v>Aucune</v>
          </cell>
          <cell r="Y982" t="str">
            <v>Prévu</v>
          </cell>
          <cell r="Z982" t="str">
            <v>Embarquement-Casablanca</v>
          </cell>
        </row>
        <row r="983">
          <cell r="A983">
            <v>6159</v>
          </cell>
          <cell r="B983">
            <v>1</v>
          </cell>
          <cell r="C983" t="str">
            <v>EQUIPEMENTS INFORMATIQUE</v>
          </cell>
          <cell r="D983" t="str">
            <v>EQUIPEMENTS INFORMATIQUE</v>
          </cell>
          <cell r="E983" t="str">
            <v>Approuvé CP</v>
          </cell>
          <cell r="F983" t="str">
            <v>K07019</v>
          </cell>
          <cell r="G983">
            <v>1</v>
          </cell>
          <cell r="H983" t="str">
            <v>WORKPLAN</v>
          </cell>
          <cell r="J983" t="str">
            <v>A soumettre</v>
          </cell>
          <cell r="S983">
            <v>23056</v>
          </cell>
          <cell r="T983" t="str">
            <v>TIBAR AZIZ</v>
          </cell>
          <cell r="U983" t="str">
            <v>Administratif</v>
          </cell>
          <cell r="V983" t="str">
            <v>R8 : Informatique</v>
          </cell>
          <cell r="W983" t="str">
            <v>Dotations nouvelles</v>
          </cell>
          <cell r="X983" t="str">
            <v>Aucune</v>
          </cell>
          <cell r="Y983" t="str">
            <v>Prévu</v>
          </cell>
          <cell r="Z983" t="str">
            <v>Embarquement-Casablanca</v>
          </cell>
        </row>
        <row r="984">
          <cell r="A984">
            <v>6160</v>
          </cell>
          <cell r="B984">
            <v>1</v>
          </cell>
          <cell r="C984" t="str">
            <v>ACHAT NACELLE</v>
          </cell>
          <cell r="D984" t="str">
            <v>NACELLE</v>
          </cell>
          <cell r="E984" t="str">
            <v>Approuvé CP</v>
          </cell>
          <cell r="F984" t="str">
            <v>K07121</v>
          </cell>
          <cell r="G984">
            <v>1</v>
          </cell>
          <cell r="H984" t="str">
            <v>WORKPLAN</v>
          </cell>
          <cell r="J984" t="str">
            <v>A soumettre</v>
          </cell>
          <cell r="S984">
            <v>23057</v>
          </cell>
          <cell r="T984" t="str">
            <v>RAOUIA ELMOSTAFA</v>
          </cell>
          <cell r="U984" t="str">
            <v>Ordinaire</v>
          </cell>
          <cell r="V984" t="str">
            <v>R2 : Maintien outil production</v>
          </cell>
          <cell r="W984" t="str">
            <v>Dotations nouvelles</v>
          </cell>
          <cell r="X984" t="str">
            <v>Aucune</v>
          </cell>
          <cell r="Y984" t="str">
            <v>Prévu</v>
          </cell>
          <cell r="Z984" t="str">
            <v>Embarquement-Casablanca</v>
          </cell>
        </row>
        <row r="985">
          <cell r="A985">
            <v>6161</v>
          </cell>
          <cell r="B985">
            <v>1</v>
          </cell>
          <cell r="C985" t="str">
            <v>ACHAT MATERIEL DE MANUTENTION</v>
          </cell>
          <cell r="D985" t="str">
            <v>PALANS ET PULL LIFT</v>
          </cell>
          <cell r="E985" t="str">
            <v>Approuvé CP</v>
          </cell>
          <cell r="F985" t="str">
            <v>K07216</v>
          </cell>
          <cell r="G985">
            <v>1</v>
          </cell>
          <cell r="H985" t="str">
            <v>WORKPLAN</v>
          </cell>
          <cell r="J985" t="str">
            <v>A soumettre</v>
          </cell>
          <cell r="S985">
            <v>23058</v>
          </cell>
          <cell r="T985" t="str">
            <v>RAOUIA ELMOSTAFA</v>
          </cell>
          <cell r="U985" t="str">
            <v>Ordinaire</v>
          </cell>
          <cell r="V985" t="str">
            <v>R2 : Maintien outil production</v>
          </cell>
          <cell r="W985" t="str">
            <v>Dotations nouvelles</v>
          </cell>
          <cell r="X985" t="str">
            <v>Aucune</v>
          </cell>
          <cell r="Y985" t="str">
            <v>Prévu</v>
          </cell>
          <cell r="Z985" t="str">
            <v>Embarquement-Casablanca</v>
          </cell>
        </row>
        <row r="986">
          <cell r="A986">
            <v>6162</v>
          </cell>
          <cell r="B986">
            <v>1</v>
          </cell>
          <cell r="C986" t="str">
            <v>ACHAT MOBILIER DE BUREAU</v>
          </cell>
          <cell r="D986" t="str">
            <v>MOBILIER DE BUREAU</v>
          </cell>
          <cell r="E986" t="str">
            <v>Approuvé CP</v>
          </cell>
          <cell r="F986" t="str">
            <v>K07019</v>
          </cell>
          <cell r="G986">
            <v>1</v>
          </cell>
          <cell r="H986" t="str">
            <v>v1</v>
          </cell>
          <cell r="I986" t="str">
            <v>BUDGET INITIAL</v>
          </cell>
          <cell r="J986" t="str">
            <v>Soumis</v>
          </cell>
          <cell r="L986">
            <v>69000</v>
          </cell>
          <cell r="S986">
            <v>23090</v>
          </cell>
          <cell r="T986" t="str">
            <v>AFARID SAID</v>
          </cell>
          <cell r="U986" t="str">
            <v>Administratif</v>
          </cell>
          <cell r="V986" t="str">
            <v>R6 : Social et Administratif</v>
          </cell>
          <cell r="W986" t="str">
            <v>Dotations nouvelles</v>
          </cell>
          <cell r="X986" t="str">
            <v>Aucune</v>
          </cell>
          <cell r="Y986" t="str">
            <v>Prévu</v>
          </cell>
          <cell r="Z986" t="str">
            <v>Embarquement-Casablanca</v>
          </cell>
        </row>
        <row r="987">
          <cell r="A987">
            <v>6163</v>
          </cell>
          <cell r="B987">
            <v>1</v>
          </cell>
          <cell r="C987" t="str">
            <v>ACHAT APPAREIL PHOTO</v>
          </cell>
          <cell r="D987" t="str">
            <v>APPAREIL PHOTO NUMERIQUE</v>
          </cell>
          <cell r="E987" t="str">
            <v>Approuvé CP</v>
          </cell>
          <cell r="F987" t="str">
            <v>K07134</v>
          </cell>
          <cell r="G987">
            <v>1</v>
          </cell>
          <cell r="H987" t="str">
            <v>WORKPLAN</v>
          </cell>
          <cell r="J987" t="str">
            <v>A soumettre</v>
          </cell>
          <cell r="S987">
            <v>23060</v>
          </cell>
          <cell r="T987" t="str">
            <v>AFARID SAID</v>
          </cell>
          <cell r="U987" t="str">
            <v>Administratif</v>
          </cell>
          <cell r="V987" t="str">
            <v>R6 : Social et Administratif</v>
          </cell>
          <cell r="W987" t="str">
            <v>Dotations nouvelles</v>
          </cell>
          <cell r="X987" t="str">
            <v>Aucune</v>
          </cell>
          <cell r="Y987" t="str">
            <v>Prévu</v>
          </cell>
          <cell r="Z987" t="str">
            <v>Embarquement-Casablanca</v>
          </cell>
        </row>
        <row r="988">
          <cell r="A988">
            <v>6164</v>
          </cell>
          <cell r="B988">
            <v>1</v>
          </cell>
          <cell r="C988" t="str">
            <v>SECURITE</v>
          </cell>
          <cell r="D988" t="str">
            <v>ACHAT MATERIEL DE SECURITE</v>
          </cell>
          <cell r="E988" t="str">
            <v>Approuvé CP</v>
          </cell>
          <cell r="F988" t="str">
            <v>K07202</v>
          </cell>
          <cell r="G988">
            <v>1</v>
          </cell>
          <cell r="H988" t="str">
            <v>WORKPLAN</v>
          </cell>
          <cell r="J988" t="str">
            <v>A soumettre</v>
          </cell>
          <cell r="S988">
            <v>23061</v>
          </cell>
          <cell r="T988" t="str">
            <v>EL FATTAHI ABDELHAMID</v>
          </cell>
          <cell r="U988" t="str">
            <v>Ordinaire</v>
          </cell>
          <cell r="V988" t="str">
            <v>R7 : Environnement et Sécurité</v>
          </cell>
          <cell r="W988" t="str">
            <v>Dotations nouvelles</v>
          </cell>
          <cell r="X988" t="str">
            <v>Aucune</v>
          </cell>
          <cell r="Y988" t="str">
            <v>Prévu</v>
          </cell>
          <cell r="Z988" t="str">
            <v>Embarquement-Casablanca</v>
          </cell>
        </row>
        <row r="989">
          <cell r="A989">
            <v>6165</v>
          </cell>
          <cell r="B989">
            <v>1</v>
          </cell>
          <cell r="C989" t="str">
            <v>TELECOMMUNICATION</v>
          </cell>
          <cell r="D989" t="str">
            <v>ACHAT MATERIEL DE TRANSMISSION ET TELECOMMUNICATION</v>
          </cell>
          <cell r="E989" t="str">
            <v>Approuvé CP</v>
          </cell>
          <cell r="F989" t="str">
            <v>K07019</v>
          </cell>
          <cell r="G989">
            <v>1</v>
          </cell>
          <cell r="H989" t="str">
            <v>WORKPLAN</v>
          </cell>
          <cell r="J989" t="str">
            <v>A soumettre</v>
          </cell>
          <cell r="S989">
            <v>23062</v>
          </cell>
          <cell r="T989" t="str">
            <v>RAOUIA ELMOSTAFA</v>
          </cell>
          <cell r="U989" t="str">
            <v>Ordinaire</v>
          </cell>
          <cell r="V989" t="str">
            <v>R2 : Maintien outil production</v>
          </cell>
          <cell r="W989" t="str">
            <v>Dotations nouvelles</v>
          </cell>
          <cell r="X989" t="str">
            <v>Aucune</v>
          </cell>
          <cell r="Y989" t="str">
            <v>Prévu</v>
          </cell>
          <cell r="Z989" t="str">
            <v>Embarquement-Casablanca</v>
          </cell>
        </row>
        <row r="990">
          <cell r="A990">
            <v>6166</v>
          </cell>
          <cell r="B990">
            <v>1</v>
          </cell>
          <cell r="C990" t="str">
            <v>VENTILATION</v>
          </cell>
          <cell r="D990" t="str">
            <v>CLIMATISEURS ET CHAUFFE EAU</v>
          </cell>
          <cell r="E990" t="str">
            <v>Approuvé CP</v>
          </cell>
          <cell r="F990" t="str">
            <v>K07019</v>
          </cell>
          <cell r="G990">
            <v>1</v>
          </cell>
          <cell r="H990" t="str">
            <v>WORKPLAN</v>
          </cell>
          <cell r="J990" t="str">
            <v>A soumettre</v>
          </cell>
          <cell r="S990">
            <v>23064</v>
          </cell>
          <cell r="T990" t="str">
            <v>RAOUIA ELMOSTAFA</v>
          </cell>
          <cell r="U990" t="str">
            <v>Ordinaire</v>
          </cell>
          <cell r="V990" t="str">
            <v>R6 : Social et Administratif</v>
          </cell>
          <cell r="W990" t="str">
            <v>Dotations nouvelles</v>
          </cell>
          <cell r="X990" t="str">
            <v>Aucune</v>
          </cell>
          <cell r="Y990" t="str">
            <v>Prévu</v>
          </cell>
          <cell r="Z990" t="str">
            <v>Embarquement-Casablanca</v>
          </cell>
        </row>
        <row r="991">
          <cell r="A991">
            <v>6180</v>
          </cell>
          <cell r="B991">
            <v>1</v>
          </cell>
          <cell r="C991" t="str">
            <v>MATERIEL DE SOUDURE</v>
          </cell>
          <cell r="D991" t="str">
            <v>MATERIEL DE SOUDURE ET CHAUDRONNERIE</v>
          </cell>
          <cell r="E991" t="str">
            <v>Approuvé CP</v>
          </cell>
          <cell r="F991" t="str">
            <v>K07111</v>
          </cell>
          <cell r="G991">
            <v>1</v>
          </cell>
          <cell r="H991" t="str">
            <v>WORKPLAN</v>
          </cell>
          <cell r="J991" t="str">
            <v>A soumettre</v>
          </cell>
          <cell r="S991">
            <v>23127</v>
          </cell>
          <cell r="T991" t="str">
            <v>RAOUIA ELMOSTAFA</v>
          </cell>
          <cell r="U991" t="str">
            <v>Ordinaire</v>
          </cell>
          <cell r="V991" t="str">
            <v>R2 : Maintien outil production</v>
          </cell>
          <cell r="W991" t="str">
            <v>Renouvellement</v>
          </cell>
          <cell r="X991" t="str">
            <v>Aucune</v>
          </cell>
          <cell r="Y991" t="str">
            <v>Prévu</v>
          </cell>
          <cell r="Z991" t="str">
            <v>Embarquement-Casablanca</v>
          </cell>
        </row>
        <row r="992">
          <cell r="A992">
            <v>6181</v>
          </cell>
          <cell r="B992">
            <v>1</v>
          </cell>
          <cell r="C992" t="str">
            <v>COURROIES TRANSPORTEUSE</v>
          </cell>
          <cell r="D992" t="str">
            <v>RENOUVELLEMENT DE COURROIES TRANSPORTEUSES</v>
          </cell>
          <cell r="E992" t="str">
            <v>Approuvé CP</v>
          </cell>
          <cell r="F992" t="str">
            <v>K07216</v>
          </cell>
          <cell r="G992">
            <v>1</v>
          </cell>
          <cell r="H992" t="str">
            <v>WORKPLAN</v>
          </cell>
          <cell r="J992" t="str">
            <v>A soumettre</v>
          </cell>
          <cell r="S992">
            <v>23128</v>
          </cell>
          <cell r="T992" t="str">
            <v>DADI SAID</v>
          </cell>
          <cell r="U992" t="str">
            <v>Ordinaire</v>
          </cell>
          <cell r="V992" t="str">
            <v>R2 : Maintien outil production</v>
          </cell>
          <cell r="W992" t="str">
            <v>Renouvellement</v>
          </cell>
          <cell r="X992" t="str">
            <v>Aucune</v>
          </cell>
          <cell r="Y992" t="str">
            <v>Prévu</v>
          </cell>
          <cell r="Z992" t="str">
            <v>Embarquement-Casablanca</v>
          </cell>
        </row>
        <row r="993">
          <cell r="A993">
            <v>6182</v>
          </cell>
          <cell r="B993">
            <v>1</v>
          </cell>
          <cell r="C993" t="str">
            <v>RENOUVEL. MATERIEL ELECTRIQUE</v>
          </cell>
          <cell r="D993" t="str">
            <v>EQUIPEMENTS ELECTRIQUES</v>
          </cell>
          <cell r="E993" t="str">
            <v>Approuvé CP</v>
          </cell>
          <cell r="F993" t="str">
            <v>K07121</v>
          </cell>
          <cell r="G993">
            <v>1</v>
          </cell>
          <cell r="H993" t="str">
            <v>WORKPLAN</v>
          </cell>
          <cell r="J993" t="str">
            <v>A soumettre</v>
          </cell>
          <cell r="S993">
            <v>23130</v>
          </cell>
          <cell r="T993" t="str">
            <v>RAOUIA ELMOSTAFA</v>
          </cell>
          <cell r="U993" t="str">
            <v>Ordinaire</v>
          </cell>
          <cell r="V993" t="str">
            <v>R2 : Maintien outil production</v>
          </cell>
          <cell r="W993" t="str">
            <v>Renouvellement</v>
          </cell>
          <cell r="X993" t="str">
            <v>Aucune</v>
          </cell>
          <cell r="Y993" t="str">
            <v>Prévu</v>
          </cell>
          <cell r="Z993" t="str">
            <v>Embarquement-Casablanca</v>
          </cell>
        </row>
        <row r="994">
          <cell r="A994">
            <v>6183</v>
          </cell>
          <cell r="B994">
            <v>1</v>
          </cell>
          <cell r="C994" t="str">
            <v>MANUTENTION</v>
          </cell>
          <cell r="D994" t="str">
            <v>MATERIEL DE LEVAGE ET MANUTENTION</v>
          </cell>
          <cell r="E994" t="str">
            <v>Approuvé CP</v>
          </cell>
          <cell r="F994" t="str">
            <v>K07217</v>
          </cell>
          <cell r="G994">
            <v>1</v>
          </cell>
          <cell r="H994" t="str">
            <v>WORKPLAN</v>
          </cell>
          <cell r="J994" t="str">
            <v>A soumettre</v>
          </cell>
          <cell r="S994">
            <v>23131</v>
          </cell>
          <cell r="T994" t="str">
            <v>RAOUIA ELMOSTAFA</v>
          </cell>
          <cell r="U994" t="str">
            <v>Ordinaire</v>
          </cell>
          <cell r="V994" t="str">
            <v>R2 : Maintien outil production</v>
          </cell>
          <cell r="W994" t="str">
            <v>Renouvellement</v>
          </cell>
          <cell r="X994" t="str">
            <v>Aucune</v>
          </cell>
          <cell r="Y994" t="str">
            <v>Prévu</v>
          </cell>
          <cell r="Z994" t="str">
            <v>Embarquement-Casablanca</v>
          </cell>
        </row>
        <row r="995">
          <cell r="A995">
            <v>6184</v>
          </cell>
          <cell r="B995">
            <v>1</v>
          </cell>
          <cell r="C995" t="str">
            <v>SECURITE ET ENVIRON</v>
          </cell>
          <cell r="D995" t="str">
            <v>RENOUVELLEMENT D'UN CAMION D.C.I</v>
          </cell>
          <cell r="E995" t="str">
            <v>Approuvé CP</v>
          </cell>
          <cell r="F995" t="str">
            <v>K07202</v>
          </cell>
          <cell r="G995">
            <v>1</v>
          </cell>
          <cell r="H995" t="str">
            <v>v1</v>
          </cell>
          <cell r="I995" t="str">
            <v>BUDGET INITIAL</v>
          </cell>
          <cell r="J995" t="str">
            <v>Soumis</v>
          </cell>
          <cell r="L995">
            <v>1500000</v>
          </cell>
          <cell r="S995">
            <v>23164</v>
          </cell>
          <cell r="T995" t="str">
            <v>EL FATTAHI ABDELHAMID</v>
          </cell>
          <cell r="U995" t="str">
            <v>Ordinaire</v>
          </cell>
          <cell r="V995" t="str">
            <v>R7 : Environnement et Sécurité</v>
          </cell>
          <cell r="W995" t="str">
            <v>Renouvellement</v>
          </cell>
          <cell r="X995" t="str">
            <v>Aucune</v>
          </cell>
          <cell r="Y995" t="str">
            <v>Prévu</v>
          </cell>
          <cell r="Z995" t="str">
            <v>Embarquement-Casablanca</v>
          </cell>
        </row>
        <row r="996">
          <cell r="A996">
            <v>6185</v>
          </cell>
          <cell r="B996">
            <v>1</v>
          </cell>
          <cell r="C996" t="str">
            <v>EQUIPEMENTS ELECTRIQUES</v>
          </cell>
          <cell r="D996" t="str">
            <v>MOTEURS ELECTRIQUES</v>
          </cell>
          <cell r="E996" t="str">
            <v>Approuvé CP</v>
          </cell>
          <cell r="F996" t="str">
            <v>K07121</v>
          </cell>
          <cell r="G996">
            <v>1</v>
          </cell>
          <cell r="H996" t="str">
            <v>WORKPLAN</v>
          </cell>
          <cell r="J996" t="str">
            <v>A soumettre</v>
          </cell>
          <cell r="S996">
            <v>23134</v>
          </cell>
          <cell r="T996" t="str">
            <v>RAOUIA ELMOSTAFA</v>
          </cell>
          <cell r="U996" t="str">
            <v>Ordinaire</v>
          </cell>
          <cell r="V996" t="str">
            <v>R2 : Maintien outil production</v>
          </cell>
          <cell r="W996" t="str">
            <v>Renouvellement</v>
          </cell>
          <cell r="X996" t="str">
            <v>Aucune</v>
          </cell>
          <cell r="Y996" t="str">
            <v>Prévu</v>
          </cell>
          <cell r="Z996" t="str">
            <v>Embarquement-Casablanca</v>
          </cell>
        </row>
        <row r="997">
          <cell r="A997">
            <v>6186</v>
          </cell>
          <cell r="B997">
            <v>1</v>
          </cell>
          <cell r="C997" t="str">
            <v>EQUIPEMENTS BUREAUX</v>
          </cell>
          <cell r="D997" t="str">
            <v>MOBILIERS DE BUREAUX</v>
          </cell>
          <cell r="E997" t="str">
            <v>Approuvé CP</v>
          </cell>
          <cell r="F997" t="str">
            <v>K07019</v>
          </cell>
          <cell r="G997">
            <v>1</v>
          </cell>
          <cell r="H997" t="str">
            <v>WORKPLAN</v>
          </cell>
          <cell r="J997" t="str">
            <v>A soumettre</v>
          </cell>
          <cell r="S997">
            <v>23135</v>
          </cell>
          <cell r="T997" t="str">
            <v>AFARID SAID</v>
          </cell>
          <cell r="U997" t="str">
            <v>Administratif</v>
          </cell>
          <cell r="V997" t="str">
            <v>R6 : Social et Administratif</v>
          </cell>
          <cell r="W997" t="str">
            <v>Renouvellement</v>
          </cell>
          <cell r="X997" t="str">
            <v>Aucune</v>
          </cell>
          <cell r="Y997" t="str">
            <v>Prévu</v>
          </cell>
          <cell r="Z997" t="str">
            <v>Embarquement-Casablanca</v>
          </cell>
        </row>
        <row r="998">
          <cell r="A998">
            <v>6187</v>
          </cell>
          <cell r="B998">
            <v>1</v>
          </cell>
          <cell r="C998" t="str">
            <v>EQUIPEMENT TELECOMMUNICATION</v>
          </cell>
          <cell r="D998" t="str">
            <v>MATERIEL DE TRANSMISSION ET TELECOMMUNICATION</v>
          </cell>
          <cell r="E998" t="str">
            <v>Approuvé CP</v>
          </cell>
          <cell r="F998" t="str">
            <v>K07019</v>
          </cell>
          <cell r="G998">
            <v>1</v>
          </cell>
          <cell r="H998" t="str">
            <v>v1</v>
          </cell>
          <cell r="I998" t="str">
            <v>BUDGET INITIAL</v>
          </cell>
          <cell r="J998" t="str">
            <v>Soumis</v>
          </cell>
          <cell r="L998">
            <v>521600</v>
          </cell>
          <cell r="S998">
            <v>23165</v>
          </cell>
          <cell r="T998" t="str">
            <v>RAOUIA ELMOSTAFA</v>
          </cell>
          <cell r="U998" t="str">
            <v>Ordinaire</v>
          </cell>
          <cell r="V998" t="str">
            <v>R2 : Maintien outil production</v>
          </cell>
          <cell r="W998" t="str">
            <v>Renouvellement</v>
          </cell>
          <cell r="X998" t="str">
            <v>Aucune</v>
          </cell>
          <cell r="Y998" t="str">
            <v>Prévu</v>
          </cell>
          <cell r="Z998" t="str">
            <v>Embarquement-Casablanca</v>
          </cell>
        </row>
        <row r="999">
          <cell r="A999">
            <v>6188</v>
          </cell>
          <cell r="B999">
            <v>1</v>
          </cell>
          <cell r="C999" t="str">
            <v>EQUIPEMENT DE CONDITIONNEMENT</v>
          </cell>
          <cell r="D999" t="str">
            <v>MATERIEL DE REFROIDISSEMENT ET CHAUFFAGE</v>
          </cell>
          <cell r="E999" t="str">
            <v>Approuvé CP</v>
          </cell>
          <cell r="F999" t="str">
            <v>K07216</v>
          </cell>
          <cell r="G999">
            <v>1</v>
          </cell>
          <cell r="H999" t="str">
            <v>WORKPLAN</v>
          </cell>
          <cell r="J999" t="str">
            <v>A soumettre</v>
          </cell>
          <cell r="S999">
            <v>23137</v>
          </cell>
          <cell r="T999" t="str">
            <v>AFARID SAID</v>
          </cell>
          <cell r="U999" t="str">
            <v>Administratif</v>
          </cell>
          <cell r="V999" t="str">
            <v>R6 : Social et Administratif</v>
          </cell>
          <cell r="W999" t="str">
            <v>Renouvellement</v>
          </cell>
          <cell r="X999" t="str">
            <v>Aucune</v>
          </cell>
          <cell r="Y999" t="str">
            <v>Prévu</v>
          </cell>
          <cell r="Z999" t="str">
            <v>Embarquement-Casablanca</v>
          </cell>
        </row>
        <row r="1000">
          <cell r="A1000">
            <v>6192</v>
          </cell>
          <cell r="B1000">
            <v>1</v>
          </cell>
          <cell r="C1000" t="str">
            <v>EQUIPEMENT ELECTRIQUE</v>
          </cell>
          <cell r="D1000" t="str">
            <v>RENOUVELLEMENT DES EQUIPEMENTS ELECTRIQUES</v>
          </cell>
          <cell r="E1000" t="str">
            <v>Approuvé CP</v>
          </cell>
          <cell r="F1000" t="str">
            <v>K07121</v>
          </cell>
          <cell r="G1000">
            <v>1</v>
          </cell>
          <cell r="J1000" t="str">
            <v>Soumis</v>
          </cell>
          <cell r="L1000">
            <v>540000</v>
          </cell>
          <cell r="S1000">
            <v>23150</v>
          </cell>
          <cell r="T1000" t="str">
            <v>RAOUIA ELMOSTAFA</v>
          </cell>
          <cell r="U1000" t="str">
            <v>Ordinaire</v>
          </cell>
          <cell r="V1000" t="str">
            <v>R2 : Maintien outil production</v>
          </cell>
          <cell r="W1000" t="str">
            <v>Renouvellement</v>
          </cell>
          <cell r="X1000" t="str">
            <v>Aucune</v>
          </cell>
          <cell r="Y1000" t="str">
            <v>Prévu</v>
          </cell>
          <cell r="Z1000" t="str">
            <v>Embarquement-Casablanca</v>
          </cell>
        </row>
        <row r="1001">
          <cell r="A1001">
            <v>6258</v>
          </cell>
          <cell r="B1001">
            <v>1</v>
          </cell>
          <cell r="C1001" t="str">
            <v>Mobilier de bureau PMK/TG</v>
          </cell>
          <cell r="D1001" t="str">
            <v>Acquisition du mobilier de bureau pour le service contrôle de gestion de PMK/T</v>
          </cell>
          <cell r="E1001" t="str">
            <v>Non approuvé</v>
          </cell>
          <cell r="F1001" t="str">
            <v>K04015</v>
          </cell>
          <cell r="G1001">
            <v>1</v>
          </cell>
          <cell r="H1001" t="str">
            <v>WORKPLAN</v>
          </cell>
          <cell r="J1001" t="str">
            <v>A soumettre</v>
          </cell>
          <cell r="S1001">
            <v>23427</v>
          </cell>
          <cell r="T1001" t="str">
            <v>MESFIOUI BOUJMAA</v>
          </cell>
          <cell r="U1001" t="str">
            <v>Administratif</v>
          </cell>
          <cell r="V1001" t="str">
            <v>R6 : Social et Administratif</v>
          </cell>
          <cell r="W1001" t="str">
            <v>Dotations nouvelles</v>
          </cell>
          <cell r="X1001" t="str">
            <v>Aucune</v>
          </cell>
          <cell r="Y1001" t="str">
            <v>Prévu</v>
          </cell>
          <cell r="Z1001" t="str">
            <v>Traitement-Khouribga</v>
          </cell>
        </row>
        <row r="1002">
          <cell r="A1002">
            <v>6274</v>
          </cell>
          <cell r="B1002">
            <v>1</v>
          </cell>
          <cell r="C1002" t="str">
            <v>camions de chantier</v>
          </cell>
          <cell r="D1002" t="str">
            <v>Achat de 6 camions de chantier ( complèment couvrant le montant de la TVA )</v>
          </cell>
          <cell r="E1002" t="str">
            <v>Approuvé CP</v>
          </cell>
          <cell r="F1002" t="str">
            <v>K03743</v>
          </cell>
          <cell r="G1002">
            <v>1</v>
          </cell>
          <cell r="H1002" t="str">
            <v>WORKPLAN</v>
          </cell>
          <cell r="J1002" t="str">
            <v>A soumettre</v>
          </cell>
          <cell r="S1002">
            <v>23496</v>
          </cell>
          <cell r="T1002" t="str">
            <v>EL BOUCHRIFI Yagoub</v>
          </cell>
          <cell r="U1002" t="str">
            <v>Ordinaire</v>
          </cell>
          <cell r="V1002" t="str">
            <v>R2 : Maintien outil production</v>
          </cell>
          <cell r="W1002" t="str">
            <v>Renouvellement</v>
          </cell>
          <cell r="X1002" t="str">
            <v>Aucune</v>
          </cell>
          <cell r="Y1002" t="str">
            <v>Imprévu</v>
          </cell>
          <cell r="Z1002" t="str">
            <v>Production-Khouribga</v>
          </cell>
        </row>
        <row r="1003">
          <cell r="A1003">
            <v>6276</v>
          </cell>
          <cell r="B1003">
            <v>1</v>
          </cell>
          <cell r="C1003" t="str">
            <v>camions</v>
          </cell>
          <cell r="D1003" t="str">
            <v>Achat de 8 camions de chantier (complèment couvrant le montant de la TVA)</v>
          </cell>
          <cell r="E1003" t="str">
            <v>Approuvé CP</v>
          </cell>
          <cell r="F1003" t="str">
            <v>K03843</v>
          </cell>
          <cell r="G1003">
            <v>1</v>
          </cell>
          <cell r="H1003" t="str">
            <v>WORKPLAN</v>
          </cell>
          <cell r="J1003" t="str">
            <v>A soumettre</v>
          </cell>
          <cell r="S1003">
            <v>23511</v>
          </cell>
          <cell r="T1003" t="str">
            <v>EL BOUCHRIFI Yagoub</v>
          </cell>
          <cell r="U1003" t="str">
            <v>Ordinaire</v>
          </cell>
          <cell r="V1003" t="str">
            <v>R2 : Maintien outil production</v>
          </cell>
          <cell r="W1003" t="str">
            <v>Renouvellement</v>
          </cell>
          <cell r="X1003" t="str">
            <v>Aucune</v>
          </cell>
          <cell r="Y1003" t="str">
            <v>Imprévu</v>
          </cell>
          <cell r="Z1003" t="str">
            <v>Production-Khouribga</v>
          </cell>
        </row>
        <row r="1004">
          <cell r="A1004">
            <v>6407</v>
          </cell>
          <cell r="B1004">
            <v>1</v>
          </cell>
          <cell r="C1004" t="str">
            <v>Outillages et equipements</v>
          </cell>
          <cell r="D1004" t="str">
            <v>Achat d'outillages et equipements dans le cadre du budget accordé aux Directions opérationnelles</v>
          </cell>
          <cell r="E1004" t="str">
            <v>Non approuvé</v>
          </cell>
          <cell r="G1004">
            <v>1</v>
          </cell>
          <cell r="H1004" t="str">
            <v>WORKPLAN</v>
          </cell>
          <cell r="J1004" t="str">
            <v>A soumettre</v>
          </cell>
          <cell r="S1004">
            <v>24223</v>
          </cell>
          <cell r="T1004" t="str">
            <v>KAZZOUZI El Bachir</v>
          </cell>
          <cell r="U1004" t="str">
            <v>Ordinaire</v>
          </cell>
          <cell r="V1004" t="str">
            <v>R2 : Maintien outil production</v>
          </cell>
          <cell r="W1004" t="str">
            <v>Dotations nouvelles</v>
          </cell>
          <cell r="X1004" t="str">
            <v>Aucune</v>
          </cell>
          <cell r="Y1004" t="str">
            <v>Prévu</v>
          </cell>
          <cell r="Z1004" t="str">
            <v>Reprise</v>
          </cell>
        </row>
        <row r="1005">
          <cell r="A1005">
            <v>6418</v>
          </cell>
          <cell r="B1005">
            <v>1</v>
          </cell>
          <cell r="C1005" t="str">
            <v>LEVAGE ET MANUTENTION</v>
          </cell>
          <cell r="D1005" t="str">
            <v>MATERIEL DE LEVAGE ET DE MANUTENTION</v>
          </cell>
          <cell r="E1005" t="str">
            <v>Non approuvé</v>
          </cell>
          <cell r="G1005">
            <v>1</v>
          </cell>
          <cell r="H1005" t="str">
            <v>WORKPLAN</v>
          </cell>
          <cell r="J1005" t="str">
            <v>A soumettre</v>
          </cell>
          <cell r="S1005">
            <v>24298</v>
          </cell>
          <cell r="T1005" t="str">
            <v>DADI SAID</v>
          </cell>
          <cell r="U1005" t="str">
            <v>Ordinaire</v>
          </cell>
          <cell r="V1005" t="str">
            <v>R2 : Maintien outil production</v>
          </cell>
          <cell r="W1005" t="str">
            <v>Renouvellement</v>
          </cell>
          <cell r="X1005" t="str">
            <v>Aucune</v>
          </cell>
          <cell r="Y1005" t="str">
            <v>Prévu</v>
          </cell>
          <cell r="Z1005" t="str">
            <v>Embarquement-Casablanca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 Gard"/>
      <sheetName val="PP"/>
      <sheetName val=" INV"/>
      <sheetName val="GT"/>
      <sheetName val="IP-06-07"/>
      <sheetName val="IMPO"/>
      <sheetName val="BAD"/>
      <sheetName val="Can.1"/>
      <sheetName val="Can.2"/>
      <sheetName val="Can.3"/>
      <sheetName val="Can.4"/>
      <sheetName val="Can.5"/>
      <sheetName val="Can.6"/>
      <sheetName val="Can.7"/>
      <sheetName val="PMK"/>
      <sheetName val="DAC "/>
      <sheetName val="EVOLUTION"/>
      <sheetName val=" INV_07"/>
      <sheetName val="GT_07"/>
      <sheetName val="Pag_Gard"/>
      <sheetName val="_INV"/>
      <sheetName val="Can_1"/>
      <sheetName val="Can_2"/>
      <sheetName val="Can_3"/>
      <sheetName val="Can_4"/>
      <sheetName val="Can_5"/>
      <sheetName val="Can_6"/>
      <sheetName val="Can_7"/>
      <sheetName val="DAC_"/>
      <sheetName val="_INV_07"/>
      <sheetName val="Pag_Gard1"/>
      <sheetName val="_INV1"/>
      <sheetName val="Can_11"/>
      <sheetName val="Can_21"/>
      <sheetName val="Can_31"/>
      <sheetName val="Can_41"/>
      <sheetName val="Can_51"/>
      <sheetName val="Can_61"/>
      <sheetName val="Can_71"/>
      <sheetName val="DAC_1"/>
      <sheetName val="_INV_071"/>
      <sheetName val="Feuil1 (2)"/>
    </sheetNames>
    <sheetDataSet>
      <sheetData sheetId="0"/>
      <sheetData sheetId="1"/>
      <sheetData sheetId="2">
        <row r="4">
          <cell r="B4">
            <v>2722</v>
          </cell>
          <cell r="C4" t="str">
            <v>RENOUVELLEMENT DE 2 GRUES</v>
          </cell>
          <cell r="D4">
            <v>0</v>
          </cell>
          <cell r="E4">
            <v>7000000</v>
          </cell>
          <cell r="F4">
            <v>0</v>
          </cell>
          <cell r="G4">
            <v>0</v>
          </cell>
          <cell r="I4" t="str">
            <v>Différé-07</v>
          </cell>
          <cell r="K4" t="str">
            <v>Projet différé pour 2007 ( Cf. PMK/PC/I-03/06 du 20/09/2006)</v>
          </cell>
          <cell r="L4" t="str">
            <v>P440</v>
          </cell>
          <cell r="M4">
            <v>38985</v>
          </cell>
          <cell r="N4" t="str">
            <v>DAM - 6051/06</v>
          </cell>
          <cell r="S4" t="str">
            <v>EL BOUCHRIFI</v>
          </cell>
          <cell r="T4" t="str">
            <v>R2</v>
          </cell>
          <cell r="U4" t="str">
            <v>ORD</v>
          </cell>
          <cell r="V4" t="str">
            <v>RN</v>
          </cell>
          <cell r="W4" t="str">
            <v>P</v>
          </cell>
          <cell r="X4" t="str">
            <v>R</v>
          </cell>
        </row>
        <row r="5">
          <cell r="B5">
            <v>2723</v>
          </cell>
          <cell r="C5" t="str">
            <v>1 PORTE CHARS 100 T</v>
          </cell>
          <cell r="D5">
            <v>0</v>
          </cell>
          <cell r="E5">
            <v>8000000</v>
          </cell>
          <cell r="F5">
            <v>0</v>
          </cell>
          <cell r="G5">
            <v>0</v>
          </cell>
          <cell r="I5" t="str">
            <v>CHT</v>
          </cell>
          <cell r="J5" t="str">
            <v>PLM/A</v>
          </cell>
          <cell r="K5" t="str">
            <v>CHT envoyé pour attribution</v>
          </cell>
          <cell r="L5">
            <v>190</v>
          </cell>
          <cell r="M5">
            <v>39206</v>
          </cell>
          <cell r="N5" t="str">
            <v>DAM-6047/06</v>
          </cell>
          <cell r="P5" t="str">
            <v>DP-61002/04</v>
          </cell>
          <cell r="S5" t="str">
            <v>MAGHRAOUI</v>
          </cell>
          <cell r="T5" t="str">
            <v>R2</v>
          </cell>
          <cell r="U5" t="str">
            <v>ORD</v>
          </cell>
          <cell r="V5" t="str">
            <v>RN</v>
          </cell>
          <cell r="W5" t="str">
            <v>P</v>
          </cell>
          <cell r="X5" t="str">
            <v>R</v>
          </cell>
        </row>
        <row r="6">
          <cell r="B6">
            <v>2724</v>
          </cell>
          <cell r="C6" t="str">
            <v>RENOUVELLEMENT DE 3 PETITES CHARGEUSES</v>
          </cell>
          <cell r="D6">
            <v>2000000</v>
          </cell>
          <cell r="E6">
            <v>4000000</v>
          </cell>
          <cell r="F6">
            <v>0</v>
          </cell>
          <cell r="G6">
            <v>0</v>
          </cell>
          <cell r="I6" t="str">
            <v>CHT</v>
          </cell>
          <cell r="J6" t="str">
            <v>CP</v>
          </cell>
          <cell r="K6" t="str">
            <v>En retour suite aux remarques DAC</v>
          </cell>
          <cell r="L6">
            <v>288</v>
          </cell>
          <cell r="M6">
            <v>39206</v>
          </cell>
          <cell r="N6" t="str">
            <v>DAM-2336/03</v>
          </cell>
          <cell r="P6" t="str">
            <v>DP-61E6008/06</v>
          </cell>
          <cell r="S6" t="str">
            <v>EL BOUCHRIFI</v>
          </cell>
          <cell r="T6" t="str">
            <v>R2</v>
          </cell>
          <cell r="U6" t="str">
            <v>ORD</v>
          </cell>
          <cell r="V6" t="str">
            <v>RN</v>
          </cell>
          <cell r="W6" t="str">
            <v>P</v>
          </cell>
          <cell r="X6" t="str">
            <v>R</v>
          </cell>
        </row>
        <row r="7">
          <cell r="B7">
            <v>2728</v>
          </cell>
          <cell r="C7" t="str">
            <v>8 APPAREILS TACHEOMETRIQUES</v>
          </cell>
          <cell r="D7">
            <v>0</v>
          </cell>
          <cell r="E7">
            <v>100000</v>
          </cell>
          <cell r="F7">
            <v>0</v>
          </cell>
          <cell r="G7">
            <v>0</v>
          </cell>
          <cell r="K7" t="str">
            <v>AE N° 20055-1 de 974 103,96 DH</v>
          </cell>
          <cell r="M7">
            <v>38698</v>
          </cell>
          <cell r="N7" t="str">
            <v>DAM-2450/04</v>
          </cell>
          <cell r="P7" t="str">
            <v>DP-62179/04</v>
          </cell>
          <cell r="S7" t="str">
            <v>CHEHTANE</v>
          </cell>
          <cell r="T7" t="str">
            <v>R3</v>
          </cell>
          <cell r="U7" t="str">
            <v>ORD</v>
          </cell>
          <cell r="V7" t="str">
            <v>RN</v>
          </cell>
          <cell r="W7" t="str">
            <v>P</v>
          </cell>
          <cell r="X7" t="str">
            <v>R</v>
          </cell>
        </row>
        <row r="8">
          <cell r="B8">
            <v>2730</v>
          </cell>
          <cell r="C8" t="str">
            <v>2 BASCULES TOTALISATRICES</v>
          </cell>
          <cell r="D8">
            <v>300000</v>
          </cell>
          <cell r="E8">
            <v>300000</v>
          </cell>
          <cell r="F8">
            <v>0</v>
          </cell>
          <cell r="G8">
            <v>0</v>
          </cell>
          <cell r="I8" t="str">
            <v>CONSUL</v>
          </cell>
          <cell r="J8" t="str">
            <v>AD</v>
          </cell>
          <cell r="K8" t="str">
            <v>DAM envoyée à AD  pour attribution</v>
          </cell>
          <cell r="L8">
            <v>278</v>
          </cell>
          <cell r="M8">
            <v>38867</v>
          </cell>
          <cell r="N8" t="str">
            <v>DAM-6031/06</v>
          </cell>
          <cell r="S8" t="str">
            <v>DRIBA</v>
          </cell>
          <cell r="T8" t="str">
            <v>R3</v>
          </cell>
          <cell r="U8" t="str">
            <v>ORD</v>
          </cell>
          <cell r="V8" t="str">
            <v>RN</v>
          </cell>
          <cell r="W8" t="str">
            <v>P</v>
          </cell>
          <cell r="X8" t="str">
            <v>R</v>
          </cell>
        </row>
        <row r="9">
          <cell r="B9">
            <v>2732</v>
          </cell>
          <cell r="C9" t="str">
            <v>RN D'UN AUTOANALYSEUR</v>
          </cell>
          <cell r="D9">
            <v>0</v>
          </cell>
          <cell r="E9">
            <v>100000</v>
          </cell>
          <cell r="F9">
            <v>0</v>
          </cell>
          <cell r="G9">
            <v>0</v>
          </cell>
          <cell r="K9" t="str">
            <v>AE "C" N°-2732-1 DE 1690 DH. Nouveau choix transmis+AE© de 7373,62 DH</v>
          </cell>
          <cell r="L9">
            <v>476</v>
          </cell>
          <cell r="M9">
            <v>38947</v>
          </cell>
          <cell r="P9" t="str">
            <v>DP-61054/05</v>
          </cell>
          <cell r="S9" t="str">
            <v>KABBAGE</v>
          </cell>
          <cell r="T9" t="str">
            <v>R2</v>
          </cell>
          <cell r="U9" t="str">
            <v>ORD</v>
          </cell>
          <cell r="V9" t="str">
            <v>RN</v>
          </cell>
          <cell r="W9" t="str">
            <v>T</v>
          </cell>
          <cell r="X9" t="str">
            <v>R</v>
          </cell>
        </row>
        <row r="10">
          <cell r="B10">
            <v>2736</v>
          </cell>
          <cell r="C10" t="str">
            <v>MATERIEL DIVERS A CARACTERE TECHNIQUE</v>
          </cell>
          <cell r="D10">
            <v>9800</v>
          </cell>
          <cell r="E10">
            <v>9800</v>
          </cell>
          <cell r="F10">
            <v>0</v>
          </cell>
          <cell r="G10">
            <v>0</v>
          </cell>
          <cell r="I10" t="str">
            <v>CONSUL</v>
          </cell>
          <cell r="J10" t="str">
            <v>AD</v>
          </cell>
          <cell r="K10" t="str">
            <v>Nlle DAM suite au désistement du fournisseur</v>
          </cell>
          <cell r="L10">
            <v>129</v>
          </cell>
          <cell r="M10">
            <v>39150</v>
          </cell>
          <cell r="N10" t="str">
            <v>DAM-18/07</v>
          </cell>
          <cell r="O10" t="str">
            <v>5498 - 5499
5501 - 5504</v>
          </cell>
          <cell r="S10" t="str">
            <v>RAOUIA</v>
          </cell>
          <cell r="T10" t="str">
            <v>R2</v>
          </cell>
          <cell r="U10" t="str">
            <v>ORD</v>
          </cell>
          <cell r="V10" t="str">
            <v>RN</v>
          </cell>
          <cell r="W10" t="str">
            <v>TC</v>
          </cell>
          <cell r="X10" t="str">
            <v>R</v>
          </cell>
        </row>
        <row r="11">
          <cell r="B11">
            <v>2738</v>
          </cell>
          <cell r="C11" t="str">
            <v>2 TOURS A COMMANDE ET 1 FRAISEUSE</v>
          </cell>
          <cell r="D11">
            <v>0</v>
          </cell>
          <cell r="E11">
            <v>4000000</v>
          </cell>
          <cell r="F11">
            <v>0</v>
          </cell>
          <cell r="G11">
            <v>0</v>
          </cell>
          <cell r="K11" t="str">
            <v>AE N° 2738-1 negative de 8197638 et AE N°2738-2 et2738- 3</v>
          </cell>
          <cell r="M11">
            <v>38890</v>
          </cell>
          <cell r="N11" t="str">
            <v>DAM-06/03</v>
          </cell>
          <cell r="P11" t="str">
            <v>DP-62003/03</v>
          </cell>
          <cell r="S11" t="str">
            <v>BOUZZIT</v>
          </cell>
          <cell r="T11" t="str">
            <v>R2</v>
          </cell>
          <cell r="U11" t="str">
            <v>ORD</v>
          </cell>
          <cell r="V11" t="str">
            <v>RN</v>
          </cell>
          <cell r="W11" t="str">
            <v>L</v>
          </cell>
          <cell r="X11" t="str">
            <v>R</v>
          </cell>
        </row>
        <row r="12">
          <cell r="B12">
            <v>2740</v>
          </cell>
          <cell r="C12" t="str">
            <v>ACHAT DE TERRAINS (4150 HA A MEA ET KHOURIBGA SUD)</v>
          </cell>
          <cell r="D12">
            <v>0</v>
          </cell>
          <cell r="E12">
            <v>0</v>
          </cell>
          <cell r="F12">
            <v>152722400</v>
          </cell>
          <cell r="G12">
            <v>0</v>
          </cell>
          <cell r="S12" t="str">
            <v>ECHAARANI</v>
          </cell>
          <cell r="T12" t="str">
            <v>R11</v>
          </cell>
          <cell r="U12" t="str">
            <v>TERRAIN</v>
          </cell>
          <cell r="V12" t="str">
            <v>DN</v>
          </cell>
          <cell r="W12" t="str">
            <v>L</v>
          </cell>
          <cell r="X12" t="str">
            <v>R</v>
          </cell>
        </row>
        <row r="13">
          <cell r="B13">
            <v>2741</v>
          </cell>
          <cell r="C13" t="str">
            <v>ACHAT DE TERRAINS (3420 HA A S.C ET 520 HA A MEA)</v>
          </cell>
          <cell r="D13">
            <v>1000000</v>
          </cell>
          <cell r="E13">
            <v>1000000</v>
          </cell>
          <cell r="F13">
            <v>6802800</v>
          </cell>
          <cell r="G13">
            <v>0</v>
          </cell>
          <cell r="S13" t="str">
            <v>ECHAARANI</v>
          </cell>
          <cell r="T13" t="str">
            <v>R11</v>
          </cell>
          <cell r="U13" t="str">
            <v>TERRAIN</v>
          </cell>
          <cell r="V13" t="str">
            <v>DN</v>
          </cell>
          <cell r="W13" t="str">
            <v>P</v>
          </cell>
          <cell r="X13" t="str">
            <v>R</v>
          </cell>
        </row>
        <row r="14">
          <cell r="B14">
            <v>2742</v>
          </cell>
          <cell r="C14" t="str">
            <v>ACHAT DE TERRAINS A MEA ET SIDI CHENNANE (4800 HA)</v>
          </cell>
          <cell r="D14">
            <v>5753900</v>
          </cell>
          <cell r="E14">
            <v>5753900</v>
          </cell>
          <cell r="F14">
            <v>0</v>
          </cell>
          <cell r="G14">
            <v>0</v>
          </cell>
          <cell r="I14" t="str">
            <v>AT.AE</v>
          </cell>
          <cell r="J14" t="str">
            <v>PFF</v>
          </cell>
          <cell r="K14" t="str">
            <v>DAE n°2742_3 de 3 262 500,00 DH
Lettre accordée par DG de 3262500 dh  transmise au CP et AK/J</v>
          </cell>
          <cell r="L14">
            <v>354</v>
          </cell>
          <cell r="M14">
            <v>39328</v>
          </cell>
          <cell r="N14" t="str">
            <v>lettre</v>
          </cell>
          <cell r="P14" t="str">
            <v>lettre</v>
          </cell>
          <cell r="S14" t="str">
            <v>ECHAARANI</v>
          </cell>
          <cell r="T14" t="str">
            <v>R11</v>
          </cell>
          <cell r="U14" t="str">
            <v>TERRAIN</v>
          </cell>
          <cell r="V14" t="str">
            <v>DN</v>
          </cell>
          <cell r="W14" t="str">
            <v>P</v>
          </cell>
          <cell r="X14" t="str">
            <v>R</v>
          </cell>
        </row>
        <row r="15">
          <cell r="B15">
            <v>2743</v>
          </cell>
          <cell r="C15" t="str">
            <v>6 MOTEURS DE RELAIS POUR LES BULLS</v>
          </cell>
          <cell r="D15">
            <v>4000000</v>
          </cell>
          <cell r="E15">
            <v>8000000</v>
          </cell>
          <cell r="F15">
            <v>0</v>
          </cell>
          <cell r="G15">
            <v>0</v>
          </cell>
          <cell r="I15" t="str">
            <v>CONSUL</v>
          </cell>
          <cell r="J15" t="str">
            <v>PFM/AC</v>
          </cell>
          <cell r="K15" t="str">
            <v>DAM -6096 transmise pour consultation</v>
          </cell>
          <cell r="L15">
            <v>547</v>
          </cell>
          <cell r="M15">
            <v>38985</v>
          </cell>
          <cell r="N15" t="str">
            <v>DAM-6096/06</v>
          </cell>
          <cell r="S15" t="str">
            <v>KHOUILI</v>
          </cell>
          <cell r="T15" t="str">
            <v>R2</v>
          </cell>
          <cell r="U15" t="str">
            <v>ORD</v>
          </cell>
          <cell r="V15" t="str">
            <v>DN</v>
          </cell>
          <cell r="W15" t="str">
            <v>P</v>
          </cell>
          <cell r="X15" t="str">
            <v>R</v>
          </cell>
        </row>
        <row r="16">
          <cell r="B16">
            <v>2744</v>
          </cell>
          <cell r="C16" t="str">
            <v>RECONNAISSANCE MINERALURGIQUE DE SIDI CHENNANE II</v>
          </cell>
          <cell r="D16">
            <v>2000000</v>
          </cell>
          <cell r="E16">
            <v>2000000</v>
          </cell>
          <cell r="F16">
            <v>0</v>
          </cell>
          <cell r="G16">
            <v>0</v>
          </cell>
          <cell r="K16" t="str">
            <v>AE N°-20118-2 du 01/11/2005  de 1517190 dh</v>
          </cell>
          <cell r="M16">
            <v>38657</v>
          </cell>
          <cell r="S16" t="str">
            <v>CHEHTANE</v>
          </cell>
          <cell r="T16" t="str">
            <v>R5</v>
          </cell>
          <cell r="U16" t="str">
            <v>ETUDES ET ESSAIS</v>
          </cell>
          <cell r="V16" t="str">
            <v>DN</v>
          </cell>
          <cell r="W16" t="str">
            <v>P</v>
          </cell>
          <cell r="X16" t="str">
            <v>R</v>
          </cell>
        </row>
        <row r="17">
          <cell r="B17">
            <v>2746</v>
          </cell>
          <cell r="C17" t="str">
            <v>PROJET TRAITEMENT SIDI CHENNANE : ENRICHISSEMENT PAR LAVAGE, BROYAGE ET FLOTTATION DES PHOSPHATES C2 ET TYPE C3 DE DAOUI ET SIDI CHENNANE.</v>
          </cell>
          <cell r="D17">
            <v>12848287.560000001</v>
          </cell>
          <cell r="E17">
            <v>41309740.75</v>
          </cell>
          <cell r="F17">
            <v>0</v>
          </cell>
          <cell r="G17">
            <v>0</v>
          </cell>
          <cell r="H17">
            <v>6040000</v>
          </cell>
          <cell r="K17" t="str">
            <v>DAC/BI/053/2004  DE 130 000 000 EN COMPLEMENT   Voir détail sur la feuille proj important</v>
          </cell>
          <cell r="M17">
            <v>38990</v>
          </cell>
          <cell r="S17" t="str">
            <v>EL OUAHHABI</v>
          </cell>
          <cell r="T17" t="str">
            <v>R1</v>
          </cell>
          <cell r="U17" t="str">
            <v>IMP</v>
          </cell>
          <cell r="V17" t="str">
            <v>DN</v>
          </cell>
          <cell r="W17" t="str">
            <v>T</v>
          </cell>
          <cell r="X17" t="str">
            <v>R</v>
          </cell>
        </row>
        <row r="18">
          <cell r="B18">
            <v>2747</v>
          </cell>
          <cell r="C18" t="str">
            <v>FOURNITURE, INSTALLATION D'UNE UNITE DE PREPARATION DE CHARBON OU COKE DE PETROLE.</v>
          </cell>
          <cell r="D18">
            <v>21639333</v>
          </cell>
          <cell r="E18">
            <v>21639333.379999999</v>
          </cell>
          <cell r="F18">
            <v>0</v>
          </cell>
          <cell r="G18">
            <v>0</v>
          </cell>
          <cell r="K18" t="str">
            <v>Voir détail sur la feuille proj important</v>
          </cell>
          <cell r="M18">
            <v>38990</v>
          </cell>
          <cell r="S18" t="str">
            <v>ALOUANI</v>
          </cell>
          <cell r="T18" t="str">
            <v>R1</v>
          </cell>
          <cell r="U18" t="str">
            <v>IMP</v>
          </cell>
          <cell r="V18" t="str">
            <v>DN</v>
          </cell>
          <cell r="W18" t="str">
            <v>T</v>
          </cell>
          <cell r="X18" t="str">
            <v>R</v>
          </cell>
        </row>
        <row r="19">
          <cell r="B19">
            <v>2748</v>
          </cell>
          <cell r="C19" t="str">
            <v xml:space="preserve">REALISATION DES MISES A TERRIL USINES B.I </v>
          </cell>
          <cell r="D19">
            <v>4000000</v>
          </cell>
          <cell r="E19">
            <v>6000000</v>
          </cell>
          <cell r="F19">
            <v>0</v>
          </cell>
          <cell r="G19">
            <v>0</v>
          </cell>
          <cell r="K19" t="str">
            <v>N°20131_1 ;2 &amp;3. DPM 15 envoyée pour CT</v>
          </cell>
          <cell r="L19">
            <v>22</v>
          </cell>
          <cell r="M19">
            <v>38734</v>
          </cell>
          <cell r="N19" t="str">
            <v>DPM-4514</v>
          </cell>
          <cell r="S19" t="str">
            <v>JERRAR</v>
          </cell>
          <cell r="T19" t="str">
            <v>R2</v>
          </cell>
          <cell r="U19" t="str">
            <v>ORD</v>
          </cell>
          <cell r="V19" t="str">
            <v>DN</v>
          </cell>
          <cell r="W19" t="str">
            <v>T</v>
          </cell>
          <cell r="X19" t="str">
            <v>R</v>
          </cell>
        </row>
        <row r="20">
          <cell r="B20">
            <v>2748</v>
          </cell>
          <cell r="C20" t="str">
            <v>08 REDUCTEURS DE VITESSE</v>
          </cell>
          <cell r="I20" t="str">
            <v>CONSUL</v>
          </cell>
          <cell r="J20" t="str">
            <v>CP</v>
          </cell>
          <cell r="K20" t="str">
            <v>DAM N°15 retournée au cp suite aux remarques du DSD/TM</v>
          </cell>
          <cell r="L20">
            <v>86</v>
          </cell>
          <cell r="M20">
            <v>38768</v>
          </cell>
          <cell r="N20" t="str">
            <v>DAM- 15/06</v>
          </cell>
          <cell r="S20" t="str">
            <v>JERRAR</v>
          </cell>
          <cell r="T20" t="str">
            <v>R2</v>
          </cell>
          <cell r="U20" t="str">
            <v>ORD</v>
          </cell>
          <cell r="V20" t="str">
            <v>DN</v>
          </cell>
          <cell r="W20" t="str">
            <v>T</v>
          </cell>
          <cell r="X20" t="str">
            <v>R</v>
          </cell>
        </row>
        <row r="21">
          <cell r="B21">
            <v>2748</v>
          </cell>
          <cell r="C21" t="str">
            <v>9 MOTEURS ELECTRIQUES</v>
          </cell>
          <cell r="I21" t="str">
            <v>CHT</v>
          </cell>
          <cell r="J21" t="str">
            <v>PLM</v>
          </cell>
          <cell r="K21" t="str">
            <v>CHT envoyer pour attribution</v>
          </cell>
          <cell r="L21">
            <v>334</v>
          </cell>
          <cell r="M21">
            <v>39301</v>
          </cell>
          <cell r="N21" t="str">
            <v>DAM -19/06</v>
          </cell>
          <cell r="S21" t="str">
            <v>JERRAR</v>
          </cell>
          <cell r="T21" t="str">
            <v>R2</v>
          </cell>
          <cell r="U21" t="str">
            <v>ORD</v>
          </cell>
          <cell r="V21" t="str">
            <v>DN</v>
          </cell>
          <cell r="W21" t="str">
            <v>T</v>
          </cell>
          <cell r="X21" t="str">
            <v>R</v>
          </cell>
        </row>
        <row r="22">
          <cell r="B22">
            <v>2748</v>
          </cell>
          <cell r="C22" t="str">
            <v>10 LAMPES TORCHES</v>
          </cell>
          <cell r="I22" t="str">
            <v>CONSUL</v>
          </cell>
          <cell r="J22" t="str">
            <v>AD</v>
          </cell>
          <cell r="K22" t="str">
            <v>DAM adressé pour attribution</v>
          </cell>
          <cell r="L22">
            <v>424</v>
          </cell>
          <cell r="M22">
            <v>38940</v>
          </cell>
          <cell r="N22" t="str">
            <v>DAM-134/06</v>
          </cell>
          <cell r="S22" t="str">
            <v>JERRAR</v>
          </cell>
          <cell r="T22" t="str">
            <v>R2</v>
          </cell>
          <cell r="U22" t="str">
            <v>ORD</v>
          </cell>
          <cell r="V22" t="str">
            <v>DN</v>
          </cell>
          <cell r="W22" t="str">
            <v>T</v>
          </cell>
          <cell r="X22" t="str">
            <v>R</v>
          </cell>
        </row>
        <row r="23">
          <cell r="B23">
            <v>2748</v>
          </cell>
          <cell r="C23" t="str">
            <v>1 TRANSFORMATEUR 160 KVA</v>
          </cell>
          <cell r="I23" t="str">
            <v>CONSUL</v>
          </cell>
          <cell r="J23" t="str">
            <v>AD</v>
          </cell>
          <cell r="K23" t="str">
            <v>DAM adressé pour attribution</v>
          </cell>
          <cell r="L23" t="str">
            <v>T-618</v>
          </cell>
          <cell r="M23">
            <v>38804</v>
          </cell>
          <cell r="N23" t="str">
            <v>DAM -01/06</v>
          </cell>
          <cell r="S23" t="str">
            <v>JERRAR</v>
          </cell>
          <cell r="T23" t="str">
            <v>R2</v>
          </cell>
          <cell r="U23" t="str">
            <v>ORD</v>
          </cell>
          <cell r="V23" t="str">
            <v>DN</v>
          </cell>
          <cell r="W23" t="str">
            <v>T</v>
          </cell>
          <cell r="X23" t="str">
            <v>R</v>
          </cell>
        </row>
        <row r="24">
          <cell r="B24">
            <v>2748</v>
          </cell>
          <cell r="C24" t="str">
            <v>1 TETE MOTRICE &amp; 1 TRANSPORTEUR</v>
          </cell>
          <cell r="K24" t="str">
            <v>AE N° IV 2748 -2 de 778524,00 DH</v>
          </cell>
          <cell r="M24">
            <v>38979</v>
          </cell>
          <cell r="N24" t="str">
            <v>Facture PB</v>
          </cell>
          <cell r="P24" t="str">
            <v>N° 1-1147</v>
          </cell>
          <cell r="S24" t="str">
            <v>JERRAR</v>
          </cell>
          <cell r="T24" t="str">
            <v>R2</v>
          </cell>
          <cell r="U24" t="str">
            <v>ORD</v>
          </cell>
          <cell r="V24" t="str">
            <v>DN</v>
          </cell>
          <cell r="W24" t="str">
            <v>T</v>
          </cell>
          <cell r="X24" t="str">
            <v>R</v>
          </cell>
        </row>
        <row r="25">
          <cell r="B25">
            <v>2748</v>
          </cell>
          <cell r="C25" t="str">
            <v>1 MACHINE STOCKAGE STERILES</v>
          </cell>
          <cell r="I25" t="str">
            <v>CONSUL</v>
          </cell>
          <cell r="J25" t="str">
            <v>PFM</v>
          </cell>
          <cell r="K25" t="str">
            <v>DAM envoyée pour consultation</v>
          </cell>
          <cell r="L25">
            <v>88</v>
          </cell>
          <cell r="M25">
            <v>39136</v>
          </cell>
          <cell r="N25" t="str">
            <v>DPM-23/06</v>
          </cell>
          <cell r="O25">
            <v>1613</v>
          </cell>
          <cell r="S25" t="str">
            <v>JERRAR</v>
          </cell>
          <cell r="T25" t="str">
            <v>R2</v>
          </cell>
          <cell r="U25" t="str">
            <v>ORD</v>
          </cell>
          <cell r="V25" t="str">
            <v>DN</v>
          </cell>
          <cell r="W25" t="str">
            <v>T</v>
          </cell>
          <cell r="X25" t="str">
            <v>R</v>
          </cell>
        </row>
        <row r="26">
          <cell r="B26">
            <v>2748</v>
          </cell>
          <cell r="C26" t="str">
            <v>Déviation de la conduite d'eau reliant le château d'eau de Boujniba à Béni-Idir</v>
          </cell>
          <cell r="I26" t="str">
            <v>CHT</v>
          </cell>
          <cell r="J26" t="str">
            <v>DAC/TM</v>
          </cell>
          <cell r="K26" t="str">
            <v>CHT envoyer pour CT</v>
          </cell>
          <cell r="L26">
            <v>335</v>
          </cell>
          <cell r="M26">
            <v>39302</v>
          </cell>
          <cell r="N26" t="str">
            <v>DAM -4503/07</v>
          </cell>
          <cell r="O26">
            <v>5317</v>
          </cell>
          <cell r="S26" t="str">
            <v>JERRAR</v>
          </cell>
          <cell r="T26" t="str">
            <v>R2</v>
          </cell>
          <cell r="U26" t="str">
            <v>ORD</v>
          </cell>
          <cell r="V26" t="str">
            <v>DN</v>
          </cell>
          <cell r="W26" t="str">
            <v>T</v>
          </cell>
          <cell r="X26" t="str">
            <v>R</v>
          </cell>
        </row>
        <row r="27">
          <cell r="B27">
            <v>2748</v>
          </cell>
          <cell r="C27" t="str">
            <v>8 Cisailles, 6 Etaux, 10 Boites d'outillage, 5Etaux réglables, 4 Extracteurs, 4 Meuleuses, 4 Chignoles, 6 Cisailles éléctriques, 2 Scies sauteuses</v>
          </cell>
          <cell r="I27" t="str">
            <v>CT</v>
          </cell>
          <cell r="J27" t="str">
            <v>CP</v>
          </cell>
          <cell r="K27" t="str">
            <v>En retour suite aux remarques DAC</v>
          </cell>
          <cell r="L27">
            <v>231</v>
          </cell>
          <cell r="M27">
            <v>39185</v>
          </cell>
          <cell r="N27" t="str">
            <v>DAM -64/07</v>
          </cell>
          <cell r="S27" t="str">
            <v>JERRAR</v>
          </cell>
          <cell r="T27" t="str">
            <v>R2</v>
          </cell>
          <cell r="U27" t="str">
            <v>ORD</v>
          </cell>
          <cell r="V27" t="str">
            <v>DN</v>
          </cell>
          <cell r="W27" t="str">
            <v>T</v>
          </cell>
          <cell r="X27" t="str">
            <v>R</v>
          </cell>
        </row>
        <row r="28">
          <cell r="B28">
            <v>2748</v>
          </cell>
          <cell r="C28" t="str">
            <v>4 verins hydrauliques à lelève 50 Tonnes</v>
          </cell>
          <cell r="I28" t="str">
            <v>CT</v>
          </cell>
          <cell r="J28" t="str">
            <v>CP</v>
          </cell>
          <cell r="K28" t="str">
            <v>En retour suite aux remarques DAC</v>
          </cell>
          <cell r="L28">
            <v>231</v>
          </cell>
          <cell r="M28">
            <v>39171</v>
          </cell>
          <cell r="N28" t="str">
            <v>DAM -62/07</v>
          </cell>
          <cell r="S28" t="str">
            <v>JERRAR</v>
          </cell>
          <cell r="T28" t="str">
            <v>R2</v>
          </cell>
          <cell r="U28" t="str">
            <v>ORD</v>
          </cell>
          <cell r="V28" t="str">
            <v>DN</v>
          </cell>
          <cell r="W28" t="str">
            <v>T</v>
          </cell>
          <cell r="X28" t="str">
            <v>R</v>
          </cell>
        </row>
        <row r="29">
          <cell r="B29">
            <v>2748</v>
          </cell>
          <cell r="C29" t="str">
            <v>10 Palans chaîne 1500 Kg, 4 Palans chaîne 3000 Kg, 8 Palans à leviers 1500 Kg, 8 Palans à leviers 3000 Kg, 10 Pull lifs 800 Kg, 10 Pull lifs 1600 Kg, 4Tirs fors 1600Kg, 4 Tir Fors 3200 Kg</v>
          </cell>
          <cell r="I29" t="str">
            <v>CT</v>
          </cell>
          <cell r="J29" t="str">
            <v>CP</v>
          </cell>
          <cell r="K29" t="str">
            <v>En retour suite aux remarques DAC</v>
          </cell>
          <cell r="L29">
            <v>231</v>
          </cell>
          <cell r="M29">
            <v>39171</v>
          </cell>
          <cell r="N29" t="str">
            <v>DAM -61/07</v>
          </cell>
          <cell r="S29" t="str">
            <v>JERRAR</v>
          </cell>
          <cell r="T29" t="str">
            <v>R2</v>
          </cell>
          <cell r="U29" t="str">
            <v>ORD</v>
          </cell>
          <cell r="V29" t="str">
            <v>DN</v>
          </cell>
          <cell r="W29" t="str">
            <v>T</v>
          </cell>
          <cell r="X29" t="str">
            <v>R</v>
          </cell>
        </row>
        <row r="30">
          <cell r="B30">
            <v>2748</v>
          </cell>
          <cell r="C30" t="str">
            <v>08 pompes de graisse de 10 Kg</v>
          </cell>
          <cell r="I30" t="str">
            <v>CT</v>
          </cell>
          <cell r="J30" t="str">
            <v>CP</v>
          </cell>
          <cell r="K30" t="str">
            <v>En retour suite aux remarques DAC</v>
          </cell>
          <cell r="L30">
            <v>231</v>
          </cell>
          <cell r="M30">
            <v>39185</v>
          </cell>
          <cell r="N30" t="str">
            <v>DAM -63/07</v>
          </cell>
          <cell r="S30" t="str">
            <v>JERRAR</v>
          </cell>
          <cell r="T30" t="str">
            <v>R2</v>
          </cell>
          <cell r="U30" t="str">
            <v>ORD</v>
          </cell>
          <cell r="V30" t="str">
            <v>DN</v>
          </cell>
          <cell r="W30" t="str">
            <v>T</v>
          </cell>
          <cell r="X30" t="str">
            <v>R</v>
          </cell>
        </row>
        <row r="31">
          <cell r="B31">
            <v>2750</v>
          </cell>
          <cell r="C31" t="str">
            <v>FOURNITURE ET INSTALLATION DES ECHANTILLONNEUSES DE PHOSPHATE A PMK/T</v>
          </cell>
          <cell r="D31">
            <v>0</v>
          </cell>
          <cell r="E31">
            <v>4500000</v>
          </cell>
          <cell r="F31">
            <v>0</v>
          </cell>
          <cell r="G31">
            <v>0</v>
          </cell>
          <cell r="I31" t="str">
            <v>CONSUL</v>
          </cell>
          <cell r="J31" t="str">
            <v>PFM/AC</v>
          </cell>
          <cell r="K31" t="str">
            <v>DPM pour consultation</v>
          </cell>
          <cell r="L31">
            <v>615</v>
          </cell>
          <cell r="M31">
            <v>38595</v>
          </cell>
          <cell r="N31" t="str">
            <v>DPM-03/05</v>
          </cell>
          <cell r="S31" t="str">
            <v>ZNAIDI</v>
          </cell>
          <cell r="T31" t="str">
            <v>R2</v>
          </cell>
          <cell r="U31" t="str">
            <v>ORD</v>
          </cell>
          <cell r="V31" t="str">
            <v>DN</v>
          </cell>
          <cell r="W31" t="str">
            <v>T</v>
          </cell>
          <cell r="X31" t="str">
            <v>R</v>
          </cell>
        </row>
        <row r="32">
          <cell r="B32">
            <v>2752</v>
          </cell>
          <cell r="C32" t="str">
            <v>MATERIEL DE LABORATOIRE</v>
          </cell>
          <cell r="D32">
            <v>392799</v>
          </cell>
          <cell r="E32">
            <v>300000</v>
          </cell>
          <cell r="F32">
            <v>0</v>
          </cell>
          <cell r="G32">
            <v>0</v>
          </cell>
          <cell r="K32" t="str">
            <v>AE( C ) IV 2750-1 de 28209,00 DH</v>
          </cell>
          <cell r="M32">
            <v>39030</v>
          </cell>
          <cell r="N32" t="str">
            <v>DAM-82/03</v>
          </cell>
          <cell r="P32" t="str">
            <v>DP-61126/3</v>
          </cell>
          <cell r="S32" t="str">
            <v>KABBAGE</v>
          </cell>
          <cell r="T32" t="str">
            <v>R2</v>
          </cell>
          <cell r="U32" t="str">
            <v>ORD</v>
          </cell>
          <cell r="V32" t="str">
            <v>DN</v>
          </cell>
          <cell r="W32" t="str">
            <v>T</v>
          </cell>
          <cell r="X32" t="str">
            <v>R</v>
          </cell>
        </row>
        <row r="33">
          <cell r="B33">
            <v>2753</v>
          </cell>
          <cell r="C33" t="str">
            <v xml:space="preserve">02 GROUPES REFRIGERANTS REFECTOIRES DU PERSONNEL </v>
          </cell>
          <cell r="D33">
            <v>0</v>
          </cell>
          <cell r="E33">
            <v>50000</v>
          </cell>
          <cell r="F33">
            <v>0</v>
          </cell>
          <cell r="G33">
            <v>0</v>
          </cell>
          <cell r="K33" t="str">
            <v>ANNULEE PAR CP - AE NEGATIVE DE 21120</v>
          </cell>
          <cell r="L33" t="str">
            <v>TG-618</v>
          </cell>
          <cell r="M33">
            <v>38804</v>
          </cell>
          <cell r="N33" t="str">
            <v>DAM-49/04</v>
          </cell>
          <cell r="S33" t="str">
            <v>BENAMEUR</v>
          </cell>
          <cell r="T33" t="str">
            <v>R2</v>
          </cell>
          <cell r="U33" t="str">
            <v>ORD</v>
          </cell>
          <cell r="V33" t="str">
            <v>DN</v>
          </cell>
          <cell r="W33" t="str">
            <v>T</v>
          </cell>
          <cell r="X33" t="str">
            <v>R</v>
          </cell>
        </row>
        <row r="34">
          <cell r="B34">
            <v>2754</v>
          </cell>
          <cell r="C34" t="str">
            <v>DEPOUSSIERAGE DES INSTALLATIONS PORTUAIRES DES EMBARQUEMENTS CASABLANCA</v>
          </cell>
          <cell r="D34">
            <v>33000000</v>
          </cell>
          <cell r="E34">
            <v>33000000</v>
          </cell>
          <cell r="F34">
            <v>0</v>
          </cell>
          <cell r="G34">
            <v>0</v>
          </cell>
          <cell r="I34" t="str">
            <v>CONSUL</v>
          </cell>
          <cell r="J34" t="str">
            <v>AD</v>
          </cell>
          <cell r="K34" t="str">
            <v>DPM envoyée pour consultation</v>
          </cell>
          <cell r="L34">
            <v>574</v>
          </cell>
          <cell r="M34">
            <v>39001</v>
          </cell>
          <cell r="N34" t="str">
            <v>DPM-10/06</v>
          </cell>
          <cell r="S34" t="str">
            <v>EL FATTAHI</v>
          </cell>
          <cell r="T34" t="str">
            <v>R7</v>
          </cell>
          <cell r="U34" t="str">
            <v>ORD</v>
          </cell>
          <cell r="V34" t="str">
            <v>DN</v>
          </cell>
          <cell r="W34" t="str">
            <v>TC</v>
          </cell>
          <cell r="X34" t="str">
            <v>R</v>
          </cell>
        </row>
        <row r="35">
          <cell r="B35">
            <v>2754</v>
          </cell>
          <cell r="C35" t="str">
            <v>ETUDE DE LA STABILITE DES MACHINES DE CHARGEMENT DE PHOSPHATE</v>
          </cell>
          <cell r="F35">
            <v>0</v>
          </cell>
          <cell r="I35" t="str">
            <v>CONSUL</v>
          </cell>
          <cell r="J35" t="str">
            <v>AD</v>
          </cell>
          <cell r="K35" t="str">
            <v>DPM envoyée pour consultation</v>
          </cell>
          <cell r="L35">
            <v>627</v>
          </cell>
          <cell r="M35">
            <v>39059</v>
          </cell>
          <cell r="N35" t="str">
            <v>DPM-48/06</v>
          </cell>
          <cell r="S35" t="str">
            <v>ZAID</v>
          </cell>
          <cell r="T35" t="str">
            <v>R7</v>
          </cell>
          <cell r="U35" t="str">
            <v>ORD</v>
          </cell>
          <cell r="V35" t="str">
            <v>DN</v>
          </cell>
          <cell r="W35" t="str">
            <v>TC</v>
          </cell>
          <cell r="X35" t="str">
            <v>R</v>
          </cell>
        </row>
        <row r="36">
          <cell r="B36">
            <v>2755</v>
          </cell>
          <cell r="C36" t="str">
            <v>FOURNITURE, INSTALLATION ET MISE EN SERVICE D'UN DETECTEUR D'INCENDIE</v>
          </cell>
          <cell r="D36">
            <v>400000</v>
          </cell>
          <cell r="E36">
            <v>400000</v>
          </cell>
          <cell r="F36">
            <v>0</v>
          </cell>
          <cell r="G36">
            <v>0</v>
          </cell>
          <cell r="I36" t="str">
            <v>CONSUL</v>
          </cell>
          <cell r="J36" t="str">
            <v>AD</v>
          </cell>
          <cell r="K36" t="str">
            <v>DPM envoyée pour consultation</v>
          </cell>
          <cell r="L36">
            <v>485</v>
          </cell>
          <cell r="M36">
            <v>38974</v>
          </cell>
          <cell r="N36" t="str">
            <v>DPM- 10/6</v>
          </cell>
          <cell r="S36" t="str">
            <v>EL FATTAHI</v>
          </cell>
          <cell r="T36" t="str">
            <v>R2</v>
          </cell>
          <cell r="U36" t="str">
            <v>ORD</v>
          </cell>
          <cell r="V36" t="str">
            <v>DN</v>
          </cell>
          <cell r="W36" t="str">
            <v>TC</v>
          </cell>
          <cell r="X36" t="str">
            <v>R</v>
          </cell>
        </row>
        <row r="37">
          <cell r="B37">
            <v>2756</v>
          </cell>
          <cell r="C37" t="str">
            <v>MATERIEL ET LIGNES ELECTRIQUES</v>
          </cell>
          <cell r="D37">
            <v>270000</v>
          </cell>
          <cell r="E37">
            <v>270000</v>
          </cell>
          <cell r="F37">
            <v>0</v>
          </cell>
          <cell r="G37">
            <v>0</v>
          </cell>
          <cell r="S37" t="str">
            <v>RAOUIA</v>
          </cell>
          <cell r="T37" t="str">
            <v>R2</v>
          </cell>
          <cell r="U37" t="str">
            <v>ORD</v>
          </cell>
          <cell r="V37" t="str">
            <v>DN</v>
          </cell>
          <cell r="W37" t="str">
            <v>TC</v>
          </cell>
          <cell r="X37" t="str">
            <v>R</v>
          </cell>
        </row>
        <row r="38">
          <cell r="B38">
            <v>2757</v>
          </cell>
          <cell r="C38" t="str">
            <v>MATERIEL DE LEVAGE ET DE MANUTENTION ATELIER</v>
          </cell>
          <cell r="D38">
            <v>280000</v>
          </cell>
          <cell r="E38">
            <v>280000</v>
          </cell>
          <cell r="F38">
            <v>0</v>
          </cell>
          <cell r="G38">
            <v>0</v>
          </cell>
          <cell r="I38" t="str">
            <v>CONSUL</v>
          </cell>
          <cell r="J38" t="str">
            <v>AD</v>
          </cell>
          <cell r="K38" t="str">
            <v>DAM envoyée pour consultation</v>
          </cell>
          <cell r="L38">
            <v>613</v>
          </cell>
          <cell r="M38">
            <v>39045</v>
          </cell>
          <cell r="N38" t="str">
            <v>DAM -24/06</v>
          </cell>
          <cell r="P38" t="str">
            <v>DP-61183/04</v>
          </cell>
          <cell r="S38" t="str">
            <v>RAOUIA</v>
          </cell>
          <cell r="T38" t="str">
            <v>R2</v>
          </cell>
          <cell r="U38" t="str">
            <v>ORD</v>
          </cell>
          <cell r="V38" t="str">
            <v>DN</v>
          </cell>
          <cell r="W38" t="str">
            <v>TC</v>
          </cell>
          <cell r="X38" t="str">
            <v>R</v>
          </cell>
        </row>
        <row r="39">
          <cell r="B39">
            <v>2758</v>
          </cell>
          <cell r="C39" t="str">
            <v>MATERIEL DIVERS A CARACTERE ADMINISTRATIF</v>
          </cell>
          <cell r="D39">
            <v>27000</v>
          </cell>
          <cell r="E39">
            <v>27000</v>
          </cell>
          <cell r="F39">
            <v>0</v>
          </cell>
          <cell r="G39">
            <v>0</v>
          </cell>
          <cell r="I39" t="str">
            <v>CONSUL</v>
          </cell>
          <cell r="J39" t="str">
            <v>AD</v>
          </cell>
          <cell r="K39" t="str">
            <v>DAM envoyée pour consultation</v>
          </cell>
          <cell r="L39">
            <v>309</v>
          </cell>
          <cell r="M39">
            <v>39209</v>
          </cell>
          <cell r="N39" t="str">
            <v>DAM-61/07</v>
          </cell>
          <cell r="S39" t="str">
            <v>MOUMEN</v>
          </cell>
          <cell r="T39" t="str">
            <v>R6</v>
          </cell>
          <cell r="U39" t="str">
            <v>ADM</v>
          </cell>
          <cell r="V39" t="str">
            <v>DN</v>
          </cell>
          <cell r="W39" t="str">
            <v>TC</v>
          </cell>
          <cell r="X39" t="str">
            <v>R</v>
          </cell>
        </row>
        <row r="40">
          <cell r="B40">
            <v>2761</v>
          </cell>
          <cell r="C40" t="str">
            <v>1 RADIO PHOTO 10X10 MOBILE COMPLETE</v>
          </cell>
          <cell r="D40">
            <v>0</v>
          </cell>
          <cell r="E40">
            <v>2376000</v>
          </cell>
          <cell r="F40">
            <v>0</v>
          </cell>
          <cell r="G40">
            <v>0</v>
          </cell>
          <cell r="I40" t="str">
            <v>CT</v>
          </cell>
          <cell r="J40" t="str">
            <v>DAC/TM</v>
          </cell>
          <cell r="K40" t="str">
            <v xml:space="preserve">Eléments de réponse envoyés au CT </v>
          </cell>
          <cell r="L40">
            <v>562</v>
          </cell>
          <cell r="M40">
            <v>38572</v>
          </cell>
          <cell r="N40" t="str">
            <v>DAM N° 04</v>
          </cell>
          <cell r="S40" t="str">
            <v>RHOLAM</v>
          </cell>
          <cell r="T40" t="str">
            <v>R10</v>
          </cell>
          <cell r="U40" t="str">
            <v>MED</v>
          </cell>
          <cell r="V40" t="str">
            <v>RN</v>
          </cell>
          <cell r="W40" t="str">
            <v>AK</v>
          </cell>
          <cell r="X40" t="str">
            <v>R</v>
          </cell>
        </row>
        <row r="41">
          <cell r="B41">
            <v>2763</v>
          </cell>
          <cell r="C41" t="str">
            <v>MATERIEL ET LIGNES ELECTRIQUES</v>
          </cell>
          <cell r="D41">
            <v>250000</v>
          </cell>
          <cell r="E41">
            <v>250000</v>
          </cell>
          <cell r="F41">
            <v>0</v>
          </cell>
          <cell r="G41">
            <v>0</v>
          </cell>
          <cell r="I41" t="str">
            <v>CONSUL</v>
          </cell>
          <cell r="J41" t="str">
            <v>PFM/AC</v>
          </cell>
          <cell r="K41" t="str">
            <v xml:space="preserve">DAM envoyée </v>
          </cell>
          <cell r="M41">
            <v>38188</v>
          </cell>
          <cell r="N41" t="str">
            <v>DAM-14/04</v>
          </cell>
          <cell r="S41" t="str">
            <v>RAOUIA</v>
          </cell>
          <cell r="T41" t="str">
            <v>R2</v>
          </cell>
          <cell r="U41" t="str">
            <v>ORD</v>
          </cell>
          <cell r="V41" t="str">
            <v>DN</v>
          </cell>
          <cell r="W41" t="str">
            <v>TC</v>
          </cell>
          <cell r="X41" t="str">
            <v>R</v>
          </cell>
        </row>
        <row r="42">
          <cell r="B42">
            <v>2764</v>
          </cell>
          <cell r="C42" t="str">
            <v>MATERIELS ET LIGNES ELECTRIQUES</v>
          </cell>
          <cell r="D42">
            <v>220000</v>
          </cell>
          <cell r="E42">
            <v>220000</v>
          </cell>
          <cell r="F42">
            <v>0</v>
          </cell>
          <cell r="G42">
            <v>0</v>
          </cell>
          <cell r="I42" t="str">
            <v>CONSUL</v>
          </cell>
          <cell r="J42" t="str">
            <v>AD</v>
          </cell>
          <cell r="K42" t="str">
            <v>DAM envoyée pour consultation</v>
          </cell>
          <cell r="L42">
            <v>241</v>
          </cell>
          <cell r="M42">
            <v>39188</v>
          </cell>
          <cell r="N42" t="str">
            <v>DAM -24/07</v>
          </cell>
          <cell r="O42">
            <v>6354</v>
          </cell>
          <cell r="P42" t="str">
            <v>DP-45046/05</v>
          </cell>
          <cell r="S42" t="str">
            <v>RAOUIA</v>
          </cell>
          <cell r="T42" t="str">
            <v>R2</v>
          </cell>
          <cell r="U42" t="str">
            <v>ORD</v>
          </cell>
          <cell r="V42" t="str">
            <v>DN</v>
          </cell>
          <cell r="W42" t="str">
            <v>TC</v>
          </cell>
          <cell r="X42" t="str">
            <v>R</v>
          </cell>
        </row>
        <row r="43">
          <cell r="B43">
            <v>2765</v>
          </cell>
          <cell r="C43" t="str">
            <v>38 TAPIS ET 1 TREMPLIN DE GYMNASTIQUE</v>
          </cell>
          <cell r="D43">
            <v>319440</v>
          </cell>
          <cell r="E43">
            <v>319440</v>
          </cell>
          <cell r="F43">
            <v>0</v>
          </cell>
          <cell r="G43">
            <v>0</v>
          </cell>
          <cell r="K43" t="str">
            <v>AE N°IV 2765-1 du 06/02/2007</v>
          </cell>
          <cell r="M43">
            <v>39119</v>
          </cell>
          <cell r="N43" t="str">
            <v>DAM-14/04</v>
          </cell>
          <cell r="P43" t="str">
            <v>DP-4762</v>
          </cell>
          <cell r="S43" t="str">
            <v>DERDAKI</v>
          </cell>
          <cell r="T43" t="str">
            <v>R6</v>
          </cell>
          <cell r="U43" t="str">
            <v>SOC</v>
          </cell>
          <cell r="V43" t="str">
            <v>RN</v>
          </cell>
          <cell r="W43" t="str">
            <v>AK</v>
          </cell>
          <cell r="X43" t="str">
            <v>R</v>
          </cell>
        </row>
        <row r="44">
          <cell r="B44">
            <v>2766</v>
          </cell>
          <cell r="C44" t="str">
            <v>MOTEURS ET TAMBOURS MOTEURS</v>
          </cell>
          <cell r="D44">
            <v>20000</v>
          </cell>
          <cell r="E44">
            <v>20000</v>
          </cell>
          <cell r="F44">
            <v>0</v>
          </cell>
          <cell r="G44">
            <v>0</v>
          </cell>
          <cell r="I44" t="str">
            <v>CONSUL</v>
          </cell>
          <cell r="J44" t="str">
            <v>AD</v>
          </cell>
          <cell r="K44" t="str">
            <v>DAM pour consultation</v>
          </cell>
          <cell r="L44">
            <v>336</v>
          </cell>
          <cell r="M44">
            <v>38896</v>
          </cell>
          <cell r="N44" t="str">
            <v>DAM-08/06</v>
          </cell>
          <cell r="S44" t="str">
            <v>RAOUIA</v>
          </cell>
          <cell r="T44" t="str">
            <v>R2</v>
          </cell>
          <cell r="U44" t="str">
            <v>ORD</v>
          </cell>
          <cell r="V44" t="str">
            <v>DN</v>
          </cell>
          <cell r="W44" t="str">
            <v>TC</v>
          </cell>
          <cell r="X44" t="str">
            <v>R</v>
          </cell>
        </row>
        <row r="45">
          <cell r="B45">
            <v>2768</v>
          </cell>
          <cell r="C45" t="str">
            <v>2 REDUCTEURS DE VITESSE</v>
          </cell>
          <cell r="D45">
            <v>364000</v>
          </cell>
          <cell r="E45">
            <v>364000</v>
          </cell>
          <cell r="F45">
            <v>0</v>
          </cell>
          <cell r="G45">
            <v>0</v>
          </cell>
          <cell r="K45" t="str">
            <v>AE N°-2768-1</v>
          </cell>
          <cell r="M45">
            <v>38870</v>
          </cell>
          <cell r="N45" t="str">
            <v>DAM-02/05</v>
          </cell>
          <cell r="P45" t="str">
            <v>DP-45156/05</v>
          </cell>
          <cell r="S45" t="str">
            <v>RAOUIA</v>
          </cell>
          <cell r="T45" t="str">
            <v>R2</v>
          </cell>
          <cell r="U45" t="str">
            <v>ORD</v>
          </cell>
          <cell r="V45" t="str">
            <v>DN</v>
          </cell>
          <cell r="W45" t="str">
            <v>TC</v>
          </cell>
          <cell r="X45" t="str">
            <v>R</v>
          </cell>
        </row>
        <row r="46">
          <cell r="B46">
            <v>2770</v>
          </cell>
          <cell r="C46" t="str">
            <v>6 CLIMATISEURS SPLIT-SYSTEM POUR PMK / AK / J</v>
          </cell>
          <cell r="D46">
            <v>139392</v>
          </cell>
          <cell r="E46">
            <v>139392</v>
          </cell>
          <cell r="F46">
            <v>0</v>
          </cell>
          <cell r="G46">
            <v>0</v>
          </cell>
          <cell r="I46" t="str">
            <v>AVIS</v>
          </cell>
          <cell r="J46" t="str">
            <v>PFF</v>
          </cell>
          <cell r="K46" t="str">
            <v>Pour avis en vue d'etablir la DAC</v>
          </cell>
          <cell r="L46">
            <v>321</v>
          </cell>
          <cell r="M46">
            <v>39289</v>
          </cell>
          <cell r="N46" t="str">
            <v>DAM-01/06</v>
          </cell>
          <cell r="S46" t="str">
            <v>DAOUDI</v>
          </cell>
          <cell r="T46" t="str">
            <v>R6</v>
          </cell>
          <cell r="U46" t="str">
            <v>ADM</v>
          </cell>
          <cell r="V46" t="str">
            <v>RN</v>
          </cell>
          <cell r="W46" t="str">
            <v>AK</v>
          </cell>
          <cell r="X46" t="str">
            <v>R</v>
          </cell>
        </row>
        <row r="47">
          <cell r="B47">
            <v>2771</v>
          </cell>
          <cell r="C47" t="str">
            <v>11 FAUTEUILS ROULANTS TOURNANTS</v>
          </cell>
          <cell r="D47">
            <v>125000</v>
          </cell>
          <cell r="E47">
            <v>125000</v>
          </cell>
          <cell r="I47" t="str">
            <v>CONSUL</v>
          </cell>
          <cell r="J47" t="str">
            <v>AD</v>
          </cell>
          <cell r="K47" t="str">
            <v>NLLE DAM pour consultation</v>
          </cell>
          <cell r="L47">
            <v>453</v>
          </cell>
          <cell r="M47">
            <v>38486</v>
          </cell>
          <cell r="N47" t="str">
            <v>DAM-30/03</v>
          </cell>
          <cell r="P47" t="str">
            <v>DP-4555/03</v>
          </cell>
          <cell r="S47" t="str">
            <v>MOUMEN</v>
          </cell>
          <cell r="T47" t="str">
            <v>R6</v>
          </cell>
          <cell r="U47" t="str">
            <v>ADM</v>
          </cell>
          <cell r="V47" t="str">
            <v>RN</v>
          </cell>
          <cell r="W47" t="str">
            <v>TC</v>
          </cell>
          <cell r="X47" t="str">
            <v>R</v>
          </cell>
        </row>
        <row r="48">
          <cell r="B48">
            <v>2771</v>
          </cell>
          <cell r="C48" t="str">
            <v xml:space="preserve">4 TABLES BUREAUX </v>
          </cell>
          <cell r="I48" t="str">
            <v>CONSUL</v>
          </cell>
          <cell r="J48" t="str">
            <v>AD</v>
          </cell>
          <cell r="K48" t="str">
            <v>NLLE DAM pour consultation</v>
          </cell>
          <cell r="L48">
            <v>453</v>
          </cell>
          <cell r="M48">
            <v>38486</v>
          </cell>
          <cell r="N48" t="str">
            <v>DAM-30/03</v>
          </cell>
          <cell r="P48" t="str">
            <v>DP-4555/03</v>
          </cell>
          <cell r="S48" t="str">
            <v>MOUMEN</v>
          </cell>
          <cell r="T48" t="str">
            <v>R6</v>
          </cell>
          <cell r="U48" t="str">
            <v>ADM</v>
          </cell>
          <cell r="V48" t="str">
            <v>RN</v>
          </cell>
          <cell r="W48" t="str">
            <v>TC</v>
          </cell>
          <cell r="X48" t="str">
            <v>R</v>
          </cell>
        </row>
        <row r="49">
          <cell r="B49">
            <v>2771</v>
          </cell>
          <cell r="C49" t="str">
            <v>20 FAUTEUILS FIXES</v>
          </cell>
          <cell r="I49" t="str">
            <v>CONSUL</v>
          </cell>
          <cell r="J49" t="str">
            <v>AD</v>
          </cell>
          <cell r="K49" t="str">
            <v>NLLE DAM pour consultation</v>
          </cell>
          <cell r="L49">
            <v>453</v>
          </cell>
          <cell r="M49">
            <v>38486</v>
          </cell>
          <cell r="N49" t="str">
            <v>DAM-30/03</v>
          </cell>
          <cell r="P49" t="str">
            <v>DP-4555/03</v>
          </cell>
          <cell r="S49" t="str">
            <v>MOUMEN</v>
          </cell>
          <cell r="T49" t="str">
            <v>R6</v>
          </cell>
          <cell r="U49" t="str">
            <v>ADM</v>
          </cell>
          <cell r="V49" t="str">
            <v>RN</v>
          </cell>
          <cell r="W49" t="str">
            <v>TC</v>
          </cell>
          <cell r="X49" t="str">
            <v>R</v>
          </cell>
        </row>
        <row r="50">
          <cell r="B50">
            <v>2771</v>
          </cell>
          <cell r="C50" t="str">
            <v>6 BUREAUX METALLIQUES</v>
          </cell>
          <cell r="I50" t="str">
            <v>CONSUL</v>
          </cell>
          <cell r="J50" t="str">
            <v>AD</v>
          </cell>
          <cell r="K50" t="str">
            <v>NLLE DAM pour consultation</v>
          </cell>
          <cell r="L50">
            <v>453</v>
          </cell>
          <cell r="M50">
            <v>38486</v>
          </cell>
          <cell r="N50" t="str">
            <v>DAM-30/03</v>
          </cell>
          <cell r="P50" t="str">
            <v>DP-4555/03</v>
          </cell>
          <cell r="S50" t="str">
            <v>MOUMEN</v>
          </cell>
          <cell r="T50" t="str">
            <v>R6</v>
          </cell>
          <cell r="U50" t="str">
            <v>ADM</v>
          </cell>
          <cell r="V50" t="str">
            <v>RN</v>
          </cell>
          <cell r="W50" t="str">
            <v>TC</v>
          </cell>
          <cell r="X50" t="str">
            <v>R</v>
          </cell>
        </row>
        <row r="51">
          <cell r="B51">
            <v>2771</v>
          </cell>
          <cell r="C51" t="str">
            <v>3 CLASSEURS MÉTALLIQUES</v>
          </cell>
          <cell r="S51" t="str">
            <v>MOUMEN</v>
          </cell>
          <cell r="T51" t="str">
            <v>R6</v>
          </cell>
          <cell r="U51" t="str">
            <v>ADM</v>
          </cell>
          <cell r="V51" t="str">
            <v>RN</v>
          </cell>
          <cell r="W51" t="str">
            <v>TC</v>
          </cell>
          <cell r="X51" t="str">
            <v>R</v>
          </cell>
        </row>
        <row r="52">
          <cell r="B52">
            <v>2774</v>
          </cell>
          <cell r="C52" t="str">
            <v>CONFECTION DE 2 RAYONNAGES POUR SERVICE DES AFFAIRES JURIDIQUES ET IMMOBILIERES</v>
          </cell>
          <cell r="D52">
            <v>58080</v>
          </cell>
          <cell r="E52">
            <v>58080</v>
          </cell>
          <cell r="F52">
            <v>0</v>
          </cell>
          <cell r="G52">
            <v>0</v>
          </cell>
          <cell r="I52" t="str">
            <v>CONSUL</v>
          </cell>
          <cell r="J52" t="str">
            <v>AD</v>
          </cell>
          <cell r="K52" t="str">
            <v>DAM pour attribution</v>
          </cell>
          <cell r="L52">
            <v>240</v>
          </cell>
          <cell r="M52">
            <v>38848</v>
          </cell>
          <cell r="N52" t="str">
            <v>DAM-02/06</v>
          </cell>
          <cell r="S52" t="str">
            <v>DAOUDI</v>
          </cell>
          <cell r="T52" t="str">
            <v>R6</v>
          </cell>
          <cell r="U52" t="str">
            <v>ADM</v>
          </cell>
          <cell r="V52" t="str">
            <v>DN</v>
          </cell>
          <cell r="W52" t="str">
            <v>AK</v>
          </cell>
          <cell r="X52" t="str">
            <v>R</v>
          </cell>
        </row>
        <row r="53">
          <cell r="B53">
            <v>2778</v>
          </cell>
          <cell r="C53" t="str">
            <v>2 MOTEURS DIESEL</v>
          </cell>
          <cell r="D53">
            <v>2500000</v>
          </cell>
          <cell r="E53">
            <v>5000000</v>
          </cell>
          <cell r="F53">
            <v>0</v>
          </cell>
          <cell r="G53">
            <v>0</v>
          </cell>
          <cell r="I53" t="str">
            <v>CONSUL</v>
          </cell>
          <cell r="J53" t="str">
            <v>PFM/AC</v>
          </cell>
          <cell r="K53" t="str">
            <v>DAM en consultation</v>
          </cell>
          <cell r="L53">
            <v>522</v>
          </cell>
          <cell r="M53">
            <v>38979</v>
          </cell>
          <cell r="N53" t="str">
            <v>DAM-6053/06</v>
          </cell>
          <cell r="S53" t="str">
            <v>KHOUILI</v>
          </cell>
          <cell r="T53" t="str">
            <v>R2</v>
          </cell>
          <cell r="U53" t="str">
            <v>ORD</v>
          </cell>
          <cell r="V53" t="str">
            <v>RN</v>
          </cell>
          <cell r="W53" t="str">
            <v>P</v>
          </cell>
          <cell r="X53" t="str">
            <v>R</v>
          </cell>
        </row>
        <row r="54">
          <cell r="B54">
            <v>2779</v>
          </cell>
          <cell r="C54" t="str">
            <v>1 PORTE CHARS 70 T</v>
          </cell>
          <cell r="D54">
            <v>0</v>
          </cell>
          <cell r="E54">
            <v>7000000</v>
          </cell>
          <cell r="F54">
            <v>0</v>
          </cell>
          <cell r="G54">
            <v>0</v>
          </cell>
          <cell r="I54" t="str">
            <v>CONSUL</v>
          </cell>
          <cell r="J54" t="str">
            <v>PFM/AC</v>
          </cell>
          <cell r="K54" t="str">
            <v>DAM en consultation</v>
          </cell>
          <cell r="L54">
            <v>173</v>
          </cell>
          <cell r="M54">
            <v>38806</v>
          </cell>
          <cell r="N54" t="str">
            <v>DAM-6048/06</v>
          </cell>
          <cell r="S54" t="str">
            <v>MAGHRAOUI</v>
          </cell>
          <cell r="T54" t="str">
            <v>R2</v>
          </cell>
          <cell r="U54" t="str">
            <v>ORD</v>
          </cell>
          <cell r="V54" t="str">
            <v>RN</v>
          </cell>
          <cell r="W54" t="str">
            <v>P</v>
          </cell>
          <cell r="X54" t="str">
            <v>R</v>
          </cell>
        </row>
        <row r="55">
          <cell r="B55">
            <v>2780</v>
          </cell>
          <cell r="C55" t="str">
            <v>1 CAMION DE RAVITAILLEMENT</v>
          </cell>
          <cell r="D55">
            <v>5000000</v>
          </cell>
          <cell r="E55">
            <v>5000000</v>
          </cell>
          <cell r="F55">
            <v>0</v>
          </cell>
          <cell r="G55">
            <v>0</v>
          </cell>
          <cell r="I55" t="str">
            <v>CHT</v>
          </cell>
          <cell r="J55" t="str">
            <v>PLM</v>
          </cell>
          <cell r="K55" t="str">
            <v>CHT transmis pour attribution</v>
          </cell>
          <cell r="L55">
            <v>355</v>
          </cell>
          <cell r="M55">
            <v>39325</v>
          </cell>
          <cell r="N55" t="str">
            <v>DAM- 2201/02</v>
          </cell>
          <cell r="P55" t="str">
            <v>DP-61093/02</v>
          </cell>
          <cell r="S55" t="str">
            <v>HALMI</v>
          </cell>
          <cell r="T55" t="str">
            <v>R2</v>
          </cell>
          <cell r="U55" t="str">
            <v>ORD</v>
          </cell>
          <cell r="V55" t="str">
            <v>RN</v>
          </cell>
          <cell r="W55" t="str">
            <v>P</v>
          </cell>
          <cell r="X55" t="str">
            <v>R</v>
          </cell>
        </row>
        <row r="56">
          <cell r="B56">
            <v>2781</v>
          </cell>
          <cell r="C56" t="str">
            <v>3 CAMIONS GRUES</v>
          </cell>
          <cell r="D56">
            <v>0</v>
          </cell>
          <cell r="E56">
            <v>270000</v>
          </cell>
          <cell r="F56">
            <v>0</v>
          </cell>
          <cell r="G56">
            <v>0</v>
          </cell>
          <cell r="K56" t="str">
            <v>AE N°2781-1 de 2700000dh</v>
          </cell>
          <cell r="M56">
            <v>38982</v>
          </cell>
          <cell r="N56" t="str">
            <v>DAM-24333/04</v>
          </cell>
          <cell r="P56" t="str">
            <v>DP-61140/4</v>
          </cell>
          <cell r="S56" t="str">
            <v>CHARKI</v>
          </cell>
          <cell r="T56" t="str">
            <v>R2</v>
          </cell>
          <cell r="U56" t="str">
            <v>ORD</v>
          </cell>
          <cell r="V56" t="str">
            <v>RN</v>
          </cell>
          <cell r="W56" t="str">
            <v>P</v>
          </cell>
          <cell r="X56" t="str">
            <v>R</v>
          </cell>
        </row>
        <row r="57">
          <cell r="B57">
            <v>2784</v>
          </cell>
          <cell r="C57" t="str">
            <v>1 CAMION ATELIER MOBILE</v>
          </cell>
          <cell r="D57">
            <v>0</v>
          </cell>
          <cell r="E57">
            <v>2000000</v>
          </cell>
          <cell r="F57">
            <v>0</v>
          </cell>
          <cell r="G57">
            <v>0</v>
          </cell>
          <cell r="I57" t="str">
            <v>CT</v>
          </cell>
          <cell r="J57" t="str">
            <v>CP</v>
          </cell>
          <cell r="K57" t="str">
            <v>DAM retourner au CT suite au remarque DAC</v>
          </cell>
          <cell r="L57">
            <v>298</v>
          </cell>
          <cell r="M57">
            <v>39209</v>
          </cell>
          <cell r="N57" t="str">
            <v>DAM-7033/07</v>
          </cell>
          <cell r="S57" t="str">
            <v>MAGHRAOUI</v>
          </cell>
          <cell r="T57" t="str">
            <v>R2</v>
          </cell>
          <cell r="U57" t="str">
            <v>ORD</v>
          </cell>
          <cell r="V57" t="str">
            <v>DN</v>
          </cell>
          <cell r="W57" t="str">
            <v>P</v>
          </cell>
          <cell r="X57" t="str">
            <v>R</v>
          </cell>
        </row>
        <row r="58">
          <cell r="B58">
            <v>2788</v>
          </cell>
          <cell r="C58" t="str">
            <v>1 VISSEUSE DES EMBOUTS</v>
          </cell>
          <cell r="D58">
            <v>180000</v>
          </cell>
          <cell r="E58">
            <v>180000</v>
          </cell>
          <cell r="F58">
            <v>0</v>
          </cell>
          <cell r="G58">
            <v>0</v>
          </cell>
          <cell r="I58" t="str">
            <v>CONSUL</v>
          </cell>
          <cell r="J58" t="str">
            <v>AD</v>
          </cell>
          <cell r="K58" t="str">
            <v>DAM pour attribution</v>
          </cell>
          <cell r="L58">
            <v>319</v>
          </cell>
          <cell r="M58">
            <v>38807</v>
          </cell>
          <cell r="N58" t="str">
            <v>DAM-6035/06</v>
          </cell>
          <cell r="S58" t="str">
            <v>MAGHRAOUI</v>
          </cell>
          <cell r="T58" t="str">
            <v>R3</v>
          </cell>
          <cell r="U58" t="str">
            <v>ORD</v>
          </cell>
          <cell r="V58" t="str">
            <v>RN</v>
          </cell>
          <cell r="W58" t="str">
            <v>P</v>
          </cell>
          <cell r="X58" t="str">
            <v>R</v>
          </cell>
        </row>
        <row r="59">
          <cell r="B59">
            <v>2789</v>
          </cell>
          <cell r="C59" t="str">
            <v>FOURNITURE ET INSTALLATION DES EQUIPEMENTS DE DEPOUSSIERAGE DES FOURS SECHEURS N°2 ET N°4 DU COZ</v>
          </cell>
          <cell r="D59">
            <v>0</v>
          </cell>
          <cell r="E59">
            <v>24000000</v>
          </cell>
          <cell r="F59">
            <v>0</v>
          </cell>
          <cell r="G59">
            <v>0</v>
          </cell>
          <cell r="I59" t="str">
            <v>CONSUL</v>
          </cell>
          <cell r="J59" t="str">
            <v>PLM</v>
          </cell>
          <cell r="K59" t="str">
            <v>DAM pour attribution</v>
          </cell>
          <cell r="L59" t="str">
            <v>385
DAC 431</v>
          </cell>
          <cell r="M59" t="str">
            <v>21/09/2007
26/06/2007</v>
          </cell>
          <cell r="N59" t="str">
            <v>DPM-34/06</v>
          </cell>
          <cell r="P59" t="str">
            <v>AO-9301/5</v>
          </cell>
          <cell r="S59" t="str">
            <v>LEBBARDI</v>
          </cell>
          <cell r="T59" t="str">
            <v>R7</v>
          </cell>
          <cell r="U59" t="str">
            <v>ORD</v>
          </cell>
          <cell r="V59" t="str">
            <v>DN</v>
          </cell>
          <cell r="W59" t="str">
            <v>T</v>
          </cell>
          <cell r="X59" t="str">
            <v>R</v>
          </cell>
        </row>
        <row r="60">
          <cell r="B60">
            <v>2794</v>
          </cell>
          <cell r="C60" t="str">
            <v>ACHAT DES VARIATEURS DE VITESSE POUR MOTEURS DES POMPES A PULPE</v>
          </cell>
          <cell r="D60">
            <v>0</v>
          </cell>
          <cell r="E60">
            <v>492000</v>
          </cell>
          <cell r="F60">
            <v>0</v>
          </cell>
          <cell r="G60">
            <v>0</v>
          </cell>
          <cell r="I60" t="str">
            <v>CONSUL</v>
          </cell>
          <cell r="J60" t="str">
            <v>AD</v>
          </cell>
          <cell r="K60" t="str">
            <v>DAM pour consultation</v>
          </cell>
          <cell r="L60">
            <v>623</v>
          </cell>
          <cell r="M60">
            <v>39055</v>
          </cell>
          <cell r="N60" t="str">
            <v>DAM-167/06</v>
          </cell>
          <cell r="S60" t="str">
            <v>BENAMEUR</v>
          </cell>
          <cell r="T60" t="str">
            <v>R2</v>
          </cell>
          <cell r="U60" t="str">
            <v>ORD</v>
          </cell>
          <cell r="V60" t="str">
            <v>DN</v>
          </cell>
          <cell r="W60" t="str">
            <v>T</v>
          </cell>
          <cell r="X60" t="str">
            <v>R</v>
          </cell>
        </row>
        <row r="61">
          <cell r="B61">
            <v>2797</v>
          </cell>
          <cell r="C61" t="str">
            <v>ACHAT DE 03 CONVERTISSEURS DE FREQUENCE.</v>
          </cell>
          <cell r="D61">
            <v>0</v>
          </cell>
          <cell r="E61">
            <v>400000</v>
          </cell>
          <cell r="F61">
            <v>0</v>
          </cell>
          <cell r="G61">
            <v>0</v>
          </cell>
          <cell r="I61" t="str">
            <v>CONSUL</v>
          </cell>
          <cell r="J61" t="str">
            <v>AD</v>
          </cell>
          <cell r="K61" t="str">
            <v>DAM envoyée pour consultation</v>
          </cell>
          <cell r="L61">
            <v>446</v>
          </cell>
          <cell r="M61">
            <v>38952</v>
          </cell>
          <cell r="N61" t="str">
            <v>DAM-152/06</v>
          </cell>
          <cell r="P61" t="str">
            <v>DP-45139/05</v>
          </cell>
          <cell r="S61" t="str">
            <v>AIT HSSAINE</v>
          </cell>
          <cell r="T61" t="str">
            <v>R2</v>
          </cell>
          <cell r="U61" t="str">
            <v>ORD</v>
          </cell>
          <cell r="V61" t="str">
            <v>DN</v>
          </cell>
          <cell r="W61" t="str">
            <v>T</v>
          </cell>
          <cell r="X61" t="str">
            <v>R</v>
          </cell>
        </row>
        <row r="62">
          <cell r="B62">
            <v>2798</v>
          </cell>
          <cell r="C62" t="str">
            <v>ACHAT DES GROUPES MOTO-POMPES SUBMERSIBLES</v>
          </cell>
          <cell r="D62">
            <v>0</v>
          </cell>
          <cell r="E62">
            <v>200000</v>
          </cell>
          <cell r="F62">
            <v>0</v>
          </cell>
          <cell r="G62">
            <v>0</v>
          </cell>
          <cell r="I62" t="str">
            <v>CONSUL</v>
          </cell>
          <cell r="J62" t="str">
            <v>AD</v>
          </cell>
          <cell r="K62" t="str">
            <v>DAM envoyée pour consultation</v>
          </cell>
          <cell r="L62">
            <v>429</v>
          </cell>
          <cell r="M62">
            <v>39274</v>
          </cell>
          <cell r="N62" t="str">
            <v>DAM-46/07</v>
          </cell>
          <cell r="P62" t="str">
            <v>DP-45146</v>
          </cell>
          <cell r="S62" t="str">
            <v>BENAMEUR</v>
          </cell>
          <cell r="T62" t="str">
            <v>R2</v>
          </cell>
          <cell r="U62" t="str">
            <v>ORD</v>
          </cell>
          <cell r="V62" t="str">
            <v>DN</v>
          </cell>
          <cell r="W62" t="str">
            <v>T</v>
          </cell>
          <cell r="X62" t="str">
            <v>R</v>
          </cell>
        </row>
        <row r="63">
          <cell r="B63">
            <v>2799</v>
          </cell>
          <cell r="C63" t="str">
            <v>ACHAT DES POMPES HYDRAULIQUES POUR LES INSTALLATIONS DU COZ</v>
          </cell>
          <cell r="D63">
            <v>507187.24</v>
          </cell>
          <cell r="E63">
            <v>20000</v>
          </cell>
          <cell r="F63">
            <v>0</v>
          </cell>
          <cell r="G63">
            <v>0</v>
          </cell>
          <cell r="I63" t="str">
            <v>CONSUL</v>
          </cell>
          <cell r="J63" t="str">
            <v>PLM</v>
          </cell>
          <cell r="K63" t="str">
            <v>DAM en consultation</v>
          </cell>
          <cell r="L63">
            <v>344</v>
          </cell>
          <cell r="M63">
            <v>39316</v>
          </cell>
          <cell r="N63" t="str">
            <v>DAM-104/07</v>
          </cell>
          <cell r="P63" t="str">
            <v>DP-61159/04</v>
          </cell>
          <cell r="S63" t="str">
            <v>CHNANI</v>
          </cell>
          <cell r="T63" t="str">
            <v>R2</v>
          </cell>
          <cell r="U63" t="str">
            <v>ORD</v>
          </cell>
          <cell r="V63" t="str">
            <v>DN</v>
          </cell>
          <cell r="W63" t="str">
            <v>T</v>
          </cell>
          <cell r="X63" t="str">
            <v>R</v>
          </cell>
        </row>
        <row r="64">
          <cell r="B64">
            <v>2800</v>
          </cell>
          <cell r="C64" t="str">
            <v>ACHAT DES EQUIPEMENTS INFORMATIQUES POUR LES AUTOMATES PROGRAMMABLES DU COZ</v>
          </cell>
          <cell r="D64">
            <v>0</v>
          </cell>
          <cell r="E64">
            <v>130000</v>
          </cell>
          <cell r="F64">
            <v>0</v>
          </cell>
          <cell r="G64">
            <v>0</v>
          </cell>
          <cell r="I64" t="str">
            <v>CONSUL</v>
          </cell>
          <cell r="J64" t="str">
            <v>AD</v>
          </cell>
          <cell r="K64" t="str">
            <v>DAM en consultation</v>
          </cell>
          <cell r="L64">
            <v>410</v>
          </cell>
          <cell r="M64">
            <v>39260</v>
          </cell>
          <cell r="N64" t="str">
            <v>DAM- 100/07</v>
          </cell>
          <cell r="O64">
            <v>7307</v>
          </cell>
          <cell r="S64" t="str">
            <v>BERRADA</v>
          </cell>
          <cell r="T64" t="str">
            <v>R2</v>
          </cell>
          <cell r="U64" t="str">
            <v>ORD</v>
          </cell>
          <cell r="V64" t="str">
            <v>DN</v>
          </cell>
          <cell r="W64" t="str">
            <v>T</v>
          </cell>
          <cell r="X64" t="str">
            <v>R</v>
          </cell>
        </row>
        <row r="65">
          <cell r="B65">
            <v>2802</v>
          </cell>
          <cell r="C65" t="str">
            <v>1 APPAREIL POUR ESSAI DE MOUSSAGE</v>
          </cell>
          <cell r="D65">
            <v>350000</v>
          </cell>
          <cell r="E65">
            <v>350000</v>
          </cell>
          <cell r="K65" t="str">
            <v xml:space="preserve"> N° 20916-2 de 294612,00 dh </v>
          </cell>
          <cell r="N65" t="str">
            <v>DAM-02/05</v>
          </cell>
          <cell r="S65" t="str">
            <v>BENZAKI</v>
          </cell>
          <cell r="T65" t="str">
            <v>R2</v>
          </cell>
          <cell r="U65" t="str">
            <v>ORD</v>
          </cell>
          <cell r="V65" t="str">
            <v>DN</v>
          </cell>
          <cell r="W65" t="str">
            <v>L</v>
          </cell>
          <cell r="X65" t="str">
            <v>R</v>
          </cell>
        </row>
        <row r="66">
          <cell r="B66">
            <v>2804</v>
          </cell>
          <cell r="C66" t="str">
            <v>TRAVAUX DE SURELEVATION DES LOCAUX DE PMK/LM/E</v>
          </cell>
          <cell r="D66">
            <v>300000</v>
          </cell>
          <cell r="E66">
            <v>1400000</v>
          </cell>
          <cell r="F66">
            <v>0</v>
          </cell>
          <cell r="G66">
            <v>0</v>
          </cell>
          <cell r="I66" t="str">
            <v>CHT</v>
          </cell>
          <cell r="J66" t="str">
            <v>CP</v>
          </cell>
          <cell r="K66" t="str">
            <v>CHT En retour au CP (Montant inscrit en liste révisée est inssuffisant)</v>
          </cell>
          <cell r="L66">
            <v>563</v>
          </cell>
          <cell r="M66">
            <v>39365</v>
          </cell>
          <cell r="N66" t="str">
            <v>DPM -5233/06</v>
          </cell>
          <cell r="S66" t="str">
            <v>SAOUD</v>
          </cell>
          <cell r="T66" t="str">
            <v>R2</v>
          </cell>
          <cell r="U66" t="str">
            <v>ORD</v>
          </cell>
          <cell r="V66" t="str">
            <v>DN</v>
          </cell>
          <cell r="W66" t="str">
            <v>L</v>
          </cell>
          <cell r="X66" t="str">
            <v>R</v>
          </cell>
        </row>
        <row r="67">
          <cell r="B67">
            <v>2806</v>
          </cell>
          <cell r="C67" t="str">
            <v>ACHAT D'OUTILLAGE D'ATELIERS</v>
          </cell>
          <cell r="D67">
            <v>0</v>
          </cell>
          <cell r="E67">
            <v>100000</v>
          </cell>
          <cell r="F67">
            <v>0</v>
          </cell>
          <cell r="G67">
            <v>0</v>
          </cell>
          <cell r="I67" t="str">
            <v>CONSUL</v>
          </cell>
          <cell r="J67" t="str">
            <v>PFM/AC</v>
          </cell>
          <cell r="K67" t="str">
            <v>DAM envoyée le 29/11/04 une partie engagée en 2003</v>
          </cell>
          <cell r="S67" t="str">
            <v>BOUZZIT</v>
          </cell>
          <cell r="T67" t="str">
            <v>R2</v>
          </cell>
          <cell r="U67" t="str">
            <v>ORD</v>
          </cell>
          <cell r="V67" t="str">
            <v>DN</v>
          </cell>
          <cell r="W67" t="str">
            <v>L</v>
          </cell>
          <cell r="X67" t="str">
            <v>R</v>
          </cell>
        </row>
        <row r="68">
          <cell r="B68">
            <v>2808</v>
          </cell>
          <cell r="C68" t="str">
            <v>MATERIEL POUR LABORATOIRE DES BANDES</v>
          </cell>
          <cell r="D68">
            <v>0</v>
          </cell>
          <cell r="E68">
            <v>250000</v>
          </cell>
          <cell r="F68">
            <v>0</v>
          </cell>
          <cell r="G68">
            <v>0</v>
          </cell>
          <cell r="I68" t="str">
            <v>CHC</v>
          </cell>
          <cell r="J68" t="str">
            <v>CP</v>
          </cell>
          <cell r="K68" t="str">
            <v>CHT En retour au CP (ce crédit n'est pas retenu sur la liste révisée)</v>
          </cell>
          <cell r="L68">
            <v>559</v>
          </cell>
          <cell r="M68">
            <v>39365</v>
          </cell>
          <cell r="N68" t="str">
            <v>DAM-11/06-21/06</v>
          </cell>
          <cell r="P68" t="str">
            <v>AO-DKI481E6053/060</v>
          </cell>
          <cell r="S68" t="str">
            <v>BENZAKI</v>
          </cell>
          <cell r="T68" t="str">
            <v>R2</v>
          </cell>
          <cell r="U68" t="str">
            <v>ORD</v>
          </cell>
          <cell r="V68" t="str">
            <v>DN</v>
          </cell>
          <cell r="W68" t="str">
            <v>L</v>
          </cell>
          <cell r="X68" t="str">
            <v>R</v>
          </cell>
        </row>
        <row r="69">
          <cell r="B69">
            <v>2809</v>
          </cell>
          <cell r="C69" t="str">
            <v>1 APPAREIL CAMESCOPE NUMERIQUE</v>
          </cell>
          <cell r="D69">
            <v>0</v>
          </cell>
          <cell r="E69">
            <v>20000</v>
          </cell>
          <cell r="F69">
            <v>0</v>
          </cell>
          <cell r="G69">
            <v>0</v>
          </cell>
          <cell r="K69" t="str">
            <v>AE 20939-1 DE 2046,00 dh</v>
          </cell>
          <cell r="L69">
            <v>607</v>
          </cell>
          <cell r="M69">
            <v>38611</v>
          </cell>
          <cell r="N69" t="str">
            <v>DAM-23/04</v>
          </cell>
          <cell r="P69" t="str">
            <v>DP-4576/03</v>
          </cell>
          <cell r="S69" t="str">
            <v>BOUZZIT</v>
          </cell>
          <cell r="T69" t="str">
            <v>R2</v>
          </cell>
          <cell r="U69" t="str">
            <v>ORD</v>
          </cell>
          <cell r="V69" t="str">
            <v>DN</v>
          </cell>
          <cell r="W69" t="str">
            <v>L</v>
          </cell>
          <cell r="X69" t="str">
            <v>R</v>
          </cell>
        </row>
        <row r="70">
          <cell r="B70">
            <v>2811</v>
          </cell>
          <cell r="C70" t="str">
            <v>2 BANC D'ESSAI POUR CONTRÔLE DES CARACT.ELEC</v>
          </cell>
          <cell r="D70">
            <v>0</v>
          </cell>
          <cell r="E70">
            <v>600000</v>
          </cell>
          <cell r="F70">
            <v>0</v>
          </cell>
          <cell r="G70">
            <v>0</v>
          </cell>
          <cell r="I70" t="str">
            <v>CONSUL</v>
          </cell>
          <cell r="J70" t="str">
            <v>AD</v>
          </cell>
          <cell r="K70" t="str">
            <v>DAM envoyée pour consultation</v>
          </cell>
          <cell r="L70">
            <v>590</v>
          </cell>
          <cell r="M70">
            <v>39037</v>
          </cell>
          <cell r="N70" t="str">
            <v>DAM-20/06</v>
          </cell>
          <cell r="P70" t="str">
            <v>DAM-08/05</v>
          </cell>
          <cell r="S70" t="str">
            <v>BENZAKI</v>
          </cell>
          <cell r="T70" t="str">
            <v>R3</v>
          </cell>
          <cell r="U70" t="str">
            <v>ORD</v>
          </cell>
          <cell r="V70" t="str">
            <v>DN</v>
          </cell>
          <cell r="W70" t="str">
            <v>L</v>
          </cell>
          <cell r="X70" t="str">
            <v>R</v>
          </cell>
        </row>
        <row r="71">
          <cell r="B71">
            <v>2811</v>
          </cell>
          <cell r="C71" t="str">
            <v>1 PROJECTEUR OU MICROSCOPE DE MESURE</v>
          </cell>
          <cell r="I71" t="str">
            <v>CONSUL</v>
          </cell>
          <cell r="J71" t="str">
            <v>AD</v>
          </cell>
          <cell r="K71" t="str">
            <v>DAM envoyée le 8/04/04</v>
          </cell>
          <cell r="M71">
            <v>38469</v>
          </cell>
          <cell r="N71" t="str">
            <v>DAM-09/05</v>
          </cell>
          <cell r="S71" t="str">
            <v>BENZAKI</v>
          </cell>
          <cell r="T71" t="str">
            <v>R3</v>
          </cell>
          <cell r="U71" t="str">
            <v>ORD</v>
          </cell>
          <cell r="V71" t="str">
            <v>DN</v>
          </cell>
          <cell r="W71" t="str">
            <v>L</v>
          </cell>
          <cell r="X71" t="str">
            <v>R</v>
          </cell>
        </row>
        <row r="72">
          <cell r="B72">
            <v>2811</v>
          </cell>
          <cell r="C72" t="str">
            <v>1 DYNAMOMETRE DE TRACON UNIVERSEL</v>
          </cell>
          <cell r="I72" t="str">
            <v>CONSUL</v>
          </cell>
          <cell r="J72" t="str">
            <v>AD</v>
          </cell>
          <cell r="K72" t="str">
            <v>DAM envoyée pour consultation</v>
          </cell>
          <cell r="L72">
            <v>464</v>
          </cell>
          <cell r="M72">
            <v>38526</v>
          </cell>
          <cell r="N72" t="str">
            <v>DAM-10/05</v>
          </cell>
          <cell r="S72" t="str">
            <v>BENZAKI</v>
          </cell>
          <cell r="T72" t="str">
            <v>R3</v>
          </cell>
          <cell r="U72" t="str">
            <v>ORD</v>
          </cell>
          <cell r="V72" t="str">
            <v>DN</v>
          </cell>
          <cell r="W72" t="str">
            <v>L</v>
          </cell>
          <cell r="X72" t="str">
            <v>R</v>
          </cell>
        </row>
        <row r="73">
          <cell r="B73">
            <v>2811</v>
          </cell>
          <cell r="C73" t="str">
            <v>1 BANC POUR CONTRÔLE DE LA RESISTANCE</v>
          </cell>
          <cell r="I73" t="str">
            <v>CONSUL</v>
          </cell>
          <cell r="J73" t="str">
            <v>PFM/AC</v>
          </cell>
          <cell r="K73" t="str">
            <v>DAM envoyée le 8/04/04</v>
          </cell>
          <cell r="N73" t="str">
            <v>DAM-15/04</v>
          </cell>
          <cell r="S73" t="str">
            <v>BENZAKI</v>
          </cell>
          <cell r="T73" t="str">
            <v>R3</v>
          </cell>
          <cell r="U73" t="str">
            <v>ORD</v>
          </cell>
          <cell r="V73" t="str">
            <v>DN</v>
          </cell>
          <cell r="W73" t="str">
            <v>L</v>
          </cell>
          <cell r="X73" t="str">
            <v>R</v>
          </cell>
        </row>
        <row r="74">
          <cell r="B74">
            <v>2812</v>
          </cell>
          <cell r="C74" t="str">
            <v>ACHAT MATERIEL POU LE LABORATOIRE DES LUBRIFIANTS</v>
          </cell>
          <cell r="D74">
            <v>0</v>
          </cell>
          <cell r="E74">
            <v>480000</v>
          </cell>
          <cell r="F74">
            <v>0</v>
          </cell>
          <cell r="G74">
            <v>0</v>
          </cell>
          <cell r="I74" t="str">
            <v>CHT</v>
          </cell>
          <cell r="J74" t="str">
            <v>AD</v>
          </cell>
          <cell r="K74" t="str">
            <v>CHT transmis à AD par le CP</v>
          </cell>
          <cell r="L74" t="str">
            <v>LG -106</v>
          </cell>
          <cell r="M74">
            <v>39262</v>
          </cell>
          <cell r="N74" t="str">
            <v>DAM-02/07</v>
          </cell>
          <cell r="O74">
            <v>5255</v>
          </cell>
          <cell r="P74" t="str">
            <v>DP-45166/05</v>
          </cell>
          <cell r="S74" t="str">
            <v>BENZAKI</v>
          </cell>
          <cell r="T74" t="str">
            <v>R3</v>
          </cell>
          <cell r="U74" t="str">
            <v>ORD</v>
          </cell>
          <cell r="V74" t="str">
            <v>DN</v>
          </cell>
          <cell r="W74" t="str">
            <v>L</v>
          </cell>
          <cell r="X74" t="str">
            <v>R</v>
          </cell>
        </row>
        <row r="75">
          <cell r="B75">
            <v>2813</v>
          </cell>
          <cell r="C75" t="str">
            <v>ACHT DE 10 ASPIRATEUR DE FUMEES</v>
          </cell>
          <cell r="D75">
            <v>0</v>
          </cell>
          <cell r="E75">
            <v>50000</v>
          </cell>
          <cell r="F75">
            <v>0</v>
          </cell>
          <cell r="G75">
            <v>0</v>
          </cell>
          <cell r="K75" t="str">
            <v>AE N°- 2813-1 de 208 800,00 dh</v>
          </cell>
          <cell r="M75">
            <v>38911</v>
          </cell>
          <cell r="N75" t="str">
            <v>DAM-17/04</v>
          </cell>
          <cell r="P75" t="str">
            <v>DP-62152/45</v>
          </cell>
          <cell r="S75" t="str">
            <v>BOUZZIT</v>
          </cell>
          <cell r="T75" t="str">
            <v>R3</v>
          </cell>
          <cell r="U75" t="str">
            <v>ORD</v>
          </cell>
          <cell r="V75" t="str">
            <v>DN</v>
          </cell>
          <cell r="W75" t="str">
            <v>L</v>
          </cell>
          <cell r="X75" t="str">
            <v>R</v>
          </cell>
        </row>
        <row r="76">
          <cell r="B76">
            <v>2821</v>
          </cell>
          <cell r="C76" t="str">
            <v>ACQUISITION D'UNE VALISE D'INJECTION DE COURANT</v>
          </cell>
          <cell r="D76">
            <v>0</v>
          </cell>
          <cell r="E76">
            <v>480000</v>
          </cell>
          <cell r="F76">
            <v>0</v>
          </cell>
          <cell r="G76">
            <v>0</v>
          </cell>
          <cell r="I76" t="str">
            <v>CONSUL</v>
          </cell>
          <cell r="J76" t="str">
            <v>CP</v>
          </cell>
          <cell r="K76" t="str">
            <v>CHT En retour au CP (ce crédit n'est pas retenu sur la liste révisée)</v>
          </cell>
          <cell r="L76">
            <v>557</v>
          </cell>
          <cell r="M76">
            <v>39365</v>
          </cell>
          <cell r="N76" t="str">
            <v>DAM-19/07</v>
          </cell>
          <cell r="S76" t="str">
            <v>SAOUD</v>
          </cell>
          <cell r="T76" t="str">
            <v>R3</v>
          </cell>
          <cell r="U76" t="str">
            <v>ORD</v>
          </cell>
          <cell r="V76" t="str">
            <v>DN</v>
          </cell>
          <cell r="W76" t="str">
            <v>L</v>
          </cell>
          <cell r="X76" t="str">
            <v>R</v>
          </cell>
        </row>
        <row r="77">
          <cell r="B77">
            <v>2823</v>
          </cell>
          <cell r="C77" t="str">
            <v>ACQUISITION DE 6 COMBINES DE MESURE</v>
          </cell>
          <cell r="D77">
            <v>0</v>
          </cell>
          <cell r="E77">
            <v>420000</v>
          </cell>
          <cell r="F77">
            <v>0</v>
          </cell>
          <cell r="G77">
            <v>0</v>
          </cell>
          <cell r="I77" t="str">
            <v>CONSUL</v>
          </cell>
          <cell r="J77" t="str">
            <v>AD</v>
          </cell>
          <cell r="K77" t="str">
            <v>DAM envoyée  pour consultation</v>
          </cell>
          <cell r="L77">
            <v>205</v>
          </cell>
          <cell r="M77">
            <v>39176</v>
          </cell>
          <cell r="N77" t="str">
            <v>DAM-05/07</v>
          </cell>
          <cell r="O77">
            <v>6142</v>
          </cell>
          <cell r="S77" t="str">
            <v>SAOUD</v>
          </cell>
          <cell r="T77" t="str">
            <v>R2</v>
          </cell>
          <cell r="U77" t="str">
            <v>ORD</v>
          </cell>
          <cell r="V77" t="str">
            <v>DN</v>
          </cell>
          <cell r="W77" t="str">
            <v>L</v>
          </cell>
          <cell r="X77" t="str">
            <v>R</v>
          </cell>
        </row>
        <row r="78">
          <cell r="B78">
            <v>2824</v>
          </cell>
          <cell r="C78" t="str">
            <v>RENOUVELLEMENT DE 34 KM DE CABLE TELEPHONIQUE RELIANT LES SITES ELOIGNES</v>
          </cell>
          <cell r="D78">
            <v>0</v>
          </cell>
          <cell r="E78">
            <v>3000000</v>
          </cell>
          <cell r="F78">
            <v>0</v>
          </cell>
          <cell r="G78">
            <v>0</v>
          </cell>
          <cell r="I78" t="str">
            <v>CONSUL</v>
          </cell>
          <cell r="J78" t="str">
            <v>PLM</v>
          </cell>
          <cell r="K78" t="str">
            <v>DPM envoyée  pour consultation</v>
          </cell>
          <cell r="L78">
            <v>363</v>
          </cell>
          <cell r="M78">
            <v>39331</v>
          </cell>
          <cell r="N78" t="str">
            <v>DPM-5211/06</v>
          </cell>
          <cell r="S78" t="str">
            <v>SAOUD</v>
          </cell>
          <cell r="T78" t="str">
            <v>R2</v>
          </cell>
          <cell r="U78" t="str">
            <v>ORD</v>
          </cell>
          <cell r="V78" t="str">
            <v>RN</v>
          </cell>
          <cell r="W78" t="str">
            <v>L</v>
          </cell>
          <cell r="X78" t="str">
            <v>R</v>
          </cell>
        </row>
        <row r="79">
          <cell r="B79">
            <v>2827</v>
          </cell>
          <cell r="C79" t="str">
            <v>ACQUISITION D'EQUIPEMENTS POUR FOYERS DES VILLAGES OCP ZONE DE KHOURIBGA</v>
          </cell>
          <cell r="D79">
            <v>353650</v>
          </cell>
          <cell r="E79">
            <v>353650</v>
          </cell>
          <cell r="F79">
            <v>0</v>
          </cell>
          <cell r="G79">
            <v>0</v>
          </cell>
          <cell r="I79" t="str">
            <v>CONSUL</v>
          </cell>
          <cell r="J79" t="str">
            <v>AD</v>
          </cell>
          <cell r="K79" t="str">
            <v>DAM envoyée pour consultation</v>
          </cell>
          <cell r="L79">
            <v>137</v>
          </cell>
          <cell r="M79">
            <v>39153</v>
          </cell>
          <cell r="N79" t="str">
            <v>DAM- 18/06</v>
          </cell>
          <cell r="O79">
            <v>3305</v>
          </cell>
          <cell r="S79" t="str">
            <v>DERDAKI</v>
          </cell>
          <cell r="T79" t="str">
            <v>R6</v>
          </cell>
          <cell r="U79" t="str">
            <v>SOC</v>
          </cell>
          <cell r="V79" t="str">
            <v>DN</v>
          </cell>
          <cell r="W79" t="str">
            <v>AK</v>
          </cell>
          <cell r="X79" t="str">
            <v>R</v>
          </cell>
        </row>
        <row r="80">
          <cell r="B80">
            <v>2828</v>
          </cell>
          <cell r="C80" t="str">
            <v>ACQUISITION D'EQUIPEMENT DE COUTURE POUR LES FOYERS FEMININS DE LA ZONE DE KHOURIBGA</v>
          </cell>
          <cell r="D80">
            <v>0</v>
          </cell>
          <cell r="E80">
            <v>239580</v>
          </cell>
          <cell r="F80">
            <v>0</v>
          </cell>
          <cell r="G80">
            <v>0</v>
          </cell>
          <cell r="I80" t="str">
            <v>CHC</v>
          </cell>
          <cell r="J80" t="str">
            <v>CP</v>
          </cell>
          <cell r="K80" t="str">
            <v>CHC retourné au CP(ancinneté dossier - Octobre 2005)</v>
          </cell>
          <cell r="L80">
            <v>595</v>
          </cell>
          <cell r="M80">
            <v>39041</v>
          </cell>
          <cell r="N80" t="str">
            <v>DAM-12/04</v>
          </cell>
          <cell r="P80" t="str">
            <v>DP-45043/05</v>
          </cell>
          <cell r="S80" t="str">
            <v>DERDAKI</v>
          </cell>
          <cell r="T80" t="str">
            <v>R6</v>
          </cell>
          <cell r="U80" t="str">
            <v>SOC</v>
          </cell>
          <cell r="V80" t="str">
            <v>DN</v>
          </cell>
          <cell r="W80" t="str">
            <v>AK</v>
          </cell>
          <cell r="X80" t="str">
            <v>R</v>
          </cell>
        </row>
        <row r="81">
          <cell r="B81">
            <v>2829</v>
          </cell>
          <cell r="C81" t="str">
            <v>ACQUISITION DE MOBILIER DE BUREAU POUR PMK / AK / A</v>
          </cell>
          <cell r="D81">
            <v>47190</v>
          </cell>
          <cell r="E81">
            <v>47190</v>
          </cell>
          <cell r="F81">
            <v>0</v>
          </cell>
          <cell r="G81">
            <v>0</v>
          </cell>
          <cell r="K81" t="str">
            <v>AE N°-2829-1-2&amp;3 de 8760 -1478,4 &amp; 2124 dh</v>
          </cell>
          <cell r="M81">
            <v>38873</v>
          </cell>
          <cell r="N81" t="str">
            <v>DAM-03/04</v>
          </cell>
          <cell r="P81" t="str">
            <v>DP-45173/05</v>
          </cell>
          <cell r="S81" t="str">
            <v>OUHMIZ</v>
          </cell>
          <cell r="T81" t="str">
            <v>R6</v>
          </cell>
          <cell r="U81" t="str">
            <v>ADM</v>
          </cell>
          <cell r="V81" t="str">
            <v>DN</v>
          </cell>
          <cell r="W81" t="str">
            <v>AK</v>
          </cell>
          <cell r="X81" t="str">
            <v>R</v>
          </cell>
        </row>
        <row r="82">
          <cell r="B82">
            <v>2831</v>
          </cell>
          <cell r="C82" t="str">
            <v xml:space="preserve">RENOUVELLEMENT DE MATERIEL DENTAIRE - FOURNITURE ET INSTALLATION D'UNE UNITE DENTAIRE COMPLETE </v>
          </cell>
          <cell r="D82">
            <v>0</v>
          </cell>
          <cell r="E82">
            <v>440000</v>
          </cell>
          <cell r="F82">
            <v>0</v>
          </cell>
          <cell r="G82">
            <v>0</v>
          </cell>
          <cell r="K82" t="str">
            <v>AE N°-2831-1 DE 263754</v>
          </cell>
          <cell r="L82">
            <v>250</v>
          </cell>
          <cell r="M82">
            <v>38870</v>
          </cell>
          <cell r="N82" t="str">
            <v>DAM-03</v>
          </cell>
          <cell r="P82" t="str">
            <v>DP-45199/05</v>
          </cell>
          <cell r="S82" t="str">
            <v>LAGHRIB</v>
          </cell>
          <cell r="T82" t="str">
            <v>R10</v>
          </cell>
          <cell r="U82" t="str">
            <v>MED</v>
          </cell>
          <cell r="V82" t="str">
            <v>RN</v>
          </cell>
          <cell r="W82" t="str">
            <v>AK</v>
          </cell>
          <cell r="X82" t="str">
            <v>R</v>
          </cell>
        </row>
        <row r="83">
          <cell r="B83">
            <v>2832</v>
          </cell>
          <cell r="C83" t="str">
            <v>RENOUVELLEMENT D'UNE TABLE RADIO</v>
          </cell>
          <cell r="D83">
            <v>0</v>
          </cell>
          <cell r="E83">
            <v>720000</v>
          </cell>
          <cell r="F83">
            <v>0</v>
          </cell>
          <cell r="G83">
            <v>0</v>
          </cell>
          <cell r="I83" t="str">
            <v>CONSUL</v>
          </cell>
          <cell r="J83" t="str">
            <v>PLM/A</v>
          </cell>
          <cell r="K83" t="str">
            <v>DAM envoyée pour consultation (transmise directement à PLM)</v>
          </cell>
          <cell r="L83">
            <v>214</v>
          </cell>
          <cell r="M83">
            <v>39205</v>
          </cell>
          <cell r="N83" t="str">
            <v>DAM - 03/07</v>
          </cell>
          <cell r="O83">
            <v>2223</v>
          </cell>
          <cell r="P83" t="str">
            <v>DP-</v>
          </cell>
          <cell r="S83" t="str">
            <v>RHOLAM</v>
          </cell>
          <cell r="T83" t="str">
            <v>R10</v>
          </cell>
          <cell r="U83" t="str">
            <v>MED</v>
          </cell>
          <cell r="V83" t="str">
            <v>RN</v>
          </cell>
          <cell r="W83" t="str">
            <v>AK</v>
          </cell>
          <cell r="X83" t="str">
            <v>R</v>
          </cell>
        </row>
        <row r="84">
          <cell r="B84">
            <v>2833</v>
          </cell>
          <cell r="C84" t="str">
            <v xml:space="preserve">ACHAT DES VERINS ELECTRIQUES POUR LA COMMANDE A DISTANCE DES VOLETS D'AIGUILLAGE DES CONVOYEURS </v>
          </cell>
          <cell r="D84">
            <v>0</v>
          </cell>
          <cell r="E84">
            <v>600000</v>
          </cell>
          <cell r="F84">
            <v>0</v>
          </cell>
          <cell r="G84">
            <v>0</v>
          </cell>
          <cell r="I84" t="str">
            <v>CONSUL</v>
          </cell>
          <cell r="J84" t="str">
            <v>PFM/AC</v>
          </cell>
          <cell r="K84" t="str">
            <v>DAM envoyée pour consultation</v>
          </cell>
          <cell r="L84">
            <v>587</v>
          </cell>
          <cell r="M84">
            <v>39007</v>
          </cell>
          <cell r="N84" t="str">
            <v>DAM-164/06</v>
          </cell>
          <cell r="S84" t="str">
            <v>BERRADA</v>
          </cell>
          <cell r="T84" t="str">
            <v>R2</v>
          </cell>
          <cell r="U84" t="str">
            <v>ORD</v>
          </cell>
          <cell r="V84" t="str">
            <v>DN</v>
          </cell>
          <cell r="W84" t="str">
            <v>T</v>
          </cell>
          <cell r="X84" t="str">
            <v>R</v>
          </cell>
        </row>
        <row r="85">
          <cell r="B85">
            <v>2834</v>
          </cell>
          <cell r="C85" t="str">
            <v>Equipement pour les ateliers mécanique</v>
          </cell>
          <cell r="D85">
            <v>0</v>
          </cell>
          <cell r="E85">
            <v>483000</v>
          </cell>
          <cell r="F85">
            <v>0</v>
          </cell>
          <cell r="G85">
            <v>0</v>
          </cell>
          <cell r="I85" t="str">
            <v>CONSUL</v>
          </cell>
          <cell r="J85" t="str">
            <v>AD</v>
          </cell>
          <cell r="K85" t="str">
            <v>DAM envoyée pour consultation</v>
          </cell>
          <cell r="L85">
            <v>94</v>
          </cell>
          <cell r="M85">
            <v>39139</v>
          </cell>
          <cell r="N85" t="str">
            <v>DAM-03/07</v>
          </cell>
          <cell r="O85">
            <v>5325</v>
          </cell>
          <cell r="S85" t="str">
            <v>CHNANI</v>
          </cell>
          <cell r="T85" t="str">
            <v>R2</v>
          </cell>
          <cell r="U85" t="str">
            <v>ORD</v>
          </cell>
          <cell r="V85" t="str">
            <v>DN</v>
          </cell>
          <cell r="W85" t="str">
            <v>T</v>
          </cell>
          <cell r="X85" t="str">
            <v>R</v>
          </cell>
        </row>
        <row r="86">
          <cell r="B86">
            <v>2834</v>
          </cell>
          <cell r="C86" t="str">
            <v>2 ÉCHELLES</v>
          </cell>
          <cell r="K86" t="str">
            <v xml:space="preserve"> N°22125 -5</v>
          </cell>
          <cell r="M86">
            <v>38679</v>
          </cell>
          <cell r="N86" t="str">
            <v>DAM-135/5</v>
          </cell>
          <cell r="S86" t="str">
            <v>CHNANI</v>
          </cell>
          <cell r="T86" t="str">
            <v>R2</v>
          </cell>
          <cell r="U86" t="str">
            <v>ORD</v>
          </cell>
          <cell r="V86" t="str">
            <v>DN</v>
          </cell>
          <cell r="W86" t="str">
            <v>T</v>
          </cell>
          <cell r="X86" t="str">
            <v>R</v>
          </cell>
        </row>
        <row r="87">
          <cell r="B87">
            <v>2834</v>
          </cell>
          <cell r="C87" t="str">
            <v xml:space="preserve">1 CHIGNOLE-1 CLÉ DYNAMO -1 NETTOYEUR - 1 ÉCHELLE- 5 VÉRINS </v>
          </cell>
          <cell r="S87" t="str">
            <v>CHNANI</v>
          </cell>
          <cell r="T87" t="str">
            <v>R2</v>
          </cell>
          <cell r="U87" t="str">
            <v>ORD</v>
          </cell>
          <cell r="V87" t="str">
            <v>DN</v>
          </cell>
          <cell r="W87" t="str">
            <v>T</v>
          </cell>
          <cell r="X87" t="str">
            <v>R</v>
          </cell>
        </row>
        <row r="88">
          <cell r="B88">
            <v>2835</v>
          </cell>
          <cell r="C88" t="str">
            <v>FOURNITURE, INSTALLATION ET MISE EN SERVICE D'UN SYSTEME DE CONTROLE, COMMANDE ET SUPERVISION AU COZ</v>
          </cell>
          <cell r="D88">
            <v>0</v>
          </cell>
          <cell r="E88">
            <v>7000000</v>
          </cell>
          <cell r="F88">
            <v>0</v>
          </cell>
          <cell r="G88">
            <v>0</v>
          </cell>
          <cell r="I88" t="str">
            <v>CHT</v>
          </cell>
          <cell r="J88" t="str">
            <v>PLM/M</v>
          </cell>
          <cell r="K88" t="str">
            <v>CHT pour attribution</v>
          </cell>
          <cell r="L88">
            <v>207</v>
          </cell>
          <cell r="M88">
            <v>39224</v>
          </cell>
          <cell r="N88" t="str">
            <v>DPM-01/04</v>
          </cell>
          <cell r="P88" t="str">
            <v>AO-9866/04</v>
          </cell>
          <cell r="S88" t="str">
            <v>BERRADA</v>
          </cell>
          <cell r="T88" t="str">
            <v>R2</v>
          </cell>
          <cell r="U88" t="str">
            <v>ORD</v>
          </cell>
          <cell r="V88" t="str">
            <v>DN</v>
          </cell>
          <cell r="W88" t="str">
            <v>T</v>
          </cell>
          <cell r="X88" t="str">
            <v>R</v>
          </cell>
        </row>
        <row r="89">
          <cell r="B89">
            <v>2836</v>
          </cell>
          <cell r="C89" t="str">
            <v>RN DES MOTEURS ELECTRIQUES POUR LES INSTALLATIONS DU COZ</v>
          </cell>
          <cell r="D89">
            <v>0</v>
          </cell>
          <cell r="E89">
            <v>90000</v>
          </cell>
          <cell r="F89">
            <v>0</v>
          </cell>
          <cell r="G89">
            <v>0</v>
          </cell>
          <cell r="I89" t="str">
            <v>CONSUL</v>
          </cell>
          <cell r="J89" t="str">
            <v>AD</v>
          </cell>
          <cell r="K89" t="str">
            <v>DAM envoyée pour consultation</v>
          </cell>
          <cell r="L89">
            <v>341</v>
          </cell>
          <cell r="M89">
            <v>39219</v>
          </cell>
          <cell r="N89" t="str">
            <v>DAM-06/05</v>
          </cell>
          <cell r="O89">
            <v>6801</v>
          </cell>
          <cell r="P89" t="str">
            <v>DP-62061/04</v>
          </cell>
          <cell r="S89" t="str">
            <v>BERRADA</v>
          </cell>
          <cell r="T89" t="str">
            <v>R2</v>
          </cell>
          <cell r="U89" t="str">
            <v>ORD</v>
          </cell>
          <cell r="V89" t="str">
            <v>RN</v>
          </cell>
          <cell r="W89" t="str">
            <v>T</v>
          </cell>
          <cell r="X89" t="str">
            <v>R</v>
          </cell>
        </row>
        <row r="90">
          <cell r="B90">
            <v>2837</v>
          </cell>
          <cell r="C90" t="str">
            <v>RN DES TRANSFORMATEURS AU PYRALENE INSTALLES DANS LES POSTES ELECTRIQUES AU COZ</v>
          </cell>
          <cell r="D90">
            <v>0</v>
          </cell>
          <cell r="E90">
            <v>320000</v>
          </cell>
          <cell r="F90">
            <v>0</v>
          </cell>
          <cell r="G90">
            <v>0</v>
          </cell>
          <cell r="I90" t="str">
            <v>AT.AE</v>
          </cell>
          <cell r="J90" t="str">
            <v>PFF/CI</v>
          </cell>
          <cell r="K90" t="str">
            <v>DAE N°2837-1de 167 436+"C" de 132 564dh -Attente DAE de 90 240 par CP -DIB" c" 390240DH-nlle DAM pour ATT le 08/12/2006</v>
          </cell>
          <cell r="L90">
            <v>582</v>
          </cell>
          <cell r="M90">
            <v>39021</v>
          </cell>
          <cell r="N90" t="str">
            <v>DAM- 02/05</v>
          </cell>
          <cell r="P90" t="str">
            <v>DP-45082/05</v>
          </cell>
          <cell r="S90" t="str">
            <v>BERRADA</v>
          </cell>
          <cell r="T90" t="str">
            <v>R2</v>
          </cell>
          <cell r="U90" t="str">
            <v>ORD</v>
          </cell>
          <cell r="V90" t="str">
            <v>RN</v>
          </cell>
          <cell r="W90" t="str">
            <v>T</v>
          </cell>
          <cell r="X90" t="str">
            <v>R</v>
          </cell>
        </row>
        <row r="91">
          <cell r="B91">
            <v>2838</v>
          </cell>
          <cell r="C91" t="str">
            <v>ACQUISITION D'UN REFRIGERATEUR DE 275 LITRES</v>
          </cell>
          <cell r="D91">
            <v>6000</v>
          </cell>
          <cell r="E91">
            <v>6000</v>
          </cell>
          <cell r="F91">
            <v>0</v>
          </cell>
          <cell r="G91">
            <v>0</v>
          </cell>
          <cell r="I91" t="str">
            <v>CONSUL</v>
          </cell>
          <cell r="J91" t="str">
            <v>AD</v>
          </cell>
          <cell r="K91" t="str">
            <v>DAM envoyée pour consultation</v>
          </cell>
          <cell r="L91">
            <v>177</v>
          </cell>
          <cell r="M91">
            <v>39161</v>
          </cell>
          <cell r="N91" t="str">
            <v>DAM-143/07</v>
          </cell>
          <cell r="O91">
            <v>6018</v>
          </cell>
          <cell r="S91" t="str">
            <v>OUHMIZ</v>
          </cell>
          <cell r="T91" t="str">
            <v>R6</v>
          </cell>
          <cell r="U91" t="str">
            <v>ADM</v>
          </cell>
          <cell r="V91" t="str">
            <v>DN</v>
          </cell>
          <cell r="W91" t="str">
            <v>AK</v>
          </cell>
          <cell r="X91" t="str">
            <v>R</v>
          </cell>
        </row>
        <row r="92">
          <cell r="B92">
            <v>2842</v>
          </cell>
          <cell r="C92" t="str">
            <v>RENOUVELLEMENT DES EQUIPEMENTS DES CUISINES DES ETABLISSEMENTS SOCIAUX DE PMK / AK / S</v>
          </cell>
          <cell r="D92">
            <v>432575</v>
          </cell>
          <cell r="E92">
            <v>432575</v>
          </cell>
          <cell r="F92">
            <v>0</v>
          </cell>
          <cell r="G92">
            <v>0</v>
          </cell>
          <cell r="I92" t="str">
            <v>CONSUL</v>
          </cell>
          <cell r="J92" t="str">
            <v>CP</v>
          </cell>
          <cell r="K92" t="str">
            <v>DAM en retour a regrouper en une seule DAM</v>
          </cell>
          <cell r="L92">
            <v>559</v>
          </cell>
          <cell r="M92">
            <v>39017</v>
          </cell>
          <cell r="N92" t="str">
            <v>DAM-05/06</v>
          </cell>
          <cell r="S92" t="str">
            <v>DERDAKI</v>
          </cell>
          <cell r="T92" t="str">
            <v>R6</v>
          </cell>
          <cell r="U92" t="str">
            <v>SOC</v>
          </cell>
          <cell r="V92" t="str">
            <v>RN</v>
          </cell>
          <cell r="W92" t="str">
            <v>AK</v>
          </cell>
          <cell r="X92" t="str">
            <v>R</v>
          </cell>
        </row>
        <row r="93">
          <cell r="B93">
            <v>2843</v>
          </cell>
          <cell r="C93" t="str">
            <v>ACQUISITION D'EQUIPEMENTS POUR RESTAURANTS DES ETABLISSEMENTS SOCIAUX DE PMK / AK / S</v>
          </cell>
          <cell r="D93">
            <v>356042.5</v>
          </cell>
          <cell r="E93">
            <v>356042.5</v>
          </cell>
          <cell r="F93">
            <v>0</v>
          </cell>
          <cell r="G93">
            <v>0</v>
          </cell>
          <cell r="I93" t="str">
            <v>CONSUL</v>
          </cell>
          <cell r="J93" t="str">
            <v>AD</v>
          </cell>
          <cell r="K93" t="str">
            <v>DAM envoyée pour consultation</v>
          </cell>
          <cell r="L93">
            <v>137</v>
          </cell>
          <cell r="M93">
            <v>39153</v>
          </cell>
          <cell r="N93" t="str">
            <v>DAM - 19/06</v>
          </cell>
          <cell r="O93">
            <v>1149</v>
          </cell>
          <cell r="S93" t="str">
            <v>DERDAKI</v>
          </cell>
          <cell r="T93" t="str">
            <v>R6</v>
          </cell>
          <cell r="U93" t="str">
            <v>SOC</v>
          </cell>
          <cell r="V93" t="str">
            <v>RN</v>
          </cell>
          <cell r="W93" t="str">
            <v>AK</v>
          </cell>
          <cell r="X93" t="str">
            <v>R</v>
          </cell>
        </row>
        <row r="94">
          <cell r="B94">
            <v>2847</v>
          </cell>
          <cell r="C94" t="str">
            <v>ACQUISITION D'EQUIPEMENTS DE SPORT POUR PMK / AK / S</v>
          </cell>
          <cell r="D94">
            <v>467726.6</v>
          </cell>
          <cell r="E94">
            <v>467726.6</v>
          </cell>
          <cell r="F94">
            <v>0</v>
          </cell>
          <cell r="G94">
            <v>0</v>
          </cell>
          <cell r="K94" t="str">
            <v>AE N°IV-2847-1 &amp; IV 2847-2 du 06/02/2007</v>
          </cell>
          <cell r="M94">
            <v>39119</v>
          </cell>
          <cell r="N94" t="str">
            <v>DAM-10/04</v>
          </cell>
          <cell r="P94" t="str">
            <v>DP-4711</v>
          </cell>
          <cell r="S94" t="str">
            <v>DERDAKI</v>
          </cell>
          <cell r="T94" t="str">
            <v>R6</v>
          </cell>
          <cell r="U94" t="str">
            <v>SOC</v>
          </cell>
          <cell r="V94" t="str">
            <v>DN</v>
          </cell>
          <cell r="W94" t="str">
            <v>AK</v>
          </cell>
          <cell r="X94" t="str">
            <v>R</v>
          </cell>
        </row>
        <row r="95">
          <cell r="B95">
            <v>2852</v>
          </cell>
          <cell r="C95" t="str">
            <v>ACHAT D'UNE ARMOIRE DE CLIMATISEUR AVEC MICRO PROCESSEUR</v>
          </cell>
          <cell r="D95">
            <v>150000</v>
          </cell>
          <cell r="E95">
            <v>150000</v>
          </cell>
          <cell r="F95">
            <v>0</v>
          </cell>
          <cell r="G95">
            <v>0</v>
          </cell>
          <cell r="I95" t="str">
            <v>CHT</v>
          </cell>
          <cell r="J95" t="str">
            <v>AD</v>
          </cell>
          <cell r="K95" t="str">
            <v>CHT envoyé pour attribution</v>
          </cell>
          <cell r="L95">
            <v>152</v>
          </cell>
          <cell r="M95">
            <v>39156</v>
          </cell>
          <cell r="N95" t="str">
            <v>DAM-16/06</v>
          </cell>
          <cell r="S95" t="str">
            <v>BENZAKI</v>
          </cell>
          <cell r="T95" t="str">
            <v>R3</v>
          </cell>
          <cell r="U95" t="str">
            <v>ORD</v>
          </cell>
          <cell r="V95" t="str">
            <v>DN</v>
          </cell>
          <cell r="W95" t="str">
            <v>L</v>
          </cell>
          <cell r="X95" t="str">
            <v>R</v>
          </cell>
        </row>
        <row r="96">
          <cell r="B96">
            <v>2852</v>
          </cell>
          <cell r="C96" t="str">
            <v>Fourniture et pose de 04 humidificateurs et 04 climatisseurs au labo</v>
          </cell>
          <cell r="F96">
            <v>0</v>
          </cell>
          <cell r="G96">
            <v>0</v>
          </cell>
          <cell r="I96" t="str">
            <v>CONSUL</v>
          </cell>
          <cell r="J96" t="str">
            <v>AD</v>
          </cell>
          <cell r="K96" t="str">
            <v>DAM envoyée pour consultation</v>
          </cell>
          <cell r="L96" t="str">
            <v>454
453</v>
          </cell>
          <cell r="M96">
            <v>38924</v>
          </cell>
          <cell r="N96" t="str">
            <v>DAM-05-06-07/07</v>
          </cell>
          <cell r="S96" t="str">
            <v>BENZAKI</v>
          </cell>
          <cell r="T96" t="str">
            <v>R3</v>
          </cell>
          <cell r="U96" t="str">
            <v>ORD</v>
          </cell>
          <cell r="V96" t="str">
            <v>DN</v>
          </cell>
          <cell r="W96" t="str">
            <v>L</v>
          </cell>
          <cell r="X96" t="str">
            <v>R</v>
          </cell>
        </row>
        <row r="97">
          <cell r="B97">
            <v>2857</v>
          </cell>
          <cell r="C97" t="str">
            <v>ACHAT DU MATERIEL DE BUREAUX</v>
          </cell>
          <cell r="D97">
            <v>400000</v>
          </cell>
          <cell r="E97">
            <v>400000</v>
          </cell>
          <cell r="F97">
            <v>0</v>
          </cell>
          <cell r="G97">
            <v>0</v>
          </cell>
          <cell r="I97" t="str">
            <v>AVIS</v>
          </cell>
          <cell r="J97" t="str">
            <v>PFF/CI</v>
          </cell>
          <cell r="K97" t="str">
            <v>Attente avis en vue d'établir la DAC</v>
          </cell>
          <cell r="L97">
            <v>47</v>
          </cell>
          <cell r="M97">
            <v>38724</v>
          </cell>
          <cell r="N97" t="str">
            <v>DAM-19/04</v>
          </cell>
          <cell r="P97" t="str">
            <v>DP-61126/4</v>
          </cell>
          <cell r="S97" t="str">
            <v>BOUZZIT</v>
          </cell>
          <cell r="T97" t="str">
            <v>R6</v>
          </cell>
          <cell r="U97" t="str">
            <v>ADM</v>
          </cell>
          <cell r="V97" t="str">
            <v>DN</v>
          </cell>
          <cell r="W97" t="str">
            <v>L</v>
          </cell>
          <cell r="X97" t="str">
            <v>R</v>
          </cell>
        </row>
        <row r="98">
          <cell r="B98">
            <v>2858</v>
          </cell>
          <cell r="C98" t="str">
            <v>RN DES BASCULES INTEGRATRICES POUR LES INSTALLATIONS DU COZ</v>
          </cell>
          <cell r="D98">
            <v>345825</v>
          </cell>
          <cell r="E98">
            <v>300000</v>
          </cell>
          <cell r="F98">
            <v>0</v>
          </cell>
          <cell r="G98">
            <v>0</v>
          </cell>
          <cell r="K98" t="str">
            <v>AE ( C ) N° IV 2858-1 de 151 820,54 DH, avec accord DG</v>
          </cell>
          <cell r="M98">
            <v>39030</v>
          </cell>
          <cell r="N98" t="str">
            <v>DAM-08/04</v>
          </cell>
          <cell r="P98" t="str">
            <v>DP-62123/04</v>
          </cell>
          <cell r="S98" t="str">
            <v>BERRADA</v>
          </cell>
          <cell r="T98" t="str">
            <v>R2</v>
          </cell>
          <cell r="U98" t="str">
            <v>ORD</v>
          </cell>
          <cell r="V98" t="str">
            <v>RN</v>
          </cell>
          <cell r="W98" t="str">
            <v>T</v>
          </cell>
          <cell r="X98" t="str">
            <v>R</v>
          </cell>
        </row>
        <row r="99">
          <cell r="B99">
            <v>2861</v>
          </cell>
          <cell r="C99" t="str">
            <v>ACHAT DES BASCULES INTEGRATRICES POUR LES INSTALLATIONS DU COZ</v>
          </cell>
          <cell r="D99">
            <v>228916</v>
          </cell>
          <cell r="E99">
            <v>200000</v>
          </cell>
          <cell r="F99">
            <v>0</v>
          </cell>
          <cell r="G99">
            <v>0</v>
          </cell>
          <cell r="K99" t="str">
            <v>AE N°-22225-1 de 462048,34 dhAE ( c ) IV 2861-1 de 28915,87 DH</v>
          </cell>
          <cell r="M99">
            <v>38994</v>
          </cell>
          <cell r="N99" t="str">
            <v>DAM-09/04</v>
          </cell>
          <cell r="P99" t="str">
            <v>DP-62123/04</v>
          </cell>
          <cell r="S99" t="str">
            <v>BERRADA</v>
          </cell>
          <cell r="T99" t="str">
            <v>R2</v>
          </cell>
          <cell r="U99" t="str">
            <v>ORD</v>
          </cell>
          <cell r="V99" t="str">
            <v>DN</v>
          </cell>
          <cell r="W99" t="str">
            <v>T</v>
          </cell>
          <cell r="X99" t="str">
            <v>R</v>
          </cell>
        </row>
        <row r="100">
          <cell r="B100">
            <v>2862</v>
          </cell>
          <cell r="C100" t="str">
            <v>ACHAT DE 9 CONVERTISSEURS DE FREQUENCE POUR LES INSTALLATIONS DU COZ</v>
          </cell>
          <cell r="D100">
            <v>4300538</v>
          </cell>
          <cell r="E100">
            <v>1260000</v>
          </cell>
          <cell r="F100">
            <v>0</v>
          </cell>
          <cell r="G100">
            <v>0</v>
          </cell>
          <cell r="K100" t="str">
            <v>AE N° IV 2862-1 de 3040538,10 DH</v>
          </cell>
          <cell r="M100">
            <v>38972</v>
          </cell>
          <cell r="N100" t="str">
            <v>DAM-11/04</v>
          </cell>
          <cell r="P100" t="str">
            <v>DP- 62087/4</v>
          </cell>
          <cell r="S100" t="str">
            <v>BERRADA</v>
          </cell>
          <cell r="T100" t="str">
            <v>R2</v>
          </cell>
          <cell r="U100" t="str">
            <v>ORD</v>
          </cell>
          <cell r="V100" t="str">
            <v>DN</v>
          </cell>
          <cell r="W100" t="str">
            <v>T</v>
          </cell>
          <cell r="X100" t="str">
            <v>R</v>
          </cell>
        </row>
        <row r="101">
          <cell r="B101">
            <v>2863</v>
          </cell>
          <cell r="C101" t="str">
            <v>ACHAT D'UNE TIREUSE DE PLANS POUR BUREAU D' ETUDE</v>
          </cell>
          <cell r="D101">
            <v>0</v>
          </cell>
          <cell r="E101">
            <v>60000</v>
          </cell>
          <cell r="F101">
            <v>0</v>
          </cell>
          <cell r="G101">
            <v>0</v>
          </cell>
          <cell r="I101" t="str">
            <v>AE NEG</v>
          </cell>
          <cell r="J101" t="str">
            <v>CP</v>
          </cell>
          <cell r="K101" t="str">
            <v>AE d'annulation N°-2863-1transmise au CP</v>
          </cell>
          <cell r="M101">
            <v>39125</v>
          </cell>
          <cell r="N101" t="str">
            <v>DAM-69/05</v>
          </cell>
          <cell r="P101" t="str">
            <v>DP-45170/05</v>
          </cell>
          <cell r="S101" t="str">
            <v>OUAMALICH</v>
          </cell>
          <cell r="T101" t="str">
            <v>R2</v>
          </cell>
          <cell r="U101" t="str">
            <v>ORD</v>
          </cell>
          <cell r="V101" t="str">
            <v>DN</v>
          </cell>
          <cell r="W101" t="str">
            <v>T</v>
          </cell>
          <cell r="X101" t="str">
            <v>R</v>
          </cell>
        </row>
        <row r="102">
          <cell r="B102">
            <v>2864</v>
          </cell>
          <cell r="C102" t="str">
            <v>TREMIE A L'EXTENSION ZONE CENTRALE SUD</v>
          </cell>
          <cell r="D102">
            <v>89000000</v>
          </cell>
          <cell r="E102">
            <v>100000000</v>
          </cell>
          <cell r="F102">
            <v>74000000</v>
          </cell>
          <cell r="G102">
            <v>0</v>
          </cell>
          <cell r="H102">
            <v>1146420</v>
          </cell>
          <cell r="I102" t="str">
            <v>AT.AE</v>
          </cell>
          <cell r="J102" t="str">
            <v>AD</v>
          </cell>
          <cell r="K102" t="str">
            <v>DAL aprouvée par  DG -Projet de convention adressé à DSD. DAC approuvée par M le DG</v>
          </cell>
          <cell r="L102">
            <v>412</v>
          </cell>
          <cell r="M102">
            <v>39261</v>
          </cell>
          <cell r="N102" t="str">
            <v>DPM-3086/06</v>
          </cell>
          <cell r="S102" t="str">
            <v>NAJAM</v>
          </cell>
          <cell r="T102" t="str">
            <v>R1</v>
          </cell>
          <cell r="U102" t="str">
            <v>IMP</v>
          </cell>
          <cell r="V102" t="str">
            <v>DN</v>
          </cell>
          <cell r="W102" t="str">
            <v>P</v>
          </cell>
          <cell r="X102" t="str">
            <v>R</v>
          </cell>
        </row>
        <row r="103">
          <cell r="B103">
            <v>2865</v>
          </cell>
          <cell r="C103" t="str">
            <v>TREMIE AU PANNEAU  SIDI CHENNANE</v>
          </cell>
          <cell r="D103">
            <v>40000000</v>
          </cell>
          <cell r="E103">
            <v>200000000</v>
          </cell>
          <cell r="F103">
            <v>100000000</v>
          </cell>
          <cell r="G103">
            <v>0</v>
          </cell>
          <cell r="H103">
            <v>12842257.33</v>
          </cell>
          <cell r="I103" t="str">
            <v>LETTRE</v>
          </cell>
          <cell r="J103" t="str">
            <v>CP</v>
          </cell>
          <cell r="K103" t="str">
            <v>Lettre accordée par DG de 40MDHVoir               détail sur la feuille proj important</v>
          </cell>
          <cell r="L103" t="str">
            <v>PLI</v>
          </cell>
          <cell r="M103">
            <v>39212</v>
          </cell>
          <cell r="S103" t="str">
            <v>AMRAOUZA</v>
          </cell>
          <cell r="T103" t="str">
            <v>R1</v>
          </cell>
          <cell r="U103" t="str">
            <v>IMP</v>
          </cell>
          <cell r="V103" t="str">
            <v>DN</v>
          </cell>
          <cell r="W103" t="str">
            <v>P</v>
          </cell>
          <cell r="X103" t="str">
            <v>R</v>
          </cell>
        </row>
        <row r="104">
          <cell r="B104">
            <v>2868</v>
          </cell>
          <cell r="C104" t="str">
            <v>ACHAT DE 03 CAMIONS GRUES</v>
          </cell>
          <cell r="D104">
            <v>0</v>
          </cell>
          <cell r="E104">
            <v>4200000</v>
          </cell>
          <cell r="F104">
            <v>0</v>
          </cell>
          <cell r="G104">
            <v>0</v>
          </cell>
          <cell r="I104" t="str">
            <v>CT</v>
          </cell>
          <cell r="J104" t="str">
            <v>DAC/TM</v>
          </cell>
          <cell r="K104" t="str">
            <v>En reponse aux remarques DAC</v>
          </cell>
          <cell r="L104" t="str">
            <v>PM-104</v>
          </cell>
          <cell r="M104">
            <v>39300</v>
          </cell>
          <cell r="N104" t="str">
            <v>DAM-7034/6</v>
          </cell>
          <cell r="S104" t="str">
            <v>CHARKI</v>
          </cell>
          <cell r="T104" t="str">
            <v>R2</v>
          </cell>
          <cell r="U104" t="str">
            <v>ORD</v>
          </cell>
          <cell r="V104" t="str">
            <v>RN</v>
          </cell>
          <cell r="W104" t="str">
            <v>P</v>
          </cell>
          <cell r="X104" t="str">
            <v>R</v>
          </cell>
        </row>
        <row r="105">
          <cell r="B105">
            <v>2869</v>
          </cell>
          <cell r="C105" t="str">
            <v>RENOUVELLEMENT D'UN CAMION DE RAVITAILLEMENT</v>
          </cell>
          <cell r="D105">
            <v>0</v>
          </cell>
          <cell r="E105">
            <v>5000000</v>
          </cell>
          <cell r="F105">
            <v>0</v>
          </cell>
          <cell r="G105">
            <v>0</v>
          </cell>
          <cell r="I105" t="str">
            <v>CT</v>
          </cell>
          <cell r="J105" t="str">
            <v>CP</v>
          </cell>
          <cell r="K105" t="str">
            <v>DAM envoyée pour CT</v>
          </cell>
          <cell r="L105">
            <v>87</v>
          </cell>
          <cell r="M105">
            <v>39136</v>
          </cell>
          <cell r="N105" t="str">
            <v>DAM-7039/07</v>
          </cell>
          <cell r="S105" t="str">
            <v>HALMI</v>
          </cell>
          <cell r="T105" t="str">
            <v>R2</v>
          </cell>
          <cell r="U105" t="str">
            <v>ORD</v>
          </cell>
          <cell r="V105" t="str">
            <v>RN</v>
          </cell>
          <cell r="W105" t="str">
            <v>P</v>
          </cell>
          <cell r="X105" t="str">
            <v>R</v>
          </cell>
        </row>
        <row r="106">
          <cell r="B106">
            <v>2870</v>
          </cell>
          <cell r="C106" t="str">
            <v>ACHAT D'UN GRAPIN POUR TREMIE</v>
          </cell>
          <cell r="D106">
            <v>0</v>
          </cell>
          <cell r="E106">
            <v>2400000</v>
          </cell>
          <cell r="F106">
            <v>0</v>
          </cell>
          <cell r="G106">
            <v>0</v>
          </cell>
          <cell r="I106" t="str">
            <v>CONSUL</v>
          </cell>
          <cell r="J106" t="str">
            <v>PLM</v>
          </cell>
          <cell r="K106" t="str">
            <v>DAM envoyée pour consultation</v>
          </cell>
          <cell r="L106">
            <v>279</v>
          </cell>
          <cell r="M106">
            <v>39266</v>
          </cell>
          <cell r="N106" t="str">
            <v>DAM - 7037</v>
          </cell>
          <cell r="O106">
            <v>2470</v>
          </cell>
          <cell r="S106" t="str">
            <v>MAHSOUN</v>
          </cell>
          <cell r="T106" t="str">
            <v>R2</v>
          </cell>
          <cell r="U106" t="str">
            <v>ORD</v>
          </cell>
          <cell r="V106" t="str">
            <v>RN</v>
          </cell>
          <cell r="W106" t="str">
            <v>P</v>
          </cell>
          <cell r="X106" t="str">
            <v>R</v>
          </cell>
        </row>
        <row r="107">
          <cell r="B107">
            <v>2872</v>
          </cell>
          <cell r="C107" t="str">
            <v>ACHAT D'UNE NIVELEUSE AUTOMOTRICE</v>
          </cell>
          <cell r="D107">
            <v>0</v>
          </cell>
          <cell r="E107">
            <v>6000000</v>
          </cell>
          <cell r="F107">
            <v>0</v>
          </cell>
          <cell r="G107">
            <v>0</v>
          </cell>
          <cell r="S107" t="str">
            <v>EL KASSI</v>
          </cell>
          <cell r="T107" t="str">
            <v>R2</v>
          </cell>
          <cell r="U107" t="str">
            <v>ORD</v>
          </cell>
          <cell r="V107" t="str">
            <v>RN</v>
          </cell>
          <cell r="W107" t="str">
            <v>P</v>
          </cell>
          <cell r="X107" t="str">
            <v>R</v>
          </cell>
        </row>
        <row r="108">
          <cell r="B108">
            <v>2873</v>
          </cell>
          <cell r="C108" t="str">
            <v>ACHAT DE 02 MOTEURS THERMIQUES 1600 HP</v>
          </cell>
          <cell r="D108">
            <v>1000000</v>
          </cell>
          <cell r="E108">
            <v>1000000</v>
          </cell>
          <cell r="F108">
            <v>0</v>
          </cell>
          <cell r="G108">
            <v>0</v>
          </cell>
          <cell r="K108" t="str">
            <v xml:space="preserve">AE N°2873-1( C ) de 844513,83 DH. </v>
          </cell>
          <cell r="M108">
            <v>39030</v>
          </cell>
          <cell r="N108" t="str">
            <v>DAM-2431/04</v>
          </cell>
          <cell r="P108" t="str">
            <v>DP-61078/04</v>
          </cell>
          <cell r="Q108">
            <v>4360000</v>
          </cell>
          <cell r="R108" t="str">
            <v>07 du 24/07/2007</v>
          </cell>
          <cell r="S108" t="str">
            <v>KHOUILI</v>
          </cell>
          <cell r="T108" t="str">
            <v>R2</v>
          </cell>
          <cell r="U108" t="str">
            <v>ORD</v>
          </cell>
          <cell r="V108" t="str">
            <v>RN</v>
          </cell>
          <cell r="W108" t="str">
            <v>P</v>
          </cell>
          <cell r="X108" t="str">
            <v>R</v>
          </cell>
        </row>
        <row r="109">
          <cell r="B109">
            <v>2878</v>
          </cell>
          <cell r="C109" t="str">
            <v>ACHAT 02 COMPRESSEURS A VIS SULLAIR  ET D' UN COMPRESSEUR A VIS INGERSOLLAND</v>
          </cell>
          <cell r="D109">
            <v>1500000</v>
          </cell>
          <cell r="E109">
            <v>1500000</v>
          </cell>
          <cell r="F109">
            <v>0</v>
          </cell>
          <cell r="G109">
            <v>0</v>
          </cell>
          <cell r="I109" t="str">
            <v>CHT</v>
          </cell>
          <cell r="J109" t="str">
            <v>CP</v>
          </cell>
          <cell r="K109" t="str">
            <v>CHT retourné au CP suite aux remarques DSD/TM -539</v>
          </cell>
          <cell r="L109">
            <v>599</v>
          </cell>
          <cell r="M109">
            <v>39042</v>
          </cell>
          <cell r="N109" t="str">
            <v>DAM-6037</v>
          </cell>
          <cell r="P109" t="str">
            <v>DP-61026/06</v>
          </cell>
          <cell r="S109" t="str">
            <v>HALMI</v>
          </cell>
          <cell r="T109" t="str">
            <v>R3</v>
          </cell>
          <cell r="U109" t="str">
            <v>ORD</v>
          </cell>
          <cell r="V109" t="str">
            <v>DN</v>
          </cell>
          <cell r="W109" t="str">
            <v>P</v>
          </cell>
          <cell r="X109" t="str">
            <v>R</v>
          </cell>
        </row>
        <row r="110">
          <cell r="B110">
            <v>2882</v>
          </cell>
          <cell r="C110" t="str">
            <v>ACHAT D'UN MOTEUR ELECTRIQUE 230 KW - 460 V</v>
          </cell>
          <cell r="D110">
            <v>480000</v>
          </cell>
          <cell r="E110">
            <v>480000</v>
          </cell>
          <cell r="F110">
            <v>0</v>
          </cell>
          <cell r="G110">
            <v>0</v>
          </cell>
          <cell r="I110" t="str">
            <v>CONSUL</v>
          </cell>
          <cell r="J110" t="str">
            <v>AD</v>
          </cell>
          <cell r="K110" t="str">
            <v>DAM envoyée pour consultation</v>
          </cell>
          <cell r="L110">
            <v>465</v>
          </cell>
          <cell r="M110">
            <v>38961</v>
          </cell>
          <cell r="N110" t="str">
            <v>DAM-6083/6</v>
          </cell>
          <cell r="S110" t="str">
            <v>BOUTABBA</v>
          </cell>
          <cell r="T110" t="str">
            <v>R3</v>
          </cell>
          <cell r="U110" t="str">
            <v>ORD</v>
          </cell>
          <cell r="V110" t="str">
            <v>DN</v>
          </cell>
          <cell r="W110" t="str">
            <v>P</v>
          </cell>
          <cell r="X110" t="str">
            <v>R</v>
          </cell>
        </row>
        <row r="111">
          <cell r="B111">
            <v>2884</v>
          </cell>
          <cell r="C111" t="str">
            <v>UN ENSEMBLE DE REDUCTEUR DE COUPLE DE SERRAGE</v>
          </cell>
          <cell r="D111">
            <v>400000</v>
          </cell>
          <cell r="E111">
            <v>400000</v>
          </cell>
          <cell r="F111">
            <v>0</v>
          </cell>
          <cell r="G111">
            <v>0</v>
          </cell>
          <cell r="I111" t="str">
            <v>CONSUL</v>
          </cell>
          <cell r="J111" t="str">
            <v>AD</v>
          </cell>
          <cell r="K111" t="str">
            <v>DAM envoyée pour consultation</v>
          </cell>
          <cell r="L111">
            <v>93</v>
          </cell>
          <cell r="M111">
            <v>39139</v>
          </cell>
          <cell r="N111" t="str">
            <v>DAM-6097</v>
          </cell>
          <cell r="O111">
            <v>5183</v>
          </cell>
          <cell r="S111" t="str">
            <v>HASSAR</v>
          </cell>
          <cell r="T111" t="str">
            <v>R3</v>
          </cell>
          <cell r="U111" t="str">
            <v>ORD</v>
          </cell>
          <cell r="V111" t="str">
            <v>DN</v>
          </cell>
          <cell r="W111" t="str">
            <v>P</v>
          </cell>
          <cell r="X111" t="str">
            <v>R</v>
          </cell>
        </row>
        <row r="112">
          <cell r="B112">
            <v>2885</v>
          </cell>
          <cell r="C112" t="str">
            <v>1 ENSEMBLE CASSE-ÉCROU</v>
          </cell>
          <cell r="D112">
            <v>350000</v>
          </cell>
          <cell r="E112">
            <v>350000</v>
          </cell>
          <cell r="F112">
            <v>0</v>
          </cell>
          <cell r="G112">
            <v>0</v>
          </cell>
          <cell r="I112" t="str">
            <v>CONSUL</v>
          </cell>
          <cell r="J112" t="str">
            <v>PFM/AC</v>
          </cell>
          <cell r="K112" t="str">
            <v>DAM envoyée pour consultation</v>
          </cell>
          <cell r="M112">
            <v>38447</v>
          </cell>
          <cell r="N112" t="str">
            <v>DAM-2562/05</v>
          </cell>
          <cell r="P112" t="str">
            <v>DP-4610/04</v>
          </cell>
          <cell r="S112" t="str">
            <v>EL BOUCHRIFI</v>
          </cell>
          <cell r="T112" t="str">
            <v>R3</v>
          </cell>
          <cell r="U112" t="str">
            <v>ORD</v>
          </cell>
          <cell r="V112" t="str">
            <v>DN</v>
          </cell>
          <cell r="W112" t="str">
            <v>P</v>
          </cell>
          <cell r="X112" t="str">
            <v>R</v>
          </cell>
        </row>
        <row r="113">
          <cell r="B113">
            <v>2885</v>
          </cell>
          <cell r="C113" t="str">
            <v xml:space="preserve">4 CLÉS DYNAMOMÉTRIQUES </v>
          </cell>
          <cell r="K113" t="str">
            <v>AE N° 22264-2 &amp; 22264-3-CDE-0034902950-</v>
          </cell>
          <cell r="M113">
            <v>38575</v>
          </cell>
          <cell r="N113" t="str">
            <v>DAM-2419/04</v>
          </cell>
          <cell r="P113" t="str">
            <v>DP-4610/04</v>
          </cell>
          <cell r="S113" t="str">
            <v>EL BOUCHRIFI</v>
          </cell>
          <cell r="T113" t="str">
            <v>R3</v>
          </cell>
          <cell r="U113" t="str">
            <v>ORD</v>
          </cell>
          <cell r="V113" t="str">
            <v>DN</v>
          </cell>
          <cell r="W113" t="str">
            <v>P</v>
          </cell>
          <cell r="X113" t="str">
            <v>R</v>
          </cell>
        </row>
        <row r="114">
          <cell r="B114">
            <v>2885</v>
          </cell>
          <cell r="C114" t="str">
            <v>1 PIED  À  COULISSE NUMÉRIQUE 150 MM</v>
          </cell>
          <cell r="K114" t="str">
            <v>AE N°-22264-4</v>
          </cell>
          <cell r="M114">
            <v>38622</v>
          </cell>
          <cell r="N114" t="str">
            <v>DAM-2533/05</v>
          </cell>
          <cell r="P114" t="str">
            <v>DP-45087/05</v>
          </cell>
          <cell r="S114" t="str">
            <v>EL BOUCHRIFI</v>
          </cell>
          <cell r="T114" t="str">
            <v>R3</v>
          </cell>
          <cell r="U114" t="str">
            <v>ORD</v>
          </cell>
          <cell r="V114" t="str">
            <v>DN</v>
          </cell>
          <cell r="W114" t="str">
            <v>P</v>
          </cell>
          <cell r="X114" t="str">
            <v>R</v>
          </cell>
        </row>
        <row r="115">
          <cell r="B115">
            <v>2886</v>
          </cell>
          <cell r="C115" t="str">
            <v xml:space="preserve">1 PERCEUSE PNEUMATIQUE </v>
          </cell>
          <cell r="D115">
            <v>5000</v>
          </cell>
          <cell r="E115">
            <v>5000</v>
          </cell>
          <cell r="F115">
            <v>0</v>
          </cell>
          <cell r="G115">
            <v>0</v>
          </cell>
          <cell r="I115" t="str">
            <v>AT.AE</v>
          </cell>
          <cell r="J115" t="str">
            <v>PFF/CI</v>
          </cell>
          <cell r="K115" t="str">
            <v>AE N°-22265-4 C DAE N°22265_5 de 3763,20 dh</v>
          </cell>
          <cell r="L115">
            <v>866</v>
          </cell>
          <cell r="M115">
            <v>38715</v>
          </cell>
          <cell r="N115" t="str">
            <v>DAM-2535/05</v>
          </cell>
          <cell r="P115" t="str">
            <v>DP-4724/04</v>
          </cell>
          <cell r="S115" t="str">
            <v>SABRI</v>
          </cell>
          <cell r="T115" t="str">
            <v>R3</v>
          </cell>
          <cell r="U115" t="str">
            <v>ORD</v>
          </cell>
          <cell r="V115" t="str">
            <v>DN</v>
          </cell>
          <cell r="W115" t="str">
            <v>P</v>
          </cell>
          <cell r="X115" t="str">
            <v>R</v>
          </cell>
        </row>
        <row r="116">
          <cell r="B116">
            <v>2886</v>
          </cell>
          <cell r="C116" t="str">
            <v>1  MEULEUSE ÉLECTRIQUE ET 01 MEULEUSE  PNEUMATIQUE</v>
          </cell>
          <cell r="K116" t="str">
            <v>AE N°22265-1  ET 22265-3 DU 24/08/04 cde 00349019 du 06/10/04 CRR N° 21.AE Négative de 2520,00 dh</v>
          </cell>
          <cell r="L116">
            <v>824</v>
          </cell>
          <cell r="M116">
            <v>38691</v>
          </cell>
          <cell r="N116" t="str">
            <v>DAM-2420/04</v>
          </cell>
          <cell r="P116" t="str">
            <v>DP- 45151/05</v>
          </cell>
          <cell r="S116" t="str">
            <v>SABRI</v>
          </cell>
          <cell r="T116" t="str">
            <v>R3</v>
          </cell>
          <cell r="U116" t="str">
            <v>ORD</v>
          </cell>
          <cell r="V116" t="str">
            <v>DN</v>
          </cell>
          <cell r="W116" t="str">
            <v>P</v>
          </cell>
          <cell r="X116" t="str">
            <v>R</v>
          </cell>
        </row>
        <row r="117">
          <cell r="B117">
            <v>2886</v>
          </cell>
          <cell r="C117" t="str">
            <v>1  MEULEUSE PNEUMATIQUE</v>
          </cell>
          <cell r="K117" t="str">
            <v xml:space="preserve">AE N°22265-2  DU 24/08/04. Comde n° 00349019-40.DAE négative envoyée à PFF/CI </v>
          </cell>
          <cell r="L117">
            <v>824</v>
          </cell>
          <cell r="M117">
            <v>38691</v>
          </cell>
          <cell r="N117" t="str">
            <v>DAM-2420/04</v>
          </cell>
          <cell r="P117" t="str">
            <v>DP- 45151/05</v>
          </cell>
          <cell r="S117" t="str">
            <v>SABRI</v>
          </cell>
          <cell r="T117" t="str">
            <v>R3</v>
          </cell>
          <cell r="U117" t="str">
            <v>ORD</v>
          </cell>
          <cell r="V117" t="str">
            <v>DN</v>
          </cell>
          <cell r="W117" t="str">
            <v>P</v>
          </cell>
          <cell r="X117" t="str">
            <v>R</v>
          </cell>
        </row>
        <row r="118">
          <cell r="B118">
            <v>2888</v>
          </cell>
          <cell r="C118" t="str">
            <v>RN DE 3 TREUILS ELECTRIQUES POUR LES CONVOYEURS</v>
          </cell>
          <cell r="D118">
            <v>700000</v>
          </cell>
          <cell r="E118">
            <v>700000</v>
          </cell>
          <cell r="F118">
            <v>0</v>
          </cell>
          <cell r="G118">
            <v>0</v>
          </cell>
          <cell r="I118" t="str">
            <v>CONSUL</v>
          </cell>
          <cell r="J118" t="str">
            <v>AD</v>
          </cell>
          <cell r="K118" t="str">
            <v>DAM envoyée pour consultation</v>
          </cell>
          <cell r="L118">
            <v>398</v>
          </cell>
          <cell r="M118">
            <v>38925</v>
          </cell>
          <cell r="N118" t="str">
            <v>DAM-136-140/6</v>
          </cell>
          <cell r="P118" t="str">
            <v>DP-45209/5</v>
          </cell>
          <cell r="S118" t="str">
            <v>CHNANI</v>
          </cell>
          <cell r="T118" t="str">
            <v>R2</v>
          </cell>
          <cell r="U118" t="str">
            <v>ORD</v>
          </cell>
          <cell r="V118" t="str">
            <v>RN</v>
          </cell>
          <cell r="W118" t="str">
            <v>T</v>
          </cell>
          <cell r="X118" t="str">
            <v>R</v>
          </cell>
        </row>
        <row r="119">
          <cell r="B119">
            <v>2890</v>
          </cell>
          <cell r="C119" t="str">
            <v>8 POMPES DE GRAISSE</v>
          </cell>
          <cell r="D119">
            <v>0</v>
          </cell>
          <cell r="E119">
            <v>310000</v>
          </cell>
          <cell r="F119">
            <v>0</v>
          </cell>
          <cell r="G119">
            <v>0</v>
          </cell>
          <cell r="J119" t="str">
            <v>CP</v>
          </cell>
          <cell r="K119" t="str">
            <v>AE N°-22372-1</v>
          </cell>
          <cell r="M119">
            <v>38622</v>
          </cell>
          <cell r="N119" t="str">
            <v>DAM-17/05</v>
          </cell>
          <cell r="P119" t="str">
            <v>DP-4561/05</v>
          </cell>
          <cell r="S119" t="str">
            <v>CHNANI</v>
          </cell>
          <cell r="T119" t="str">
            <v>R2</v>
          </cell>
          <cell r="U119" t="str">
            <v>ORD</v>
          </cell>
          <cell r="V119" t="str">
            <v>RN</v>
          </cell>
          <cell r="W119" t="str">
            <v>T</v>
          </cell>
          <cell r="X119" t="str">
            <v>R</v>
          </cell>
        </row>
        <row r="120">
          <cell r="B120">
            <v>2890</v>
          </cell>
          <cell r="C120" t="str">
            <v xml:space="preserve">1 PERCEUSE FIXE 200 T </v>
          </cell>
          <cell r="I120" t="str">
            <v>CONSUL</v>
          </cell>
          <cell r="J120" t="str">
            <v>AD</v>
          </cell>
          <cell r="K120" t="str">
            <v>DAM en consultation</v>
          </cell>
          <cell r="L120">
            <v>437</v>
          </cell>
          <cell r="M120">
            <v>39282</v>
          </cell>
          <cell r="N120" t="str">
            <v>DAM-94/07</v>
          </cell>
          <cell r="O120">
            <v>7572</v>
          </cell>
          <cell r="P120" t="str">
            <v>DP-4561/05</v>
          </cell>
          <cell r="S120" t="str">
            <v>CHNANI</v>
          </cell>
          <cell r="T120" t="str">
            <v>R2</v>
          </cell>
          <cell r="U120" t="str">
            <v>ORD</v>
          </cell>
          <cell r="V120" t="str">
            <v>RN</v>
          </cell>
          <cell r="W120" t="str">
            <v>T</v>
          </cell>
          <cell r="X120" t="str">
            <v>R</v>
          </cell>
        </row>
        <row r="121">
          <cell r="B121">
            <v>2890</v>
          </cell>
          <cell r="C121" t="str">
            <v>PRESSE HYDRAULIQUE</v>
          </cell>
          <cell r="I121" t="str">
            <v>CHT</v>
          </cell>
          <cell r="J121" t="str">
            <v>AD</v>
          </cell>
          <cell r="K121" t="str">
            <v>Pour attribution</v>
          </cell>
          <cell r="L121">
            <v>631</v>
          </cell>
          <cell r="M121">
            <v>38601</v>
          </cell>
          <cell r="N121" t="str">
            <v>DAM-16/05</v>
          </cell>
          <cell r="P121" t="str">
            <v>DP-47059/5</v>
          </cell>
          <cell r="S121" t="str">
            <v>CHNANI</v>
          </cell>
          <cell r="T121" t="str">
            <v>R2</v>
          </cell>
          <cell r="U121" t="str">
            <v>ORD</v>
          </cell>
          <cell r="V121" t="str">
            <v>RN</v>
          </cell>
          <cell r="W121" t="str">
            <v>T</v>
          </cell>
          <cell r="X121" t="str">
            <v>R</v>
          </cell>
        </row>
        <row r="122">
          <cell r="B122">
            <v>2895</v>
          </cell>
          <cell r="C122" t="str">
            <v>RN D'UN AUTO ANALYSEUR</v>
          </cell>
          <cell r="D122">
            <v>0</v>
          </cell>
          <cell r="E122">
            <v>100000</v>
          </cell>
          <cell r="F122">
            <v>0</v>
          </cell>
          <cell r="G122">
            <v>0</v>
          </cell>
          <cell r="I122" t="str">
            <v>CONSUL</v>
          </cell>
          <cell r="J122" t="str">
            <v>PLM</v>
          </cell>
          <cell r="K122" t="str">
            <v>DAM en consultation
AE-2895_1 + AE Cplt -2895-1 de 28602,55 dh (2006)</v>
          </cell>
          <cell r="L122">
            <v>260</v>
          </cell>
          <cell r="M122">
            <v>39253</v>
          </cell>
          <cell r="N122" t="str">
            <v>DAM-98/07</v>
          </cell>
          <cell r="O122">
            <v>2255</v>
          </cell>
          <cell r="P122" t="str">
            <v>DP-61054/05</v>
          </cell>
          <cell r="S122" t="str">
            <v>KABBAGE</v>
          </cell>
          <cell r="T122" t="str">
            <v>R2</v>
          </cell>
          <cell r="U122" t="str">
            <v>ORD</v>
          </cell>
          <cell r="V122" t="str">
            <v>RN</v>
          </cell>
          <cell r="W122" t="str">
            <v>T</v>
          </cell>
          <cell r="X122" t="str">
            <v>R</v>
          </cell>
        </row>
        <row r="123">
          <cell r="B123">
            <v>2896</v>
          </cell>
          <cell r="C123" t="str">
            <v>RN D'UN SPECTROMETRE D'ABSORPTION ATOMIQUE</v>
          </cell>
          <cell r="D123">
            <v>0</v>
          </cell>
          <cell r="E123">
            <v>150000</v>
          </cell>
          <cell r="F123">
            <v>0</v>
          </cell>
          <cell r="G123">
            <v>0</v>
          </cell>
          <cell r="K123" t="str">
            <v>AE N°IV2896_1</v>
          </cell>
          <cell r="M123">
            <v>38814</v>
          </cell>
          <cell r="N123" t="str">
            <v>DAM-99/04</v>
          </cell>
          <cell r="P123" t="str">
            <v>DP-61139</v>
          </cell>
          <cell r="Q123">
            <v>472330</v>
          </cell>
          <cell r="R123" t="str">
            <v>C018 du 22/06/2007</v>
          </cell>
          <cell r="S123" t="str">
            <v>KABBAGE</v>
          </cell>
          <cell r="T123" t="str">
            <v>R2</v>
          </cell>
          <cell r="U123" t="str">
            <v>ORD</v>
          </cell>
          <cell r="V123" t="str">
            <v>RN</v>
          </cell>
          <cell r="W123" t="str">
            <v>T</v>
          </cell>
          <cell r="X123" t="str">
            <v>R</v>
          </cell>
        </row>
        <row r="124">
          <cell r="B124">
            <v>2897</v>
          </cell>
          <cell r="C124" t="str">
            <v>RN DE 14 CELLULES DISJONCTEURS 5500V-1250A</v>
          </cell>
          <cell r="D124">
            <v>3739478.43</v>
          </cell>
          <cell r="E124">
            <v>4760000</v>
          </cell>
          <cell r="F124">
            <v>0</v>
          </cell>
          <cell r="G124">
            <v>0</v>
          </cell>
          <cell r="I124" t="str">
            <v>CT</v>
          </cell>
          <cell r="J124" t="str">
            <v>CP</v>
          </cell>
          <cell r="K124" t="str">
            <v>DAM en retour suite aux remarques du CT</v>
          </cell>
          <cell r="L124">
            <v>565</v>
          </cell>
          <cell r="M124">
            <v>39366</v>
          </cell>
          <cell r="N124" t="str">
            <v>DPM-19</v>
          </cell>
          <cell r="P124" t="str">
            <v>AO-6064/4</v>
          </cell>
          <cell r="S124" t="str">
            <v>TOGHZAOUI</v>
          </cell>
          <cell r="T124" t="str">
            <v>R2</v>
          </cell>
          <cell r="U124" t="str">
            <v>ORD</v>
          </cell>
          <cell r="V124" t="str">
            <v>RN</v>
          </cell>
          <cell r="W124" t="str">
            <v>T</v>
          </cell>
          <cell r="X124" t="str">
            <v>R</v>
          </cell>
        </row>
        <row r="125">
          <cell r="B125">
            <v>2900</v>
          </cell>
          <cell r="C125" t="str">
            <v>ACHAT DES MOTEURS ELECTRIQUES POUR LES INSTALLATIONS DE L'UNITE DE TRAITEMENT SIDI DAOUI.</v>
          </cell>
          <cell r="D125">
            <v>12900</v>
          </cell>
          <cell r="E125">
            <v>6000</v>
          </cell>
          <cell r="F125">
            <v>0</v>
          </cell>
          <cell r="G125">
            <v>0</v>
          </cell>
          <cell r="K125" t="str">
            <v>AE N°-2900-1 &amp;2  DE 4320 &amp; 2580 DH</v>
          </cell>
          <cell r="M125">
            <v>39042</v>
          </cell>
          <cell r="N125" t="str">
            <v>DAM-32/04</v>
          </cell>
          <cell r="P125" t="str">
            <v>DKI290E6042/06</v>
          </cell>
          <cell r="S125" t="str">
            <v>AIT HSSAINE</v>
          </cell>
          <cell r="T125" t="str">
            <v>R2</v>
          </cell>
          <cell r="U125" t="str">
            <v>ORD</v>
          </cell>
          <cell r="V125" t="str">
            <v>DN</v>
          </cell>
          <cell r="W125" t="str">
            <v>T</v>
          </cell>
          <cell r="X125" t="str">
            <v>R</v>
          </cell>
        </row>
        <row r="126">
          <cell r="B126">
            <v>2903</v>
          </cell>
          <cell r="C126" t="str">
            <v>ACHAT D'OUTILLAGE DES ATELIERS (4 tables élévatrices)</v>
          </cell>
          <cell r="D126">
            <v>250000</v>
          </cell>
          <cell r="E126">
            <v>250000</v>
          </cell>
          <cell r="F126">
            <v>0</v>
          </cell>
          <cell r="G126">
            <v>0</v>
          </cell>
          <cell r="I126" t="str">
            <v>CHT</v>
          </cell>
          <cell r="J126" t="str">
            <v>AD</v>
          </cell>
          <cell r="K126" t="str">
            <v>CHT envoyée pour consultation</v>
          </cell>
          <cell r="L126">
            <v>435</v>
          </cell>
          <cell r="M126">
            <v>39280</v>
          </cell>
          <cell r="N126" t="str">
            <v>DAM-6064/06</v>
          </cell>
          <cell r="P126" t="str">
            <v>DP-4618/04</v>
          </cell>
          <cell r="S126" t="str">
            <v>EL BOUCHRIFI</v>
          </cell>
          <cell r="T126" t="str">
            <v>R3</v>
          </cell>
          <cell r="U126" t="str">
            <v>ORD</v>
          </cell>
          <cell r="V126" t="str">
            <v>DN</v>
          </cell>
          <cell r="W126" t="str">
            <v>P</v>
          </cell>
          <cell r="X126" t="str">
            <v>R</v>
          </cell>
        </row>
        <row r="127">
          <cell r="B127">
            <v>2906</v>
          </cell>
          <cell r="C127" t="str">
            <v>RENOUVELLEMENT DE 25 TABLES DE DESSIN, 30 TABOURETS REGLABLES POUR DESSINATEUR ET 25 DESSERTES POUR DESSINATEUR</v>
          </cell>
          <cell r="D127">
            <v>442500</v>
          </cell>
          <cell r="E127">
            <v>442500</v>
          </cell>
          <cell r="F127">
            <v>0</v>
          </cell>
          <cell r="G127">
            <v>0</v>
          </cell>
          <cell r="I127" t="str">
            <v>CONSUL</v>
          </cell>
          <cell r="J127" t="str">
            <v>AD</v>
          </cell>
          <cell r="K127" t="str">
            <v>DAM en consultation</v>
          </cell>
          <cell r="L127">
            <v>360</v>
          </cell>
          <cell r="M127">
            <v>39230</v>
          </cell>
          <cell r="N127" t="str">
            <v>DAM-7058/07</v>
          </cell>
          <cell r="P127" t="str">
            <v>DP-</v>
          </cell>
          <cell r="S127" t="str">
            <v>CHEHTANE</v>
          </cell>
          <cell r="T127" t="str">
            <v>R6</v>
          </cell>
          <cell r="U127" t="str">
            <v>ADM</v>
          </cell>
          <cell r="V127" t="str">
            <v>RN</v>
          </cell>
          <cell r="W127" t="str">
            <v>P</v>
          </cell>
          <cell r="X127" t="str">
            <v>R</v>
          </cell>
        </row>
        <row r="128">
          <cell r="B128">
            <v>2907</v>
          </cell>
          <cell r="C128" t="str">
            <v>ACHAT DE 12 TABLES D'ELECTRONICIENS</v>
          </cell>
          <cell r="D128">
            <v>0</v>
          </cell>
          <cell r="E128">
            <v>6000</v>
          </cell>
          <cell r="F128">
            <v>0</v>
          </cell>
          <cell r="G128">
            <v>0</v>
          </cell>
          <cell r="K128" t="str">
            <v>AE N°-2907-1 de 57312 DH</v>
          </cell>
          <cell r="M128">
            <v>38939</v>
          </cell>
          <cell r="N128" t="str">
            <v>DAM-2603/05</v>
          </cell>
          <cell r="P128" t="str">
            <v>DP-45226/05</v>
          </cell>
          <cell r="S128" t="str">
            <v>MAGHRAOUI</v>
          </cell>
          <cell r="T128" t="str">
            <v>R6</v>
          </cell>
          <cell r="U128" t="str">
            <v>ADM</v>
          </cell>
          <cell r="V128" t="str">
            <v>DN</v>
          </cell>
          <cell r="W128" t="str">
            <v>P</v>
          </cell>
          <cell r="X128" t="str">
            <v>R</v>
          </cell>
        </row>
        <row r="129">
          <cell r="B129">
            <v>2911</v>
          </cell>
          <cell r="C129" t="str">
            <v>REAMENAGEMENT DU CIRCUIT DE LA LOGISTIQUE DAOUI EN PREPARATION DE L'EPUISEMENT DU CARREAU TS</v>
          </cell>
          <cell r="D129">
            <v>7076608</v>
          </cell>
          <cell r="E129">
            <v>14000000</v>
          </cell>
          <cell r="F129">
            <v>0</v>
          </cell>
          <cell r="G129">
            <v>0</v>
          </cell>
          <cell r="I129" t="str">
            <v>Lettre
AT.AE</v>
          </cell>
          <cell r="J129" t="str">
            <v>SDG
PFF/CI</v>
          </cell>
          <cell r="K129" t="str">
            <v xml:space="preserve">Lettre accord de DG de 13 909 980,05 </v>
          </cell>
          <cell r="L129">
            <v>330</v>
          </cell>
          <cell r="M129">
            <v>39297</v>
          </cell>
          <cell r="P129" t="str">
            <v xml:space="preserve">AO-369/5 </v>
          </cell>
          <cell r="S129" t="str">
            <v>LEBBARDI</v>
          </cell>
          <cell r="T129" t="str">
            <v>R2</v>
          </cell>
          <cell r="U129" t="str">
            <v>ORD</v>
          </cell>
          <cell r="V129" t="str">
            <v>DN</v>
          </cell>
          <cell r="W129" t="str">
            <v>T</v>
          </cell>
          <cell r="X129" t="str">
            <v>R</v>
          </cell>
        </row>
        <row r="130">
          <cell r="B130">
            <v>2911</v>
          </cell>
          <cell r="C130" t="str">
            <v xml:space="preserve">RÉAMÉNAGEMENT DU CIRCUIT LOGISTIQUE DAOUI = 10 MDH </v>
          </cell>
          <cell r="I130" t="str">
            <v>CHT</v>
          </cell>
          <cell r="J130" t="str">
            <v>PFM/MG</v>
          </cell>
          <cell r="K130" t="str">
            <v>CHT  transmis par DSD/TM</v>
          </cell>
          <cell r="L130">
            <v>533</v>
          </cell>
          <cell r="M130">
            <v>39034</v>
          </cell>
          <cell r="P130" t="str">
            <v>AO9369/06</v>
          </cell>
          <cell r="S130" t="str">
            <v>LEBBARDI</v>
          </cell>
          <cell r="T130" t="str">
            <v>R2</v>
          </cell>
          <cell r="U130" t="str">
            <v>ORD</v>
          </cell>
          <cell r="V130" t="str">
            <v>DN</v>
          </cell>
          <cell r="W130" t="str">
            <v>T</v>
          </cell>
          <cell r="X130" t="str">
            <v>R</v>
          </cell>
        </row>
        <row r="131">
          <cell r="B131">
            <v>2911</v>
          </cell>
          <cell r="C131" t="str">
            <v>LOT N° 2 : FOURNIT; ET RÉALIS.  CONVOYEURS D'ALIMENTATION 7 M DH</v>
          </cell>
          <cell r="H131">
            <v>13909980.050000001</v>
          </cell>
          <cell r="I131" t="str">
            <v>ENG</v>
          </cell>
          <cell r="J131" t="str">
            <v>CP</v>
          </cell>
          <cell r="K131" t="str">
            <v xml:space="preserve">AE N°2911_3 de 13 909 980,05 Dh   </v>
          </cell>
          <cell r="L131" t="str">
            <v>PFF-666</v>
          </cell>
          <cell r="M131">
            <v>39371</v>
          </cell>
          <cell r="N131" t="str">
            <v>DPM-34/04</v>
          </cell>
          <cell r="P131" t="str">
            <v>AO-9369/06</v>
          </cell>
          <cell r="S131" t="str">
            <v>LEBBARDI</v>
          </cell>
          <cell r="T131" t="str">
            <v>R2</v>
          </cell>
          <cell r="U131" t="str">
            <v>ORD</v>
          </cell>
          <cell r="V131" t="str">
            <v>DN</v>
          </cell>
          <cell r="W131" t="str">
            <v>T</v>
          </cell>
          <cell r="X131" t="str">
            <v>R</v>
          </cell>
        </row>
        <row r="132">
          <cell r="B132">
            <v>2911</v>
          </cell>
          <cell r="C132" t="str">
            <v>CONSTRUCTION D'UN LOCAL DES COMPRESSEURS DE LA STATION DE CHARGEMENT A COZ</v>
          </cell>
          <cell r="I132" t="str">
            <v>CONSUL</v>
          </cell>
          <cell r="J132" t="str">
            <v>AD</v>
          </cell>
          <cell r="K132" t="str">
            <v>DAM en consultation</v>
          </cell>
          <cell r="L132">
            <v>482</v>
          </cell>
          <cell r="M132">
            <v>38974</v>
          </cell>
          <cell r="N132" t="str">
            <v>DPM-4514/6</v>
          </cell>
          <cell r="S132" t="str">
            <v>LEBBARDI</v>
          </cell>
          <cell r="T132" t="str">
            <v>R2</v>
          </cell>
          <cell r="U132" t="str">
            <v>ORD</v>
          </cell>
          <cell r="V132" t="str">
            <v>DN</v>
          </cell>
          <cell r="W132" t="str">
            <v>T</v>
          </cell>
          <cell r="X132" t="str">
            <v>R</v>
          </cell>
        </row>
        <row r="133">
          <cell r="B133">
            <v>2913</v>
          </cell>
          <cell r="C133" t="str">
            <v>ACHAT DE 50 RADIATEURS CONVECTEURS INDUSTRIELS A BAIN D'HUILE POUR LE CHAUFFAGE DES BUREAUX</v>
          </cell>
          <cell r="D133">
            <v>0</v>
          </cell>
          <cell r="E133">
            <v>130000</v>
          </cell>
          <cell r="F133">
            <v>0</v>
          </cell>
          <cell r="G133">
            <v>0</v>
          </cell>
          <cell r="K133" t="str">
            <v>ANNULEE PAR CP (DAE négative n°2913_1 de 36590,50)</v>
          </cell>
          <cell r="L133">
            <v>101</v>
          </cell>
          <cell r="M133">
            <v>39142</v>
          </cell>
          <cell r="N133" t="str">
            <v>DAM-46/04</v>
          </cell>
          <cell r="P133" t="str">
            <v>DP-4678/4</v>
          </cell>
          <cell r="S133" t="str">
            <v>ZNAIDI</v>
          </cell>
          <cell r="T133" t="str">
            <v>R6</v>
          </cell>
          <cell r="U133" t="str">
            <v>ADM</v>
          </cell>
          <cell r="V133" t="str">
            <v>DN</v>
          </cell>
          <cell r="W133" t="str">
            <v>T</v>
          </cell>
          <cell r="X133" t="str">
            <v>R</v>
          </cell>
        </row>
        <row r="134">
          <cell r="B134">
            <v>2915</v>
          </cell>
          <cell r="C134" t="str">
            <v>RN DE 5 CLIMATISEURS CENTRAUX DES SALLES DE CONTRÔLE DES COMPLEXES D'OUED ZEM ET DE BENI-IDIR</v>
          </cell>
          <cell r="D134">
            <v>0</v>
          </cell>
          <cell r="E134">
            <v>500000</v>
          </cell>
          <cell r="F134">
            <v>0</v>
          </cell>
          <cell r="G134">
            <v>0</v>
          </cell>
          <cell r="K134" t="str">
            <v>ANNULEE PAR CP</v>
          </cell>
          <cell r="L134">
            <v>477</v>
          </cell>
          <cell r="M134">
            <v>38530</v>
          </cell>
          <cell r="N134" t="str">
            <v>DPM-4509/5</v>
          </cell>
          <cell r="S134" t="str">
            <v>ZNAIDI</v>
          </cell>
          <cell r="T134" t="str">
            <v>R2</v>
          </cell>
          <cell r="U134" t="str">
            <v>ORD</v>
          </cell>
          <cell r="V134" t="str">
            <v>RN</v>
          </cell>
          <cell r="W134" t="str">
            <v>T</v>
          </cell>
          <cell r="X134" t="str">
            <v>R</v>
          </cell>
        </row>
        <row r="135">
          <cell r="B135">
            <v>2917</v>
          </cell>
          <cell r="C135" t="str">
            <v>ACHAT DE 8 MOTEURS ELECTRIQUES MOYENNE TENSION POUR L'UNITE DE BENI IDIR</v>
          </cell>
          <cell r="D135">
            <v>4388566</v>
          </cell>
          <cell r="E135">
            <v>1230000</v>
          </cell>
          <cell r="F135">
            <v>0</v>
          </cell>
          <cell r="G135">
            <v>0</v>
          </cell>
          <cell r="I135" t="str">
            <v>AVIS</v>
          </cell>
          <cell r="J135" t="str">
            <v>PFF/CI</v>
          </cell>
          <cell r="K135" t="str">
            <v>Pour avis en vue d'établir la DAC complémentaire à AE n°22382_2 pour un montant de 1 000 300,53</v>
          </cell>
          <cell r="L135">
            <v>230</v>
          </cell>
          <cell r="M135">
            <v>39238</v>
          </cell>
          <cell r="N135" t="str">
            <v>DAM-27/04</v>
          </cell>
          <cell r="P135" t="str">
            <v>DP-62048/04</v>
          </cell>
          <cell r="S135" t="str">
            <v>TOGHZAOUI</v>
          </cell>
          <cell r="T135" t="str">
            <v>R2</v>
          </cell>
          <cell r="U135" t="str">
            <v>ORD</v>
          </cell>
          <cell r="V135" t="str">
            <v>DN</v>
          </cell>
          <cell r="W135" t="str">
            <v>T</v>
          </cell>
          <cell r="X135" t="str">
            <v>R</v>
          </cell>
        </row>
        <row r="136">
          <cell r="B136">
            <v>2918</v>
          </cell>
          <cell r="C136" t="str">
            <v>RN DE 14 MOTEURS ELECTRIQUES BASSE TENSION POUR L'USINE DE L'E.A.S ET LA LIAISON Z.C</v>
          </cell>
          <cell r="D136">
            <v>220000</v>
          </cell>
          <cell r="E136">
            <v>220000</v>
          </cell>
          <cell r="F136">
            <v>0</v>
          </cell>
          <cell r="G136">
            <v>0</v>
          </cell>
          <cell r="I136" t="str">
            <v>CONSUL</v>
          </cell>
          <cell r="J136" t="str">
            <v>AD</v>
          </cell>
          <cell r="K136" t="str">
            <v>DAM en consultation</v>
          </cell>
          <cell r="L136">
            <v>275</v>
          </cell>
          <cell r="M136">
            <v>39202</v>
          </cell>
          <cell r="N136" t="str">
            <v>DPM-73/07</v>
          </cell>
          <cell r="O136">
            <v>6580</v>
          </cell>
          <cell r="P136" t="str">
            <v>DP-62074/04</v>
          </cell>
          <cell r="R136" t="str">
            <v>C022  du 03/07/2007
C021  du 28/06/2007</v>
          </cell>
          <cell r="S136" t="str">
            <v>TOGHZAOUI</v>
          </cell>
          <cell r="T136" t="str">
            <v>R2</v>
          </cell>
          <cell r="U136" t="str">
            <v>ORD</v>
          </cell>
          <cell r="V136" t="str">
            <v>RN</v>
          </cell>
          <cell r="W136" t="str">
            <v>T</v>
          </cell>
          <cell r="X136" t="str">
            <v>R</v>
          </cell>
        </row>
        <row r="137">
          <cell r="B137">
            <v>2919</v>
          </cell>
          <cell r="C137" t="str">
            <v>ACHAT DE 02 CHARGEURS DE BATTERIES</v>
          </cell>
          <cell r="D137">
            <v>240000</v>
          </cell>
          <cell r="E137">
            <v>240000</v>
          </cell>
          <cell r="F137">
            <v>0</v>
          </cell>
          <cell r="G137">
            <v>0</v>
          </cell>
          <cell r="I137" t="str">
            <v>AT.AE</v>
          </cell>
          <cell r="J137" t="str">
            <v>AD</v>
          </cell>
          <cell r="K137" t="str">
            <v xml:space="preserve">DAE N°2919_1 de 171 841,03 Dh CHC réponse   </v>
          </cell>
          <cell r="L137" t="str">
            <v>759/B</v>
          </cell>
          <cell r="M137">
            <v>39191</v>
          </cell>
          <cell r="N137" t="str">
            <v>DAM-71/06</v>
          </cell>
          <cell r="S137" t="str">
            <v>AIT HSSAINE</v>
          </cell>
          <cell r="T137" t="str">
            <v>R2</v>
          </cell>
          <cell r="U137" t="str">
            <v>ORD</v>
          </cell>
          <cell r="V137" t="str">
            <v>DN</v>
          </cell>
          <cell r="W137" t="str">
            <v>T</v>
          </cell>
          <cell r="X137" t="str">
            <v>R</v>
          </cell>
        </row>
        <row r="138">
          <cell r="B138">
            <v>2920</v>
          </cell>
          <cell r="C138" t="str">
            <v>RN DE 2 RETROPROJECTEURS ET DE 2 ECRANS POUR DEK/TK</v>
          </cell>
          <cell r="D138">
            <v>0</v>
          </cell>
          <cell r="E138">
            <v>100000</v>
          </cell>
          <cell r="F138">
            <v>0</v>
          </cell>
          <cell r="G138">
            <v>0</v>
          </cell>
          <cell r="K138" t="str">
            <v>ANNULEE PAR CP</v>
          </cell>
          <cell r="L138">
            <v>539</v>
          </cell>
          <cell r="M138">
            <v>38555</v>
          </cell>
          <cell r="N138" t="str">
            <v>DAM-120/05</v>
          </cell>
          <cell r="S138" t="str">
            <v>ZNAIDI</v>
          </cell>
          <cell r="T138" t="str">
            <v>R6</v>
          </cell>
          <cell r="U138" t="str">
            <v>ADM</v>
          </cell>
          <cell r="V138" t="str">
            <v>RN</v>
          </cell>
          <cell r="W138" t="str">
            <v>T</v>
          </cell>
          <cell r="X138" t="str">
            <v>R</v>
          </cell>
        </row>
        <row r="139">
          <cell r="B139">
            <v>2921</v>
          </cell>
          <cell r="C139" t="str">
            <v>RN MOTEURS ELECTRIQUES B.T POUR INSTALLATIONS DU COZ</v>
          </cell>
          <cell r="D139">
            <v>0</v>
          </cell>
          <cell r="E139">
            <v>21000</v>
          </cell>
          <cell r="F139">
            <v>0</v>
          </cell>
          <cell r="G139">
            <v>0</v>
          </cell>
          <cell r="I139" t="str">
            <v>CONSUL</v>
          </cell>
          <cell r="J139" t="str">
            <v>AD</v>
          </cell>
          <cell r="K139" t="str">
            <v>DAM envoyée pour consultation</v>
          </cell>
          <cell r="L139">
            <v>31</v>
          </cell>
          <cell r="M139">
            <v>39115</v>
          </cell>
          <cell r="N139" t="str">
            <v>DAM-07/07</v>
          </cell>
          <cell r="P139" t="str">
            <v>DP-4609/04</v>
          </cell>
          <cell r="S139" t="str">
            <v>BERRADA</v>
          </cell>
          <cell r="T139" t="str">
            <v>R2</v>
          </cell>
          <cell r="U139" t="str">
            <v>ORD</v>
          </cell>
          <cell r="V139" t="str">
            <v>RN</v>
          </cell>
          <cell r="W139" t="str">
            <v>T</v>
          </cell>
          <cell r="X139" t="str">
            <v>R</v>
          </cell>
        </row>
        <row r="140">
          <cell r="B140">
            <v>2924</v>
          </cell>
          <cell r="C140" t="str">
            <v>ACHAT D'UN MESUREUR DE VIBRATION PORTATIF POUR L'ATELIER DE SECHAGE DU COZ</v>
          </cell>
          <cell r="D140">
            <v>0</v>
          </cell>
          <cell r="E140">
            <v>50000</v>
          </cell>
          <cell r="F140">
            <v>0</v>
          </cell>
          <cell r="G140">
            <v>0</v>
          </cell>
          <cell r="K140" t="str">
            <v>ANNULEE PAR CP</v>
          </cell>
          <cell r="L140">
            <v>440</v>
          </cell>
          <cell r="M140">
            <v>38511</v>
          </cell>
          <cell r="N140" t="str">
            <v>DAM-110/05</v>
          </cell>
          <cell r="S140" t="str">
            <v>ZNAIDI</v>
          </cell>
          <cell r="T140" t="str">
            <v>R2</v>
          </cell>
          <cell r="U140" t="str">
            <v>ORD</v>
          </cell>
          <cell r="V140" t="str">
            <v>DN</v>
          </cell>
          <cell r="W140" t="str">
            <v>T</v>
          </cell>
          <cell r="X140" t="str">
            <v>R</v>
          </cell>
        </row>
        <row r="141">
          <cell r="B141">
            <v>2925</v>
          </cell>
          <cell r="C141" t="str">
            <v>ACHAT D'UN ASPIRATEUR INDUSTRIEL POUR L'ATELIER DE SECHAGE DU COZ</v>
          </cell>
          <cell r="D141">
            <v>0</v>
          </cell>
          <cell r="E141">
            <v>46000</v>
          </cell>
          <cell r="F141">
            <v>0</v>
          </cell>
          <cell r="G141">
            <v>0</v>
          </cell>
          <cell r="K141" t="str">
            <v>ANNULEE PAR CP</v>
          </cell>
          <cell r="L141">
            <v>172</v>
          </cell>
          <cell r="M141">
            <v>38806</v>
          </cell>
          <cell r="N141" t="str">
            <v>DAM-103/05</v>
          </cell>
          <cell r="P141" t="str">
            <v>DP-45152/05</v>
          </cell>
          <cell r="S141" t="str">
            <v>ZNAIDI</v>
          </cell>
          <cell r="T141" t="str">
            <v>R2</v>
          </cell>
          <cell r="U141" t="str">
            <v>ORD</v>
          </cell>
          <cell r="V141" t="str">
            <v>DN</v>
          </cell>
          <cell r="W141" t="str">
            <v>T</v>
          </cell>
          <cell r="X141" t="str">
            <v>R</v>
          </cell>
        </row>
        <row r="142">
          <cell r="B142">
            <v>2926</v>
          </cell>
          <cell r="C142" t="str">
            <v>2 ARMOIRES DE SÉCURITÉ POUR PRODUITS INFLAMMABLES POUR LABO</v>
          </cell>
          <cell r="D142">
            <v>286824</v>
          </cell>
          <cell r="E142">
            <v>400000</v>
          </cell>
          <cell r="F142">
            <v>0</v>
          </cell>
          <cell r="G142">
            <v>0</v>
          </cell>
          <cell r="K142" t="str">
            <v>AE N°-2926-2 de  234 552,00 DH</v>
          </cell>
          <cell r="M142">
            <v>38903</v>
          </cell>
          <cell r="N142" t="str">
            <v>DAM-125/05</v>
          </cell>
          <cell r="P142" t="str">
            <v>45228-45190/06</v>
          </cell>
          <cell r="R142" t="str">
            <v>C016 du  12/06/2007
C011 du  12/06/2007</v>
          </cell>
          <cell r="S142" t="str">
            <v>KABBAJE</v>
          </cell>
          <cell r="T142" t="str">
            <v>R2</v>
          </cell>
          <cell r="U142" t="str">
            <v>ORD</v>
          </cell>
          <cell r="V142" t="str">
            <v>DN</v>
          </cell>
          <cell r="W142" t="str">
            <v>T</v>
          </cell>
          <cell r="X142" t="str">
            <v>R</v>
          </cell>
        </row>
        <row r="143">
          <cell r="B143">
            <v>2926</v>
          </cell>
          <cell r="C143" t="str">
            <v>2 ARMOIRES DE SÉCURITÉ PRODUITS CORROSIFS POUR LABO CHIMIE</v>
          </cell>
          <cell r="K143" t="str">
            <v>AE N°-2926-2 de  234 552,00 DH</v>
          </cell>
          <cell r="M143">
            <v>38903</v>
          </cell>
          <cell r="N143" t="str">
            <v>DAM-125/05</v>
          </cell>
          <cell r="S143" t="str">
            <v>KABBAJE</v>
          </cell>
          <cell r="T143" t="str">
            <v>R2</v>
          </cell>
          <cell r="U143" t="str">
            <v>ORD</v>
          </cell>
          <cell r="V143" t="str">
            <v>DN</v>
          </cell>
          <cell r="W143" t="str">
            <v>T</v>
          </cell>
          <cell r="X143" t="str">
            <v>R</v>
          </cell>
        </row>
        <row r="144">
          <cell r="B144">
            <v>2926</v>
          </cell>
          <cell r="C144" t="str">
            <v>1 ARMOIRE DE SÉCURITÉ POUR BOUTEILLES DE GAZ POUR LABO CHIMIE</v>
          </cell>
          <cell r="K144" t="str">
            <v>AE N°-2926-2 de  234 552,00 DH</v>
          </cell>
          <cell r="M144">
            <v>38903</v>
          </cell>
          <cell r="N144" t="str">
            <v>DAM-125/05</v>
          </cell>
          <cell r="S144" t="str">
            <v>KABBAJE</v>
          </cell>
          <cell r="T144" t="str">
            <v>R2</v>
          </cell>
          <cell r="U144" t="str">
            <v>ORD</v>
          </cell>
          <cell r="V144" t="str">
            <v>DN</v>
          </cell>
          <cell r="W144" t="str">
            <v>T</v>
          </cell>
          <cell r="X144" t="str">
            <v>R</v>
          </cell>
        </row>
        <row r="145">
          <cell r="B145">
            <v>2926</v>
          </cell>
          <cell r="C145" t="str">
            <v>14 TABOURETS DE LABORATOIRE POUR LABO CHIMIE</v>
          </cell>
          <cell r="K145" t="str">
            <v>AE N°-2926-2 de  234 552,00 DH</v>
          </cell>
          <cell r="M145">
            <v>38903</v>
          </cell>
          <cell r="N145" t="str">
            <v>DAM-126/05</v>
          </cell>
          <cell r="S145" t="str">
            <v>KABBAJE</v>
          </cell>
          <cell r="T145" t="str">
            <v>R2</v>
          </cell>
          <cell r="U145" t="str">
            <v>ORD</v>
          </cell>
          <cell r="V145" t="str">
            <v>DN</v>
          </cell>
          <cell r="W145" t="str">
            <v>T</v>
          </cell>
          <cell r="X145" t="str">
            <v>R</v>
          </cell>
        </row>
        <row r="146">
          <cell r="B146">
            <v>2926</v>
          </cell>
          <cell r="C146" t="str">
            <v>3 CLASSEURS À TIROIRS ANTI-ACIDE POUR LABO CHIMIE</v>
          </cell>
          <cell r="K146" t="str">
            <v>AE N°-2926-2 de  234 552,00 DH</v>
          </cell>
          <cell r="M146">
            <v>38903</v>
          </cell>
          <cell r="N146" t="str">
            <v>DAM-125/05</v>
          </cell>
          <cell r="S146" t="str">
            <v>KABBAJE</v>
          </cell>
          <cell r="T146" t="str">
            <v>R2</v>
          </cell>
          <cell r="U146" t="str">
            <v>ORD</v>
          </cell>
          <cell r="V146" t="str">
            <v>DN</v>
          </cell>
          <cell r="W146" t="str">
            <v>T</v>
          </cell>
          <cell r="X146" t="str">
            <v>R</v>
          </cell>
        </row>
        <row r="147">
          <cell r="B147">
            <v>2926</v>
          </cell>
          <cell r="C147" t="str">
            <v>10 ARMOIRES VESTIAIRES POUR LABO CHIMIE</v>
          </cell>
          <cell r="K147" t="str">
            <v>AE N°-2926-2 de  234 552,00 DH</v>
          </cell>
          <cell r="M147">
            <v>38903</v>
          </cell>
          <cell r="N147" t="str">
            <v>DAM-125/05</v>
          </cell>
          <cell r="S147" t="str">
            <v>KABBAJE</v>
          </cell>
          <cell r="T147" t="str">
            <v>R2</v>
          </cell>
          <cell r="U147" t="str">
            <v>ORD</v>
          </cell>
          <cell r="V147" t="str">
            <v>DN</v>
          </cell>
          <cell r="W147" t="str">
            <v>T</v>
          </cell>
          <cell r="X147" t="str">
            <v>R</v>
          </cell>
        </row>
        <row r="148">
          <cell r="B148">
            <v>2926</v>
          </cell>
          <cell r="C148" t="str">
            <v>4 TABLES DE DÉCHARGE ANTI-ACIDE POUR LABO CHIMIE</v>
          </cell>
          <cell r="K148" t="str">
            <v>AE N°-2926-2 de  234 552,00 DH</v>
          </cell>
          <cell r="M148">
            <v>38903</v>
          </cell>
          <cell r="N148" t="str">
            <v>DAM-126/05</v>
          </cell>
          <cell r="S148" t="str">
            <v>KABBAJE</v>
          </cell>
          <cell r="T148" t="str">
            <v>R2</v>
          </cell>
          <cell r="U148" t="str">
            <v>ORD</v>
          </cell>
          <cell r="V148" t="str">
            <v>DN</v>
          </cell>
          <cell r="W148" t="str">
            <v>T</v>
          </cell>
          <cell r="X148" t="str">
            <v>R</v>
          </cell>
        </row>
        <row r="149">
          <cell r="B149">
            <v>2926</v>
          </cell>
          <cell r="C149" t="str">
            <v>2 TABLES ROULANTES ANTI-ACIDE POUR LABO CHIMIE</v>
          </cell>
          <cell r="K149" t="str">
            <v>AE N°-2926-2 de  234 552,00 DH</v>
          </cell>
          <cell r="M149">
            <v>38903</v>
          </cell>
          <cell r="N149" t="str">
            <v>DAM-126/05</v>
          </cell>
          <cell r="S149" t="str">
            <v>KABBAJE</v>
          </cell>
          <cell r="T149" t="str">
            <v>R2</v>
          </cell>
          <cell r="U149" t="str">
            <v>ORD</v>
          </cell>
          <cell r="V149" t="str">
            <v>DN</v>
          </cell>
          <cell r="W149" t="str">
            <v>T</v>
          </cell>
          <cell r="X149" t="str">
            <v>R</v>
          </cell>
        </row>
        <row r="150">
          <cell r="B150">
            <v>2926</v>
          </cell>
          <cell r="C150" t="str">
            <v>10 VENTILATEURS DE PUISSANCE 0,7KW POUR LABO CHIMIE</v>
          </cell>
          <cell r="I150" t="str">
            <v>CONSUL</v>
          </cell>
          <cell r="J150" t="str">
            <v>AD</v>
          </cell>
          <cell r="K150" t="str">
            <v>DAM envoyée pour consultation</v>
          </cell>
          <cell r="L150">
            <v>214</v>
          </cell>
          <cell r="M150">
            <v>39177</v>
          </cell>
          <cell r="N150" t="str">
            <v>DAM-74/07</v>
          </cell>
          <cell r="O150">
            <v>6227</v>
          </cell>
          <cell r="S150" t="str">
            <v>KABBAJE</v>
          </cell>
          <cell r="T150" t="str">
            <v>R2</v>
          </cell>
          <cell r="U150" t="str">
            <v>ORD</v>
          </cell>
          <cell r="V150" t="str">
            <v>DN</v>
          </cell>
          <cell r="W150" t="str">
            <v>T</v>
          </cell>
          <cell r="X150" t="str">
            <v>R</v>
          </cell>
        </row>
        <row r="151">
          <cell r="B151">
            <v>2926</v>
          </cell>
          <cell r="C151" t="str">
            <v>8 CLASSEURS À CLAPETS ET 10 CHAISES POUR LABO CHIMIE</v>
          </cell>
          <cell r="K151" t="str">
            <v>AE N°-2926-3  de 26520 DH</v>
          </cell>
          <cell r="M151">
            <v>38903</v>
          </cell>
          <cell r="N151" t="str">
            <v>DAM-125-126/05</v>
          </cell>
          <cell r="P151" t="str">
            <v>DP-45228/06</v>
          </cell>
          <cell r="S151" t="str">
            <v>KABBAJE</v>
          </cell>
          <cell r="T151" t="str">
            <v>R2</v>
          </cell>
          <cell r="U151" t="str">
            <v>ORD</v>
          </cell>
          <cell r="V151" t="str">
            <v>DN</v>
          </cell>
          <cell r="W151" t="str">
            <v>T</v>
          </cell>
          <cell r="X151" t="str">
            <v>R</v>
          </cell>
        </row>
        <row r="152">
          <cell r="B152">
            <v>2926</v>
          </cell>
          <cell r="C152" t="str">
            <v>4 TABLES INFORMATIQUES POUR LABO CHIMIE</v>
          </cell>
          <cell r="K152" t="str">
            <v>AE N°-2926-4  de 5 472,00 DH</v>
          </cell>
          <cell r="M152">
            <v>38903</v>
          </cell>
          <cell r="N152" t="str">
            <v>DAM-126/05</v>
          </cell>
          <cell r="P152" t="str">
            <v>DP-45190/06</v>
          </cell>
          <cell r="S152" t="str">
            <v>KABBAJE</v>
          </cell>
          <cell r="T152" t="str">
            <v>R2</v>
          </cell>
          <cell r="U152" t="str">
            <v>ORD</v>
          </cell>
          <cell r="V152" t="str">
            <v>DN</v>
          </cell>
          <cell r="W152" t="str">
            <v>T</v>
          </cell>
          <cell r="X152" t="str">
            <v>R</v>
          </cell>
        </row>
        <row r="153">
          <cell r="B153">
            <v>2926</v>
          </cell>
          <cell r="C153" t="str">
            <v>1 RADIAMÈTRE CONTRÔLE DE SURFACES POUR LABO CHIMIE</v>
          </cell>
          <cell r="K153" t="str">
            <v>AE N°-2926-5  de 20280</v>
          </cell>
          <cell r="M153">
            <v>38903</v>
          </cell>
          <cell r="N153" t="str">
            <v>DAM-128/05</v>
          </cell>
          <cell r="P153" t="str">
            <v>DP-45228</v>
          </cell>
          <cell r="S153" t="str">
            <v>KABBAJE</v>
          </cell>
          <cell r="T153" t="str">
            <v>R2</v>
          </cell>
          <cell r="U153" t="str">
            <v>ORD</v>
          </cell>
          <cell r="V153" t="str">
            <v>DN</v>
          </cell>
          <cell r="W153" t="str">
            <v>T</v>
          </cell>
          <cell r="X153" t="str">
            <v>R</v>
          </cell>
        </row>
        <row r="154">
          <cell r="B154">
            <v>2926</v>
          </cell>
          <cell r="C154" t="str">
            <v>3 ESCABEAUX POUR LABO CHIMIE</v>
          </cell>
          <cell r="K154" t="str">
            <v xml:space="preserve">AE N°22416-1  </v>
          </cell>
          <cell r="M154">
            <v>38717</v>
          </cell>
          <cell r="N154" t="str">
            <v>DAM-127/05</v>
          </cell>
          <cell r="S154" t="str">
            <v>KABBAJE</v>
          </cell>
          <cell r="T154" t="str">
            <v>R2</v>
          </cell>
          <cell r="U154" t="str">
            <v>ORD</v>
          </cell>
          <cell r="V154" t="str">
            <v>DN</v>
          </cell>
          <cell r="W154" t="str">
            <v>T</v>
          </cell>
          <cell r="X154" t="str">
            <v>R</v>
          </cell>
        </row>
        <row r="155">
          <cell r="B155">
            <v>2927</v>
          </cell>
          <cell r="C155" t="str">
            <v>ACHAT D'UNE MOTOPOMPE REMORQUABLE POUR LE COZ</v>
          </cell>
          <cell r="D155">
            <v>0</v>
          </cell>
          <cell r="E155">
            <v>450000</v>
          </cell>
          <cell r="F155">
            <v>0</v>
          </cell>
          <cell r="G155">
            <v>0</v>
          </cell>
          <cell r="I155" t="str">
            <v>CONSUL</v>
          </cell>
          <cell r="J155" t="str">
            <v>AD</v>
          </cell>
          <cell r="K155" t="str">
            <v xml:space="preserve">DAM envoyée pour consultation </v>
          </cell>
          <cell r="L155">
            <v>466</v>
          </cell>
          <cell r="M155">
            <v>38961</v>
          </cell>
          <cell r="N155" t="str">
            <v>DAM-156/06</v>
          </cell>
          <cell r="S155" t="str">
            <v>ASSOUD</v>
          </cell>
          <cell r="T155" t="str">
            <v>R7</v>
          </cell>
          <cell r="U155" t="str">
            <v>ORD</v>
          </cell>
          <cell r="V155" t="str">
            <v>DN</v>
          </cell>
          <cell r="W155" t="str">
            <v>T</v>
          </cell>
          <cell r="X155" t="str">
            <v>R</v>
          </cell>
        </row>
        <row r="156">
          <cell r="B156">
            <v>2928</v>
          </cell>
          <cell r="C156" t="str">
            <v>3 CONSOLES DE PROGRAMMATION POUR L'UNITE DE BENI-IDIR</v>
          </cell>
          <cell r="D156">
            <v>308130</v>
          </cell>
          <cell r="E156">
            <v>100000</v>
          </cell>
          <cell r="F156">
            <v>0</v>
          </cell>
          <cell r="G156">
            <v>0</v>
          </cell>
          <cell r="K156" t="str">
            <v>AE N°-2928-1 DE-208130 DH</v>
          </cell>
          <cell r="M156">
            <v>38939</v>
          </cell>
          <cell r="N156" t="str">
            <v>DAM-76/04</v>
          </cell>
          <cell r="P156" t="str">
            <v>DP-62092/04</v>
          </cell>
          <cell r="Q156">
            <v>208130</v>
          </cell>
          <cell r="R156" t="str">
            <v>C 010 du 12/06/2007</v>
          </cell>
          <cell r="S156" t="str">
            <v>TOGHZAOUI</v>
          </cell>
          <cell r="T156" t="str">
            <v>R3</v>
          </cell>
          <cell r="U156" t="str">
            <v>ORD</v>
          </cell>
          <cell r="V156" t="str">
            <v>DN</v>
          </cell>
          <cell r="W156" t="str">
            <v>T</v>
          </cell>
          <cell r="X156" t="str">
            <v>R</v>
          </cell>
        </row>
        <row r="157">
          <cell r="B157">
            <v>2929</v>
          </cell>
          <cell r="C157" t="str">
            <v xml:space="preserve"> 27 MOTEURS ELECTRIQUES B.T POUR L'USINE DE BENI-IDIR</v>
          </cell>
          <cell r="D157">
            <v>0</v>
          </cell>
          <cell r="E157">
            <v>120000</v>
          </cell>
          <cell r="F157">
            <v>0</v>
          </cell>
          <cell r="G157">
            <v>0</v>
          </cell>
          <cell r="I157" t="str">
            <v>CONSUL</v>
          </cell>
          <cell r="J157" t="str">
            <v>AD</v>
          </cell>
          <cell r="K157" t="str">
            <v>DAM envoyée pour attribution</v>
          </cell>
          <cell r="L157" t="str">
            <v>TG-569</v>
          </cell>
          <cell r="M157">
            <v>38860</v>
          </cell>
          <cell r="N157" t="str">
            <v>DAM -30/06</v>
          </cell>
          <cell r="P157" t="str">
            <v>DP-62149/04</v>
          </cell>
          <cell r="S157" t="str">
            <v>TOGHZAOUI</v>
          </cell>
          <cell r="T157" t="str">
            <v>R2</v>
          </cell>
          <cell r="U157" t="str">
            <v>ORD</v>
          </cell>
          <cell r="V157" t="str">
            <v>RN</v>
          </cell>
          <cell r="W157" t="str">
            <v>T</v>
          </cell>
          <cell r="X157" t="str">
            <v>R</v>
          </cell>
        </row>
        <row r="158">
          <cell r="B158">
            <v>2931</v>
          </cell>
          <cell r="C158" t="str">
            <v>RN DE 2 POMPES DE FUEL POUR L'ATELIER DE SECHAGE DU COZ</v>
          </cell>
          <cell r="D158">
            <v>0</v>
          </cell>
          <cell r="E158">
            <v>440000</v>
          </cell>
          <cell r="F158">
            <v>0</v>
          </cell>
          <cell r="G158">
            <v>0</v>
          </cell>
          <cell r="I158" t="str">
            <v>CONSUL</v>
          </cell>
          <cell r="J158" t="str">
            <v>PFM/AC</v>
          </cell>
          <cell r="K158" t="str">
            <v>DAM envoyée pour consultation</v>
          </cell>
          <cell r="L158">
            <v>95</v>
          </cell>
          <cell r="M158">
            <v>39139</v>
          </cell>
          <cell r="N158" t="str">
            <v>DAM-04/07</v>
          </cell>
          <cell r="O158">
            <v>1713</v>
          </cell>
          <cell r="S158" t="str">
            <v>ZNAIDI</v>
          </cell>
          <cell r="T158" t="str">
            <v>R2</v>
          </cell>
          <cell r="U158" t="str">
            <v>ORD</v>
          </cell>
          <cell r="V158" t="str">
            <v>RN</v>
          </cell>
          <cell r="W158" t="str">
            <v>T</v>
          </cell>
          <cell r="X158" t="str">
            <v>R</v>
          </cell>
        </row>
        <row r="159">
          <cell r="B159">
            <v>2934</v>
          </cell>
          <cell r="C159" t="str">
            <v>ACHAT D'UNE POMPE POUR LE DEPOTAGE DU FUEL AU COZ</v>
          </cell>
          <cell r="D159">
            <v>0</v>
          </cell>
          <cell r="E159">
            <v>418000</v>
          </cell>
          <cell r="F159">
            <v>0</v>
          </cell>
          <cell r="G159">
            <v>0</v>
          </cell>
          <cell r="I159" t="str">
            <v>CONSUL</v>
          </cell>
          <cell r="J159" t="str">
            <v>PFM/AC</v>
          </cell>
          <cell r="K159" t="str">
            <v>DAM envoyée pour consultation</v>
          </cell>
          <cell r="L159">
            <v>95</v>
          </cell>
          <cell r="M159">
            <v>39139</v>
          </cell>
          <cell r="N159" t="str">
            <v>DAM-04/07</v>
          </cell>
          <cell r="O159">
            <v>1713</v>
          </cell>
          <cell r="S159" t="str">
            <v>ZNAIDI</v>
          </cell>
          <cell r="T159" t="str">
            <v>R2</v>
          </cell>
          <cell r="U159" t="str">
            <v>ORD</v>
          </cell>
          <cell r="V159" t="str">
            <v>DN</v>
          </cell>
          <cell r="W159" t="str">
            <v>T</v>
          </cell>
          <cell r="X159" t="str">
            <v>R</v>
          </cell>
        </row>
        <row r="160">
          <cell r="B160">
            <v>2936</v>
          </cell>
          <cell r="C160" t="str">
            <v>ACHAT DE 2 COMPRESSEURS D'AIR COMPRIME MOBILES POUR DEK/TK:B ET COZ</v>
          </cell>
          <cell r="D160">
            <v>480000</v>
          </cell>
          <cell r="E160">
            <v>480000</v>
          </cell>
          <cell r="F160">
            <v>0</v>
          </cell>
          <cell r="G160">
            <v>0</v>
          </cell>
          <cell r="I160" t="str">
            <v>CHT</v>
          </cell>
          <cell r="J160" t="str">
            <v>PFM/AC</v>
          </cell>
          <cell r="K160" t="str">
            <v>Choix technique envoyé</v>
          </cell>
          <cell r="M160">
            <v>38427</v>
          </cell>
          <cell r="N160" t="str">
            <v>DAM-80/04</v>
          </cell>
          <cell r="S160" t="str">
            <v>LEBBARDI</v>
          </cell>
          <cell r="T160" t="str">
            <v>R2</v>
          </cell>
          <cell r="U160" t="str">
            <v>ORD</v>
          </cell>
          <cell r="V160" t="str">
            <v>DN</v>
          </cell>
          <cell r="W160" t="str">
            <v>T</v>
          </cell>
          <cell r="X160" t="str">
            <v>R</v>
          </cell>
        </row>
        <row r="161">
          <cell r="B161">
            <v>2940</v>
          </cell>
          <cell r="C161" t="str">
            <v>RN DE MATERIEL DE LABORATOIRE</v>
          </cell>
          <cell r="D161">
            <v>0</v>
          </cell>
          <cell r="E161">
            <v>480000</v>
          </cell>
          <cell r="F161">
            <v>0</v>
          </cell>
          <cell r="G161">
            <v>0</v>
          </cell>
          <cell r="I161" t="str">
            <v>CONSUL</v>
          </cell>
          <cell r="J161" t="str">
            <v>AD</v>
          </cell>
          <cell r="K161" t="str">
            <v>DAM envoyée pour consultation</v>
          </cell>
          <cell r="L161">
            <v>175</v>
          </cell>
          <cell r="M161">
            <v>39160</v>
          </cell>
          <cell r="N161" t="str">
            <v>DAM-56/07</v>
          </cell>
          <cell r="O161">
            <v>5981</v>
          </cell>
          <cell r="S161" t="str">
            <v>KABBAGE</v>
          </cell>
          <cell r="T161" t="str">
            <v>R2</v>
          </cell>
          <cell r="U161" t="str">
            <v>ORD</v>
          </cell>
          <cell r="V161" t="str">
            <v>RN</v>
          </cell>
          <cell r="W161" t="str">
            <v>T</v>
          </cell>
          <cell r="X161" t="str">
            <v>R</v>
          </cell>
        </row>
        <row r="162">
          <cell r="B162">
            <v>2941</v>
          </cell>
          <cell r="C162" t="str">
            <v>RN DE L'ARMOIRE FRIGORIFIQUE DE LA BUVETTE DU COZ</v>
          </cell>
          <cell r="D162">
            <v>73760</v>
          </cell>
          <cell r="E162">
            <v>50000</v>
          </cell>
          <cell r="F162">
            <v>0</v>
          </cell>
          <cell r="G162">
            <v>0</v>
          </cell>
          <cell r="K162" t="str">
            <v>AE N°-2941-1 DE 23760 DH</v>
          </cell>
          <cell r="M162">
            <v>38881</v>
          </cell>
          <cell r="N162" t="str">
            <v>DAM-113/05</v>
          </cell>
          <cell r="P162" t="str">
            <v>DP 45179</v>
          </cell>
          <cell r="S162" t="str">
            <v>ZNAIDI</v>
          </cell>
          <cell r="T162" t="str">
            <v>R2</v>
          </cell>
          <cell r="U162" t="str">
            <v>ORD</v>
          </cell>
          <cell r="V162" t="str">
            <v>RN</v>
          </cell>
          <cell r="W162" t="str">
            <v>T</v>
          </cell>
          <cell r="X162" t="str">
            <v>R</v>
          </cell>
        </row>
        <row r="163">
          <cell r="B163">
            <v>2944</v>
          </cell>
          <cell r="C163" t="str">
            <v>RN MOTEUR ELECTRIQUE POUR LES INSTALLATIONS DE L'UNITE TRAITEMENT DAOUI</v>
          </cell>
          <cell r="D163">
            <v>0</v>
          </cell>
          <cell r="E163">
            <v>700000</v>
          </cell>
          <cell r="F163">
            <v>0</v>
          </cell>
          <cell r="G163">
            <v>0</v>
          </cell>
          <cell r="I163" t="str">
            <v>CONSUL</v>
          </cell>
          <cell r="J163" t="str">
            <v>AD</v>
          </cell>
          <cell r="K163" t="str">
            <v>DAM envoyée pour consultation</v>
          </cell>
          <cell r="L163" t="str">
            <v>T-569</v>
          </cell>
          <cell r="M163">
            <v>38799</v>
          </cell>
          <cell r="N163" t="str">
            <v>DAM-83/06</v>
          </cell>
          <cell r="P163" t="str">
            <v>DP-62061/04</v>
          </cell>
          <cell r="S163" t="str">
            <v>BERRADA</v>
          </cell>
          <cell r="T163" t="str">
            <v>R2</v>
          </cell>
          <cell r="U163" t="str">
            <v>ORD</v>
          </cell>
          <cell r="V163" t="str">
            <v>RN</v>
          </cell>
          <cell r="W163" t="str">
            <v>T</v>
          </cell>
          <cell r="X163" t="str">
            <v>R</v>
          </cell>
        </row>
        <row r="164">
          <cell r="B164">
            <v>2947</v>
          </cell>
          <cell r="C164" t="str">
            <v>FOURNITURE ET CONSTRUCTION D'UN LOCAL DE L'ANTENNE D'HYGIENE ET DE SECURITE AU COZ</v>
          </cell>
          <cell r="D164">
            <v>1078490</v>
          </cell>
          <cell r="E164">
            <v>555900</v>
          </cell>
          <cell r="F164">
            <v>0</v>
          </cell>
          <cell r="G164">
            <v>0</v>
          </cell>
          <cell r="K164" t="str">
            <v>AE N°-2947 DE 522589,68</v>
          </cell>
          <cell r="M164">
            <v>38903</v>
          </cell>
          <cell r="N164" t="str">
            <v>AO-020K/06</v>
          </cell>
          <cell r="P164" t="str">
            <v>AO-020K/06</v>
          </cell>
          <cell r="S164" t="str">
            <v>ASSOUD</v>
          </cell>
          <cell r="T164" t="str">
            <v>R7</v>
          </cell>
          <cell r="U164" t="str">
            <v>ORD</v>
          </cell>
          <cell r="V164" t="str">
            <v>DN</v>
          </cell>
          <cell r="W164" t="str">
            <v>T</v>
          </cell>
          <cell r="X164" t="str">
            <v>R</v>
          </cell>
        </row>
        <row r="165">
          <cell r="B165">
            <v>2948</v>
          </cell>
          <cell r="C165" t="str">
            <v>ACHAT DE 06 ALIMENTATIONS STABILISEES DE 48V</v>
          </cell>
          <cell r="D165">
            <v>0</v>
          </cell>
          <cell r="E165">
            <v>480000</v>
          </cell>
          <cell r="F165">
            <v>0</v>
          </cell>
          <cell r="G165">
            <v>0</v>
          </cell>
          <cell r="I165" t="str">
            <v>CONSUL</v>
          </cell>
          <cell r="J165" t="str">
            <v>PFM/AC</v>
          </cell>
          <cell r="K165" t="str">
            <v xml:space="preserve">DAM envoyée pour consultation </v>
          </cell>
          <cell r="M165">
            <v>38085</v>
          </cell>
          <cell r="N165" t="str">
            <v>DAM-69/04</v>
          </cell>
          <cell r="S165" t="str">
            <v>AIT HSSAINE</v>
          </cell>
          <cell r="T165" t="str">
            <v>R2</v>
          </cell>
          <cell r="U165" t="str">
            <v>ORD</v>
          </cell>
          <cell r="V165" t="str">
            <v>DN</v>
          </cell>
          <cell r="W165" t="str">
            <v>T</v>
          </cell>
          <cell r="X165" t="str">
            <v>R</v>
          </cell>
        </row>
        <row r="166">
          <cell r="B166">
            <v>2949</v>
          </cell>
          <cell r="C166" t="str">
            <v>16 COLONNES BASSE TENSION</v>
          </cell>
          <cell r="D166">
            <v>4500000</v>
          </cell>
          <cell r="E166">
            <v>4500000</v>
          </cell>
          <cell r="F166">
            <v>0</v>
          </cell>
          <cell r="G166">
            <v>0</v>
          </cell>
          <cell r="I166" t="str">
            <v>CONSUL</v>
          </cell>
          <cell r="J166" t="str">
            <v>PFM/M</v>
          </cell>
          <cell r="K166" t="str">
            <v>DPM envoyée pour attribution</v>
          </cell>
          <cell r="M166">
            <v>38139</v>
          </cell>
          <cell r="N166" t="str">
            <v>DPM-11/04</v>
          </cell>
          <cell r="S166" t="str">
            <v>EL FATTAHI</v>
          </cell>
          <cell r="T166" t="str">
            <v>R2</v>
          </cell>
          <cell r="U166" t="str">
            <v>ORD</v>
          </cell>
          <cell r="V166" t="str">
            <v>DN</v>
          </cell>
          <cell r="W166" t="str">
            <v>TC</v>
          </cell>
          <cell r="X166" t="str">
            <v>R</v>
          </cell>
        </row>
        <row r="167">
          <cell r="B167">
            <v>2950</v>
          </cell>
          <cell r="C167" t="str">
            <v>CELLULES ELECTRIQUES MOYENNE TENSION</v>
          </cell>
          <cell r="D167">
            <v>4200000</v>
          </cell>
          <cell r="E167">
            <v>4200000</v>
          </cell>
          <cell r="F167">
            <v>0</v>
          </cell>
          <cell r="G167">
            <v>0</v>
          </cell>
          <cell r="I167" t="str">
            <v>DPM</v>
          </cell>
          <cell r="J167" t="str">
            <v>PFM/M</v>
          </cell>
          <cell r="K167" t="str">
            <v>DPM envoyée pour attribution</v>
          </cell>
          <cell r="L167">
            <v>393</v>
          </cell>
          <cell r="M167">
            <v>38506</v>
          </cell>
          <cell r="N167" t="str">
            <v>DPM- 20/04</v>
          </cell>
          <cell r="S167" t="str">
            <v>EL FATTAHI</v>
          </cell>
          <cell r="T167" t="str">
            <v>R2</v>
          </cell>
          <cell r="U167" t="str">
            <v>ORD</v>
          </cell>
          <cell r="V167" t="str">
            <v>DN</v>
          </cell>
          <cell r="W167" t="str">
            <v>TC</v>
          </cell>
          <cell r="X167" t="str">
            <v>R</v>
          </cell>
        </row>
        <row r="168">
          <cell r="B168">
            <v>2951</v>
          </cell>
          <cell r="C168" t="str">
            <v>01 MOTEUR ELECTRIQUE 132 KW - 500 V</v>
          </cell>
          <cell r="D168">
            <v>52340</v>
          </cell>
          <cell r="E168">
            <v>52340</v>
          </cell>
          <cell r="F168">
            <v>0</v>
          </cell>
          <cell r="G168">
            <v>0</v>
          </cell>
          <cell r="I168" t="str">
            <v>CHT</v>
          </cell>
          <cell r="J168" t="str">
            <v>AD</v>
          </cell>
          <cell r="K168" t="str">
            <v>CHT envoyée pour attribution</v>
          </cell>
          <cell r="L168">
            <v>438</v>
          </cell>
          <cell r="M168">
            <v>39282</v>
          </cell>
          <cell r="N168" t="str">
            <v>DAM-27/06</v>
          </cell>
          <cell r="P168" t="str">
            <v>DP-62208/04</v>
          </cell>
          <cell r="S168" t="str">
            <v>RAOUIA</v>
          </cell>
          <cell r="T168" t="str">
            <v>R2</v>
          </cell>
          <cell r="U168" t="str">
            <v>ORD</v>
          </cell>
          <cell r="V168" t="str">
            <v>DN</v>
          </cell>
          <cell r="W168" t="str">
            <v>TC</v>
          </cell>
          <cell r="X168" t="str">
            <v>R</v>
          </cell>
        </row>
        <row r="169">
          <cell r="B169">
            <v>2952</v>
          </cell>
          <cell r="C169" t="str">
            <v xml:space="preserve">2 TRANSFORMATEURS 2000 KVA </v>
          </cell>
          <cell r="D169">
            <v>1100000</v>
          </cell>
          <cell r="E169">
            <v>1100000</v>
          </cell>
          <cell r="F169">
            <v>0</v>
          </cell>
          <cell r="G169">
            <v>0</v>
          </cell>
          <cell r="I169" t="str">
            <v>CONSUL</v>
          </cell>
          <cell r="J169" t="str">
            <v>CP</v>
          </cell>
          <cell r="K169" t="str">
            <v>DAM retourné au CP (calendrier non respecte )</v>
          </cell>
          <cell r="L169" t="str">
            <v>07/80/AA</v>
          </cell>
          <cell r="M169">
            <v>39198</v>
          </cell>
          <cell r="N169" t="str">
            <v>DAM -22/07</v>
          </cell>
          <cell r="S169" t="str">
            <v>RAOUIA</v>
          </cell>
          <cell r="T169" t="str">
            <v>R2</v>
          </cell>
          <cell r="U169" t="str">
            <v>ORD</v>
          </cell>
          <cell r="V169" t="str">
            <v>DN</v>
          </cell>
          <cell r="W169" t="str">
            <v>TC</v>
          </cell>
          <cell r="X169" t="str">
            <v>R</v>
          </cell>
        </row>
        <row r="170">
          <cell r="B170">
            <v>2957</v>
          </cell>
          <cell r="C170" t="str">
            <v>MATERIEL DE LEVAGE ET MANUTENTION</v>
          </cell>
          <cell r="D170">
            <v>20000</v>
          </cell>
          <cell r="E170">
            <v>20000</v>
          </cell>
          <cell r="F170">
            <v>0</v>
          </cell>
          <cell r="G170">
            <v>0</v>
          </cell>
          <cell r="I170" t="str">
            <v>CT</v>
          </cell>
          <cell r="J170" t="str">
            <v>CP</v>
          </cell>
          <cell r="K170" t="str">
            <v>DAM retourné au CP (transmis directement)
(AE N°22833_1 de 14720,00 dh &amp; DIB/C de 1120,00 DH en 2006)</v>
          </cell>
          <cell r="L170">
            <v>727</v>
          </cell>
          <cell r="M170">
            <v>39216</v>
          </cell>
          <cell r="N170" t="str">
            <v>DAM-16/06</v>
          </cell>
          <cell r="S170" t="str">
            <v>RAOUIA</v>
          </cell>
          <cell r="T170" t="str">
            <v>R2</v>
          </cell>
          <cell r="U170" t="str">
            <v>ORD</v>
          </cell>
          <cell r="V170" t="str">
            <v>DN</v>
          </cell>
          <cell r="W170" t="str">
            <v>TC</v>
          </cell>
          <cell r="X170" t="str">
            <v>R</v>
          </cell>
        </row>
        <row r="171">
          <cell r="B171">
            <v>2961</v>
          </cell>
          <cell r="C171" t="str">
            <v>MATERIEL DIVERS A CARACTERE ADMINISTRATIF</v>
          </cell>
          <cell r="D171">
            <v>20000</v>
          </cell>
          <cell r="E171">
            <v>20000</v>
          </cell>
          <cell r="F171">
            <v>0</v>
          </cell>
          <cell r="G171">
            <v>0</v>
          </cell>
          <cell r="I171" t="str">
            <v>CONSUL</v>
          </cell>
          <cell r="J171" t="str">
            <v>AD</v>
          </cell>
          <cell r="K171" t="str">
            <v>DAM envoyée pour consultation</v>
          </cell>
          <cell r="L171">
            <v>309</v>
          </cell>
          <cell r="M171">
            <v>39209</v>
          </cell>
          <cell r="N171" t="str">
            <v>DAM-63/07</v>
          </cell>
          <cell r="S171" t="str">
            <v>MOUMEN</v>
          </cell>
          <cell r="T171" t="str">
            <v>R6</v>
          </cell>
          <cell r="U171" t="str">
            <v>ADM</v>
          </cell>
          <cell r="V171" t="str">
            <v>DN</v>
          </cell>
          <cell r="W171" t="str">
            <v>TC</v>
          </cell>
          <cell r="X171" t="str">
            <v>R</v>
          </cell>
        </row>
        <row r="172">
          <cell r="B172">
            <v>2962</v>
          </cell>
          <cell r="C172" t="str">
            <v>4 ESCABEAUX EN ALLUMINIUM</v>
          </cell>
          <cell r="D172">
            <v>4000</v>
          </cell>
          <cell r="E172">
            <v>4000</v>
          </cell>
          <cell r="F172">
            <v>0</v>
          </cell>
          <cell r="G172">
            <v>0</v>
          </cell>
          <cell r="K172" t="str">
            <v>AE N° 22859-1 de 1056 dh</v>
          </cell>
          <cell r="M172">
            <v>38254</v>
          </cell>
          <cell r="N172" t="str">
            <v>DAM-12/04</v>
          </cell>
          <cell r="P172" t="str">
            <v>DP-4669</v>
          </cell>
          <cell r="S172" t="str">
            <v>MOUMEN</v>
          </cell>
          <cell r="T172" t="str">
            <v>R6</v>
          </cell>
          <cell r="U172" t="str">
            <v>ADM</v>
          </cell>
          <cell r="V172" t="str">
            <v>DN</v>
          </cell>
          <cell r="W172" t="str">
            <v>TC</v>
          </cell>
          <cell r="X172" t="str">
            <v>R</v>
          </cell>
        </row>
        <row r="173">
          <cell r="B173">
            <v>2962</v>
          </cell>
          <cell r="C173" t="str">
            <v>1 PAIRE DE JUMELLE</v>
          </cell>
          <cell r="I173" t="str">
            <v>CONSUL</v>
          </cell>
          <cell r="J173" t="str">
            <v>AD</v>
          </cell>
          <cell r="K173" t="str">
            <v>DAM envoyée pour consultation</v>
          </cell>
          <cell r="L173">
            <v>449</v>
          </cell>
          <cell r="M173">
            <v>38517</v>
          </cell>
          <cell r="N173" t="str">
            <v>DAM-50/05</v>
          </cell>
          <cell r="S173" t="str">
            <v>MOUMEN</v>
          </cell>
          <cell r="T173" t="str">
            <v>R6</v>
          </cell>
          <cell r="U173" t="str">
            <v>ADM</v>
          </cell>
          <cell r="V173" t="str">
            <v>DN</v>
          </cell>
          <cell r="W173" t="str">
            <v>TC</v>
          </cell>
          <cell r="X173" t="str">
            <v>R</v>
          </cell>
        </row>
        <row r="174">
          <cell r="B174">
            <v>2963</v>
          </cell>
          <cell r="C174" t="str">
            <v>3 FONTAINES RÉFRIGÉRANTES ET 3 RÉFRIGÉRATEURS 290 L</v>
          </cell>
          <cell r="D174">
            <v>21000</v>
          </cell>
          <cell r="E174">
            <v>21000</v>
          </cell>
          <cell r="F174">
            <v>0</v>
          </cell>
          <cell r="G174">
            <v>0</v>
          </cell>
          <cell r="I174" t="str">
            <v>CONSUL</v>
          </cell>
          <cell r="J174" t="str">
            <v>AD</v>
          </cell>
          <cell r="K174" t="str">
            <v xml:space="preserve">DAM envoyée à AD </v>
          </cell>
          <cell r="L174" t="str">
            <v>76-309
AK122</v>
          </cell>
          <cell r="M174" t="str">
            <v>20/02-07/05-03/07/2007</v>
          </cell>
          <cell r="N174" t="str">
            <v>DAM-30
DAM-65-20/07</v>
          </cell>
          <cell r="O174">
            <v>7220</v>
          </cell>
          <cell r="S174" t="str">
            <v>TIBAR</v>
          </cell>
          <cell r="T174" t="str">
            <v>R6</v>
          </cell>
          <cell r="U174" t="str">
            <v>ADM</v>
          </cell>
          <cell r="V174" t="str">
            <v>DN</v>
          </cell>
          <cell r="W174" t="str">
            <v>TC</v>
          </cell>
          <cell r="X174" t="str">
            <v>R</v>
          </cell>
        </row>
        <row r="175">
          <cell r="B175">
            <v>2966</v>
          </cell>
          <cell r="C175" t="str">
            <v>RN D'UN GROUPE MOTOPOMPE REMORQUABLE DE D.C.I</v>
          </cell>
          <cell r="D175">
            <v>450000</v>
          </cell>
          <cell r="E175">
            <v>450000</v>
          </cell>
          <cell r="F175">
            <v>0</v>
          </cell>
          <cell r="G175">
            <v>0</v>
          </cell>
          <cell r="I175" t="str">
            <v>CONSUL</v>
          </cell>
          <cell r="J175" t="str">
            <v>AD</v>
          </cell>
          <cell r="K175" t="str">
            <v>DAM envoyée pour consultation</v>
          </cell>
          <cell r="L175">
            <v>18</v>
          </cell>
          <cell r="M175">
            <v>38727</v>
          </cell>
          <cell r="N175" t="str">
            <v>DAM-151/05</v>
          </cell>
          <cell r="S175" t="str">
            <v>ASSOUD</v>
          </cell>
          <cell r="T175" t="str">
            <v>R7</v>
          </cell>
          <cell r="U175" t="str">
            <v>ORD</v>
          </cell>
          <cell r="V175" t="str">
            <v>RN</v>
          </cell>
          <cell r="W175" t="str">
            <v>T</v>
          </cell>
          <cell r="X175" t="str">
            <v>R</v>
          </cell>
        </row>
        <row r="176">
          <cell r="B176">
            <v>2967</v>
          </cell>
          <cell r="C176" t="str">
            <v>ACHAT D'UN KIT POUR MESURE DE LA CONCENTRATION DES POUSSIERES AU COZ</v>
          </cell>
          <cell r="D176">
            <v>0</v>
          </cell>
          <cell r="E176">
            <v>300000</v>
          </cell>
          <cell r="F176">
            <v>0</v>
          </cell>
          <cell r="G176">
            <v>0</v>
          </cell>
          <cell r="K176" t="str">
            <v xml:space="preserve">AE d'annulation N° IV2967-1 du 06/02/2006, Mt=200000 dh </v>
          </cell>
          <cell r="M176">
            <v>39119</v>
          </cell>
          <cell r="N176" t="str">
            <v>DAM-61/05</v>
          </cell>
          <cell r="S176" t="str">
            <v>LEBBARDI</v>
          </cell>
          <cell r="T176" t="str">
            <v>R3</v>
          </cell>
          <cell r="U176" t="str">
            <v>ORD</v>
          </cell>
          <cell r="V176" t="str">
            <v>DN</v>
          </cell>
          <cell r="W176" t="str">
            <v>T</v>
          </cell>
          <cell r="X176" t="str">
            <v>R</v>
          </cell>
        </row>
        <row r="177">
          <cell r="B177">
            <v>2968</v>
          </cell>
          <cell r="C177" t="str">
            <v>ACHAT DE 02 ASSECHEURS D'AIR POUR INSTALLATIONS DE CHARGEMENT DU COZ</v>
          </cell>
          <cell r="D177">
            <v>0</v>
          </cell>
          <cell r="E177">
            <v>480000</v>
          </cell>
          <cell r="F177">
            <v>0</v>
          </cell>
          <cell r="G177">
            <v>0</v>
          </cell>
          <cell r="I177" t="str">
            <v>CONSUL</v>
          </cell>
          <cell r="J177" t="str">
            <v>AD</v>
          </cell>
          <cell r="K177" t="str">
            <v>DAM  pour consultation</v>
          </cell>
          <cell r="L177">
            <v>326</v>
          </cell>
          <cell r="M177">
            <v>38875</v>
          </cell>
          <cell r="N177" t="str">
            <v>DAM- 117/06</v>
          </cell>
          <cell r="S177" t="str">
            <v>BERRADA</v>
          </cell>
          <cell r="T177" t="str">
            <v>R2</v>
          </cell>
          <cell r="U177" t="str">
            <v>ORD</v>
          </cell>
          <cell r="V177" t="str">
            <v>DN</v>
          </cell>
          <cell r="W177" t="str">
            <v>T</v>
          </cell>
          <cell r="X177" t="str">
            <v>R</v>
          </cell>
        </row>
        <row r="178">
          <cell r="B178">
            <v>2969</v>
          </cell>
          <cell r="C178" t="str">
            <v>RN DE 06 MOTEURS ELECTRIQUES BT POUR LES INSTALLATIONS DU COZ</v>
          </cell>
          <cell r="D178">
            <v>212800</v>
          </cell>
          <cell r="E178">
            <v>290000</v>
          </cell>
          <cell r="F178">
            <v>0</v>
          </cell>
          <cell r="G178">
            <v>0</v>
          </cell>
          <cell r="H178">
            <v>80000</v>
          </cell>
          <cell r="I178" t="str">
            <v>ENG</v>
          </cell>
          <cell r="J178" t="str">
            <v>CP</v>
          </cell>
          <cell r="K178" t="str">
            <v>Lettre d'urgence accordée par DG - DAE 2969-1 de 79916,45 DH
DAE 2969-3 de 80000,00 DH</v>
          </cell>
          <cell r="L178" t="str">
            <v>PFF-642</v>
          </cell>
          <cell r="M178">
            <v>39356</v>
          </cell>
          <cell r="N178" t="str">
            <v>DAM-26/04</v>
          </cell>
          <cell r="P178" t="str">
            <v>DP-45144/06</v>
          </cell>
          <cell r="S178" t="str">
            <v>BERRADA</v>
          </cell>
          <cell r="T178" t="str">
            <v>R2</v>
          </cell>
          <cell r="U178" t="str">
            <v>ORD</v>
          </cell>
          <cell r="V178" t="str">
            <v>RN</v>
          </cell>
          <cell r="W178" t="str">
            <v>T</v>
          </cell>
          <cell r="X178" t="str">
            <v>R</v>
          </cell>
        </row>
        <row r="179">
          <cell r="B179">
            <v>2970</v>
          </cell>
          <cell r="C179" t="str">
            <v>RN DES TRANSFORMATEURS AU PYRALENE INSTALLES DANS LES POSTES ELECTRIQUES DU COZ</v>
          </cell>
          <cell r="D179">
            <v>0</v>
          </cell>
          <cell r="E179">
            <v>211600</v>
          </cell>
          <cell r="F179">
            <v>0</v>
          </cell>
          <cell r="G179">
            <v>0</v>
          </cell>
          <cell r="K179" t="str">
            <v xml:space="preserve">AE d'annulation N° IV2970-1 du 06/02/2006, Mt=278400 dh </v>
          </cell>
          <cell r="M179">
            <v>39119</v>
          </cell>
          <cell r="N179" t="str">
            <v>DAM - 03/05</v>
          </cell>
          <cell r="P179" t="str">
            <v>DP-62016/05</v>
          </cell>
          <cell r="S179" t="str">
            <v>BERRADA</v>
          </cell>
          <cell r="T179" t="str">
            <v>R2</v>
          </cell>
          <cell r="U179" t="str">
            <v>ORD</v>
          </cell>
          <cell r="V179" t="str">
            <v>RN</v>
          </cell>
          <cell r="W179" t="str">
            <v>T</v>
          </cell>
          <cell r="X179" t="str">
            <v>R</v>
          </cell>
        </row>
        <row r="180">
          <cell r="B180">
            <v>2974</v>
          </cell>
          <cell r="C180" t="str">
            <v>2 POMPES HYDRAULIQUES</v>
          </cell>
          <cell r="D180">
            <v>6102</v>
          </cell>
          <cell r="E180">
            <v>23000</v>
          </cell>
          <cell r="F180">
            <v>0</v>
          </cell>
          <cell r="G180">
            <v>0</v>
          </cell>
          <cell r="I180" t="str">
            <v>CONSUL</v>
          </cell>
          <cell r="J180" t="str">
            <v>AD</v>
          </cell>
          <cell r="K180" t="str">
            <v>DAM  pour consultation</v>
          </cell>
          <cell r="L180">
            <v>561</v>
          </cell>
          <cell r="M180">
            <v>39017</v>
          </cell>
          <cell r="N180" t="str">
            <v>DAM- 166/06</v>
          </cell>
          <cell r="S180" t="str">
            <v>OUAMALICH</v>
          </cell>
          <cell r="T180" t="str">
            <v>R2</v>
          </cell>
          <cell r="U180" t="str">
            <v>ORD</v>
          </cell>
          <cell r="V180" t="str">
            <v>RN</v>
          </cell>
          <cell r="W180" t="str">
            <v>T</v>
          </cell>
          <cell r="X180" t="str">
            <v>R</v>
          </cell>
        </row>
        <row r="181">
          <cell r="B181">
            <v>2974</v>
          </cell>
          <cell r="C181" t="str">
            <v>2 MEULEUSES ELECTRIQUE</v>
          </cell>
          <cell r="K181" t="str">
            <v>AE N°-2974-2</v>
          </cell>
          <cell r="L181">
            <v>666</v>
          </cell>
          <cell r="M181">
            <v>38975</v>
          </cell>
          <cell r="N181" t="str">
            <v>DAM-97/05</v>
          </cell>
          <cell r="P181" t="str">
            <v>DP-45149/05</v>
          </cell>
          <cell r="S181" t="str">
            <v>OUAMALICH</v>
          </cell>
          <cell r="T181" t="str">
            <v>R2</v>
          </cell>
          <cell r="U181" t="str">
            <v>ORD</v>
          </cell>
          <cell r="V181" t="str">
            <v>RN</v>
          </cell>
          <cell r="W181" t="str">
            <v>T</v>
          </cell>
          <cell r="X181" t="str">
            <v>R</v>
          </cell>
        </row>
        <row r="182">
          <cell r="B182">
            <v>2974</v>
          </cell>
          <cell r="C182" t="str">
            <v>2 MEULEUSES DROITES A RAPER</v>
          </cell>
          <cell r="K182" t="str">
            <v>AE N°-2974-1</v>
          </cell>
          <cell r="M182">
            <v>38933</v>
          </cell>
          <cell r="N182" t="str">
            <v>DAM-96/05</v>
          </cell>
          <cell r="P182" t="str">
            <v>DP-45149/05</v>
          </cell>
          <cell r="S182" t="str">
            <v>OUAMALICH</v>
          </cell>
          <cell r="T182" t="str">
            <v>R2</v>
          </cell>
          <cell r="U182" t="str">
            <v>ORD</v>
          </cell>
          <cell r="V182" t="str">
            <v>RN</v>
          </cell>
          <cell r="W182" t="str">
            <v>T</v>
          </cell>
          <cell r="X182" t="str">
            <v>R</v>
          </cell>
        </row>
        <row r="183">
          <cell r="B183">
            <v>2975</v>
          </cell>
          <cell r="C183" t="str">
            <v>RN DE 03 TREUILS ELECTRIQUES DES CONVOYEURS DA2-DB2-DA4 DU COZ</v>
          </cell>
          <cell r="D183">
            <v>437256</v>
          </cell>
          <cell r="E183">
            <v>700000</v>
          </cell>
          <cell r="F183">
            <v>0</v>
          </cell>
          <cell r="G183">
            <v>0</v>
          </cell>
          <cell r="K183" t="str">
            <v xml:space="preserve">AE N° 2975-1 </v>
          </cell>
          <cell r="M183">
            <v>38736</v>
          </cell>
          <cell r="N183" t="str">
            <v>DAM-134/05</v>
          </cell>
          <cell r="P183" t="str">
            <v>DP-45201/5</v>
          </cell>
          <cell r="S183" t="str">
            <v>CHNANI</v>
          </cell>
          <cell r="T183" t="str">
            <v>R2</v>
          </cell>
          <cell r="U183" t="str">
            <v>ORD</v>
          </cell>
          <cell r="V183" t="str">
            <v>RN</v>
          </cell>
          <cell r="W183" t="str">
            <v>T</v>
          </cell>
          <cell r="X183" t="str">
            <v>R</v>
          </cell>
        </row>
        <row r="184">
          <cell r="B184">
            <v>2976</v>
          </cell>
          <cell r="C184" t="str">
            <v>RN DE 06 POMPES DES CHAUDIERES ET DEPOTAGE DU COZ</v>
          </cell>
          <cell r="D184">
            <v>0</v>
          </cell>
          <cell r="E184">
            <v>840000</v>
          </cell>
          <cell r="F184">
            <v>0</v>
          </cell>
          <cell r="G184">
            <v>0</v>
          </cell>
          <cell r="K184" t="str">
            <v>ANNULEE PAR CP</v>
          </cell>
          <cell r="L184">
            <v>5</v>
          </cell>
          <cell r="M184">
            <v>38722</v>
          </cell>
          <cell r="N184" t="str">
            <v>DAM-09/05</v>
          </cell>
          <cell r="S184" t="str">
            <v>CHNANI</v>
          </cell>
          <cell r="T184" t="str">
            <v>R2</v>
          </cell>
          <cell r="U184" t="str">
            <v>ORD</v>
          </cell>
          <cell r="V184" t="str">
            <v>RN</v>
          </cell>
          <cell r="W184" t="str">
            <v>T</v>
          </cell>
          <cell r="X184" t="str">
            <v>R</v>
          </cell>
        </row>
        <row r="185">
          <cell r="B185">
            <v>2977</v>
          </cell>
          <cell r="C185" t="str">
            <v>RN D'UNE GRUE DE 20 TONNES</v>
          </cell>
          <cell r="D185">
            <v>0</v>
          </cell>
          <cell r="E185">
            <v>4000000</v>
          </cell>
          <cell r="F185">
            <v>0</v>
          </cell>
          <cell r="G185">
            <v>0</v>
          </cell>
          <cell r="I185" t="str">
            <v>CT</v>
          </cell>
          <cell r="J185" t="str">
            <v>CP</v>
          </cell>
          <cell r="K185" t="str">
            <v>Pour élément de réponse à la DSD-380 du 28/07/2006</v>
          </cell>
          <cell r="L185">
            <v>414</v>
          </cell>
          <cell r="M185">
            <v>38933</v>
          </cell>
          <cell r="N185" t="str">
            <v>DAM-150/6</v>
          </cell>
          <cell r="S185" t="str">
            <v>LAHMIDI</v>
          </cell>
          <cell r="T185" t="str">
            <v>R2</v>
          </cell>
          <cell r="U185" t="str">
            <v>ORD</v>
          </cell>
          <cell r="V185" t="str">
            <v>RN</v>
          </cell>
          <cell r="W185" t="str">
            <v>T</v>
          </cell>
          <cell r="X185" t="str">
            <v>R</v>
          </cell>
        </row>
        <row r="186">
          <cell r="B186">
            <v>2979</v>
          </cell>
          <cell r="C186" t="str">
            <v>ACHAT D'OUTILLAGE POUR LES ATELIERS MECANIQUES DE PMK/TD</v>
          </cell>
          <cell r="D186">
            <v>415810</v>
          </cell>
          <cell r="E186">
            <v>100000</v>
          </cell>
          <cell r="F186">
            <v>0</v>
          </cell>
          <cell r="G186">
            <v>0</v>
          </cell>
          <cell r="K186" t="str">
            <v>AE N°-2979-1 à 2979-3</v>
          </cell>
          <cell r="M186">
            <v>38848</v>
          </cell>
          <cell r="N186" t="str">
            <v>DAM-08/05</v>
          </cell>
          <cell r="P186" t="str">
            <v>DP-62040/05</v>
          </cell>
          <cell r="S186" t="str">
            <v>CHNANI</v>
          </cell>
          <cell r="T186" t="str">
            <v>R2</v>
          </cell>
          <cell r="U186" t="str">
            <v>ORD</v>
          </cell>
          <cell r="V186" t="str">
            <v>DN</v>
          </cell>
          <cell r="W186" t="str">
            <v>T</v>
          </cell>
          <cell r="X186" t="str">
            <v>R</v>
          </cell>
        </row>
        <row r="187">
          <cell r="B187">
            <v>2980</v>
          </cell>
          <cell r="C187" t="str">
            <v>RN DES POSTES DE SOUDAGE POUR PMK/TD/CM</v>
          </cell>
          <cell r="D187">
            <v>0</v>
          </cell>
          <cell r="E187">
            <v>15000</v>
          </cell>
          <cell r="F187">
            <v>0</v>
          </cell>
          <cell r="G187">
            <v>0</v>
          </cell>
          <cell r="K187" t="str">
            <v>AE N° 23658-1 de 47839,20 dh</v>
          </cell>
          <cell r="M187">
            <v>38717</v>
          </cell>
          <cell r="N187" t="str">
            <v>DAM- 07/05</v>
          </cell>
          <cell r="P187" t="str">
            <v>DP-62033/5</v>
          </cell>
          <cell r="S187" t="str">
            <v>CHNANI</v>
          </cell>
          <cell r="T187" t="str">
            <v>R2</v>
          </cell>
          <cell r="U187" t="str">
            <v>ORD</v>
          </cell>
          <cell r="V187" t="str">
            <v>RN</v>
          </cell>
          <cell r="W187" t="str">
            <v>T</v>
          </cell>
          <cell r="X187" t="str">
            <v>R</v>
          </cell>
        </row>
        <row r="188">
          <cell r="B188">
            <v>2981</v>
          </cell>
          <cell r="C188" t="str">
            <v>RN DU TOUR PARALLELE DU SERVICE MECANIQUE PMK/TD/CM</v>
          </cell>
          <cell r="D188">
            <v>0</v>
          </cell>
          <cell r="E188">
            <v>490000</v>
          </cell>
          <cell r="F188">
            <v>0</v>
          </cell>
          <cell r="G188">
            <v>0</v>
          </cell>
          <cell r="I188" t="str">
            <v>CONSUL</v>
          </cell>
          <cell r="J188" t="str">
            <v>AD</v>
          </cell>
          <cell r="K188" t="str">
            <v>DAM envoyée pour consultation</v>
          </cell>
          <cell r="L188">
            <v>639</v>
          </cell>
          <cell r="M188">
            <v>38604</v>
          </cell>
          <cell r="N188" t="str">
            <v>DAM-138</v>
          </cell>
          <cell r="S188" t="str">
            <v>CHNANI</v>
          </cell>
          <cell r="T188" t="str">
            <v>R2</v>
          </cell>
          <cell r="U188" t="str">
            <v>ORD</v>
          </cell>
          <cell r="V188" t="str">
            <v>RN</v>
          </cell>
          <cell r="W188" t="str">
            <v>T</v>
          </cell>
          <cell r="X188" t="str">
            <v>R</v>
          </cell>
        </row>
        <row r="189">
          <cell r="B189">
            <v>2982</v>
          </cell>
          <cell r="C189" t="str">
            <v>RN DE 02 ENROULEURS DE CABLES DE RP2 DU COZ</v>
          </cell>
          <cell r="D189">
            <v>0</v>
          </cell>
          <cell r="E189">
            <v>950000</v>
          </cell>
          <cell r="F189">
            <v>0</v>
          </cell>
          <cell r="G189">
            <v>0</v>
          </cell>
          <cell r="I189" t="str">
            <v>CONSUL</v>
          </cell>
          <cell r="J189" t="str">
            <v>PLM</v>
          </cell>
          <cell r="K189" t="str">
            <v>DAM envoyée pour consultation</v>
          </cell>
          <cell r="L189">
            <v>412</v>
          </cell>
          <cell r="M189" t="str">
            <v>11/010/2007</v>
          </cell>
          <cell r="N189" t="str">
            <v>DAM-69/07</v>
          </cell>
          <cell r="O189">
            <v>2870</v>
          </cell>
          <cell r="S189" t="str">
            <v>CHNANI</v>
          </cell>
          <cell r="T189" t="str">
            <v>R2</v>
          </cell>
          <cell r="U189" t="str">
            <v>ORD</v>
          </cell>
          <cell r="V189" t="str">
            <v>RN</v>
          </cell>
          <cell r="W189" t="str">
            <v>T</v>
          </cell>
          <cell r="X189" t="str">
            <v>R</v>
          </cell>
        </row>
        <row r="190">
          <cell r="B190">
            <v>2983</v>
          </cell>
          <cell r="C190" t="str">
            <v>ACHAT D'UNE PRESSE HYDRAULIQUE A BATI HORIZONTAL DE 300 TONNES POUR L'ATELIER DES REPARATIONS CENTRALISE</v>
          </cell>
          <cell r="D190">
            <v>0</v>
          </cell>
          <cell r="E190">
            <v>450000</v>
          </cell>
          <cell r="F190">
            <v>0</v>
          </cell>
          <cell r="G190">
            <v>0</v>
          </cell>
          <cell r="K190" t="str">
            <v xml:space="preserve">Annulé par le CP </v>
          </cell>
          <cell r="L190">
            <v>12</v>
          </cell>
          <cell r="M190">
            <v>39185</v>
          </cell>
          <cell r="S190" t="str">
            <v>OUAMALICH</v>
          </cell>
          <cell r="T190" t="str">
            <v>R2</v>
          </cell>
          <cell r="U190" t="str">
            <v>ORD</v>
          </cell>
          <cell r="V190" t="str">
            <v>DN</v>
          </cell>
          <cell r="W190" t="str">
            <v>T</v>
          </cell>
          <cell r="X190" t="str">
            <v>R</v>
          </cell>
        </row>
        <row r="191">
          <cell r="B191">
            <v>2984</v>
          </cell>
          <cell r="C191" t="str">
            <v xml:space="preserve">4 COMPOSITIONS A OUTILS </v>
          </cell>
          <cell r="D191">
            <v>1539.9</v>
          </cell>
          <cell r="E191">
            <v>30000</v>
          </cell>
          <cell r="F191">
            <v>0</v>
          </cell>
          <cell r="G191">
            <v>0</v>
          </cell>
          <cell r="I191" t="str">
            <v>CONSUL</v>
          </cell>
          <cell r="J191" t="str">
            <v>AD</v>
          </cell>
          <cell r="K191" t="str">
            <v>DAM envoyée pour consultation</v>
          </cell>
          <cell r="L191">
            <v>616</v>
          </cell>
          <cell r="M191">
            <v>39050</v>
          </cell>
          <cell r="N191" t="str">
            <v>DAM-170/06</v>
          </cell>
          <cell r="S191" t="str">
            <v>OUAMALICH</v>
          </cell>
          <cell r="T191" t="str">
            <v>R2</v>
          </cell>
          <cell r="U191" t="str">
            <v>ORD</v>
          </cell>
          <cell r="V191" t="str">
            <v>RN</v>
          </cell>
          <cell r="W191" t="str">
            <v>T</v>
          </cell>
          <cell r="X191" t="str">
            <v>R</v>
          </cell>
        </row>
        <row r="192">
          <cell r="B192">
            <v>2984</v>
          </cell>
          <cell r="C192" t="str">
            <v xml:space="preserve">1 PERCEUCE ELECTRIQUE </v>
          </cell>
          <cell r="K192" t="str">
            <v>AE N°-2984 DE 1539,9 - Nlle DAM  pour consultation</v>
          </cell>
          <cell r="L192">
            <v>619</v>
          </cell>
          <cell r="M192">
            <v>39051</v>
          </cell>
          <cell r="N192" t="str">
            <v>DAM-177/6</v>
          </cell>
          <cell r="S192" t="str">
            <v>OUAMALICH</v>
          </cell>
          <cell r="T192" t="str">
            <v>R2</v>
          </cell>
          <cell r="U192" t="str">
            <v>ORD</v>
          </cell>
          <cell r="V192" t="str">
            <v>RN</v>
          </cell>
          <cell r="W192" t="str">
            <v>T</v>
          </cell>
          <cell r="X192" t="str">
            <v>R</v>
          </cell>
        </row>
        <row r="193">
          <cell r="B193">
            <v>2985</v>
          </cell>
          <cell r="C193" t="str">
            <v>RN DE 35 APPAREILS TELEPHONIQUES DE PMK/T</v>
          </cell>
          <cell r="D193">
            <v>68001</v>
          </cell>
          <cell r="E193">
            <v>5000</v>
          </cell>
          <cell r="F193">
            <v>0</v>
          </cell>
          <cell r="G193">
            <v>0</v>
          </cell>
          <cell r="K193" t="str">
            <v>AE'C'- 2985-1 de 37905,00 DH- Nlle DAM à AD le 30/11/06</v>
          </cell>
          <cell r="M193">
            <v>39030</v>
          </cell>
          <cell r="N193" t="str">
            <v>DAM-145/05</v>
          </cell>
          <cell r="P193" t="str">
            <v>DP-45217/05</v>
          </cell>
          <cell r="S193" t="str">
            <v>KARMOUNI</v>
          </cell>
          <cell r="T193" t="str">
            <v>R6</v>
          </cell>
          <cell r="U193" t="str">
            <v>ADM</v>
          </cell>
          <cell r="V193" t="str">
            <v>RN</v>
          </cell>
          <cell r="W193" t="str">
            <v>T</v>
          </cell>
          <cell r="X193" t="str">
            <v>R</v>
          </cell>
        </row>
        <row r="194">
          <cell r="B194">
            <v>2986</v>
          </cell>
          <cell r="C194" t="str">
            <v xml:space="preserve">19 CLIMATISEURS ET 02 FONTAINES </v>
          </cell>
          <cell r="D194">
            <v>217102</v>
          </cell>
          <cell r="E194">
            <v>57000</v>
          </cell>
          <cell r="F194">
            <v>0</v>
          </cell>
          <cell r="G194">
            <v>0</v>
          </cell>
          <cell r="K194" t="str">
            <v>AE N°-2986-1 &amp; 2-NLLE DAM pour ATT le 08/12/2006</v>
          </cell>
          <cell r="L194">
            <v>395</v>
          </cell>
          <cell r="M194">
            <v>38939</v>
          </cell>
          <cell r="N194" t="str">
            <v>DAM-37/05</v>
          </cell>
          <cell r="P194" t="str">
            <v>DP-45096</v>
          </cell>
          <cell r="S194" t="str">
            <v>KARMOUNI</v>
          </cell>
          <cell r="T194" t="str">
            <v>R6</v>
          </cell>
          <cell r="U194" t="str">
            <v>ADM</v>
          </cell>
          <cell r="V194" t="str">
            <v>RN</v>
          </cell>
          <cell r="W194" t="str">
            <v>T</v>
          </cell>
          <cell r="X194" t="str">
            <v>R</v>
          </cell>
        </row>
        <row r="195">
          <cell r="B195">
            <v>2986</v>
          </cell>
          <cell r="C195" t="str">
            <v xml:space="preserve">6 RÉFRIGÉRATEURS </v>
          </cell>
          <cell r="K195" t="str">
            <v>AE N°-2986-3</v>
          </cell>
          <cell r="M195">
            <v>38979</v>
          </cell>
          <cell r="N195" t="str">
            <v>DAM-36/05</v>
          </cell>
          <cell r="P195" t="str">
            <v>DP-45070</v>
          </cell>
          <cell r="S195" t="str">
            <v>KARMOUNI</v>
          </cell>
          <cell r="T195" t="str">
            <v>R6</v>
          </cell>
          <cell r="U195" t="str">
            <v>ADM</v>
          </cell>
          <cell r="V195" t="str">
            <v>RN</v>
          </cell>
          <cell r="W195" t="str">
            <v>T</v>
          </cell>
          <cell r="X195" t="str">
            <v>R</v>
          </cell>
        </row>
        <row r="196">
          <cell r="B196">
            <v>2987</v>
          </cell>
          <cell r="C196" t="str">
            <v>RN D'UN PALAN ELECTRIQUE INSTALLE AU HANGARD DE RESERVE DE PMK/TM/MG</v>
          </cell>
          <cell r="D196">
            <v>0</v>
          </cell>
          <cell r="E196">
            <v>25000</v>
          </cell>
          <cell r="F196">
            <v>0</v>
          </cell>
          <cell r="G196">
            <v>0</v>
          </cell>
          <cell r="K196" t="str">
            <v xml:space="preserve">AE N°-2987-1 </v>
          </cell>
          <cell r="L196">
            <v>322</v>
          </cell>
          <cell r="M196">
            <v>38873</v>
          </cell>
          <cell r="N196" t="str">
            <v>DAM-141/05</v>
          </cell>
          <cell r="P196" t="str">
            <v>DP-45216</v>
          </cell>
          <cell r="Q196">
            <v>6477</v>
          </cell>
          <cell r="R196" t="str">
            <v>C23 du 09/07/2007</v>
          </cell>
          <cell r="S196" t="str">
            <v>KARMOUNI</v>
          </cell>
          <cell r="T196" t="str">
            <v>R2</v>
          </cell>
          <cell r="U196" t="str">
            <v>ORD</v>
          </cell>
          <cell r="V196" t="str">
            <v>RN</v>
          </cell>
          <cell r="W196" t="str">
            <v>T</v>
          </cell>
          <cell r="X196" t="str">
            <v>R</v>
          </cell>
        </row>
        <row r="197">
          <cell r="B197">
            <v>2988</v>
          </cell>
          <cell r="C197" t="str">
            <v>RN DU MOBILIER ADMINISTRATIF DE PMK/T</v>
          </cell>
          <cell r="D197">
            <v>295000</v>
          </cell>
          <cell r="E197">
            <v>295000</v>
          </cell>
          <cell r="F197">
            <v>0</v>
          </cell>
          <cell r="G197">
            <v>0</v>
          </cell>
          <cell r="I197" t="str">
            <v>AT.AE</v>
          </cell>
          <cell r="J197" t="str">
            <v>PFF/CI</v>
          </cell>
          <cell r="K197" t="str">
            <v>AE N°-2988_1 2 &amp; 3 de 55 080,52 - 47 517,12 - 27 000,00DH</v>
          </cell>
          <cell r="L197">
            <v>179</v>
          </cell>
          <cell r="M197">
            <v>39197</v>
          </cell>
          <cell r="N197" t="str">
            <v>DAM-146/05</v>
          </cell>
          <cell r="S197" t="str">
            <v>KARMOUNI</v>
          </cell>
          <cell r="T197" t="str">
            <v>R6</v>
          </cell>
          <cell r="U197" t="str">
            <v>ADM</v>
          </cell>
          <cell r="V197" t="str">
            <v>RN</v>
          </cell>
          <cell r="W197" t="str">
            <v>T</v>
          </cell>
          <cell r="X197" t="str">
            <v>R</v>
          </cell>
        </row>
        <row r="198">
          <cell r="B198">
            <v>2988</v>
          </cell>
          <cell r="C198" t="str">
            <v>03 Tables de décharge et 36 chaises</v>
          </cell>
          <cell r="I198" t="str">
            <v>CONSUL</v>
          </cell>
          <cell r="J198" t="str">
            <v>AD</v>
          </cell>
          <cell r="K198" t="str">
            <v>DAM pour consultation</v>
          </cell>
          <cell r="L198">
            <v>91</v>
          </cell>
          <cell r="M198">
            <v>39139</v>
          </cell>
          <cell r="N198" t="str">
            <v>DAM-14</v>
          </cell>
          <cell r="O198">
            <v>5337</v>
          </cell>
          <cell r="S198" t="str">
            <v>KARMOUNI</v>
          </cell>
          <cell r="T198" t="str">
            <v>R6</v>
          </cell>
          <cell r="U198" t="str">
            <v>ADM</v>
          </cell>
          <cell r="V198" t="str">
            <v>RN</v>
          </cell>
          <cell r="W198" t="str">
            <v>T</v>
          </cell>
          <cell r="X198" t="str">
            <v>R</v>
          </cell>
        </row>
        <row r="199">
          <cell r="B199">
            <v>2990</v>
          </cell>
          <cell r="C199" t="str">
            <v>ACHAT DES EQUIPEMENTS HYDRAULIQUES POUR LES SERVICES MECANIQUES DE PMK/TD</v>
          </cell>
          <cell r="D199">
            <v>740406.42</v>
          </cell>
          <cell r="E199">
            <v>2000000</v>
          </cell>
          <cell r="F199">
            <v>0</v>
          </cell>
          <cell r="G199">
            <v>0</v>
          </cell>
          <cell r="K199" t="str">
            <v>AE N°IV-2990-1 &amp; IV -2990-2 du 06/02/2007</v>
          </cell>
          <cell r="M199">
            <v>39119</v>
          </cell>
          <cell r="N199" t="str">
            <v>DAM-139/05</v>
          </cell>
          <cell r="P199" t="str">
            <v>DP-62153/5J</v>
          </cell>
          <cell r="S199" t="str">
            <v>CHNANI</v>
          </cell>
          <cell r="T199" t="str">
            <v>R2</v>
          </cell>
          <cell r="U199" t="str">
            <v>ORD</v>
          </cell>
          <cell r="V199" t="str">
            <v>DN</v>
          </cell>
          <cell r="W199" t="str">
            <v>T</v>
          </cell>
          <cell r="X199" t="str">
            <v>R</v>
          </cell>
        </row>
        <row r="200">
          <cell r="B200">
            <v>2991</v>
          </cell>
          <cell r="C200" t="str">
            <v>ACHAT D'UNE BASCULE INTEGRATRICE POUR LE CONVOYEUR LS0 DE LA LIAISON SIDI CHENNANE</v>
          </cell>
          <cell r="D200">
            <v>0</v>
          </cell>
          <cell r="E200">
            <v>120000</v>
          </cell>
          <cell r="F200">
            <v>0</v>
          </cell>
          <cell r="G200">
            <v>0</v>
          </cell>
          <cell r="I200" t="str">
            <v>CONSUL</v>
          </cell>
          <cell r="J200" t="str">
            <v>AD</v>
          </cell>
          <cell r="K200" t="str">
            <v>DAM pour consultation</v>
          </cell>
          <cell r="L200">
            <v>83</v>
          </cell>
          <cell r="M200">
            <v>39136</v>
          </cell>
          <cell r="N200" t="str">
            <v>DAM-9</v>
          </cell>
          <cell r="O200">
            <v>5336</v>
          </cell>
          <cell r="S200" t="str">
            <v>AIT HSSAINE</v>
          </cell>
          <cell r="T200" t="str">
            <v>R2</v>
          </cell>
          <cell r="U200" t="str">
            <v>ORD</v>
          </cell>
          <cell r="V200" t="str">
            <v>DN</v>
          </cell>
          <cell r="W200" t="str">
            <v>T</v>
          </cell>
          <cell r="X200" t="str">
            <v>R</v>
          </cell>
        </row>
        <row r="201">
          <cell r="B201">
            <v>2992</v>
          </cell>
          <cell r="C201" t="str">
            <v>RN DE 3 BASCULES INTEGRATRICES POUR LES CONVOYEURS DE PMK/TD</v>
          </cell>
          <cell r="D201">
            <v>0</v>
          </cell>
          <cell r="E201">
            <v>360000</v>
          </cell>
          <cell r="F201">
            <v>0</v>
          </cell>
          <cell r="G201">
            <v>0</v>
          </cell>
          <cell r="I201" t="str">
            <v>CONSUL</v>
          </cell>
          <cell r="J201" t="str">
            <v>AD</v>
          </cell>
          <cell r="K201" t="str">
            <v>DAM envoyée pour consultation</v>
          </cell>
          <cell r="L201">
            <v>418</v>
          </cell>
          <cell r="M201">
            <v>38933</v>
          </cell>
          <cell r="N201" t="str">
            <v>DAM-148/06</v>
          </cell>
          <cell r="S201" t="str">
            <v>AIT HSSAINE</v>
          </cell>
          <cell r="T201" t="str">
            <v>R2</v>
          </cell>
          <cell r="U201" t="str">
            <v>ORD</v>
          </cell>
          <cell r="V201" t="str">
            <v>RN</v>
          </cell>
          <cell r="W201" t="str">
            <v>T</v>
          </cell>
          <cell r="X201" t="str">
            <v>R</v>
          </cell>
        </row>
        <row r="202">
          <cell r="B202">
            <v>2993</v>
          </cell>
          <cell r="C202" t="str">
            <v>ACHAT D'UN COMPRESSEUR MOBILE</v>
          </cell>
          <cell r="D202">
            <v>490000</v>
          </cell>
          <cell r="E202">
            <v>490000</v>
          </cell>
          <cell r="F202">
            <v>0</v>
          </cell>
          <cell r="G202">
            <v>0</v>
          </cell>
          <cell r="I202" t="str">
            <v>CHC</v>
          </cell>
          <cell r="J202" t="str">
            <v>AD</v>
          </cell>
          <cell r="K202" t="str">
            <v>CHT envoyé à AD
Lettre n°387 du 20/09/2007 de 234 600 DH</v>
          </cell>
          <cell r="L202">
            <v>531</v>
          </cell>
          <cell r="M202">
            <v>39351</v>
          </cell>
          <cell r="S202" t="str">
            <v>AIT HSSAINE</v>
          </cell>
          <cell r="T202" t="str">
            <v>R2</v>
          </cell>
          <cell r="U202" t="str">
            <v>ORD</v>
          </cell>
          <cell r="V202" t="str">
            <v>DN</v>
          </cell>
          <cell r="W202" t="str">
            <v>T</v>
          </cell>
          <cell r="X202" t="str">
            <v>R</v>
          </cell>
        </row>
        <row r="203">
          <cell r="B203">
            <v>2994</v>
          </cell>
          <cell r="C203" t="str">
            <v>RN DE 6 CELLULES DISJONCTEURS POUR LA LAVERIE DAOUI</v>
          </cell>
          <cell r="D203">
            <v>1800000</v>
          </cell>
          <cell r="E203">
            <v>1800000</v>
          </cell>
          <cell r="F203">
            <v>0</v>
          </cell>
          <cell r="G203">
            <v>0</v>
          </cell>
          <cell r="I203" t="str">
            <v>CONSUL</v>
          </cell>
          <cell r="J203" t="str">
            <v>PLM</v>
          </cell>
          <cell r="K203" t="str">
            <v>DAM pour consultation</v>
          </cell>
          <cell r="L203">
            <v>425</v>
          </cell>
          <cell r="M203">
            <v>39373</v>
          </cell>
          <cell r="N203" t="str">
            <v>DAM-99/07</v>
          </cell>
          <cell r="P203" t="str">
            <v>DP-62152/05</v>
          </cell>
          <cell r="S203" t="str">
            <v>AIT HSSAINE</v>
          </cell>
          <cell r="T203" t="str">
            <v>R2</v>
          </cell>
          <cell r="U203" t="str">
            <v>ORD</v>
          </cell>
          <cell r="V203" t="str">
            <v>RN</v>
          </cell>
          <cell r="W203" t="str">
            <v>T</v>
          </cell>
          <cell r="X203" t="str">
            <v>R</v>
          </cell>
        </row>
        <row r="204">
          <cell r="B204">
            <v>2995</v>
          </cell>
          <cell r="C204" t="str">
            <v xml:space="preserve">ACHAT DE 2 CONVERTISSEURS DE FREQUENCE POUR LA ROUE A GODET DE LA ROUE PELLE 3 ET DE L'EXTRACTEUR E1B </v>
          </cell>
          <cell r="D204">
            <v>200000</v>
          </cell>
          <cell r="E204">
            <v>400000</v>
          </cell>
          <cell r="F204">
            <v>0</v>
          </cell>
          <cell r="G204">
            <v>0</v>
          </cell>
          <cell r="I204" t="str">
            <v>CHT</v>
          </cell>
          <cell r="J204" t="str">
            <v>AD</v>
          </cell>
          <cell r="K204" t="str">
            <v>CHTtransmis directenemt a AD</v>
          </cell>
          <cell r="L204" t="str">
            <v>TG - 765</v>
          </cell>
          <cell r="M204">
            <v>39192</v>
          </cell>
          <cell r="N204" t="str">
            <v>DAM-131-132/06</v>
          </cell>
          <cell r="P204" t="str">
            <v>DP-45210/05</v>
          </cell>
          <cell r="S204" t="str">
            <v>BERRADA</v>
          </cell>
          <cell r="T204" t="str">
            <v>R2</v>
          </cell>
          <cell r="U204" t="str">
            <v>ORD</v>
          </cell>
          <cell r="V204" t="str">
            <v>DN</v>
          </cell>
          <cell r="W204" t="str">
            <v>T</v>
          </cell>
          <cell r="X204" t="str">
            <v>R</v>
          </cell>
        </row>
        <row r="205">
          <cell r="B205">
            <v>2996</v>
          </cell>
          <cell r="C205" t="str">
            <v>ACHAT D'OUTILLAGE POUR LES ATELIERS DE REGULATION PMK/TD/CR</v>
          </cell>
          <cell r="D205">
            <v>213964</v>
          </cell>
          <cell r="E205">
            <v>266500</v>
          </cell>
          <cell r="F205">
            <v>0</v>
          </cell>
          <cell r="G205">
            <v>0</v>
          </cell>
          <cell r="S205" t="str">
            <v>BERRADA</v>
          </cell>
          <cell r="T205" t="str">
            <v>R2</v>
          </cell>
          <cell r="U205" t="str">
            <v>ORD</v>
          </cell>
          <cell r="V205" t="str">
            <v>DN</v>
          </cell>
          <cell r="W205" t="str">
            <v>T</v>
          </cell>
          <cell r="X205" t="str">
            <v>R</v>
          </cell>
        </row>
        <row r="206">
          <cell r="B206">
            <v>2996</v>
          </cell>
          <cell r="C206" t="str">
            <v xml:space="preserve">P2-01 TACHIMÈTRE, P4-4 MULTIMÈTRES, P6-1 VALISE PNEU, P7-1 GÉRNÉRATEUR DE FONCTION </v>
          </cell>
          <cell r="K206" t="str">
            <v>AE N°23685_1 DE 5100,00 DH  &amp; AE N°23685_2 de 7968,00 dh- AE N°-2996-2</v>
          </cell>
          <cell r="M206">
            <v>39031</v>
          </cell>
          <cell r="N206" t="str">
            <v>DAM-49/05</v>
          </cell>
          <cell r="S206" t="str">
            <v>CHNANI</v>
          </cell>
          <cell r="T206" t="str">
            <v>R2</v>
          </cell>
          <cell r="U206" t="str">
            <v>ORD</v>
          </cell>
          <cell r="V206" t="str">
            <v>DN</v>
          </cell>
          <cell r="W206" t="str">
            <v>T</v>
          </cell>
          <cell r="X206" t="str">
            <v>R</v>
          </cell>
        </row>
        <row r="207">
          <cell r="B207">
            <v>2996</v>
          </cell>
          <cell r="C207" t="str">
            <v>P5-01 BALANCE MANOMÉTRIQUE</v>
          </cell>
          <cell r="I207" t="str">
            <v>AT.AE</v>
          </cell>
          <cell r="J207" t="str">
            <v>PFF/CI</v>
          </cell>
          <cell r="K207" t="str">
            <v xml:space="preserve">AE N°-2996-2 de 36348,00-DAE n°-2996-3  complémentaire DE 1817,4 DH </v>
          </cell>
          <cell r="L207">
            <v>135</v>
          </cell>
          <cell r="M207">
            <v>39160</v>
          </cell>
          <cell r="N207" t="str">
            <v>DAM/TN°02</v>
          </cell>
          <cell r="P207" t="str">
            <v>DP-45122/05</v>
          </cell>
          <cell r="S207" t="str">
            <v>BERRADA</v>
          </cell>
          <cell r="T207" t="str">
            <v>R2</v>
          </cell>
          <cell r="U207" t="str">
            <v>ORD</v>
          </cell>
          <cell r="V207" t="str">
            <v>DN</v>
          </cell>
          <cell r="W207" t="str">
            <v>T</v>
          </cell>
          <cell r="X207" t="str">
            <v>R</v>
          </cell>
        </row>
        <row r="208">
          <cell r="B208">
            <v>2996</v>
          </cell>
          <cell r="C208" t="str">
            <v xml:space="preserve">P3-01 ASPIRATEUR SOUFFLEUR </v>
          </cell>
          <cell r="I208" t="str">
            <v>CONSUL</v>
          </cell>
          <cell r="J208" t="str">
            <v>AD</v>
          </cell>
          <cell r="K208" t="str">
            <v>DAM pour consultation</v>
          </cell>
          <cell r="L208">
            <v>37</v>
          </cell>
          <cell r="M208">
            <v>38735</v>
          </cell>
          <cell r="N208" t="str">
            <v>DAM-03/06</v>
          </cell>
          <cell r="S208" t="str">
            <v>BERRADA</v>
          </cell>
          <cell r="T208" t="str">
            <v>R2</v>
          </cell>
          <cell r="U208" t="str">
            <v>ORD</v>
          </cell>
          <cell r="V208" t="str">
            <v>DN</v>
          </cell>
          <cell r="W208" t="str">
            <v>T</v>
          </cell>
          <cell r="X208" t="str">
            <v>R</v>
          </cell>
        </row>
        <row r="209">
          <cell r="B209">
            <v>2996</v>
          </cell>
          <cell r="C209" t="str">
            <v xml:space="preserve">P1-01 ÉCHELLE DOUBLE </v>
          </cell>
          <cell r="K209" t="str">
            <v>AE N°-2996-2 de 3120,00</v>
          </cell>
          <cell r="L209">
            <v>649</v>
          </cell>
          <cell r="M209">
            <v>39045</v>
          </cell>
          <cell r="N209" t="str">
            <v>DAM-04/06</v>
          </cell>
          <cell r="S209" t="str">
            <v>BERRADA</v>
          </cell>
          <cell r="T209" t="str">
            <v>R2</v>
          </cell>
          <cell r="U209" t="str">
            <v>ORD</v>
          </cell>
          <cell r="V209" t="str">
            <v>DN</v>
          </cell>
          <cell r="W209" t="str">
            <v>T</v>
          </cell>
          <cell r="X209" t="str">
            <v>R</v>
          </cell>
        </row>
        <row r="210">
          <cell r="B210">
            <v>2997</v>
          </cell>
          <cell r="C210" t="str">
            <v>ACHAT DE 32 MOTEURS ELECTRIQUES BASSE TENSION POUR L'ATELIER DE BROYAGE DE BENI IDIR</v>
          </cell>
          <cell r="D210">
            <v>0</v>
          </cell>
          <cell r="E210">
            <v>480000</v>
          </cell>
          <cell r="F210">
            <v>0</v>
          </cell>
          <cell r="G210">
            <v>0</v>
          </cell>
          <cell r="I210" t="str">
            <v>CONSUL</v>
          </cell>
          <cell r="J210" t="str">
            <v>AD</v>
          </cell>
          <cell r="K210" t="str">
            <v>DAM pour consultation</v>
          </cell>
          <cell r="L210">
            <v>190</v>
          </cell>
          <cell r="M210">
            <v>39171</v>
          </cell>
          <cell r="N210" t="str">
            <v>DAM-159/06</v>
          </cell>
          <cell r="S210" t="str">
            <v>TOGHZAOUI</v>
          </cell>
          <cell r="T210" t="str">
            <v>R2</v>
          </cell>
          <cell r="U210" t="str">
            <v>ORD</v>
          </cell>
          <cell r="V210" t="str">
            <v>DN</v>
          </cell>
          <cell r="W210" t="str">
            <v>T</v>
          </cell>
          <cell r="X210" t="str">
            <v>R</v>
          </cell>
        </row>
        <row r="211">
          <cell r="B211">
            <v>2998</v>
          </cell>
          <cell r="C211" t="str">
            <v>FOURNITURE ET INSTALLATION DE 2 JOYS POUR LES MISES A TERRIL DE PMK/TD</v>
          </cell>
          <cell r="D211">
            <v>0</v>
          </cell>
          <cell r="E211">
            <v>9000000</v>
          </cell>
          <cell r="F211">
            <v>0</v>
          </cell>
          <cell r="G211">
            <v>0</v>
          </cell>
          <cell r="I211" t="str">
            <v>CHT</v>
          </cell>
          <cell r="J211" t="str">
            <v>DAC</v>
          </cell>
          <cell r="K211" t="str">
            <v>Choix reponse du CP  aux remarques de DAC</v>
          </cell>
          <cell r="L211">
            <v>403</v>
          </cell>
          <cell r="M211">
            <v>39358</v>
          </cell>
          <cell r="N211" t="str">
            <v>DPM-11/05</v>
          </cell>
          <cell r="P211" t="str">
            <v>AO N° 9301/06</v>
          </cell>
          <cell r="S211" t="str">
            <v>CHNANI</v>
          </cell>
          <cell r="T211" t="str">
            <v>R2</v>
          </cell>
          <cell r="U211" t="str">
            <v>ORD</v>
          </cell>
          <cell r="V211" t="str">
            <v>DN</v>
          </cell>
          <cell r="W211" t="str">
            <v>T</v>
          </cell>
          <cell r="X211" t="str">
            <v>R</v>
          </cell>
        </row>
        <row r="212">
          <cell r="B212">
            <v>2999</v>
          </cell>
          <cell r="C212" t="str">
            <v>ACQUISITION D'UNE BALANCE INDUSTRIELLE ET D'UN TAMIS VIBREUR</v>
          </cell>
          <cell r="D212">
            <v>0</v>
          </cell>
          <cell r="E212">
            <v>170000</v>
          </cell>
          <cell r="F212">
            <v>0</v>
          </cell>
          <cell r="G212">
            <v>0</v>
          </cell>
          <cell r="K212" t="str">
            <v xml:space="preserve">AE N°-2999-1 et 2 </v>
          </cell>
          <cell r="L212">
            <v>322</v>
          </cell>
          <cell r="M212">
            <v>38873</v>
          </cell>
          <cell r="N212" t="str">
            <v>DAM-129/05</v>
          </cell>
          <cell r="P212" t="str">
            <v>DP-45198/05</v>
          </cell>
          <cell r="S212" t="str">
            <v>LEBBARDI</v>
          </cell>
          <cell r="T212" t="str">
            <v>R2</v>
          </cell>
          <cell r="U212" t="str">
            <v>ORD</v>
          </cell>
          <cell r="V212" t="str">
            <v>DN</v>
          </cell>
          <cell r="W212" t="str">
            <v>T</v>
          </cell>
          <cell r="X212" t="str">
            <v>R</v>
          </cell>
        </row>
        <row r="213">
          <cell r="B213">
            <v>3001</v>
          </cell>
          <cell r="C213" t="str">
            <v>ACHAT DES ENREGISTREURS VIDEO POUR PMK/TB</v>
          </cell>
          <cell r="D213">
            <v>0</v>
          </cell>
          <cell r="E213">
            <v>480000</v>
          </cell>
          <cell r="F213">
            <v>0</v>
          </cell>
          <cell r="G213">
            <v>0</v>
          </cell>
          <cell r="I213" t="str">
            <v>CHT</v>
          </cell>
          <cell r="J213" t="str">
            <v>AD</v>
          </cell>
          <cell r="K213" t="str">
            <v>CHT envoyé à AD</v>
          </cell>
          <cell r="L213">
            <v>517</v>
          </cell>
          <cell r="M213">
            <v>39339</v>
          </cell>
          <cell r="N213" t="str">
            <v>DAM-50/05
DAM-179/06</v>
          </cell>
          <cell r="P213" t="str">
            <v>DP-45143</v>
          </cell>
          <cell r="S213" t="str">
            <v>TOGHZAOUI</v>
          </cell>
          <cell r="T213" t="str">
            <v>R2</v>
          </cell>
          <cell r="U213" t="str">
            <v>ORD</v>
          </cell>
          <cell r="V213" t="str">
            <v>DN</v>
          </cell>
          <cell r="W213" t="str">
            <v>T</v>
          </cell>
          <cell r="X213" t="str">
            <v>R</v>
          </cell>
        </row>
        <row r="214">
          <cell r="B214">
            <v>3004</v>
          </cell>
          <cell r="C214" t="str">
            <v>RENOVATION DES AUTOMATISMES ET SUPERVISIONS DES INSTALLATIONS DE L'UNITE DE BENI-IDIR</v>
          </cell>
          <cell r="D214">
            <v>0</v>
          </cell>
          <cell r="E214">
            <v>4500000</v>
          </cell>
          <cell r="F214">
            <v>0</v>
          </cell>
          <cell r="G214">
            <v>0</v>
          </cell>
          <cell r="I214" t="str">
            <v>DPM</v>
          </cell>
          <cell r="J214" t="str">
            <v>CONSULT</v>
          </cell>
          <cell r="K214" t="str">
            <v xml:space="preserve"> DPM+ cahier de charges pour lancement   des consultation </v>
          </cell>
          <cell r="L214">
            <v>703</v>
          </cell>
          <cell r="M214">
            <v>39079</v>
          </cell>
          <cell r="N214" t="str">
            <v>DPM-14/05</v>
          </cell>
          <cell r="S214" t="str">
            <v>TOGHZAOUI</v>
          </cell>
          <cell r="T214" t="str">
            <v>R2</v>
          </cell>
          <cell r="U214" t="str">
            <v>ORD</v>
          </cell>
          <cell r="V214" t="str">
            <v>DN</v>
          </cell>
          <cell r="W214" t="str">
            <v>T</v>
          </cell>
          <cell r="X214" t="str">
            <v>R</v>
          </cell>
        </row>
        <row r="215">
          <cell r="B215">
            <v>3005</v>
          </cell>
          <cell r="C215" t="str">
            <v>07 VARIATEURS DE VITESSES POUR LES EXTRACTEURS D'ALIMENTATION DES FOURS SECHEURS DE BENI-IDIR</v>
          </cell>
          <cell r="D215">
            <v>495000</v>
          </cell>
          <cell r="E215">
            <v>495000</v>
          </cell>
          <cell r="F215">
            <v>0</v>
          </cell>
          <cell r="G215">
            <v>0</v>
          </cell>
          <cell r="K215" t="str">
            <v>AE N° IV3005-1 de 432625,00 dh</v>
          </cell>
          <cell r="M215">
            <v>39030</v>
          </cell>
          <cell r="N215" t="str">
            <v>DAM-26/05</v>
          </cell>
          <cell r="P215" t="str">
            <v>DP-62051/05</v>
          </cell>
          <cell r="R215" t="str">
            <v>C 023 du 08/07/2007</v>
          </cell>
          <cell r="S215" t="str">
            <v>TOGHZAOUI</v>
          </cell>
          <cell r="T215" t="str">
            <v>R2</v>
          </cell>
          <cell r="U215" t="str">
            <v>ORD</v>
          </cell>
          <cell r="V215" t="str">
            <v>DN</v>
          </cell>
          <cell r="W215" t="str">
            <v>T</v>
          </cell>
          <cell r="X215" t="str">
            <v>R</v>
          </cell>
        </row>
        <row r="216">
          <cell r="B216">
            <v>3006</v>
          </cell>
          <cell r="C216" t="str">
            <v xml:space="preserve">OUTILLAGE COLLECTIF POUR  ATELIERS DE MAINTENANCE </v>
          </cell>
          <cell r="D216">
            <v>179192.8</v>
          </cell>
          <cell r="E216">
            <v>300000</v>
          </cell>
          <cell r="F216">
            <v>0</v>
          </cell>
          <cell r="G216">
            <v>0</v>
          </cell>
          <cell r="S216" t="str">
            <v>TOGHZAOUI</v>
          </cell>
          <cell r="T216" t="str">
            <v>R2</v>
          </cell>
          <cell r="U216" t="str">
            <v>ORD</v>
          </cell>
          <cell r="V216" t="str">
            <v>DN</v>
          </cell>
          <cell r="W216" t="str">
            <v>T</v>
          </cell>
          <cell r="X216" t="str">
            <v>R</v>
          </cell>
        </row>
        <row r="217">
          <cell r="B217">
            <v>3006</v>
          </cell>
          <cell r="C217" t="str">
            <v>3 CONTROLEURS D'ISOLEMENT 5500 V</v>
          </cell>
          <cell r="K217" t="str">
            <v>AE N°3006-3 de 65016,00DH</v>
          </cell>
          <cell r="M217">
            <v>38990</v>
          </cell>
          <cell r="N217" t="str">
            <v>DAM-33/05</v>
          </cell>
          <cell r="P217" t="str">
            <v>DP-62067/05</v>
          </cell>
          <cell r="Q217">
            <v>65016</v>
          </cell>
          <cell r="R217" t="str">
            <v>C 024 du 19/08/2007</v>
          </cell>
          <cell r="S217" t="str">
            <v>TOGHZAOUI</v>
          </cell>
          <cell r="T217" t="str">
            <v>R2</v>
          </cell>
          <cell r="U217" t="str">
            <v>ORD</v>
          </cell>
          <cell r="V217" t="str">
            <v>DN</v>
          </cell>
          <cell r="W217" t="str">
            <v>T</v>
          </cell>
          <cell r="X217" t="str">
            <v>R</v>
          </cell>
        </row>
        <row r="218">
          <cell r="B218">
            <v>3006</v>
          </cell>
          <cell r="C218" t="str">
            <v>4 CONTROLEURS D'ISOLEMENT 500 V</v>
          </cell>
          <cell r="K218" t="str">
            <v>AE N°3006-2 de 23522,30DH</v>
          </cell>
          <cell r="M218">
            <v>38990</v>
          </cell>
          <cell r="N218" t="str">
            <v>DAM-33/05</v>
          </cell>
          <cell r="P218" t="str">
            <v>DP-62067/05</v>
          </cell>
          <cell r="S218" t="str">
            <v>TOGHZAOUI</v>
          </cell>
          <cell r="T218" t="str">
            <v>R2</v>
          </cell>
          <cell r="U218" t="str">
            <v>ORD</v>
          </cell>
          <cell r="V218" t="str">
            <v>DN</v>
          </cell>
          <cell r="W218" t="str">
            <v>T</v>
          </cell>
          <cell r="X218" t="str">
            <v>R</v>
          </cell>
        </row>
        <row r="219">
          <cell r="B219">
            <v>3006</v>
          </cell>
          <cell r="C219" t="str">
            <v>3 TACHYMETRES NUMERIQUES</v>
          </cell>
          <cell r="K219" t="str">
            <v>AE N°3006-2 de 10706,90DH</v>
          </cell>
          <cell r="M219">
            <v>38990</v>
          </cell>
          <cell r="N219" t="str">
            <v>DAM-33/05</v>
          </cell>
          <cell r="P219" t="str">
            <v>DP-62067/05</v>
          </cell>
          <cell r="S219" t="str">
            <v>TOGHZAOUI</v>
          </cell>
          <cell r="T219" t="str">
            <v>R2</v>
          </cell>
          <cell r="U219" t="str">
            <v>ORD</v>
          </cell>
          <cell r="V219" t="str">
            <v>DN</v>
          </cell>
          <cell r="W219" t="str">
            <v>T</v>
          </cell>
          <cell r="X219" t="str">
            <v>R</v>
          </cell>
        </row>
        <row r="220">
          <cell r="B220">
            <v>3006</v>
          </cell>
          <cell r="C220" t="str">
            <v>2 ANALYSEURS</v>
          </cell>
          <cell r="K220" t="str">
            <v>AE N°3006-2 de 65614,85DH</v>
          </cell>
          <cell r="M220">
            <v>38990</v>
          </cell>
          <cell r="N220" t="str">
            <v>DAM-33/05</v>
          </cell>
          <cell r="P220" t="str">
            <v>DP-62067/05</v>
          </cell>
          <cell r="S220" t="str">
            <v>TOGHZAOUI</v>
          </cell>
          <cell r="T220" t="str">
            <v>R2</v>
          </cell>
          <cell r="U220" t="str">
            <v>ORD</v>
          </cell>
          <cell r="V220" t="str">
            <v>DN</v>
          </cell>
          <cell r="W220" t="str">
            <v>T</v>
          </cell>
          <cell r="X220" t="str">
            <v>R</v>
          </cell>
        </row>
        <row r="221">
          <cell r="B221">
            <v>3006</v>
          </cell>
          <cell r="C221" t="str">
            <v>3 CONTROLEURS D'ISOLEMENT 5500 V</v>
          </cell>
          <cell r="I221" t="str">
            <v>CONSUL</v>
          </cell>
          <cell r="J221" t="str">
            <v>AD</v>
          </cell>
          <cell r="K221" t="str">
            <v>DAM envoyée pour consultation</v>
          </cell>
          <cell r="M221">
            <v>38434</v>
          </cell>
          <cell r="N221" t="str">
            <v>DAM-33/05</v>
          </cell>
          <cell r="S221" t="str">
            <v>TOGHZAOUI</v>
          </cell>
          <cell r="T221" t="str">
            <v>R2</v>
          </cell>
          <cell r="U221" t="str">
            <v>ORD</v>
          </cell>
          <cell r="V221" t="str">
            <v>DN</v>
          </cell>
          <cell r="W221" t="str">
            <v>T</v>
          </cell>
          <cell r="X221" t="str">
            <v>R</v>
          </cell>
        </row>
        <row r="222">
          <cell r="B222">
            <v>3006</v>
          </cell>
          <cell r="C222" t="str">
            <v xml:space="preserve">4 PERCEUSES </v>
          </cell>
          <cell r="H222">
            <v>4656</v>
          </cell>
          <cell r="I222" t="str">
            <v>ENG</v>
          </cell>
          <cell r="J222" t="str">
            <v>CP</v>
          </cell>
          <cell r="K222" t="str">
            <v>AE negative N°- 3006-1 de 14 332,80dh et AE N°3006-4 de 4656,00DH</v>
          </cell>
          <cell r="L222" t="str">
            <v>PFF-581</v>
          </cell>
          <cell r="M222">
            <v>39300</v>
          </cell>
          <cell r="N222" t="str">
            <v>DAM-33/05</v>
          </cell>
          <cell r="P222" t="str">
            <v>DP-45089</v>
          </cell>
          <cell r="S222" t="str">
            <v>TOGHZAOUI</v>
          </cell>
          <cell r="T222" t="str">
            <v>R2</v>
          </cell>
          <cell r="U222" t="str">
            <v>ORD</v>
          </cell>
          <cell r="V222" t="str">
            <v>DN</v>
          </cell>
          <cell r="W222" t="str">
            <v>T</v>
          </cell>
          <cell r="X222" t="str">
            <v>R</v>
          </cell>
        </row>
        <row r="223">
          <cell r="B223">
            <v>3006</v>
          </cell>
          <cell r="C223" t="str">
            <v xml:space="preserve">OUTILLAGE COLLECTIF POUR ATELIERS DE MAINTENANCE ELECTRIQUE </v>
          </cell>
          <cell r="I223" t="str">
            <v>CHT</v>
          </cell>
          <cell r="J223" t="str">
            <v>PFM/AC</v>
          </cell>
          <cell r="K223" t="str">
            <v>CHT envoyé pour attribution</v>
          </cell>
          <cell r="L223">
            <v>238</v>
          </cell>
          <cell r="M223">
            <v>38833</v>
          </cell>
          <cell r="N223" t="str">
            <v>DAM-32/05</v>
          </cell>
          <cell r="S223" t="str">
            <v>TOGHZAOUI</v>
          </cell>
          <cell r="T223" t="str">
            <v>R2</v>
          </cell>
          <cell r="U223" t="str">
            <v>ORD</v>
          </cell>
          <cell r="V223" t="str">
            <v>DN</v>
          </cell>
          <cell r="W223" t="str">
            <v>T</v>
          </cell>
          <cell r="X223" t="str">
            <v>R</v>
          </cell>
        </row>
        <row r="224">
          <cell r="B224">
            <v>3006</v>
          </cell>
          <cell r="C224" t="str">
            <v xml:space="preserve">4 PERCEUSES </v>
          </cell>
          <cell r="I224" t="str">
            <v>CONSUL</v>
          </cell>
          <cell r="J224" t="str">
            <v>AD</v>
          </cell>
          <cell r="K224" t="str">
            <v>DAM + DT envoyés pour consultation</v>
          </cell>
          <cell r="L224">
            <v>448</v>
          </cell>
          <cell r="M224">
            <v>38952</v>
          </cell>
          <cell r="N224" t="str">
            <v>DAM- 149/06</v>
          </cell>
          <cell r="S224" t="str">
            <v>TOGHZAOUI</v>
          </cell>
          <cell r="T224" t="str">
            <v>R2</v>
          </cell>
          <cell r="U224" t="str">
            <v>ORD</v>
          </cell>
          <cell r="V224" t="str">
            <v>DN</v>
          </cell>
          <cell r="W224" t="str">
            <v>T</v>
          </cell>
          <cell r="X224" t="str">
            <v>R</v>
          </cell>
        </row>
        <row r="225">
          <cell r="B225">
            <v>3007</v>
          </cell>
          <cell r="C225" t="str">
            <v>ACHAT D'UN TRANSFORMATEUR 160 KVA POUR L'ATELIER DE BROYAGE DE BENI-IDIR</v>
          </cell>
          <cell r="D225">
            <v>54996</v>
          </cell>
          <cell r="E225">
            <v>30000</v>
          </cell>
          <cell r="F225">
            <v>0</v>
          </cell>
          <cell r="G225">
            <v>0</v>
          </cell>
          <cell r="I225" t="str">
            <v>CONSUL</v>
          </cell>
          <cell r="J225" t="str">
            <v>AD</v>
          </cell>
          <cell r="K225" t="str">
            <v>DAM + DT envoyés pour consultation</v>
          </cell>
          <cell r="L225">
            <v>495</v>
          </cell>
          <cell r="M225">
            <v>38981</v>
          </cell>
          <cell r="N225" t="str">
            <v>DAM- 159/06</v>
          </cell>
          <cell r="P225" t="str">
            <v>DP-45100</v>
          </cell>
          <cell r="S225" t="str">
            <v>TOGHZAOUI</v>
          </cell>
          <cell r="T225" t="str">
            <v>R2</v>
          </cell>
          <cell r="U225" t="str">
            <v>ORD</v>
          </cell>
          <cell r="V225" t="str">
            <v>DN</v>
          </cell>
          <cell r="W225" t="str">
            <v>T</v>
          </cell>
          <cell r="X225" t="str">
            <v>R</v>
          </cell>
        </row>
        <row r="226">
          <cell r="B226">
            <v>3008</v>
          </cell>
          <cell r="C226" t="str">
            <v>RN D'UN APPAREIL DE MESURE DE VIBRATION DES MACHINES TOURNANTES DE PMK/TB</v>
          </cell>
          <cell r="D226">
            <v>0</v>
          </cell>
          <cell r="E226">
            <v>450000</v>
          </cell>
          <cell r="F226">
            <v>0</v>
          </cell>
          <cell r="G226">
            <v>0</v>
          </cell>
          <cell r="I226" t="str">
            <v>CONSUL</v>
          </cell>
          <cell r="J226" t="str">
            <v>AD</v>
          </cell>
          <cell r="K226" t="str">
            <v>DAM envoyée pour consultation</v>
          </cell>
          <cell r="L226">
            <v>722</v>
          </cell>
          <cell r="M226">
            <v>38643</v>
          </cell>
          <cell r="N226" t="str">
            <v>DAM- 144/05</v>
          </cell>
          <cell r="P226" t="str">
            <v>DP-45127/05</v>
          </cell>
          <cell r="S226" t="str">
            <v>TOGHZAOUI</v>
          </cell>
          <cell r="T226" t="str">
            <v>R2</v>
          </cell>
          <cell r="U226" t="str">
            <v>ORD</v>
          </cell>
          <cell r="V226" t="str">
            <v>RN</v>
          </cell>
          <cell r="W226" t="str">
            <v>T</v>
          </cell>
          <cell r="X226" t="str">
            <v>R</v>
          </cell>
        </row>
        <row r="227">
          <cell r="B227">
            <v>3010</v>
          </cell>
          <cell r="C227" t="str">
            <v>RN D'UN PONT ROULANT POUR L'ATELIER MECANIQUE DE L'UNITE DAOUI</v>
          </cell>
          <cell r="D227">
            <v>135000</v>
          </cell>
          <cell r="E227">
            <v>135000</v>
          </cell>
          <cell r="F227">
            <v>0</v>
          </cell>
          <cell r="G227">
            <v>0</v>
          </cell>
          <cell r="K227" t="str">
            <v>AE N°-3010-1 DE 261600 DH</v>
          </cell>
          <cell r="M227">
            <v>38881</v>
          </cell>
          <cell r="N227" t="str">
            <v>DAM-44/05</v>
          </cell>
          <cell r="P227" t="str">
            <v>DP-45099/05</v>
          </cell>
          <cell r="S227" t="str">
            <v>BENMAKHLOUF</v>
          </cell>
          <cell r="T227" t="str">
            <v>R2</v>
          </cell>
          <cell r="U227" t="str">
            <v>ORD</v>
          </cell>
          <cell r="V227" t="str">
            <v>RN</v>
          </cell>
          <cell r="W227" t="str">
            <v>T</v>
          </cell>
          <cell r="X227" t="str">
            <v>R</v>
          </cell>
        </row>
        <row r="228">
          <cell r="B228">
            <v>3011</v>
          </cell>
          <cell r="C228" t="str">
            <v>ACHAT D'UN COMPRESSEUR MOBILE A VIS.</v>
          </cell>
          <cell r="D228">
            <v>0</v>
          </cell>
          <cell r="E228">
            <v>300000</v>
          </cell>
          <cell r="F228">
            <v>0</v>
          </cell>
          <cell r="G228">
            <v>0</v>
          </cell>
          <cell r="I228" t="str">
            <v>CHC</v>
          </cell>
          <cell r="J228" t="str">
            <v>CP</v>
          </cell>
          <cell r="K228" t="str">
            <v>Dossier de choix complet retourné au CP; car le CEB a donné un avis défavorable pour le reclassement de L2 à L1.</v>
          </cell>
          <cell r="L228">
            <v>808</v>
          </cell>
          <cell r="M228">
            <v>38686</v>
          </cell>
          <cell r="N228" t="str">
            <v>DAM-43/05</v>
          </cell>
          <cell r="P228" t="str">
            <v>DP-45101/05</v>
          </cell>
          <cell r="S228" t="str">
            <v>BENMAKHLOUF</v>
          </cell>
          <cell r="T228" t="str">
            <v>R2</v>
          </cell>
          <cell r="U228" t="str">
            <v>ORD</v>
          </cell>
          <cell r="V228" t="str">
            <v>RN</v>
          </cell>
          <cell r="W228" t="str">
            <v>T</v>
          </cell>
          <cell r="X228" t="str">
            <v>R</v>
          </cell>
        </row>
        <row r="229">
          <cell r="B229">
            <v>3012</v>
          </cell>
          <cell r="C229" t="str">
            <v>ACHAT DE MATÉRIEL DE LABORATOIRE DES LUBRIFIANTS</v>
          </cell>
          <cell r="D229">
            <v>0</v>
          </cell>
          <cell r="E229">
            <v>217071.39</v>
          </cell>
          <cell r="F229">
            <v>0</v>
          </cell>
          <cell r="G229">
            <v>0</v>
          </cell>
          <cell r="K229" t="str">
            <v>AE N°23716-1 de 200008,61 &amp; 23716-2 de 7920,00</v>
          </cell>
          <cell r="M229">
            <v>38755</v>
          </cell>
          <cell r="N229" t="str">
            <v>DAM-03/05</v>
          </cell>
          <cell r="P229" t="str">
            <v>DP-45182/05</v>
          </cell>
          <cell r="S229" t="str">
            <v>BENZAKI</v>
          </cell>
          <cell r="T229" t="str">
            <v>R2</v>
          </cell>
          <cell r="U229" t="str">
            <v>ORD</v>
          </cell>
          <cell r="V229" t="str">
            <v>DN</v>
          </cell>
          <cell r="W229" t="str">
            <v>L</v>
          </cell>
          <cell r="X229" t="str">
            <v>R</v>
          </cell>
        </row>
        <row r="230">
          <cell r="B230">
            <v>3013</v>
          </cell>
          <cell r="C230" t="str">
            <v xml:space="preserve"> MATÉRIEL DE LABORATOIRE DES BANDES- balance + 2 dynamomètres </v>
          </cell>
          <cell r="D230">
            <v>0</v>
          </cell>
          <cell r="E230">
            <v>450000</v>
          </cell>
          <cell r="F230">
            <v>0</v>
          </cell>
          <cell r="G230">
            <v>0</v>
          </cell>
          <cell r="K230" t="str">
            <v>AE N°-3013-1 ET N°-3013-2; DAM transmises pour consult</v>
          </cell>
          <cell r="L230">
            <v>590</v>
          </cell>
          <cell r="M230">
            <v>39037</v>
          </cell>
          <cell r="N230" t="str">
            <v>DAM-18 &amp; 19</v>
          </cell>
          <cell r="P230" t="str">
            <v>DP-45123-5</v>
          </cell>
          <cell r="S230" t="str">
            <v>BENZAKI</v>
          </cell>
          <cell r="T230" t="str">
            <v>R2</v>
          </cell>
          <cell r="U230" t="str">
            <v>ORD</v>
          </cell>
          <cell r="V230" t="str">
            <v>DN</v>
          </cell>
          <cell r="W230" t="str">
            <v>L</v>
          </cell>
          <cell r="X230" t="str">
            <v>R</v>
          </cell>
        </row>
        <row r="231">
          <cell r="B231">
            <v>3014</v>
          </cell>
          <cell r="C231" t="str">
            <v>ACHAT DES APPAREILS TELEPHONIQUES POUR PMK/TB</v>
          </cell>
          <cell r="D231">
            <v>490000</v>
          </cell>
          <cell r="E231">
            <v>490000</v>
          </cell>
          <cell r="F231">
            <v>0</v>
          </cell>
          <cell r="G231">
            <v>0</v>
          </cell>
          <cell r="I231" t="str">
            <v>AT.AE</v>
          </cell>
          <cell r="J231" t="str">
            <v>PFF/CI</v>
          </cell>
          <cell r="K231" t="str">
            <v>DAE IV3014-1 de 473947,00</v>
          </cell>
          <cell r="L231">
            <v>626</v>
          </cell>
          <cell r="M231">
            <v>39028</v>
          </cell>
          <cell r="N231" t="str">
            <v>DAM-34/05</v>
          </cell>
          <cell r="P231" t="str">
            <v>DP-62060/05</v>
          </cell>
          <cell r="S231" t="str">
            <v>TOGHZAOUI</v>
          </cell>
          <cell r="T231" t="str">
            <v>R6</v>
          </cell>
          <cell r="U231" t="str">
            <v>ADM</v>
          </cell>
          <cell r="V231" t="str">
            <v>DN</v>
          </cell>
          <cell r="W231" t="str">
            <v>T</v>
          </cell>
          <cell r="X231" t="str">
            <v>R</v>
          </cell>
        </row>
        <row r="232">
          <cell r="B232">
            <v>3015</v>
          </cell>
          <cell r="C232" t="str">
            <v>ACHAT DE 01 DYNAMOMETRE 50T.</v>
          </cell>
          <cell r="D232">
            <v>0</v>
          </cell>
          <cell r="E232">
            <v>40000</v>
          </cell>
          <cell r="F232">
            <v>0</v>
          </cell>
          <cell r="G232">
            <v>0</v>
          </cell>
          <cell r="I232" t="str">
            <v>CONSUL</v>
          </cell>
          <cell r="J232" t="str">
            <v>AD</v>
          </cell>
          <cell r="K232" t="str">
            <v xml:space="preserve">DAM envoyée pour consultation </v>
          </cell>
          <cell r="L232">
            <v>173</v>
          </cell>
          <cell r="M232">
            <v>39160</v>
          </cell>
          <cell r="N232" t="str">
            <v>DAM-11/07</v>
          </cell>
          <cell r="O232">
            <v>5960</v>
          </cell>
          <cell r="S232" t="str">
            <v>BOUZZIT</v>
          </cell>
          <cell r="T232" t="str">
            <v>R2</v>
          </cell>
          <cell r="U232" t="str">
            <v>ORD</v>
          </cell>
          <cell r="V232" t="str">
            <v>DN</v>
          </cell>
          <cell r="W232" t="str">
            <v>L</v>
          </cell>
          <cell r="X232" t="str">
            <v>R</v>
          </cell>
        </row>
        <row r="233">
          <cell r="B233">
            <v>3016</v>
          </cell>
          <cell r="C233" t="str">
            <v>RENOVATION DES AUTOMATISMES ET SUPERVISION DES INSTALLATIONS DU CARREAU ZONE CENTRALE DE LA DIVISION TRAITEMENT DE BENI-IDIR</v>
          </cell>
          <cell r="D233">
            <v>0</v>
          </cell>
          <cell r="E233">
            <v>2000000</v>
          </cell>
          <cell r="F233">
            <v>0</v>
          </cell>
          <cell r="G233">
            <v>0</v>
          </cell>
          <cell r="I233" t="str">
            <v>CONSUL</v>
          </cell>
          <cell r="J233" t="str">
            <v>PFM/M</v>
          </cell>
          <cell r="K233" t="str">
            <v>DPM envoyée pour consultation</v>
          </cell>
          <cell r="L233">
            <v>470</v>
          </cell>
          <cell r="M233">
            <v>38945</v>
          </cell>
          <cell r="N233" t="str">
            <v>DPM-07/05</v>
          </cell>
          <cell r="S233" t="str">
            <v>TOGHZAOUI</v>
          </cell>
          <cell r="T233" t="str">
            <v>R2</v>
          </cell>
          <cell r="U233" t="str">
            <v>ORD</v>
          </cell>
          <cell r="V233" t="str">
            <v>DN</v>
          </cell>
          <cell r="W233" t="str">
            <v>T</v>
          </cell>
          <cell r="X233" t="str">
            <v>R</v>
          </cell>
        </row>
        <row r="234">
          <cell r="B234">
            <v>3017</v>
          </cell>
          <cell r="C234" t="str">
            <v>ACHAT DES APPAREILS DE MESURE.</v>
          </cell>
          <cell r="D234">
            <v>0</v>
          </cell>
          <cell r="E234">
            <v>60000</v>
          </cell>
          <cell r="F234">
            <v>0</v>
          </cell>
          <cell r="G234">
            <v>0</v>
          </cell>
          <cell r="I234" t="str">
            <v>CONSUL</v>
          </cell>
          <cell r="J234" t="str">
            <v>AD</v>
          </cell>
          <cell r="K234" t="str">
            <v xml:space="preserve">DAM envoyée pour consultation </v>
          </cell>
          <cell r="L234">
            <v>209</v>
          </cell>
          <cell r="M234">
            <v>39176</v>
          </cell>
          <cell r="N234" t="str">
            <v>DAM-12/07</v>
          </cell>
          <cell r="O234">
            <v>6186</v>
          </cell>
          <cell r="S234" t="str">
            <v>BOUZZIT</v>
          </cell>
          <cell r="T234" t="str">
            <v>R2</v>
          </cell>
          <cell r="U234" t="str">
            <v>ORD</v>
          </cell>
          <cell r="V234" t="str">
            <v>DN</v>
          </cell>
          <cell r="W234" t="str">
            <v>L</v>
          </cell>
          <cell r="X234" t="str">
            <v>R</v>
          </cell>
        </row>
        <row r="235">
          <cell r="B235">
            <v>3020</v>
          </cell>
          <cell r="C235" t="str">
            <v>ACQUISITION DE DEUX MOTOPOMPES D'EPUISEMENT.</v>
          </cell>
          <cell r="D235">
            <v>120000</v>
          </cell>
          <cell r="E235">
            <v>120000</v>
          </cell>
          <cell r="F235">
            <v>0</v>
          </cell>
          <cell r="G235">
            <v>0</v>
          </cell>
          <cell r="I235" t="str">
            <v>CONSUL</v>
          </cell>
          <cell r="J235" t="str">
            <v>AD</v>
          </cell>
          <cell r="K235" t="str">
            <v>Nouvelle DAM envoyée pour consultation 
ENGAGE-2006</v>
          </cell>
          <cell r="L235">
            <v>160</v>
          </cell>
          <cell r="M235">
            <v>39156</v>
          </cell>
          <cell r="N235" t="str">
            <v>DAM-02/07</v>
          </cell>
          <cell r="O235">
            <v>5749</v>
          </cell>
          <cell r="S235" t="str">
            <v>SAOUD</v>
          </cell>
          <cell r="T235" t="str">
            <v>R2</v>
          </cell>
          <cell r="U235" t="str">
            <v>ORD</v>
          </cell>
          <cell r="V235" t="str">
            <v>DN</v>
          </cell>
          <cell r="W235" t="str">
            <v>L</v>
          </cell>
          <cell r="X235" t="str">
            <v>R</v>
          </cell>
        </row>
        <row r="236">
          <cell r="B236">
            <v>3021</v>
          </cell>
          <cell r="C236" t="str">
            <v xml:space="preserve">ACHAT DE 26 MOTEURS ELECTRIQUES B.T </v>
          </cell>
          <cell r="D236">
            <v>463910</v>
          </cell>
          <cell r="E236">
            <v>206000</v>
          </cell>
          <cell r="F236">
            <v>0</v>
          </cell>
          <cell r="G236">
            <v>0</v>
          </cell>
          <cell r="K236" t="str">
            <v xml:space="preserve">DAE N°-3021-1 </v>
          </cell>
          <cell r="M236">
            <v>38870</v>
          </cell>
          <cell r="N236" t="str">
            <v>DAM-25/05</v>
          </cell>
          <cell r="P236" t="str">
            <v>DP-62056/5</v>
          </cell>
          <cell r="S236" t="str">
            <v>TOGHZAOUI</v>
          </cell>
          <cell r="T236" t="str">
            <v>R2</v>
          </cell>
          <cell r="U236" t="str">
            <v>ORD</v>
          </cell>
          <cell r="V236" t="str">
            <v>DN</v>
          </cell>
          <cell r="W236" t="str">
            <v>T</v>
          </cell>
          <cell r="X236" t="str">
            <v>R</v>
          </cell>
        </row>
        <row r="237">
          <cell r="B237">
            <v>3023</v>
          </cell>
          <cell r="C237" t="str">
            <v>RN DE SIX CHARGEURS DE BATTERIES 120VCC.</v>
          </cell>
          <cell r="D237">
            <v>0</v>
          </cell>
          <cell r="E237">
            <v>480000</v>
          </cell>
          <cell r="F237">
            <v>0</v>
          </cell>
          <cell r="G237">
            <v>0</v>
          </cell>
          <cell r="I237" t="str">
            <v>CONSUL</v>
          </cell>
          <cell r="J237" t="str">
            <v>AD</v>
          </cell>
          <cell r="K237" t="str">
            <v>DAM envoyée pour consultation</v>
          </cell>
          <cell r="L237">
            <v>207</v>
          </cell>
          <cell r="M237">
            <v>39176</v>
          </cell>
          <cell r="N237" t="str">
            <v>DAM-09/05</v>
          </cell>
          <cell r="O237">
            <v>6143</v>
          </cell>
          <cell r="S237" t="str">
            <v>SAOUD</v>
          </cell>
          <cell r="T237" t="str">
            <v>R2</v>
          </cell>
          <cell r="U237" t="str">
            <v>ORD</v>
          </cell>
          <cell r="V237" t="str">
            <v>RN</v>
          </cell>
          <cell r="W237" t="str">
            <v>L</v>
          </cell>
          <cell r="X237" t="str">
            <v>R</v>
          </cell>
        </row>
        <row r="238">
          <cell r="B238">
            <v>4124</v>
          </cell>
          <cell r="C238" t="str">
            <v>1 POMPE IMMERGEE</v>
          </cell>
          <cell r="D238">
            <v>30000</v>
          </cell>
          <cell r="E238">
            <v>30000</v>
          </cell>
          <cell r="F238">
            <v>0</v>
          </cell>
          <cell r="G238">
            <v>0</v>
          </cell>
          <cell r="I238" t="str">
            <v>CONSUL</v>
          </cell>
          <cell r="J238" t="str">
            <v>AD</v>
          </cell>
          <cell r="K238" t="str">
            <v>DAM envoyée pour consultation</v>
          </cell>
          <cell r="M238">
            <v>38483</v>
          </cell>
          <cell r="N238" t="str">
            <v>DAM-08/05</v>
          </cell>
          <cell r="S238" t="str">
            <v>RAOUIA</v>
          </cell>
          <cell r="T238" t="str">
            <v>R2</v>
          </cell>
          <cell r="U238" t="str">
            <v>ORD</v>
          </cell>
          <cell r="V238" t="str">
            <v>DN</v>
          </cell>
          <cell r="W238" t="str">
            <v>TC</v>
          </cell>
          <cell r="X238" t="str">
            <v>R</v>
          </cell>
        </row>
        <row r="239">
          <cell r="B239">
            <v>4124</v>
          </cell>
          <cell r="C239" t="str">
            <v>1 ASPIRATEUR D'EAU ET DE POUSSIERE</v>
          </cell>
          <cell r="K239" t="str">
            <v>AE N°-23741-1</v>
          </cell>
          <cell r="N239" t="str">
            <v>DAM-11/05</v>
          </cell>
          <cell r="P239" t="str">
            <v>DP-45107/05</v>
          </cell>
          <cell r="S239" t="str">
            <v>RAOUIA</v>
          </cell>
          <cell r="T239" t="str">
            <v>R2</v>
          </cell>
          <cell r="U239" t="str">
            <v>ORD</v>
          </cell>
          <cell r="V239" t="str">
            <v>DN</v>
          </cell>
          <cell r="W239" t="str">
            <v>TC</v>
          </cell>
          <cell r="X239" t="str">
            <v>R</v>
          </cell>
        </row>
        <row r="240">
          <cell r="B240">
            <v>4124</v>
          </cell>
          <cell r="C240" t="str">
            <v>COMPTEUR D'EAU</v>
          </cell>
          <cell r="M240">
            <v>38483</v>
          </cell>
          <cell r="S240" t="str">
            <v>RAOUIA</v>
          </cell>
          <cell r="T240" t="str">
            <v>R2</v>
          </cell>
          <cell r="U240" t="str">
            <v>ORD</v>
          </cell>
          <cell r="V240" t="str">
            <v>DN</v>
          </cell>
          <cell r="W240" t="str">
            <v>TC</v>
          </cell>
          <cell r="X240" t="str">
            <v>R</v>
          </cell>
        </row>
        <row r="241">
          <cell r="B241">
            <v>4124</v>
          </cell>
          <cell r="C241" t="str">
            <v>1 THERMOMETRE</v>
          </cell>
          <cell r="K241" t="str">
            <v xml:space="preserve">AE 23741-2  du 01/11/2005 de 3000,00  &amp; AE ( C) de 600,00 </v>
          </cell>
          <cell r="M241">
            <v>38717</v>
          </cell>
          <cell r="N241" t="str">
            <v>DAM-12/05</v>
          </cell>
          <cell r="S241" t="str">
            <v>RAOUIA</v>
          </cell>
          <cell r="T241" t="str">
            <v>R2</v>
          </cell>
          <cell r="U241" t="str">
            <v>ORD</v>
          </cell>
          <cell r="V241" t="str">
            <v>DN</v>
          </cell>
          <cell r="W241" t="str">
            <v>TC</v>
          </cell>
          <cell r="X241" t="str">
            <v>R</v>
          </cell>
        </row>
        <row r="242">
          <cell r="B242">
            <v>3025</v>
          </cell>
          <cell r="C242" t="str">
            <v>RN DE CINQ DISJONCTEURS SF6.</v>
          </cell>
          <cell r="D242">
            <v>0</v>
          </cell>
          <cell r="E242">
            <v>2200000</v>
          </cell>
          <cell r="F242">
            <v>0</v>
          </cell>
          <cell r="G242">
            <v>0</v>
          </cell>
          <cell r="H242">
            <v>1225500</v>
          </cell>
          <cell r="I242" t="str">
            <v>ENG</v>
          </cell>
          <cell r="J242" t="str">
            <v>CP</v>
          </cell>
          <cell r="K242" t="str">
            <v>DAC demande un élement de réponse à DAC/TM 246 16/4/07(AE N° IV 3025-1 de 1 225 500DH-DPM retourné sans avis par DAC)</v>
          </cell>
          <cell r="L242" t="str">
            <v>PFF- 413</v>
          </cell>
          <cell r="M242">
            <v>39217</v>
          </cell>
          <cell r="N242" t="str">
            <v>DPM-52/02</v>
          </cell>
          <cell r="P242" t="str">
            <v>AO-6018/05</v>
          </cell>
          <cell r="S242" t="str">
            <v>SAOUD</v>
          </cell>
          <cell r="T242" t="str">
            <v>R2</v>
          </cell>
          <cell r="U242" t="str">
            <v>ORD</v>
          </cell>
          <cell r="V242" t="str">
            <v>RN</v>
          </cell>
          <cell r="W242" t="str">
            <v>L</v>
          </cell>
          <cell r="X242" t="str">
            <v>R</v>
          </cell>
        </row>
        <row r="243">
          <cell r="B243">
            <v>4201</v>
          </cell>
          <cell r="C243" t="str">
            <v>MATERIEL SPECIFIQUE POUR ATELIER ET STATION SERVICE</v>
          </cell>
          <cell r="D243">
            <v>26000</v>
          </cell>
          <cell r="E243">
            <v>26000</v>
          </cell>
          <cell r="F243">
            <v>0</v>
          </cell>
          <cell r="G243">
            <v>0</v>
          </cell>
          <cell r="S243" t="str">
            <v>RAOUIA</v>
          </cell>
          <cell r="T243" t="str">
            <v>R2</v>
          </cell>
          <cell r="U243" t="str">
            <v>ORD</v>
          </cell>
          <cell r="V243" t="str">
            <v>DN</v>
          </cell>
          <cell r="W243" t="str">
            <v>TC</v>
          </cell>
          <cell r="X243" t="str">
            <v>R</v>
          </cell>
        </row>
        <row r="244">
          <cell r="B244">
            <v>4201</v>
          </cell>
          <cell r="C244" t="str">
            <v>1 CENTRALE HYD</v>
          </cell>
          <cell r="K244" t="str">
            <v xml:space="preserve">CHT annulé par AD </v>
          </cell>
          <cell r="L244" t="str">
            <v>AD-0047</v>
          </cell>
          <cell r="M244">
            <v>38770</v>
          </cell>
          <cell r="N244" t="str">
            <v>DAM-06/05</v>
          </cell>
          <cell r="S244" t="str">
            <v>RAOUIA</v>
          </cell>
          <cell r="T244" t="str">
            <v>R2</v>
          </cell>
          <cell r="U244" t="str">
            <v>ORD</v>
          </cell>
          <cell r="V244" t="str">
            <v>DN</v>
          </cell>
          <cell r="W244" t="str">
            <v>TC</v>
          </cell>
          <cell r="X244" t="str">
            <v>R</v>
          </cell>
        </row>
        <row r="245">
          <cell r="B245">
            <v>4201</v>
          </cell>
          <cell r="C245" t="str">
            <v xml:space="preserve">01 MEULEUSE ET 01 BOITE A OUTILS </v>
          </cell>
          <cell r="I245" t="str">
            <v>CONSUL</v>
          </cell>
          <cell r="J245" t="str">
            <v>AD</v>
          </cell>
          <cell r="K245" t="str">
            <v>DAM envoyée pour consultation</v>
          </cell>
          <cell r="L245">
            <v>395</v>
          </cell>
          <cell r="M245">
            <v>38924</v>
          </cell>
          <cell r="N245" t="str">
            <v>DAM-11-12/06</v>
          </cell>
          <cell r="S245" t="str">
            <v>RAOUIA</v>
          </cell>
          <cell r="T245" t="str">
            <v>R2</v>
          </cell>
          <cell r="U245" t="str">
            <v>ORD</v>
          </cell>
          <cell r="V245" t="str">
            <v>DN</v>
          </cell>
          <cell r="W245" t="str">
            <v>TC</v>
          </cell>
          <cell r="X245" t="str">
            <v>R</v>
          </cell>
        </row>
        <row r="246">
          <cell r="B246">
            <v>4201</v>
          </cell>
          <cell r="C246" t="str">
            <v>1 NETTOYEUR HAUTE PRESSION</v>
          </cell>
          <cell r="I246" t="str">
            <v>CONSUL</v>
          </cell>
          <cell r="J246" t="str">
            <v>AD</v>
          </cell>
          <cell r="K246" t="str">
            <v>DAM envoyée pour consultation</v>
          </cell>
          <cell r="L246">
            <v>395</v>
          </cell>
          <cell r="M246">
            <v>38924</v>
          </cell>
          <cell r="N246" t="str">
            <v>DAM-17/06</v>
          </cell>
          <cell r="S246" t="str">
            <v>RAOUIA</v>
          </cell>
          <cell r="T246" t="str">
            <v>R2</v>
          </cell>
          <cell r="U246" t="str">
            <v>ORD</v>
          </cell>
          <cell r="V246" t="str">
            <v>DN</v>
          </cell>
          <cell r="W246" t="str">
            <v>TC</v>
          </cell>
          <cell r="X246" t="str">
            <v>R</v>
          </cell>
        </row>
        <row r="247">
          <cell r="B247">
            <v>3026</v>
          </cell>
          <cell r="C247" t="str">
            <v>ACQUISITION D'UN TRANSFORMATEUR DE PUISSANCE 10 MVA.</v>
          </cell>
          <cell r="D247">
            <v>0</v>
          </cell>
          <cell r="E247">
            <v>2700000</v>
          </cell>
          <cell r="F247">
            <v>0</v>
          </cell>
          <cell r="G247">
            <v>0</v>
          </cell>
          <cell r="I247" t="str">
            <v>non apprové</v>
          </cell>
          <cell r="J247" t="str">
            <v>CP</v>
          </cell>
          <cell r="K247" t="str">
            <v>Projet non approuvé par PMK-retourné par DAC
DAC demande un élement de réponse à DAC/TM 246 16/4/07</v>
          </cell>
          <cell r="L247" t="str">
            <v>406
281</v>
          </cell>
          <cell r="M247" t="str">
            <v>31/07/2006
03/05/2007</v>
          </cell>
          <cell r="N247" t="str">
            <v>DAM-07/04</v>
          </cell>
          <cell r="P247" t="str">
            <v>DP-62088/05</v>
          </cell>
          <cell r="S247" t="str">
            <v>SAOUD</v>
          </cell>
          <cell r="T247" t="str">
            <v>R2</v>
          </cell>
          <cell r="U247" t="str">
            <v>ORD</v>
          </cell>
          <cell r="V247" t="str">
            <v>DN</v>
          </cell>
          <cell r="W247" t="str">
            <v>L</v>
          </cell>
          <cell r="X247" t="str">
            <v>R</v>
          </cell>
        </row>
        <row r="248">
          <cell r="B248">
            <v>3027</v>
          </cell>
          <cell r="C248" t="str">
            <v>MATERIEL ET LIGNES ELECTRIQUES</v>
          </cell>
          <cell r="D248">
            <v>1600000</v>
          </cell>
          <cell r="E248">
            <v>1600000</v>
          </cell>
          <cell r="F248">
            <v>0</v>
          </cell>
          <cell r="G248">
            <v>0</v>
          </cell>
          <cell r="I248" t="str">
            <v>CONSUL</v>
          </cell>
          <cell r="J248" t="str">
            <v>CP</v>
          </cell>
          <cell r="K248" t="str">
            <v>DAM retourné au CP (calendrier non respecte )</v>
          </cell>
          <cell r="L248" t="str">
            <v>07/80/AA</v>
          </cell>
          <cell r="M248">
            <v>39198</v>
          </cell>
          <cell r="N248" t="str">
            <v>DAM-16/05</v>
          </cell>
          <cell r="P248" t="str">
            <v>DP-62142/05</v>
          </cell>
          <cell r="S248" t="str">
            <v>RAOUIA</v>
          </cell>
          <cell r="T248" t="str">
            <v>R2</v>
          </cell>
          <cell r="U248" t="str">
            <v>ORD</v>
          </cell>
          <cell r="V248" t="str">
            <v>DN</v>
          </cell>
          <cell r="W248" t="str">
            <v>TC</v>
          </cell>
          <cell r="X248" t="str">
            <v>R</v>
          </cell>
        </row>
        <row r="249">
          <cell r="B249">
            <v>3027</v>
          </cell>
          <cell r="C249" t="str">
            <v>Transformateurs</v>
          </cell>
          <cell r="I249" t="str">
            <v>CONSUL</v>
          </cell>
          <cell r="J249" t="str">
            <v>PLM/L</v>
          </cell>
          <cell r="K249" t="str">
            <v>DAM envoyée pour consultation</v>
          </cell>
          <cell r="L249">
            <v>172</v>
          </cell>
          <cell r="M249">
            <v>39195</v>
          </cell>
          <cell r="N249" t="str">
            <v>DAM-22/07</v>
          </cell>
          <cell r="S249" t="str">
            <v>RAOUIA</v>
          </cell>
          <cell r="T249" t="str">
            <v>R2</v>
          </cell>
          <cell r="U249" t="str">
            <v>ORD</v>
          </cell>
          <cell r="V249" t="str">
            <v>DN</v>
          </cell>
          <cell r="W249" t="str">
            <v>TC</v>
          </cell>
          <cell r="X249" t="str">
            <v>R</v>
          </cell>
        </row>
        <row r="250">
          <cell r="B250">
            <v>3030</v>
          </cell>
          <cell r="C250" t="str">
            <v>02 GROUPES MOTOPOMPES D'ALIMENTATION DES FOURS SECHEURS EN FUEL A BENI-IDIR</v>
          </cell>
          <cell r="D250">
            <v>0</v>
          </cell>
          <cell r="E250">
            <v>400000</v>
          </cell>
          <cell r="F250">
            <v>0</v>
          </cell>
          <cell r="G250">
            <v>0</v>
          </cell>
          <cell r="I250" t="str">
            <v>CONSUL</v>
          </cell>
          <cell r="J250" t="str">
            <v>AD</v>
          </cell>
          <cell r="K250" t="str">
            <v>DAM envoyée pour consultation</v>
          </cell>
          <cell r="L250">
            <v>420</v>
          </cell>
          <cell r="M250">
            <v>38504</v>
          </cell>
          <cell r="N250" t="str">
            <v>DAM-64/04</v>
          </cell>
          <cell r="S250" t="str">
            <v>JERRAR</v>
          </cell>
          <cell r="T250" t="str">
            <v>R2</v>
          </cell>
          <cell r="U250" t="str">
            <v>ORD</v>
          </cell>
          <cell r="V250" t="str">
            <v>RN</v>
          </cell>
          <cell r="W250" t="str">
            <v>T</v>
          </cell>
          <cell r="X250" t="str">
            <v>R</v>
          </cell>
        </row>
        <row r="251">
          <cell r="B251">
            <v>3031</v>
          </cell>
          <cell r="C251" t="str">
            <v>04 GROUPES MOTOPOMPES DES CHAINES DE DEMINERALISATION DE L'UNITE DE BENI-IDIR</v>
          </cell>
          <cell r="D251">
            <v>100000</v>
          </cell>
          <cell r="E251">
            <v>100000</v>
          </cell>
          <cell r="F251">
            <v>0</v>
          </cell>
          <cell r="G251">
            <v>0</v>
          </cell>
          <cell r="K251" t="str">
            <v>AE N°-3031-1 DE 273840,00 DH</v>
          </cell>
          <cell r="M251">
            <v>38903</v>
          </cell>
          <cell r="N251" t="str">
            <v>DAM-65/04</v>
          </cell>
          <cell r="P251" t="str">
            <v>DP-45207</v>
          </cell>
          <cell r="Q251">
            <v>228200</v>
          </cell>
          <cell r="R251" t="str">
            <v>C016 du  21/06/2007</v>
          </cell>
          <cell r="S251" t="str">
            <v>JERRAR</v>
          </cell>
          <cell r="T251" t="str">
            <v>R2</v>
          </cell>
          <cell r="U251" t="str">
            <v>ORD</v>
          </cell>
          <cell r="V251" t="str">
            <v>RN</v>
          </cell>
          <cell r="W251" t="str">
            <v>T</v>
          </cell>
          <cell r="X251" t="str">
            <v>R</v>
          </cell>
        </row>
        <row r="252">
          <cell r="B252">
            <v>3032</v>
          </cell>
          <cell r="C252" t="str">
            <v>08 GROUPES MOTOPOMPES DU CIRCUIT D'ALIMENTATION EN FUEL DES CHAUDIERES DE L'UNITE DE BENI-IDIR</v>
          </cell>
          <cell r="D252">
            <v>0</v>
          </cell>
          <cell r="E252">
            <v>440000</v>
          </cell>
          <cell r="F252">
            <v>0</v>
          </cell>
          <cell r="G252">
            <v>0</v>
          </cell>
          <cell r="I252" t="str">
            <v>CONSUL</v>
          </cell>
          <cell r="J252" t="str">
            <v>AD</v>
          </cell>
          <cell r="K252" t="str">
            <v>DAM envoyée pour consultation</v>
          </cell>
          <cell r="L252">
            <v>467</v>
          </cell>
          <cell r="M252">
            <v>38961</v>
          </cell>
          <cell r="N252" t="str">
            <v>DAM-157/06</v>
          </cell>
          <cell r="S252" t="str">
            <v>JERRAR</v>
          </cell>
          <cell r="T252" t="str">
            <v>R2</v>
          </cell>
          <cell r="U252" t="str">
            <v>ORD</v>
          </cell>
          <cell r="V252" t="str">
            <v>RN</v>
          </cell>
          <cell r="W252" t="str">
            <v>T</v>
          </cell>
          <cell r="X252" t="str">
            <v>R</v>
          </cell>
        </row>
        <row r="253">
          <cell r="B253">
            <v>3033</v>
          </cell>
          <cell r="C253" t="str">
            <v>MATERIEL DE LEVAGE ET DE MANUTENTION</v>
          </cell>
          <cell r="D253">
            <v>8000</v>
          </cell>
          <cell r="E253">
            <v>8000</v>
          </cell>
          <cell r="F253">
            <v>0</v>
          </cell>
          <cell r="G253">
            <v>0</v>
          </cell>
          <cell r="K253" t="str">
            <v>AE N°-3033-1  de 1120dh</v>
          </cell>
          <cell r="M253">
            <v>38814</v>
          </cell>
          <cell r="N253" t="str">
            <v>DAM-15/05</v>
          </cell>
          <cell r="P253" t="str">
            <v>DP-45147</v>
          </cell>
          <cell r="S253" t="str">
            <v>RAOUIA</v>
          </cell>
          <cell r="T253" t="str">
            <v>R2</v>
          </cell>
          <cell r="U253" t="str">
            <v>ORD</v>
          </cell>
          <cell r="V253" t="str">
            <v>RN</v>
          </cell>
          <cell r="W253" t="str">
            <v>TC</v>
          </cell>
          <cell r="X253" t="str">
            <v>R</v>
          </cell>
        </row>
        <row r="254">
          <cell r="B254">
            <v>3038</v>
          </cell>
          <cell r="C254" t="str">
            <v>MATERIEL DIVERS A CARACTERE ADMINISTRATF</v>
          </cell>
          <cell r="D254">
            <v>10000</v>
          </cell>
          <cell r="E254">
            <v>10000</v>
          </cell>
          <cell r="F254">
            <v>0</v>
          </cell>
          <cell r="G254">
            <v>0</v>
          </cell>
          <cell r="I254" t="str">
            <v>CONSUL</v>
          </cell>
          <cell r="J254" t="str">
            <v>AD</v>
          </cell>
          <cell r="K254" t="str">
            <v>DAM envoyée pour consultation</v>
          </cell>
          <cell r="L254">
            <v>336</v>
          </cell>
          <cell r="M254">
            <v>38926</v>
          </cell>
          <cell r="N254" t="str">
            <v>DAM-07/06</v>
          </cell>
          <cell r="S254" t="str">
            <v>MOUMEN</v>
          </cell>
          <cell r="T254" t="str">
            <v>R6</v>
          </cell>
          <cell r="U254" t="str">
            <v>ADM</v>
          </cell>
          <cell r="V254" t="str">
            <v>DN</v>
          </cell>
          <cell r="W254" t="str">
            <v>TC</v>
          </cell>
          <cell r="X254" t="str">
            <v>R</v>
          </cell>
        </row>
        <row r="255">
          <cell r="B255">
            <v>3040</v>
          </cell>
          <cell r="C255" t="str">
            <v>MATERIEL DIVERS A CARACTERE ADMINISTRATIF</v>
          </cell>
          <cell r="D255">
            <v>5000</v>
          </cell>
          <cell r="E255">
            <v>5000</v>
          </cell>
          <cell r="F255">
            <v>0</v>
          </cell>
          <cell r="G255">
            <v>0</v>
          </cell>
          <cell r="I255" t="str">
            <v>CONSUL</v>
          </cell>
          <cell r="J255" t="str">
            <v>AD</v>
          </cell>
          <cell r="K255" t="str">
            <v>DAM  au niveau consultation</v>
          </cell>
          <cell r="L255">
            <v>309</v>
          </cell>
          <cell r="M255">
            <v>39209</v>
          </cell>
          <cell r="N255" t="str">
            <v>DAM-67/07</v>
          </cell>
          <cell r="P255" t="str">
            <v>DP-45105/05</v>
          </cell>
          <cell r="S255" t="str">
            <v>MOUMEN</v>
          </cell>
          <cell r="T255" t="str">
            <v>R6</v>
          </cell>
          <cell r="U255" t="str">
            <v>ORD</v>
          </cell>
          <cell r="V255" t="str">
            <v>DN</v>
          </cell>
          <cell r="W255" t="str">
            <v>TC</v>
          </cell>
          <cell r="X255" t="str">
            <v>R</v>
          </cell>
        </row>
        <row r="256">
          <cell r="B256">
            <v>3041</v>
          </cell>
          <cell r="C256" t="str">
            <v>ACHAT DE 3 REDUCTEURS DE VITESSE POUR LES INSTALLATIONS DE CHARGEMENT DES TRAINS DE BENI-IDIR</v>
          </cell>
          <cell r="D256">
            <v>0</v>
          </cell>
          <cell r="E256">
            <v>1500000</v>
          </cell>
          <cell r="F256">
            <v>0</v>
          </cell>
          <cell r="G256">
            <v>0</v>
          </cell>
          <cell r="I256" t="str">
            <v>CT</v>
          </cell>
          <cell r="J256" t="str">
            <v>CP</v>
          </cell>
          <cell r="K256" t="str">
            <v>DSD/TM -455 transmise au CP</v>
          </cell>
          <cell r="L256">
            <v>479</v>
          </cell>
          <cell r="M256">
            <v>38972</v>
          </cell>
          <cell r="N256" t="str">
            <v>DAM-60/05</v>
          </cell>
          <cell r="S256" t="str">
            <v>JERRAR</v>
          </cell>
          <cell r="T256" t="str">
            <v>R2</v>
          </cell>
          <cell r="U256" t="str">
            <v>ORD</v>
          </cell>
          <cell r="V256" t="str">
            <v>DN</v>
          </cell>
          <cell r="W256" t="str">
            <v>T</v>
          </cell>
          <cell r="X256" t="str">
            <v>R</v>
          </cell>
        </row>
        <row r="257">
          <cell r="B257">
            <v>3043</v>
          </cell>
          <cell r="C257" t="str">
            <v>01 NIVELEUSE</v>
          </cell>
          <cell r="D257">
            <v>0</v>
          </cell>
          <cell r="E257">
            <v>6000000</v>
          </cell>
          <cell r="F257">
            <v>0</v>
          </cell>
          <cell r="G257">
            <v>0</v>
          </cell>
          <cell r="S257" t="str">
            <v>EL KASSI</v>
          </cell>
          <cell r="T257" t="str">
            <v>R2</v>
          </cell>
          <cell r="U257" t="str">
            <v>ORD</v>
          </cell>
          <cell r="V257" t="str">
            <v>RN</v>
          </cell>
          <cell r="W257" t="str">
            <v>P</v>
          </cell>
          <cell r="X257" t="str">
            <v>R</v>
          </cell>
        </row>
        <row r="258">
          <cell r="B258">
            <v>3044</v>
          </cell>
          <cell r="C258" t="str">
            <v>01 PORTES CHARS</v>
          </cell>
          <cell r="D258">
            <v>0</v>
          </cell>
          <cell r="E258">
            <v>8000000</v>
          </cell>
          <cell r="F258">
            <v>0</v>
          </cell>
          <cell r="G258">
            <v>0</v>
          </cell>
          <cell r="S258" t="str">
            <v>MAGHRAOUI</v>
          </cell>
          <cell r="T258" t="str">
            <v>R2</v>
          </cell>
          <cell r="U258" t="str">
            <v>ORD</v>
          </cell>
          <cell r="V258" t="str">
            <v>RN</v>
          </cell>
          <cell r="W258" t="str">
            <v>P</v>
          </cell>
          <cell r="X258" t="str">
            <v>R</v>
          </cell>
        </row>
        <row r="259">
          <cell r="B259">
            <v>3046</v>
          </cell>
          <cell r="C259" t="str">
            <v>04 MOTEURS THERMIQUES DIESEL 1600 HP</v>
          </cell>
          <cell r="D259">
            <v>5000000</v>
          </cell>
          <cell r="E259">
            <v>10000000</v>
          </cell>
          <cell r="F259">
            <v>0</v>
          </cell>
          <cell r="G259">
            <v>0</v>
          </cell>
          <cell r="I259" t="str">
            <v>CHT</v>
          </cell>
          <cell r="J259" t="str">
            <v>CP</v>
          </cell>
          <cell r="K259" t="str">
            <v>CHT en retour suite au remarque du CT</v>
          </cell>
          <cell r="L259">
            <v>564</v>
          </cell>
          <cell r="M259">
            <v>39366</v>
          </cell>
          <cell r="N259" t="str">
            <v>DAM-6095/06</v>
          </cell>
          <cell r="O259">
            <v>1005</v>
          </cell>
          <cell r="S259" t="str">
            <v>KHOUILI</v>
          </cell>
          <cell r="T259" t="str">
            <v>R2</v>
          </cell>
          <cell r="U259" t="str">
            <v>ORD</v>
          </cell>
          <cell r="V259" t="str">
            <v>RN</v>
          </cell>
          <cell r="W259" t="str">
            <v>P</v>
          </cell>
          <cell r="X259" t="str">
            <v>R</v>
          </cell>
        </row>
        <row r="260">
          <cell r="B260">
            <v>3047</v>
          </cell>
          <cell r="C260" t="str">
            <v>04 MOTEURS THERMIQUES 1050 HP</v>
          </cell>
          <cell r="D260">
            <v>3200000</v>
          </cell>
          <cell r="E260">
            <v>6400000</v>
          </cell>
          <cell r="F260">
            <v>0</v>
          </cell>
          <cell r="G260">
            <v>0</v>
          </cell>
          <cell r="I260" t="str">
            <v>CHT</v>
          </cell>
          <cell r="J260" t="str">
            <v>CP</v>
          </cell>
          <cell r="K260" t="str">
            <v>CHT en retour suite au remarque du CT</v>
          </cell>
          <cell r="L260">
            <v>460</v>
          </cell>
          <cell r="M260">
            <v>39290</v>
          </cell>
          <cell r="N260" t="str">
            <v>DAM-6094/06</v>
          </cell>
          <cell r="S260" t="str">
            <v>KHOUILI</v>
          </cell>
          <cell r="T260" t="str">
            <v>R2</v>
          </cell>
          <cell r="U260" t="str">
            <v>ORD</v>
          </cell>
          <cell r="V260" t="str">
            <v>RN</v>
          </cell>
          <cell r="W260" t="str">
            <v>P</v>
          </cell>
          <cell r="X260" t="str">
            <v>R</v>
          </cell>
        </row>
        <row r="261">
          <cell r="B261">
            <v>3048</v>
          </cell>
          <cell r="C261" t="str">
            <v>01 MOTEUR THERMIQUE DIESEL 250 HP</v>
          </cell>
          <cell r="D261">
            <v>800000</v>
          </cell>
          <cell r="E261">
            <v>800000</v>
          </cell>
          <cell r="F261">
            <v>0</v>
          </cell>
          <cell r="G261">
            <v>0</v>
          </cell>
          <cell r="S261" t="str">
            <v>KHOUILI</v>
          </cell>
          <cell r="T261" t="str">
            <v>R2</v>
          </cell>
          <cell r="U261" t="str">
            <v>ORD</v>
          </cell>
          <cell r="V261" t="str">
            <v>RN</v>
          </cell>
          <cell r="W261" t="str">
            <v>P</v>
          </cell>
          <cell r="X261" t="str">
            <v>R</v>
          </cell>
        </row>
        <row r="262">
          <cell r="B262">
            <v>3052</v>
          </cell>
          <cell r="C262" t="str">
            <v>01 MOTEUR THERMIQUE DIESEL 280 HP</v>
          </cell>
          <cell r="D262">
            <v>900000</v>
          </cell>
          <cell r="E262">
            <v>900000</v>
          </cell>
          <cell r="F262">
            <v>0</v>
          </cell>
          <cell r="G262">
            <v>0</v>
          </cell>
          <cell r="S262" t="str">
            <v>KHOUILI</v>
          </cell>
          <cell r="T262" t="str">
            <v>R3</v>
          </cell>
          <cell r="U262" t="str">
            <v>ORD</v>
          </cell>
          <cell r="V262" t="str">
            <v>DN</v>
          </cell>
          <cell r="W262" t="str">
            <v>P</v>
          </cell>
          <cell r="X262" t="str">
            <v>R</v>
          </cell>
        </row>
        <row r="263">
          <cell r="B263">
            <v>3054</v>
          </cell>
          <cell r="C263" t="str">
            <v>02 CHAUFFES EAU 100 L</v>
          </cell>
          <cell r="D263">
            <v>400</v>
          </cell>
          <cell r="E263">
            <v>400</v>
          </cell>
          <cell r="F263">
            <v>0</v>
          </cell>
          <cell r="G263">
            <v>0</v>
          </cell>
          <cell r="I263" t="str">
            <v>CONSUL</v>
          </cell>
          <cell r="J263" t="str">
            <v>AD</v>
          </cell>
          <cell r="K263" t="str">
            <v>DAM envoyée pour consultation</v>
          </cell>
          <cell r="L263">
            <v>406</v>
          </cell>
          <cell r="M263">
            <v>39258</v>
          </cell>
          <cell r="N263" t="str">
            <v>DAM- 7053</v>
          </cell>
          <cell r="O263">
            <v>7198</v>
          </cell>
          <cell r="S263" t="str">
            <v>CHARKI</v>
          </cell>
          <cell r="T263" t="str">
            <v>R6</v>
          </cell>
          <cell r="U263" t="str">
            <v>ADM</v>
          </cell>
          <cell r="V263" t="str">
            <v>DN</v>
          </cell>
          <cell r="W263" t="str">
            <v>P</v>
          </cell>
          <cell r="X263" t="str">
            <v>R</v>
          </cell>
        </row>
        <row r="264">
          <cell r="B264">
            <v>3057</v>
          </cell>
          <cell r="C264" t="str">
            <v>10 CELLULES A DISJONCTEURS 7.2 KV -630A POUR POSTES P3 ET P20</v>
          </cell>
          <cell r="D264">
            <v>3500000</v>
          </cell>
          <cell r="E264">
            <v>3500000</v>
          </cell>
          <cell r="F264">
            <v>0</v>
          </cell>
          <cell r="G264">
            <v>0</v>
          </cell>
          <cell r="I264" t="str">
            <v>CONSUL</v>
          </cell>
          <cell r="J264" t="str">
            <v>PFM/AC</v>
          </cell>
          <cell r="K264" t="str">
            <v>DAM envoyée pour consultation</v>
          </cell>
          <cell r="L264">
            <v>691</v>
          </cell>
          <cell r="M264">
            <v>39073</v>
          </cell>
          <cell r="N264" t="str">
            <v>DAM-6033/06</v>
          </cell>
          <cell r="S264" t="str">
            <v>HALMI</v>
          </cell>
          <cell r="T264" t="str">
            <v>R3</v>
          </cell>
          <cell r="U264" t="str">
            <v>ORD</v>
          </cell>
          <cell r="V264" t="str">
            <v>DN</v>
          </cell>
          <cell r="W264" t="str">
            <v>P</v>
          </cell>
          <cell r="X264" t="str">
            <v>R</v>
          </cell>
        </row>
        <row r="265">
          <cell r="B265">
            <v>3058</v>
          </cell>
          <cell r="C265" t="str">
            <v>1 PRESSE HYDRAULIQUE À CABLES ÉLECTRIQUES</v>
          </cell>
          <cell r="D265">
            <v>416000</v>
          </cell>
          <cell r="E265">
            <v>416000</v>
          </cell>
          <cell r="F265">
            <v>0</v>
          </cell>
          <cell r="G265">
            <v>0</v>
          </cell>
          <cell r="I265" t="str">
            <v>CONSUL</v>
          </cell>
          <cell r="J265" t="str">
            <v>AD</v>
          </cell>
          <cell r="K265" t="str">
            <v>DAM envoyée pour consultation</v>
          </cell>
          <cell r="L265">
            <v>292</v>
          </cell>
          <cell r="M265">
            <v>38869</v>
          </cell>
          <cell r="N265" t="str">
            <v>DAM- 6036/06</v>
          </cell>
          <cell r="S265" t="str">
            <v>BOUTABBA</v>
          </cell>
          <cell r="T265" t="str">
            <v>R2</v>
          </cell>
          <cell r="U265" t="str">
            <v>ORD</v>
          </cell>
          <cell r="V265" t="str">
            <v>RN</v>
          </cell>
          <cell r="W265" t="str">
            <v>P</v>
          </cell>
          <cell r="X265" t="str">
            <v>R</v>
          </cell>
        </row>
        <row r="266">
          <cell r="B266">
            <v>3058</v>
          </cell>
          <cell r="C266" t="str">
            <v>2 MEULEUSES PNEUMATIQUES À AXE VÉRTICAL 180MM</v>
          </cell>
          <cell r="K266" t="str">
            <v>AE N°-23812-1</v>
          </cell>
          <cell r="M266">
            <v>38566</v>
          </cell>
          <cell r="N266" t="str">
            <v>DAM- 2550/05</v>
          </cell>
          <cell r="S266" t="str">
            <v>BOUTABBA</v>
          </cell>
          <cell r="T266" t="str">
            <v>R2</v>
          </cell>
          <cell r="U266" t="str">
            <v>ORD</v>
          </cell>
          <cell r="V266" t="str">
            <v>RN</v>
          </cell>
          <cell r="W266" t="str">
            <v>P</v>
          </cell>
          <cell r="X266" t="str">
            <v>R</v>
          </cell>
        </row>
        <row r="267">
          <cell r="B267">
            <v>3058</v>
          </cell>
          <cell r="C267" t="str">
            <v>2 COFFRETS LETTRES</v>
          </cell>
          <cell r="I267" t="str">
            <v>CONSUL</v>
          </cell>
          <cell r="J267" t="str">
            <v>AD</v>
          </cell>
          <cell r="K267" t="str">
            <v>DAM envoyée pour consultation</v>
          </cell>
          <cell r="L267">
            <v>292</v>
          </cell>
          <cell r="M267">
            <v>38869</v>
          </cell>
          <cell r="N267" t="str">
            <v>DAM- 6071/06</v>
          </cell>
          <cell r="S267" t="str">
            <v>BOUTABBA</v>
          </cell>
          <cell r="T267" t="str">
            <v>R2</v>
          </cell>
          <cell r="U267" t="str">
            <v>ORD</v>
          </cell>
          <cell r="V267" t="str">
            <v>RN</v>
          </cell>
          <cell r="W267" t="str">
            <v>P</v>
          </cell>
          <cell r="X267" t="str">
            <v>R</v>
          </cell>
        </row>
        <row r="268">
          <cell r="B268">
            <v>3059</v>
          </cell>
          <cell r="C268" t="str">
            <v>MOBILIERS DU BUREAU</v>
          </cell>
          <cell r="D268">
            <v>4000</v>
          </cell>
          <cell r="E268">
            <v>4000</v>
          </cell>
          <cell r="F268">
            <v>0</v>
          </cell>
          <cell r="G268">
            <v>0</v>
          </cell>
          <cell r="K268" t="str">
            <v>AE-23813-1-2-3 DAM-pour consultation</v>
          </cell>
          <cell r="L268">
            <v>652</v>
          </cell>
          <cell r="M268">
            <v>39073</v>
          </cell>
          <cell r="N268" t="str">
            <v>DAM-2557/05</v>
          </cell>
          <cell r="P268" t="str">
            <v>DP N°45115</v>
          </cell>
          <cell r="S268" t="str">
            <v>MAHSOUN</v>
          </cell>
          <cell r="T268" t="str">
            <v>R6</v>
          </cell>
          <cell r="U268" t="str">
            <v>ADM</v>
          </cell>
          <cell r="V268" t="str">
            <v>RN</v>
          </cell>
          <cell r="W268" t="str">
            <v>P</v>
          </cell>
          <cell r="X268" t="str">
            <v>R</v>
          </cell>
        </row>
        <row r="269">
          <cell r="B269">
            <v>3060</v>
          </cell>
          <cell r="C269" t="str">
            <v>7 DISJONCTEURS TRIPHASES 7.2 KV 630 A</v>
          </cell>
          <cell r="D269">
            <v>1100000</v>
          </cell>
          <cell r="E269">
            <v>1100000</v>
          </cell>
          <cell r="F269">
            <v>0</v>
          </cell>
          <cell r="G269">
            <v>0</v>
          </cell>
          <cell r="I269" t="str">
            <v>CONSUL</v>
          </cell>
          <cell r="J269" t="str">
            <v>PLM</v>
          </cell>
          <cell r="K269" t="str">
            <v>DAM  pour consultation</v>
          </cell>
          <cell r="L269">
            <v>338</v>
          </cell>
          <cell r="M269">
            <v>39307</v>
          </cell>
          <cell r="N269" t="str">
            <v>DAM-7052/07</v>
          </cell>
          <cell r="O269">
            <v>2586</v>
          </cell>
          <cell r="P269" t="str">
            <v>DP-62034/05</v>
          </cell>
          <cell r="S269" t="str">
            <v>HALMI</v>
          </cell>
          <cell r="T269" t="str">
            <v>R2</v>
          </cell>
          <cell r="U269" t="str">
            <v>ORD</v>
          </cell>
          <cell r="V269" t="str">
            <v>RN</v>
          </cell>
          <cell r="W269" t="str">
            <v>P</v>
          </cell>
          <cell r="X269" t="str">
            <v>R</v>
          </cell>
        </row>
        <row r="270">
          <cell r="B270">
            <v>3061</v>
          </cell>
          <cell r="C270" t="str">
            <v>2 SECTIONNEURS TRIPHASES 72.5 KV 800A</v>
          </cell>
          <cell r="D270">
            <v>360000</v>
          </cell>
          <cell r="E270">
            <v>360000</v>
          </cell>
          <cell r="F270">
            <v>0</v>
          </cell>
          <cell r="G270">
            <v>0</v>
          </cell>
          <cell r="I270" t="str">
            <v>CONSUL</v>
          </cell>
          <cell r="J270" t="str">
            <v>AD</v>
          </cell>
          <cell r="K270" t="str">
            <v>DAM  pour consultation</v>
          </cell>
          <cell r="L270">
            <v>566</v>
          </cell>
          <cell r="M270">
            <v>39367</v>
          </cell>
          <cell r="N270" t="str">
            <v>DAM- 7070/07</v>
          </cell>
          <cell r="O270">
            <v>8490</v>
          </cell>
          <cell r="S270" t="str">
            <v>BOUTABBA</v>
          </cell>
          <cell r="T270" t="str">
            <v>R3</v>
          </cell>
          <cell r="U270" t="str">
            <v>ORD</v>
          </cell>
          <cell r="V270" t="str">
            <v>DN</v>
          </cell>
          <cell r="W270" t="str">
            <v>P</v>
          </cell>
          <cell r="X270" t="str">
            <v>R</v>
          </cell>
        </row>
        <row r="271">
          <cell r="B271">
            <v>3062</v>
          </cell>
          <cell r="C271" t="str">
            <v>10 TRANSFORMATEURS MOYENNES TENSION 50KVA/5.5 KV 220 V TRIPHASES</v>
          </cell>
          <cell r="D271">
            <v>300000</v>
          </cell>
          <cell r="E271">
            <v>300000</v>
          </cell>
          <cell r="F271">
            <v>0</v>
          </cell>
          <cell r="G271">
            <v>0</v>
          </cell>
          <cell r="I271" t="str">
            <v>CONSUL</v>
          </cell>
          <cell r="J271" t="str">
            <v>AD</v>
          </cell>
          <cell r="K271" t="str">
            <v>DAM envoyée pour consultation</v>
          </cell>
          <cell r="L271">
            <v>360</v>
          </cell>
          <cell r="M271">
            <v>38904</v>
          </cell>
          <cell r="N271" t="str">
            <v>DAM-6023/06</v>
          </cell>
          <cell r="S271" t="str">
            <v>BOUTABBA</v>
          </cell>
          <cell r="T271" t="str">
            <v>R3</v>
          </cell>
          <cell r="U271" t="str">
            <v>ORD</v>
          </cell>
          <cell r="V271" t="str">
            <v>DN</v>
          </cell>
          <cell r="W271" t="str">
            <v>P</v>
          </cell>
          <cell r="X271" t="str">
            <v>R</v>
          </cell>
        </row>
        <row r="272">
          <cell r="B272">
            <v>3063</v>
          </cell>
          <cell r="C272" t="str">
            <v>8 CELLULES MOYENNES TENSION EQUIPEES DE MOYENS ELECTRIQUES DE COUPURE ET PROTECTION</v>
          </cell>
          <cell r="D272">
            <v>2800000</v>
          </cell>
          <cell r="E272">
            <v>2800000</v>
          </cell>
          <cell r="F272">
            <v>0</v>
          </cell>
          <cell r="G272">
            <v>0</v>
          </cell>
          <cell r="I272" t="str">
            <v>CONSUL</v>
          </cell>
          <cell r="J272" t="str">
            <v>PFM/AC</v>
          </cell>
          <cell r="K272" t="str">
            <v>DAM envoyée pour consultation</v>
          </cell>
          <cell r="L272">
            <v>691</v>
          </cell>
          <cell r="M272">
            <v>39073</v>
          </cell>
          <cell r="N272" t="str">
            <v>DAM-6034/06</v>
          </cell>
          <cell r="S272" t="str">
            <v>HALMI</v>
          </cell>
          <cell r="T272" t="str">
            <v>R3</v>
          </cell>
          <cell r="U272" t="str">
            <v>ORD</v>
          </cell>
          <cell r="V272" t="str">
            <v>DN</v>
          </cell>
          <cell r="W272" t="str">
            <v>P</v>
          </cell>
          <cell r="X272" t="str">
            <v>R</v>
          </cell>
        </row>
        <row r="273">
          <cell r="B273">
            <v>3064</v>
          </cell>
          <cell r="C273" t="str">
            <v>10 MOTEURS ELECTRIQUES</v>
          </cell>
          <cell r="D273">
            <v>1305600</v>
          </cell>
          <cell r="E273">
            <v>1305600</v>
          </cell>
          <cell r="F273">
            <v>0</v>
          </cell>
          <cell r="G273">
            <v>0</v>
          </cell>
          <cell r="S273" t="str">
            <v>BOUTABBA</v>
          </cell>
          <cell r="T273" t="str">
            <v>R3</v>
          </cell>
          <cell r="U273" t="str">
            <v>ORD</v>
          </cell>
          <cell r="V273" t="str">
            <v>DN</v>
          </cell>
          <cell r="W273" t="str">
            <v>P</v>
          </cell>
          <cell r="X273" t="str">
            <v>R</v>
          </cell>
        </row>
        <row r="274">
          <cell r="B274">
            <v>3064</v>
          </cell>
          <cell r="C274" t="str">
            <v>7 MOTEURS ELECTRIQUES</v>
          </cell>
          <cell r="I274" t="str">
            <v>CT</v>
          </cell>
          <cell r="J274" t="str">
            <v>AD</v>
          </cell>
          <cell r="K274" t="str">
            <v>DAM transmise pour attribution</v>
          </cell>
          <cell r="L274">
            <v>324</v>
          </cell>
          <cell r="M274">
            <v>39213</v>
          </cell>
          <cell r="N274" t="str">
            <v>DAM- 7040/7</v>
          </cell>
          <cell r="O274">
            <v>6625</v>
          </cell>
          <cell r="S274" t="str">
            <v>BOUTABBA</v>
          </cell>
          <cell r="T274" t="str">
            <v>R3</v>
          </cell>
          <cell r="U274" t="str">
            <v>ORD</v>
          </cell>
          <cell r="V274" t="str">
            <v>DN</v>
          </cell>
          <cell r="W274" t="str">
            <v>P</v>
          </cell>
          <cell r="X274" t="str">
            <v>R</v>
          </cell>
        </row>
        <row r="275">
          <cell r="B275">
            <v>3064</v>
          </cell>
          <cell r="C275" t="str">
            <v>3 MOTEURS ELECTRIQUES</v>
          </cell>
          <cell r="I275" t="str">
            <v>CHT</v>
          </cell>
          <cell r="J275" t="str">
            <v>PLM/M</v>
          </cell>
          <cell r="K275" t="str">
            <v>CHT pour attribution (consultation non aboutie voir PLM/A/E-07/1468/AH du 16/07/2007)</v>
          </cell>
          <cell r="L275">
            <v>286</v>
          </cell>
          <cell r="M275">
            <v>39272</v>
          </cell>
          <cell r="N275" t="str">
            <v>DAM- 6060/06</v>
          </cell>
          <cell r="P275" t="str">
            <v>DP CAE1006E6042/06</v>
          </cell>
          <cell r="S275" t="str">
            <v>BOUTABBA</v>
          </cell>
          <cell r="T275" t="str">
            <v>R3</v>
          </cell>
          <cell r="U275" t="str">
            <v>ORD</v>
          </cell>
          <cell r="V275" t="str">
            <v>DN</v>
          </cell>
          <cell r="W275" t="str">
            <v>P</v>
          </cell>
          <cell r="X275" t="str">
            <v>R</v>
          </cell>
        </row>
        <row r="276">
          <cell r="B276">
            <v>3065</v>
          </cell>
          <cell r="C276" t="str">
            <v>OUTILLAGES POUR ATELIERS (fraiseuse de mica)</v>
          </cell>
          <cell r="D276">
            <v>180000</v>
          </cell>
          <cell r="E276">
            <v>180000</v>
          </cell>
          <cell r="F276">
            <v>0</v>
          </cell>
          <cell r="G276">
            <v>0</v>
          </cell>
          <cell r="I276" t="str">
            <v>CONSUL</v>
          </cell>
          <cell r="J276" t="str">
            <v>AD</v>
          </cell>
          <cell r="K276" t="str">
            <v>DAM envoyée pour consultation</v>
          </cell>
          <cell r="L276">
            <v>410</v>
          </cell>
          <cell r="M276">
            <v>38931</v>
          </cell>
          <cell r="N276" t="str">
            <v>DAM-6077/6</v>
          </cell>
          <cell r="S276" t="str">
            <v>BOUTABBA</v>
          </cell>
          <cell r="T276" t="str">
            <v>R3</v>
          </cell>
          <cell r="U276" t="str">
            <v>ORD</v>
          </cell>
          <cell r="V276" t="str">
            <v>DN</v>
          </cell>
          <cell r="W276" t="str">
            <v>P</v>
          </cell>
          <cell r="X276" t="str">
            <v>R</v>
          </cell>
        </row>
        <row r="277">
          <cell r="B277">
            <v>3066</v>
          </cell>
          <cell r="C277" t="str">
            <v>06 PALANS ELECTRIQUES</v>
          </cell>
          <cell r="D277">
            <v>450000</v>
          </cell>
          <cell r="E277">
            <v>700000</v>
          </cell>
          <cell r="F277">
            <v>0</v>
          </cell>
          <cell r="G277">
            <v>0</v>
          </cell>
          <cell r="I277" t="str">
            <v>CHT</v>
          </cell>
          <cell r="J277" t="str">
            <v>CP</v>
          </cell>
          <cell r="K277" t="str">
            <v>CHT en retour suite au remarque du CT</v>
          </cell>
          <cell r="L277">
            <v>482</v>
          </cell>
          <cell r="M277">
            <v>39311</v>
          </cell>
          <cell r="N277" t="str">
            <v>DAM-6070/06</v>
          </cell>
          <cell r="S277" t="str">
            <v>KHOUILI</v>
          </cell>
          <cell r="T277" t="str">
            <v>R3</v>
          </cell>
          <cell r="U277" t="str">
            <v>ORD</v>
          </cell>
          <cell r="V277" t="str">
            <v>DN</v>
          </cell>
          <cell r="W277" t="str">
            <v>P</v>
          </cell>
          <cell r="X277" t="str">
            <v>R</v>
          </cell>
        </row>
        <row r="278">
          <cell r="B278">
            <v>3069</v>
          </cell>
          <cell r="C278" t="str">
            <v>1 GROUPE ELECTROPOMPE DE DENOYAGE</v>
          </cell>
          <cell r="D278">
            <v>100000</v>
          </cell>
          <cell r="E278">
            <v>100000</v>
          </cell>
          <cell r="F278">
            <v>0</v>
          </cell>
          <cell r="G278">
            <v>0</v>
          </cell>
          <cell r="I278" t="str">
            <v>CONSUL</v>
          </cell>
          <cell r="J278" t="str">
            <v>AD</v>
          </cell>
          <cell r="K278" t="str">
            <v>DAM envoyée pour consultation</v>
          </cell>
          <cell r="L278">
            <v>446</v>
          </cell>
          <cell r="M278">
            <v>39286</v>
          </cell>
          <cell r="N278" t="str">
            <v>DAM- 7066/07</v>
          </cell>
          <cell r="O278">
            <v>7524</v>
          </cell>
          <cell r="P278" t="str">
            <v>DP- 45026/05</v>
          </cell>
          <cell r="S278" t="str">
            <v>DRIBA</v>
          </cell>
          <cell r="T278" t="str">
            <v>R2</v>
          </cell>
          <cell r="U278" t="str">
            <v>ORD</v>
          </cell>
          <cell r="V278" t="str">
            <v>RN</v>
          </cell>
          <cell r="W278" t="str">
            <v>P</v>
          </cell>
          <cell r="X278" t="str">
            <v>R</v>
          </cell>
        </row>
        <row r="279">
          <cell r="B279">
            <v>3070</v>
          </cell>
          <cell r="C279" t="str">
            <v>1 PERCEUSE ELECTRIQUE FIXE CAPACITE 35 MM</v>
          </cell>
          <cell r="D279">
            <v>100000</v>
          </cell>
          <cell r="E279">
            <v>100000</v>
          </cell>
          <cell r="F279">
            <v>0</v>
          </cell>
          <cell r="G279">
            <v>0</v>
          </cell>
          <cell r="I279" t="str">
            <v>CONSUL</v>
          </cell>
          <cell r="J279" t="str">
            <v>AD</v>
          </cell>
          <cell r="K279" t="str">
            <v>DAM envoyée pour consultation
(AE- N° 23829 de 437,02 - 2006)</v>
          </cell>
          <cell r="L279">
            <v>392</v>
          </cell>
          <cell r="M279">
            <v>38924</v>
          </cell>
          <cell r="N279" t="str">
            <v>DAM- 6046/06</v>
          </cell>
          <cell r="S279" t="str">
            <v>DRIBA</v>
          </cell>
          <cell r="T279" t="str">
            <v>R2</v>
          </cell>
          <cell r="U279" t="str">
            <v>ORD</v>
          </cell>
          <cell r="V279" t="str">
            <v>RN</v>
          </cell>
          <cell r="W279" t="str">
            <v>P</v>
          </cell>
          <cell r="X279" t="str">
            <v>R</v>
          </cell>
        </row>
        <row r="280">
          <cell r="B280">
            <v>3072</v>
          </cell>
          <cell r="C280" t="str">
            <v>1 COMPRESSEUR D'AIR AUTONOME</v>
          </cell>
          <cell r="D280">
            <v>910000</v>
          </cell>
          <cell r="E280">
            <v>1010000</v>
          </cell>
          <cell r="F280">
            <v>0</v>
          </cell>
          <cell r="G280">
            <v>0</v>
          </cell>
          <cell r="I280" t="str">
            <v>CHT</v>
          </cell>
          <cell r="J280" t="str">
            <v>PFM/AC</v>
          </cell>
          <cell r="K280" t="str">
            <v>Choix technique envoyé pour attribution</v>
          </cell>
          <cell r="L280">
            <v>140</v>
          </cell>
          <cell r="M280">
            <v>38425</v>
          </cell>
          <cell r="N280" t="str">
            <v>DAM-2555/05</v>
          </cell>
          <cell r="S280" t="str">
            <v>HALMI</v>
          </cell>
          <cell r="T280" t="str">
            <v>R3</v>
          </cell>
          <cell r="U280" t="str">
            <v>ORD</v>
          </cell>
          <cell r="V280" t="str">
            <v>DN</v>
          </cell>
          <cell r="W280" t="str">
            <v>P</v>
          </cell>
          <cell r="X280" t="str">
            <v>R</v>
          </cell>
        </row>
        <row r="281">
          <cell r="B281">
            <v>3072</v>
          </cell>
          <cell r="C281" t="str">
            <v>GROUPES MOTO COMPRESSEURS 10 BARS</v>
          </cell>
          <cell r="K281" t="str">
            <v>AE N°-3072-1 de 48624</v>
          </cell>
          <cell r="M281">
            <v>38919</v>
          </cell>
          <cell r="N281" t="str">
            <v>DAM-2555/05</v>
          </cell>
          <cell r="P281" t="str">
            <v>DP-61015/5</v>
          </cell>
          <cell r="R281" t="str">
            <v>AL05 du 04/04/2007</v>
          </cell>
          <cell r="S281" t="str">
            <v>HALMI</v>
          </cell>
          <cell r="T281" t="str">
            <v>R3</v>
          </cell>
          <cell r="U281" t="str">
            <v>ORD</v>
          </cell>
          <cell r="V281" t="str">
            <v>DN</v>
          </cell>
          <cell r="W281" t="str">
            <v>P</v>
          </cell>
          <cell r="X281" t="str">
            <v>R</v>
          </cell>
        </row>
        <row r="282">
          <cell r="B282">
            <v>3072</v>
          </cell>
          <cell r="C282" t="str">
            <v>1  GROUPE ELECTROGENE AUTONOME</v>
          </cell>
          <cell r="I282" t="str">
            <v>CONSUL</v>
          </cell>
          <cell r="J282" t="str">
            <v>AD</v>
          </cell>
          <cell r="K282" t="str">
            <v>DAM envoyée pour consultation</v>
          </cell>
          <cell r="L282">
            <v>351</v>
          </cell>
          <cell r="M282">
            <v>38898</v>
          </cell>
          <cell r="N282" t="str">
            <v>DAM-6028/06</v>
          </cell>
          <cell r="S282" t="str">
            <v>KARROUACHE</v>
          </cell>
          <cell r="T282" t="str">
            <v>R3</v>
          </cell>
          <cell r="U282" t="str">
            <v>ORD</v>
          </cell>
          <cell r="V282" t="str">
            <v>DN</v>
          </cell>
          <cell r="W282" t="str">
            <v>P</v>
          </cell>
          <cell r="X282" t="str">
            <v>R</v>
          </cell>
        </row>
        <row r="283">
          <cell r="B283">
            <v>3073</v>
          </cell>
          <cell r="C283" t="str">
            <v>Achat de 2 Disjoncteurs à SF6 72,5 KV et 03 disjoncteurs triphasés 72 Kv</v>
          </cell>
          <cell r="D283">
            <v>650000</v>
          </cell>
          <cell r="E283">
            <v>650000</v>
          </cell>
          <cell r="F283">
            <v>0</v>
          </cell>
          <cell r="G283">
            <v>0</v>
          </cell>
          <cell r="I283" t="str">
            <v>AT.AE</v>
          </cell>
          <cell r="J283" t="str">
            <v>PFF</v>
          </cell>
          <cell r="K283" t="str">
            <v>DAE n° 3073_1 de 517 987,00</v>
          </cell>
          <cell r="L283">
            <v>419</v>
          </cell>
          <cell r="M283">
            <v>39372</v>
          </cell>
          <cell r="N283" t="str">
            <v>DAM-2585/05</v>
          </cell>
          <cell r="P283" t="str">
            <v>DP-62068/5</v>
          </cell>
          <cell r="S283" t="str">
            <v>EL BOUCHRIFI</v>
          </cell>
          <cell r="T283" t="str">
            <v>R3</v>
          </cell>
          <cell r="U283" t="str">
            <v>ORD</v>
          </cell>
          <cell r="V283" t="str">
            <v>DN</v>
          </cell>
          <cell r="W283" t="str">
            <v>P</v>
          </cell>
          <cell r="X283" t="str">
            <v>R</v>
          </cell>
        </row>
        <row r="284">
          <cell r="B284">
            <v>3075</v>
          </cell>
          <cell r="C284" t="str">
            <v>12 VERINS HYDRAULIQUES DOUBLE EFFET DE 12 A 25 TONNES EQUIPES DE POMPE HYDRAULIQUE</v>
          </cell>
          <cell r="D284">
            <v>0</v>
          </cell>
          <cell r="E284">
            <v>300000</v>
          </cell>
          <cell r="F284">
            <v>0</v>
          </cell>
          <cell r="G284">
            <v>0</v>
          </cell>
          <cell r="I284" t="str">
            <v>CONSUL</v>
          </cell>
          <cell r="J284" t="str">
            <v>AD</v>
          </cell>
          <cell r="K284" t="str">
            <v>DAM envoyée pour consultation</v>
          </cell>
          <cell r="L284">
            <v>330</v>
          </cell>
          <cell r="M284">
            <v>38896</v>
          </cell>
          <cell r="N284" t="str">
            <v>DAM-6011/6</v>
          </cell>
          <cell r="S284" t="str">
            <v>EL BOUCHRIFI</v>
          </cell>
          <cell r="T284" t="str">
            <v>R3</v>
          </cell>
          <cell r="U284" t="str">
            <v>ORD</v>
          </cell>
          <cell r="V284" t="str">
            <v>DN</v>
          </cell>
          <cell r="W284" t="str">
            <v>P</v>
          </cell>
          <cell r="X284" t="str">
            <v>R</v>
          </cell>
        </row>
        <row r="285">
          <cell r="B285">
            <v>3076</v>
          </cell>
          <cell r="C285" t="str">
            <v>5 POSTES DE SOUDURE STATIQUES 630 A</v>
          </cell>
          <cell r="D285">
            <v>0</v>
          </cell>
          <cell r="E285">
            <v>100000</v>
          </cell>
          <cell r="F285">
            <v>0</v>
          </cell>
          <cell r="G285">
            <v>0</v>
          </cell>
          <cell r="I285" t="str">
            <v>ENG</v>
          </cell>
          <cell r="K285" t="str">
            <v>AE N°-3076-1  Commande n° CAEJ-184K/07 du 10/05/2007</v>
          </cell>
          <cell r="M285">
            <v>38870</v>
          </cell>
          <cell r="N285" t="str">
            <v>DAM-2590/05</v>
          </cell>
          <cell r="P285" t="str">
            <v>DP-62065/05</v>
          </cell>
          <cell r="Q285">
            <v>249990</v>
          </cell>
          <cell r="R285" t="str">
            <v>06 du 24/07/2007</v>
          </cell>
          <cell r="S285" t="str">
            <v>HASSAR</v>
          </cell>
          <cell r="T285" t="str">
            <v>R3</v>
          </cell>
          <cell r="U285" t="str">
            <v>ORD</v>
          </cell>
          <cell r="V285" t="str">
            <v>DN</v>
          </cell>
          <cell r="W285" t="str">
            <v>P</v>
          </cell>
          <cell r="X285" t="str">
            <v>R</v>
          </cell>
        </row>
        <row r="286">
          <cell r="B286">
            <v>3077</v>
          </cell>
          <cell r="C286" t="str">
            <v>01 ENSEMBLE EXTRACTEUR 25 TONNES</v>
          </cell>
          <cell r="D286">
            <v>100000</v>
          </cell>
          <cell r="E286">
            <v>100000</v>
          </cell>
          <cell r="F286">
            <v>0</v>
          </cell>
          <cell r="G286">
            <v>0</v>
          </cell>
          <cell r="I286" t="str">
            <v>CONSUL</v>
          </cell>
          <cell r="J286" t="str">
            <v>AD</v>
          </cell>
          <cell r="K286" t="str">
            <v>DAM envoyée pour consultation</v>
          </cell>
          <cell r="L286">
            <v>321</v>
          </cell>
          <cell r="M286">
            <v>38869</v>
          </cell>
          <cell r="N286" t="str">
            <v>DAM-6009/06</v>
          </cell>
          <cell r="S286" t="str">
            <v>MAHSOUN</v>
          </cell>
          <cell r="T286" t="str">
            <v>R3</v>
          </cell>
          <cell r="U286" t="str">
            <v>ORD</v>
          </cell>
          <cell r="V286" t="str">
            <v>DN</v>
          </cell>
          <cell r="W286" t="str">
            <v>P</v>
          </cell>
          <cell r="X286" t="str">
            <v>R</v>
          </cell>
        </row>
        <row r="287">
          <cell r="B287">
            <v>3078</v>
          </cell>
          <cell r="C287" t="str">
            <v>02 PULL-LIFT</v>
          </cell>
          <cell r="E287">
            <v>8000</v>
          </cell>
          <cell r="F287">
            <v>0</v>
          </cell>
          <cell r="G287">
            <v>0</v>
          </cell>
          <cell r="I287" t="str">
            <v>DAM</v>
          </cell>
          <cell r="J287" t="str">
            <v>CP</v>
          </cell>
          <cell r="K287" t="str">
            <v>DAM envoyée pour consultation</v>
          </cell>
          <cell r="L287">
            <v>131</v>
          </cell>
          <cell r="M287">
            <v>39150</v>
          </cell>
          <cell r="N287" t="str">
            <v>DAM-7030/07</v>
          </cell>
          <cell r="O287">
            <v>5422</v>
          </cell>
          <cell r="S287" t="str">
            <v>BOUZEKKOURA</v>
          </cell>
          <cell r="T287" t="str">
            <v>R3</v>
          </cell>
          <cell r="U287" t="str">
            <v>ORD</v>
          </cell>
          <cell r="V287" t="str">
            <v>DN</v>
          </cell>
          <cell r="W287" t="str">
            <v>P</v>
          </cell>
          <cell r="X287" t="str">
            <v>R</v>
          </cell>
        </row>
        <row r="288">
          <cell r="B288">
            <v>3078</v>
          </cell>
          <cell r="C288" t="str">
            <v xml:space="preserve"> 02 PERCEUSES</v>
          </cell>
          <cell r="D288">
            <v>16000</v>
          </cell>
          <cell r="E288">
            <v>8000</v>
          </cell>
          <cell r="I288" t="str">
            <v>DAM</v>
          </cell>
          <cell r="J288" t="str">
            <v>CP</v>
          </cell>
          <cell r="K288" t="str">
            <v>DAM envoyée pour consultation</v>
          </cell>
          <cell r="L288">
            <v>130</v>
          </cell>
          <cell r="M288">
            <v>39150</v>
          </cell>
          <cell r="N288" t="str">
            <v>DAM-7031/07</v>
          </cell>
          <cell r="O288">
            <v>5344</v>
          </cell>
          <cell r="S288" t="str">
            <v>BOUZEKKOURA</v>
          </cell>
          <cell r="T288" t="str">
            <v>R3</v>
          </cell>
          <cell r="U288" t="str">
            <v>ORD</v>
          </cell>
          <cell r="V288" t="str">
            <v>DN</v>
          </cell>
          <cell r="W288" t="str">
            <v>P</v>
          </cell>
          <cell r="X288" t="str">
            <v>R</v>
          </cell>
        </row>
        <row r="289">
          <cell r="B289">
            <v>3079</v>
          </cell>
          <cell r="C289" t="str">
            <v>OUTILLAGE DES ATELIERS</v>
          </cell>
          <cell r="D289">
            <v>78000</v>
          </cell>
          <cell r="E289">
            <v>78000</v>
          </cell>
          <cell r="F289">
            <v>0</v>
          </cell>
          <cell r="G289">
            <v>0</v>
          </cell>
          <cell r="S289" t="str">
            <v>HASSAR</v>
          </cell>
          <cell r="T289" t="str">
            <v>R3</v>
          </cell>
          <cell r="U289" t="str">
            <v>ORD</v>
          </cell>
          <cell r="V289" t="str">
            <v>DN</v>
          </cell>
          <cell r="W289" t="str">
            <v>P</v>
          </cell>
          <cell r="X289" t="str">
            <v>R</v>
          </cell>
        </row>
        <row r="290">
          <cell r="B290">
            <v>3079</v>
          </cell>
          <cell r="C290" t="str">
            <v>1 ÉTUVEUSE</v>
          </cell>
          <cell r="K290" t="str">
            <v>AE N°-23840-4 du 06/10/2005- AE ( C ) = 30 800,00 DH</v>
          </cell>
          <cell r="M290">
            <v>38730</v>
          </cell>
          <cell r="N290" t="str">
            <v>DAM-2593/05</v>
          </cell>
          <cell r="P290" t="str">
            <v>DP-45022/05</v>
          </cell>
          <cell r="S290" t="str">
            <v>HASSAR</v>
          </cell>
          <cell r="T290" t="str">
            <v>R3</v>
          </cell>
          <cell r="U290" t="str">
            <v>ORD</v>
          </cell>
          <cell r="V290" t="str">
            <v>DN</v>
          </cell>
          <cell r="W290" t="str">
            <v>P</v>
          </cell>
          <cell r="X290" t="str">
            <v>R</v>
          </cell>
        </row>
        <row r="291">
          <cell r="B291">
            <v>3079</v>
          </cell>
          <cell r="C291" t="str">
            <v>1 TESTEUR DE DÉBIT</v>
          </cell>
          <cell r="I291" t="str">
            <v>CONSUL</v>
          </cell>
          <cell r="J291" t="str">
            <v>AD</v>
          </cell>
          <cell r="K291" t="str">
            <v>DAM envoyée pour consultation</v>
          </cell>
          <cell r="L291">
            <v>110</v>
          </cell>
          <cell r="M291">
            <v>38777</v>
          </cell>
          <cell r="N291" t="str">
            <v>DAM-6012/06</v>
          </cell>
          <cell r="S291" t="str">
            <v>HASSAR</v>
          </cell>
          <cell r="T291" t="str">
            <v>R3</v>
          </cell>
          <cell r="U291" t="str">
            <v>ORD</v>
          </cell>
          <cell r="V291" t="str">
            <v>DN</v>
          </cell>
          <cell r="W291" t="str">
            <v>P</v>
          </cell>
          <cell r="X291" t="str">
            <v>R</v>
          </cell>
        </row>
        <row r="292">
          <cell r="B292">
            <v>3079</v>
          </cell>
          <cell r="C292" t="str">
            <v>1 BATTERIE DE CONDENSATEUR</v>
          </cell>
          <cell r="I292" t="str">
            <v>CONSUL</v>
          </cell>
          <cell r="J292" t="str">
            <v>AD</v>
          </cell>
          <cell r="K292" t="str">
            <v>DAM envoyée pour consultation</v>
          </cell>
          <cell r="M292">
            <v>38406</v>
          </cell>
          <cell r="N292" t="str">
            <v>DAM-2588/05</v>
          </cell>
          <cell r="S292" t="str">
            <v>HASSAR</v>
          </cell>
          <cell r="T292" t="str">
            <v>R3</v>
          </cell>
          <cell r="U292" t="str">
            <v>ORD</v>
          </cell>
          <cell r="V292" t="str">
            <v>DN</v>
          </cell>
          <cell r="W292" t="str">
            <v>P</v>
          </cell>
          <cell r="X292" t="str">
            <v>R</v>
          </cell>
        </row>
        <row r="293">
          <cell r="B293">
            <v>3079</v>
          </cell>
          <cell r="C293" t="str">
            <v>1 MEULEUSE ET 01 PERCEUSE</v>
          </cell>
          <cell r="I293" t="str">
            <v>CDE</v>
          </cell>
          <cell r="J293" t="str">
            <v>CP</v>
          </cell>
          <cell r="K293" t="str">
            <v>AE N°23840-1 ET 23840-2- CDE-0034903650  ET-0034903750</v>
          </cell>
          <cell r="M293">
            <v>38597</v>
          </cell>
          <cell r="N293" t="str">
            <v>DAM-2582/05</v>
          </cell>
          <cell r="P293" t="str">
            <v>DP-45021/5</v>
          </cell>
          <cell r="S293" t="str">
            <v>HASSAR</v>
          </cell>
          <cell r="T293" t="str">
            <v>R3</v>
          </cell>
          <cell r="U293" t="str">
            <v>ORD</v>
          </cell>
          <cell r="V293" t="str">
            <v>DN</v>
          </cell>
          <cell r="W293" t="str">
            <v>P</v>
          </cell>
          <cell r="X293" t="str">
            <v>R</v>
          </cell>
        </row>
        <row r="294">
          <cell r="B294">
            <v>3079</v>
          </cell>
          <cell r="C294" t="str">
            <v xml:space="preserve">1 APPAREIL DE MESURE DE DURETÉ </v>
          </cell>
          <cell r="K294" t="str">
            <v>AE N°-23840-3 DE 50832,00DH</v>
          </cell>
          <cell r="L294">
            <v>620</v>
          </cell>
          <cell r="M294">
            <v>38610</v>
          </cell>
          <cell r="N294" t="str">
            <v>DAM-2589/05</v>
          </cell>
          <cell r="P294" t="str">
            <v>DP-45044/5</v>
          </cell>
          <cell r="S294" t="str">
            <v>HASSAR</v>
          </cell>
          <cell r="T294" t="str">
            <v>R3</v>
          </cell>
          <cell r="U294" t="str">
            <v>ORD</v>
          </cell>
          <cell r="V294" t="str">
            <v>DN</v>
          </cell>
          <cell r="W294" t="str">
            <v>P</v>
          </cell>
          <cell r="X294" t="str">
            <v>R</v>
          </cell>
        </row>
        <row r="295">
          <cell r="B295">
            <v>3080</v>
          </cell>
          <cell r="C295" t="str">
            <v>ACHAT D'OUTILLAGE DIVERS POUR LES ATELIERS MEA</v>
          </cell>
          <cell r="D295">
            <v>160000</v>
          </cell>
          <cell r="E295">
            <v>160000</v>
          </cell>
          <cell r="F295">
            <v>0</v>
          </cell>
          <cell r="G295">
            <v>0</v>
          </cell>
          <cell r="S295" t="str">
            <v>SABRI</v>
          </cell>
          <cell r="T295" t="str">
            <v>R3</v>
          </cell>
          <cell r="U295" t="str">
            <v>ORD</v>
          </cell>
          <cell r="V295" t="str">
            <v>DN</v>
          </cell>
          <cell r="W295" t="str">
            <v>P</v>
          </cell>
          <cell r="X295" t="str">
            <v>R</v>
          </cell>
        </row>
        <row r="296">
          <cell r="B296">
            <v>3080</v>
          </cell>
          <cell r="C296" t="str">
            <v xml:space="preserve">5 MEULEUSES PNEU (P2)  </v>
          </cell>
          <cell r="K296" t="str">
            <v>AE N° 23841-1. CDE N° 00349 041 50 du 03/10/2005</v>
          </cell>
          <cell r="M296">
            <v>38566</v>
          </cell>
          <cell r="N296" t="str">
            <v>DAM-2550/05</v>
          </cell>
          <cell r="S296" t="str">
            <v>SABRI</v>
          </cell>
          <cell r="T296" t="str">
            <v>R3</v>
          </cell>
          <cell r="U296" t="str">
            <v>ORD</v>
          </cell>
          <cell r="V296" t="str">
            <v>DN</v>
          </cell>
          <cell r="W296" t="str">
            <v>P</v>
          </cell>
          <cell r="X296" t="str">
            <v>R</v>
          </cell>
        </row>
        <row r="297">
          <cell r="B297">
            <v>3080</v>
          </cell>
          <cell r="C297" t="str">
            <v>5 ECHELLES (P10)</v>
          </cell>
          <cell r="K297" t="str">
            <v>AE N° 23841-2et 3. CDE N° 00349 040 50 du 03/10/2005</v>
          </cell>
          <cell r="M297">
            <v>38580</v>
          </cell>
          <cell r="N297" t="str">
            <v>DAM-2542/05</v>
          </cell>
          <cell r="S297" t="str">
            <v>SABRI</v>
          </cell>
          <cell r="T297" t="str">
            <v>R3</v>
          </cell>
          <cell r="U297" t="str">
            <v>ORD</v>
          </cell>
          <cell r="V297" t="str">
            <v>DN</v>
          </cell>
          <cell r="W297" t="str">
            <v>P</v>
          </cell>
          <cell r="X297" t="str">
            <v>R</v>
          </cell>
        </row>
        <row r="298">
          <cell r="B298">
            <v>3080</v>
          </cell>
          <cell r="C298" t="str">
            <v>8 POMPES À GRAISSE (P8)</v>
          </cell>
          <cell r="K298" t="str">
            <v xml:space="preserve">AE N° 23841-4 DE 6240 DH </v>
          </cell>
          <cell r="M298">
            <v>38580</v>
          </cell>
          <cell r="N298" t="str">
            <v>DAM-2578/05</v>
          </cell>
          <cell r="S298" t="str">
            <v>SABRI</v>
          </cell>
          <cell r="T298" t="str">
            <v>R3</v>
          </cell>
          <cell r="U298" t="str">
            <v>ORD</v>
          </cell>
          <cell r="V298" t="str">
            <v>DN</v>
          </cell>
          <cell r="W298" t="str">
            <v>P</v>
          </cell>
          <cell r="X298" t="str">
            <v>R</v>
          </cell>
        </row>
        <row r="299">
          <cell r="B299">
            <v>3080</v>
          </cell>
          <cell r="C299" t="str">
            <v>24 LAMPES TORCHES</v>
          </cell>
          <cell r="I299" t="str">
            <v>CHT</v>
          </cell>
          <cell r="J299" t="str">
            <v>AD - PFF</v>
          </cell>
          <cell r="K299" t="str">
            <v>Choix technique transmis</v>
          </cell>
          <cell r="L299">
            <v>167</v>
          </cell>
          <cell r="M299">
            <v>39157</v>
          </cell>
          <cell r="N299" t="str">
            <v>DA-108</v>
          </cell>
          <cell r="S299" t="str">
            <v>SABRI</v>
          </cell>
          <cell r="T299" t="str">
            <v>R3</v>
          </cell>
          <cell r="U299" t="str">
            <v>ORD</v>
          </cell>
          <cell r="V299" t="str">
            <v>DN</v>
          </cell>
          <cell r="W299" t="str">
            <v>P</v>
          </cell>
          <cell r="X299" t="str">
            <v>R</v>
          </cell>
        </row>
        <row r="300">
          <cell r="B300">
            <v>3080</v>
          </cell>
          <cell r="C300" t="str">
            <v>1 CISAILLE HYDRAU  (P7)</v>
          </cell>
          <cell r="I300" t="str">
            <v>CONSUL</v>
          </cell>
          <cell r="J300" t="str">
            <v>AD</v>
          </cell>
          <cell r="K300" t="str">
            <v>DAM envoyée pour consultation</v>
          </cell>
          <cell r="L300">
            <v>365</v>
          </cell>
          <cell r="M300">
            <v>38905</v>
          </cell>
          <cell r="N300" t="str">
            <v>DAM-6078/06</v>
          </cell>
          <cell r="S300" t="str">
            <v>SABRI</v>
          </cell>
          <cell r="T300" t="str">
            <v>R3</v>
          </cell>
          <cell r="U300" t="str">
            <v>ORD</v>
          </cell>
          <cell r="V300" t="str">
            <v>DN</v>
          </cell>
          <cell r="W300" t="str">
            <v>P</v>
          </cell>
          <cell r="X300" t="str">
            <v>R</v>
          </cell>
        </row>
        <row r="301">
          <cell r="B301">
            <v>3080</v>
          </cell>
          <cell r="C301" t="str">
            <v>4 CLÉS CHOC (P1) + 1CLÉ DYN (P4) + 1EXTRAC (P5)+1PINCE (P6)+1TABLE (P11)</v>
          </cell>
          <cell r="K301" t="str">
            <v xml:space="preserve">AE N°-3080-1 </v>
          </cell>
          <cell r="M301">
            <v>38686</v>
          </cell>
          <cell r="N301" t="str">
            <v>DAM-2543/05</v>
          </cell>
          <cell r="P301" t="str">
            <v>DP-45034/05</v>
          </cell>
          <cell r="S301" t="str">
            <v>SABRI</v>
          </cell>
          <cell r="T301" t="str">
            <v>R3</v>
          </cell>
          <cell r="U301" t="str">
            <v>ORD</v>
          </cell>
          <cell r="V301" t="str">
            <v>DN</v>
          </cell>
          <cell r="W301" t="str">
            <v>P</v>
          </cell>
          <cell r="X301" t="str">
            <v>R</v>
          </cell>
        </row>
        <row r="302">
          <cell r="B302">
            <v>3080</v>
          </cell>
          <cell r="C302" t="str">
            <v>1 TABLE ELEVATRICE</v>
          </cell>
          <cell r="I302" t="str">
            <v>CHT</v>
          </cell>
          <cell r="J302" t="str">
            <v>AD</v>
          </cell>
          <cell r="K302" t="str">
            <v>CHT envoyée pour attribution</v>
          </cell>
          <cell r="L302">
            <v>435</v>
          </cell>
          <cell r="M302">
            <v>39280</v>
          </cell>
          <cell r="N302" t="str">
            <v>DAM-6049/06</v>
          </cell>
          <cell r="S302" t="str">
            <v>SABRI</v>
          </cell>
          <cell r="T302" t="str">
            <v>R3</v>
          </cell>
          <cell r="U302" t="str">
            <v>ORD</v>
          </cell>
          <cell r="V302" t="str">
            <v>DN</v>
          </cell>
          <cell r="W302" t="str">
            <v>P</v>
          </cell>
          <cell r="X302" t="str">
            <v>R</v>
          </cell>
        </row>
        <row r="303">
          <cell r="B303">
            <v>3080</v>
          </cell>
          <cell r="C303" t="str">
            <v>1 MEULEUSE  A PIERRE</v>
          </cell>
          <cell r="I303" t="str">
            <v>CONSUL</v>
          </cell>
          <cell r="J303" t="str">
            <v>AD</v>
          </cell>
          <cell r="K303" t="str">
            <v>DAM-6013 envoyée</v>
          </cell>
          <cell r="L303">
            <v>16</v>
          </cell>
          <cell r="M303">
            <v>38727</v>
          </cell>
          <cell r="N303" t="str">
            <v>DAM-6013/05</v>
          </cell>
          <cell r="S303" t="str">
            <v>SABRI</v>
          </cell>
          <cell r="T303" t="str">
            <v>R3</v>
          </cell>
          <cell r="U303" t="str">
            <v>ORD</v>
          </cell>
          <cell r="V303" t="str">
            <v>DN</v>
          </cell>
          <cell r="W303" t="str">
            <v>P</v>
          </cell>
          <cell r="X303" t="str">
            <v>R</v>
          </cell>
        </row>
        <row r="304">
          <cell r="B304">
            <v>3080</v>
          </cell>
          <cell r="C304" t="str">
            <v>4 CLÉS CHOC 21 MKG</v>
          </cell>
          <cell r="I304" t="str">
            <v>CONSUL</v>
          </cell>
          <cell r="J304" t="str">
            <v>AD</v>
          </cell>
          <cell r="K304" t="str">
            <v>DAM envoyée pour consultation</v>
          </cell>
          <cell r="L304">
            <v>292</v>
          </cell>
          <cell r="M304">
            <v>38869</v>
          </cell>
          <cell r="N304" t="str">
            <v>DAM-6074/06</v>
          </cell>
          <cell r="P304" t="str">
            <v>DP-45034/05</v>
          </cell>
          <cell r="S304" t="str">
            <v>SABRI</v>
          </cell>
          <cell r="T304" t="str">
            <v>R3</v>
          </cell>
          <cell r="U304" t="str">
            <v>ORD</v>
          </cell>
          <cell r="V304" t="str">
            <v>DN</v>
          </cell>
          <cell r="W304" t="str">
            <v>P</v>
          </cell>
          <cell r="X304" t="str">
            <v>R</v>
          </cell>
        </row>
        <row r="305">
          <cell r="B305">
            <v>3081</v>
          </cell>
          <cell r="C305" t="str">
            <v>2 ASPIRATEURS DE FUMEE DE SOUDAGE</v>
          </cell>
          <cell r="D305">
            <v>100000</v>
          </cell>
          <cell r="E305">
            <v>100000</v>
          </cell>
          <cell r="F305">
            <v>0</v>
          </cell>
          <cell r="G305">
            <v>0</v>
          </cell>
          <cell r="K305" t="str">
            <v>AE N°-3081-1 "C"LE 26/04/06 - DAM EN CONSULTATION</v>
          </cell>
          <cell r="L305">
            <v>392</v>
          </cell>
          <cell r="M305">
            <v>38924</v>
          </cell>
          <cell r="N305" t="str">
            <v>DAM- 6076/06</v>
          </cell>
          <cell r="S305" t="str">
            <v>HASSAR</v>
          </cell>
          <cell r="T305" t="str">
            <v>R3</v>
          </cell>
          <cell r="U305" t="str">
            <v>ORD</v>
          </cell>
          <cell r="V305" t="str">
            <v>DN</v>
          </cell>
          <cell r="W305" t="str">
            <v>P</v>
          </cell>
          <cell r="X305" t="str">
            <v>R</v>
          </cell>
        </row>
        <row r="306">
          <cell r="B306">
            <v>3082</v>
          </cell>
          <cell r="C306" t="str">
            <v>12 CLIMATISEURS DE BUREAUX</v>
          </cell>
          <cell r="D306">
            <v>7700</v>
          </cell>
          <cell r="E306">
            <v>7700</v>
          </cell>
          <cell r="F306">
            <v>0</v>
          </cell>
          <cell r="G306">
            <v>0</v>
          </cell>
          <cell r="I306" t="str">
            <v>CONSUL</v>
          </cell>
          <cell r="J306" t="str">
            <v>AD</v>
          </cell>
          <cell r="K306" t="str">
            <v>DAM envoyée pour consultation</v>
          </cell>
          <cell r="L306">
            <v>406</v>
          </cell>
          <cell r="M306">
            <v>39258</v>
          </cell>
          <cell r="N306" t="str">
            <v>DAM- 7053</v>
          </cell>
          <cell r="O306">
            <v>7198</v>
          </cell>
          <cell r="P306" t="str">
            <v>DP-45095/05</v>
          </cell>
          <cell r="S306" t="str">
            <v>CHARKI</v>
          </cell>
          <cell r="T306" t="str">
            <v>R6</v>
          </cell>
          <cell r="U306" t="str">
            <v>ADM</v>
          </cell>
          <cell r="V306" t="str">
            <v>DN</v>
          </cell>
          <cell r="W306" t="str">
            <v>P</v>
          </cell>
          <cell r="X306" t="str">
            <v>R</v>
          </cell>
        </row>
        <row r="307">
          <cell r="B307">
            <v>3082</v>
          </cell>
          <cell r="C307" t="str">
            <v xml:space="preserve">8 CHAUFFES EAU ELECTRIQUES 300 &amp; 100 L </v>
          </cell>
          <cell r="K307" t="str">
            <v>AE -3082-1</v>
          </cell>
          <cell r="M307">
            <v>38969</v>
          </cell>
          <cell r="N307" t="str">
            <v>DAM-2545/05</v>
          </cell>
          <cell r="S307" t="str">
            <v>CHARKI</v>
          </cell>
          <cell r="T307" t="str">
            <v>R6</v>
          </cell>
          <cell r="U307" t="str">
            <v>ADM</v>
          </cell>
          <cell r="V307" t="str">
            <v>DN</v>
          </cell>
          <cell r="W307" t="str">
            <v>P</v>
          </cell>
          <cell r="X307" t="str">
            <v>R</v>
          </cell>
        </row>
        <row r="308">
          <cell r="B308">
            <v>3083</v>
          </cell>
          <cell r="C308" t="str">
            <v>ACHAT DE 15 ENSEMBLES DE PRESSES HYDRAULIQUES</v>
          </cell>
          <cell r="D308">
            <v>633000</v>
          </cell>
          <cell r="E308">
            <v>633000</v>
          </cell>
          <cell r="F308">
            <v>0</v>
          </cell>
          <cell r="G308">
            <v>0</v>
          </cell>
          <cell r="K308" t="str">
            <v>DAE N°-3083-1 DE 356354,4</v>
          </cell>
          <cell r="M308">
            <v>38387</v>
          </cell>
          <cell r="N308" t="str">
            <v>DAM- 2544/05</v>
          </cell>
          <cell r="S308" t="str">
            <v>SABRI</v>
          </cell>
          <cell r="T308" t="str">
            <v>R3</v>
          </cell>
          <cell r="U308" t="str">
            <v>ORD</v>
          </cell>
          <cell r="V308" t="str">
            <v>DN</v>
          </cell>
          <cell r="W308" t="str">
            <v>P</v>
          </cell>
          <cell r="X308" t="str">
            <v>R</v>
          </cell>
        </row>
        <row r="309">
          <cell r="B309">
            <v>3084</v>
          </cell>
          <cell r="C309" t="str">
            <v>MOBILER DE BUREAUX</v>
          </cell>
          <cell r="D309">
            <v>29000</v>
          </cell>
          <cell r="E309">
            <v>29000</v>
          </cell>
          <cell r="F309">
            <v>0</v>
          </cell>
          <cell r="G309">
            <v>0</v>
          </cell>
          <cell r="K309" t="str">
            <v>AE-N°23845 -1-2   - DAM-en consultation</v>
          </cell>
          <cell r="M309">
            <v>38894</v>
          </cell>
          <cell r="N309" t="str">
            <v>DAM-2584/05</v>
          </cell>
          <cell r="P309" t="str">
            <v>DP N°45115</v>
          </cell>
          <cell r="S309" t="str">
            <v>CHARKI</v>
          </cell>
          <cell r="T309" t="str">
            <v>R6</v>
          </cell>
          <cell r="U309" t="str">
            <v>ADM</v>
          </cell>
          <cell r="V309" t="str">
            <v>DN</v>
          </cell>
          <cell r="W309" t="str">
            <v>P</v>
          </cell>
          <cell r="X309" t="str">
            <v>R</v>
          </cell>
        </row>
        <row r="310">
          <cell r="B310">
            <v>3084</v>
          </cell>
          <cell r="C310" t="str">
            <v>3 ARMOIRES FRIGORIFIQUES</v>
          </cell>
          <cell r="K310" t="str">
            <v>AE N°-3084-3</v>
          </cell>
          <cell r="M310">
            <v>38969</v>
          </cell>
          <cell r="N310" t="str">
            <v>DAM-2547/05</v>
          </cell>
          <cell r="S310" t="str">
            <v>CHARKI</v>
          </cell>
          <cell r="T310" t="str">
            <v>R6</v>
          </cell>
          <cell r="U310" t="str">
            <v>ADM</v>
          </cell>
          <cell r="V310" t="str">
            <v>DN</v>
          </cell>
          <cell r="W310" t="str">
            <v>P</v>
          </cell>
          <cell r="X310" t="str">
            <v>R</v>
          </cell>
        </row>
        <row r="311">
          <cell r="B311">
            <v>3085</v>
          </cell>
          <cell r="C311" t="str">
            <v>ACHAT D'UNE CENTRALE HYDRAULIQUE 600 BARS</v>
          </cell>
          <cell r="D311">
            <v>0</v>
          </cell>
          <cell r="E311">
            <v>300000</v>
          </cell>
          <cell r="F311">
            <v>0</v>
          </cell>
          <cell r="G311">
            <v>0</v>
          </cell>
          <cell r="K311" t="str">
            <v>AE N° IV3085-1 de 299 520,00 dh- Cplt pour TVA demandé par AD au CP le 04/05/2007 (CHC transmis a AD n426 du 09/07/2007)</v>
          </cell>
          <cell r="L311">
            <v>676</v>
          </cell>
          <cell r="M311">
            <v>39206</v>
          </cell>
          <cell r="N311" t="str">
            <v>DAM-2539/05</v>
          </cell>
          <cell r="P311" t="str">
            <v>DP-61010/05</v>
          </cell>
          <cell r="S311" t="str">
            <v>HALMI</v>
          </cell>
          <cell r="T311" t="str">
            <v>R3</v>
          </cell>
          <cell r="U311" t="str">
            <v>ORD</v>
          </cell>
          <cell r="V311" t="str">
            <v>DN</v>
          </cell>
          <cell r="W311" t="str">
            <v>P</v>
          </cell>
          <cell r="X311" t="str">
            <v>R</v>
          </cell>
        </row>
        <row r="312">
          <cell r="B312">
            <v>3086</v>
          </cell>
          <cell r="C312" t="str">
            <v>3 ROULOTTES DE CHANTIERS SUR ROUES</v>
          </cell>
          <cell r="D312">
            <v>0</v>
          </cell>
          <cell r="E312">
            <v>0</v>
          </cell>
          <cell r="F312">
            <v>900000</v>
          </cell>
          <cell r="G312">
            <v>0</v>
          </cell>
          <cell r="I312" t="str">
            <v>CONSUL</v>
          </cell>
          <cell r="J312" t="str">
            <v>AD</v>
          </cell>
          <cell r="K312" t="str">
            <v>DAM envoyée pour consultation</v>
          </cell>
          <cell r="M312">
            <v>38394</v>
          </cell>
          <cell r="S312" t="str">
            <v>EL KASSI</v>
          </cell>
          <cell r="T312" t="str">
            <v>R3</v>
          </cell>
          <cell r="U312" t="str">
            <v>ORD</v>
          </cell>
          <cell r="V312" t="str">
            <v>DN</v>
          </cell>
          <cell r="W312" t="str">
            <v>P</v>
          </cell>
          <cell r="X312" t="str">
            <v>R</v>
          </cell>
        </row>
        <row r="313">
          <cell r="B313">
            <v>3089</v>
          </cell>
          <cell r="C313" t="str">
            <v>1 PAIRE DE JUMELLES ET 1 CAMERA INFRA-ROUGE</v>
          </cell>
          <cell r="D313">
            <v>406000</v>
          </cell>
          <cell r="E313">
            <v>406000</v>
          </cell>
          <cell r="F313">
            <v>0</v>
          </cell>
          <cell r="G313">
            <v>0</v>
          </cell>
          <cell r="I313" t="str">
            <v>CONSUL</v>
          </cell>
          <cell r="J313" t="str">
            <v>AD</v>
          </cell>
          <cell r="K313" t="str">
            <v>DAM pour consultation</v>
          </cell>
          <cell r="L313">
            <v>360</v>
          </cell>
          <cell r="M313">
            <v>38904</v>
          </cell>
          <cell r="N313" t="str">
            <v>DAM-6072/06</v>
          </cell>
          <cell r="S313" t="str">
            <v>EL BOUCHRIFI</v>
          </cell>
          <cell r="T313" t="str">
            <v>R6</v>
          </cell>
          <cell r="U313" t="str">
            <v>ADM</v>
          </cell>
          <cell r="V313" t="str">
            <v>DN</v>
          </cell>
          <cell r="W313" t="str">
            <v>P</v>
          </cell>
          <cell r="X313" t="str">
            <v>R</v>
          </cell>
        </row>
        <row r="314">
          <cell r="B314">
            <v>3091</v>
          </cell>
          <cell r="C314" t="str">
            <v>11 RÉFRIGERATEUR 250 L</v>
          </cell>
          <cell r="D314">
            <v>69000</v>
          </cell>
          <cell r="E314">
            <v>69000</v>
          </cell>
          <cell r="F314">
            <v>0</v>
          </cell>
          <cell r="G314">
            <v>0</v>
          </cell>
          <cell r="I314" t="str">
            <v>CONSUL</v>
          </cell>
          <cell r="J314" t="str">
            <v>AD</v>
          </cell>
          <cell r="K314" t="str">
            <v>DAM envoyée pour consultation</v>
          </cell>
          <cell r="L314">
            <v>406</v>
          </cell>
          <cell r="M314">
            <v>39258</v>
          </cell>
          <cell r="N314" t="str">
            <v>DAM- 7053</v>
          </cell>
          <cell r="O314">
            <v>7198</v>
          </cell>
          <cell r="S314" t="str">
            <v>CHARKI</v>
          </cell>
          <cell r="T314" t="str">
            <v>R6</v>
          </cell>
          <cell r="U314" t="str">
            <v>ADM</v>
          </cell>
          <cell r="V314" t="str">
            <v>DN</v>
          </cell>
          <cell r="W314" t="str">
            <v>P</v>
          </cell>
          <cell r="X314" t="str">
            <v>R</v>
          </cell>
        </row>
        <row r="315">
          <cell r="B315">
            <v>3091</v>
          </cell>
          <cell r="C315" t="str">
            <v>4 CLIMATISEURS DE BUREAUX  40000 DH</v>
          </cell>
          <cell r="I315" t="str">
            <v>AT.AE</v>
          </cell>
          <cell r="J315" t="str">
            <v>PFF/CI</v>
          </cell>
          <cell r="K315" t="str">
            <v>DAE N°-3091-4 DE 19995,6 DH</v>
          </cell>
          <cell r="L315">
            <v>423</v>
          </cell>
          <cell r="M315">
            <v>39372</v>
          </cell>
          <cell r="N315" t="str">
            <v>DAM-2575/05</v>
          </cell>
          <cell r="S315" t="str">
            <v>CHARKI</v>
          </cell>
          <cell r="T315" t="str">
            <v>R6</v>
          </cell>
          <cell r="U315" t="str">
            <v>ADM</v>
          </cell>
          <cell r="V315" t="str">
            <v>DN</v>
          </cell>
          <cell r="W315" t="str">
            <v>P</v>
          </cell>
          <cell r="X315" t="str">
            <v>R</v>
          </cell>
        </row>
        <row r="316">
          <cell r="B316">
            <v>3091</v>
          </cell>
          <cell r="C316" t="str">
            <v xml:space="preserve">3 CHAUFFES EAU ÉLECTRIQUES CAPACITÉ 300 L </v>
          </cell>
          <cell r="K316" t="str">
            <v>AE-3091-3</v>
          </cell>
          <cell r="M316">
            <v>38990</v>
          </cell>
          <cell r="N316" t="str">
            <v>DAM-2597/05</v>
          </cell>
          <cell r="S316" t="str">
            <v>CHARKI</v>
          </cell>
          <cell r="T316" t="str">
            <v>R6</v>
          </cell>
          <cell r="U316" t="str">
            <v>ADM</v>
          </cell>
          <cell r="V316" t="str">
            <v>DN</v>
          </cell>
          <cell r="W316" t="str">
            <v>P</v>
          </cell>
          <cell r="X316" t="str">
            <v>R</v>
          </cell>
        </row>
        <row r="317">
          <cell r="B317">
            <v>3091</v>
          </cell>
          <cell r="C317" t="str">
            <v>1 ARMOIRE FRIGORIFIQUE 1500 L</v>
          </cell>
          <cell r="K317" t="str">
            <v>AE N°-3091-2</v>
          </cell>
          <cell r="M317">
            <v>38990</v>
          </cell>
          <cell r="N317" t="str">
            <v>DAM- 2554/05</v>
          </cell>
          <cell r="S317" t="str">
            <v>CHARKI</v>
          </cell>
          <cell r="T317" t="str">
            <v>R6</v>
          </cell>
          <cell r="U317" t="str">
            <v>ADM</v>
          </cell>
          <cell r="V317" t="str">
            <v>DN</v>
          </cell>
          <cell r="W317" t="str">
            <v>P</v>
          </cell>
          <cell r="X317" t="str">
            <v>R</v>
          </cell>
        </row>
        <row r="318">
          <cell r="B318">
            <v>3091</v>
          </cell>
          <cell r="C318" t="str">
            <v>10 RECHAUDS À GAZ 4 FEUX 10000 DH</v>
          </cell>
          <cell r="I318" t="str">
            <v>AT.AE</v>
          </cell>
          <cell r="J318" t="str">
            <v>PFF/CI</v>
          </cell>
          <cell r="K318" t="str">
            <v>DAE N°-3097-5 DE 4776,00 DH</v>
          </cell>
          <cell r="L318">
            <v>423</v>
          </cell>
          <cell r="M318">
            <v>39372</v>
          </cell>
          <cell r="N318" t="str">
            <v>DAM-2576/05</v>
          </cell>
          <cell r="S318" t="str">
            <v>CHARKI</v>
          </cell>
          <cell r="T318" t="str">
            <v>R6</v>
          </cell>
          <cell r="U318" t="str">
            <v>ADM</v>
          </cell>
          <cell r="V318" t="str">
            <v>DN</v>
          </cell>
          <cell r="W318" t="str">
            <v>P</v>
          </cell>
          <cell r="X318" t="str">
            <v>R</v>
          </cell>
        </row>
        <row r="319">
          <cell r="B319">
            <v>3092</v>
          </cell>
          <cell r="C319" t="str">
            <v>RENOUVELLEMENT DE LA CHAUDIERE A DU COZ</v>
          </cell>
          <cell r="D319">
            <v>0</v>
          </cell>
          <cell r="E319">
            <v>1100000</v>
          </cell>
          <cell r="F319">
            <v>0</v>
          </cell>
          <cell r="G319">
            <v>0</v>
          </cell>
          <cell r="I319" t="str">
            <v>CONSUL</v>
          </cell>
          <cell r="J319" t="str">
            <v>DAC/TM
AD</v>
          </cell>
          <cell r="K319" t="str">
            <v>DAM pour attribution (necessaire fait et transmis directement)
Avis Element de réponse aux remarques de DAC</v>
          </cell>
          <cell r="L319" t="str">
            <v>DAC/TM-584</v>
          </cell>
          <cell r="M319">
            <v>39359</v>
          </cell>
          <cell r="N319" t="str">
            <v>DPM-4522/07</v>
          </cell>
          <cell r="S319" t="str">
            <v>ZNAIDI</v>
          </cell>
          <cell r="T319" t="str">
            <v>R2</v>
          </cell>
          <cell r="U319" t="str">
            <v>ORD</v>
          </cell>
          <cell r="V319" t="str">
            <v>RN</v>
          </cell>
          <cell r="W319" t="str">
            <v>T</v>
          </cell>
          <cell r="X319" t="str">
            <v>R</v>
          </cell>
        </row>
        <row r="320">
          <cell r="B320">
            <v>3093</v>
          </cell>
          <cell r="C320" t="str">
            <v>01 FONTAINE REFRIGERANTE</v>
          </cell>
          <cell r="D320">
            <v>1000</v>
          </cell>
          <cell r="E320">
            <v>1000</v>
          </cell>
          <cell r="F320">
            <v>0</v>
          </cell>
          <cell r="G320">
            <v>0</v>
          </cell>
          <cell r="K320" t="str">
            <v>AE N°-3093-1</v>
          </cell>
          <cell r="M320">
            <v>38990</v>
          </cell>
          <cell r="N320" t="str">
            <v>DAM-2554/05</v>
          </cell>
          <cell r="S320" t="str">
            <v>CHARKI</v>
          </cell>
          <cell r="T320" t="str">
            <v>R6</v>
          </cell>
          <cell r="U320" t="str">
            <v>ADM</v>
          </cell>
          <cell r="V320" t="str">
            <v>RN</v>
          </cell>
          <cell r="W320" t="str">
            <v>P</v>
          </cell>
          <cell r="X320" t="str">
            <v>R</v>
          </cell>
        </row>
        <row r="321">
          <cell r="B321">
            <v>3095</v>
          </cell>
          <cell r="C321" t="str">
            <v>RN D'UN CAMION GRUE</v>
          </cell>
          <cell r="D321">
            <v>0</v>
          </cell>
          <cell r="E321">
            <v>980000</v>
          </cell>
          <cell r="F321">
            <v>0</v>
          </cell>
          <cell r="G321">
            <v>0</v>
          </cell>
          <cell r="I321" t="str">
            <v>CONSUL</v>
          </cell>
          <cell r="J321" t="str">
            <v>PLM/A</v>
          </cell>
          <cell r="K321" t="str">
            <v>DAM envoyée pour consultation
AE négative de 849 804 DH</v>
          </cell>
          <cell r="L321">
            <v>159</v>
          </cell>
          <cell r="M321">
            <v>39185</v>
          </cell>
          <cell r="N321" t="str">
            <v>DAM-10/07</v>
          </cell>
          <cell r="O321">
            <v>2014</v>
          </cell>
          <cell r="S321" t="str">
            <v>SAOUD</v>
          </cell>
          <cell r="T321" t="str">
            <v>R2</v>
          </cell>
          <cell r="U321" t="str">
            <v>ORD</v>
          </cell>
          <cell r="V321" t="str">
            <v>RN</v>
          </cell>
          <cell r="W321" t="str">
            <v>L</v>
          </cell>
          <cell r="X321" t="str">
            <v>R</v>
          </cell>
        </row>
        <row r="322">
          <cell r="B322">
            <v>3096</v>
          </cell>
          <cell r="C322" t="str">
            <v>APPAREIL DE MESURE DE VIBRATION</v>
          </cell>
          <cell r="D322">
            <v>385000</v>
          </cell>
          <cell r="E322">
            <v>300000</v>
          </cell>
          <cell r="F322">
            <v>0</v>
          </cell>
          <cell r="G322">
            <v>0</v>
          </cell>
          <cell r="I322" t="str">
            <v>AT.AE</v>
          </cell>
          <cell r="J322" t="str">
            <v>PFF</v>
          </cell>
          <cell r="K322" t="str">
            <v>DAE n° 3096_1 de 381 132,00</v>
          </cell>
          <cell r="L322">
            <v>421</v>
          </cell>
          <cell r="M322">
            <v>39372</v>
          </cell>
          <cell r="N322" t="str">
            <v>DAM-6059/06</v>
          </cell>
          <cell r="O322">
            <v>841</v>
          </cell>
          <cell r="S322" t="str">
            <v>MEFTAH</v>
          </cell>
          <cell r="T322" t="str">
            <v>R3</v>
          </cell>
          <cell r="U322" t="str">
            <v>ORD</v>
          </cell>
          <cell r="V322" t="str">
            <v>DN</v>
          </cell>
          <cell r="W322" t="str">
            <v>P</v>
          </cell>
          <cell r="X322" t="str">
            <v>R</v>
          </cell>
        </row>
        <row r="323">
          <cell r="B323">
            <v>3100</v>
          </cell>
          <cell r="C323" t="str">
            <v>10 CLIMATISEURS</v>
          </cell>
          <cell r="D323">
            <v>5000</v>
          </cell>
          <cell r="E323">
            <v>5000</v>
          </cell>
          <cell r="F323">
            <v>0</v>
          </cell>
          <cell r="G323">
            <v>0</v>
          </cell>
          <cell r="K323" t="str">
            <v>AE N°3100-1</v>
          </cell>
          <cell r="M323">
            <v>38969</v>
          </cell>
          <cell r="N323" t="str">
            <v>DAM-2522/05</v>
          </cell>
          <cell r="P323" t="str">
            <v>DP-45095/05</v>
          </cell>
          <cell r="S323" t="str">
            <v>CHARKI</v>
          </cell>
          <cell r="T323" t="str">
            <v>R6</v>
          </cell>
          <cell r="U323" t="str">
            <v>ADM</v>
          </cell>
          <cell r="V323" t="str">
            <v>RN</v>
          </cell>
          <cell r="W323" t="str">
            <v>P</v>
          </cell>
          <cell r="X323" t="str">
            <v>R</v>
          </cell>
        </row>
        <row r="324">
          <cell r="B324">
            <v>3101</v>
          </cell>
          <cell r="C324" t="str">
            <v>MOBILIER ET EQUIPEMENT DE BUREAUX</v>
          </cell>
          <cell r="D324">
            <v>240000</v>
          </cell>
          <cell r="E324">
            <v>240000</v>
          </cell>
          <cell r="F324">
            <v>0</v>
          </cell>
          <cell r="G324">
            <v>0</v>
          </cell>
          <cell r="I324" t="str">
            <v>CONSUL</v>
          </cell>
          <cell r="J324" t="str">
            <v>AD</v>
          </cell>
          <cell r="K324" t="str">
            <v>DAM pour consultation</v>
          </cell>
          <cell r="L324">
            <v>344</v>
          </cell>
          <cell r="M324">
            <v>39224</v>
          </cell>
          <cell r="N324" t="str">
            <v>DAM-7057/07</v>
          </cell>
          <cell r="S324" t="str">
            <v>CHARKI</v>
          </cell>
          <cell r="T324" t="str">
            <v>R6</v>
          </cell>
          <cell r="U324" t="str">
            <v>ADM</v>
          </cell>
          <cell r="V324" t="str">
            <v>RN</v>
          </cell>
          <cell r="W324" t="str">
            <v>P</v>
          </cell>
          <cell r="X324" t="str">
            <v>R</v>
          </cell>
        </row>
        <row r="325">
          <cell r="B325">
            <v>3104</v>
          </cell>
          <cell r="C325" t="str">
            <v>ACHAT DE MATÉRIEL DE LABORATOIRE DES LUBRIFIANTS</v>
          </cell>
          <cell r="D325">
            <v>0</v>
          </cell>
          <cell r="E325">
            <v>480000</v>
          </cell>
          <cell r="F325">
            <v>0</v>
          </cell>
          <cell r="G325">
            <v>0</v>
          </cell>
          <cell r="I325" t="str">
            <v>CHT</v>
          </cell>
          <cell r="J325" t="str">
            <v>CP</v>
          </cell>
          <cell r="K325" t="str">
            <v>CHT En retour au CP (ce crédit n'est pas retenu sur la liste révisée)</v>
          </cell>
          <cell r="L325">
            <v>559</v>
          </cell>
          <cell r="M325">
            <v>39365</v>
          </cell>
          <cell r="N325" t="str">
            <v>DAM-04/06</v>
          </cell>
          <cell r="S325" t="str">
            <v>BENZAKI</v>
          </cell>
          <cell r="T325" t="str">
            <v>R2</v>
          </cell>
          <cell r="U325" t="str">
            <v>ORD</v>
          </cell>
          <cell r="V325" t="str">
            <v>DN</v>
          </cell>
          <cell r="W325" t="str">
            <v>L</v>
          </cell>
          <cell r="X325" t="str">
            <v>R</v>
          </cell>
        </row>
        <row r="326">
          <cell r="B326">
            <v>3105</v>
          </cell>
          <cell r="C326" t="str">
            <v>ACHAT DE MATÉRIEL DE LABORATOIRE DES LUBRIFIANTS</v>
          </cell>
          <cell r="D326">
            <v>0</v>
          </cell>
          <cell r="E326">
            <v>480000</v>
          </cell>
          <cell r="F326">
            <v>0</v>
          </cell>
          <cell r="G326">
            <v>0</v>
          </cell>
          <cell r="K326" t="str">
            <v xml:space="preserve">AE N°23923-1 de 372535,97 DH </v>
          </cell>
          <cell r="L326">
            <v>791</v>
          </cell>
          <cell r="M326">
            <v>38671</v>
          </cell>
          <cell r="N326" t="str">
            <v>DAM-06/05</v>
          </cell>
          <cell r="P326" t="str">
            <v>DP-45183/05</v>
          </cell>
          <cell r="S326" t="str">
            <v>BENZAKI</v>
          </cell>
          <cell r="T326" t="str">
            <v>R2</v>
          </cell>
          <cell r="U326" t="str">
            <v>ORD</v>
          </cell>
          <cell r="V326" t="str">
            <v>DN</v>
          </cell>
          <cell r="W326" t="str">
            <v>L</v>
          </cell>
          <cell r="X326" t="str">
            <v>R</v>
          </cell>
        </row>
        <row r="327">
          <cell r="B327">
            <v>3106</v>
          </cell>
          <cell r="C327" t="str">
            <v>01 APPAREIL D'ANALYSE D'HUILE</v>
          </cell>
          <cell r="D327">
            <v>450000</v>
          </cell>
          <cell r="E327">
            <v>450000</v>
          </cell>
          <cell r="F327">
            <v>0</v>
          </cell>
          <cell r="G327">
            <v>0</v>
          </cell>
          <cell r="I327" t="str">
            <v>CONSUL</v>
          </cell>
          <cell r="J327" t="str">
            <v>AD</v>
          </cell>
          <cell r="K327" t="str">
            <v>Matériel utilisé par LM , Réponse a AD</v>
          </cell>
          <cell r="L327">
            <v>306</v>
          </cell>
          <cell r="M327">
            <v>39179</v>
          </cell>
          <cell r="N327" t="str">
            <v>DAM-6038/6</v>
          </cell>
          <cell r="S327" t="str">
            <v>KHOUILI</v>
          </cell>
          <cell r="T327" t="str">
            <v>R3</v>
          </cell>
          <cell r="U327" t="str">
            <v>ORD</v>
          </cell>
          <cell r="V327" t="str">
            <v>DN</v>
          </cell>
          <cell r="W327" t="str">
            <v>P</v>
          </cell>
          <cell r="X327" t="str">
            <v>R</v>
          </cell>
        </row>
        <row r="328">
          <cell r="B328">
            <v>3108</v>
          </cell>
          <cell r="C328" t="str">
            <v>ACQUISITION MOBILIER DE BUREAU</v>
          </cell>
          <cell r="D328">
            <v>0</v>
          </cell>
          <cell r="E328">
            <v>80000</v>
          </cell>
          <cell r="F328">
            <v>0</v>
          </cell>
          <cell r="G328">
            <v>0</v>
          </cell>
          <cell r="K328" t="str">
            <v>AE N°-23976-1</v>
          </cell>
          <cell r="M328">
            <v>38622</v>
          </cell>
          <cell r="N328" t="str">
            <v>DAM-17/05</v>
          </cell>
          <cell r="P328" t="str">
            <v>DP-45116/05</v>
          </cell>
          <cell r="S328" t="str">
            <v>SAOUD</v>
          </cell>
          <cell r="T328" t="str">
            <v>R6</v>
          </cell>
          <cell r="U328" t="str">
            <v>ADM</v>
          </cell>
          <cell r="V328" t="str">
            <v>DN</v>
          </cell>
          <cell r="W328" t="str">
            <v>L</v>
          </cell>
          <cell r="X328" t="str">
            <v>R</v>
          </cell>
        </row>
        <row r="329">
          <cell r="B329">
            <v>3109</v>
          </cell>
          <cell r="C329" t="str">
            <v>STATION DE DESSIN ASSISTEE PAR ORDINATEUR DAO POUR LE BUREAU D'ETUDE DE PMK/TM/C</v>
          </cell>
          <cell r="D329">
            <v>490000</v>
          </cell>
          <cell r="E329">
            <v>490000</v>
          </cell>
          <cell r="F329">
            <v>0</v>
          </cell>
          <cell r="G329">
            <v>0</v>
          </cell>
          <cell r="K329" t="str">
            <v xml:space="preserve">AE N°-3109-1 </v>
          </cell>
          <cell r="M329">
            <v>39101</v>
          </cell>
          <cell r="N329" t="str">
            <v>DAM-54/5</v>
          </cell>
          <cell r="R329" t="str">
            <v>N° 026 du 09/09/2007</v>
          </cell>
          <cell r="S329" t="str">
            <v>OUAMALICH</v>
          </cell>
          <cell r="T329" t="str">
            <v>R6</v>
          </cell>
          <cell r="U329" t="str">
            <v>ADM</v>
          </cell>
          <cell r="V329" t="str">
            <v>DN</v>
          </cell>
          <cell r="W329" t="str">
            <v>T</v>
          </cell>
          <cell r="X329" t="str">
            <v>R</v>
          </cell>
        </row>
        <row r="330">
          <cell r="B330">
            <v>3110</v>
          </cell>
          <cell r="C330" t="str">
            <v>ACHAT DES EQUIPEMENTS DE GESTION ELECTRONIQUE DE DOCUMENTS</v>
          </cell>
          <cell r="D330">
            <v>0</v>
          </cell>
          <cell r="E330">
            <v>420000</v>
          </cell>
          <cell r="F330">
            <v>0</v>
          </cell>
          <cell r="G330">
            <v>0</v>
          </cell>
          <cell r="I330" t="str">
            <v>CONSUL</v>
          </cell>
          <cell r="J330" t="str">
            <v>AD</v>
          </cell>
          <cell r="K330" t="str">
            <v>DAM envoyée pour consultation</v>
          </cell>
          <cell r="L330">
            <v>235</v>
          </cell>
          <cell r="M330">
            <v>39185</v>
          </cell>
          <cell r="N330" t="str">
            <v>DAM-181/07</v>
          </cell>
          <cell r="O330">
            <v>6337</v>
          </cell>
          <cell r="S330" t="str">
            <v>MANSOURI</v>
          </cell>
          <cell r="T330" t="str">
            <v>R3</v>
          </cell>
          <cell r="U330" t="str">
            <v>ORD</v>
          </cell>
          <cell r="V330" t="str">
            <v>DN</v>
          </cell>
          <cell r="W330" t="str">
            <v>T</v>
          </cell>
          <cell r="X330" t="str">
            <v>R</v>
          </cell>
        </row>
        <row r="331">
          <cell r="B331">
            <v>3112</v>
          </cell>
          <cell r="C331" t="str">
            <v>03 BASCULES INTEGRATRICES</v>
          </cell>
          <cell r="D331">
            <v>45000</v>
          </cell>
          <cell r="E331">
            <v>45000</v>
          </cell>
          <cell r="F331">
            <v>0</v>
          </cell>
          <cell r="G331">
            <v>0</v>
          </cell>
          <cell r="K331" t="str">
            <v>AE N°-3111-1 de 261947,10 DH</v>
          </cell>
          <cell r="M331">
            <v>38939</v>
          </cell>
          <cell r="N331" t="str">
            <v>DAM- 2568/05</v>
          </cell>
          <cell r="P331" t="str">
            <v>DP-62023/5</v>
          </cell>
          <cell r="S331" t="str">
            <v>MAHSOUN</v>
          </cell>
          <cell r="T331" t="str">
            <v>R2</v>
          </cell>
          <cell r="U331" t="str">
            <v>ORD</v>
          </cell>
          <cell r="V331" t="str">
            <v>RN</v>
          </cell>
          <cell r="W331" t="str">
            <v>P</v>
          </cell>
          <cell r="X331" t="str">
            <v>R</v>
          </cell>
        </row>
        <row r="332">
          <cell r="B332">
            <v>3113</v>
          </cell>
          <cell r="C332" t="str">
            <v>BASCULE INTEGRATRICE</v>
          </cell>
          <cell r="D332">
            <v>15000</v>
          </cell>
          <cell r="E332">
            <v>15000</v>
          </cell>
          <cell r="F332">
            <v>0</v>
          </cell>
          <cell r="G332">
            <v>0</v>
          </cell>
          <cell r="K332" t="str">
            <v>AE N°-3113-1de 78026,80 DH</v>
          </cell>
          <cell r="M332">
            <v>38939</v>
          </cell>
          <cell r="N332" t="str">
            <v>DAM- 2568/05</v>
          </cell>
          <cell r="P332" t="str">
            <v>DP-62023/5</v>
          </cell>
          <cell r="S332" t="str">
            <v>MAHSOUN</v>
          </cell>
          <cell r="T332" t="str">
            <v>R3</v>
          </cell>
          <cell r="U332" t="str">
            <v>ORD</v>
          </cell>
          <cell r="V332" t="str">
            <v>DN</v>
          </cell>
          <cell r="W332" t="str">
            <v>P</v>
          </cell>
          <cell r="X332" t="str">
            <v>R</v>
          </cell>
        </row>
        <row r="333">
          <cell r="B333">
            <v>3114</v>
          </cell>
          <cell r="C333" t="str">
            <v>FOURNITURE ET CONSTRUCTION DE 04 GUERITTES DE SURVEILLANCE DES INSTALLATIONS DU COMPLEXE OUED ZEM</v>
          </cell>
          <cell r="D333">
            <v>248702</v>
          </cell>
          <cell r="E333">
            <v>52000</v>
          </cell>
          <cell r="F333">
            <v>0</v>
          </cell>
          <cell r="G333">
            <v>0</v>
          </cell>
          <cell r="I333" t="str">
            <v>CONSUL</v>
          </cell>
          <cell r="J333" t="str">
            <v>AD</v>
          </cell>
          <cell r="K333" t="str">
            <v>DAM envoyée pour consultation</v>
          </cell>
          <cell r="L333">
            <v>567</v>
          </cell>
          <cell r="M333">
            <v>39367</v>
          </cell>
          <cell r="N333" t="str">
            <v>DPM - 4521</v>
          </cell>
          <cell r="O333">
            <v>8380</v>
          </cell>
          <cell r="P333" t="str">
            <v>AO-232K/05</v>
          </cell>
          <cell r="S333" t="str">
            <v>ZNAIDI</v>
          </cell>
          <cell r="T333" t="str">
            <v>R7</v>
          </cell>
          <cell r="U333" t="str">
            <v>ORD</v>
          </cell>
          <cell r="V333" t="str">
            <v>DN</v>
          </cell>
          <cell r="W333" t="str">
            <v>T</v>
          </cell>
          <cell r="X333" t="str">
            <v>R</v>
          </cell>
        </row>
        <row r="334">
          <cell r="B334">
            <v>3116</v>
          </cell>
          <cell r="C334" t="str">
            <v>ANEMOMETRE ET ACCESSOIRES POUR LES FOURS SECHEURS DU COMPLEXE D'OUED ZEM</v>
          </cell>
          <cell r="D334">
            <v>0</v>
          </cell>
          <cell r="E334">
            <v>180000</v>
          </cell>
          <cell r="F334">
            <v>0</v>
          </cell>
          <cell r="G334">
            <v>0</v>
          </cell>
          <cell r="K334" t="str">
            <v>ANNULEE PAR CP</v>
          </cell>
          <cell r="L334">
            <v>436</v>
          </cell>
          <cell r="M334">
            <v>38510</v>
          </cell>
          <cell r="N334" t="str">
            <v>DAM-101/05</v>
          </cell>
          <cell r="S334" t="str">
            <v>ZNAIDI</v>
          </cell>
          <cell r="T334" t="str">
            <v>R3</v>
          </cell>
          <cell r="U334" t="str">
            <v>ORD</v>
          </cell>
          <cell r="V334" t="str">
            <v>DN</v>
          </cell>
          <cell r="W334" t="str">
            <v>T</v>
          </cell>
          <cell r="X334" t="str">
            <v>R</v>
          </cell>
        </row>
        <row r="335">
          <cell r="B335">
            <v>3117</v>
          </cell>
          <cell r="C335" t="str">
            <v>MATERIEL D'HYGIENE POUR LES BLOCS SANITAIRES DU COZ</v>
          </cell>
          <cell r="D335">
            <v>0</v>
          </cell>
          <cell r="E335">
            <v>40000</v>
          </cell>
          <cell r="F335">
            <v>0</v>
          </cell>
          <cell r="G335">
            <v>0</v>
          </cell>
          <cell r="I335" t="str">
            <v>CONSUL</v>
          </cell>
          <cell r="J335" t="str">
            <v>AD</v>
          </cell>
          <cell r="K335" t="str">
            <v>DAM envoyée pour consultation</v>
          </cell>
          <cell r="L335">
            <v>444</v>
          </cell>
          <cell r="M335">
            <v>38511</v>
          </cell>
          <cell r="N335" t="str">
            <v>DAM-102/05</v>
          </cell>
          <cell r="S335" t="str">
            <v>ZNAIDI</v>
          </cell>
          <cell r="T335" t="str">
            <v>R7</v>
          </cell>
          <cell r="U335" t="str">
            <v>ORD</v>
          </cell>
          <cell r="V335" t="str">
            <v>DN</v>
          </cell>
          <cell r="W335" t="str">
            <v>T</v>
          </cell>
          <cell r="X335" t="str">
            <v>R</v>
          </cell>
        </row>
        <row r="336">
          <cell r="B336">
            <v>3118</v>
          </cell>
          <cell r="C336" t="str">
            <v>RN. DU MOBILIER DE BUREAU DE PMK/TM/M-MG</v>
          </cell>
          <cell r="D336">
            <v>410000</v>
          </cell>
          <cell r="E336">
            <v>410000</v>
          </cell>
          <cell r="F336">
            <v>0</v>
          </cell>
          <cell r="G336">
            <v>0</v>
          </cell>
          <cell r="I336" t="str">
            <v>AT.AE</v>
          </cell>
          <cell r="J336" t="str">
            <v>PFF/CI</v>
          </cell>
          <cell r="K336" t="str">
            <v>DAE N°3118_1_2_3_4 de 126 022,69 + 15 401,10 
+ 68 040,00 + 22 260,00 DH</v>
          </cell>
          <cell r="L336">
            <v>179</v>
          </cell>
          <cell r="M336">
            <v>39197</v>
          </cell>
          <cell r="N336" t="str">
            <v>DAM-15/07</v>
          </cell>
          <cell r="O336">
            <v>5338</v>
          </cell>
          <cell r="S336" t="str">
            <v>KARMOUNI</v>
          </cell>
          <cell r="T336" t="str">
            <v>R6</v>
          </cell>
          <cell r="U336" t="str">
            <v>ADM</v>
          </cell>
          <cell r="V336" t="str">
            <v>RN</v>
          </cell>
          <cell r="W336" t="str">
            <v>T</v>
          </cell>
          <cell r="X336" t="str">
            <v>R</v>
          </cell>
        </row>
        <row r="337">
          <cell r="B337">
            <v>3119</v>
          </cell>
          <cell r="C337" t="str">
            <v>RN DE 15 REDUCTEURS DE VITESSE POUR LES INSTALLATIONS NEVRALGIQUES DE PMK/TD</v>
          </cell>
          <cell r="D337">
            <v>3958766</v>
          </cell>
          <cell r="E337">
            <v>3500000</v>
          </cell>
          <cell r="F337">
            <v>0</v>
          </cell>
          <cell r="G337">
            <v>0</v>
          </cell>
          <cell r="K337" t="str">
            <v>AE N°-3119-1 à 3119-6</v>
          </cell>
          <cell r="L337">
            <v>431</v>
          </cell>
          <cell r="M337">
            <v>38926</v>
          </cell>
          <cell r="N337" t="str">
            <v>DAM- 14/05</v>
          </cell>
          <cell r="P337" t="str">
            <v>DP-62075/05</v>
          </cell>
          <cell r="Q337">
            <v>214224</v>
          </cell>
          <cell r="S337" t="str">
            <v>CHNANI</v>
          </cell>
          <cell r="T337" t="str">
            <v>R2</v>
          </cell>
          <cell r="U337" t="str">
            <v>ORD</v>
          </cell>
          <cell r="V337" t="str">
            <v>RN</v>
          </cell>
          <cell r="W337" t="str">
            <v>T</v>
          </cell>
          <cell r="X337" t="str">
            <v>R</v>
          </cell>
        </row>
        <row r="338">
          <cell r="B338">
            <v>3120</v>
          </cell>
          <cell r="C338" t="str">
            <v>MOBILIER DE BUREAU POUR PMK / AK / S</v>
          </cell>
          <cell r="D338">
            <v>300300</v>
          </cell>
          <cell r="E338">
            <v>300300</v>
          </cell>
          <cell r="F338">
            <v>0</v>
          </cell>
          <cell r="G338">
            <v>0</v>
          </cell>
          <cell r="I338" t="str">
            <v>CONSUL</v>
          </cell>
          <cell r="J338" t="str">
            <v>AD</v>
          </cell>
          <cell r="K338" t="str">
            <v>DAM envoyée pour consultation</v>
          </cell>
          <cell r="L338">
            <v>285</v>
          </cell>
          <cell r="M338">
            <v>39205</v>
          </cell>
          <cell r="N338" t="str">
            <v>DAM-03/07</v>
          </cell>
          <cell r="O338">
            <v>6599</v>
          </cell>
          <cell r="S338" t="str">
            <v>DERDAKI</v>
          </cell>
          <cell r="T338" t="str">
            <v>R6</v>
          </cell>
          <cell r="U338" t="str">
            <v>ADM</v>
          </cell>
          <cell r="V338" t="str">
            <v>RN</v>
          </cell>
          <cell r="W338" t="str">
            <v>AK</v>
          </cell>
          <cell r="X338" t="str">
            <v>R</v>
          </cell>
        </row>
        <row r="339">
          <cell r="B339">
            <v>3121</v>
          </cell>
          <cell r="C339" t="str">
            <v>RENOUVELLEMENT DE CLIMATISEURS SPLIT SYSTEM</v>
          </cell>
          <cell r="D339">
            <v>594000</v>
          </cell>
          <cell r="E339">
            <v>594000</v>
          </cell>
          <cell r="F339">
            <v>0</v>
          </cell>
          <cell r="G339">
            <v>0</v>
          </cell>
          <cell r="I339" t="str">
            <v>AVIS</v>
          </cell>
          <cell r="J339" t="str">
            <v>PFF</v>
          </cell>
          <cell r="K339" t="str">
            <v>Attente avis PFF pour établir la DAC (CHC transmis à AD)</v>
          </cell>
          <cell r="L339">
            <v>167</v>
          </cell>
          <cell r="M339">
            <v>39188</v>
          </cell>
          <cell r="N339" t="str">
            <v>DAM-03/06</v>
          </cell>
          <cell r="S339" t="str">
            <v>DERDAKI</v>
          </cell>
          <cell r="T339" t="str">
            <v>R6</v>
          </cell>
          <cell r="U339" t="str">
            <v>ADM</v>
          </cell>
          <cell r="V339" t="str">
            <v>RN</v>
          </cell>
          <cell r="W339" t="str">
            <v>AK</v>
          </cell>
          <cell r="X339" t="str">
            <v>R</v>
          </cell>
        </row>
        <row r="340">
          <cell r="B340">
            <v>3122</v>
          </cell>
          <cell r="C340" t="str">
            <v>TELEVISEURS POUR FOYERS ET ETABLISSEMENTS SOCIAUX</v>
          </cell>
          <cell r="D340">
            <v>99000</v>
          </cell>
          <cell r="E340">
            <v>99000</v>
          </cell>
          <cell r="F340">
            <v>0</v>
          </cell>
          <cell r="G340">
            <v>0</v>
          </cell>
          <cell r="I340" t="str">
            <v>CONSUL</v>
          </cell>
          <cell r="J340" t="str">
            <v>AD</v>
          </cell>
          <cell r="K340" t="str">
            <v>DAM envoyée pour consultation</v>
          </cell>
          <cell r="L340">
            <v>302</v>
          </cell>
          <cell r="M340">
            <v>38870</v>
          </cell>
          <cell r="N340" t="str">
            <v>DAM-10/06</v>
          </cell>
          <cell r="S340" t="str">
            <v>DERDAKI</v>
          </cell>
          <cell r="T340" t="str">
            <v>R6</v>
          </cell>
          <cell r="U340" t="str">
            <v>SOC</v>
          </cell>
          <cell r="V340" t="str">
            <v>DN</v>
          </cell>
          <cell r="W340" t="str">
            <v>AK</v>
          </cell>
          <cell r="X340" t="str">
            <v>R</v>
          </cell>
        </row>
        <row r="341">
          <cell r="B341">
            <v>3123</v>
          </cell>
          <cell r="C341" t="str">
            <v>MATERIEL DE FROID POUR ETABLISSEMENTS SOCIAUX</v>
          </cell>
          <cell r="D341">
            <v>0</v>
          </cell>
          <cell r="E341">
            <v>416900</v>
          </cell>
          <cell r="F341">
            <v>0</v>
          </cell>
          <cell r="G341">
            <v>0</v>
          </cell>
          <cell r="I341" t="str">
            <v>AVIS</v>
          </cell>
          <cell r="J341" t="str">
            <v>PFF/CI</v>
          </cell>
          <cell r="K341" t="str">
            <v>Attente avis PFF pour établir DAC</v>
          </cell>
          <cell r="L341">
            <v>308</v>
          </cell>
          <cell r="M341">
            <v>39282</v>
          </cell>
          <cell r="N341" t="str">
            <v>DAM-27-28-29/06</v>
          </cell>
          <cell r="S341" t="str">
            <v>CHARBI</v>
          </cell>
          <cell r="T341" t="str">
            <v>R6</v>
          </cell>
          <cell r="U341" t="str">
            <v>SOC</v>
          </cell>
          <cell r="V341" t="str">
            <v>DN</v>
          </cell>
          <cell r="W341" t="str">
            <v>AK</v>
          </cell>
          <cell r="X341" t="str">
            <v>R</v>
          </cell>
        </row>
        <row r="342">
          <cell r="B342">
            <v>3124</v>
          </cell>
          <cell r="C342" t="str">
            <v>MATERIEL DE RESTAURATION</v>
          </cell>
          <cell r="D342">
            <v>630300</v>
          </cell>
          <cell r="E342">
            <v>630300</v>
          </cell>
          <cell r="F342">
            <v>0</v>
          </cell>
          <cell r="G342">
            <v>0</v>
          </cell>
          <cell r="I342" t="str">
            <v>CONSUL</v>
          </cell>
          <cell r="J342" t="str">
            <v>PFM/AC</v>
          </cell>
          <cell r="K342" t="str">
            <v>DAM envoyée pour consultation</v>
          </cell>
          <cell r="L342">
            <v>364</v>
          </cell>
          <cell r="M342">
            <v>38895</v>
          </cell>
          <cell r="N342" t="str">
            <v>DAM-09/06</v>
          </cell>
          <cell r="S342" t="str">
            <v>DERDAKI</v>
          </cell>
          <cell r="T342" t="str">
            <v>R6</v>
          </cell>
          <cell r="U342" t="str">
            <v>SOC</v>
          </cell>
          <cell r="V342" t="str">
            <v>RN</v>
          </cell>
          <cell r="W342" t="str">
            <v>AK</v>
          </cell>
          <cell r="X342" t="str">
            <v>R</v>
          </cell>
        </row>
        <row r="343">
          <cell r="B343">
            <v>3125</v>
          </cell>
          <cell r="C343" t="str">
            <v>30 APPAREILS TELEPHONIQUES</v>
          </cell>
          <cell r="D343">
            <v>22000</v>
          </cell>
          <cell r="E343">
            <v>22000</v>
          </cell>
          <cell r="F343">
            <v>0</v>
          </cell>
          <cell r="G343">
            <v>0</v>
          </cell>
          <cell r="I343" t="str">
            <v>ENG</v>
          </cell>
          <cell r="K343" t="str">
            <v>AE N°-24092-1 DE 19836 DH</v>
          </cell>
          <cell r="M343">
            <v>38610</v>
          </cell>
          <cell r="N343" t="str">
            <v>DAM-03/05</v>
          </cell>
          <cell r="P343" t="str">
            <v>DP-45121/05</v>
          </cell>
          <cell r="S343" t="str">
            <v>DERDAKI</v>
          </cell>
          <cell r="T343" t="str">
            <v>R6</v>
          </cell>
          <cell r="U343" t="str">
            <v>ADM</v>
          </cell>
          <cell r="V343" t="str">
            <v>RN</v>
          </cell>
          <cell r="W343" t="str">
            <v>AK</v>
          </cell>
          <cell r="X343" t="str">
            <v>R</v>
          </cell>
        </row>
        <row r="344">
          <cell r="B344">
            <v>3125</v>
          </cell>
          <cell r="C344" t="str">
            <v>30 APPAREILS TELEPHONIQUES</v>
          </cell>
          <cell r="I344" t="str">
            <v>ENG</v>
          </cell>
          <cell r="K344" t="str">
            <v>AE N°-3125-2 DE 15372 DH</v>
          </cell>
          <cell r="L344">
            <v>550</v>
          </cell>
          <cell r="M344">
            <v>38987</v>
          </cell>
          <cell r="S344" t="str">
            <v>DERDAKI</v>
          </cell>
          <cell r="T344" t="str">
            <v>R6</v>
          </cell>
          <cell r="U344" t="str">
            <v>ADM</v>
          </cell>
          <cell r="V344" t="str">
            <v>RN</v>
          </cell>
          <cell r="W344" t="str">
            <v>AK</v>
          </cell>
          <cell r="X344" t="str">
            <v>R</v>
          </cell>
        </row>
        <row r="345">
          <cell r="B345">
            <v>3126</v>
          </cell>
          <cell r="C345" t="str">
            <v>MOBILIER DE BUREAU POUR PMK / AK / C</v>
          </cell>
          <cell r="D345">
            <v>48950</v>
          </cell>
          <cell r="E345">
            <v>48950</v>
          </cell>
          <cell r="F345">
            <v>0</v>
          </cell>
          <cell r="G345">
            <v>0</v>
          </cell>
          <cell r="I345" t="str">
            <v>ENG</v>
          </cell>
          <cell r="K345" t="str">
            <v xml:space="preserve">AE N°-3126-1-AE N°-3126-3 &amp; 4 </v>
          </cell>
          <cell r="M345">
            <v>38873</v>
          </cell>
          <cell r="P345" t="str">
            <v>DP-45176/05</v>
          </cell>
          <cell r="S345" t="str">
            <v>DERDAKI</v>
          </cell>
          <cell r="T345" t="str">
            <v>R6</v>
          </cell>
          <cell r="U345" t="str">
            <v>ADM</v>
          </cell>
          <cell r="V345" t="str">
            <v>RN</v>
          </cell>
          <cell r="W345" t="str">
            <v>AK</v>
          </cell>
          <cell r="X345" t="str">
            <v>R</v>
          </cell>
        </row>
        <row r="346">
          <cell r="B346">
            <v>3127</v>
          </cell>
          <cell r="C346" t="str">
            <v>MACHINES A CAFE 3 GROUPES POUR LE CERCLE DU PERSONNEL</v>
          </cell>
          <cell r="D346">
            <v>176000</v>
          </cell>
          <cell r="E346">
            <v>176000</v>
          </cell>
          <cell r="F346">
            <v>0</v>
          </cell>
          <cell r="G346">
            <v>0</v>
          </cell>
          <cell r="I346" t="str">
            <v>CHT</v>
          </cell>
          <cell r="J346" t="str">
            <v>AD</v>
          </cell>
          <cell r="K346" t="str">
            <v>CHT pour attribution</v>
          </cell>
          <cell r="L346">
            <v>534</v>
          </cell>
          <cell r="M346">
            <v>39356</v>
          </cell>
          <cell r="N346" t="str">
            <v>DAM-11/06</v>
          </cell>
          <cell r="S346" t="str">
            <v>DERDAKI</v>
          </cell>
          <cell r="T346" t="str">
            <v>R6</v>
          </cell>
          <cell r="U346" t="str">
            <v>SOC</v>
          </cell>
          <cell r="V346" t="str">
            <v>DN</v>
          </cell>
          <cell r="W346" t="str">
            <v>AK</v>
          </cell>
          <cell r="X346" t="str">
            <v>R</v>
          </cell>
        </row>
        <row r="347">
          <cell r="B347">
            <v>3128</v>
          </cell>
          <cell r="C347" t="str">
            <v>ASPIRATEURS POUR MOSQUEES</v>
          </cell>
          <cell r="D347">
            <v>77000</v>
          </cell>
          <cell r="E347">
            <v>77000</v>
          </cell>
          <cell r="F347">
            <v>0</v>
          </cell>
          <cell r="G347">
            <v>0</v>
          </cell>
          <cell r="I347" t="str">
            <v>CHT</v>
          </cell>
          <cell r="J347" t="str">
            <v>AD</v>
          </cell>
          <cell r="K347" t="str">
            <v>CHT pour attribution</v>
          </cell>
          <cell r="L347">
            <v>403</v>
          </cell>
          <cell r="M347">
            <v>39255</v>
          </cell>
          <cell r="N347" t="str">
            <v>DAM-14/06</v>
          </cell>
          <cell r="S347" t="str">
            <v>DERDAKI</v>
          </cell>
          <cell r="T347" t="str">
            <v>R6</v>
          </cell>
          <cell r="U347" t="str">
            <v>SOC</v>
          </cell>
          <cell r="V347" t="str">
            <v>DN</v>
          </cell>
          <cell r="W347" t="str">
            <v>AK</v>
          </cell>
          <cell r="X347" t="str">
            <v>R</v>
          </cell>
        </row>
        <row r="348">
          <cell r="B348">
            <v>3129</v>
          </cell>
          <cell r="C348" t="str">
            <v>TIREUSE DE PLANS POUR BUREAU D'ETUDES</v>
          </cell>
          <cell r="D348">
            <v>0</v>
          </cell>
          <cell r="E348">
            <v>165000</v>
          </cell>
          <cell r="F348">
            <v>0</v>
          </cell>
          <cell r="G348">
            <v>0</v>
          </cell>
          <cell r="I348" t="str">
            <v>CONSUL</v>
          </cell>
          <cell r="J348" t="str">
            <v>AD</v>
          </cell>
          <cell r="K348" t="str">
            <v>DAM envoyée pour consultation</v>
          </cell>
          <cell r="L348">
            <v>353</v>
          </cell>
          <cell r="M348">
            <v>38901</v>
          </cell>
          <cell r="N348" t="str">
            <v>DAM-20/06</v>
          </cell>
          <cell r="S348" t="str">
            <v>DERDAKI</v>
          </cell>
          <cell r="T348" t="str">
            <v>R5</v>
          </cell>
          <cell r="U348" t="str">
            <v>ETUDES ET ESSAIS</v>
          </cell>
          <cell r="V348" t="str">
            <v>DN</v>
          </cell>
          <cell r="W348" t="str">
            <v>AK</v>
          </cell>
          <cell r="X348" t="str">
            <v>R</v>
          </cell>
        </row>
        <row r="349">
          <cell r="B349">
            <v>3130</v>
          </cell>
          <cell r="C349" t="str">
            <v>TABLES DE DESSINATEURS POUR BUREAU D'ETUDES</v>
          </cell>
          <cell r="D349">
            <v>0</v>
          </cell>
          <cell r="E349">
            <v>39600</v>
          </cell>
          <cell r="F349">
            <v>0</v>
          </cell>
          <cell r="G349">
            <v>0</v>
          </cell>
          <cell r="I349" t="str">
            <v>CONSUL</v>
          </cell>
          <cell r="J349" t="str">
            <v>AD</v>
          </cell>
          <cell r="K349" t="str">
            <v>DAM envoyée pour consultation</v>
          </cell>
          <cell r="L349">
            <v>325</v>
          </cell>
          <cell r="M349">
            <v>38895</v>
          </cell>
          <cell r="N349" t="str">
            <v>DAM-25/06</v>
          </cell>
          <cell r="S349" t="str">
            <v>DERDAKI</v>
          </cell>
          <cell r="T349" t="str">
            <v>R5</v>
          </cell>
          <cell r="U349" t="str">
            <v>ETUDES ET ESSAIS</v>
          </cell>
          <cell r="V349" t="str">
            <v>RN</v>
          </cell>
          <cell r="W349" t="str">
            <v>AK</v>
          </cell>
          <cell r="X349" t="str">
            <v>R</v>
          </cell>
        </row>
        <row r="350">
          <cell r="B350">
            <v>3131</v>
          </cell>
          <cell r="C350" t="str">
            <v>TABLE LUMINEUSE POUR BUREAU D'ETUDES</v>
          </cell>
          <cell r="D350">
            <v>0</v>
          </cell>
          <cell r="E350">
            <v>18700</v>
          </cell>
          <cell r="F350">
            <v>0</v>
          </cell>
          <cell r="G350">
            <v>0</v>
          </cell>
          <cell r="S350" t="str">
            <v>DERDAKI</v>
          </cell>
          <cell r="T350" t="str">
            <v>R5</v>
          </cell>
          <cell r="U350" t="str">
            <v>ETUDES ET ESSAIS</v>
          </cell>
          <cell r="V350" t="str">
            <v>DN</v>
          </cell>
          <cell r="W350" t="str">
            <v>AK</v>
          </cell>
          <cell r="X350" t="str">
            <v>R</v>
          </cell>
        </row>
        <row r="351">
          <cell r="B351">
            <v>3132</v>
          </cell>
          <cell r="C351" t="str">
            <v>MATERIEL DE SONORISATION POUR PMK / AK / S</v>
          </cell>
          <cell r="D351">
            <v>304700</v>
          </cell>
          <cell r="E351">
            <v>304700</v>
          </cell>
          <cell r="F351">
            <v>0</v>
          </cell>
          <cell r="G351">
            <v>0</v>
          </cell>
          <cell r="I351" t="str">
            <v>CONSUL</v>
          </cell>
          <cell r="J351" t="str">
            <v>AD</v>
          </cell>
          <cell r="K351" t="str">
            <v>DAM envoyée pour consultation</v>
          </cell>
          <cell r="L351">
            <v>325</v>
          </cell>
          <cell r="M351">
            <v>38895</v>
          </cell>
          <cell r="N351" t="str">
            <v>dam-13/06</v>
          </cell>
          <cell r="S351" t="str">
            <v>DERDAKI</v>
          </cell>
          <cell r="T351" t="str">
            <v>R6</v>
          </cell>
          <cell r="U351" t="str">
            <v>SOC</v>
          </cell>
          <cell r="V351" t="str">
            <v>RN</v>
          </cell>
          <cell r="W351" t="str">
            <v>AK</v>
          </cell>
          <cell r="X351" t="str">
            <v>R</v>
          </cell>
        </row>
        <row r="352">
          <cell r="B352">
            <v>3133</v>
          </cell>
          <cell r="C352" t="str">
            <v xml:space="preserve">EXTINCTEURS POUR ETABLISSEMENTS SOCIAUX </v>
          </cell>
          <cell r="D352">
            <v>132000</v>
          </cell>
          <cell r="E352">
            <v>132000</v>
          </cell>
          <cell r="F352">
            <v>0</v>
          </cell>
          <cell r="G352">
            <v>0</v>
          </cell>
          <cell r="I352" t="str">
            <v>CHC</v>
          </cell>
          <cell r="J352" t="str">
            <v>AD</v>
          </cell>
          <cell r="K352" t="str">
            <v>CHC transmis a AD</v>
          </cell>
          <cell r="L352">
            <v>463</v>
          </cell>
          <cell r="M352">
            <v>39296</v>
          </cell>
          <cell r="N352" t="str">
            <v>DAM-05/05</v>
          </cell>
          <cell r="P352" t="str">
            <v>DP-45155/06</v>
          </cell>
          <cell r="S352" t="str">
            <v>DERDAKI</v>
          </cell>
          <cell r="T352" t="str">
            <v>R7</v>
          </cell>
          <cell r="U352" t="str">
            <v>ORD</v>
          </cell>
          <cell r="V352" t="str">
            <v>DN</v>
          </cell>
          <cell r="W352" t="str">
            <v>AK</v>
          </cell>
          <cell r="X352" t="str">
            <v>R</v>
          </cell>
        </row>
        <row r="353">
          <cell r="B353">
            <v>3134</v>
          </cell>
          <cell r="C353" t="str">
            <v>MATERIEL DE SPORT</v>
          </cell>
          <cell r="D353">
            <v>325600</v>
          </cell>
          <cell r="E353">
            <v>325600</v>
          </cell>
          <cell r="F353">
            <v>0</v>
          </cell>
          <cell r="G353">
            <v>0</v>
          </cell>
          <cell r="I353" t="str">
            <v>CONSUL</v>
          </cell>
          <cell r="J353" t="str">
            <v>AD</v>
          </cell>
          <cell r="K353" t="str">
            <v>DAM envoyée pour consultation</v>
          </cell>
          <cell r="L353">
            <v>302</v>
          </cell>
          <cell r="M353">
            <v>38870</v>
          </cell>
          <cell r="N353" t="str">
            <v>DAM-12/06</v>
          </cell>
          <cell r="S353" t="str">
            <v>DERDAKI</v>
          </cell>
          <cell r="T353" t="str">
            <v>R6</v>
          </cell>
          <cell r="U353" t="str">
            <v>SOC</v>
          </cell>
          <cell r="V353" t="str">
            <v>DN</v>
          </cell>
          <cell r="W353" t="str">
            <v>AK</v>
          </cell>
          <cell r="X353" t="str">
            <v>R</v>
          </cell>
        </row>
        <row r="354">
          <cell r="B354">
            <v>3135</v>
          </cell>
          <cell r="C354" t="str">
            <v>MATERIEL POUR LA SECTION ACCUEIL DE PMK / AK / S</v>
          </cell>
          <cell r="D354">
            <v>261800</v>
          </cell>
          <cell r="E354">
            <v>261800</v>
          </cell>
          <cell r="F354">
            <v>0</v>
          </cell>
          <cell r="G354">
            <v>0</v>
          </cell>
          <cell r="I354" t="str">
            <v>CONSUL</v>
          </cell>
          <cell r="J354" t="str">
            <v>AD</v>
          </cell>
          <cell r="K354" t="str">
            <v>DAM envoyée pour consultation</v>
          </cell>
          <cell r="L354">
            <v>611</v>
          </cell>
          <cell r="M354">
            <v>39045</v>
          </cell>
          <cell r="N354" t="str">
            <v>DAM-30 et 31/06</v>
          </cell>
          <cell r="S354" t="str">
            <v>DERDAKI</v>
          </cell>
          <cell r="T354" t="str">
            <v>R6</v>
          </cell>
          <cell r="U354" t="str">
            <v>SOC</v>
          </cell>
          <cell r="V354" t="str">
            <v>RN</v>
          </cell>
          <cell r="W354" t="str">
            <v>AK</v>
          </cell>
          <cell r="X354" t="str">
            <v>R</v>
          </cell>
        </row>
        <row r="355">
          <cell r="B355">
            <v>3136</v>
          </cell>
          <cell r="C355" t="str">
            <v>POMPES POUR PISCINES DE PMK / AK / S</v>
          </cell>
          <cell r="D355">
            <v>110000</v>
          </cell>
          <cell r="E355">
            <v>110000</v>
          </cell>
          <cell r="F355">
            <v>0</v>
          </cell>
          <cell r="G355">
            <v>0</v>
          </cell>
          <cell r="I355" t="str">
            <v>CONSUL</v>
          </cell>
          <cell r="J355" t="str">
            <v>AD</v>
          </cell>
          <cell r="K355" t="str">
            <v>DAM pour attribution</v>
          </cell>
          <cell r="L355">
            <v>26</v>
          </cell>
          <cell r="M355">
            <v>39115</v>
          </cell>
          <cell r="N355" t="str">
            <v>DAM-01/07</v>
          </cell>
          <cell r="O355">
            <v>5102</v>
          </cell>
          <cell r="S355" t="str">
            <v>DERDAKI</v>
          </cell>
          <cell r="T355" t="str">
            <v>R6</v>
          </cell>
          <cell r="U355" t="str">
            <v>SOC</v>
          </cell>
          <cell r="V355" t="str">
            <v>RN</v>
          </cell>
          <cell r="W355" t="str">
            <v>AK</v>
          </cell>
          <cell r="X355" t="str">
            <v>R</v>
          </cell>
        </row>
        <row r="356">
          <cell r="B356">
            <v>3137</v>
          </cell>
          <cell r="C356" t="str">
            <v>PULVERISATEUR A DOS D'HOMME 20 LITRES</v>
          </cell>
          <cell r="D356">
            <v>0</v>
          </cell>
          <cell r="E356">
            <v>13200</v>
          </cell>
          <cell r="F356">
            <v>0</v>
          </cell>
          <cell r="G356">
            <v>0</v>
          </cell>
          <cell r="I356" t="str">
            <v>CHC</v>
          </cell>
          <cell r="J356" t="str">
            <v>AD</v>
          </cell>
          <cell r="K356" t="str">
            <v>CHC transmis a AD</v>
          </cell>
          <cell r="L356">
            <v>552</v>
          </cell>
          <cell r="M356">
            <v>39363</v>
          </cell>
          <cell r="N356" t="str">
            <v>DAM-16/06</v>
          </cell>
          <cell r="S356" t="str">
            <v>DERDAKI</v>
          </cell>
          <cell r="T356" t="str">
            <v>R6</v>
          </cell>
          <cell r="U356" t="str">
            <v>SOC</v>
          </cell>
          <cell r="V356" t="str">
            <v>RN</v>
          </cell>
          <cell r="W356" t="str">
            <v>AK</v>
          </cell>
          <cell r="X356" t="str">
            <v>R</v>
          </cell>
        </row>
        <row r="357">
          <cell r="B357">
            <v>3139</v>
          </cell>
          <cell r="C357" t="str">
            <v>MOBILIER DE BUREAU POUR PMK / AK / A</v>
          </cell>
          <cell r="D357">
            <v>57000</v>
          </cell>
          <cell r="E357">
            <v>57000</v>
          </cell>
          <cell r="F357">
            <v>0</v>
          </cell>
          <cell r="G357">
            <v>0</v>
          </cell>
          <cell r="I357" t="str">
            <v>CONSUL</v>
          </cell>
          <cell r="J357" t="str">
            <v>AD</v>
          </cell>
          <cell r="K357" t="str">
            <v>DAM pour attribution</v>
          </cell>
          <cell r="L357">
            <v>227</v>
          </cell>
          <cell r="M357">
            <v>39185</v>
          </cell>
          <cell r="N357" t="str">
            <v>DAM-142/07</v>
          </cell>
          <cell r="O357">
            <v>6372</v>
          </cell>
          <cell r="P357" t="str">
            <v>DP-45213/05</v>
          </cell>
          <cell r="S357" t="str">
            <v>EL HOUSANI</v>
          </cell>
          <cell r="T357" t="str">
            <v>R6</v>
          </cell>
          <cell r="U357" t="str">
            <v>ADM</v>
          </cell>
          <cell r="V357" t="str">
            <v>RN</v>
          </cell>
          <cell r="W357" t="str">
            <v>AK</v>
          </cell>
          <cell r="X357" t="str">
            <v>R</v>
          </cell>
        </row>
        <row r="358">
          <cell r="B358">
            <v>3140</v>
          </cell>
          <cell r="C358" t="str">
            <v>RENOUVELLEMENT DU MOBILIER DES BUREAUX DES SERVICES DE LA DIVISION TRAITEMENT DAOUI OUED ZEM</v>
          </cell>
          <cell r="D358">
            <v>0</v>
          </cell>
          <cell r="E358">
            <v>600000</v>
          </cell>
          <cell r="F358">
            <v>0</v>
          </cell>
          <cell r="G358">
            <v>0</v>
          </cell>
          <cell r="I358" t="str">
            <v>CONSUL</v>
          </cell>
          <cell r="J358" t="str">
            <v>AD</v>
          </cell>
          <cell r="K358" t="str">
            <v>DAM envoyée pour consultation ANNULE PAR AD-668 LE 20/06/06</v>
          </cell>
          <cell r="L358">
            <v>817</v>
          </cell>
          <cell r="M358">
            <v>38688</v>
          </cell>
          <cell r="N358" t="str">
            <v>DAM-115/05</v>
          </cell>
          <cell r="S358" t="str">
            <v>LEBBARDI</v>
          </cell>
          <cell r="T358" t="str">
            <v>R6</v>
          </cell>
          <cell r="U358" t="str">
            <v>ADM</v>
          </cell>
          <cell r="V358" t="str">
            <v>RN</v>
          </cell>
          <cell r="W358" t="str">
            <v>T</v>
          </cell>
          <cell r="X358" t="str">
            <v>R</v>
          </cell>
        </row>
        <row r="359">
          <cell r="B359">
            <v>3141</v>
          </cell>
          <cell r="C359" t="str">
            <v>FOURNITURE INSTALLATION EQUIPEMENTS DEPOUSSIERAGE FOURS SECHEURS BI SE CONFORMER AUX NORMES D'EMISSIONS DE POUSSIERES.</v>
          </cell>
          <cell r="D359">
            <v>82000000</v>
          </cell>
          <cell r="E359">
            <v>20000000</v>
          </cell>
          <cell r="F359">
            <v>0</v>
          </cell>
          <cell r="G359">
            <v>0</v>
          </cell>
          <cell r="H359">
            <v>82000000</v>
          </cell>
          <cell r="I359" t="str">
            <v>ENG</v>
          </cell>
          <cell r="J359" t="str">
            <v>CP</v>
          </cell>
          <cell r="K359" t="str">
            <v>Lettre accord  par DG PMK-10 du 12/06/2007
 DAC  et DAL approvée DG DE 82MDH -AE 3141_1 de 82MDH</v>
          </cell>
          <cell r="L359" t="str">
            <v>PFF 528</v>
          </cell>
          <cell r="M359">
            <v>39274</v>
          </cell>
          <cell r="N359" t="str">
            <v>DPM-06/06</v>
          </cell>
          <cell r="P359" t="str">
            <v>AO-CMGP-694M0040/060</v>
          </cell>
          <cell r="S359" t="str">
            <v>ALOUANI</v>
          </cell>
          <cell r="T359" t="str">
            <v>R7</v>
          </cell>
          <cell r="U359" t="str">
            <v>IMP</v>
          </cell>
          <cell r="V359" t="str">
            <v>DN</v>
          </cell>
          <cell r="W359" t="str">
            <v>T</v>
          </cell>
          <cell r="X359" t="str">
            <v>R</v>
          </cell>
        </row>
        <row r="360">
          <cell r="B360">
            <v>3142</v>
          </cell>
          <cell r="C360" t="str">
            <v>PROJET D'UTILISATION DE COKE A COZ (GENERALITE)</v>
          </cell>
          <cell r="D360">
            <v>14000000</v>
          </cell>
          <cell r="E360">
            <v>14000000</v>
          </cell>
          <cell r="F360">
            <v>0</v>
          </cell>
          <cell r="G360">
            <v>0</v>
          </cell>
          <cell r="I360" t="str">
            <v>AT.AE</v>
          </cell>
          <cell r="J360" t="str">
            <v>PFF - PLM</v>
          </cell>
          <cell r="K360" t="str">
            <v>AE N° 3142_2 de 1 789 020 dh + CHC</v>
          </cell>
          <cell r="L360" t="str">
            <v>224 - 223</v>
          </cell>
          <cell r="M360">
            <v>39231</v>
          </cell>
          <cell r="N360" t="str">
            <v>DAC-015/05</v>
          </cell>
          <cell r="P360" t="str">
            <v>OCP/ONCF</v>
          </cell>
          <cell r="S360" t="str">
            <v>ALOUANI</v>
          </cell>
          <cell r="T360" t="str">
            <v>R1</v>
          </cell>
          <cell r="U360" t="str">
            <v>IMP</v>
          </cell>
          <cell r="V360" t="str">
            <v>DN</v>
          </cell>
          <cell r="W360" t="str">
            <v>T</v>
          </cell>
          <cell r="X360" t="str">
            <v>R</v>
          </cell>
        </row>
        <row r="361">
          <cell r="B361">
            <v>3143</v>
          </cell>
          <cell r="C361" t="str">
            <v>RENOVATION DU SYSTEME DE PRECHAUFFAGE DE FUEL A L'USINE DE BENI IDIR</v>
          </cell>
          <cell r="D361">
            <v>0</v>
          </cell>
          <cell r="E361">
            <v>4200000</v>
          </cell>
          <cell r="F361">
            <v>0</v>
          </cell>
          <cell r="G361">
            <v>0</v>
          </cell>
          <cell r="I361" t="str">
            <v>CHC</v>
          </cell>
          <cell r="J361" t="str">
            <v>CP</v>
          </cell>
          <cell r="K361" t="str">
            <v>CHC en retour au CP (crédit n'est pas retenu sur la liste 2007)</v>
          </cell>
          <cell r="L361">
            <v>570</v>
          </cell>
          <cell r="M361">
            <v>39371</v>
          </cell>
          <cell r="N361" t="str">
            <v>DAM-14/06</v>
          </cell>
          <cell r="P361" t="str">
            <v>AO CMGT 690M192/60</v>
          </cell>
          <cell r="S361" t="str">
            <v>DADI</v>
          </cell>
          <cell r="T361" t="str">
            <v>R2</v>
          </cell>
          <cell r="U361" t="str">
            <v>ORD</v>
          </cell>
          <cell r="V361" t="str">
            <v>RN</v>
          </cell>
          <cell r="W361" t="str">
            <v>T</v>
          </cell>
          <cell r="X361" t="str">
            <v>R</v>
          </cell>
        </row>
        <row r="362">
          <cell r="B362">
            <v>3144</v>
          </cell>
          <cell r="C362" t="str">
            <v>REFECTION DES CHAUSSEES ET INSTALLATION DES PANNEAUX DE SIGNALISATION AUX UNITES DE BENI IDIR</v>
          </cell>
          <cell r="D362">
            <v>7402343</v>
          </cell>
          <cell r="E362">
            <v>8000000</v>
          </cell>
          <cell r="F362">
            <v>0</v>
          </cell>
          <cell r="G362">
            <v>0</v>
          </cell>
          <cell r="K362" t="str">
            <v>AE N°-3144-1 DE 7402343,99 DH</v>
          </cell>
          <cell r="M362">
            <v>39139</v>
          </cell>
          <cell r="N362" t="str">
            <v>DPM-02/05</v>
          </cell>
          <cell r="P362" t="str">
            <v>AO-6022/6</v>
          </cell>
          <cell r="S362" t="str">
            <v>ABBOUDE</v>
          </cell>
          <cell r="T362" t="str">
            <v>R7</v>
          </cell>
          <cell r="U362" t="str">
            <v>ORD</v>
          </cell>
          <cell r="V362" t="str">
            <v>DN</v>
          </cell>
          <cell r="W362" t="str">
            <v>T</v>
          </cell>
          <cell r="X362" t="str">
            <v>R</v>
          </cell>
        </row>
        <row r="363">
          <cell r="B363">
            <v>3145</v>
          </cell>
          <cell r="C363" t="str">
            <v xml:space="preserve">OUTILLAGE POUR LES ATELIERS DE MAINTENENCE </v>
          </cell>
          <cell r="D363">
            <v>0</v>
          </cell>
          <cell r="E363">
            <v>950000</v>
          </cell>
          <cell r="F363">
            <v>0</v>
          </cell>
          <cell r="G363">
            <v>0</v>
          </cell>
          <cell r="I363" t="str">
            <v>CHC</v>
          </cell>
          <cell r="J363" t="str">
            <v>CP</v>
          </cell>
          <cell r="K363" t="str">
            <v>En attente CHC pour établir la lettre du fait que le MT est réduit à 600 000 dh</v>
          </cell>
          <cell r="L363">
            <v>474</v>
          </cell>
          <cell r="M363">
            <v>38971</v>
          </cell>
          <cell r="S363" t="str">
            <v>JERRAR</v>
          </cell>
          <cell r="T363" t="str">
            <v>R2</v>
          </cell>
          <cell r="U363" t="str">
            <v>ORD</v>
          </cell>
          <cell r="V363" t="str">
            <v>DN</v>
          </cell>
          <cell r="W363" t="str">
            <v>T</v>
          </cell>
          <cell r="X363" t="str">
            <v>R</v>
          </cell>
        </row>
        <row r="364">
          <cell r="B364">
            <v>3145</v>
          </cell>
          <cell r="C364" t="str">
            <v>1 CHARIOT ELEVATEUR</v>
          </cell>
          <cell r="I364" t="str">
            <v>CONSUL</v>
          </cell>
          <cell r="J364" t="str">
            <v>AD</v>
          </cell>
          <cell r="K364" t="str">
            <v>DAM envoyée pour consultation</v>
          </cell>
          <cell r="L364">
            <v>480</v>
          </cell>
          <cell r="M364">
            <v>38532</v>
          </cell>
          <cell r="N364" t="str">
            <v>DAM-116/05</v>
          </cell>
          <cell r="S364" t="str">
            <v>JERRAR</v>
          </cell>
          <cell r="T364" t="str">
            <v>R2</v>
          </cell>
          <cell r="U364" t="str">
            <v>ORD</v>
          </cell>
          <cell r="V364" t="str">
            <v>DN</v>
          </cell>
          <cell r="W364" t="str">
            <v>T</v>
          </cell>
          <cell r="X364" t="str">
            <v>R</v>
          </cell>
        </row>
        <row r="365">
          <cell r="B365">
            <v>3145</v>
          </cell>
          <cell r="C365" t="str">
            <v>1 APPAREIL DE MESUR DE VIBRATION</v>
          </cell>
          <cell r="I365" t="str">
            <v>CHT</v>
          </cell>
          <cell r="J365" t="str">
            <v>AD</v>
          </cell>
          <cell r="K365" t="str">
            <v>CHT pour attribution</v>
          </cell>
          <cell r="L365">
            <v>145</v>
          </cell>
          <cell r="M365">
            <v>38798</v>
          </cell>
          <cell r="N365" t="str">
            <v>DAM-117/05</v>
          </cell>
          <cell r="P365" t="str">
            <v>DP-45177</v>
          </cell>
          <cell r="S365" t="str">
            <v>JERRAR</v>
          </cell>
          <cell r="T365" t="str">
            <v>R2</v>
          </cell>
          <cell r="U365" t="str">
            <v>ORD</v>
          </cell>
          <cell r="V365" t="str">
            <v>DN</v>
          </cell>
          <cell r="W365" t="str">
            <v>T</v>
          </cell>
          <cell r="X365" t="str">
            <v>R</v>
          </cell>
        </row>
        <row r="366">
          <cell r="B366">
            <v>3145</v>
          </cell>
          <cell r="C366" t="str">
            <v>10 PULL LIFTS ET 4 PALANS PR L'ATELIER MECANIQUE DE BI</v>
          </cell>
          <cell r="I366" t="str">
            <v>CONSUL</v>
          </cell>
          <cell r="J366" t="str">
            <v>AD</v>
          </cell>
          <cell r="K366" t="str">
            <v>DAM envoyée pour consultation</v>
          </cell>
          <cell r="L366">
            <v>261</v>
          </cell>
          <cell r="M366">
            <v>39195</v>
          </cell>
          <cell r="N366" t="str">
            <v>DAM-71/07</v>
          </cell>
          <cell r="O366">
            <v>6455</v>
          </cell>
          <cell r="S366" t="str">
            <v>JERRAR</v>
          </cell>
          <cell r="T366" t="str">
            <v>R2</v>
          </cell>
          <cell r="U366" t="str">
            <v>ORD</v>
          </cell>
          <cell r="V366" t="str">
            <v>DN</v>
          </cell>
          <cell r="W366" t="str">
            <v>T</v>
          </cell>
          <cell r="X366" t="str">
            <v>R</v>
          </cell>
        </row>
        <row r="367">
          <cell r="B367">
            <v>3145</v>
          </cell>
          <cell r="C367" t="str">
            <v>02 Echelles simple et double</v>
          </cell>
          <cell r="I367" t="str">
            <v>CONSUL</v>
          </cell>
          <cell r="J367" t="str">
            <v>AD</v>
          </cell>
          <cell r="K367" t="str">
            <v>DAM envoyée pour consultation</v>
          </cell>
          <cell r="L367">
            <v>260</v>
          </cell>
          <cell r="M367">
            <v>39195</v>
          </cell>
          <cell r="N367" t="str">
            <v>DAM-72/07</v>
          </cell>
          <cell r="O367">
            <v>6499</v>
          </cell>
          <cell r="S367" t="str">
            <v>JERRAR</v>
          </cell>
          <cell r="T367" t="str">
            <v>R2</v>
          </cell>
          <cell r="U367" t="str">
            <v>ORD</v>
          </cell>
          <cell r="V367" t="str">
            <v>DN</v>
          </cell>
          <cell r="W367" t="str">
            <v>T</v>
          </cell>
          <cell r="X367" t="str">
            <v>R</v>
          </cell>
        </row>
        <row r="368">
          <cell r="B368">
            <v>3146</v>
          </cell>
          <cell r="C368" t="str">
            <v>RENOUVELLEMENT DE 11 REDUCTEURS A PMK/TB</v>
          </cell>
          <cell r="D368">
            <v>0</v>
          </cell>
          <cell r="E368">
            <v>4800000</v>
          </cell>
          <cell r="F368">
            <v>0</v>
          </cell>
          <cell r="G368">
            <v>0</v>
          </cell>
          <cell r="I368" t="str">
            <v>CONSUL</v>
          </cell>
          <cell r="J368" t="str">
            <v>CP</v>
          </cell>
          <cell r="K368" t="str">
            <v>DAM retourné, calandier non respecter</v>
          </cell>
          <cell r="L368" t="str">
            <v>07/82/AA</v>
          </cell>
          <cell r="M368" t="str">
            <v xml:space="preserve"> </v>
          </cell>
          <cell r="N368" t="str">
            <v>DAM-62/06-182-6</v>
          </cell>
          <cell r="P368" t="str">
            <v>DP-62173/05</v>
          </cell>
          <cell r="S368" t="str">
            <v>JERRAR</v>
          </cell>
          <cell r="T368" t="str">
            <v>R2</v>
          </cell>
          <cell r="U368" t="str">
            <v>ORD</v>
          </cell>
          <cell r="V368" t="str">
            <v>RN</v>
          </cell>
          <cell r="W368" t="str">
            <v>T</v>
          </cell>
          <cell r="X368" t="str">
            <v>R</v>
          </cell>
        </row>
        <row r="369">
          <cell r="B369">
            <v>3146</v>
          </cell>
          <cell r="C369" t="str">
            <v>02 Reducteurs</v>
          </cell>
          <cell r="I369" t="str">
            <v>CONSUL</v>
          </cell>
          <cell r="J369" t="str">
            <v>PLM</v>
          </cell>
          <cell r="K369" t="str">
            <v>DAM envoyée pour consultation</v>
          </cell>
          <cell r="L369">
            <v>401</v>
          </cell>
          <cell r="M369">
            <v>39357</v>
          </cell>
          <cell r="N369" t="str">
            <v>DAM-182/6</v>
          </cell>
          <cell r="O369">
            <v>2154</v>
          </cell>
          <cell r="S369" t="str">
            <v>JERRAR</v>
          </cell>
          <cell r="T369" t="str">
            <v>R2</v>
          </cell>
          <cell r="U369" t="str">
            <v>ORD</v>
          </cell>
          <cell r="V369" t="str">
            <v>RN</v>
          </cell>
          <cell r="W369" t="str">
            <v>T</v>
          </cell>
          <cell r="X369" t="str">
            <v>R</v>
          </cell>
        </row>
        <row r="370">
          <cell r="B370">
            <v>3147</v>
          </cell>
          <cell r="C370" t="str">
            <v xml:space="preserve">AMENAGEMENT DES LOCAUX ET BLOCS SANITAIRES </v>
          </cell>
          <cell r="D370">
            <v>2225078</v>
          </cell>
          <cell r="E370">
            <v>2500000</v>
          </cell>
          <cell r="F370">
            <v>0</v>
          </cell>
          <cell r="G370">
            <v>0</v>
          </cell>
          <cell r="I370" t="str">
            <v>DAC</v>
          </cell>
          <cell r="J370" t="str">
            <v xml:space="preserve">CP </v>
          </cell>
          <cell r="K370" t="str">
            <v xml:space="preserve">DAC  approuvée par le DG
</v>
          </cell>
          <cell r="M370" t="str">
            <v xml:space="preserve">29/09/2006
</v>
          </cell>
          <cell r="N370" t="str">
            <v>DPM-4513</v>
          </cell>
          <cell r="S370" t="str">
            <v>BOUZIAN</v>
          </cell>
          <cell r="T370" t="str">
            <v>R7</v>
          </cell>
          <cell r="U370" t="str">
            <v>ORD</v>
          </cell>
          <cell r="V370" t="str">
            <v>DN</v>
          </cell>
          <cell r="W370" t="str">
            <v>T</v>
          </cell>
          <cell r="X370" t="str">
            <v>R</v>
          </cell>
        </row>
        <row r="371">
          <cell r="B371">
            <v>3147</v>
          </cell>
          <cell r="C371" t="str">
            <v>lot n °2 =  Extention de bureau pour le service régulation</v>
          </cell>
          <cell r="K371" t="str">
            <v>AE N°-3147-2 DE 1348696,38</v>
          </cell>
          <cell r="M371">
            <v>39007</v>
          </cell>
          <cell r="N371" t="str">
            <v>DPM-4512/06</v>
          </cell>
          <cell r="P371" t="str">
            <v>AO-407K/05</v>
          </cell>
          <cell r="S371" t="str">
            <v>BOUZIAN</v>
          </cell>
          <cell r="T371" t="str">
            <v>R7</v>
          </cell>
          <cell r="U371" t="str">
            <v>ORD</v>
          </cell>
          <cell r="V371" t="str">
            <v>DN</v>
          </cell>
          <cell r="W371" t="str">
            <v>T</v>
          </cell>
          <cell r="X371" t="str">
            <v>R</v>
          </cell>
        </row>
        <row r="372">
          <cell r="B372">
            <v>3147</v>
          </cell>
          <cell r="C372" t="str">
            <v>TRAVAUX D'AMENAGEMENT D'UN BLOC SANITAIRE PUOR LE COMPTE DU PERSONNEL DE L'ATELIERMECANIQUE A BI</v>
          </cell>
          <cell r="I372" t="str">
            <v>CHC</v>
          </cell>
          <cell r="J372" t="str">
            <v>CP</v>
          </cell>
          <cell r="K372" t="str">
            <v>Dossier de choix complet retourné au CP; suite a nous remarque</v>
          </cell>
          <cell r="L372">
            <v>314</v>
          </cell>
          <cell r="M372">
            <v>39210</v>
          </cell>
          <cell r="N372" t="str">
            <v>DPM-4165</v>
          </cell>
          <cell r="P372" t="str">
            <v>AO-339K/05</v>
          </cell>
          <cell r="S372" t="str">
            <v>BOUZIAN</v>
          </cell>
          <cell r="T372" t="str">
            <v>R7</v>
          </cell>
          <cell r="U372" t="str">
            <v>ORD</v>
          </cell>
          <cell r="V372" t="str">
            <v>DN</v>
          </cell>
          <cell r="W372" t="str">
            <v>T</v>
          </cell>
          <cell r="X372" t="str">
            <v>R</v>
          </cell>
        </row>
        <row r="373">
          <cell r="B373">
            <v>3147</v>
          </cell>
          <cell r="C373" t="str">
            <v>lot n °1 = construction d'un local de stockage des produits de vulcanisation  MT= 250 000 dh</v>
          </cell>
          <cell r="K373" t="str">
            <v>AE N°-3147-1 DE 228894,9</v>
          </cell>
          <cell r="M373">
            <v>39007</v>
          </cell>
          <cell r="N373" t="str">
            <v>DPM-4511</v>
          </cell>
          <cell r="S373" t="str">
            <v>BOUZIAN</v>
          </cell>
          <cell r="T373" t="str">
            <v>R7</v>
          </cell>
          <cell r="U373" t="str">
            <v>ORD</v>
          </cell>
          <cell r="V373" t="str">
            <v>DN</v>
          </cell>
          <cell r="W373" t="str">
            <v>T</v>
          </cell>
          <cell r="X373" t="str">
            <v>R</v>
          </cell>
        </row>
        <row r="374">
          <cell r="B374">
            <v>3147</v>
          </cell>
          <cell r="C374" t="str">
            <v>Fourniture et installation d'une barrière mécanisée à deux barres à PMK/TB</v>
          </cell>
          <cell r="I374" t="str">
            <v>AT.AE</v>
          </cell>
          <cell r="J374" t="str">
            <v>PFF/CI</v>
          </cell>
          <cell r="K374" t="str">
            <v>DAE N°-3147-4 DE 38304,00</v>
          </cell>
          <cell r="L374">
            <v>115</v>
          </cell>
          <cell r="M374">
            <v>39149</v>
          </cell>
          <cell r="P374" t="str">
            <v>AO DKM-1075/MO/61/6</v>
          </cell>
          <cell r="S374" t="str">
            <v>BOUZIAN</v>
          </cell>
          <cell r="T374" t="str">
            <v>R7</v>
          </cell>
          <cell r="U374" t="str">
            <v>ORD</v>
          </cell>
          <cell r="V374" t="str">
            <v>DN</v>
          </cell>
          <cell r="W374" t="str">
            <v>T</v>
          </cell>
          <cell r="X374" t="str">
            <v>R</v>
          </cell>
        </row>
        <row r="375">
          <cell r="B375">
            <v>3147</v>
          </cell>
          <cell r="C375" t="str">
            <v>Aménagement de la salle de contrôle a BI</v>
          </cell>
          <cell r="H375">
            <v>47184.6</v>
          </cell>
          <cell r="I375" t="str">
            <v>ENG</v>
          </cell>
          <cell r="J375" t="str">
            <v>CP</v>
          </cell>
          <cell r="K375" t="str">
            <v>AE N°IV-3147_3 complement de 47 184,60 dh</v>
          </cell>
          <cell r="L375" t="str">
            <v>PFF - 593</v>
          </cell>
          <cell r="M375">
            <v>39324</v>
          </cell>
          <cell r="S375" t="str">
            <v>BOUZIAN</v>
          </cell>
          <cell r="T375" t="str">
            <v>R7</v>
          </cell>
          <cell r="U375" t="str">
            <v>ORD</v>
          </cell>
          <cell r="V375" t="str">
            <v>DN</v>
          </cell>
          <cell r="W375" t="str">
            <v>T</v>
          </cell>
          <cell r="X375" t="str">
            <v>R</v>
          </cell>
        </row>
        <row r="376">
          <cell r="B376">
            <v>3148</v>
          </cell>
          <cell r="C376" t="str">
            <v>ACHAT D'UN POSTE DE COUPAGE PLASMA POUR L'ATELIER MECANIQUE DE L'ENRICHISSEMENT A SEC DE BENI IDIR</v>
          </cell>
          <cell r="D376">
            <v>100000</v>
          </cell>
          <cell r="E376">
            <v>100000</v>
          </cell>
          <cell r="F376">
            <v>0</v>
          </cell>
          <cell r="G376">
            <v>0</v>
          </cell>
          <cell r="K376" t="str">
            <v>AE N°IV-3148-1</v>
          </cell>
          <cell r="L376">
            <v>482</v>
          </cell>
          <cell r="M376">
            <v>38953</v>
          </cell>
          <cell r="N376" t="str">
            <v>DAM-107/05</v>
          </cell>
          <cell r="P376" t="str">
            <v>DP-45188/06</v>
          </cell>
          <cell r="S376" t="str">
            <v>JERRAR</v>
          </cell>
          <cell r="T376" t="str">
            <v>R2</v>
          </cell>
          <cell r="U376" t="str">
            <v>ORD</v>
          </cell>
          <cell r="V376" t="str">
            <v>DN</v>
          </cell>
          <cell r="W376" t="str">
            <v>T</v>
          </cell>
          <cell r="X376" t="str">
            <v>R</v>
          </cell>
        </row>
        <row r="377">
          <cell r="B377">
            <v>3150</v>
          </cell>
          <cell r="C377" t="str">
            <v>ACQUISITION DE QUATRE RADIATEURS DE CHAUFFAGE A BAIN D'HUILE</v>
          </cell>
          <cell r="D377">
            <v>20000</v>
          </cell>
          <cell r="E377">
            <v>20000</v>
          </cell>
          <cell r="F377">
            <v>0</v>
          </cell>
          <cell r="G377">
            <v>0</v>
          </cell>
          <cell r="I377" t="str">
            <v>CONSUL</v>
          </cell>
          <cell r="J377" t="str">
            <v>AD</v>
          </cell>
          <cell r="K377" t="str">
            <v>DAM envoyée pour consultation</v>
          </cell>
          <cell r="L377" t="str">
            <v>LG-49</v>
          </cell>
          <cell r="M377">
            <v>38936</v>
          </cell>
          <cell r="N377" t="str">
            <v>DAM-01/06</v>
          </cell>
          <cell r="S377" t="str">
            <v>EL M'HAMDI</v>
          </cell>
          <cell r="T377" t="str">
            <v>R6</v>
          </cell>
          <cell r="U377" t="str">
            <v>ADM</v>
          </cell>
          <cell r="V377" t="str">
            <v>DN</v>
          </cell>
          <cell r="W377" t="str">
            <v>L</v>
          </cell>
          <cell r="X377" t="str">
            <v>R</v>
          </cell>
        </row>
        <row r="378">
          <cell r="B378">
            <v>3152</v>
          </cell>
          <cell r="C378" t="str">
            <v>ACQUISITION DE 35 BANCS POUR LES FOYERS DE JEUNES DE LA ZONE DE KHOURIBGA</v>
          </cell>
          <cell r="D378">
            <v>49500</v>
          </cell>
          <cell r="E378">
            <v>49500</v>
          </cell>
          <cell r="F378">
            <v>0</v>
          </cell>
          <cell r="G378">
            <v>0</v>
          </cell>
          <cell r="I378" t="str">
            <v>CHT</v>
          </cell>
          <cell r="J378" t="str">
            <v>AD</v>
          </cell>
          <cell r="K378" t="str">
            <v>Choix  envoyé</v>
          </cell>
          <cell r="L378">
            <v>584</v>
          </cell>
          <cell r="M378">
            <v>39034</v>
          </cell>
          <cell r="N378" t="str">
            <v>DAM-14/06</v>
          </cell>
          <cell r="P378" t="str">
            <v>DKI-1371E6075</v>
          </cell>
          <cell r="S378" t="str">
            <v>DERDAKI</v>
          </cell>
          <cell r="T378" t="str">
            <v>R6</v>
          </cell>
          <cell r="U378" t="str">
            <v>SOC</v>
          </cell>
          <cell r="V378" t="str">
            <v>DN</v>
          </cell>
          <cell r="W378" t="str">
            <v>AK</v>
          </cell>
          <cell r="X378" t="str">
            <v>R</v>
          </cell>
        </row>
        <row r="379">
          <cell r="B379">
            <v>3155</v>
          </cell>
          <cell r="C379" t="str">
            <v>IMPLANTATION D'UN CARREAU DE DESTOCKAGE A SIDI CHENNANE</v>
          </cell>
          <cell r="D379">
            <v>40000000</v>
          </cell>
          <cell r="E379">
            <v>120000000</v>
          </cell>
          <cell r="F379">
            <v>30000000</v>
          </cell>
          <cell r="G379">
            <v>0</v>
          </cell>
          <cell r="I379" t="str">
            <v>DAC</v>
          </cell>
          <cell r="J379" t="str">
            <v>CP</v>
          </cell>
          <cell r="K379" t="str">
            <v>DAL &amp; DAC approvées par M le DG - AE de 3MDH</v>
          </cell>
          <cell r="M379">
            <v>39106</v>
          </cell>
          <cell r="N379" t="str">
            <v>DAM-106,107,108 &amp; 109</v>
          </cell>
          <cell r="S379" t="str">
            <v>BOUALAM</v>
          </cell>
          <cell r="T379" t="str">
            <v>R1</v>
          </cell>
          <cell r="U379" t="str">
            <v>IMP</v>
          </cell>
          <cell r="V379" t="str">
            <v>DN</v>
          </cell>
          <cell r="W379" t="str">
            <v>L</v>
          </cell>
          <cell r="X379" t="str">
            <v>R</v>
          </cell>
        </row>
        <row r="380">
          <cell r="B380">
            <v>3158</v>
          </cell>
          <cell r="C380" t="str">
            <v>RENOUVELLEMENT DE MATERIEL DE FROID ET DE CLIMATISATION</v>
          </cell>
          <cell r="D380">
            <v>196000</v>
          </cell>
          <cell r="E380">
            <v>196000</v>
          </cell>
          <cell r="F380">
            <v>0</v>
          </cell>
          <cell r="G380">
            <v>0</v>
          </cell>
          <cell r="I380" t="str">
            <v>CONSUL- AVIS</v>
          </cell>
          <cell r="J380" t="str">
            <v>AD - PFF</v>
          </cell>
          <cell r="K380" t="str">
            <v>DAM envoyée pour consultation Avis sur le montant (Message du 16/10/2007 de rappel)</v>
          </cell>
          <cell r="L380" t="str">
            <v>278
365-392</v>
          </cell>
          <cell r="M380" t="str">
            <v>03/07/2007
7-26/7/2006</v>
          </cell>
          <cell r="N380" t="str">
            <v>DAM-6039-6046/06</v>
          </cell>
          <cell r="S380" t="str">
            <v>CHARKI</v>
          </cell>
          <cell r="T380" t="str">
            <v>R6</v>
          </cell>
          <cell r="U380" t="str">
            <v>ADM</v>
          </cell>
          <cell r="V380" t="str">
            <v>RN</v>
          </cell>
          <cell r="W380" t="str">
            <v>P</v>
          </cell>
          <cell r="X380" t="str">
            <v>R</v>
          </cell>
        </row>
        <row r="381">
          <cell r="B381">
            <v>3159</v>
          </cell>
          <cell r="C381" t="str">
            <v>ACHAT DE MATÉRIEL DE SÉCURITÉ</v>
          </cell>
          <cell r="D381">
            <v>68000</v>
          </cell>
          <cell r="E381">
            <v>68000</v>
          </cell>
          <cell r="F381">
            <v>0</v>
          </cell>
          <cell r="G381">
            <v>0</v>
          </cell>
          <cell r="I381" t="str">
            <v>CONSUL</v>
          </cell>
          <cell r="J381" t="str">
            <v>AD</v>
          </cell>
          <cell r="K381" t="str">
            <v>DAM envoyée pour consultation</v>
          </cell>
          <cell r="L381">
            <v>12</v>
          </cell>
          <cell r="M381">
            <v>39106</v>
          </cell>
          <cell r="N381" t="str">
            <v>DAM-6039/06</v>
          </cell>
          <cell r="S381" t="str">
            <v>CHEHTANE</v>
          </cell>
          <cell r="T381" t="str">
            <v>R7</v>
          </cell>
          <cell r="U381" t="str">
            <v>ORD</v>
          </cell>
          <cell r="V381" t="str">
            <v>DN</v>
          </cell>
          <cell r="W381" t="str">
            <v>P</v>
          </cell>
          <cell r="X381" t="str">
            <v>R</v>
          </cell>
        </row>
        <row r="382">
          <cell r="B382">
            <v>3160</v>
          </cell>
          <cell r="C382" t="str">
            <v>RENOUVELLEMENT DE MOBILIER DE BUREAU</v>
          </cell>
          <cell r="D382">
            <v>269000</v>
          </cell>
          <cell r="E382">
            <v>269000</v>
          </cell>
          <cell r="F382">
            <v>0</v>
          </cell>
          <cell r="G382">
            <v>0</v>
          </cell>
          <cell r="I382" t="str">
            <v>CONSUL</v>
          </cell>
          <cell r="J382" t="str">
            <v>AD</v>
          </cell>
          <cell r="K382" t="str">
            <v>DAM envoyée pour consultation</v>
          </cell>
          <cell r="L382">
            <v>268</v>
          </cell>
          <cell r="M382">
            <v>39198</v>
          </cell>
          <cell r="N382" t="str">
            <v>DAM-6073/06</v>
          </cell>
          <cell r="O382">
            <v>6379</v>
          </cell>
          <cell r="S382" t="str">
            <v>CHARKI</v>
          </cell>
          <cell r="T382" t="str">
            <v>R6</v>
          </cell>
          <cell r="U382" t="str">
            <v>ORD</v>
          </cell>
          <cell r="V382" t="str">
            <v>DN</v>
          </cell>
          <cell r="W382" t="str">
            <v>P</v>
          </cell>
          <cell r="X382" t="str">
            <v>R</v>
          </cell>
        </row>
        <row r="383">
          <cell r="B383">
            <v>3161</v>
          </cell>
          <cell r="C383" t="str">
            <v>ACHAT DE MATERIEL DE FROID, CLIMATISATION ET CHAUFFAGE</v>
          </cell>
          <cell r="D383">
            <v>368800</v>
          </cell>
          <cell r="E383">
            <v>368800</v>
          </cell>
          <cell r="F383">
            <v>0</v>
          </cell>
          <cell r="G383">
            <v>0</v>
          </cell>
          <cell r="I383" t="str">
            <v>CONSUL</v>
          </cell>
          <cell r="J383" t="str">
            <v>AD</v>
          </cell>
          <cell r="K383" t="str">
            <v>DAM envoyée pour consultation</v>
          </cell>
          <cell r="L383" t="str">
            <v>365-392</v>
          </cell>
          <cell r="M383" t="str">
            <v>7-26/7/2006</v>
          </cell>
          <cell r="N383" t="str">
            <v>DAM-6039-6046/06</v>
          </cell>
          <cell r="S383" t="str">
            <v>CHARKI</v>
          </cell>
          <cell r="T383" t="str">
            <v>R6</v>
          </cell>
          <cell r="U383" t="str">
            <v>ADM</v>
          </cell>
          <cell r="V383" t="str">
            <v>DN</v>
          </cell>
          <cell r="W383" t="str">
            <v>P</v>
          </cell>
          <cell r="X383" t="str">
            <v>R</v>
          </cell>
        </row>
        <row r="384">
          <cell r="B384">
            <v>3162</v>
          </cell>
          <cell r="C384" t="str">
            <v>FORNITURE ET INSTALLATION DE RAYONNAGE</v>
          </cell>
          <cell r="D384">
            <v>500000</v>
          </cell>
          <cell r="E384">
            <v>500000</v>
          </cell>
          <cell r="F384">
            <v>0</v>
          </cell>
          <cell r="G384">
            <v>0</v>
          </cell>
          <cell r="I384" t="str">
            <v>CONSUL</v>
          </cell>
          <cell r="J384" t="str">
            <v>AD</v>
          </cell>
          <cell r="K384" t="str">
            <v>DAM envoyée pour consultation</v>
          </cell>
          <cell r="L384">
            <v>277</v>
          </cell>
          <cell r="M384">
            <v>38869</v>
          </cell>
          <cell r="N384" t="str">
            <v>DAM-06/06</v>
          </cell>
          <cell r="S384" t="str">
            <v>CHARKI</v>
          </cell>
          <cell r="T384" t="str">
            <v>R2</v>
          </cell>
          <cell r="U384" t="str">
            <v>ORD</v>
          </cell>
          <cell r="V384" t="str">
            <v>DN</v>
          </cell>
          <cell r="W384" t="str">
            <v>P</v>
          </cell>
          <cell r="X384" t="str">
            <v>R</v>
          </cell>
        </row>
        <row r="385">
          <cell r="B385">
            <v>3163</v>
          </cell>
          <cell r="C385" t="str">
            <v>BANC D'ESSAI HYDRAULIQUE POUR POMPES DE GASOIL</v>
          </cell>
          <cell r="D385">
            <v>0</v>
          </cell>
          <cell r="E385">
            <v>1500000</v>
          </cell>
          <cell r="F385">
            <v>0</v>
          </cell>
          <cell r="G385">
            <v>0</v>
          </cell>
          <cell r="I385" t="str">
            <v>CT</v>
          </cell>
          <cell r="J385" t="str">
            <v>DAC/TM</v>
          </cell>
          <cell r="K385" t="str">
            <v>DAM envoyée à DAC pour CT</v>
          </cell>
          <cell r="L385">
            <v>233</v>
          </cell>
          <cell r="M385">
            <v>39238</v>
          </cell>
          <cell r="N385" t="str">
            <v>DAM-6041/06</v>
          </cell>
          <cell r="S385" t="str">
            <v>KHOUILI</v>
          </cell>
          <cell r="T385" t="str">
            <v>R2</v>
          </cell>
          <cell r="U385" t="str">
            <v>ORD</v>
          </cell>
          <cell r="V385" t="str">
            <v>DN</v>
          </cell>
          <cell r="W385" t="str">
            <v>P</v>
          </cell>
          <cell r="X385" t="str">
            <v>R</v>
          </cell>
        </row>
        <row r="386">
          <cell r="B386">
            <v>3164</v>
          </cell>
          <cell r="C386" t="str">
            <v>ACHAT D'OUTILLAGE D'ATELIER</v>
          </cell>
          <cell r="D386">
            <v>361000</v>
          </cell>
          <cell r="E386">
            <v>361000</v>
          </cell>
          <cell r="F386">
            <v>0</v>
          </cell>
          <cell r="G386">
            <v>0</v>
          </cell>
          <cell r="S386" t="str">
            <v>BOUTBHIRT</v>
          </cell>
          <cell r="T386" t="str">
            <v>R2</v>
          </cell>
          <cell r="U386" t="str">
            <v>ORD</v>
          </cell>
          <cell r="V386" t="str">
            <v>DN</v>
          </cell>
          <cell r="W386" t="str">
            <v>P</v>
          </cell>
          <cell r="X386" t="str">
            <v>R</v>
          </cell>
        </row>
        <row r="387">
          <cell r="B387">
            <v>3164</v>
          </cell>
          <cell r="C387" t="str">
            <v>13 Caisses d'outillage, 1 multiplicateur de couple, 1 jeu de micromètre, 2 pieds à coulisse et 3 extracteurs</v>
          </cell>
          <cell r="I387" t="str">
            <v>CONSUL</v>
          </cell>
          <cell r="J387" t="str">
            <v>AD</v>
          </cell>
          <cell r="K387" t="str">
            <v>DAM pour consultation</v>
          </cell>
          <cell r="L387">
            <v>360</v>
          </cell>
          <cell r="M387">
            <v>38904</v>
          </cell>
          <cell r="N387" t="str">
            <v>DAM-6002</v>
          </cell>
          <cell r="S387" t="str">
            <v>MAGHRAOUI</v>
          </cell>
          <cell r="T387" t="str">
            <v>R2</v>
          </cell>
          <cell r="U387" t="str">
            <v>ORD</v>
          </cell>
          <cell r="V387" t="str">
            <v>DN</v>
          </cell>
          <cell r="W387" t="str">
            <v>P</v>
          </cell>
          <cell r="X387" t="str">
            <v>R</v>
          </cell>
        </row>
        <row r="388">
          <cell r="B388">
            <v>3164</v>
          </cell>
          <cell r="C388" t="str">
            <v>01 Fraiseuse portative à mica</v>
          </cell>
          <cell r="I388" t="str">
            <v>CONSUL</v>
          </cell>
          <cell r="J388" t="str">
            <v>AD</v>
          </cell>
          <cell r="K388" t="str">
            <v>DAM pour consultation</v>
          </cell>
          <cell r="L388">
            <v>145</v>
          </cell>
          <cell r="M388">
            <v>39128</v>
          </cell>
          <cell r="N388" t="str">
            <v>DAM-6090</v>
          </cell>
          <cell r="O388">
            <v>5448</v>
          </cell>
          <cell r="S388" t="str">
            <v>MAGHRAOUI</v>
          </cell>
          <cell r="T388" t="str">
            <v>R2</v>
          </cell>
          <cell r="U388" t="str">
            <v>ORD</v>
          </cell>
          <cell r="V388" t="str">
            <v>DN</v>
          </cell>
          <cell r="W388" t="str">
            <v>P</v>
          </cell>
          <cell r="X388" t="str">
            <v>R</v>
          </cell>
        </row>
        <row r="389">
          <cell r="B389">
            <v>3164</v>
          </cell>
          <cell r="C389" t="str">
            <v>01 Comparateur numérique capacité 0 - 12,5 mm</v>
          </cell>
          <cell r="I389" t="str">
            <v>CONSUL</v>
          </cell>
          <cell r="J389" t="str">
            <v>AD</v>
          </cell>
          <cell r="K389" t="str">
            <v>DAM pour consultation</v>
          </cell>
          <cell r="L389">
            <v>101</v>
          </cell>
          <cell r="M389">
            <v>39141</v>
          </cell>
          <cell r="N389" t="str">
            <v>DAM-6091</v>
          </cell>
          <cell r="O389">
            <v>5339</v>
          </cell>
          <cell r="S389" t="str">
            <v>MAGHRAOUI</v>
          </cell>
          <cell r="T389" t="str">
            <v>R2</v>
          </cell>
          <cell r="U389" t="str">
            <v>ORD</v>
          </cell>
          <cell r="V389" t="str">
            <v>DN</v>
          </cell>
          <cell r="W389" t="str">
            <v>P</v>
          </cell>
          <cell r="X389" t="str">
            <v>R</v>
          </cell>
        </row>
        <row r="390">
          <cell r="B390">
            <v>3164</v>
          </cell>
          <cell r="C390" t="str">
            <v>05 Multimétres à affichage digital, 01 mesureur d'isolement</v>
          </cell>
          <cell r="I390" t="str">
            <v>CONSUL</v>
          </cell>
          <cell r="J390" t="str">
            <v>AD</v>
          </cell>
          <cell r="K390" t="str">
            <v>DAM pour consultation</v>
          </cell>
          <cell r="L390">
            <v>146</v>
          </cell>
          <cell r="M390">
            <v>39128</v>
          </cell>
          <cell r="N390" t="str">
            <v>DAM-6018</v>
          </cell>
          <cell r="O390">
            <v>5417</v>
          </cell>
          <cell r="S390" t="str">
            <v>MAGHRAOUI</v>
          </cell>
          <cell r="T390" t="str">
            <v>R2</v>
          </cell>
          <cell r="U390" t="str">
            <v>ORD</v>
          </cell>
          <cell r="V390" t="str">
            <v>DN</v>
          </cell>
          <cell r="W390" t="str">
            <v>P</v>
          </cell>
          <cell r="X390" t="str">
            <v>R</v>
          </cell>
        </row>
        <row r="391">
          <cell r="B391">
            <v>3165</v>
          </cell>
          <cell r="C391" t="str">
            <v>ACHAT DE PONTS ROULANTS EQUIPES DE PALANS</v>
          </cell>
          <cell r="D391">
            <v>1800000</v>
          </cell>
          <cell r="E391">
            <v>1800000</v>
          </cell>
          <cell r="F391">
            <v>0</v>
          </cell>
          <cell r="G391">
            <v>0</v>
          </cell>
          <cell r="I391" t="str">
            <v>CHT</v>
          </cell>
          <cell r="J391" t="str">
            <v>CP</v>
          </cell>
          <cell r="K391" t="str">
            <v>CHT en retour suite aux remarques du CT</v>
          </cell>
          <cell r="L391">
            <v>555</v>
          </cell>
          <cell r="M391">
            <v>39365</v>
          </cell>
          <cell r="N391" t="str">
            <v>DAM-6066</v>
          </cell>
          <cell r="O391">
            <v>974</v>
          </cell>
          <cell r="P391" t="str">
            <v>DP CAE 807E6453/06</v>
          </cell>
          <cell r="S391" t="str">
            <v>KHOUILI</v>
          </cell>
          <cell r="T391" t="str">
            <v>R2</v>
          </cell>
          <cell r="U391" t="str">
            <v>ORD</v>
          </cell>
          <cell r="V391" t="str">
            <v>DN</v>
          </cell>
          <cell r="W391" t="str">
            <v>P</v>
          </cell>
          <cell r="X391" t="str">
            <v>R</v>
          </cell>
        </row>
        <row r="392">
          <cell r="B392">
            <v>3166</v>
          </cell>
          <cell r="C392" t="str">
            <v>RENOUVELLEMENT D'UN BANC D'ESSAI HYDRAULIQUE</v>
          </cell>
          <cell r="D392">
            <v>0</v>
          </cell>
          <cell r="E392">
            <v>1500000</v>
          </cell>
          <cell r="F392">
            <v>0</v>
          </cell>
          <cell r="G392">
            <v>0</v>
          </cell>
          <cell r="I392" t="str">
            <v>CT</v>
          </cell>
          <cell r="J392" t="str">
            <v>DAC</v>
          </cell>
          <cell r="K392" t="str">
            <v>DAM en reponse aux remarques du CT</v>
          </cell>
          <cell r="L392">
            <v>428</v>
          </cell>
          <cell r="M392">
            <v>39373</v>
          </cell>
          <cell r="N392" t="str">
            <v>DAM-7067/07</v>
          </cell>
          <cell r="S392" t="str">
            <v>KHOUILI</v>
          </cell>
          <cell r="T392" t="str">
            <v>R2</v>
          </cell>
          <cell r="U392" t="str">
            <v>ORD</v>
          </cell>
          <cell r="V392" t="str">
            <v>RN</v>
          </cell>
          <cell r="W392" t="str">
            <v>P</v>
          </cell>
          <cell r="X392" t="str">
            <v>R</v>
          </cell>
        </row>
        <row r="393">
          <cell r="B393">
            <v>3167</v>
          </cell>
          <cell r="C393" t="str">
            <v>ACHAT D'UNE PERFORELIEUSE</v>
          </cell>
          <cell r="D393">
            <v>4000</v>
          </cell>
          <cell r="E393">
            <v>4000</v>
          </cell>
          <cell r="F393">
            <v>0</v>
          </cell>
          <cell r="G393">
            <v>0</v>
          </cell>
          <cell r="I393" t="str">
            <v>CONSUL</v>
          </cell>
          <cell r="J393" t="str">
            <v>AD</v>
          </cell>
          <cell r="K393" t="str">
            <v>DAM pour attribution transmis directement à AD</v>
          </cell>
          <cell r="L393">
            <v>85</v>
          </cell>
          <cell r="M393">
            <v>39210</v>
          </cell>
          <cell r="N393" t="str">
            <v>DAM-01/07</v>
          </cell>
          <cell r="O393">
            <v>6746</v>
          </cell>
          <cell r="S393" t="str">
            <v>EL BARAKA</v>
          </cell>
          <cell r="T393" t="str">
            <v>R6</v>
          </cell>
          <cell r="U393" t="str">
            <v>ADM</v>
          </cell>
          <cell r="V393" t="str">
            <v>DN</v>
          </cell>
          <cell r="W393" t="str">
            <v>L</v>
          </cell>
          <cell r="X393" t="str">
            <v>R</v>
          </cell>
        </row>
        <row r="394">
          <cell r="B394">
            <v>3168</v>
          </cell>
          <cell r="C394" t="str">
            <v>ACHAT DE 06 CLIMATISEURS</v>
          </cell>
          <cell r="D394">
            <v>45000</v>
          </cell>
          <cell r="E394">
            <v>45000</v>
          </cell>
          <cell r="F394">
            <v>0</v>
          </cell>
          <cell r="G394">
            <v>0</v>
          </cell>
          <cell r="I394" t="str">
            <v>CHC</v>
          </cell>
          <cell r="J394" t="str">
            <v>CP</v>
          </cell>
          <cell r="K394" t="str">
            <v>Nous transmettre le DAE dans les plus brefs délais
 Lettre n°235 du 27/09/2007 accorder par PMK  de 36 319,68 dh</v>
          </cell>
          <cell r="L394">
            <v>580</v>
          </cell>
          <cell r="M394">
            <v>39373</v>
          </cell>
          <cell r="N394" t="str">
            <v>DAM-04/06</v>
          </cell>
          <cell r="O394">
            <v>1512</v>
          </cell>
          <cell r="P394" t="str">
            <v>DKI-1368E6086/060</v>
          </cell>
          <cell r="S394" t="str">
            <v>ZAHRI</v>
          </cell>
          <cell r="T394" t="str">
            <v>R6</v>
          </cell>
          <cell r="U394" t="str">
            <v>ADM</v>
          </cell>
          <cell r="V394" t="str">
            <v>DN</v>
          </cell>
          <cell r="W394" t="str">
            <v>L</v>
          </cell>
          <cell r="X394" t="str">
            <v>R</v>
          </cell>
        </row>
        <row r="395">
          <cell r="B395">
            <v>3169</v>
          </cell>
          <cell r="C395" t="str">
            <v xml:space="preserve">RENOUVELLEMENT DE 10 APAREILS TELEPHONIQUES </v>
          </cell>
          <cell r="D395">
            <v>0</v>
          </cell>
          <cell r="E395">
            <v>10000</v>
          </cell>
          <cell r="F395">
            <v>0</v>
          </cell>
          <cell r="G395">
            <v>0</v>
          </cell>
          <cell r="K395" t="str">
            <v>DAE N°-3169-1 de 5124,00 dh</v>
          </cell>
          <cell r="L395">
            <v>665</v>
          </cell>
          <cell r="M395">
            <v>39058</v>
          </cell>
          <cell r="N395" t="str">
            <v>DAM-05/06</v>
          </cell>
          <cell r="P395" t="str">
            <v>DKI-1363e6370/6</v>
          </cell>
          <cell r="S395" t="str">
            <v>ZAHRI</v>
          </cell>
          <cell r="T395" t="str">
            <v>R6</v>
          </cell>
          <cell r="U395" t="str">
            <v>ADM</v>
          </cell>
          <cell r="V395" t="str">
            <v>RN</v>
          </cell>
          <cell r="W395" t="str">
            <v>L</v>
          </cell>
          <cell r="X395" t="str">
            <v>R</v>
          </cell>
        </row>
        <row r="396">
          <cell r="B396">
            <v>3170</v>
          </cell>
          <cell r="C396" t="str">
            <v>MATERIEL DIVERS A CARACTERE ADMINISTRATIF</v>
          </cell>
          <cell r="D396">
            <v>43000</v>
          </cell>
          <cell r="E396">
            <v>43000</v>
          </cell>
          <cell r="F396">
            <v>0</v>
          </cell>
          <cell r="G396">
            <v>0</v>
          </cell>
          <cell r="I396" t="str">
            <v>CONSUL</v>
          </cell>
          <cell r="J396" t="str">
            <v>AD</v>
          </cell>
          <cell r="K396" t="str">
            <v>DAM envoyée pour consultation</v>
          </cell>
          <cell r="L396">
            <v>309</v>
          </cell>
          <cell r="M396">
            <v>39209</v>
          </cell>
          <cell r="N396" t="str">
            <v>DAM-052/07</v>
          </cell>
          <cell r="S396" t="str">
            <v>MOUMEN</v>
          </cell>
          <cell r="T396" t="str">
            <v>R6</v>
          </cell>
          <cell r="U396" t="str">
            <v>ADM</v>
          </cell>
          <cell r="V396" t="str">
            <v>DN</v>
          </cell>
          <cell r="W396" t="str">
            <v>TC</v>
          </cell>
          <cell r="X396" t="str">
            <v>R</v>
          </cell>
        </row>
        <row r="397">
          <cell r="B397">
            <v>3171</v>
          </cell>
          <cell r="C397" t="str">
            <v>ACQUISITION DE 10 APPAREILS TELEPHONIQUES POUR LE SERVICE GEOLOGIE (EN RENOUVELLEMENT)</v>
          </cell>
          <cell r="D397">
            <v>12000</v>
          </cell>
          <cell r="E397">
            <v>12000</v>
          </cell>
          <cell r="F397">
            <v>0</v>
          </cell>
          <cell r="G397">
            <v>0</v>
          </cell>
          <cell r="I397" t="str">
            <v>CHC</v>
          </cell>
          <cell r="J397" t="str">
            <v>AD</v>
          </cell>
          <cell r="K397" t="str">
            <v>CHC pour attribution transmis à AD</v>
          </cell>
          <cell r="L397">
            <v>554</v>
          </cell>
          <cell r="M397">
            <v>39363</v>
          </cell>
          <cell r="N397" t="str">
            <v>DAM-01/07</v>
          </cell>
          <cell r="O397">
            <v>25490</v>
          </cell>
          <cell r="S397" t="str">
            <v>BOUYA</v>
          </cell>
          <cell r="T397" t="str">
            <v>R6</v>
          </cell>
          <cell r="U397" t="str">
            <v>ADM</v>
          </cell>
          <cell r="V397" t="str">
            <v>RN</v>
          </cell>
          <cell r="W397" t="str">
            <v>AK</v>
          </cell>
          <cell r="X397" t="str">
            <v>R</v>
          </cell>
        </row>
        <row r="398">
          <cell r="B398">
            <v>3172</v>
          </cell>
          <cell r="C398" t="str">
            <v>RENOUVELLEMENT  MOBILIER DE BUREAU</v>
          </cell>
          <cell r="D398">
            <v>64500</v>
          </cell>
          <cell r="E398">
            <v>64500</v>
          </cell>
          <cell r="F398">
            <v>0</v>
          </cell>
          <cell r="G398">
            <v>0</v>
          </cell>
          <cell r="S398" t="str">
            <v>ZAHRI</v>
          </cell>
          <cell r="T398" t="str">
            <v>R6</v>
          </cell>
          <cell r="U398" t="str">
            <v>ADM</v>
          </cell>
          <cell r="V398" t="str">
            <v>RN</v>
          </cell>
          <cell r="W398" t="str">
            <v>L</v>
          </cell>
          <cell r="X398" t="str">
            <v>R</v>
          </cell>
        </row>
        <row r="399">
          <cell r="B399">
            <v>3173</v>
          </cell>
          <cell r="C399" t="str">
            <v>MATERIEL DIVERS A CARACTERE ADMINISTRATIF</v>
          </cell>
          <cell r="D399">
            <v>203500</v>
          </cell>
          <cell r="E399">
            <v>203500</v>
          </cell>
          <cell r="F399">
            <v>0</v>
          </cell>
          <cell r="G399">
            <v>0</v>
          </cell>
          <cell r="I399" t="str">
            <v>CONSUL</v>
          </cell>
          <cell r="J399" t="str">
            <v>AD</v>
          </cell>
          <cell r="K399" t="str">
            <v>DAM envoyée pour consultation</v>
          </cell>
          <cell r="L399">
            <v>272</v>
          </cell>
          <cell r="M399">
            <v>39198</v>
          </cell>
          <cell r="N399" t="str">
            <v>DAM-053/07</v>
          </cell>
          <cell r="S399" t="str">
            <v>MOUMEN</v>
          </cell>
          <cell r="T399" t="str">
            <v>R6</v>
          </cell>
          <cell r="U399" t="str">
            <v>ADM</v>
          </cell>
          <cell r="V399" t="str">
            <v>DN</v>
          </cell>
          <cell r="W399" t="str">
            <v>TC</v>
          </cell>
          <cell r="X399" t="str">
            <v>R</v>
          </cell>
        </row>
        <row r="400">
          <cell r="B400">
            <v>3174</v>
          </cell>
          <cell r="C400" t="str">
            <v>RENOUVELLEMENT APPAREILS TÉLÉPHONIQUES</v>
          </cell>
          <cell r="D400">
            <v>6000</v>
          </cell>
          <cell r="E400">
            <v>6000</v>
          </cell>
          <cell r="F400">
            <v>0</v>
          </cell>
          <cell r="G400">
            <v>0</v>
          </cell>
          <cell r="K400" t="str">
            <v>AE N°-3174-1 DE 2049,6</v>
          </cell>
          <cell r="M400">
            <v>39127</v>
          </cell>
          <cell r="N400">
            <v>39111</v>
          </cell>
          <cell r="P400" t="str">
            <v>DP-DKI-1363E6370/060</v>
          </cell>
          <cell r="S400" t="str">
            <v>MAHSOUN</v>
          </cell>
          <cell r="T400" t="str">
            <v>R6</v>
          </cell>
          <cell r="U400" t="str">
            <v>ADM</v>
          </cell>
          <cell r="V400" t="str">
            <v>RN</v>
          </cell>
          <cell r="W400" t="str">
            <v>P</v>
          </cell>
          <cell r="X400" t="str">
            <v>R</v>
          </cell>
        </row>
        <row r="401">
          <cell r="B401">
            <v>3175</v>
          </cell>
          <cell r="C401" t="str">
            <v>MATERIEL DIVERS A CARACTERE ADMINISTRATIF</v>
          </cell>
          <cell r="D401">
            <v>194500</v>
          </cell>
          <cell r="E401">
            <v>194500</v>
          </cell>
          <cell r="F401">
            <v>0</v>
          </cell>
          <cell r="G401">
            <v>0</v>
          </cell>
          <cell r="I401" t="str">
            <v>CONSUL</v>
          </cell>
          <cell r="J401" t="str">
            <v>AD</v>
          </cell>
          <cell r="K401" t="str">
            <v>DAM envoyée pour consultation</v>
          </cell>
          <cell r="L401">
            <v>272</v>
          </cell>
          <cell r="M401">
            <v>39198</v>
          </cell>
          <cell r="N401" t="str">
            <v>DAM-054/07</v>
          </cell>
          <cell r="S401" t="str">
            <v>MOUMEN</v>
          </cell>
          <cell r="T401" t="str">
            <v>R6</v>
          </cell>
          <cell r="U401" t="str">
            <v>ADM</v>
          </cell>
          <cell r="V401" t="str">
            <v>DN</v>
          </cell>
          <cell r="W401" t="str">
            <v>TC</v>
          </cell>
          <cell r="X401" t="str">
            <v>R</v>
          </cell>
        </row>
        <row r="402">
          <cell r="B402">
            <v>3176</v>
          </cell>
          <cell r="C402" t="str">
            <v>MATERIEL DIVERS A CARACTERE ADMINISTRATIF</v>
          </cell>
          <cell r="D402">
            <v>129000</v>
          </cell>
          <cell r="E402">
            <v>129000</v>
          </cell>
          <cell r="F402">
            <v>0</v>
          </cell>
          <cell r="G402">
            <v>0</v>
          </cell>
          <cell r="I402" t="str">
            <v>CONSUL</v>
          </cell>
          <cell r="J402" t="str">
            <v>AD</v>
          </cell>
          <cell r="K402" t="str">
            <v>DAM envoyée pour consultation</v>
          </cell>
          <cell r="L402">
            <v>336</v>
          </cell>
          <cell r="M402">
            <v>38896</v>
          </cell>
          <cell r="N402" t="str">
            <v>DAM-051/06</v>
          </cell>
          <cell r="S402" t="str">
            <v>MOUMEN</v>
          </cell>
          <cell r="T402" t="str">
            <v>R6</v>
          </cell>
          <cell r="U402" t="str">
            <v>ADM</v>
          </cell>
          <cell r="V402" t="str">
            <v>RN</v>
          </cell>
          <cell r="W402" t="str">
            <v>TC</v>
          </cell>
          <cell r="X402" t="str">
            <v>R</v>
          </cell>
        </row>
        <row r="403">
          <cell r="B403">
            <v>3177</v>
          </cell>
          <cell r="C403" t="str">
            <v>MTERIEL DIVERS A CARACTERE ADMINISTRATIF (1 coffre fort blindé)</v>
          </cell>
          <cell r="D403">
            <v>40000</v>
          </cell>
          <cell r="E403">
            <v>40000</v>
          </cell>
          <cell r="F403">
            <v>0</v>
          </cell>
          <cell r="G403">
            <v>0</v>
          </cell>
          <cell r="I403" t="str">
            <v>AT.AE</v>
          </cell>
          <cell r="J403" t="str">
            <v xml:space="preserve">PFF </v>
          </cell>
          <cell r="K403" t="str">
            <v>DAE N°-3177-1 de 53 760,00</v>
          </cell>
          <cell r="L403">
            <v>400</v>
          </cell>
          <cell r="M403">
            <v>39356</v>
          </cell>
          <cell r="N403" t="str">
            <v>DAM-52/06</v>
          </cell>
          <cell r="P403" t="str">
            <v>DKI-1812/6</v>
          </cell>
          <cell r="S403" t="str">
            <v>MOUMEN</v>
          </cell>
          <cell r="T403" t="str">
            <v>R6</v>
          </cell>
          <cell r="U403" t="str">
            <v>ADM</v>
          </cell>
          <cell r="V403" t="str">
            <v>RN</v>
          </cell>
          <cell r="W403" t="str">
            <v>TC</v>
          </cell>
          <cell r="X403" t="str">
            <v>R</v>
          </cell>
        </row>
        <row r="404">
          <cell r="B404">
            <v>3178</v>
          </cell>
          <cell r="C404" t="str">
            <v>MATERIEL DE VENTILATION ET REFROIDISSEMENT</v>
          </cell>
          <cell r="D404">
            <v>201000</v>
          </cell>
          <cell r="E404">
            <v>201000</v>
          </cell>
          <cell r="F404">
            <v>0</v>
          </cell>
          <cell r="G404">
            <v>0</v>
          </cell>
          <cell r="I404" t="str">
            <v>CONSUL</v>
          </cell>
          <cell r="J404" t="str">
            <v>AD</v>
          </cell>
          <cell r="K404" t="str">
            <v>DAM envoyée pour consultation</v>
          </cell>
          <cell r="L404" t="str">
            <v>411
AD-360</v>
          </cell>
          <cell r="M404" t="str">
            <v>27/06/2007
06/03/2007</v>
          </cell>
          <cell r="N404" t="str">
            <v>DAM - 57/07
DAM-19-21 &amp;22/06</v>
          </cell>
          <cell r="O404" t="str">
            <v>DA-3268</v>
          </cell>
          <cell r="S404" t="str">
            <v>MOUMEN</v>
          </cell>
          <cell r="T404" t="str">
            <v>R6</v>
          </cell>
          <cell r="U404" t="str">
            <v>ADM</v>
          </cell>
          <cell r="V404" t="str">
            <v>DN</v>
          </cell>
          <cell r="W404" t="str">
            <v>TC</v>
          </cell>
          <cell r="X404" t="str">
            <v>R</v>
          </cell>
        </row>
        <row r="405">
          <cell r="B405">
            <v>3179</v>
          </cell>
          <cell r="C405" t="str">
            <v>MATERIEL DE VENTILATION ET DE REFROIDISSEMENT</v>
          </cell>
          <cell r="D405">
            <v>48000</v>
          </cell>
          <cell r="E405">
            <v>48000</v>
          </cell>
          <cell r="F405">
            <v>0</v>
          </cell>
          <cell r="G405">
            <v>0</v>
          </cell>
          <cell r="I405" t="str">
            <v>CHC</v>
          </cell>
          <cell r="J405" t="str">
            <v>AD</v>
          </cell>
          <cell r="K405" t="str">
            <v>CHC envoyée pour consultation</v>
          </cell>
          <cell r="L405">
            <v>553</v>
          </cell>
          <cell r="M405">
            <v>39363</v>
          </cell>
          <cell r="N405" t="str">
            <v>DAM-44/06</v>
          </cell>
          <cell r="S405" t="str">
            <v>MOUMEN</v>
          </cell>
          <cell r="T405" t="str">
            <v>R6</v>
          </cell>
          <cell r="U405" t="str">
            <v>ADM</v>
          </cell>
          <cell r="V405" t="str">
            <v>DN</v>
          </cell>
          <cell r="W405" t="str">
            <v>TC</v>
          </cell>
          <cell r="X405" t="str">
            <v>R</v>
          </cell>
        </row>
        <row r="406">
          <cell r="B406">
            <v>3180</v>
          </cell>
          <cell r="C406" t="str">
            <v>MATERIEL DE VENTILATION ET REFROIDISSEMENT</v>
          </cell>
          <cell r="D406">
            <v>10000</v>
          </cell>
          <cell r="E406">
            <v>10000</v>
          </cell>
          <cell r="F406">
            <v>0</v>
          </cell>
          <cell r="G406">
            <v>0</v>
          </cell>
          <cell r="I406" t="str">
            <v>CONSUL</v>
          </cell>
          <cell r="J406" t="str">
            <v>AD</v>
          </cell>
          <cell r="K406" t="str">
            <v>DAM envoyée pour consultation</v>
          </cell>
          <cell r="L406">
            <v>309</v>
          </cell>
          <cell r="M406">
            <v>39209</v>
          </cell>
          <cell r="N406" t="str">
            <v>DAM-59/07</v>
          </cell>
          <cell r="S406" t="str">
            <v>MOUMEN</v>
          </cell>
          <cell r="T406" t="str">
            <v>R6</v>
          </cell>
          <cell r="U406" t="str">
            <v>ADM</v>
          </cell>
          <cell r="V406" t="str">
            <v>RN</v>
          </cell>
          <cell r="W406" t="str">
            <v>TC</v>
          </cell>
          <cell r="X406" t="str">
            <v>R</v>
          </cell>
        </row>
        <row r="407">
          <cell r="B407">
            <v>3181</v>
          </cell>
          <cell r="C407" t="str">
            <v>FOURNITURE ET INSTALLATION DE CAMÉRAS</v>
          </cell>
          <cell r="D407">
            <v>220000</v>
          </cell>
          <cell r="E407">
            <v>220000</v>
          </cell>
          <cell r="F407">
            <v>0</v>
          </cell>
          <cell r="G407">
            <v>0</v>
          </cell>
          <cell r="I407" t="str">
            <v>CONSUL</v>
          </cell>
          <cell r="J407" t="str">
            <v>AD</v>
          </cell>
          <cell r="K407" t="str">
            <v>DAM envoyée pour consultation</v>
          </cell>
          <cell r="L407">
            <v>540</v>
          </cell>
          <cell r="M407">
            <v>39001</v>
          </cell>
          <cell r="N407" t="str">
            <v>DPM-02/06</v>
          </cell>
          <cell r="S407" t="str">
            <v>MAHSOUN</v>
          </cell>
          <cell r="T407" t="str">
            <v>R2</v>
          </cell>
          <cell r="U407" t="str">
            <v>ORD</v>
          </cell>
          <cell r="V407" t="str">
            <v>DN</v>
          </cell>
          <cell r="W407" t="str">
            <v>P</v>
          </cell>
          <cell r="X407" t="str">
            <v>R</v>
          </cell>
        </row>
        <row r="408">
          <cell r="B408">
            <v>3182</v>
          </cell>
          <cell r="C408" t="str">
            <v>ACQUISITION D'UN APPAREIL DE METROLOGIE A LASER</v>
          </cell>
          <cell r="D408">
            <v>0</v>
          </cell>
          <cell r="E408">
            <v>950000</v>
          </cell>
          <cell r="F408">
            <v>0</v>
          </cell>
          <cell r="G408">
            <v>0</v>
          </cell>
          <cell r="I408" t="str">
            <v>CONSUL</v>
          </cell>
          <cell r="J408" t="str">
            <v>PFM/AC</v>
          </cell>
          <cell r="K408" t="str">
            <v>DAM pour consultation (envoyée directement par PMK/LG )</v>
          </cell>
          <cell r="L408" t="str">
            <v>LG/04</v>
          </cell>
          <cell r="M408">
            <v>38842</v>
          </cell>
          <cell r="N408" t="str">
            <v>DAM-02</v>
          </cell>
          <cell r="S408" t="str">
            <v>BOUZZIT</v>
          </cell>
          <cell r="T408" t="str">
            <v>R2</v>
          </cell>
          <cell r="U408" t="str">
            <v>ORD</v>
          </cell>
          <cell r="V408" t="str">
            <v>DN</v>
          </cell>
          <cell r="W408" t="str">
            <v>L</v>
          </cell>
          <cell r="X408" t="str">
            <v>R</v>
          </cell>
        </row>
        <row r="409">
          <cell r="B409">
            <v>3183</v>
          </cell>
          <cell r="C409" t="str">
            <v>03 GROUPES ELECTROGENES</v>
          </cell>
          <cell r="D409">
            <v>349000</v>
          </cell>
          <cell r="E409">
            <v>349000</v>
          </cell>
          <cell r="F409">
            <v>0</v>
          </cell>
          <cell r="G409">
            <v>0</v>
          </cell>
          <cell r="I409" t="str">
            <v>CONSUL</v>
          </cell>
          <cell r="J409" t="str">
            <v>AD</v>
          </cell>
          <cell r="K409" t="str">
            <v>DAM pour consultation</v>
          </cell>
          <cell r="L409">
            <v>143</v>
          </cell>
          <cell r="M409">
            <v>39156</v>
          </cell>
          <cell r="N409" t="str">
            <v>DAM-6089</v>
          </cell>
          <cell r="O409">
            <v>4946</v>
          </cell>
          <cell r="S409" t="str">
            <v>MAHSOUN</v>
          </cell>
          <cell r="T409" t="str">
            <v>R2</v>
          </cell>
          <cell r="U409" t="str">
            <v>ORD</v>
          </cell>
          <cell r="V409" t="str">
            <v>DN</v>
          </cell>
          <cell r="W409" t="str">
            <v>P</v>
          </cell>
          <cell r="X409" t="str">
            <v>R</v>
          </cell>
        </row>
        <row r="410">
          <cell r="B410">
            <v>3183</v>
          </cell>
          <cell r="C410" t="str">
            <v>10 LAMPES PORTATIVES RECHARCHABLES</v>
          </cell>
          <cell r="I410" t="str">
            <v>CONSUL</v>
          </cell>
          <cell r="J410" t="str">
            <v>AD</v>
          </cell>
          <cell r="K410" t="str">
            <v>DAM pour consultation</v>
          </cell>
          <cell r="L410">
            <v>132</v>
          </cell>
          <cell r="M410">
            <v>39150</v>
          </cell>
          <cell r="N410" t="str">
            <v>DAM-6088</v>
          </cell>
          <cell r="O410">
            <v>4948</v>
          </cell>
          <cell r="S410" t="str">
            <v>MAHSOUN</v>
          </cell>
          <cell r="T410" t="str">
            <v>R2</v>
          </cell>
          <cell r="U410" t="str">
            <v>ORD</v>
          </cell>
          <cell r="V410" t="str">
            <v>DN</v>
          </cell>
          <cell r="W410" t="str">
            <v>P</v>
          </cell>
          <cell r="X410" t="str">
            <v>R</v>
          </cell>
        </row>
        <row r="411">
          <cell r="B411">
            <v>3184</v>
          </cell>
          <cell r="C411" t="str">
            <v>RENOUVELLEMENT DE 02 DISTRIBUTEURS DE CARBURANT</v>
          </cell>
          <cell r="D411">
            <v>0</v>
          </cell>
          <cell r="E411">
            <v>360000</v>
          </cell>
          <cell r="F411">
            <v>0</v>
          </cell>
          <cell r="G411">
            <v>0</v>
          </cell>
          <cell r="I411" t="str">
            <v>AT.AE</v>
          </cell>
          <cell r="J411" t="str">
            <v>PFF/CI</v>
          </cell>
          <cell r="K411" t="str">
            <v>DAE N°3184_1 de 127 200 Dh</v>
          </cell>
          <cell r="L411">
            <v>113</v>
          </cell>
          <cell r="M411">
            <v>39149</v>
          </cell>
          <cell r="N411" t="str">
            <v>DAM-01/06</v>
          </cell>
          <cell r="P411" t="str">
            <v>DKI529E6005/06</v>
          </cell>
          <cell r="S411" t="str">
            <v>BOUZZIT</v>
          </cell>
          <cell r="T411" t="str">
            <v>R2</v>
          </cell>
          <cell r="U411" t="str">
            <v>ORD</v>
          </cell>
          <cell r="V411" t="str">
            <v>RN</v>
          </cell>
          <cell r="W411" t="str">
            <v>L</v>
          </cell>
          <cell r="X411" t="str">
            <v>R</v>
          </cell>
        </row>
        <row r="412">
          <cell r="B412">
            <v>3185</v>
          </cell>
          <cell r="C412" t="str">
            <v>ACHAT DE PRESSES</v>
          </cell>
          <cell r="D412">
            <v>230000</v>
          </cell>
          <cell r="E412">
            <v>230000</v>
          </cell>
          <cell r="F412">
            <v>0</v>
          </cell>
          <cell r="G412">
            <v>0</v>
          </cell>
          <cell r="I412" t="str">
            <v>CONSUL</v>
          </cell>
          <cell r="J412" t="str">
            <v>AD</v>
          </cell>
          <cell r="K412" t="str">
            <v>DAM pour attribution</v>
          </cell>
          <cell r="L412">
            <v>356</v>
          </cell>
          <cell r="M412">
            <v>38807</v>
          </cell>
          <cell r="N412" t="str">
            <v>DAM-6003/05</v>
          </cell>
          <cell r="S412" t="str">
            <v>MAHSOUN</v>
          </cell>
          <cell r="T412" t="str">
            <v>R2</v>
          </cell>
          <cell r="U412" t="str">
            <v>ORD</v>
          </cell>
          <cell r="V412" t="str">
            <v>DN</v>
          </cell>
          <cell r="W412" t="str">
            <v>P</v>
          </cell>
          <cell r="X412" t="str">
            <v>R</v>
          </cell>
        </row>
        <row r="413">
          <cell r="B413">
            <v>3186</v>
          </cell>
          <cell r="C413" t="str">
            <v>ACHAT D'OUTILLAGE DE MANUTENTION</v>
          </cell>
          <cell r="D413">
            <v>438000</v>
          </cell>
          <cell r="E413">
            <v>438000</v>
          </cell>
          <cell r="F413">
            <v>0</v>
          </cell>
          <cell r="G413">
            <v>0</v>
          </cell>
          <cell r="I413" t="str">
            <v>CONSUL</v>
          </cell>
          <cell r="J413" t="str">
            <v>AD</v>
          </cell>
          <cell r="K413" t="str">
            <v>DAM envoyée pour consultation</v>
          </cell>
          <cell r="L413">
            <v>489</v>
          </cell>
          <cell r="M413">
            <v>38979</v>
          </cell>
          <cell r="N413" t="str">
            <v>DAM-6043/06</v>
          </cell>
          <cell r="S413" t="str">
            <v>MAHSOUN</v>
          </cell>
          <cell r="T413" t="str">
            <v>R2</v>
          </cell>
          <cell r="U413" t="str">
            <v>ORD</v>
          </cell>
          <cell r="V413" t="str">
            <v>DN</v>
          </cell>
          <cell r="W413" t="str">
            <v>P</v>
          </cell>
          <cell r="X413" t="str">
            <v>R</v>
          </cell>
        </row>
        <row r="414">
          <cell r="B414">
            <v>3187</v>
          </cell>
          <cell r="C414" t="str">
            <v>ACHAT DE 04 POSTES DE SOUDURE</v>
          </cell>
          <cell r="D414">
            <v>260000</v>
          </cell>
          <cell r="E414">
            <v>260000</v>
          </cell>
          <cell r="F414">
            <v>0</v>
          </cell>
          <cell r="G414">
            <v>0</v>
          </cell>
          <cell r="I414" t="str">
            <v>CHT</v>
          </cell>
          <cell r="J414" t="str">
            <v>AD</v>
          </cell>
          <cell r="K414" t="str">
            <v>CHT pour attribution</v>
          </cell>
          <cell r="L414">
            <v>386</v>
          </cell>
          <cell r="M414">
            <v>39248</v>
          </cell>
          <cell r="N414" t="str">
            <v>DAM-6001/06</v>
          </cell>
          <cell r="S414" t="str">
            <v>SABRI</v>
          </cell>
          <cell r="T414" t="str">
            <v>R2</v>
          </cell>
          <cell r="U414" t="str">
            <v>ORD</v>
          </cell>
          <cell r="V414" t="str">
            <v>DN</v>
          </cell>
          <cell r="W414" t="str">
            <v>P</v>
          </cell>
          <cell r="X414" t="str">
            <v>R</v>
          </cell>
        </row>
        <row r="415">
          <cell r="B415">
            <v>3188</v>
          </cell>
          <cell r="C415" t="str">
            <v>ACHAT 1 GROUPE MOTO POMPE</v>
          </cell>
          <cell r="D415">
            <v>1460000</v>
          </cell>
          <cell r="E415">
            <v>1460000</v>
          </cell>
          <cell r="F415">
            <v>0</v>
          </cell>
          <cell r="G415">
            <v>0</v>
          </cell>
          <cell r="I415" t="str">
            <v>CONSUL</v>
          </cell>
          <cell r="J415" t="str">
            <v>AD</v>
          </cell>
          <cell r="K415" t="str">
            <v>DAM pour consultation</v>
          </cell>
          <cell r="L415">
            <v>401</v>
          </cell>
          <cell r="M415">
            <v>39253</v>
          </cell>
          <cell r="N415" t="str">
            <v>7065/07</v>
          </cell>
          <cell r="O415">
            <v>7149</v>
          </cell>
          <cell r="S415" t="str">
            <v>MHADI</v>
          </cell>
          <cell r="T415" t="str">
            <v>R2</v>
          </cell>
          <cell r="U415" t="str">
            <v>ORD</v>
          </cell>
          <cell r="V415" t="str">
            <v>DN</v>
          </cell>
          <cell r="W415" t="str">
            <v>P</v>
          </cell>
          <cell r="X415" t="str">
            <v>R</v>
          </cell>
        </row>
        <row r="416">
          <cell r="B416">
            <v>3188</v>
          </cell>
          <cell r="C416" t="str">
            <v xml:space="preserve">ACHAT DE 2 COMPRESSEURS D'AIR MOBILE </v>
          </cell>
          <cell r="I416" t="str">
            <v>CHT</v>
          </cell>
          <cell r="J416" t="str">
            <v>PLM/A</v>
          </cell>
          <cell r="K416" t="str">
            <v>CHT pour attribution</v>
          </cell>
          <cell r="L416">
            <v>241</v>
          </cell>
          <cell r="M416">
            <v>39241</v>
          </cell>
          <cell r="N416" t="str">
            <v>DAM-6021/06</v>
          </cell>
          <cell r="S416" t="str">
            <v>MHADI</v>
          </cell>
          <cell r="T416" t="str">
            <v>R2</v>
          </cell>
          <cell r="U416" t="str">
            <v>ORD</v>
          </cell>
          <cell r="V416" t="str">
            <v>DN</v>
          </cell>
          <cell r="W416" t="str">
            <v>P</v>
          </cell>
          <cell r="X416" t="str">
            <v>R</v>
          </cell>
        </row>
        <row r="417">
          <cell r="B417">
            <v>3189</v>
          </cell>
          <cell r="C417" t="str">
            <v>ACHAT D'OUTILLAGE POUR LES ATELIERS MÉCANIQUES</v>
          </cell>
          <cell r="D417">
            <v>413000</v>
          </cell>
          <cell r="E417">
            <v>413000</v>
          </cell>
          <cell r="F417">
            <v>0</v>
          </cell>
          <cell r="G417">
            <v>0</v>
          </cell>
          <cell r="I417" t="str">
            <v>CONSUL</v>
          </cell>
          <cell r="J417" t="str">
            <v>AD</v>
          </cell>
          <cell r="K417" t="str">
            <v>DAM pour consultation</v>
          </cell>
          <cell r="L417">
            <v>330</v>
          </cell>
          <cell r="M417">
            <v>38896</v>
          </cell>
          <cell r="N417" t="str">
            <v>DAM-6004-6002/06</v>
          </cell>
          <cell r="S417" t="str">
            <v>MHADI</v>
          </cell>
          <cell r="T417" t="str">
            <v>R2</v>
          </cell>
          <cell r="U417" t="str">
            <v>ORD</v>
          </cell>
          <cell r="V417" t="str">
            <v>DN</v>
          </cell>
          <cell r="W417" t="str">
            <v>P</v>
          </cell>
          <cell r="X417" t="str">
            <v>R</v>
          </cell>
        </row>
        <row r="418">
          <cell r="B418">
            <v>3190</v>
          </cell>
          <cell r="C418" t="str">
            <v>RENOUVELLEMENT D'OUTILLAGE D'ATELIER</v>
          </cell>
          <cell r="D418">
            <v>100000</v>
          </cell>
          <cell r="E418">
            <v>100000</v>
          </cell>
          <cell r="F418">
            <v>0</v>
          </cell>
          <cell r="G418">
            <v>0</v>
          </cell>
          <cell r="S418" t="str">
            <v>KHOUILI</v>
          </cell>
          <cell r="T418" t="str">
            <v>R2</v>
          </cell>
          <cell r="U418" t="str">
            <v>ORD</v>
          </cell>
          <cell r="V418" t="str">
            <v>RN</v>
          </cell>
          <cell r="W418" t="str">
            <v>P</v>
          </cell>
          <cell r="X418" t="str">
            <v>R</v>
          </cell>
        </row>
        <row r="419">
          <cell r="B419">
            <v>3190</v>
          </cell>
          <cell r="C419" t="str">
            <v>09 Étaux à mors parallèles et 03 perceuses pneumatiques</v>
          </cell>
          <cell r="I419" t="str">
            <v>CONSUL</v>
          </cell>
          <cell r="J419" t="str">
            <v>AD</v>
          </cell>
          <cell r="K419" t="str">
            <v>DAM pour consultation</v>
          </cell>
          <cell r="L419">
            <v>360</v>
          </cell>
          <cell r="M419">
            <v>38904</v>
          </cell>
          <cell r="N419" t="str">
            <v>DAM-6002/06</v>
          </cell>
          <cell r="S419" t="str">
            <v>KHOUILI</v>
          </cell>
          <cell r="T419" t="str">
            <v>R2</v>
          </cell>
          <cell r="U419" t="str">
            <v>ORD</v>
          </cell>
          <cell r="V419" t="str">
            <v>RN</v>
          </cell>
          <cell r="W419" t="str">
            <v>P</v>
          </cell>
          <cell r="X419" t="str">
            <v>R</v>
          </cell>
        </row>
        <row r="420">
          <cell r="B420">
            <v>3190</v>
          </cell>
          <cell r="C420" t="str">
            <v>02 Perceuses électriques 13 mm</v>
          </cell>
          <cell r="I420" t="str">
            <v>CONSUL</v>
          </cell>
          <cell r="J420" t="str">
            <v>AD</v>
          </cell>
          <cell r="K420" t="str">
            <v>DAM pour consultation</v>
          </cell>
          <cell r="L420">
            <v>146</v>
          </cell>
          <cell r="M420">
            <v>39156</v>
          </cell>
          <cell r="N420" t="str">
            <v>DAM-6018</v>
          </cell>
          <cell r="O420">
            <v>5417</v>
          </cell>
          <cell r="S420" t="str">
            <v>KHOUILI</v>
          </cell>
          <cell r="T420" t="str">
            <v>R2</v>
          </cell>
          <cell r="U420" t="str">
            <v>ORD</v>
          </cell>
          <cell r="V420" t="str">
            <v>RN</v>
          </cell>
          <cell r="W420" t="str">
            <v>P</v>
          </cell>
          <cell r="X420" t="str">
            <v>R</v>
          </cell>
        </row>
        <row r="421">
          <cell r="B421">
            <v>3191</v>
          </cell>
          <cell r="C421" t="str">
            <v>RENOUVELLEMENT DE LA CHARGEUSE DART 888</v>
          </cell>
          <cell r="D421">
            <v>0</v>
          </cell>
          <cell r="E421">
            <v>30000000</v>
          </cell>
          <cell r="F421">
            <v>0</v>
          </cell>
          <cell r="G421">
            <v>0</v>
          </cell>
          <cell r="I421" t="str">
            <v>CONSUL</v>
          </cell>
          <cell r="J421" t="str">
            <v>PFM/AC</v>
          </cell>
          <cell r="K421" t="str">
            <v>DAL de 30MDH accordée par DG -DAM adressée pour consultation</v>
          </cell>
          <cell r="L421">
            <v>657</v>
          </cell>
          <cell r="M421">
            <v>39070</v>
          </cell>
          <cell r="N421" t="str">
            <v>DAM/6063/06</v>
          </cell>
          <cell r="S421" t="str">
            <v>KARROUACHE</v>
          </cell>
          <cell r="T421" t="str">
            <v>R2</v>
          </cell>
          <cell r="U421" t="str">
            <v>ORD</v>
          </cell>
          <cell r="V421" t="str">
            <v>RN</v>
          </cell>
          <cell r="W421" t="str">
            <v>P</v>
          </cell>
          <cell r="X421" t="str">
            <v>R</v>
          </cell>
        </row>
        <row r="422">
          <cell r="B422">
            <v>3192</v>
          </cell>
          <cell r="C422" t="str">
            <v>MATERIEL D'ATELIER ET DE STATION SERVICE</v>
          </cell>
          <cell r="D422">
            <v>30000</v>
          </cell>
          <cell r="E422">
            <v>30000</v>
          </cell>
          <cell r="F422">
            <v>0</v>
          </cell>
          <cell r="G422">
            <v>0</v>
          </cell>
          <cell r="I422" t="str">
            <v>CONSUL</v>
          </cell>
          <cell r="J422" t="str">
            <v>AD</v>
          </cell>
          <cell r="K422" t="str">
            <v>DAM pour attribution</v>
          </cell>
          <cell r="L422">
            <v>336</v>
          </cell>
          <cell r="M422">
            <v>38896</v>
          </cell>
          <cell r="N422" t="str">
            <v>DAM-05/06</v>
          </cell>
          <cell r="S422" t="str">
            <v>RAOUIA</v>
          </cell>
          <cell r="T422" t="str">
            <v>R2</v>
          </cell>
          <cell r="U422" t="str">
            <v>ORD</v>
          </cell>
          <cell r="V422" t="str">
            <v>DN</v>
          </cell>
          <cell r="W422" t="str">
            <v>TC</v>
          </cell>
          <cell r="X422" t="str">
            <v>R</v>
          </cell>
        </row>
        <row r="423">
          <cell r="B423">
            <v>3193</v>
          </cell>
          <cell r="C423" t="str">
            <v>MATERIEL DE LEVAGE ET MANUTENTION</v>
          </cell>
          <cell r="D423">
            <v>120000</v>
          </cell>
          <cell r="E423">
            <v>120000</v>
          </cell>
          <cell r="F423">
            <v>0</v>
          </cell>
          <cell r="G423">
            <v>0</v>
          </cell>
          <cell r="S423" t="str">
            <v>RAOUIA</v>
          </cell>
          <cell r="T423" t="str">
            <v>R2</v>
          </cell>
          <cell r="U423" t="str">
            <v>ORD</v>
          </cell>
          <cell r="V423" t="str">
            <v>RN</v>
          </cell>
          <cell r="W423" t="str">
            <v>TC</v>
          </cell>
          <cell r="X423" t="str">
            <v>R</v>
          </cell>
        </row>
        <row r="424">
          <cell r="B424">
            <v>3194</v>
          </cell>
          <cell r="C424" t="str">
            <v>MATERIEL ET LIGNES ELECTRIQUES</v>
          </cell>
          <cell r="D424">
            <v>3000000</v>
          </cell>
          <cell r="E424">
            <v>3000000</v>
          </cell>
          <cell r="F424">
            <v>0</v>
          </cell>
          <cell r="G424">
            <v>0</v>
          </cell>
          <cell r="S424" t="str">
            <v>RAOUIA</v>
          </cell>
          <cell r="T424" t="str">
            <v>R2</v>
          </cell>
          <cell r="U424" t="str">
            <v>ORD</v>
          </cell>
          <cell r="V424" t="str">
            <v>RN</v>
          </cell>
          <cell r="W424" t="str">
            <v>TC</v>
          </cell>
          <cell r="X424" t="str">
            <v>R</v>
          </cell>
        </row>
        <row r="425">
          <cell r="B425">
            <v>3195</v>
          </cell>
          <cell r="C425" t="str">
            <v>MATERIEL ET LIGNES ELECTRIQUES</v>
          </cell>
          <cell r="D425">
            <v>3600000</v>
          </cell>
          <cell r="E425">
            <v>3600000</v>
          </cell>
          <cell r="F425">
            <v>0</v>
          </cell>
          <cell r="G425">
            <v>0</v>
          </cell>
          <cell r="S425" t="str">
            <v>RAOUIA</v>
          </cell>
          <cell r="T425" t="str">
            <v>R2</v>
          </cell>
          <cell r="U425" t="str">
            <v>ORD</v>
          </cell>
          <cell r="V425" t="str">
            <v>RN</v>
          </cell>
          <cell r="W425" t="str">
            <v>TC</v>
          </cell>
          <cell r="X425" t="str">
            <v>R</v>
          </cell>
        </row>
        <row r="426">
          <cell r="B426">
            <v>3196</v>
          </cell>
          <cell r="C426" t="str">
            <v>MATERIEL ET LIGNES ELECTRIQUES</v>
          </cell>
          <cell r="D426">
            <v>1580000</v>
          </cell>
          <cell r="E426">
            <v>1580000</v>
          </cell>
          <cell r="F426">
            <v>0</v>
          </cell>
          <cell r="G426">
            <v>0</v>
          </cell>
          <cell r="I426" t="str">
            <v>CONSUL</v>
          </cell>
          <cell r="J426" t="str">
            <v>CP</v>
          </cell>
          <cell r="K426" t="str">
            <v>DAM retourné au CP (calendrier non respecte )</v>
          </cell>
          <cell r="L426" t="str">
            <v>07/80/AA</v>
          </cell>
          <cell r="M426">
            <v>39198</v>
          </cell>
          <cell r="N426" t="str">
            <v>DAM-22/07</v>
          </cell>
          <cell r="O426">
            <v>1977</v>
          </cell>
          <cell r="S426" t="str">
            <v>RAOUIA</v>
          </cell>
          <cell r="T426" t="str">
            <v>R2</v>
          </cell>
          <cell r="U426" t="str">
            <v>ORD</v>
          </cell>
          <cell r="V426" t="str">
            <v>RN</v>
          </cell>
          <cell r="W426" t="str">
            <v>TC</v>
          </cell>
          <cell r="X426" t="str">
            <v>R</v>
          </cell>
        </row>
        <row r="427">
          <cell r="B427">
            <v>3197</v>
          </cell>
          <cell r="C427" t="str">
            <v>RENOUVELLEMENT D'UN CHARIOT ELEVATEUR</v>
          </cell>
          <cell r="D427">
            <v>0</v>
          </cell>
          <cell r="E427">
            <v>450000</v>
          </cell>
          <cell r="F427">
            <v>0</v>
          </cell>
          <cell r="G427">
            <v>0</v>
          </cell>
          <cell r="I427" t="str">
            <v>AT.AE</v>
          </cell>
          <cell r="J427" t="str">
            <v>PFF/CI</v>
          </cell>
          <cell r="K427" t="str">
            <v>DAE N°3197_1 de 432 000 Dh</v>
          </cell>
          <cell r="L427">
            <v>112</v>
          </cell>
          <cell r="M427">
            <v>39149</v>
          </cell>
          <cell r="N427" t="str">
            <v>DAM/10</v>
          </cell>
          <cell r="P427" t="str">
            <v>DP DKI-875E6024/6</v>
          </cell>
          <cell r="S427" t="str">
            <v>SAOUD</v>
          </cell>
          <cell r="T427" t="str">
            <v>R2</v>
          </cell>
          <cell r="U427" t="str">
            <v>ORD</v>
          </cell>
          <cell r="V427" t="str">
            <v>RN</v>
          </cell>
          <cell r="W427" t="str">
            <v>L</v>
          </cell>
          <cell r="X427" t="str">
            <v>R</v>
          </cell>
        </row>
        <row r="428">
          <cell r="B428">
            <v>3198</v>
          </cell>
          <cell r="C428" t="str">
            <v>OUTILLAGE POUR ATELIER DE BOBINAGE</v>
          </cell>
          <cell r="D428">
            <v>0</v>
          </cell>
          <cell r="E428">
            <v>400000</v>
          </cell>
          <cell r="F428">
            <v>0</v>
          </cell>
          <cell r="G428">
            <v>0</v>
          </cell>
          <cell r="I428" t="str">
            <v>CONSUL</v>
          </cell>
          <cell r="J428" t="str">
            <v>CP</v>
          </cell>
          <cell r="K428" t="str">
            <v>CHT En retour au CP (ce crédit n'est pas retenu sur la liste révisée)</v>
          </cell>
          <cell r="L428">
            <v>557</v>
          </cell>
          <cell r="M428">
            <v>39365</v>
          </cell>
          <cell r="N428" t="str">
            <v>DAM-30 à 43
DAM-08/07</v>
          </cell>
          <cell r="S428" t="str">
            <v>SAOUD</v>
          </cell>
          <cell r="T428" t="str">
            <v>R2</v>
          </cell>
          <cell r="U428" t="str">
            <v>ORD</v>
          </cell>
          <cell r="V428" t="str">
            <v>DN</v>
          </cell>
          <cell r="W428" t="str">
            <v>L</v>
          </cell>
          <cell r="X428" t="str">
            <v>R</v>
          </cell>
        </row>
        <row r="429">
          <cell r="B429">
            <v>3198</v>
          </cell>
          <cell r="C429" t="str">
            <v>OUTILLAGE POUR ATELIER DE BOBINAGE PMK/LM/E</v>
          </cell>
          <cell r="F429">
            <v>0</v>
          </cell>
          <cell r="G429">
            <v>0</v>
          </cell>
          <cell r="I429" t="str">
            <v>CONSUL</v>
          </cell>
          <cell r="J429" t="str">
            <v>AD</v>
          </cell>
          <cell r="K429" t="str">
            <v>DAM pour attribution</v>
          </cell>
          <cell r="L429">
            <v>151</v>
          </cell>
          <cell r="M429">
            <v>39332</v>
          </cell>
          <cell r="N429" t="str">
            <v>DAM-36 à 39/07</v>
          </cell>
          <cell r="S429" t="str">
            <v>SAOUD</v>
          </cell>
          <cell r="T429" t="str">
            <v>R2</v>
          </cell>
          <cell r="U429" t="str">
            <v>ORD</v>
          </cell>
          <cell r="V429" t="str">
            <v>DN</v>
          </cell>
          <cell r="W429" t="str">
            <v>L</v>
          </cell>
          <cell r="X429" t="str">
            <v>R</v>
          </cell>
        </row>
        <row r="430">
          <cell r="B430">
            <v>3199</v>
          </cell>
          <cell r="C430" t="str">
            <v>ACQUISITION D'UNE NACELLE SUR CHARIOT A ROUES</v>
          </cell>
          <cell r="D430">
            <v>0</v>
          </cell>
          <cell r="E430">
            <v>230000</v>
          </cell>
          <cell r="F430">
            <v>0</v>
          </cell>
          <cell r="G430">
            <v>0</v>
          </cell>
          <cell r="I430" t="str">
            <v>CONSUL</v>
          </cell>
          <cell r="J430" t="str">
            <v>AD</v>
          </cell>
          <cell r="K430" t="str">
            <v>DAM pour attribution</v>
          </cell>
          <cell r="L430">
            <v>286</v>
          </cell>
          <cell r="M430">
            <v>38869</v>
          </cell>
          <cell r="N430" t="str">
            <v>DAM-12/06</v>
          </cell>
          <cell r="S430" t="str">
            <v>SAOUD</v>
          </cell>
          <cell r="T430" t="str">
            <v>R2</v>
          </cell>
          <cell r="U430" t="str">
            <v>ORD</v>
          </cell>
          <cell r="V430" t="str">
            <v>DN</v>
          </cell>
          <cell r="W430" t="str">
            <v>L</v>
          </cell>
          <cell r="X430" t="str">
            <v>R</v>
          </cell>
        </row>
        <row r="431">
          <cell r="B431">
            <v>3200</v>
          </cell>
          <cell r="C431" t="str">
            <v>ACQUISITION MOBILIER POUR LES STATIONS DE POMPAGE ET POSTES ELECTRIQUES</v>
          </cell>
          <cell r="D431">
            <v>0</v>
          </cell>
          <cell r="E431">
            <v>300000</v>
          </cell>
          <cell r="F431">
            <v>0</v>
          </cell>
          <cell r="G431">
            <v>0</v>
          </cell>
          <cell r="I431" t="str">
            <v>CONSUL</v>
          </cell>
          <cell r="J431" t="str">
            <v>AD</v>
          </cell>
          <cell r="K431" t="str">
            <v>DAM pour attribution</v>
          </cell>
          <cell r="L431">
            <v>180</v>
          </cell>
          <cell r="M431">
            <v>39161</v>
          </cell>
          <cell r="N431" t="str">
            <v>DAM-13/07</v>
          </cell>
          <cell r="O431">
            <v>5996</v>
          </cell>
          <cell r="S431" t="str">
            <v>SAOUD</v>
          </cell>
          <cell r="T431" t="str">
            <v>R6</v>
          </cell>
          <cell r="U431" t="str">
            <v>ADM</v>
          </cell>
          <cell r="V431" t="str">
            <v>DN</v>
          </cell>
          <cell r="W431" t="str">
            <v>L</v>
          </cell>
          <cell r="X431" t="str">
            <v>R</v>
          </cell>
        </row>
        <row r="432">
          <cell r="B432">
            <v>3201</v>
          </cell>
          <cell r="C432" t="str">
            <v>EQUIPEMENT POUR L'ATELIER DES EAUX</v>
          </cell>
          <cell r="D432">
            <v>0</v>
          </cell>
          <cell r="E432">
            <v>80000</v>
          </cell>
          <cell r="F432">
            <v>0</v>
          </cell>
          <cell r="G432">
            <v>0</v>
          </cell>
          <cell r="I432" t="str">
            <v>AT.AE</v>
          </cell>
          <cell r="J432" t="str">
            <v>CP</v>
          </cell>
          <cell r="K432" t="str">
            <v>Pour saisir la DAE sur lexercice 2007 AE n° 3201_1 de 39 189,43</v>
          </cell>
          <cell r="L432">
            <v>425</v>
          </cell>
          <cell r="M432">
            <v>39272</v>
          </cell>
          <cell r="N432" t="str">
            <v>DAM-03-04/07</v>
          </cell>
          <cell r="S432" t="str">
            <v>SAOUD</v>
          </cell>
          <cell r="T432" t="str">
            <v>R2</v>
          </cell>
          <cell r="U432" t="str">
            <v>ORD</v>
          </cell>
          <cell r="V432" t="str">
            <v>DN</v>
          </cell>
          <cell r="W432" t="str">
            <v>L</v>
          </cell>
          <cell r="X432" t="str">
            <v>R</v>
          </cell>
        </row>
        <row r="433">
          <cell r="B433">
            <v>3202</v>
          </cell>
          <cell r="C433" t="str">
            <v>ACQUISITION DES RECHANGES POUR LES MOTEURS ET MODULES ELECTRIQUES DE LA ZONE KHOURIBGA</v>
          </cell>
          <cell r="D433">
            <v>0</v>
          </cell>
          <cell r="E433">
            <v>950000</v>
          </cell>
          <cell r="F433">
            <v>0</v>
          </cell>
          <cell r="G433">
            <v>0</v>
          </cell>
          <cell r="S433" t="str">
            <v>SAOUD</v>
          </cell>
          <cell r="T433" t="str">
            <v>R2</v>
          </cell>
          <cell r="U433" t="str">
            <v>ORD</v>
          </cell>
          <cell r="V433" t="str">
            <v>DN</v>
          </cell>
          <cell r="W433" t="str">
            <v>L</v>
          </cell>
          <cell r="X433" t="str">
            <v>R</v>
          </cell>
        </row>
        <row r="434">
          <cell r="B434">
            <v>3202</v>
          </cell>
          <cell r="C434" t="str">
            <v>RECHANGES POUR LES MOTEURS ET MODULES ELECTRIQUES (variateurs  de vitesse et Démarreurs)</v>
          </cell>
          <cell r="I434" t="str">
            <v>CONSUL</v>
          </cell>
          <cell r="J434" t="str">
            <v>AD</v>
          </cell>
          <cell r="K434" t="str">
            <v>DAM envoyée pour consultation</v>
          </cell>
          <cell r="L434">
            <v>125</v>
          </cell>
          <cell r="M434">
            <v>39150</v>
          </cell>
          <cell r="N434" t="str">
            <v>DAM- 16</v>
          </cell>
          <cell r="O434">
            <v>5286</v>
          </cell>
          <cell r="S434" t="str">
            <v>SAOUD</v>
          </cell>
          <cell r="T434" t="str">
            <v>R2</v>
          </cell>
          <cell r="U434" t="str">
            <v>ORD</v>
          </cell>
          <cell r="V434" t="str">
            <v>DN</v>
          </cell>
          <cell r="W434" t="str">
            <v>L</v>
          </cell>
          <cell r="X434" t="str">
            <v>R</v>
          </cell>
        </row>
        <row r="435">
          <cell r="B435">
            <v>3203</v>
          </cell>
          <cell r="C435" t="str">
            <v>ACHAT D'APPAREILS PHOTO NUMÉRIQUES</v>
          </cell>
          <cell r="D435">
            <v>18000</v>
          </cell>
          <cell r="E435">
            <v>18000</v>
          </cell>
          <cell r="F435">
            <v>0</v>
          </cell>
          <cell r="G435">
            <v>0</v>
          </cell>
          <cell r="I435" t="str">
            <v>CONSUL</v>
          </cell>
          <cell r="J435" t="str">
            <v>AD</v>
          </cell>
          <cell r="K435" t="str">
            <v>DAM envoyée pour consultation</v>
          </cell>
          <cell r="L435">
            <v>292</v>
          </cell>
          <cell r="M435">
            <v>38869</v>
          </cell>
          <cell r="N435" t="str">
            <v>DAM/6065/06</v>
          </cell>
          <cell r="S435" t="str">
            <v>CHARKI</v>
          </cell>
          <cell r="T435" t="str">
            <v>R6</v>
          </cell>
          <cell r="U435" t="str">
            <v>ADM</v>
          </cell>
          <cell r="V435" t="str">
            <v>DN</v>
          </cell>
          <cell r="W435" t="str">
            <v>P</v>
          </cell>
          <cell r="X435" t="str">
            <v>R</v>
          </cell>
        </row>
        <row r="436">
          <cell r="B436">
            <v>3204</v>
          </cell>
          <cell r="C436" t="str">
            <v>ACHAT D'UNE CENTRALE HYDRAULIQUE AVEC DEUX VÉRINS  300 TONNES</v>
          </cell>
          <cell r="D436">
            <v>300000</v>
          </cell>
          <cell r="E436">
            <v>300000</v>
          </cell>
          <cell r="F436">
            <v>0</v>
          </cell>
          <cell r="G436">
            <v>0</v>
          </cell>
          <cell r="I436" t="str">
            <v>CONSUL</v>
          </cell>
          <cell r="J436" t="str">
            <v>AD</v>
          </cell>
          <cell r="K436" t="str">
            <v>DAM pour attribution</v>
          </cell>
          <cell r="L436">
            <v>356</v>
          </cell>
          <cell r="M436">
            <v>38904</v>
          </cell>
          <cell r="N436" t="str">
            <v>DAM-6010/05</v>
          </cell>
          <cell r="S436" t="str">
            <v>MHADI</v>
          </cell>
          <cell r="T436" t="str">
            <v>R2</v>
          </cell>
          <cell r="U436" t="str">
            <v>ORD</v>
          </cell>
          <cell r="V436" t="str">
            <v>DN</v>
          </cell>
          <cell r="W436" t="str">
            <v>P</v>
          </cell>
          <cell r="X436" t="str">
            <v>R</v>
          </cell>
        </row>
        <row r="437">
          <cell r="B437">
            <v>3205</v>
          </cell>
          <cell r="C437" t="str">
            <v>ACHAT DE VÉRINS HYDRAULIQUES</v>
          </cell>
          <cell r="D437">
            <v>430000</v>
          </cell>
          <cell r="E437">
            <v>430000</v>
          </cell>
          <cell r="F437">
            <v>0</v>
          </cell>
          <cell r="G437">
            <v>0</v>
          </cell>
          <cell r="I437" t="str">
            <v>CHT</v>
          </cell>
          <cell r="J437" t="str">
            <v>AD</v>
          </cell>
          <cell r="K437" t="str">
            <v>CHT pour attribution</v>
          </cell>
          <cell r="L437">
            <v>383</v>
          </cell>
          <cell r="M437">
            <v>39245</v>
          </cell>
          <cell r="N437" t="str">
            <v>DAM-6010-6006/06</v>
          </cell>
          <cell r="S437" t="str">
            <v>EL BOUCHRIFI</v>
          </cell>
          <cell r="T437" t="str">
            <v>R2</v>
          </cell>
          <cell r="U437" t="str">
            <v>ORD</v>
          </cell>
          <cell r="V437" t="str">
            <v>DN</v>
          </cell>
          <cell r="W437" t="str">
            <v>P</v>
          </cell>
          <cell r="X437" t="str">
            <v>R</v>
          </cell>
        </row>
        <row r="438">
          <cell r="B438">
            <v>3206</v>
          </cell>
          <cell r="C438" t="str">
            <v>ACHAT DU MATÉRIEL D'ATELIER MÉCANIQUE</v>
          </cell>
          <cell r="D438">
            <v>605000</v>
          </cell>
          <cell r="E438">
            <v>605000</v>
          </cell>
          <cell r="F438">
            <v>0</v>
          </cell>
          <cell r="G438">
            <v>0</v>
          </cell>
          <cell r="I438" t="str">
            <v>CHT</v>
          </cell>
          <cell r="J438" t="str">
            <v>AD</v>
          </cell>
          <cell r="K438" t="str">
            <v>CHT pour attribution</v>
          </cell>
          <cell r="L438">
            <v>252</v>
          </cell>
          <cell r="M438">
            <v>39195</v>
          </cell>
          <cell r="N438" t="str">
            <v>DAM-6044/06</v>
          </cell>
          <cell r="O438">
            <v>6434</v>
          </cell>
          <cell r="S438" t="str">
            <v>EL BOUCHRIFI</v>
          </cell>
          <cell r="T438" t="str">
            <v>R2</v>
          </cell>
          <cell r="U438" t="str">
            <v>ORD</v>
          </cell>
          <cell r="V438" t="str">
            <v>DN</v>
          </cell>
          <cell r="W438" t="str">
            <v>P</v>
          </cell>
          <cell r="X438" t="str">
            <v>R</v>
          </cell>
        </row>
        <row r="439">
          <cell r="B439">
            <v>3206</v>
          </cell>
          <cell r="C439" t="str">
            <v>2 ASPIRATEURS DE FUMEE  MOBILE</v>
          </cell>
          <cell r="I439" t="str">
            <v>CONSUL</v>
          </cell>
          <cell r="J439" t="str">
            <v>AD</v>
          </cell>
          <cell r="K439" t="str">
            <v>DAM pour attribution</v>
          </cell>
          <cell r="L439">
            <v>191</v>
          </cell>
          <cell r="M439">
            <v>38817</v>
          </cell>
          <cell r="N439" t="str">
            <v>DAM-6008/06</v>
          </cell>
          <cell r="S439" t="str">
            <v>EL BOUCHRIFI</v>
          </cell>
          <cell r="T439" t="str">
            <v>R2</v>
          </cell>
          <cell r="U439" t="str">
            <v>ORD</v>
          </cell>
          <cell r="V439" t="str">
            <v>DN</v>
          </cell>
          <cell r="W439" t="str">
            <v>P</v>
          </cell>
          <cell r="X439" t="str">
            <v>R</v>
          </cell>
        </row>
        <row r="440">
          <cell r="B440">
            <v>3206</v>
          </cell>
          <cell r="C440" t="str">
            <v>1 CLIMATISEUR INDUSTRIEL</v>
          </cell>
          <cell r="H440">
            <v>20306</v>
          </cell>
          <cell r="I440" t="str">
            <v>ENG</v>
          </cell>
          <cell r="J440" t="str">
            <v>CP</v>
          </cell>
          <cell r="K440" t="str">
            <v>AE n° 3206_1 de 20306,00 DH</v>
          </cell>
          <cell r="L440" t="str">
            <v>PFF 528</v>
          </cell>
          <cell r="M440">
            <v>39274</v>
          </cell>
          <cell r="N440" t="str">
            <v>DAM-6050/06</v>
          </cell>
          <cell r="S440" t="str">
            <v>EL BOUCHRIFI</v>
          </cell>
          <cell r="T440" t="str">
            <v>R2</v>
          </cell>
          <cell r="U440" t="str">
            <v>ORD</v>
          </cell>
          <cell r="V440" t="str">
            <v>DN</v>
          </cell>
          <cell r="W440" t="str">
            <v>P</v>
          </cell>
          <cell r="X440" t="str">
            <v>R</v>
          </cell>
        </row>
        <row r="441">
          <cell r="B441">
            <v>3206</v>
          </cell>
          <cell r="C441" t="str">
            <v>1 THERMO PRESSE PNEUMATIQUE, 4 EXTRACTEURS ET 1 CLE</v>
          </cell>
          <cell r="I441" t="str">
            <v>CHT</v>
          </cell>
          <cell r="J441" t="str">
            <v>AD</v>
          </cell>
          <cell r="K441" t="str">
            <v>CHT pour attribution</v>
          </cell>
          <cell r="L441">
            <v>375</v>
          </cell>
          <cell r="M441">
            <v>39244</v>
          </cell>
          <cell r="N441" t="str">
            <v>DAM-6007/06</v>
          </cell>
          <cell r="S441" t="str">
            <v>EL BOUCHRIFI</v>
          </cell>
          <cell r="T441" t="str">
            <v>R2</v>
          </cell>
          <cell r="U441" t="str">
            <v>ORD</v>
          </cell>
          <cell r="V441" t="str">
            <v>DN</v>
          </cell>
          <cell r="W441" t="str">
            <v>P</v>
          </cell>
          <cell r="X441" t="str">
            <v>R</v>
          </cell>
        </row>
        <row r="442">
          <cell r="B442">
            <v>3207</v>
          </cell>
          <cell r="C442" t="str">
            <v>ACHAT  D'UN POSTE DE SOUDURE AUTONOME</v>
          </cell>
          <cell r="D442">
            <v>200000</v>
          </cell>
          <cell r="E442">
            <v>200000</v>
          </cell>
          <cell r="F442">
            <v>0</v>
          </cell>
          <cell r="G442">
            <v>0</v>
          </cell>
          <cell r="H442">
            <v>167731.57</v>
          </cell>
          <cell r="I442" t="str">
            <v>ENG</v>
          </cell>
          <cell r="J442" t="str">
            <v>CP</v>
          </cell>
          <cell r="K442" t="str">
            <v>AE N°-3207_1 de 167 731,57</v>
          </cell>
          <cell r="L442" t="str">
            <v>PFF 528</v>
          </cell>
          <cell r="M442">
            <v>39274</v>
          </cell>
          <cell r="N442" t="str">
            <v>DAM-6025/06</v>
          </cell>
          <cell r="P442" t="str">
            <v>AO-DKI701E6097/06</v>
          </cell>
          <cell r="S442" t="str">
            <v>EL KASSI</v>
          </cell>
          <cell r="T442" t="str">
            <v>R2</v>
          </cell>
          <cell r="U442" t="str">
            <v>ORD</v>
          </cell>
          <cell r="V442" t="str">
            <v>DN</v>
          </cell>
          <cell r="W442" t="str">
            <v>P</v>
          </cell>
          <cell r="X442" t="str">
            <v>R</v>
          </cell>
        </row>
        <row r="443">
          <cell r="B443">
            <v>3207</v>
          </cell>
          <cell r="C443" t="str">
            <v>ACHAT D'UN COMPRESSEUR D'AIR AUTONOME</v>
          </cell>
          <cell r="S443" t="str">
            <v>EL KASSI</v>
          </cell>
          <cell r="T443" t="str">
            <v>R2</v>
          </cell>
          <cell r="U443" t="str">
            <v>ORD</v>
          </cell>
          <cell r="V443" t="str">
            <v>DN</v>
          </cell>
          <cell r="W443" t="str">
            <v>P</v>
          </cell>
          <cell r="X443" t="str">
            <v>R</v>
          </cell>
        </row>
        <row r="444">
          <cell r="B444">
            <v>3208</v>
          </cell>
          <cell r="C444" t="str">
            <v>ACHAT D'UNE TIREUSE DE PLANS ET D'UNE TABLE TRAÇANTE</v>
          </cell>
          <cell r="D444">
            <v>150000</v>
          </cell>
          <cell r="E444">
            <v>150000</v>
          </cell>
          <cell r="F444">
            <v>0</v>
          </cell>
          <cell r="G444">
            <v>0</v>
          </cell>
          <cell r="I444" t="str">
            <v>CONSUL</v>
          </cell>
          <cell r="J444" t="str">
            <v>AD</v>
          </cell>
          <cell r="K444" t="str">
            <v>DAM pour attribution</v>
          </cell>
          <cell r="L444">
            <v>410</v>
          </cell>
          <cell r="M444">
            <v>38931</v>
          </cell>
          <cell r="N444" t="str">
            <v>DAM-6067/6</v>
          </cell>
          <cell r="S444" t="str">
            <v>AMRAOUZA</v>
          </cell>
          <cell r="T444" t="str">
            <v>R6</v>
          </cell>
          <cell r="U444" t="str">
            <v>ADM</v>
          </cell>
          <cell r="V444" t="str">
            <v>DN</v>
          </cell>
          <cell r="W444" t="str">
            <v>P</v>
          </cell>
          <cell r="X444" t="str">
            <v>R</v>
          </cell>
        </row>
        <row r="445">
          <cell r="B445">
            <v>3209</v>
          </cell>
          <cell r="C445" t="str">
            <v>ACHAT DE MOBILIER DE BUREAU
1 Perforatrice relieuse combinée et un massicot coupe papier</v>
          </cell>
          <cell r="D445">
            <v>445200</v>
          </cell>
          <cell r="E445">
            <v>445200</v>
          </cell>
          <cell r="F445">
            <v>0</v>
          </cell>
          <cell r="G445">
            <v>0</v>
          </cell>
          <cell r="I445" t="str">
            <v>AVIS</v>
          </cell>
          <cell r="J445" t="str">
            <v>PFF</v>
          </cell>
          <cell r="K445" t="str">
            <v>Pour avis en vue d'etablir la DAC</v>
          </cell>
          <cell r="L445">
            <v>427</v>
          </cell>
          <cell r="M445">
            <v>39373</v>
          </cell>
          <cell r="N445" t="str">
            <v>DAM-6068/06</v>
          </cell>
          <cell r="O445">
            <v>1281</v>
          </cell>
          <cell r="P445" t="str">
            <v>DKI-2495E6114/06</v>
          </cell>
          <cell r="S445" t="str">
            <v>CHARKI</v>
          </cell>
          <cell r="T445" t="str">
            <v>R6</v>
          </cell>
          <cell r="U445" t="str">
            <v>ADM</v>
          </cell>
          <cell r="V445" t="str">
            <v>DN</v>
          </cell>
          <cell r="W445" t="str">
            <v>P</v>
          </cell>
          <cell r="X445" t="str">
            <v>R</v>
          </cell>
        </row>
        <row r="446">
          <cell r="B446">
            <v>3209</v>
          </cell>
          <cell r="C446" t="str">
            <v>ACHAT DE MOBILIER DE BUREAU
20 Armoires 71 Chaises 15 Fauteuils 1 Table ….</v>
          </cell>
          <cell r="N446" t="str">
            <v>DAM-6069/06</v>
          </cell>
          <cell r="O446" t="str">
            <v>2040 à 2049</v>
          </cell>
          <cell r="S446" t="str">
            <v>CHARKI</v>
          </cell>
          <cell r="T446" t="str">
            <v>R6</v>
          </cell>
          <cell r="U446" t="str">
            <v>ADM</v>
          </cell>
          <cell r="V446" t="str">
            <v>DN</v>
          </cell>
          <cell r="W446" t="str">
            <v>P</v>
          </cell>
          <cell r="X446" t="str">
            <v>R</v>
          </cell>
        </row>
        <row r="447">
          <cell r="B447">
            <v>3210</v>
          </cell>
          <cell r="C447" t="str">
            <v>ACHAT D'UN BAIN THERMOSTATE POUR LA VISCOSITE CINEMATIQUE</v>
          </cell>
          <cell r="D447">
            <v>0</v>
          </cell>
          <cell r="E447">
            <v>450000</v>
          </cell>
          <cell r="F447">
            <v>0</v>
          </cell>
          <cell r="G447">
            <v>0</v>
          </cell>
          <cell r="I447" t="str">
            <v>CHT</v>
          </cell>
          <cell r="J447" t="str">
            <v>AD</v>
          </cell>
          <cell r="K447" t="str">
            <v>CHT transmis à AD par le CP</v>
          </cell>
          <cell r="L447">
            <v>86</v>
          </cell>
          <cell r="M447">
            <v>39041</v>
          </cell>
          <cell r="N447" t="str">
            <v>DAM/02/06</v>
          </cell>
          <cell r="P447" t="str">
            <v>DKI-480E6109/06</v>
          </cell>
          <cell r="S447" t="str">
            <v>BENZAKI</v>
          </cell>
          <cell r="T447" t="str">
            <v>R2</v>
          </cell>
          <cell r="U447" t="str">
            <v>ORD</v>
          </cell>
          <cell r="V447" t="str">
            <v>DN</v>
          </cell>
          <cell r="W447" t="str">
            <v>L</v>
          </cell>
          <cell r="X447" t="str">
            <v>R</v>
          </cell>
        </row>
        <row r="448">
          <cell r="B448">
            <v>3211</v>
          </cell>
          <cell r="C448" t="str">
            <v>ACQUISITION  DE  10  BROYEURS  POUR  DESTRUCTION  DE  SERINGUES  USAGEES</v>
          </cell>
          <cell r="D448">
            <v>31200</v>
          </cell>
          <cell r="E448">
            <v>66000</v>
          </cell>
          <cell r="F448">
            <v>0</v>
          </cell>
          <cell r="G448">
            <v>0</v>
          </cell>
          <cell r="I448" t="str">
            <v>CONSUL</v>
          </cell>
          <cell r="J448" t="str">
            <v>AD</v>
          </cell>
          <cell r="K448" t="str">
            <v>DAM pour attribution</v>
          </cell>
          <cell r="L448">
            <v>240</v>
          </cell>
          <cell r="M448">
            <v>38848</v>
          </cell>
          <cell r="N448" t="str">
            <v>DAM-03/06</v>
          </cell>
          <cell r="S448" t="str">
            <v>LAGHRIB</v>
          </cell>
          <cell r="T448" t="str">
            <v>R10</v>
          </cell>
          <cell r="U448" t="str">
            <v>MED</v>
          </cell>
          <cell r="V448" t="str">
            <v>DN</v>
          </cell>
          <cell r="W448" t="str">
            <v>AK</v>
          </cell>
          <cell r="X448" t="str">
            <v>R</v>
          </cell>
        </row>
        <row r="449">
          <cell r="B449">
            <v>3212</v>
          </cell>
          <cell r="C449" t="str">
            <v>RN DE  3  FAUTEUILS  ROULANTS  POUR  HANDICAPES</v>
          </cell>
          <cell r="D449">
            <v>0</v>
          </cell>
          <cell r="E449">
            <v>30000</v>
          </cell>
          <cell r="F449">
            <v>0</v>
          </cell>
          <cell r="G449">
            <v>0</v>
          </cell>
          <cell r="K449" t="str">
            <v>AE n° 3212 de 3960,00 DH</v>
          </cell>
          <cell r="M449">
            <v>38990</v>
          </cell>
          <cell r="N449" t="str">
            <v>DAM-02/06</v>
          </cell>
          <cell r="P449" t="str">
            <v>DP-DKI234E6091/06</v>
          </cell>
          <cell r="S449" t="str">
            <v>LAGHRIB</v>
          </cell>
          <cell r="T449" t="str">
            <v>R10</v>
          </cell>
          <cell r="U449" t="str">
            <v>MED</v>
          </cell>
          <cell r="V449" t="str">
            <v>RN</v>
          </cell>
          <cell r="W449" t="str">
            <v>AK</v>
          </cell>
          <cell r="X449" t="str">
            <v>R</v>
          </cell>
        </row>
        <row r="450">
          <cell r="B450">
            <v>3213</v>
          </cell>
          <cell r="C450" t="str">
            <v>RENOUVELLEMENT  DE  MOBILIER  DE  BUREAU POUR  AK / M</v>
          </cell>
          <cell r="D450">
            <v>0</v>
          </cell>
          <cell r="E450">
            <v>67000</v>
          </cell>
          <cell r="F450">
            <v>0</v>
          </cell>
          <cell r="G450">
            <v>0</v>
          </cell>
          <cell r="K450" t="str">
            <v>AE N°-3213-1de 5616 &amp; 3213-2de 4103 dh</v>
          </cell>
          <cell r="M450">
            <v>39080</v>
          </cell>
          <cell r="N450" t="str">
            <v>DAM-01/06</v>
          </cell>
          <cell r="P450" t="str">
            <v>DP-DKI-78E6075/6</v>
          </cell>
          <cell r="S450" t="str">
            <v>SEMMACH</v>
          </cell>
          <cell r="T450" t="str">
            <v>R6</v>
          </cell>
          <cell r="U450" t="str">
            <v>ADM</v>
          </cell>
          <cell r="V450" t="str">
            <v>RN</v>
          </cell>
          <cell r="W450" t="str">
            <v>AK</v>
          </cell>
          <cell r="X450" t="str">
            <v>R</v>
          </cell>
        </row>
        <row r="451">
          <cell r="B451">
            <v>3214</v>
          </cell>
          <cell r="C451" t="str">
            <v>MATERIEL ELECTRIQUES ET ELECTRONIQUES</v>
          </cell>
          <cell r="D451">
            <v>100000</v>
          </cell>
          <cell r="E451">
            <v>100000</v>
          </cell>
          <cell r="F451">
            <v>0</v>
          </cell>
          <cell r="G451">
            <v>0</v>
          </cell>
          <cell r="I451" t="str">
            <v>CONSUL</v>
          </cell>
          <cell r="J451" t="str">
            <v xml:space="preserve">AD </v>
          </cell>
          <cell r="K451" t="str">
            <v>DPM en consultation (Fax n°415 du 16/10/2007)</v>
          </cell>
          <cell r="L451">
            <v>317</v>
          </cell>
          <cell r="M451">
            <v>39210</v>
          </cell>
          <cell r="N451" t="str">
            <v>DPM-21/07</v>
          </cell>
          <cell r="S451" t="str">
            <v>RAOUIA</v>
          </cell>
          <cell r="T451" t="str">
            <v>R3</v>
          </cell>
          <cell r="U451" t="str">
            <v>ORD</v>
          </cell>
          <cell r="V451" t="str">
            <v>DN</v>
          </cell>
          <cell r="W451" t="str">
            <v>TC</v>
          </cell>
          <cell r="X451" t="str">
            <v>R</v>
          </cell>
        </row>
        <row r="452">
          <cell r="B452">
            <v>3215</v>
          </cell>
          <cell r="C452" t="str">
            <v>RN DE 04 CONVERTISSEURS DE FREQUENCE POUR LES ROUES PELLES DU PARC HUMIDE DE BÉNI-IDIR</v>
          </cell>
          <cell r="D452">
            <v>0</v>
          </cell>
          <cell r="E452">
            <v>480000</v>
          </cell>
          <cell r="F452">
            <v>0</v>
          </cell>
          <cell r="G452">
            <v>0</v>
          </cell>
          <cell r="I452" t="str">
            <v>CONSUL</v>
          </cell>
          <cell r="J452" t="str">
            <v xml:space="preserve">AD </v>
          </cell>
          <cell r="K452" t="str">
            <v>DAM en consultation</v>
          </cell>
          <cell r="L452">
            <v>326</v>
          </cell>
          <cell r="M452">
            <v>38895</v>
          </cell>
          <cell r="N452" t="str">
            <v>DAM-118/06</v>
          </cell>
          <cell r="S452" t="str">
            <v>TOGHZAOUI</v>
          </cell>
          <cell r="T452" t="str">
            <v>R2</v>
          </cell>
          <cell r="U452" t="str">
            <v>ORD</v>
          </cell>
          <cell r="V452" t="str">
            <v>RN</v>
          </cell>
          <cell r="W452" t="str">
            <v>T</v>
          </cell>
          <cell r="X452" t="str">
            <v>R</v>
          </cell>
        </row>
        <row r="453">
          <cell r="B453">
            <v>3216</v>
          </cell>
          <cell r="C453" t="str">
            <v>ACHAT DE 03 MOTEURS MT POUR LA LIAISON ZONE CENTRALE</v>
          </cell>
          <cell r="D453">
            <v>0</v>
          </cell>
          <cell r="E453">
            <v>2000000</v>
          </cell>
          <cell r="F453">
            <v>0</v>
          </cell>
          <cell r="G453">
            <v>0</v>
          </cell>
          <cell r="I453" t="str">
            <v>CHT</v>
          </cell>
          <cell r="J453" t="str">
            <v>PLM</v>
          </cell>
          <cell r="K453" t="str">
            <v>CHT pour attribution</v>
          </cell>
          <cell r="L453">
            <v>323</v>
          </cell>
          <cell r="M453">
            <v>39290</v>
          </cell>
          <cell r="N453" t="str">
            <v>DAM-61/06</v>
          </cell>
          <cell r="S453" t="str">
            <v>TOGHZAOUI</v>
          </cell>
          <cell r="T453" t="str">
            <v>R2</v>
          </cell>
          <cell r="U453" t="str">
            <v>ORD</v>
          </cell>
          <cell r="V453" t="str">
            <v>DN</v>
          </cell>
          <cell r="W453" t="str">
            <v>T</v>
          </cell>
          <cell r="X453" t="str">
            <v>R</v>
          </cell>
        </row>
        <row r="454">
          <cell r="B454">
            <v>3217</v>
          </cell>
          <cell r="C454" t="str">
            <v>ACHAT DE 20 MOTEURS ELECTRIQUES BT POUR LES INSTALLATIONS DE L'ENRICHISSEMENT A SEC, CALCINATION ET ZONE CENTRALE DE BENI-IDIR</v>
          </cell>
          <cell r="D454">
            <v>0</v>
          </cell>
          <cell r="E454">
            <v>480000</v>
          </cell>
          <cell r="F454">
            <v>0</v>
          </cell>
          <cell r="G454">
            <v>0</v>
          </cell>
          <cell r="I454" t="str">
            <v>CONSUL</v>
          </cell>
          <cell r="J454" t="str">
            <v>AD</v>
          </cell>
          <cell r="K454" t="str">
            <v>DAM pour consultation</v>
          </cell>
          <cell r="L454">
            <v>331</v>
          </cell>
          <cell r="M454">
            <v>38896</v>
          </cell>
          <cell r="N454" t="str">
            <v>DAM-94/06</v>
          </cell>
          <cell r="S454" t="str">
            <v>TOGHZAOUI</v>
          </cell>
          <cell r="T454" t="str">
            <v>R2</v>
          </cell>
          <cell r="U454" t="str">
            <v>ORD</v>
          </cell>
          <cell r="V454" t="str">
            <v>DN</v>
          </cell>
          <cell r="W454" t="str">
            <v>T</v>
          </cell>
          <cell r="X454" t="str">
            <v>R</v>
          </cell>
        </row>
        <row r="455">
          <cell r="B455">
            <v>3218</v>
          </cell>
          <cell r="C455" t="str">
            <v>ACHAT DE 03 BASCULES INTEGRATRICES POUR L'UNITE DE BENI-IDIR</v>
          </cell>
          <cell r="D455">
            <v>0</v>
          </cell>
          <cell r="E455">
            <v>480000</v>
          </cell>
          <cell r="F455">
            <v>0</v>
          </cell>
          <cell r="G455">
            <v>0</v>
          </cell>
          <cell r="I455" t="str">
            <v>CONSUL</v>
          </cell>
          <cell r="J455" t="str">
            <v>AD</v>
          </cell>
          <cell r="K455" t="str">
            <v>DAM pour consultation</v>
          </cell>
          <cell r="L455">
            <v>323</v>
          </cell>
          <cell r="M455">
            <v>38889</v>
          </cell>
          <cell r="N455" t="str">
            <v>DAM-88/06</v>
          </cell>
          <cell r="S455" t="str">
            <v>TOGHZAOUI</v>
          </cell>
          <cell r="T455" t="str">
            <v>R2</v>
          </cell>
          <cell r="U455" t="str">
            <v>ORD</v>
          </cell>
          <cell r="V455" t="str">
            <v>DN</v>
          </cell>
          <cell r="W455" t="str">
            <v>T</v>
          </cell>
          <cell r="X455" t="str">
            <v>R</v>
          </cell>
        </row>
        <row r="456">
          <cell r="B456">
            <v>3219</v>
          </cell>
          <cell r="C456" t="str">
            <v>RN DE 02 BASCULE S INTEGRATRICES POUR L'UNITE DE BENI IDIR</v>
          </cell>
          <cell r="D456">
            <v>0</v>
          </cell>
          <cell r="E456">
            <v>350000</v>
          </cell>
          <cell r="F456">
            <v>0</v>
          </cell>
          <cell r="G456">
            <v>0</v>
          </cell>
          <cell r="I456" t="str">
            <v>CONSUL</v>
          </cell>
          <cell r="J456" t="str">
            <v>AD</v>
          </cell>
          <cell r="K456" t="str">
            <v>DAM pour consultation</v>
          </cell>
          <cell r="L456">
            <v>323</v>
          </cell>
          <cell r="M456">
            <v>38889</v>
          </cell>
          <cell r="N456" t="str">
            <v>DAM-82/06</v>
          </cell>
          <cell r="S456" t="str">
            <v>TOGHZAOUI</v>
          </cell>
          <cell r="T456" t="str">
            <v>R2</v>
          </cell>
          <cell r="U456" t="str">
            <v>ORD</v>
          </cell>
          <cell r="V456" t="str">
            <v>RN</v>
          </cell>
          <cell r="W456" t="str">
            <v>T</v>
          </cell>
          <cell r="X456" t="str">
            <v>R</v>
          </cell>
        </row>
        <row r="457">
          <cell r="B457">
            <v>3220</v>
          </cell>
          <cell r="C457" t="str">
            <v>ACHAT DE 40 MOTEURS ELECTRIQUES B.T POUR LES INSTALLATIONS DE L'USINE DE BENI-IDIR</v>
          </cell>
          <cell r="D457">
            <v>0</v>
          </cell>
          <cell r="E457">
            <v>1400000</v>
          </cell>
          <cell r="F457">
            <v>0</v>
          </cell>
          <cell r="G457">
            <v>0</v>
          </cell>
          <cell r="K457" t="str">
            <v>ANNULEE PAR CP</v>
          </cell>
          <cell r="L457">
            <v>480</v>
          </cell>
          <cell r="M457">
            <v>38973</v>
          </cell>
          <cell r="N457" t="str">
            <v>DAM-146/06</v>
          </cell>
          <cell r="S457" t="str">
            <v>TOGHZAOUI</v>
          </cell>
          <cell r="T457" t="str">
            <v>R2</v>
          </cell>
          <cell r="U457" t="str">
            <v>ORD</v>
          </cell>
          <cell r="V457" t="str">
            <v>DN</v>
          </cell>
          <cell r="W457" t="str">
            <v>T</v>
          </cell>
          <cell r="X457" t="str">
            <v>R</v>
          </cell>
        </row>
        <row r="458">
          <cell r="B458">
            <v>3221</v>
          </cell>
          <cell r="C458" t="str">
            <v>ACHAT DES POSTES EMETTEURS / RECEPTEURS POUR PMK/T</v>
          </cell>
          <cell r="D458">
            <v>0</v>
          </cell>
          <cell r="E458">
            <v>1320000</v>
          </cell>
          <cell r="F458">
            <v>0</v>
          </cell>
          <cell r="G458">
            <v>0</v>
          </cell>
          <cell r="I458" t="str">
            <v>CT</v>
          </cell>
          <cell r="J458" t="str">
            <v>DSD/TM</v>
          </cell>
          <cell r="K458" t="str">
            <v>DAM envoyée pour CT</v>
          </cell>
          <cell r="L458">
            <v>177</v>
          </cell>
          <cell r="M458">
            <v>38806</v>
          </cell>
          <cell r="N458" t="str">
            <v>DAM-?</v>
          </cell>
          <cell r="S458" t="str">
            <v>TOGHZAOUI</v>
          </cell>
          <cell r="T458" t="str">
            <v>R2</v>
          </cell>
          <cell r="U458" t="str">
            <v>ORD</v>
          </cell>
          <cell r="V458" t="str">
            <v>DN</v>
          </cell>
          <cell r="W458" t="str">
            <v>T</v>
          </cell>
          <cell r="X458" t="str">
            <v>R</v>
          </cell>
        </row>
        <row r="459">
          <cell r="B459">
            <v>3222</v>
          </cell>
          <cell r="C459" t="str">
            <v>ACHAT DE 05 SECTIONNEURS MT POUR LE POSTE ELECTRIQUE P1 DE BENI-IDIR</v>
          </cell>
          <cell r="D459">
            <v>0</v>
          </cell>
          <cell r="E459">
            <v>490000</v>
          </cell>
          <cell r="F459">
            <v>0</v>
          </cell>
          <cell r="G459">
            <v>0</v>
          </cell>
          <cell r="I459" t="str">
            <v>CONSUL</v>
          </cell>
          <cell r="J459" t="str">
            <v>AD</v>
          </cell>
          <cell r="K459" t="str">
            <v>DAM pour consultation</v>
          </cell>
          <cell r="L459">
            <v>398</v>
          </cell>
          <cell r="M459">
            <v>38925</v>
          </cell>
          <cell r="S459" t="str">
            <v>TOGHZAOUI</v>
          </cell>
          <cell r="T459" t="str">
            <v>R2</v>
          </cell>
          <cell r="U459" t="str">
            <v>ORD</v>
          </cell>
          <cell r="V459" t="str">
            <v>DN</v>
          </cell>
          <cell r="W459" t="str">
            <v>T</v>
          </cell>
          <cell r="X459" t="str">
            <v>R</v>
          </cell>
        </row>
        <row r="460">
          <cell r="B460">
            <v>3223</v>
          </cell>
          <cell r="C460" t="str">
            <v>ACHAT DE 10 SECTIONNEURS MT POUR LES POSTES ELECTRIQUES DES FOURS SECHEURS DE BENI-IDIR</v>
          </cell>
          <cell r="D460">
            <v>0</v>
          </cell>
          <cell r="E460">
            <v>480000</v>
          </cell>
          <cell r="F460">
            <v>0</v>
          </cell>
          <cell r="G460">
            <v>0</v>
          </cell>
          <cell r="K460" t="str">
            <v>ANNULEE PAR CP</v>
          </cell>
          <cell r="S460" t="str">
            <v>TOGHZAOUI</v>
          </cell>
          <cell r="T460" t="str">
            <v>R2</v>
          </cell>
          <cell r="U460" t="str">
            <v>ORD</v>
          </cell>
          <cell r="V460" t="str">
            <v>DN</v>
          </cell>
          <cell r="W460" t="str">
            <v>T</v>
          </cell>
          <cell r="X460" t="str">
            <v>R</v>
          </cell>
        </row>
        <row r="461">
          <cell r="B461">
            <v>3225</v>
          </cell>
          <cell r="C461" t="str">
            <v>ACHAT DE 2 INTERRUPTEURS MT POUR LE POSTE ELECTRIQUE DE PB'2 DE BENI-IDIR</v>
          </cell>
          <cell r="D461">
            <v>0</v>
          </cell>
          <cell r="E461">
            <v>300000</v>
          </cell>
          <cell r="F461">
            <v>0</v>
          </cell>
          <cell r="G461">
            <v>0</v>
          </cell>
          <cell r="I461" t="str">
            <v>CONSUL</v>
          </cell>
          <cell r="J461" t="str">
            <v xml:space="preserve">AD </v>
          </cell>
          <cell r="K461" t="str">
            <v>DAM en consultation</v>
          </cell>
          <cell r="L461">
            <v>418</v>
          </cell>
          <cell r="M461">
            <v>38933</v>
          </cell>
          <cell r="N461" t="str">
            <v>DAM-123/06</v>
          </cell>
          <cell r="S461" t="str">
            <v>TOGHZAOUI</v>
          </cell>
          <cell r="T461" t="str">
            <v>R2</v>
          </cell>
          <cell r="U461" t="str">
            <v>ORD</v>
          </cell>
          <cell r="V461" t="str">
            <v>DN</v>
          </cell>
          <cell r="W461" t="str">
            <v>T</v>
          </cell>
          <cell r="X461" t="str">
            <v>R</v>
          </cell>
        </row>
        <row r="462">
          <cell r="B462">
            <v>3226</v>
          </cell>
          <cell r="C462" t="str">
            <v>ACHAT D'OUTILLAGE COLLECTIF POUR LES ATELIERS DE MAINTENANCE DE PMK/TB</v>
          </cell>
          <cell r="D462">
            <v>0</v>
          </cell>
          <cell r="E462">
            <v>490000</v>
          </cell>
          <cell r="F462">
            <v>0</v>
          </cell>
          <cell r="G462">
            <v>0</v>
          </cell>
          <cell r="I462" t="str">
            <v>CONSUL</v>
          </cell>
          <cell r="J462" t="str">
            <v xml:space="preserve">AD </v>
          </cell>
          <cell r="K462" t="str">
            <v>DAM en consultation</v>
          </cell>
          <cell r="L462">
            <v>398</v>
          </cell>
          <cell r="M462">
            <v>38925</v>
          </cell>
          <cell r="N462" t="str">
            <v>DAM-129/6</v>
          </cell>
          <cell r="S462" t="str">
            <v>TOGHZAOUI</v>
          </cell>
          <cell r="T462" t="str">
            <v>R2</v>
          </cell>
          <cell r="U462" t="str">
            <v>ORD</v>
          </cell>
          <cell r="V462" t="str">
            <v>DN</v>
          </cell>
          <cell r="W462" t="str">
            <v>T</v>
          </cell>
          <cell r="X462" t="str">
            <v>R</v>
          </cell>
        </row>
        <row r="463">
          <cell r="B463">
            <v>3227</v>
          </cell>
          <cell r="C463" t="str">
            <v>ACHAT D'UN SECHEUR D'AIR POUR LE CIRCUIT D'AIR COMPRIME DE L'UNITE DE BENI-IDIR</v>
          </cell>
          <cell r="D463">
            <v>0</v>
          </cell>
          <cell r="E463">
            <v>350000</v>
          </cell>
          <cell r="F463">
            <v>0</v>
          </cell>
          <cell r="G463">
            <v>0</v>
          </cell>
          <cell r="I463" t="str">
            <v>CONSUL</v>
          </cell>
          <cell r="J463" t="str">
            <v xml:space="preserve">AD </v>
          </cell>
          <cell r="K463" t="str">
            <v>DAM en consultation</v>
          </cell>
          <cell r="L463">
            <v>398</v>
          </cell>
          <cell r="M463">
            <v>38925</v>
          </cell>
          <cell r="N463" t="str">
            <v>DAM-128/6</v>
          </cell>
          <cell r="S463" t="str">
            <v>TOGHZAOUI</v>
          </cell>
          <cell r="T463" t="str">
            <v>R2</v>
          </cell>
          <cell r="U463" t="str">
            <v>ORD</v>
          </cell>
          <cell r="V463" t="str">
            <v>DN</v>
          </cell>
          <cell r="W463" t="str">
            <v>T</v>
          </cell>
          <cell r="X463" t="str">
            <v>R</v>
          </cell>
        </row>
        <row r="464">
          <cell r="B464">
            <v>3228</v>
          </cell>
          <cell r="C464" t="str">
            <v xml:space="preserve">ACHAT DE 05 COMPRESSEURS MOBILES ELECTRIQUES POUR L'UNITE DE BENI-IDIR </v>
          </cell>
          <cell r="D464">
            <v>0</v>
          </cell>
          <cell r="E464">
            <v>350000</v>
          </cell>
          <cell r="F464">
            <v>0</v>
          </cell>
          <cell r="G464">
            <v>0</v>
          </cell>
          <cell r="I464" t="str">
            <v>CONSUL</v>
          </cell>
          <cell r="J464" t="str">
            <v xml:space="preserve">AD </v>
          </cell>
          <cell r="K464" t="str">
            <v>DAM en consultation</v>
          </cell>
          <cell r="L464">
            <v>326</v>
          </cell>
          <cell r="M464">
            <v>38895</v>
          </cell>
          <cell r="N464" t="str">
            <v>DAM-212/06S</v>
          </cell>
          <cell r="S464" t="str">
            <v>TOGHZAOUI</v>
          </cell>
          <cell r="T464" t="str">
            <v>R2</v>
          </cell>
          <cell r="U464" t="str">
            <v>ORD</v>
          </cell>
          <cell r="V464" t="str">
            <v>DN</v>
          </cell>
          <cell r="W464" t="str">
            <v>T</v>
          </cell>
          <cell r="X464" t="str">
            <v>R</v>
          </cell>
        </row>
        <row r="465">
          <cell r="B465">
            <v>3229</v>
          </cell>
          <cell r="C465" t="str">
            <v>ACHAT DE 20 MOTEURS ELECTRIQUES BT POUR LES FOURS SECHEURS DE BENI-IDIR</v>
          </cell>
          <cell r="D465">
            <v>0</v>
          </cell>
          <cell r="E465">
            <v>4800000</v>
          </cell>
          <cell r="F465">
            <v>0</v>
          </cell>
          <cell r="G465">
            <v>0</v>
          </cell>
          <cell r="I465" t="str">
            <v>CONSUL</v>
          </cell>
          <cell r="J465" t="str">
            <v>PFM/AC</v>
          </cell>
          <cell r="K465" t="str">
            <v>DAM approuvée par CT et transmise pour consultation</v>
          </cell>
          <cell r="L465">
            <v>667</v>
          </cell>
          <cell r="M465">
            <v>39055</v>
          </cell>
          <cell r="N465" t="str">
            <v>DAM-122/06</v>
          </cell>
          <cell r="S465" t="str">
            <v>TOGHZAOUI</v>
          </cell>
          <cell r="T465" t="str">
            <v>R2</v>
          </cell>
          <cell r="U465" t="str">
            <v>ORD</v>
          </cell>
          <cell r="V465" t="str">
            <v>DN</v>
          </cell>
          <cell r="W465" t="str">
            <v>T</v>
          </cell>
          <cell r="X465" t="str">
            <v>R</v>
          </cell>
        </row>
        <row r="466">
          <cell r="B466">
            <v>3230</v>
          </cell>
          <cell r="C466" t="str">
            <v>ACHAT DE 03 VARIATEURS DE VITESSE POUR LES POMPES FUEL DES FOURS SECHEURS DE L'UNITE DE BENI-IDIR</v>
          </cell>
          <cell r="D466">
            <v>0</v>
          </cell>
          <cell r="E466">
            <v>480000</v>
          </cell>
          <cell r="F466">
            <v>0</v>
          </cell>
          <cell r="G466">
            <v>0</v>
          </cell>
          <cell r="S466" t="str">
            <v>TOGHZAOUI</v>
          </cell>
          <cell r="T466" t="str">
            <v>R2</v>
          </cell>
          <cell r="U466" t="str">
            <v>ORD</v>
          </cell>
          <cell r="V466" t="str">
            <v>DN</v>
          </cell>
          <cell r="W466" t="str">
            <v>T</v>
          </cell>
          <cell r="X466" t="str">
            <v>R</v>
          </cell>
        </row>
        <row r="467">
          <cell r="B467">
            <v>3231</v>
          </cell>
          <cell r="C467" t="str">
            <v>RN DES APPAREILS TELEPHONIQUES DES SERVICES DE PMK/T</v>
          </cell>
          <cell r="D467">
            <v>134000</v>
          </cell>
          <cell r="E467">
            <v>134000</v>
          </cell>
          <cell r="F467">
            <v>0</v>
          </cell>
          <cell r="G467">
            <v>0</v>
          </cell>
          <cell r="I467" t="str">
            <v>AT.AE</v>
          </cell>
          <cell r="J467" t="str">
            <v>PFF/CI</v>
          </cell>
          <cell r="K467" t="str">
            <v>DAE N°-3231-1 DE 35 568,00 DH</v>
          </cell>
          <cell r="L467">
            <v>178</v>
          </cell>
          <cell r="M467">
            <v>39197</v>
          </cell>
          <cell r="N467" t="str">
            <v>DAM-41/06</v>
          </cell>
          <cell r="S467" t="str">
            <v>MANSOURI</v>
          </cell>
          <cell r="T467" t="str">
            <v>R6</v>
          </cell>
          <cell r="U467" t="str">
            <v>ADM</v>
          </cell>
          <cell r="V467" t="str">
            <v>RN</v>
          </cell>
          <cell r="W467" t="str">
            <v>T</v>
          </cell>
          <cell r="X467" t="str">
            <v>R</v>
          </cell>
        </row>
        <row r="468">
          <cell r="B468">
            <v>3232</v>
          </cell>
          <cell r="C468" t="str">
            <v>RN DU MATERIEL DE CLIMATISATION ET DE FROID POUR LES SERVICES PMK/TS ET PMK/TM/MG</v>
          </cell>
          <cell r="D468">
            <v>0</v>
          </cell>
          <cell r="E468">
            <v>30000</v>
          </cell>
          <cell r="F468">
            <v>0</v>
          </cell>
          <cell r="G468">
            <v>0</v>
          </cell>
          <cell r="I468" t="str">
            <v>CONSUL</v>
          </cell>
          <cell r="J468" t="str">
            <v>AD</v>
          </cell>
          <cell r="K468" t="str">
            <v>DAM pour consultation</v>
          </cell>
          <cell r="L468">
            <v>303</v>
          </cell>
          <cell r="M468">
            <v>38870</v>
          </cell>
          <cell r="N468" t="str">
            <v>DAM/103/06</v>
          </cell>
          <cell r="P468" t="str">
            <v>DKI285E6370/06</v>
          </cell>
          <cell r="S468" t="str">
            <v>MANSOURI</v>
          </cell>
          <cell r="T468" t="str">
            <v>R6</v>
          </cell>
          <cell r="U468" t="str">
            <v>ADM</v>
          </cell>
          <cell r="V468" t="str">
            <v>RN</v>
          </cell>
          <cell r="W468" t="str">
            <v>T</v>
          </cell>
          <cell r="X468" t="str">
            <v>R</v>
          </cell>
        </row>
        <row r="469">
          <cell r="B469">
            <v>3233</v>
          </cell>
          <cell r="C469" t="str">
            <v>RN DU MOBILIER ADMINISTRATIF DES SERVICES PMK/TS ET PMK/TM/MG</v>
          </cell>
          <cell r="D469">
            <v>388000</v>
          </cell>
          <cell r="E469">
            <v>388000</v>
          </cell>
          <cell r="F469">
            <v>0</v>
          </cell>
          <cell r="G469">
            <v>0</v>
          </cell>
          <cell r="I469" t="str">
            <v>AVIS</v>
          </cell>
          <cell r="J469" t="str">
            <v>PFF/CI</v>
          </cell>
          <cell r="K469" t="str">
            <v>Pour avis en vue d'établir la DAC</v>
          </cell>
          <cell r="L469">
            <v>234</v>
          </cell>
          <cell r="M469">
            <v>39238</v>
          </cell>
          <cell r="N469" t="str">
            <v>DAM-105/6</v>
          </cell>
          <cell r="S469" t="str">
            <v>MANSOURI</v>
          </cell>
          <cell r="T469" t="str">
            <v>R6</v>
          </cell>
          <cell r="U469" t="str">
            <v>ADM</v>
          </cell>
          <cell r="V469" t="str">
            <v>RN</v>
          </cell>
          <cell r="W469" t="str">
            <v>T</v>
          </cell>
          <cell r="X469" t="str">
            <v>R</v>
          </cell>
        </row>
        <row r="470">
          <cell r="B470">
            <v>3234</v>
          </cell>
          <cell r="C470" t="str">
            <v>ACHAT DES TABLES POUR LES SALLES DE REUNIONS DE PMK/T</v>
          </cell>
          <cell r="D470">
            <v>183000</v>
          </cell>
          <cell r="E470">
            <v>183000</v>
          </cell>
          <cell r="F470">
            <v>0</v>
          </cell>
          <cell r="G470">
            <v>0</v>
          </cell>
          <cell r="I470" t="str">
            <v>AVIS</v>
          </cell>
          <cell r="J470" t="str">
            <v>PFF/CI</v>
          </cell>
          <cell r="K470" t="str">
            <v>Pour avis en vue d'établir la DAC</v>
          </cell>
          <cell r="L470">
            <v>361</v>
          </cell>
          <cell r="M470">
            <v>39325</v>
          </cell>
          <cell r="N470" t="str">
            <v>DAM-431/06</v>
          </cell>
          <cell r="S470" t="str">
            <v>MANSOURI</v>
          </cell>
          <cell r="T470" t="str">
            <v>R6</v>
          </cell>
          <cell r="U470" t="str">
            <v>ADM</v>
          </cell>
          <cell r="V470" t="str">
            <v>DN</v>
          </cell>
          <cell r="W470" t="str">
            <v>T</v>
          </cell>
          <cell r="X470" t="str">
            <v>R</v>
          </cell>
        </row>
        <row r="471">
          <cell r="B471">
            <v>3235</v>
          </cell>
          <cell r="C471" t="str">
            <v xml:space="preserve">ACHAT D'OUTILLAGE ET APPAREILS POUR L'ATELIER CENTRAL </v>
          </cell>
          <cell r="D471">
            <v>15000</v>
          </cell>
          <cell r="E471">
            <v>375000</v>
          </cell>
          <cell r="F471">
            <v>0</v>
          </cell>
          <cell r="G471">
            <v>0</v>
          </cell>
          <cell r="I471" t="str">
            <v>AT.AE</v>
          </cell>
          <cell r="J471" t="str">
            <v>PFF/CE</v>
          </cell>
          <cell r="K471" t="str">
            <v>DAE  n° 3235_1</v>
          </cell>
          <cell r="L471">
            <v>89</v>
          </cell>
          <cell r="M471">
            <v>39139</v>
          </cell>
          <cell r="N471" t="str">
            <v>DAM-14-13-12</v>
          </cell>
          <cell r="S471" t="str">
            <v>OUAMALICH</v>
          </cell>
          <cell r="T471" t="str">
            <v>R2</v>
          </cell>
          <cell r="U471" t="str">
            <v>ORD</v>
          </cell>
          <cell r="V471" t="str">
            <v>DN</v>
          </cell>
          <cell r="W471" t="str">
            <v>T</v>
          </cell>
          <cell r="X471" t="str">
            <v>R</v>
          </cell>
        </row>
        <row r="472">
          <cell r="B472">
            <v>3236</v>
          </cell>
          <cell r="C472" t="str">
            <v>RN DE 05 COMPRESSEURS D'AIR POUR LES LOCOTRACTEURS</v>
          </cell>
          <cell r="D472">
            <v>0</v>
          </cell>
          <cell r="E472">
            <v>175000</v>
          </cell>
          <cell r="F472">
            <v>0</v>
          </cell>
          <cell r="G472">
            <v>0</v>
          </cell>
          <cell r="I472" t="str">
            <v>CONSUL</v>
          </cell>
          <cell r="J472" t="str">
            <v>AD</v>
          </cell>
          <cell r="K472" t="str">
            <v>DAM pour attribution</v>
          </cell>
          <cell r="L472" t="str">
            <v>TG 569/B</v>
          </cell>
          <cell r="M472">
            <v>38798</v>
          </cell>
          <cell r="N472" t="str">
            <v>DAM 44/06</v>
          </cell>
          <cell r="S472" t="str">
            <v>OUAMALICH</v>
          </cell>
          <cell r="T472" t="str">
            <v>R2</v>
          </cell>
          <cell r="U472" t="str">
            <v>ORD</v>
          </cell>
          <cell r="V472" t="str">
            <v>DN</v>
          </cell>
          <cell r="W472" t="str">
            <v>T</v>
          </cell>
          <cell r="X472" t="str">
            <v>R</v>
          </cell>
        </row>
        <row r="473">
          <cell r="B473">
            <v>3237</v>
          </cell>
          <cell r="C473" t="str">
            <v>RN DE 09 GROUPES MOTOPOMPES A EAU DES CHAUDIERES 1 ET 2 DE BENI-IDIR</v>
          </cell>
          <cell r="D473">
            <v>0</v>
          </cell>
          <cell r="E473">
            <v>480000</v>
          </cell>
          <cell r="F473">
            <v>0</v>
          </cell>
          <cell r="G473">
            <v>0</v>
          </cell>
          <cell r="I473" t="str">
            <v>CONSUL</v>
          </cell>
          <cell r="J473" t="str">
            <v>AD</v>
          </cell>
          <cell r="K473" t="str">
            <v>DAM pour consultation</v>
          </cell>
          <cell r="L473">
            <v>65</v>
          </cell>
          <cell r="M473">
            <v>38747</v>
          </cell>
          <cell r="N473" t="str">
            <v>DAM-20/06</v>
          </cell>
          <cell r="S473" t="str">
            <v>JERRAR</v>
          </cell>
          <cell r="T473" t="str">
            <v>R2</v>
          </cell>
          <cell r="U473" t="str">
            <v>ORD</v>
          </cell>
          <cell r="V473" t="str">
            <v>RN</v>
          </cell>
          <cell r="W473" t="str">
            <v>T</v>
          </cell>
          <cell r="X473" t="str">
            <v>R</v>
          </cell>
        </row>
        <row r="474">
          <cell r="B474">
            <v>3238</v>
          </cell>
          <cell r="C474" t="str">
            <v xml:space="preserve">RN DE 07 REDUCTEURS DE VITESSE DES INSTALLATIONS </v>
          </cell>
          <cell r="D474">
            <v>0</v>
          </cell>
          <cell r="E474">
            <v>5400000</v>
          </cell>
          <cell r="F474">
            <v>0</v>
          </cell>
          <cell r="G474">
            <v>0</v>
          </cell>
          <cell r="I474" t="str">
            <v>CT</v>
          </cell>
          <cell r="J474" t="str">
            <v>CP</v>
          </cell>
          <cell r="K474" t="str">
            <v>En retour suite aux remarques DSD</v>
          </cell>
          <cell r="L474">
            <v>344</v>
          </cell>
          <cell r="M474">
            <v>38896</v>
          </cell>
          <cell r="N474" t="str">
            <v>DAM-108/06</v>
          </cell>
          <cell r="S474" t="str">
            <v>JERRAR</v>
          </cell>
          <cell r="T474" t="str">
            <v>R2</v>
          </cell>
          <cell r="U474" t="str">
            <v>ORD</v>
          </cell>
          <cell r="V474" t="str">
            <v>RN</v>
          </cell>
          <cell r="W474" t="str">
            <v>T</v>
          </cell>
          <cell r="X474" t="str">
            <v>R</v>
          </cell>
        </row>
        <row r="475">
          <cell r="B475">
            <v>3239</v>
          </cell>
          <cell r="C475" t="str">
            <v>FOURNITURE ET INSTALLATION DES EQUIPEMENTS DE DEPOUSSIERAGE DES CIRCUITS DE MANUTENTION DU PRODUIT SECHE ET DES FINES A L'USINE DE BENI-IDIR</v>
          </cell>
          <cell r="D475">
            <v>0</v>
          </cell>
          <cell r="E475">
            <v>25000000</v>
          </cell>
          <cell r="F475">
            <v>0</v>
          </cell>
          <cell r="G475">
            <v>0</v>
          </cell>
          <cell r="I475" t="str">
            <v>CT</v>
          </cell>
          <cell r="J475" t="str">
            <v>DAC/TM</v>
          </cell>
          <cell r="K475" t="str">
            <v>DAM envoyer pour CT
DAL et DAC en retour suite au remarque de DAC</v>
          </cell>
          <cell r="L475">
            <v>473</v>
          </cell>
          <cell r="M475">
            <v>39254</v>
          </cell>
          <cell r="N475" t="str">
            <v>DPM-16/07</v>
          </cell>
          <cell r="S475" t="str">
            <v>BENCHEKROUN</v>
          </cell>
          <cell r="T475" t="str">
            <v>R7</v>
          </cell>
          <cell r="U475" t="str">
            <v>ORD</v>
          </cell>
          <cell r="V475" t="str">
            <v>DN</v>
          </cell>
          <cell r="W475" t="str">
            <v>T</v>
          </cell>
          <cell r="X475" t="str">
            <v>R</v>
          </cell>
        </row>
        <row r="476">
          <cell r="B476">
            <v>3240</v>
          </cell>
          <cell r="C476" t="str">
            <v>EQUIPEMENT DES FOURS SECHEURS DU COMPLEXE OUED ZEM (COZ) PAR DES SYSTEMES DE COMBUSTION DE COKE DE PETROLE SANS SUPPORT FUEL</v>
          </cell>
          <cell r="D476">
            <v>0</v>
          </cell>
          <cell r="E476">
            <v>0</v>
          </cell>
          <cell r="F476">
            <v>28000000</v>
          </cell>
          <cell r="G476">
            <v>0</v>
          </cell>
          <cell r="I476" t="str">
            <v>CONSUL</v>
          </cell>
          <cell r="J476" t="str">
            <v>PFM/M</v>
          </cell>
          <cell r="K476" t="str">
            <v>DPM-29  de 28 MDH transmise pour consultation</v>
          </cell>
          <cell r="L476">
            <v>672</v>
          </cell>
          <cell r="M476">
            <v>39062</v>
          </cell>
          <cell r="N476" t="str">
            <v>DPM-29/06</v>
          </cell>
          <cell r="S476" t="str">
            <v>ALOUANI</v>
          </cell>
          <cell r="T476" t="str">
            <v>R1</v>
          </cell>
          <cell r="U476" t="str">
            <v>ORD</v>
          </cell>
          <cell r="V476" t="str">
            <v>DN</v>
          </cell>
          <cell r="W476" t="str">
            <v>T</v>
          </cell>
          <cell r="X476" t="str">
            <v>R</v>
          </cell>
        </row>
        <row r="477">
          <cell r="B477">
            <v>3242</v>
          </cell>
          <cell r="C477" t="str">
            <v>Reprise et liaison EXT ZC sud et étude et achat des terrains liaison MEA - PW</v>
          </cell>
          <cell r="D477">
            <v>5000000</v>
          </cell>
          <cell r="E477">
            <v>30000000</v>
          </cell>
          <cell r="F477">
            <v>135000000</v>
          </cell>
          <cell r="G477">
            <v>15000000</v>
          </cell>
          <cell r="I477" t="str">
            <v>AVIS</v>
          </cell>
          <cell r="J477" t="str">
            <v>CP-PFF</v>
          </cell>
          <cell r="K477" t="str">
            <v>Attente avis PFF &amp; DSD.En retour suite aux remarques DAC 365 du 05/06/2007</v>
          </cell>
          <cell r="L477">
            <v>393</v>
          </cell>
          <cell r="M477">
            <v>39248</v>
          </cell>
          <cell r="S477" t="str">
            <v>BOUALAM</v>
          </cell>
          <cell r="T477" t="str">
            <v>R1</v>
          </cell>
          <cell r="U477" t="str">
            <v>IMP</v>
          </cell>
          <cell r="V477" t="str">
            <v>DN</v>
          </cell>
          <cell r="W477" t="str">
            <v>L</v>
          </cell>
          <cell r="X477" t="str">
            <v>R</v>
          </cell>
        </row>
        <row r="478">
          <cell r="B478">
            <v>3243</v>
          </cell>
          <cell r="C478" t="str">
            <v>REALISATION D'UNE  UNITE DE CLASSIFICATION PNEUMATIQUE DES REJETS DE L'USINE D'ENRICHISSEMENT A SEC POUR LA RECUPERATION DE LA TRANCHE GRENUE RICHE EN P2O5</v>
          </cell>
          <cell r="D478">
            <v>0</v>
          </cell>
          <cell r="E478">
            <v>15000000</v>
          </cell>
          <cell r="F478">
            <v>0</v>
          </cell>
          <cell r="G478">
            <v>0</v>
          </cell>
          <cell r="I478" t="str">
            <v>AVIS</v>
          </cell>
          <cell r="J478" t="str">
            <v>PFF/CI</v>
          </cell>
          <cell r="K478" t="str">
            <v>Avis favorable de DAC transmise à PFF le 17/04/2006  pour avis en vue d'établir DAC et DAL . (DSD/TM demande un seul four pour essai).</v>
          </cell>
          <cell r="L478">
            <v>545</v>
          </cell>
          <cell r="M478">
            <v>39003</v>
          </cell>
          <cell r="S478" t="str">
            <v>NOUARI</v>
          </cell>
          <cell r="T478" t="str">
            <v>R1</v>
          </cell>
          <cell r="U478" t="str">
            <v>IMP</v>
          </cell>
          <cell r="V478" t="str">
            <v>DN</v>
          </cell>
          <cell r="W478" t="str">
            <v>T</v>
          </cell>
          <cell r="X478" t="str">
            <v>R</v>
          </cell>
        </row>
        <row r="479">
          <cell r="B479">
            <v>3244</v>
          </cell>
          <cell r="C479" t="str">
            <v>ACHAT DE 69 EXTINCTEURS POUR L'EQUIPEMENT DES INSTALLATIONS ET LOCAUX EN MOYENS DE DCI, DANS LE CADRE DU REVAMPING DE LA LAVERIE DAOUI</v>
          </cell>
          <cell r="D479">
            <v>172300</v>
          </cell>
          <cell r="E479">
            <v>172300</v>
          </cell>
          <cell r="F479">
            <v>0</v>
          </cell>
          <cell r="G479">
            <v>0</v>
          </cell>
          <cell r="I479" t="str">
            <v>AT.AE</v>
          </cell>
          <cell r="J479" t="str">
            <v>CP</v>
          </cell>
          <cell r="K479" t="str">
            <v>DAE N°-3244-1 de 59 160,00 DH (en retour pour saisir sur 2007)</v>
          </cell>
          <cell r="L479">
            <v>424</v>
          </cell>
          <cell r="M479">
            <v>39272</v>
          </cell>
          <cell r="N479" t="str">
            <v>DAM-21/06</v>
          </cell>
          <cell r="S479" t="str">
            <v>ABBOUDE</v>
          </cell>
          <cell r="T479" t="str">
            <v>R7</v>
          </cell>
          <cell r="U479" t="str">
            <v>ORD</v>
          </cell>
          <cell r="V479" t="str">
            <v>DN</v>
          </cell>
          <cell r="W479" t="str">
            <v>T</v>
          </cell>
          <cell r="X479" t="str">
            <v>R</v>
          </cell>
        </row>
        <row r="480">
          <cell r="B480">
            <v>3245</v>
          </cell>
          <cell r="C480" t="str">
            <v>RN D'UNE TRONCONNEUSE A CHAINE POUR LA DCI DE PMK/T</v>
          </cell>
          <cell r="D480">
            <v>15000</v>
          </cell>
          <cell r="E480">
            <v>15000</v>
          </cell>
          <cell r="F480">
            <v>0</v>
          </cell>
          <cell r="G480">
            <v>0</v>
          </cell>
          <cell r="I480" t="str">
            <v>CONSUL</v>
          </cell>
          <cell r="J480" t="str">
            <v>AD</v>
          </cell>
          <cell r="K480" t="str">
            <v>DAM pour attribution</v>
          </cell>
          <cell r="L480">
            <v>440</v>
          </cell>
          <cell r="M480">
            <v>39283</v>
          </cell>
          <cell r="N480" t="str">
            <v>DAM-102/07</v>
          </cell>
          <cell r="O480">
            <v>7573</v>
          </cell>
          <cell r="S480" t="str">
            <v>ASSOUD</v>
          </cell>
          <cell r="T480" t="str">
            <v>R7</v>
          </cell>
          <cell r="U480" t="str">
            <v>ORD</v>
          </cell>
          <cell r="V480" t="str">
            <v>RN</v>
          </cell>
          <cell r="W480" t="str">
            <v>T</v>
          </cell>
          <cell r="X480" t="str">
            <v>R</v>
          </cell>
        </row>
        <row r="481">
          <cell r="B481">
            <v>3246</v>
          </cell>
          <cell r="C481" t="str">
            <v xml:space="preserve">RN D'UNE ELECTROPOMPE SUBMERSIBLE POUR LA DCI </v>
          </cell>
          <cell r="D481">
            <v>130000</v>
          </cell>
          <cell r="E481">
            <v>80000</v>
          </cell>
          <cell r="F481">
            <v>0</v>
          </cell>
          <cell r="G481">
            <v>0</v>
          </cell>
          <cell r="I481" t="str">
            <v>AT.AE</v>
          </cell>
          <cell r="J481" t="str">
            <v>PFF/CI</v>
          </cell>
          <cell r="K481" t="str">
            <v>AE IV-3246-1 de 1667,72 dh
AE IV-3246-1 de 50000 dh + DIB/C.</v>
          </cell>
          <cell r="L481">
            <v>251</v>
          </cell>
          <cell r="M481">
            <v>39245</v>
          </cell>
          <cell r="N481" t="str">
            <v>DAM-23/06</v>
          </cell>
          <cell r="P481" t="str">
            <v>DKI301E6296/06</v>
          </cell>
          <cell r="S481" t="str">
            <v>ASSOUD</v>
          </cell>
          <cell r="T481" t="str">
            <v>R7</v>
          </cell>
          <cell r="U481" t="str">
            <v>ORD</v>
          </cell>
          <cell r="V481" t="str">
            <v>RN</v>
          </cell>
          <cell r="W481" t="str">
            <v>T</v>
          </cell>
          <cell r="X481" t="str">
            <v>R</v>
          </cell>
        </row>
        <row r="482">
          <cell r="B482">
            <v>3247</v>
          </cell>
          <cell r="C482" t="str">
            <v xml:space="preserve">3 STERILISATEURS ET 3 PARAVENTS POUR POSTES SECOURS </v>
          </cell>
          <cell r="D482">
            <v>133607</v>
          </cell>
          <cell r="E482">
            <v>102000</v>
          </cell>
          <cell r="F482">
            <v>0</v>
          </cell>
          <cell r="G482">
            <v>0</v>
          </cell>
          <cell r="I482" t="str">
            <v>AT.AE</v>
          </cell>
          <cell r="J482" t="str">
            <v>PFF/CI</v>
          </cell>
          <cell r="K482" t="str">
            <v>DAE N°-3247-1 DE 31606,52 DH</v>
          </cell>
          <cell r="L482" t="str">
            <v>TG 583/B</v>
          </cell>
          <cell r="M482">
            <v>38798</v>
          </cell>
          <cell r="N482" t="str">
            <v>DAM -24/06</v>
          </cell>
          <cell r="S482" t="str">
            <v>ASSOUD</v>
          </cell>
          <cell r="T482" t="str">
            <v>R7</v>
          </cell>
          <cell r="U482" t="str">
            <v>ORD</v>
          </cell>
          <cell r="V482" t="str">
            <v>DN</v>
          </cell>
          <cell r="W482" t="str">
            <v>T</v>
          </cell>
          <cell r="X482" t="str">
            <v>R</v>
          </cell>
        </row>
        <row r="483">
          <cell r="B483">
            <v>3248</v>
          </cell>
          <cell r="C483" t="str">
            <v>RN DU VEHICULE DE PREMIER SECOURS DE DCI DE PMK/TD</v>
          </cell>
          <cell r="D483">
            <v>0</v>
          </cell>
          <cell r="E483">
            <v>1000000</v>
          </cell>
          <cell r="F483">
            <v>0</v>
          </cell>
          <cell r="G483">
            <v>0</v>
          </cell>
          <cell r="I483" t="str">
            <v>CONSUL</v>
          </cell>
          <cell r="J483" t="str">
            <v>PFM/AC</v>
          </cell>
          <cell r="K483" t="str">
            <v>DAM pour consultation</v>
          </cell>
          <cell r="L483">
            <v>213</v>
          </cell>
          <cell r="M483">
            <v>38827</v>
          </cell>
          <cell r="N483" t="str">
            <v>DAM-48/06</v>
          </cell>
          <cell r="S483" t="str">
            <v>ASSOUD</v>
          </cell>
          <cell r="T483" t="str">
            <v>R7</v>
          </cell>
          <cell r="U483" t="str">
            <v>ORD</v>
          </cell>
          <cell r="V483" t="str">
            <v>RN</v>
          </cell>
          <cell r="W483" t="str">
            <v>T</v>
          </cell>
          <cell r="X483" t="str">
            <v>R</v>
          </cell>
        </row>
        <row r="484">
          <cell r="B484">
            <v>3249</v>
          </cell>
          <cell r="C484" t="str">
            <v xml:space="preserve">RN 06 APPAREILS RESPIRATOIRES ISOLANTS DCI </v>
          </cell>
          <cell r="D484">
            <v>180000</v>
          </cell>
          <cell r="E484">
            <v>180000</v>
          </cell>
          <cell r="F484">
            <v>0</v>
          </cell>
          <cell r="G484">
            <v>0</v>
          </cell>
          <cell r="I484" t="str">
            <v>AT.AE</v>
          </cell>
          <cell r="J484" t="str">
            <v>PFF/CI</v>
          </cell>
          <cell r="K484" t="str">
            <v>DAE N°-3291-1 de 68 400,00 DH</v>
          </cell>
          <cell r="L484" t="str">
            <v>152-221</v>
          </cell>
          <cell r="M484">
            <v>39177</v>
          </cell>
          <cell r="N484" t="str">
            <v>DAM 25</v>
          </cell>
          <cell r="S484" t="str">
            <v>ASSOUD</v>
          </cell>
          <cell r="T484" t="str">
            <v>R7</v>
          </cell>
          <cell r="U484" t="str">
            <v>ORD</v>
          </cell>
          <cell r="V484" t="str">
            <v>RN</v>
          </cell>
          <cell r="W484" t="str">
            <v>T</v>
          </cell>
          <cell r="X484" t="str">
            <v>R</v>
          </cell>
        </row>
        <row r="485">
          <cell r="B485">
            <v>3250</v>
          </cell>
          <cell r="C485" t="str">
            <v>RN DE 07 INHALATEURS D'OXYGENE POUR LES POSTES DE SECOURS ET LES AMBULANCES DE PMK/T</v>
          </cell>
          <cell r="D485">
            <v>251580</v>
          </cell>
          <cell r="E485">
            <v>168000</v>
          </cell>
          <cell r="F485">
            <v>0</v>
          </cell>
          <cell r="G485">
            <v>0</v>
          </cell>
          <cell r="K485" t="str">
            <v>DAE N°-3250-1 DE 83580 DH</v>
          </cell>
          <cell r="L485">
            <v>693</v>
          </cell>
          <cell r="M485">
            <v>39076</v>
          </cell>
          <cell r="S485" t="str">
            <v>ASSOUD</v>
          </cell>
          <cell r="T485" t="str">
            <v>R7</v>
          </cell>
          <cell r="U485" t="str">
            <v>ORD</v>
          </cell>
          <cell r="V485" t="str">
            <v>RN</v>
          </cell>
          <cell r="W485" t="str">
            <v>T</v>
          </cell>
          <cell r="X485" t="str">
            <v>R</v>
          </cell>
        </row>
        <row r="486">
          <cell r="B486">
            <v>3251</v>
          </cell>
          <cell r="C486" t="str">
            <v>ACHAT DE MATERIEL D'HYGIENE ET DE SECURITE POUR LES POSTES DE SECOURS, REFECTOIRES, BUVETTES ET LA NOUVELLE USINE DE FLOTTATION DE PMK/T</v>
          </cell>
          <cell r="D486">
            <v>239000</v>
          </cell>
          <cell r="E486">
            <v>239000</v>
          </cell>
          <cell r="F486">
            <v>0</v>
          </cell>
          <cell r="G486">
            <v>0</v>
          </cell>
          <cell r="I486" t="str">
            <v>AVIS</v>
          </cell>
          <cell r="J486" t="str">
            <v>PFF/CI</v>
          </cell>
          <cell r="K486" t="str">
            <v>Pour avis en vue d'établir la DAC
E-mail a PFF le 21/09/2007</v>
          </cell>
          <cell r="L486">
            <v>650</v>
          </cell>
          <cell r="M486">
            <v>39045</v>
          </cell>
          <cell r="S486" t="str">
            <v>ASSOUD</v>
          </cell>
          <cell r="T486" t="str">
            <v>R7</v>
          </cell>
          <cell r="U486" t="str">
            <v>ORD</v>
          </cell>
          <cell r="V486" t="str">
            <v>DN</v>
          </cell>
          <cell r="W486" t="str">
            <v>T</v>
          </cell>
          <cell r="X486" t="str">
            <v>R</v>
          </cell>
        </row>
        <row r="487">
          <cell r="B487">
            <v>3252</v>
          </cell>
          <cell r="C487" t="str">
            <v>RN DE 08 CAMIONS ( 5 en lise1 et 3 en liste 2)</v>
          </cell>
          <cell r="D487">
            <v>0</v>
          </cell>
          <cell r="E487">
            <v>3000000</v>
          </cell>
          <cell r="F487">
            <v>3000000</v>
          </cell>
          <cell r="G487">
            <v>0</v>
          </cell>
          <cell r="I487" t="str">
            <v>AVIS+CONSUL</v>
          </cell>
          <cell r="J487" t="str">
            <v>DSD/TM</v>
          </cell>
          <cell r="K487" t="str">
            <v>Justification+DPM en réponse aux remarques DSD</v>
          </cell>
          <cell r="L487">
            <v>439</v>
          </cell>
          <cell r="M487">
            <v>38929</v>
          </cell>
          <cell r="N487" t="str">
            <v>DAM-215/06</v>
          </cell>
          <cell r="S487" t="str">
            <v>LAHMIDI</v>
          </cell>
          <cell r="T487" t="str">
            <v>R2</v>
          </cell>
          <cell r="U487" t="str">
            <v>ORD</v>
          </cell>
          <cell r="V487" t="str">
            <v>RN</v>
          </cell>
          <cell r="W487" t="str">
            <v>T</v>
          </cell>
          <cell r="X487" t="str">
            <v>R</v>
          </cell>
        </row>
        <row r="488">
          <cell r="B488">
            <v>3254</v>
          </cell>
          <cell r="C488" t="str">
            <v>ETUDE, FOURNITURE ET INSTALLATION D'UNE LAVERIE POUR L'ENRICHISSEMENT DES PHOSPHATES BT ET TBT</v>
          </cell>
          <cell r="D488">
            <v>10000000</v>
          </cell>
          <cell r="E488">
            <v>150000000</v>
          </cell>
          <cell r="F488">
            <v>300000000</v>
          </cell>
          <cell r="G488">
            <v>150000000</v>
          </cell>
          <cell r="I488" t="str">
            <v>Lettre</v>
          </cell>
          <cell r="J488" t="str">
            <v>PM</v>
          </cell>
          <cell r="K488" t="str">
            <v xml:space="preserve">Lettre transmise à PM pour accord DG </v>
          </cell>
          <cell r="L488">
            <v>404</v>
          </cell>
          <cell r="M488">
            <v>39360</v>
          </cell>
          <cell r="S488" t="str">
            <v>MOUNTASSIR</v>
          </cell>
          <cell r="T488" t="str">
            <v>R1</v>
          </cell>
          <cell r="U488" t="str">
            <v>IMP</v>
          </cell>
          <cell r="V488" t="str">
            <v>DN</v>
          </cell>
          <cell r="W488" t="str">
            <v>T</v>
          </cell>
          <cell r="X488" t="str">
            <v>R</v>
          </cell>
        </row>
        <row r="489">
          <cell r="B489">
            <v>3255</v>
          </cell>
          <cell r="C489" t="str">
            <v>ETUDE, FOURNITURE ET INSTALLATION D'UNE LIGNE DE SECHAGE , EXTENSION DU PARC D'ALIMENTATION, REALISATION D'UN STOCK SEC ET AMENAGEMENT DES CIRCUITS A COZ (reclassement de 80MDH à 20MDH)</v>
          </cell>
          <cell r="D489">
            <v>0</v>
          </cell>
          <cell r="E489">
            <v>40000000</v>
          </cell>
          <cell r="F489">
            <v>40000000</v>
          </cell>
          <cell r="G489">
            <v>0</v>
          </cell>
          <cell r="I489" t="str">
            <v>AVIS</v>
          </cell>
          <cell r="J489" t="str">
            <v>CP-PFF</v>
          </cell>
          <cell r="K489" t="str">
            <v>Au niveau CP pour élément de réponse aux remarques DAC le 27/10/2006-  pour établir la DAL &amp; DAC -DIB DE RECLASSEMENT ENVOYEE A PFF LE 21/09/2006</v>
          </cell>
          <cell r="L489">
            <v>557</v>
          </cell>
          <cell r="M489">
            <v>39017</v>
          </cell>
          <cell r="N489" t="str">
            <v>DPM-22/06</v>
          </cell>
          <cell r="S489" t="str">
            <v>MOUNTASSIR</v>
          </cell>
          <cell r="T489" t="str">
            <v>R1</v>
          </cell>
          <cell r="U489" t="str">
            <v>IMP</v>
          </cell>
          <cell r="V489" t="str">
            <v>DN</v>
          </cell>
          <cell r="W489" t="str">
            <v>T</v>
          </cell>
          <cell r="X489" t="str">
            <v>R</v>
          </cell>
        </row>
        <row r="490">
          <cell r="B490">
            <v>3256</v>
          </cell>
          <cell r="C490" t="str">
            <v>RN D'UN ANALYSEUR DE GAZ</v>
          </cell>
          <cell r="D490">
            <v>80000</v>
          </cell>
          <cell r="E490">
            <v>80000</v>
          </cell>
          <cell r="F490">
            <v>0</v>
          </cell>
          <cell r="G490">
            <v>0</v>
          </cell>
          <cell r="I490" t="str">
            <v>CONSUL</v>
          </cell>
          <cell r="J490" t="str">
            <v>AD</v>
          </cell>
          <cell r="K490" t="str">
            <v>DAM pour consultation</v>
          </cell>
          <cell r="L490" t="str">
            <v>TG 569/B</v>
          </cell>
          <cell r="M490">
            <v>38798</v>
          </cell>
          <cell r="N490" t="str">
            <v>DAM -53/06</v>
          </cell>
          <cell r="S490" t="str">
            <v>AAKIL</v>
          </cell>
          <cell r="T490" t="str">
            <v>R5</v>
          </cell>
          <cell r="U490" t="str">
            <v>ETUDES ET ESSAIS</v>
          </cell>
          <cell r="V490" t="str">
            <v>RN</v>
          </cell>
          <cell r="W490" t="str">
            <v>T</v>
          </cell>
          <cell r="X490" t="str">
            <v>R</v>
          </cell>
        </row>
        <row r="491">
          <cell r="B491">
            <v>3257</v>
          </cell>
          <cell r="C491" t="str">
            <v>RN DE 02 ANEMOMETRES PORTATIFS</v>
          </cell>
          <cell r="D491">
            <v>40000</v>
          </cell>
          <cell r="E491">
            <v>40000</v>
          </cell>
          <cell r="F491">
            <v>0</v>
          </cell>
          <cell r="G491">
            <v>0</v>
          </cell>
          <cell r="I491" t="str">
            <v>AT.AE</v>
          </cell>
          <cell r="J491" t="str">
            <v>PFF/CI</v>
          </cell>
          <cell r="K491" t="str">
            <v>DAE N°-3257-1 DE 16 367,20 DH</v>
          </cell>
          <cell r="L491">
            <v>191</v>
          </cell>
          <cell r="M491">
            <v>39206</v>
          </cell>
          <cell r="N491" t="str">
            <v>DAM-52/06</v>
          </cell>
          <cell r="S491" t="str">
            <v>MOUNTASSIR</v>
          </cell>
          <cell r="T491" t="str">
            <v>R5</v>
          </cell>
          <cell r="U491" t="str">
            <v>ETUDES ET ESSAIS</v>
          </cell>
          <cell r="V491" t="str">
            <v>RN</v>
          </cell>
          <cell r="W491" t="str">
            <v>T</v>
          </cell>
          <cell r="X491" t="str">
            <v>R</v>
          </cell>
        </row>
        <row r="492">
          <cell r="B492">
            <v>3258</v>
          </cell>
          <cell r="C492" t="str">
            <v>ACHAT D'UN SONOMETRE PORTATIF DIGITAL</v>
          </cell>
          <cell r="D492">
            <v>30000</v>
          </cell>
          <cell r="E492">
            <v>30000</v>
          </cell>
          <cell r="F492">
            <v>0</v>
          </cell>
          <cell r="G492">
            <v>0</v>
          </cell>
          <cell r="I492" t="str">
            <v>AT.AE</v>
          </cell>
          <cell r="J492" t="str">
            <v>PFF/CI</v>
          </cell>
          <cell r="K492" t="str">
            <v>DAE N°-3258-1 DE 4 821,60 DH</v>
          </cell>
          <cell r="L492">
            <v>191</v>
          </cell>
          <cell r="M492">
            <v>39206</v>
          </cell>
          <cell r="N492" t="str">
            <v>DAM 51</v>
          </cell>
          <cell r="S492" t="str">
            <v>MOUNTASSIR</v>
          </cell>
          <cell r="T492" t="str">
            <v>R5</v>
          </cell>
          <cell r="U492" t="str">
            <v>ETUDES ET ESSAIS</v>
          </cell>
          <cell r="V492" t="str">
            <v>DN</v>
          </cell>
          <cell r="W492" t="str">
            <v>T</v>
          </cell>
          <cell r="X492" t="str">
            <v>R</v>
          </cell>
        </row>
        <row r="493">
          <cell r="B493">
            <v>3259</v>
          </cell>
          <cell r="C493" t="str">
            <v>RN DE 02 ENROULEURS DE CABLES DE RP3 DU COMPLEXE OUED ZEM</v>
          </cell>
          <cell r="D493">
            <v>0</v>
          </cell>
          <cell r="E493">
            <v>950000</v>
          </cell>
          <cell r="F493">
            <v>0</v>
          </cell>
          <cell r="G493">
            <v>0</v>
          </cell>
          <cell r="I493" t="str">
            <v>CONSUL</v>
          </cell>
          <cell r="J493" t="str">
            <v>PLM</v>
          </cell>
          <cell r="K493" t="str">
            <v>DAM pour consultation</v>
          </cell>
          <cell r="L493">
            <v>276</v>
          </cell>
          <cell r="M493">
            <v>39265</v>
          </cell>
          <cell r="N493" t="str">
            <v>DAM 95/07</v>
          </cell>
          <cell r="O493">
            <v>215</v>
          </cell>
          <cell r="S493" t="str">
            <v>CHNANI</v>
          </cell>
          <cell r="T493" t="str">
            <v>R2</v>
          </cell>
          <cell r="U493" t="str">
            <v>ORD</v>
          </cell>
          <cell r="V493" t="str">
            <v>RN</v>
          </cell>
          <cell r="W493" t="str">
            <v>T</v>
          </cell>
          <cell r="X493" t="str">
            <v>R</v>
          </cell>
        </row>
        <row r="494">
          <cell r="B494">
            <v>3260</v>
          </cell>
          <cell r="C494" t="str">
            <v>RN D'UNE POMPE A LA STATION DE REPRISE DES EAUX CLAIRES</v>
          </cell>
          <cell r="D494">
            <v>0</v>
          </cell>
          <cell r="E494">
            <v>935000</v>
          </cell>
          <cell r="F494">
            <v>0</v>
          </cell>
          <cell r="G494">
            <v>0</v>
          </cell>
          <cell r="I494" t="str">
            <v>CHT</v>
          </cell>
          <cell r="J494" t="str">
            <v>CP</v>
          </cell>
          <cell r="K494" t="str">
            <v>CHT en retour au CP (crédit n'est pas retenu sur la liste 2007)</v>
          </cell>
          <cell r="L494">
            <v>571</v>
          </cell>
          <cell r="M494">
            <v>39371</v>
          </cell>
          <cell r="N494" t="str">
            <v>DAM 42/06</v>
          </cell>
          <cell r="S494" t="str">
            <v>CHNANI</v>
          </cell>
          <cell r="T494" t="str">
            <v>R2</v>
          </cell>
          <cell r="U494" t="str">
            <v>ORD</v>
          </cell>
          <cell r="V494" t="str">
            <v>RN</v>
          </cell>
          <cell r="W494" t="str">
            <v>T</v>
          </cell>
          <cell r="X494" t="str">
            <v>R</v>
          </cell>
        </row>
        <row r="495">
          <cell r="B495">
            <v>3262</v>
          </cell>
          <cell r="C495" t="str">
            <v>FOURNITURE ET INSTALLATION D'UN SYSTEME DE GRAISSAGE CENTRALISE DES FOURS SECHEURS DU COZ</v>
          </cell>
          <cell r="D495">
            <v>0</v>
          </cell>
          <cell r="E495">
            <v>980000</v>
          </cell>
          <cell r="F495">
            <v>0</v>
          </cell>
          <cell r="G495">
            <v>0</v>
          </cell>
          <cell r="S495" t="str">
            <v>CHNANI</v>
          </cell>
          <cell r="T495" t="str">
            <v>R2</v>
          </cell>
          <cell r="U495" t="str">
            <v>ORD</v>
          </cell>
          <cell r="V495" t="str">
            <v>DN</v>
          </cell>
          <cell r="W495" t="str">
            <v>T</v>
          </cell>
          <cell r="X495" t="str">
            <v>R</v>
          </cell>
        </row>
        <row r="496">
          <cell r="B496">
            <v>3263</v>
          </cell>
          <cell r="C496" t="str">
            <v>ACHAT DE 24 CLIMATISEURS INDUSTRIELS POUR LES POSTES ELECTRIQUES ET LES MACHINES DE PMK/TD ET 02 SYSTEMES DE CLIMATISATION POUR LES SALLES DE CONTROLE DE LA LAVERIE ET CHARGEMENT COZ</v>
          </cell>
          <cell r="D496">
            <v>0</v>
          </cell>
          <cell r="E496">
            <v>490000</v>
          </cell>
          <cell r="F496">
            <v>0</v>
          </cell>
          <cell r="G496">
            <v>0</v>
          </cell>
          <cell r="I496" t="str">
            <v>CONSUL</v>
          </cell>
          <cell r="J496" t="str">
            <v>AD</v>
          </cell>
          <cell r="K496" t="str">
            <v>DAM pour consultation</v>
          </cell>
          <cell r="L496">
            <v>150</v>
          </cell>
          <cell r="M496">
            <v>39156</v>
          </cell>
          <cell r="N496" t="str">
            <v>DAM-57/07</v>
          </cell>
          <cell r="S496" t="str">
            <v>BERRADA</v>
          </cell>
          <cell r="T496" t="str">
            <v>R2</v>
          </cell>
          <cell r="U496" t="str">
            <v>ORD</v>
          </cell>
          <cell r="V496" t="str">
            <v>DN</v>
          </cell>
          <cell r="W496" t="str">
            <v>T</v>
          </cell>
          <cell r="X496" t="str">
            <v>R</v>
          </cell>
        </row>
        <row r="497">
          <cell r="B497">
            <v>3264</v>
          </cell>
          <cell r="C497" t="str">
            <v>RN DE L'OUTILLAGE -24 PALANS</v>
          </cell>
          <cell r="D497">
            <v>850000</v>
          </cell>
          <cell r="E497">
            <v>850000</v>
          </cell>
          <cell r="F497">
            <v>0</v>
          </cell>
          <cell r="G497">
            <v>0</v>
          </cell>
          <cell r="I497" t="str">
            <v>AT.AE</v>
          </cell>
          <cell r="J497" t="str">
            <v>PFF</v>
          </cell>
          <cell r="K497" t="str">
            <v xml:space="preserve">DAE N°-3264-3-4-5-6 </v>
          </cell>
          <cell r="L497">
            <v>169</v>
          </cell>
          <cell r="M497">
            <v>39188</v>
          </cell>
          <cell r="N497" t="str">
            <v>DAM-35 &amp;36</v>
          </cell>
          <cell r="P497" t="str">
            <v>DKI-280E6060/060</v>
          </cell>
          <cell r="S497" t="str">
            <v>CHNANI</v>
          </cell>
          <cell r="T497" t="str">
            <v>R2</v>
          </cell>
          <cell r="U497" t="str">
            <v>ORD</v>
          </cell>
          <cell r="V497" t="str">
            <v>RN</v>
          </cell>
          <cell r="W497" t="str">
            <v>T</v>
          </cell>
          <cell r="X497" t="str">
            <v>R</v>
          </cell>
        </row>
        <row r="498">
          <cell r="B498">
            <v>3265</v>
          </cell>
          <cell r="C498" t="str">
            <v>FOURNITURE ET INSTALLATION DES EQUIPEMENTS DE DEPOUSSIERAGE DES FOURS SECHEURS 1 ET 3 DU COZ</v>
          </cell>
          <cell r="D498">
            <v>0</v>
          </cell>
          <cell r="E498">
            <v>24000000</v>
          </cell>
          <cell r="F498">
            <v>0</v>
          </cell>
          <cell r="G498">
            <v>0</v>
          </cell>
          <cell r="I498" t="str">
            <v>CT</v>
          </cell>
          <cell r="J498" t="str">
            <v>CP</v>
          </cell>
          <cell r="K498" t="str">
            <v>En retour suite aux remarques DSD</v>
          </cell>
          <cell r="L498">
            <v>632</v>
          </cell>
          <cell r="M498">
            <v>39062</v>
          </cell>
          <cell r="N498" t="str">
            <v>DPM-31/06</v>
          </cell>
          <cell r="S498" t="str">
            <v>LEBBARDI</v>
          </cell>
          <cell r="T498" t="str">
            <v>R2</v>
          </cell>
          <cell r="U498" t="str">
            <v>ORD</v>
          </cell>
          <cell r="V498" t="str">
            <v>DN</v>
          </cell>
          <cell r="W498" t="str">
            <v>T</v>
          </cell>
          <cell r="X498" t="str">
            <v>R</v>
          </cell>
        </row>
        <row r="499">
          <cell r="B499">
            <v>3266</v>
          </cell>
          <cell r="C499" t="str">
            <v>RENOVATION ET MISE A NIVEAU DU POSTE ELECTRIQUE MT (P23) 5,5 KV DU COMPLEXE DE SECHAGE DE OUED ZEM</v>
          </cell>
          <cell r="D499">
            <v>0</v>
          </cell>
          <cell r="E499">
            <v>4900000</v>
          </cell>
          <cell r="F499">
            <v>0</v>
          </cell>
          <cell r="G499">
            <v>0</v>
          </cell>
          <cell r="I499" t="str">
            <v>CHT</v>
          </cell>
          <cell r="J499" t="str">
            <v>CP</v>
          </cell>
          <cell r="K499" t="str">
            <v>Choix technique transmis au CP pour repondre aux remarque du CT</v>
          </cell>
          <cell r="L499">
            <v>520</v>
          </cell>
          <cell r="M499">
            <v>39345</v>
          </cell>
          <cell r="N499" t="str">
            <v>DPM-01/06</v>
          </cell>
          <cell r="S499" t="str">
            <v>BERRADA</v>
          </cell>
          <cell r="T499" t="str">
            <v>R2</v>
          </cell>
          <cell r="U499" t="str">
            <v>ORD</v>
          </cell>
          <cell r="V499" t="str">
            <v>DN</v>
          </cell>
          <cell r="W499" t="str">
            <v>T</v>
          </cell>
          <cell r="X499" t="str">
            <v>R</v>
          </cell>
        </row>
        <row r="500">
          <cell r="B500">
            <v>3267</v>
          </cell>
          <cell r="C500" t="str">
            <v>RN DE 22 REDUCTEURS DE VITESSE POUR LES INSTALLATIONS</v>
          </cell>
          <cell r="D500">
            <v>0</v>
          </cell>
          <cell r="E500">
            <v>13200000</v>
          </cell>
          <cell r="F500">
            <v>0</v>
          </cell>
          <cell r="G500">
            <v>0</v>
          </cell>
          <cell r="I500" t="str">
            <v>CT</v>
          </cell>
          <cell r="J500" t="str">
            <v>CP</v>
          </cell>
          <cell r="K500" t="str">
            <v>En retour suite aux remarques DAC</v>
          </cell>
          <cell r="L500">
            <v>231</v>
          </cell>
          <cell r="M500">
            <v>39185</v>
          </cell>
          <cell r="N500" t="str">
            <v>DAM-50/06</v>
          </cell>
          <cell r="S500" t="str">
            <v>CHNANI</v>
          </cell>
          <cell r="T500" t="str">
            <v>R2</v>
          </cell>
          <cell r="U500" t="str">
            <v>ORD</v>
          </cell>
          <cell r="V500" t="str">
            <v>RN</v>
          </cell>
          <cell r="W500" t="str">
            <v>T</v>
          </cell>
          <cell r="X500" t="str">
            <v>R</v>
          </cell>
        </row>
        <row r="501">
          <cell r="B501">
            <v>3268</v>
          </cell>
          <cell r="C501" t="str">
            <v>ACHAT D'UN TRANSFORMATEUR DE 50KVA</v>
          </cell>
          <cell r="D501">
            <v>0</v>
          </cell>
          <cell r="E501">
            <v>150000</v>
          </cell>
          <cell r="F501">
            <v>0</v>
          </cell>
          <cell r="G501">
            <v>0</v>
          </cell>
          <cell r="I501" t="str">
            <v>CONSUL</v>
          </cell>
          <cell r="J501" t="str">
            <v>AD</v>
          </cell>
          <cell r="K501" t="str">
            <v>DAM pour consultation</v>
          </cell>
          <cell r="L501" t="str">
            <v>TG 569/B</v>
          </cell>
          <cell r="M501">
            <v>38798</v>
          </cell>
          <cell r="N501" t="str">
            <v>DAM -37/06</v>
          </cell>
          <cell r="S501" t="str">
            <v>BERRADA</v>
          </cell>
          <cell r="T501" t="str">
            <v>R2</v>
          </cell>
          <cell r="U501" t="str">
            <v>ORD</v>
          </cell>
          <cell r="V501" t="str">
            <v>DN</v>
          </cell>
          <cell r="W501" t="str">
            <v>T</v>
          </cell>
          <cell r="X501" t="str">
            <v>R</v>
          </cell>
        </row>
        <row r="502">
          <cell r="B502">
            <v>3269</v>
          </cell>
          <cell r="C502" t="str">
            <v>5 POSTES DE SOUDAGE POUR LES ATELIERS MECANIQUES</v>
          </cell>
          <cell r="D502">
            <v>0</v>
          </cell>
          <cell r="E502">
            <v>490000</v>
          </cell>
          <cell r="F502">
            <v>0</v>
          </cell>
          <cell r="G502">
            <v>0</v>
          </cell>
          <cell r="I502" t="str">
            <v>CONSUL</v>
          </cell>
          <cell r="J502" t="str">
            <v>AD</v>
          </cell>
          <cell r="K502" t="str">
            <v>DAM pour consultation</v>
          </cell>
          <cell r="L502">
            <v>90</v>
          </cell>
          <cell r="M502">
            <v>39139</v>
          </cell>
          <cell r="N502" t="str">
            <v>DAM-04/07</v>
          </cell>
          <cell r="O502">
            <v>5320</v>
          </cell>
          <cell r="S502" t="str">
            <v>CHNANI</v>
          </cell>
          <cell r="T502" t="str">
            <v>R2</v>
          </cell>
          <cell r="U502" t="str">
            <v>ORD</v>
          </cell>
          <cell r="V502" t="str">
            <v>RN</v>
          </cell>
          <cell r="W502" t="str">
            <v>T</v>
          </cell>
          <cell r="X502" t="str">
            <v>R</v>
          </cell>
        </row>
        <row r="503">
          <cell r="B503">
            <v>3270</v>
          </cell>
          <cell r="C503" t="str">
            <v>ACHAT DE 13 MOTEURS ELECTRIQUES POUR LES UNITES TRAITEMENT DAOUI ET COZ - (DAM  pour 12)</v>
          </cell>
          <cell r="D503">
            <v>0</v>
          </cell>
          <cell r="E503">
            <v>2340000</v>
          </cell>
          <cell r="F503">
            <v>0</v>
          </cell>
          <cell r="G503">
            <v>0</v>
          </cell>
          <cell r="I503" t="str">
            <v>CONSUL</v>
          </cell>
          <cell r="J503" t="str">
            <v>PFM/AC</v>
          </cell>
          <cell r="K503" t="str">
            <v>DAM pour consultation</v>
          </cell>
          <cell r="L503">
            <v>701</v>
          </cell>
          <cell r="M503">
            <v>39078</v>
          </cell>
          <cell r="N503" t="str">
            <v>DAM-45/06</v>
          </cell>
          <cell r="S503" t="str">
            <v>BERRADA</v>
          </cell>
          <cell r="T503" t="str">
            <v>R2</v>
          </cell>
          <cell r="U503" t="str">
            <v>ORD</v>
          </cell>
          <cell r="V503" t="str">
            <v>DN</v>
          </cell>
          <cell r="W503" t="str">
            <v>T</v>
          </cell>
          <cell r="X503" t="str">
            <v>R</v>
          </cell>
        </row>
        <row r="504">
          <cell r="B504">
            <v>3271</v>
          </cell>
          <cell r="C504" t="str">
            <v xml:space="preserve">RN DE 20 TREUILS POUR LES INSTALLATIONS </v>
          </cell>
          <cell r="D504">
            <v>0</v>
          </cell>
          <cell r="E504">
            <v>4510000</v>
          </cell>
          <cell r="F504">
            <v>0</v>
          </cell>
          <cell r="G504">
            <v>0</v>
          </cell>
          <cell r="I504" t="str">
            <v>CHT</v>
          </cell>
          <cell r="J504" t="str">
            <v>PLM/A</v>
          </cell>
          <cell r="K504" t="str">
            <v>CHT transmis pour attribution</v>
          </cell>
          <cell r="L504">
            <v>417</v>
          </cell>
          <cell r="M504">
            <v>39371</v>
          </cell>
          <cell r="N504" t="str">
            <v>DAM-89/06</v>
          </cell>
          <cell r="P504" t="str">
            <v>DP-CAE112 E6025/06</v>
          </cell>
          <cell r="S504" t="str">
            <v>CHNANI</v>
          </cell>
          <cell r="T504" t="str">
            <v>R2</v>
          </cell>
          <cell r="U504" t="str">
            <v>ORD</v>
          </cell>
          <cell r="V504" t="str">
            <v>RN</v>
          </cell>
          <cell r="W504" t="str">
            <v>T</v>
          </cell>
          <cell r="X504" t="str">
            <v>R</v>
          </cell>
        </row>
        <row r="505">
          <cell r="B505">
            <v>3272</v>
          </cell>
          <cell r="C505" t="str">
            <v>RN DE 11 POMPES DES ROUE PELLES ET CHAUDIERES DU COMPLEXE OUED ZEM</v>
          </cell>
          <cell r="D505">
            <v>0</v>
          </cell>
          <cell r="E505">
            <v>990000</v>
          </cell>
          <cell r="F505">
            <v>0</v>
          </cell>
          <cell r="G505">
            <v>0</v>
          </cell>
          <cell r="I505" t="str">
            <v>CONSUL</v>
          </cell>
          <cell r="J505" t="str">
            <v>AD</v>
          </cell>
          <cell r="K505" t="str">
            <v>DAM pour consultation</v>
          </cell>
          <cell r="L505">
            <v>274</v>
          </cell>
          <cell r="M505">
            <v>38867</v>
          </cell>
          <cell r="N505" t="str">
            <v>DAM-106/06</v>
          </cell>
          <cell r="S505" t="str">
            <v>CHNANI</v>
          </cell>
          <cell r="T505" t="str">
            <v>R2</v>
          </cell>
          <cell r="U505" t="str">
            <v>ORD</v>
          </cell>
          <cell r="V505" t="str">
            <v>RN</v>
          </cell>
          <cell r="W505" t="str">
            <v>T</v>
          </cell>
          <cell r="X505" t="str">
            <v>R</v>
          </cell>
        </row>
        <row r="506">
          <cell r="B506">
            <v>3273</v>
          </cell>
          <cell r="C506" t="str">
            <v>FOURNITURE ET INSTALLATION DE 02 CHEMINEES DES FOURS SECHEURS DU COZ</v>
          </cell>
          <cell r="D506">
            <v>0</v>
          </cell>
          <cell r="E506">
            <v>2750000</v>
          </cell>
          <cell r="F506">
            <v>0</v>
          </cell>
          <cell r="G506">
            <v>0</v>
          </cell>
          <cell r="I506" t="str">
            <v>CT</v>
          </cell>
          <cell r="J506" t="str">
            <v>CP</v>
          </cell>
          <cell r="K506" t="str">
            <v>DAM en retour suite au remarque DAC</v>
          </cell>
          <cell r="L506">
            <v>445</v>
          </cell>
          <cell r="M506">
            <v>39283</v>
          </cell>
          <cell r="N506" t="str">
            <v>DPM/03/06</v>
          </cell>
          <cell r="S506" t="str">
            <v>CHNANI</v>
          </cell>
          <cell r="T506" t="str">
            <v>R2</v>
          </cell>
          <cell r="U506" t="str">
            <v>ORD</v>
          </cell>
          <cell r="V506" t="str">
            <v>DN</v>
          </cell>
          <cell r="W506" t="str">
            <v>T</v>
          </cell>
          <cell r="X506" t="str">
            <v>R</v>
          </cell>
        </row>
        <row r="507">
          <cell r="B507">
            <v>3274</v>
          </cell>
          <cell r="C507" t="str">
            <v>ACHAT D'UNE CENTRALE HYDRAULIQUE ET 4 VERINS</v>
          </cell>
          <cell r="D507">
            <v>0</v>
          </cell>
          <cell r="E507">
            <v>490000</v>
          </cell>
          <cell r="F507">
            <v>0</v>
          </cell>
          <cell r="G507">
            <v>0</v>
          </cell>
          <cell r="I507" t="str">
            <v>CONSUL</v>
          </cell>
          <cell r="J507" t="str">
            <v>AD</v>
          </cell>
          <cell r="K507" t="str">
            <v>DAM pour consultation</v>
          </cell>
          <cell r="L507">
            <v>150</v>
          </cell>
          <cell r="M507">
            <v>39156</v>
          </cell>
          <cell r="N507" t="str">
            <v>DAM-10/07</v>
          </cell>
          <cell r="O507">
            <v>5837</v>
          </cell>
          <cell r="S507" t="str">
            <v>BENMAKHLOUF</v>
          </cell>
          <cell r="T507" t="str">
            <v>R2</v>
          </cell>
          <cell r="U507" t="str">
            <v>ORD</v>
          </cell>
          <cell r="V507" t="str">
            <v>DN</v>
          </cell>
          <cell r="W507" t="str">
            <v>T</v>
          </cell>
          <cell r="X507" t="str">
            <v>R</v>
          </cell>
        </row>
        <row r="508">
          <cell r="B508">
            <v>3275</v>
          </cell>
          <cell r="C508" t="str">
            <v>10 POMPES A AXE HORIZONTALE POUR UNITES DE FLOTTATION</v>
          </cell>
          <cell r="D508">
            <v>0</v>
          </cell>
          <cell r="E508">
            <v>1200000</v>
          </cell>
          <cell r="F508">
            <v>0</v>
          </cell>
          <cell r="G508">
            <v>0</v>
          </cell>
          <cell r="I508" t="str">
            <v>CHT</v>
          </cell>
          <cell r="J508" t="str">
            <v>CP</v>
          </cell>
          <cell r="K508" t="str">
            <v>CHT en retour suite au remarque DAC</v>
          </cell>
          <cell r="L508">
            <v>535</v>
          </cell>
          <cell r="M508">
            <v>39326</v>
          </cell>
          <cell r="N508" t="str">
            <v>DAM-81/06</v>
          </cell>
          <cell r="P508" t="str">
            <v>DP-CAE66 E6286/06</v>
          </cell>
          <cell r="S508" t="str">
            <v>BENMAKHLOUF</v>
          </cell>
          <cell r="T508" t="str">
            <v>R2</v>
          </cell>
          <cell r="U508" t="str">
            <v>ORD</v>
          </cell>
          <cell r="V508" t="str">
            <v>DN</v>
          </cell>
          <cell r="W508" t="str">
            <v>T</v>
          </cell>
          <cell r="X508" t="str">
            <v>R</v>
          </cell>
        </row>
        <row r="509">
          <cell r="B509">
            <v>3276</v>
          </cell>
          <cell r="C509" t="str">
            <v xml:space="preserve">EQUIPEMENTS POUR LE NOUVEAU ATELIER MECANIQUE </v>
          </cell>
          <cell r="D509">
            <v>12354</v>
          </cell>
          <cell r="E509">
            <v>490000</v>
          </cell>
          <cell r="F509">
            <v>0</v>
          </cell>
          <cell r="G509">
            <v>0</v>
          </cell>
          <cell r="K509" t="str">
            <v>crédit annulé par le CP (PMK/TD/LM N° 526/07 du 24/07/2007</v>
          </cell>
          <cell r="N509" t="str">
            <v>DAM-07/06</v>
          </cell>
          <cell r="S509" t="str">
            <v>BENMAKHLOUF</v>
          </cell>
          <cell r="T509" t="str">
            <v>R2</v>
          </cell>
          <cell r="U509" t="str">
            <v>ORD</v>
          </cell>
          <cell r="V509" t="str">
            <v>DN</v>
          </cell>
          <cell r="W509" t="str">
            <v>T</v>
          </cell>
          <cell r="X509" t="str">
            <v>R</v>
          </cell>
        </row>
        <row r="510">
          <cell r="B510">
            <v>3276</v>
          </cell>
          <cell r="C510" t="str">
            <v>1 GROUPE AUTONOME DE SOUDURE</v>
          </cell>
          <cell r="K510" t="str">
            <v>crédit annulé par le CP (PMK/TD/LM N° 526/07 du 24/07/2007</v>
          </cell>
          <cell r="N510" t="str">
            <v>DAM-06/06</v>
          </cell>
          <cell r="S510" t="str">
            <v>BENMAKHLOUF</v>
          </cell>
          <cell r="T510" t="str">
            <v>R2</v>
          </cell>
          <cell r="U510" t="str">
            <v>ORD</v>
          </cell>
          <cell r="V510" t="str">
            <v>DN</v>
          </cell>
          <cell r="W510" t="str">
            <v>T</v>
          </cell>
          <cell r="X510" t="str">
            <v>R</v>
          </cell>
        </row>
        <row r="511">
          <cell r="B511">
            <v>3276</v>
          </cell>
          <cell r="C511" t="str">
            <v>2 ECHELLES SIMPLES</v>
          </cell>
          <cell r="K511" t="str">
            <v>AE N° IV3276-1 de 2354,40</v>
          </cell>
          <cell r="M511">
            <v>39034</v>
          </cell>
          <cell r="N511" t="str">
            <v>DAM-05/06</v>
          </cell>
          <cell r="R511" t="str">
            <v>C n°027 du 24/09/2007</v>
          </cell>
          <cell r="S511" t="str">
            <v>BENMAKHLOUF</v>
          </cell>
          <cell r="T511" t="str">
            <v>R2</v>
          </cell>
          <cell r="U511" t="str">
            <v>ORD</v>
          </cell>
          <cell r="V511" t="str">
            <v>DN</v>
          </cell>
          <cell r="W511" t="str">
            <v>T</v>
          </cell>
          <cell r="X511" t="str">
            <v>R</v>
          </cell>
        </row>
        <row r="512">
          <cell r="B512">
            <v>3277</v>
          </cell>
          <cell r="C512" t="str">
            <v>ACHAT DE 13 REDUCTEURS POUR LES INSTALLATIONS DE LA LIAISON SIDI CHENNANE ET PARC EL WAFI</v>
          </cell>
          <cell r="D512">
            <v>0</v>
          </cell>
          <cell r="E512">
            <v>10000000</v>
          </cell>
          <cell r="F512">
            <v>0</v>
          </cell>
          <cell r="G512">
            <v>0</v>
          </cell>
          <cell r="I512" t="str">
            <v>AVIS - CONSUL</v>
          </cell>
          <cell r="J512" t="str">
            <v>PFF-PLM</v>
          </cell>
          <cell r="K512" t="str">
            <v>Attente avis de DAC pour etablir DAL
DAM pour consultation</v>
          </cell>
          <cell r="L512" t="str">
            <v>369
367</v>
          </cell>
          <cell r="M512">
            <v>39338</v>
          </cell>
          <cell r="N512" t="str">
            <v>DAM-80</v>
          </cell>
          <cell r="S512" t="str">
            <v>BENMAKHLOUF</v>
          </cell>
          <cell r="T512" t="str">
            <v>R2</v>
          </cell>
          <cell r="U512" t="str">
            <v>ORD</v>
          </cell>
          <cell r="V512" t="str">
            <v>DN</v>
          </cell>
          <cell r="W512" t="str">
            <v>T</v>
          </cell>
          <cell r="X512" t="str">
            <v>R</v>
          </cell>
        </row>
        <row r="513">
          <cell r="B513">
            <v>3278</v>
          </cell>
          <cell r="C513" t="str">
            <v>RN DE 05 CHARGEURS DE BATTERIES</v>
          </cell>
          <cell r="D513">
            <v>850593</v>
          </cell>
          <cell r="E513">
            <v>490000</v>
          </cell>
          <cell r="F513">
            <v>0</v>
          </cell>
          <cell r="G513">
            <v>0</v>
          </cell>
          <cell r="I513" t="str">
            <v>CONSUL</v>
          </cell>
          <cell r="J513" t="str">
            <v>AD</v>
          </cell>
          <cell r="K513" t="str">
            <v>DAM pour consultation</v>
          </cell>
          <cell r="L513" t="str">
            <v>TG 569/B</v>
          </cell>
          <cell r="M513">
            <v>38798</v>
          </cell>
          <cell r="N513" t="str">
            <v>DAM/72/06</v>
          </cell>
          <cell r="S513" t="str">
            <v>AIT HSSAINE</v>
          </cell>
          <cell r="T513" t="str">
            <v>R2</v>
          </cell>
          <cell r="U513" t="str">
            <v>ORD</v>
          </cell>
          <cell r="V513" t="str">
            <v>RN</v>
          </cell>
          <cell r="W513" t="str">
            <v>T</v>
          </cell>
          <cell r="X513" t="str">
            <v>R</v>
          </cell>
        </row>
        <row r="514">
          <cell r="B514">
            <v>3279</v>
          </cell>
          <cell r="C514" t="str">
            <v>ACHAT DE 8 VARIATEURS DE VITESSE POUR PMK/TD</v>
          </cell>
          <cell r="D514">
            <v>0</v>
          </cell>
          <cell r="E514">
            <v>3930000</v>
          </cell>
          <cell r="F514">
            <v>0</v>
          </cell>
          <cell r="G514">
            <v>0</v>
          </cell>
          <cell r="I514" t="str">
            <v>CHT</v>
          </cell>
          <cell r="J514" t="str">
            <v>PLM/A</v>
          </cell>
          <cell r="K514" t="str">
            <v>CHT pour attribution</v>
          </cell>
          <cell r="L514">
            <v>320</v>
          </cell>
          <cell r="M514">
            <v>39288</v>
          </cell>
          <cell r="N514" t="str">
            <v>DAM-163/06</v>
          </cell>
          <cell r="S514" t="str">
            <v>AIT HSSAINE</v>
          </cell>
          <cell r="T514" t="str">
            <v>R2</v>
          </cell>
          <cell r="U514" t="str">
            <v>ORD</v>
          </cell>
          <cell r="V514" t="str">
            <v>DN</v>
          </cell>
          <cell r="W514" t="str">
            <v>T</v>
          </cell>
          <cell r="X514" t="str">
            <v>R</v>
          </cell>
        </row>
        <row r="515">
          <cell r="B515">
            <v>3280</v>
          </cell>
          <cell r="C515" t="str">
            <v>ACHAT DE 03 ONDULEURS POUR PMK/TD</v>
          </cell>
          <cell r="D515">
            <v>0</v>
          </cell>
          <cell r="E515">
            <v>450000</v>
          </cell>
          <cell r="F515">
            <v>0</v>
          </cell>
          <cell r="G515">
            <v>0</v>
          </cell>
          <cell r="I515" t="str">
            <v>CONSUL</v>
          </cell>
          <cell r="J515" t="str">
            <v>AD</v>
          </cell>
          <cell r="K515" t="str">
            <v>DAM envoyée pour consultation</v>
          </cell>
          <cell r="L515">
            <v>279</v>
          </cell>
          <cell r="M515">
            <v>38867</v>
          </cell>
          <cell r="N515" t="str">
            <v>DAM-74/06</v>
          </cell>
          <cell r="S515" t="str">
            <v>AIT HSSAINE</v>
          </cell>
          <cell r="T515" t="str">
            <v>R2</v>
          </cell>
          <cell r="U515" t="str">
            <v>ORD</v>
          </cell>
          <cell r="V515" t="str">
            <v>DN</v>
          </cell>
          <cell r="W515" t="str">
            <v>T</v>
          </cell>
          <cell r="X515" t="str">
            <v>R</v>
          </cell>
        </row>
        <row r="516">
          <cell r="B516">
            <v>3281</v>
          </cell>
          <cell r="C516" t="str">
            <v>ACHAT DE 02 BASCULES INTEGRATRICES POUR PMK/TD</v>
          </cell>
          <cell r="D516">
            <v>0</v>
          </cell>
          <cell r="E516">
            <v>400000</v>
          </cell>
          <cell r="F516">
            <v>0</v>
          </cell>
          <cell r="G516">
            <v>0</v>
          </cell>
          <cell r="I516" t="str">
            <v>CONSUL</v>
          </cell>
          <cell r="J516" t="str">
            <v>AD</v>
          </cell>
          <cell r="K516" t="str">
            <v>DAM pour consultation</v>
          </cell>
          <cell r="L516">
            <v>279</v>
          </cell>
          <cell r="M516">
            <v>38867</v>
          </cell>
          <cell r="N516" t="str">
            <v>DAM-70/06</v>
          </cell>
          <cell r="S516" t="str">
            <v>AIT HSSAINE</v>
          </cell>
          <cell r="T516" t="str">
            <v>R2</v>
          </cell>
          <cell r="U516" t="str">
            <v>ORD</v>
          </cell>
          <cell r="V516" t="str">
            <v>DN</v>
          </cell>
          <cell r="W516" t="str">
            <v>T</v>
          </cell>
          <cell r="X516" t="str">
            <v>R</v>
          </cell>
        </row>
        <row r="517">
          <cell r="B517">
            <v>3282</v>
          </cell>
          <cell r="C517" t="str">
            <v>ACHAT DU MATERIEL POUR LABORATOIRE ELECTRONIQUE DE L'UNITE DAOUI</v>
          </cell>
          <cell r="D517">
            <v>0</v>
          </cell>
          <cell r="E517">
            <v>280000</v>
          </cell>
          <cell r="F517">
            <v>0</v>
          </cell>
          <cell r="G517">
            <v>0</v>
          </cell>
          <cell r="S517" t="str">
            <v>AIT HSSAINE</v>
          </cell>
          <cell r="T517" t="str">
            <v>R2</v>
          </cell>
          <cell r="U517" t="str">
            <v>ORD</v>
          </cell>
          <cell r="V517" t="str">
            <v>DN</v>
          </cell>
          <cell r="W517" t="str">
            <v>T</v>
          </cell>
          <cell r="X517" t="str">
            <v>R</v>
          </cell>
        </row>
        <row r="518">
          <cell r="B518">
            <v>3282</v>
          </cell>
          <cell r="C518" t="str">
            <v>02 alimentations stabilisées et 02 générateurs</v>
          </cell>
          <cell r="I518" t="str">
            <v>CONSUL</v>
          </cell>
          <cell r="J518" t="str">
            <v>AD</v>
          </cell>
          <cell r="K518" t="str">
            <v>DAM pour consultation</v>
          </cell>
          <cell r="L518">
            <v>103</v>
          </cell>
          <cell r="M518">
            <v>39141</v>
          </cell>
          <cell r="N518" t="str">
            <v>DAM -22/07</v>
          </cell>
          <cell r="O518">
            <v>5479</v>
          </cell>
          <cell r="S518" t="str">
            <v>AIT HSSAINE</v>
          </cell>
          <cell r="T518" t="str">
            <v>R2</v>
          </cell>
          <cell r="U518" t="str">
            <v>ORD</v>
          </cell>
          <cell r="V518" t="str">
            <v>DN</v>
          </cell>
          <cell r="W518" t="str">
            <v>T</v>
          </cell>
          <cell r="X518" t="str">
            <v>R</v>
          </cell>
        </row>
        <row r="519">
          <cell r="B519">
            <v>3282</v>
          </cell>
          <cell r="C519" t="str">
            <v>01 Oxcilloscope et 01 scopemétre</v>
          </cell>
          <cell r="I519" t="str">
            <v>CONSUL</v>
          </cell>
          <cell r="J519" t="str">
            <v>AD</v>
          </cell>
          <cell r="K519" t="str">
            <v>DAM pour consultation</v>
          </cell>
          <cell r="L519">
            <v>104</v>
          </cell>
          <cell r="M519">
            <v>39141</v>
          </cell>
          <cell r="N519" t="str">
            <v>DAM -23/07</v>
          </cell>
          <cell r="O519">
            <v>5481</v>
          </cell>
          <cell r="S519" t="str">
            <v>AIT HSSAINE</v>
          </cell>
          <cell r="T519" t="str">
            <v>R2</v>
          </cell>
          <cell r="U519" t="str">
            <v>ORD</v>
          </cell>
          <cell r="V519" t="str">
            <v>DN</v>
          </cell>
          <cell r="W519" t="str">
            <v>T</v>
          </cell>
          <cell r="X519" t="str">
            <v>R</v>
          </cell>
        </row>
        <row r="520">
          <cell r="B520">
            <v>3282</v>
          </cell>
          <cell r="C520" t="str">
            <v>12 valises d'outillage et 02 tachymétres</v>
          </cell>
          <cell r="I520" t="str">
            <v>CONSUL</v>
          </cell>
          <cell r="J520" t="str">
            <v>AD</v>
          </cell>
          <cell r="K520" t="str">
            <v>DAM pour consultation</v>
          </cell>
          <cell r="L520">
            <v>105</v>
          </cell>
          <cell r="M520">
            <v>39141</v>
          </cell>
          <cell r="N520" t="str">
            <v>DAM -24/07</v>
          </cell>
          <cell r="O520">
            <v>5483</v>
          </cell>
          <cell r="S520" t="str">
            <v>AIT HSSAINE</v>
          </cell>
          <cell r="T520" t="str">
            <v>R2</v>
          </cell>
          <cell r="U520" t="str">
            <v>ORD</v>
          </cell>
          <cell r="V520" t="str">
            <v>DN</v>
          </cell>
          <cell r="W520" t="str">
            <v>T</v>
          </cell>
          <cell r="X520" t="str">
            <v>R</v>
          </cell>
        </row>
        <row r="521">
          <cell r="B521">
            <v>3283</v>
          </cell>
          <cell r="C521" t="str">
            <v>RN DES TRANSFORMATEURS AU PYRALENE</v>
          </cell>
          <cell r="D521">
            <v>450000</v>
          </cell>
          <cell r="E521">
            <v>450000</v>
          </cell>
          <cell r="F521">
            <v>0</v>
          </cell>
          <cell r="G521">
            <v>0</v>
          </cell>
          <cell r="K521" t="str">
            <v>AE N° IV 3283-1 de 413 400,00 DH</v>
          </cell>
          <cell r="M521">
            <v>38762</v>
          </cell>
          <cell r="N521" t="str">
            <v>DAM/38/06</v>
          </cell>
          <cell r="S521" t="str">
            <v>AIT HSSAINE</v>
          </cell>
          <cell r="T521" t="str">
            <v>R2</v>
          </cell>
          <cell r="U521" t="str">
            <v>ORD</v>
          </cell>
          <cell r="V521" t="str">
            <v>RN</v>
          </cell>
          <cell r="W521" t="str">
            <v>T</v>
          </cell>
          <cell r="X521" t="str">
            <v>R</v>
          </cell>
        </row>
        <row r="522">
          <cell r="B522">
            <v>3284</v>
          </cell>
          <cell r="C522" t="str">
            <v>RN DE 50 MOTEURS ELECTRIQUES</v>
          </cell>
          <cell r="D522">
            <v>0</v>
          </cell>
          <cell r="E522">
            <v>4800000</v>
          </cell>
          <cell r="F522">
            <v>0</v>
          </cell>
          <cell r="G522">
            <v>0</v>
          </cell>
          <cell r="I522" t="str">
            <v>CONSUL</v>
          </cell>
          <cell r="J522" t="str">
            <v>PLM</v>
          </cell>
          <cell r="K522" t="str">
            <v>DAM en retour suite aux remarques DAC (transmis directement)</v>
          </cell>
          <cell r="L522" t="str">
            <v>DAC/TM-575</v>
          </cell>
          <cell r="M522">
            <v>39357</v>
          </cell>
          <cell r="N522" t="str">
            <v>DAM -66/07</v>
          </cell>
          <cell r="S522" t="str">
            <v>AIT HSSAINE</v>
          </cell>
          <cell r="T522" t="str">
            <v>R2</v>
          </cell>
          <cell r="U522" t="str">
            <v>ORD</v>
          </cell>
          <cell r="V522" t="str">
            <v>RN</v>
          </cell>
          <cell r="W522" t="str">
            <v>T</v>
          </cell>
          <cell r="X522" t="str">
            <v>R</v>
          </cell>
        </row>
        <row r="523">
          <cell r="B523">
            <v>3285</v>
          </cell>
          <cell r="C523" t="str">
            <v>ACHAT DES MODULES POUR CONTROLE ET SUPERVISION DES MOTEURS MT DE PMK/TD</v>
          </cell>
          <cell r="D523">
            <v>0</v>
          </cell>
          <cell r="E523">
            <v>480000</v>
          </cell>
          <cell r="F523">
            <v>0</v>
          </cell>
          <cell r="G523">
            <v>0</v>
          </cell>
          <cell r="I523" t="str">
            <v>CONSUL</v>
          </cell>
          <cell r="J523" t="str">
            <v>AD</v>
          </cell>
          <cell r="K523" t="str">
            <v>DAM en réponse au remarque AD (DAM de 380 000Dh)</v>
          </cell>
          <cell r="L523">
            <v>352</v>
          </cell>
          <cell r="M523">
            <v>39224</v>
          </cell>
          <cell r="N523" t="str">
            <v>DAM -12</v>
          </cell>
          <cell r="O523">
            <v>5087</v>
          </cell>
          <cell r="S523" t="str">
            <v>AIT HSSAINE</v>
          </cell>
          <cell r="T523" t="str">
            <v>R2</v>
          </cell>
          <cell r="U523" t="str">
            <v>ORD</v>
          </cell>
          <cell r="V523" t="str">
            <v>DN</v>
          </cell>
          <cell r="W523" t="str">
            <v>T</v>
          </cell>
          <cell r="X523" t="str">
            <v>R</v>
          </cell>
        </row>
        <row r="524">
          <cell r="B524">
            <v>3286</v>
          </cell>
          <cell r="C524" t="str">
            <v>RN DES BATTERIES CONDENSATEURS INSTALLEES A LA LAVERIE DAOUI</v>
          </cell>
          <cell r="D524">
            <v>0</v>
          </cell>
          <cell r="E524">
            <v>440000</v>
          </cell>
          <cell r="F524">
            <v>0</v>
          </cell>
          <cell r="G524">
            <v>0</v>
          </cell>
          <cell r="I524" t="str">
            <v>CONSUL</v>
          </cell>
          <cell r="J524" t="str">
            <v>AD</v>
          </cell>
          <cell r="K524" t="str">
            <v>DAM pour consultation</v>
          </cell>
          <cell r="L524">
            <v>178</v>
          </cell>
          <cell r="M524">
            <v>38812</v>
          </cell>
          <cell r="N524" t="str">
            <v>DAM-67/06</v>
          </cell>
          <cell r="S524" t="str">
            <v>AIT HSSAINE</v>
          </cell>
          <cell r="T524" t="str">
            <v>R2</v>
          </cell>
          <cell r="U524" t="str">
            <v>ORD</v>
          </cell>
          <cell r="V524" t="str">
            <v>RN</v>
          </cell>
          <cell r="W524" t="str">
            <v>T</v>
          </cell>
          <cell r="X524" t="str">
            <v>R</v>
          </cell>
        </row>
        <row r="525">
          <cell r="B525">
            <v>3287</v>
          </cell>
          <cell r="C525" t="str">
            <v>FOURNITURE, INSTALLATION ET MISE EN SERVICE DES CELLULES DISJONCTEURS DU POSTE P17</v>
          </cell>
          <cell r="D525">
            <v>0</v>
          </cell>
          <cell r="E525">
            <v>2800000</v>
          </cell>
          <cell r="F525">
            <v>0</v>
          </cell>
          <cell r="G525">
            <v>0</v>
          </cell>
          <cell r="I525" t="str">
            <v>CT</v>
          </cell>
          <cell r="J525" t="str">
            <v>CP</v>
          </cell>
          <cell r="K525" t="str">
            <v xml:space="preserve">DPM + cahier de charges +justif  retourné au CP suite aux remarques du DAC/TM n°49 </v>
          </cell>
          <cell r="L525">
            <v>47</v>
          </cell>
          <cell r="M525">
            <v>39126</v>
          </cell>
          <cell r="N525" t="str">
            <v>DPM-21/06</v>
          </cell>
          <cell r="S525" t="str">
            <v>AIT HSSAINE</v>
          </cell>
          <cell r="T525" t="str">
            <v>R2</v>
          </cell>
          <cell r="U525" t="str">
            <v>ORD</v>
          </cell>
          <cell r="V525" t="str">
            <v>DN</v>
          </cell>
          <cell r="W525" t="str">
            <v>T</v>
          </cell>
          <cell r="X525" t="str">
            <v>R</v>
          </cell>
        </row>
        <row r="526">
          <cell r="B526">
            <v>3288</v>
          </cell>
          <cell r="C526" t="str">
            <v>RN DES CLIMATISEURS DES CABINES DE COMMANDE DES MACHINES DU PW ET LIAISON SC</v>
          </cell>
          <cell r="D526">
            <v>0</v>
          </cell>
          <cell r="E526">
            <v>480000</v>
          </cell>
          <cell r="F526">
            <v>0</v>
          </cell>
          <cell r="G526">
            <v>0</v>
          </cell>
          <cell r="I526" t="str">
            <v>CONSUL</v>
          </cell>
          <cell r="J526" t="str">
            <v>AD</v>
          </cell>
          <cell r="K526" t="str">
            <v>DAM pour consultation</v>
          </cell>
          <cell r="L526">
            <v>331</v>
          </cell>
          <cell r="M526">
            <v>38896</v>
          </cell>
          <cell r="N526" t="str">
            <v>DAM-65/06</v>
          </cell>
          <cell r="S526" t="str">
            <v>AIT HSSAINE</v>
          </cell>
          <cell r="T526" t="str">
            <v>R2</v>
          </cell>
          <cell r="U526" t="str">
            <v>ORD</v>
          </cell>
          <cell r="V526" t="str">
            <v>RN</v>
          </cell>
          <cell r="W526" t="str">
            <v>T</v>
          </cell>
          <cell r="X526" t="str">
            <v>R</v>
          </cell>
        </row>
        <row r="527">
          <cell r="B527">
            <v>3289</v>
          </cell>
          <cell r="C527" t="str">
            <v>FOURNITURE, INSTALLATION ET MISE EN SERVICE DES AUTOMATES PROGRAMMABLES DU PW ET LIAISON SC</v>
          </cell>
          <cell r="D527">
            <v>0</v>
          </cell>
          <cell r="E527">
            <v>4700000</v>
          </cell>
          <cell r="F527">
            <v>0</v>
          </cell>
          <cell r="G527">
            <v>0</v>
          </cell>
          <cell r="I527" t="str">
            <v>CONSUL</v>
          </cell>
          <cell r="J527" t="str">
            <v>PLM</v>
          </cell>
          <cell r="K527" t="str">
            <v>DAM en reponse suite au remarque d' DAC</v>
          </cell>
          <cell r="L527">
            <v>381</v>
          </cell>
          <cell r="M527">
            <v>39345</v>
          </cell>
          <cell r="N527" t="str">
            <v>DAM-11/06</v>
          </cell>
          <cell r="S527" t="str">
            <v>AIT HSSAINE</v>
          </cell>
          <cell r="T527" t="str">
            <v>R2</v>
          </cell>
          <cell r="U527" t="str">
            <v>ORD</v>
          </cell>
          <cell r="V527" t="str">
            <v>RN</v>
          </cell>
          <cell r="W527" t="str">
            <v>T</v>
          </cell>
          <cell r="X527" t="str">
            <v>R</v>
          </cell>
        </row>
        <row r="528">
          <cell r="B528">
            <v>3290</v>
          </cell>
          <cell r="C528" t="str">
            <v>ACHAT D'UNE VALISE D'INJECTION DE COURANT POUR ETALONNAGE DES RELAIS DE PROTECTION</v>
          </cell>
          <cell r="D528">
            <v>0</v>
          </cell>
          <cell r="E528">
            <v>200000</v>
          </cell>
          <cell r="F528">
            <v>0</v>
          </cell>
          <cell r="G528">
            <v>0</v>
          </cell>
          <cell r="I528" t="str">
            <v>CONSUL</v>
          </cell>
          <cell r="J528" t="str">
            <v>AD</v>
          </cell>
          <cell r="K528" t="str">
            <v>DAM pour consultation</v>
          </cell>
          <cell r="L528">
            <v>279</v>
          </cell>
          <cell r="M528">
            <v>38867</v>
          </cell>
          <cell r="N528" t="str">
            <v>DAM-69/06</v>
          </cell>
          <cell r="S528" t="str">
            <v>AIT HSSAINE</v>
          </cell>
          <cell r="T528" t="str">
            <v>R2</v>
          </cell>
          <cell r="U528" t="str">
            <v>ORD</v>
          </cell>
          <cell r="V528" t="str">
            <v>DN</v>
          </cell>
          <cell r="W528" t="str">
            <v>T</v>
          </cell>
          <cell r="X528" t="str">
            <v>R</v>
          </cell>
        </row>
        <row r="529">
          <cell r="B529">
            <v>3291</v>
          </cell>
          <cell r="C529" t="str">
            <v>ACHAT DE 04 POSTES DE CONDUITE INDUSTRIELS AVEC LEURS IMPRIMANTES POUR LES SALLES DE CONTRÔLE SU SECTEUR DAOUI</v>
          </cell>
          <cell r="D529">
            <v>0</v>
          </cell>
          <cell r="E529">
            <v>450000</v>
          </cell>
          <cell r="F529">
            <v>0</v>
          </cell>
          <cell r="G529">
            <v>0</v>
          </cell>
          <cell r="I529" t="str">
            <v>CONSUL</v>
          </cell>
          <cell r="J529" t="str">
            <v>AD</v>
          </cell>
          <cell r="K529" t="str">
            <v>DAM pour consultation (en reponse au remarque AD)</v>
          </cell>
          <cell r="L529">
            <v>373</v>
          </cell>
          <cell r="M529">
            <v>39241</v>
          </cell>
          <cell r="N529" t="str">
            <v>DAM-11/07</v>
          </cell>
          <cell r="O529">
            <v>5088</v>
          </cell>
          <cell r="S529" t="str">
            <v>AIT HSSAINE</v>
          </cell>
          <cell r="T529" t="str">
            <v>R2</v>
          </cell>
          <cell r="U529" t="str">
            <v>ORD</v>
          </cell>
          <cell r="V529" t="str">
            <v>DN</v>
          </cell>
          <cell r="W529" t="str">
            <v>T</v>
          </cell>
          <cell r="X529" t="str">
            <v>R</v>
          </cell>
        </row>
        <row r="530">
          <cell r="B530">
            <v>3292</v>
          </cell>
          <cell r="C530" t="str">
            <v>ACQUISITION D'UN KIT D'ANALYSE DES GAZ</v>
          </cell>
          <cell r="D530">
            <v>200000</v>
          </cell>
          <cell r="E530">
            <v>200000</v>
          </cell>
          <cell r="F530">
            <v>0</v>
          </cell>
          <cell r="G530">
            <v>0</v>
          </cell>
          <cell r="I530" t="str">
            <v>CONSUL</v>
          </cell>
          <cell r="J530" t="str">
            <v>AD</v>
          </cell>
          <cell r="K530" t="str">
            <v>DAM pour consultation</v>
          </cell>
          <cell r="L530" t="str">
            <v>TG 569/B</v>
          </cell>
          <cell r="M530">
            <v>38798</v>
          </cell>
          <cell r="N530" t="str">
            <v>DAM -57/06</v>
          </cell>
          <cell r="S530" t="str">
            <v>LEBBARDI</v>
          </cell>
          <cell r="T530" t="str">
            <v>R5</v>
          </cell>
          <cell r="U530" t="str">
            <v>ETUDES ET ESSAIS</v>
          </cell>
          <cell r="V530" t="str">
            <v>DN</v>
          </cell>
          <cell r="W530" t="str">
            <v>T</v>
          </cell>
          <cell r="X530" t="str">
            <v>R</v>
          </cell>
        </row>
        <row r="531">
          <cell r="B531">
            <v>3294</v>
          </cell>
          <cell r="C531" t="str">
            <v xml:space="preserve">RENOUVELLEMENT DES CELLULES MT DES STATIONS  DE POMPAGE </v>
          </cell>
          <cell r="D531">
            <v>0</v>
          </cell>
          <cell r="E531">
            <v>2000000</v>
          </cell>
          <cell r="F531">
            <v>0</v>
          </cell>
          <cell r="G531">
            <v>0</v>
          </cell>
          <cell r="I531" t="str">
            <v>DAM</v>
          </cell>
          <cell r="J531" t="str">
            <v>CP</v>
          </cell>
          <cell r="K531" t="str">
            <v>EN retour suite aux annotations du CT</v>
          </cell>
          <cell r="L531">
            <v>463</v>
          </cell>
          <cell r="M531">
            <v>38961</v>
          </cell>
          <cell r="N531" t="str">
            <v>DAM-15/06</v>
          </cell>
          <cell r="S531" t="str">
            <v>SAOUD</v>
          </cell>
          <cell r="T531" t="str">
            <v>R2</v>
          </cell>
          <cell r="U531" t="str">
            <v>ORD</v>
          </cell>
          <cell r="V531" t="str">
            <v>RN</v>
          </cell>
          <cell r="W531" t="str">
            <v>L</v>
          </cell>
          <cell r="X531" t="str">
            <v>R</v>
          </cell>
        </row>
        <row r="532">
          <cell r="B532">
            <v>3295</v>
          </cell>
          <cell r="C532" t="str">
            <v>REALISATION STATION CHARGEMENT PHOSPHATE HUMIDE B.I</v>
          </cell>
          <cell r="D532">
            <v>40000000</v>
          </cell>
          <cell r="E532">
            <v>90000000</v>
          </cell>
          <cell r="F532">
            <v>0</v>
          </cell>
          <cell r="G532">
            <v>0</v>
          </cell>
          <cell r="I532" t="str">
            <v>DAL&amp;DAC</v>
          </cell>
          <cell r="J532" t="str">
            <v>CP</v>
          </cell>
          <cell r="K532" t="str">
            <v xml:space="preserve">DAC &amp; DAL approuvées par DG - Mt = 90 MDH;              </v>
          </cell>
          <cell r="N532" t="str">
            <v>DPM/10/06</v>
          </cell>
          <cell r="P532" t="str">
            <v>AO-9356/06</v>
          </cell>
          <cell r="S532" t="str">
            <v>BOUKAISSI</v>
          </cell>
          <cell r="T532" t="str">
            <v>R1</v>
          </cell>
          <cell r="U532" t="str">
            <v>IMP</v>
          </cell>
          <cell r="V532" t="str">
            <v>DN</v>
          </cell>
          <cell r="W532" t="str">
            <v>T</v>
          </cell>
          <cell r="X532" t="str">
            <v>R</v>
          </cell>
        </row>
        <row r="533">
          <cell r="B533">
            <v>3295</v>
          </cell>
          <cell r="C533" t="str">
            <v>Lot: Achat d'un locotracteur électrique (6 MDH)</v>
          </cell>
          <cell r="I533" t="str">
            <v>CONSUL</v>
          </cell>
          <cell r="J533" t="str">
            <v>PFM/AC</v>
          </cell>
          <cell r="K533" t="str">
            <v>DAM + DT pour consultation</v>
          </cell>
          <cell r="L533">
            <v>479</v>
          </cell>
          <cell r="M533">
            <v>38952</v>
          </cell>
          <cell r="N533" t="str">
            <v>DAM- 155/06</v>
          </cell>
          <cell r="S533" t="str">
            <v>BOUKAISSI</v>
          </cell>
          <cell r="T533" t="str">
            <v>R1</v>
          </cell>
          <cell r="U533" t="str">
            <v>IMP</v>
          </cell>
          <cell r="V533" t="str">
            <v>DN</v>
          </cell>
          <cell r="W533" t="str">
            <v>T</v>
          </cell>
          <cell r="X533" t="str">
            <v>R</v>
          </cell>
        </row>
        <row r="534">
          <cell r="B534">
            <v>3295</v>
          </cell>
          <cell r="C534" t="str">
            <v>Lot: Réaménagement et implantation de la voie ferrée par ONCF</v>
          </cell>
          <cell r="I534" t="str">
            <v>ENG</v>
          </cell>
          <cell r="J534" t="str">
            <v>CP</v>
          </cell>
          <cell r="K534" t="str">
            <v>AE N° 3295-1 de 20,702 MDH</v>
          </cell>
          <cell r="S534" t="str">
            <v>BOUKAISSI</v>
          </cell>
          <cell r="T534" t="str">
            <v>R1</v>
          </cell>
          <cell r="U534" t="str">
            <v>IMP</v>
          </cell>
          <cell r="V534" t="str">
            <v>DN</v>
          </cell>
          <cell r="W534" t="str">
            <v>T</v>
          </cell>
          <cell r="X534" t="str">
            <v>R</v>
          </cell>
        </row>
        <row r="535">
          <cell r="B535">
            <v>3295</v>
          </cell>
          <cell r="C535" t="str">
            <v>Lot: Etude géotechnique par LPEE</v>
          </cell>
          <cell r="I535" t="str">
            <v>ENG</v>
          </cell>
          <cell r="J535" t="str">
            <v>CP</v>
          </cell>
          <cell r="K535" t="str">
            <v>AE N° IV3295 -3 de 298 377,72 DH</v>
          </cell>
          <cell r="S535" t="str">
            <v>BOUKAISSI</v>
          </cell>
          <cell r="T535" t="str">
            <v>R1</v>
          </cell>
          <cell r="U535" t="str">
            <v>IMP</v>
          </cell>
          <cell r="V535" t="str">
            <v>DN</v>
          </cell>
          <cell r="W535" t="str">
            <v>T</v>
          </cell>
          <cell r="X535" t="str">
            <v>R</v>
          </cell>
        </row>
        <row r="536">
          <cell r="B536">
            <v>3295</v>
          </cell>
          <cell r="C536" t="str">
            <v>Lot: Etude d'ingénierie de base</v>
          </cell>
          <cell r="I536" t="str">
            <v>ENG</v>
          </cell>
          <cell r="J536" t="str">
            <v>CP</v>
          </cell>
          <cell r="K536" t="str">
            <v>AE N° 3295-2 de 9 996 000 DH</v>
          </cell>
          <cell r="S536" t="str">
            <v>BOUKAISSI</v>
          </cell>
          <cell r="T536" t="str">
            <v>R1</v>
          </cell>
          <cell r="U536" t="str">
            <v>IMP</v>
          </cell>
          <cell r="V536" t="str">
            <v>DN</v>
          </cell>
          <cell r="W536" t="str">
            <v>T</v>
          </cell>
          <cell r="X536" t="str">
            <v>R</v>
          </cell>
        </row>
        <row r="537">
          <cell r="B537">
            <v>3295</v>
          </cell>
          <cell r="C537" t="str">
            <v>Acquisition du grateuur</v>
          </cell>
          <cell r="I537" t="str">
            <v>CT</v>
          </cell>
          <cell r="J537" t="str">
            <v>CP</v>
          </cell>
          <cell r="K537" t="str">
            <v xml:space="preserve">avis favorable du CT </v>
          </cell>
          <cell r="L537">
            <v>192</v>
          </cell>
          <cell r="M537">
            <v>39171</v>
          </cell>
          <cell r="S537" t="str">
            <v>BOUKAISSI</v>
          </cell>
          <cell r="T537" t="str">
            <v>R1</v>
          </cell>
          <cell r="U537" t="str">
            <v>IMP</v>
          </cell>
          <cell r="V537" t="str">
            <v>DN</v>
          </cell>
          <cell r="W537" t="str">
            <v>T</v>
          </cell>
          <cell r="X537" t="str">
            <v>R</v>
          </cell>
        </row>
        <row r="538">
          <cell r="B538">
            <v>3295</v>
          </cell>
          <cell r="C538" t="str">
            <v>Essais pilotages de crible à 6mm de phosphate humide de BI</v>
          </cell>
          <cell r="I538" t="str">
            <v>CONSUL</v>
          </cell>
          <cell r="J538" t="str">
            <v>PLM/M</v>
          </cell>
          <cell r="K538" t="str">
            <v>DPM pour consultation (Transmis directement à PLM/M)</v>
          </cell>
          <cell r="L538">
            <v>848</v>
          </cell>
          <cell r="M538">
            <v>39209</v>
          </cell>
          <cell r="N538" t="str">
            <v>DPM - 4518/07</v>
          </cell>
          <cell r="O538">
            <v>2224</v>
          </cell>
          <cell r="S538" t="str">
            <v>BOUKAISSI</v>
          </cell>
          <cell r="T538" t="str">
            <v>R1</v>
          </cell>
          <cell r="U538" t="str">
            <v>IMP</v>
          </cell>
          <cell r="V538" t="str">
            <v>DN</v>
          </cell>
          <cell r="W538" t="str">
            <v>T</v>
          </cell>
          <cell r="X538" t="str">
            <v>R</v>
          </cell>
        </row>
        <row r="539">
          <cell r="B539">
            <v>3295</v>
          </cell>
          <cell r="C539" t="str">
            <v>Démontage,transfert du silo de chargement à BI</v>
          </cell>
          <cell r="H539">
            <v>15981950.27</v>
          </cell>
          <cell r="I539" t="str">
            <v>ENG</v>
          </cell>
          <cell r="J539" t="str">
            <v>CP</v>
          </cell>
          <cell r="K539" t="str">
            <v>AE N° IV3295 -4 de 15 981 950,27 DH</v>
          </cell>
          <cell r="L539" t="str">
            <v>PFF 563</v>
          </cell>
          <cell r="M539">
            <v>39286</v>
          </cell>
          <cell r="P539" t="str">
            <v>AO - 743</v>
          </cell>
          <cell r="S539" t="str">
            <v>BOUKAISSI</v>
          </cell>
          <cell r="T539" t="str">
            <v>R1</v>
          </cell>
          <cell r="U539" t="str">
            <v>IMP</v>
          </cell>
          <cell r="V539" t="str">
            <v>DN</v>
          </cell>
          <cell r="W539" t="str">
            <v>T</v>
          </cell>
          <cell r="X539" t="str">
            <v>R</v>
          </cell>
        </row>
        <row r="540">
          <cell r="B540">
            <v>3295</v>
          </cell>
          <cell r="C540" t="str">
            <v>Modification et adaptation du convoyeur LD3</v>
          </cell>
          <cell r="I540" t="str">
            <v>CONSUL</v>
          </cell>
          <cell r="J540" t="str">
            <v>AD</v>
          </cell>
          <cell r="K540" t="str">
            <v>DAM pour consultation</v>
          </cell>
          <cell r="L540">
            <v>568</v>
          </cell>
          <cell r="M540">
            <v>39367</v>
          </cell>
          <cell r="N540" t="str">
            <v>DPM - 4536/07</v>
          </cell>
          <cell r="S540" t="str">
            <v>BOUKAISSI</v>
          </cell>
          <cell r="T540" t="str">
            <v>R1</v>
          </cell>
          <cell r="U540" t="str">
            <v>IMP</v>
          </cell>
          <cell r="V540" t="str">
            <v>DN</v>
          </cell>
          <cell r="W540" t="str">
            <v>T</v>
          </cell>
          <cell r="X540" t="str">
            <v>R</v>
          </cell>
        </row>
        <row r="541">
          <cell r="B541">
            <v>3296</v>
          </cell>
          <cell r="C541" t="str">
            <v>RENOUVELLEMENT DE 2 TRANSFORMATEURS TRIPHASES 63 KVA ET 1 TRANSFORMATEUR TRIPHASE 160 KVA</v>
          </cell>
          <cell r="D541">
            <v>140000</v>
          </cell>
          <cell r="E541">
            <v>140000</v>
          </cell>
          <cell r="F541">
            <v>0</v>
          </cell>
          <cell r="G541">
            <v>0</v>
          </cell>
          <cell r="I541" t="str">
            <v>CONSUL</v>
          </cell>
          <cell r="J541" t="str">
            <v>AD</v>
          </cell>
          <cell r="K541" t="str">
            <v>DAM pour consultation</v>
          </cell>
          <cell r="L541">
            <v>360</v>
          </cell>
          <cell r="M541">
            <v>38904</v>
          </cell>
          <cell r="N541" t="str">
            <v>DAM-6023/06</v>
          </cell>
          <cell r="S541" t="str">
            <v>BOUTABBA</v>
          </cell>
          <cell r="T541" t="str">
            <v>R2</v>
          </cell>
          <cell r="U541" t="str">
            <v>ORD</v>
          </cell>
          <cell r="V541" t="str">
            <v>RN</v>
          </cell>
          <cell r="W541" t="str">
            <v>P</v>
          </cell>
          <cell r="X541" t="str">
            <v>R</v>
          </cell>
        </row>
        <row r="542">
          <cell r="B542">
            <v>3298</v>
          </cell>
          <cell r="C542" t="str">
            <v>RN DE 04 CHARGEURS DE BATTERIES POUR LES POSTES ELECTRIQUES DE L'UNITE DE BENI - IDIR</v>
          </cell>
          <cell r="D542">
            <v>0</v>
          </cell>
          <cell r="E542">
            <v>490000</v>
          </cell>
          <cell r="F542">
            <v>0</v>
          </cell>
          <cell r="G542">
            <v>0</v>
          </cell>
          <cell r="I542" t="str">
            <v>CONSUL</v>
          </cell>
          <cell r="J542" t="str">
            <v>AD</v>
          </cell>
          <cell r="K542" t="str">
            <v>DAM pour consultation</v>
          </cell>
          <cell r="L542">
            <v>312</v>
          </cell>
          <cell r="M542">
            <v>38889</v>
          </cell>
          <cell r="N542" t="str">
            <v>DAM-85/06</v>
          </cell>
          <cell r="S542" t="str">
            <v>TOGHZAOUI</v>
          </cell>
          <cell r="T542" t="str">
            <v>R2</v>
          </cell>
          <cell r="U542" t="str">
            <v>ORD</v>
          </cell>
          <cell r="V542" t="str">
            <v>RN</v>
          </cell>
          <cell r="W542" t="str">
            <v>T</v>
          </cell>
          <cell r="X542" t="str">
            <v>R</v>
          </cell>
        </row>
        <row r="543">
          <cell r="B543">
            <v>3299</v>
          </cell>
          <cell r="C543" t="str">
            <v>RN DE 02 GROUPES ELECTROGENES SUR CHASSIS</v>
          </cell>
          <cell r="D543">
            <v>600000</v>
          </cell>
          <cell r="E543">
            <v>600000</v>
          </cell>
          <cell r="F543">
            <v>0</v>
          </cell>
          <cell r="G543">
            <v>0</v>
          </cell>
          <cell r="H543">
            <v>348000</v>
          </cell>
          <cell r="I543" t="str">
            <v>ENG</v>
          </cell>
          <cell r="J543" t="str">
            <v>CP</v>
          </cell>
          <cell r="K543" t="str">
            <v xml:space="preserve"> Lettre d'urgence accordée par DG -AE N°-3299-1 de 348 000</v>
          </cell>
          <cell r="L543" t="str">
            <v>PFF - 628</v>
          </cell>
          <cell r="M543">
            <v>39343</v>
          </cell>
          <cell r="N543" t="str">
            <v>DAM-39/06</v>
          </cell>
          <cell r="P543" t="str">
            <v>DP-CAE-6036/6</v>
          </cell>
          <cell r="S543" t="str">
            <v>OUAMALICH</v>
          </cell>
          <cell r="T543" t="str">
            <v>R2</v>
          </cell>
          <cell r="U543" t="str">
            <v>ORD</v>
          </cell>
          <cell r="V543" t="str">
            <v>RN</v>
          </cell>
          <cell r="W543" t="str">
            <v>T</v>
          </cell>
          <cell r="X543" t="str">
            <v>R</v>
          </cell>
        </row>
        <row r="544">
          <cell r="B544">
            <v>3300</v>
          </cell>
          <cell r="C544" t="str">
            <v>RN DE 02 PRESSES A VULCANISER COMPLETES POUR BANDE LARGEUR 1400 MM</v>
          </cell>
          <cell r="D544">
            <v>0</v>
          </cell>
          <cell r="E544">
            <v>1600000</v>
          </cell>
          <cell r="F544">
            <v>0</v>
          </cell>
          <cell r="G544">
            <v>0</v>
          </cell>
          <cell r="I544" t="str">
            <v>CHT</v>
          </cell>
          <cell r="J544" t="str">
            <v>CP</v>
          </cell>
          <cell r="K544" t="str">
            <v>CHT en retour suite au remarque DAC</v>
          </cell>
          <cell r="L544">
            <v>391</v>
          </cell>
          <cell r="M544">
            <v>39248</v>
          </cell>
          <cell r="N544" t="str">
            <v>DAM-40/06</v>
          </cell>
          <cell r="S544" t="str">
            <v>OUAMALICH</v>
          </cell>
          <cell r="T544" t="str">
            <v>R2</v>
          </cell>
          <cell r="U544" t="str">
            <v>ORD</v>
          </cell>
          <cell r="V544" t="str">
            <v>RN</v>
          </cell>
          <cell r="W544" t="str">
            <v>T</v>
          </cell>
          <cell r="X544" t="str">
            <v>R</v>
          </cell>
        </row>
        <row r="545">
          <cell r="B545">
            <v>3301</v>
          </cell>
          <cell r="C545" t="str">
            <v>20 bouteilles de chlore</v>
          </cell>
          <cell r="D545">
            <v>198000</v>
          </cell>
          <cell r="E545">
            <v>198000</v>
          </cell>
          <cell r="F545">
            <v>0</v>
          </cell>
          <cell r="G545">
            <v>0</v>
          </cell>
          <cell r="I545" t="str">
            <v>CONSUL</v>
          </cell>
          <cell r="J545" t="str">
            <v>AD</v>
          </cell>
          <cell r="K545" t="str">
            <v>DAM pour consultation</v>
          </cell>
          <cell r="L545">
            <v>147</v>
          </cell>
          <cell r="M545">
            <v>39156</v>
          </cell>
          <cell r="N545" t="str">
            <v>DAM-26/06</v>
          </cell>
          <cell r="O545">
            <v>5742</v>
          </cell>
          <cell r="S545" t="str">
            <v>DERDAKI</v>
          </cell>
          <cell r="T545" t="str">
            <v>R6</v>
          </cell>
          <cell r="U545" t="str">
            <v>SOC</v>
          </cell>
          <cell r="V545" t="str">
            <v>RN</v>
          </cell>
          <cell r="W545" t="str">
            <v>AK</v>
          </cell>
          <cell r="X545" t="str">
            <v>R</v>
          </cell>
        </row>
        <row r="546">
          <cell r="B546">
            <v>3302</v>
          </cell>
          <cell r="C546" t="str">
            <v>RN 2  GROUPES  MOTOPOMPES  POUR  PMK / AK / S</v>
          </cell>
          <cell r="D546">
            <v>88000</v>
          </cell>
          <cell r="E546">
            <v>88000</v>
          </cell>
          <cell r="F546">
            <v>0</v>
          </cell>
          <cell r="G546">
            <v>0</v>
          </cell>
          <cell r="I546" t="str">
            <v>CHT</v>
          </cell>
          <cell r="J546" t="str">
            <v>AD</v>
          </cell>
          <cell r="K546" t="str">
            <v>CHT pour attribution transmis directement à AD</v>
          </cell>
          <cell r="L546" t="str">
            <v>AK-116/07</v>
          </cell>
          <cell r="M546">
            <v>39255</v>
          </cell>
          <cell r="N546" t="str">
            <v>DAM-01/07</v>
          </cell>
          <cell r="O546">
            <v>5102</v>
          </cell>
          <cell r="S546" t="str">
            <v>DERDAKI</v>
          </cell>
          <cell r="T546" t="str">
            <v>R6</v>
          </cell>
          <cell r="U546" t="str">
            <v>SOC</v>
          </cell>
          <cell r="V546" t="str">
            <v>RN</v>
          </cell>
          <cell r="W546" t="str">
            <v>AK</v>
          </cell>
          <cell r="X546" t="str">
            <v>R</v>
          </cell>
        </row>
        <row r="547">
          <cell r="B547">
            <v>3303</v>
          </cell>
          <cell r="C547" t="str">
            <v>Acquisition de 4 cuisinieres a gaz pour le cercle du personnel de PMK/AK/S</v>
          </cell>
          <cell r="D547">
            <v>220000</v>
          </cell>
          <cell r="E547">
            <v>220000</v>
          </cell>
          <cell r="F547">
            <v>0</v>
          </cell>
          <cell r="G547">
            <v>0</v>
          </cell>
          <cell r="I547" t="str">
            <v>CHT</v>
          </cell>
          <cell r="J547" t="str">
            <v>AD</v>
          </cell>
          <cell r="K547" t="str">
            <v>CHT pour attribution transmis  à AD</v>
          </cell>
          <cell r="L547">
            <v>533</v>
          </cell>
          <cell r="M547">
            <v>39356</v>
          </cell>
          <cell r="N547" t="str">
            <v>DAM-06/06</v>
          </cell>
          <cell r="S547" t="str">
            <v>DERDAKI</v>
          </cell>
          <cell r="T547" t="str">
            <v>R6</v>
          </cell>
          <cell r="U547" t="str">
            <v>SOC</v>
          </cell>
          <cell r="V547" t="str">
            <v>DN</v>
          </cell>
          <cell r="W547" t="str">
            <v>AK</v>
          </cell>
          <cell r="X547" t="str">
            <v>R</v>
          </cell>
        </row>
        <row r="548">
          <cell r="B548">
            <v>3304</v>
          </cell>
          <cell r="C548" t="str">
            <v>RENOUVELLEMENT DE 03 BASCULES</v>
          </cell>
          <cell r="D548">
            <v>75000</v>
          </cell>
          <cell r="E548">
            <v>75000</v>
          </cell>
          <cell r="F548">
            <v>0</v>
          </cell>
          <cell r="G548">
            <v>0</v>
          </cell>
          <cell r="I548" t="str">
            <v>CONSUL</v>
          </cell>
          <cell r="J548" t="str">
            <v>AD</v>
          </cell>
          <cell r="K548" t="str">
            <v>DAM envoyée pour consultation</v>
          </cell>
          <cell r="L548">
            <v>292</v>
          </cell>
          <cell r="M548">
            <v>38869</v>
          </cell>
          <cell r="N548" t="str">
            <v>DAM-6016</v>
          </cell>
          <cell r="S548" t="str">
            <v>CHARKI</v>
          </cell>
          <cell r="T548" t="str">
            <v>R2</v>
          </cell>
          <cell r="U548" t="str">
            <v>ORD</v>
          </cell>
          <cell r="V548" t="str">
            <v>RN</v>
          </cell>
          <cell r="W548" t="str">
            <v>P</v>
          </cell>
          <cell r="X548" t="str">
            <v>R</v>
          </cell>
        </row>
        <row r="549">
          <cell r="B549">
            <v>3306</v>
          </cell>
          <cell r="C549" t="str">
            <v>RENOUVELLEMENT DE DEUX SONDEUSES</v>
          </cell>
          <cell r="D549">
            <v>0</v>
          </cell>
          <cell r="E549">
            <v>36000000</v>
          </cell>
          <cell r="F549">
            <v>0</v>
          </cell>
          <cell r="G549">
            <v>0</v>
          </cell>
          <cell r="I549" t="str">
            <v>DAL</v>
          </cell>
          <cell r="J549" t="str">
            <v>CP</v>
          </cell>
          <cell r="K549" t="str">
            <v>DAL de 36MDH approuvée par DG et transmise au CP pour ATT</v>
          </cell>
          <cell r="L549">
            <v>647</v>
          </cell>
          <cell r="M549">
            <v>39069</v>
          </cell>
          <cell r="N549" t="str">
            <v>DAM-6015/06</v>
          </cell>
          <cell r="S549" t="str">
            <v>CHEHTANE</v>
          </cell>
          <cell r="T549" t="str">
            <v>R2</v>
          </cell>
          <cell r="U549" t="str">
            <v>ORD</v>
          </cell>
          <cell r="V549" t="str">
            <v>RN</v>
          </cell>
          <cell r="W549" t="str">
            <v>P</v>
          </cell>
          <cell r="X549" t="str">
            <v>R</v>
          </cell>
        </row>
        <row r="550">
          <cell r="B550">
            <v>3307</v>
          </cell>
          <cell r="C550" t="str">
            <v>RENOUVELLEMENT DE 04 CRIBLES</v>
          </cell>
          <cell r="D550">
            <v>0</v>
          </cell>
          <cell r="E550">
            <v>4000000</v>
          </cell>
          <cell r="F550">
            <v>0</v>
          </cell>
          <cell r="G550">
            <v>0</v>
          </cell>
          <cell r="I550" t="str">
            <v>CT</v>
          </cell>
          <cell r="J550" t="str">
            <v>DAC/TM</v>
          </cell>
          <cell r="K550" t="str">
            <v>DAM en réponse au remarque de DAC</v>
          </cell>
          <cell r="L550">
            <v>382</v>
          </cell>
          <cell r="M550">
            <v>39346</v>
          </cell>
          <cell r="N550" t="str">
            <v>DAM-91/07</v>
          </cell>
          <cell r="S550" t="str">
            <v>BENAMEUR</v>
          </cell>
          <cell r="T550" t="str">
            <v>R2</v>
          </cell>
          <cell r="U550" t="str">
            <v>ORD</v>
          </cell>
          <cell r="V550" t="str">
            <v>RN</v>
          </cell>
          <cell r="W550" t="str">
            <v>T</v>
          </cell>
          <cell r="X550" t="str">
            <v>R</v>
          </cell>
        </row>
        <row r="551">
          <cell r="B551">
            <v>3308</v>
          </cell>
          <cell r="C551" t="str">
            <v>ACHAT DE 20 APPAREILS TELEPHONIQUES BLINDES</v>
          </cell>
          <cell r="D551">
            <v>0</v>
          </cell>
          <cell r="E551">
            <v>280000</v>
          </cell>
          <cell r="F551">
            <v>0</v>
          </cell>
          <cell r="G551">
            <v>0</v>
          </cell>
          <cell r="I551" t="str">
            <v>CONSUL</v>
          </cell>
          <cell r="J551" t="str">
            <v>AD</v>
          </cell>
          <cell r="K551" t="str">
            <v>DAM envoyée pour consultation</v>
          </cell>
          <cell r="L551" t="str">
            <v>TG-546</v>
          </cell>
          <cell r="M551">
            <v>38798</v>
          </cell>
          <cell r="S551" t="str">
            <v>BENAMEUR</v>
          </cell>
          <cell r="T551" t="str">
            <v>R2</v>
          </cell>
          <cell r="U551" t="str">
            <v>ORD</v>
          </cell>
          <cell r="V551" t="str">
            <v>DN</v>
          </cell>
          <cell r="W551" t="str">
            <v>T</v>
          </cell>
          <cell r="X551" t="str">
            <v>R</v>
          </cell>
        </row>
        <row r="552">
          <cell r="B552">
            <v>3309</v>
          </cell>
          <cell r="C552" t="str">
            <v>ACHAT DU MATERIEL DE FROID POUR PMK/TD</v>
          </cell>
          <cell r="D552">
            <v>0</v>
          </cell>
          <cell r="E552">
            <v>135000</v>
          </cell>
          <cell r="F552">
            <v>0</v>
          </cell>
          <cell r="G552">
            <v>0</v>
          </cell>
          <cell r="I552" t="str">
            <v>CONSUL</v>
          </cell>
          <cell r="J552" t="str">
            <v>AD</v>
          </cell>
          <cell r="K552" t="str">
            <v>DAM pour attribution</v>
          </cell>
          <cell r="L552">
            <v>186</v>
          </cell>
          <cell r="M552">
            <v>39164</v>
          </cell>
          <cell r="N552" t="str">
            <v>DAM-52-51</v>
          </cell>
          <cell r="S552" t="str">
            <v>BENAMEUR</v>
          </cell>
          <cell r="T552" t="str">
            <v>R6</v>
          </cell>
          <cell r="U552" t="str">
            <v>ADM</v>
          </cell>
          <cell r="V552" t="str">
            <v>DN</v>
          </cell>
          <cell r="W552" t="str">
            <v>T</v>
          </cell>
          <cell r="X552" t="str">
            <v>R</v>
          </cell>
        </row>
        <row r="553">
          <cell r="B553">
            <v>3309</v>
          </cell>
          <cell r="C553" t="str">
            <v>Achat de 05 réfrigérateurs</v>
          </cell>
          <cell r="I553" t="str">
            <v>CONSUL</v>
          </cell>
          <cell r="J553" t="str">
            <v>AD</v>
          </cell>
          <cell r="K553" t="str">
            <v>DAM pour attribution</v>
          </cell>
          <cell r="L553">
            <v>98</v>
          </cell>
          <cell r="M553">
            <v>39139</v>
          </cell>
          <cell r="N553" t="str">
            <v>DAM-32/07</v>
          </cell>
          <cell r="O553">
            <v>5477</v>
          </cell>
          <cell r="S553" t="str">
            <v>BENAMEUR</v>
          </cell>
          <cell r="T553" t="str">
            <v>R6</v>
          </cell>
          <cell r="U553" t="str">
            <v>ADM</v>
          </cell>
          <cell r="V553" t="str">
            <v>DN</v>
          </cell>
          <cell r="W553" t="str">
            <v>T</v>
          </cell>
          <cell r="X553" t="str">
            <v>R</v>
          </cell>
        </row>
        <row r="554">
          <cell r="B554">
            <v>3310</v>
          </cell>
          <cell r="C554" t="str">
            <v>ACHAT DE 02 GRANULOMETRES LASERS</v>
          </cell>
          <cell r="D554">
            <v>0</v>
          </cell>
          <cell r="E554">
            <v>490000</v>
          </cell>
          <cell r="F554">
            <v>0</v>
          </cell>
          <cell r="G554">
            <v>0</v>
          </cell>
          <cell r="K554" t="str">
            <v xml:space="preserve">ANNULEE PAR CP </v>
          </cell>
          <cell r="S554" t="str">
            <v>BENAMEUR</v>
          </cell>
          <cell r="T554" t="str">
            <v>R5</v>
          </cell>
          <cell r="U554" t="str">
            <v>ETUDES ET ESSAIS</v>
          </cell>
          <cell r="V554" t="str">
            <v>DN</v>
          </cell>
          <cell r="W554" t="str">
            <v>T</v>
          </cell>
          <cell r="X554" t="str">
            <v>R</v>
          </cell>
        </row>
        <row r="555">
          <cell r="B555">
            <v>3311</v>
          </cell>
          <cell r="C555" t="str">
            <v>CONSTRUCTION D'UN LABORATOIRE A LA LAVERIE DAOUI</v>
          </cell>
          <cell r="D555">
            <v>0</v>
          </cell>
          <cell r="E555">
            <v>490000</v>
          </cell>
          <cell r="F555">
            <v>0</v>
          </cell>
          <cell r="G555">
            <v>0</v>
          </cell>
          <cell r="S555" t="str">
            <v>BENAMEUR</v>
          </cell>
          <cell r="T555" t="str">
            <v>R6</v>
          </cell>
          <cell r="U555" t="str">
            <v>ADM</v>
          </cell>
          <cell r="V555" t="str">
            <v>DN</v>
          </cell>
          <cell r="W555" t="str">
            <v>T</v>
          </cell>
          <cell r="X555" t="str">
            <v>R</v>
          </cell>
        </row>
        <row r="556">
          <cell r="B556">
            <v>3312</v>
          </cell>
          <cell r="C556" t="str">
            <v>ACHAT D'UN JAR TEST POUR LES ESSAIS DE DECANTATION</v>
          </cell>
          <cell r="D556">
            <v>0</v>
          </cell>
          <cell r="E556">
            <v>300000</v>
          </cell>
          <cell r="F556">
            <v>0</v>
          </cell>
          <cell r="G556">
            <v>0</v>
          </cell>
          <cell r="K556" t="str">
            <v xml:space="preserve">ANNULEE PAR CP </v>
          </cell>
          <cell r="S556" t="str">
            <v>BENAMEUR</v>
          </cell>
          <cell r="T556" t="str">
            <v>R5</v>
          </cell>
          <cell r="U556" t="str">
            <v>ETUDES ET ESSAIS</v>
          </cell>
          <cell r="V556" t="str">
            <v>DN</v>
          </cell>
          <cell r="W556" t="str">
            <v>T</v>
          </cell>
          <cell r="X556" t="str">
            <v>R</v>
          </cell>
        </row>
        <row r="557">
          <cell r="B557">
            <v>3314</v>
          </cell>
          <cell r="C557" t="str">
            <v>RN DES REFECTOIRES ET BLOCS SANITAIRE LAVERIE ET PARC EL WAFI</v>
          </cell>
          <cell r="D557">
            <v>0</v>
          </cell>
          <cell r="E557">
            <v>490000</v>
          </cell>
          <cell r="F557">
            <v>0</v>
          </cell>
          <cell r="G557">
            <v>0</v>
          </cell>
          <cell r="S557" t="str">
            <v>BENAMEUR</v>
          </cell>
          <cell r="T557" t="str">
            <v>R6</v>
          </cell>
          <cell r="U557" t="str">
            <v>ADM</v>
          </cell>
          <cell r="V557" t="str">
            <v>RN</v>
          </cell>
          <cell r="W557" t="str">
            <v>T</v>
          </cell>
          <cell r="X557" t="str">
            <v>R</v>
          </cell>
        </row>
        <row r="558">
          <cell r="B558">
            <v>3315</v>
          </cell>
          <cell r="C558" t="str">
            <v>RENOVATION DE LA STATION DE FLOCULATION DAOUI</v>
          </cell>
          <cell r="D558">
            <v>0</v>
          </cell>
          <cell r="E558">
            <v>480000</v>
          </cell>
          <cell r="F558">
            <v>0</v>
          </cell>
          <cell r="G558">
            <v>0</v>
          </cell>
          <cell r="S558" t="str">
            <v>BENAMEUR</v>
          </cell>
          <cell r="T558" t="str">
            <v>R2</v>
          </cell>
          <cell r="U558" t="str">
            <v>ORD</v>
          </cell>
          <cell r="V558" t="str">
            <v>DN</v>
          </cell>
          <cell r="W558" t="str">
            <v>T</v>
          </cell>
          <cell r="X558" t="str">
            <v>R</v>
          </cell>
        </row>
        <row r="559">
          <cell r="B559">
            <v>3316</v>
          </cell>
          <cell r="C559" t="str">
            <v>MOBILIER DE BUREAU POUR PMK / AK /A</v>
          </cell>
          <cell r="D559">
            <v>77000</v>
          </cell>
          <cell r="E559">
            <v>77000</v>
          </cell>
          <cell r="F559">
            <v>0</v>
          </cell>
          <cell r="G559">
            <v>0</v>
          </cell>
          <cell r="I559" t="str">
            <v>CONSUL</v>
          </cell>
          <cell r="J559" t="str">
            <v>AD</v>
          </cell>
          <cell r="K559" t="str">
            <v>DAM pour consultation</v>
          </cell>
          <cell r="L559">
            <v>226</v>
          </cell>
          <cell r="M559">
            <v>39185</v>
          </cell>
          <cell r="N559" t="str">
            <v>DAM-141/07</v>
          </cell>
          <cell r="O559">
            <v>6370</v>
          </cell>
          <cell r="S559" t="str">
            <v>EL HOUSANI</v>
          </cell>
          <cell r="T559" t="str">
            <v>R6</v>
          </cell>
          <cell r="U559" t="str">
            <v>ADM</v>
          </cell>
          <cell r="V559" t="str">
            <v>RN</v>
          </cell>
          <cell r="W559" t="str">
            <v>AK</v>
          </cell>
          <cell r="X559" t="str">
            <v>R</v>
          </cell>
        </row>
        <row r="560">
          <cell r="B560">
            <v>3317</v>
          </cell>
          <cell r="C560" t="str">
            <v xml:space="preserve">ACQUISITION  DE  08  APPAREILS TELEPHONIQUES  </v>
          </cell>
          <cell r="D560">
            <v>8000</v>
          </cell>
          <cell r="E560">
            <v>8000</v>
          </cell>
          <cell r="F560">
            <v>0</v>
          </cell>
          <cell r="G560">
            <v>0</v>
          </cell>
          <cell r="I560" t="str">
            <v>CHC</v>
          </cell>
          <cell r="J560" t="str">
            <v>AD</v>
          </cell>
          <cell r="K560" t="str">
            <v>CHC pour attribution transmis à AD</v>
          </cell>
          <cell r="L560">
            <v>554</v>
          </cell>
          <cell r="M560">
            <v>39363</v>
          </cell>
          <cell r="N560" t="str">
            <v>DAM-22</v>
          </cell>
          <cell r="S560" t="str">
            <v>EL HOUSANI</v>
          </cell>
          <cell r="T560" t="str">
            <v>R6</v>
          </cell>
          <cell r="U560" t="str">
            <v>ADM</v>
          </cell>
          <cell r="V560" t="str">
            <v>RN</v>
          </cell>
          <cell r="W560" t="str">
            <v>AK</v>
          </cell>
          <cell r="X560" t="str">
            <v>R</v>
          </cell>
        </row>
        <row r="561">
          <cell r="B561">
            <v>3318</v>
          </cell>
          <cell r="C561" t="str">
            <v>ACQUISITION MOBILIER DE BUREAU</v>
          </cell>
          <cell r="D561">
            <v>0</v>
          </cell>
          <cell r="E561">
            <v>34000</v>
          </cell>
          <cell r="F561">
            <v>0</v>
          </cell>
          <cell r="G561">
            <v>0</v>
          </cell>
          <cell r="I561" t="str">
            <v>AT.AE</v>
          </cell>
          <cell r="J561" t="str">
            <v>PFF/CI</v>
          </cell>
          <cell r="K561" t="str">
            <v>DAE N°-3318-1 DE 8400 et DAE N°-3318-2 DE 7470 DH</v>
          </cell>
          <cell r="L561" t="str">
            <v>98-111</v>
          </cell>
          <cell r="M561">
            <v>39142</v>
          </cell>
          <cell r="N561" t="str">
            <v>DAM-84/06</v>
          </cell>
          <cell r="P561" t="str">
            <v>DP-DKI-5186075/06</v>
          </cell>
          <cell r="S561" t="str">
            <v>FIKRI</v>
          </cell>
          <cell r="T561" t="str">
            <v>R6</v>
          </cell>
          <cell r="U561" t="str">
            <v>ADM</v>
          </cell>
          <cell r="V561" t="str">
            <v>DN</v>
          </cell>
          <cell r="W561" t="str">
            <v>L</v>
          </cell>
          <cell r="X561" t="str">
            <v>R</v>
          </cell>
        </row>
        <row r="562">
          <cell r="B562">
            <v>3319</v>
          </cell>
          <cell r="C562" t="str">
            <v>EQUIPEMENT AUDIO-VISUEL</v>
          </cell>
          <cell r="D562">
            <v>35000</v>
          </cell>
          <cell r="E562">
            <v>35000</v>
          </cell>
          <cell r="F562">
            <v>0</v>
          </cell>
          <cell r="G562">
            <v>0</v>
          </cell>
          <cell r="I562" t="str">
            <v>CONSUL</v>
          </cell>
          <cell r="J562" t="str">
            <v>AD</v>
          </cell>
          <cell r="K562" t="str">
            <v>DAM pour consultation</v>
          </cell>
          <cell r="L562">
            <v>180</v>
          </cell>
          <cell r="M562">
            <v>39161</v>
          </cell>
          <cell r="N562" t="str">
            <v>DAM-86/07</v>
          </cell>
          <cell r="O562">
            <v>5997</v>
          </cell>
          <cell r="S562" t="str">
            <v>FIKRI</v>
          </cell>
          <cell r="T562" t="str">
            <v>R6</v>
          </cell>
          <cell r="U562" t="str">
            <v>ADM</v>
          </cell>
          <cell r="V562" t="str">
            <v>DN</v>
          </cell>
          <cell r="W562" t="str">
            <v>L</v>
          </cell>
          <cell r="X562" t="str">
            <v>R</v>
          </cell>
        </row>
        <row r="563">
          <cell r="B563">
            <v>3320</v>
          </cell>
          <cell r="C563" t="str">
            <v>ACQUISITION DE MOBILIER DE BUREAU POUR PMK / AK / J</v>
          </cell>
          <cell r="D563">
            <v>77000</v>
          </cell>
          <cell r="E563">
            <v>77000</v>
          </cell>
          <cell r="F563">
            <v>0</v>
          </cell>
          <cell r="G563">
            <v>0</v>
          </cell>
          <cell r="I563" t="str">
            <v>CONSUL</v>
          </cell>
          <cell r="J563" t="str">
            <v>AD</v>
          </cell>
          <cell r="K563" t="str">
            <v>DAM pour consultation</v>
          </cell>
          <cell r="L563">
            <v>344</v>
          </cell>
          <cell r="M563">
            <v>39224</v>
          </cell>
          <cell r="N563" t="str">
            <v>DAM-02-03/07</v>
          </cell>
          <cell r="S563" t="str">
            <v>BENYESSEF</v>
          </cell>
          <cell r="T563" t="str">
            <v>R6</v>
          </cell>
          <cell r="U563" t="str">
            <v>ADM</v>
          </cell>
          <cell r="V563" t="str">
            <v>DN</v>
          </cell>
          <cell r="W563" t="str">
            <v>AK</v>
          </cell>
          <cell r="X563" t="str">
            <v>R</v>
          </cell>
        </row>
        <row r="564">
          <cell r="B564">
            <v>3321</v>
          </cell>
          <cell r="C564" t="str">
            <v>ACHAT DE 04 BASCULES INTERGATRICES</v>
          </cell>
          <cell r="D564">
            <v>400000</v>
          </cell>
          <cell r="E564">
            <v>400000</v>
          </cell>
          <cell r="F564">
            <v>0</v>
          </cell>
          <cell r="G564">
            <v>0</v>
          </cell>
          <cell r="I564" t="str">
            <v>CHT</v>
          </cell>
          <cell r="J564" t="str">
            <v>AD</v>
          </cell>
          <cell r="K564" t="str">
            <v>CHT pour attribution transmis à AD</v>
          </cell>
          <cell r="L564">
            <v>556</v>
          </cell>
          <cell r="M564">
            <v>38635</v>
          </cell>
          <cell r="N564" t="str">
            <v>DAM-6026/06</v>
          </cell>
          <cell r="P564" t="str">
            <v>AO-DKI-3806E6168/07</v>
          </cell>
          <cell r="S564" t="str">
            <v>EL KASSI</v>
          </cell>
          <cell r="T564" t="str">
            <v>R2</v>
          </cell>
          <cell r="U564" t="str">
            <v>ORD</v>
          </cell>
          <cell r="V564" t="str">
            <v>DN</v>
          </cell>
          <cell r="W564" t="str">
            <v>P</v>
          </cell>
          <cell r="X564" t="str">
            <v>R</v>
          </cell>
        </row>
        <row r="565">
          <cell r="B565">
            <v>3322</v>
          </cell>
          <cell r="C565" t="str">
            <v>ACQUISITION  D'UNE  TABLE  POUR  MICRO  ET UNE  TABLE  DE  DECHARGE  POUR  PMK / AK / C</v>
          </cell>
          <cell r="D565">
            <v>4000</v>
          </cell>
          <cell r="E565">
            <v>4000</v>
          </cell>
          <cell r="F565">
            <v>0</v>
          </cell>
          <cell r="G565">
            <v>0</v>
          </cell>
          <cell r="I565" t="str">
            <v>CONSUL</v>
          </cell>
          <cell r="J565" t="str">
            <v>AD</v>
          </cell>
          <cell r="K565" t="str">
            <v>DAM pour consultation</v>
          </cell>
          <cell r="L565">
            <v>242</v>
          </cell>
          <cell r="M565">
            <v>39188</v>
          </cell>
          <cell r="N565" t="str">
            <v>DAM-02/07</v>
          </cell>
          <cell r="O565">
            <v>6392</v>
          </cell>
          <cell r="S565" t="str">
            <v>EL HOUSANI</v>
          </cell>
          <cell r="T565" t="str">
            <v>R6</v>
          </cell>
          <cell r="U565" t="str">
            <v>ADM</v>
          </cell>
          <cell r="V565" t="str">
            <v>DN</v>
          </cell>
          <cell r="W565" t="str">
            <v>AK</v>
          </cell>
          <cell r="X565" t="str">
            <v>R</v>
          </cell>
        </row>
        <row r="566">
          <cell r="B566">
            <v>3323</v>
          </cell>
          <cell r="C566" t="str">
            <v>ACQUISITION  D'UNE  ARMOIRE  POUR CLASSEMENT  ET D'UN  BAC  A  DOSSIER  POUR  PMK/AK/C.</v>
          </cell>
          <cell r="D566">
            <v>5500</v>
          </cell>
          <cell r="E566">
            <v>5500</v>
          </cell>
          <cell r="F566">
            <v>0</v>
          </cell>
          <cell r="G566">
            <v>0</v>
          </cell>
          <cell r="I566" t="str">
            <v>CONSUL</v>
          </cell>
          <cell r="J566" t="str">
            <v>AD</v>
          </cell>
          <cell r="K566" t="str">
            <v>DAM pour consultation</v>
          </cell>
          <cell r="L566">
            <v>243</v>
          </cell>
          <cell r="M566">
            <v>39188</v>
          </cell>
          <cell r="N566" t="str">
            <v>DAM-03/07</v>
          </cell>
          <cell r="O566">
            <v>6393</v>
          </cell>
          <cell r="S566" t="str">
            <v>EL HOUSANI</v>
          </cell>
          <cell r="T566" t="str">
            <v>R6</v>
          </cell>
          <cell r="U566" t="str">
            <v>ADM</v>
          </cell>
          <cell r="V566" t="str">
            <v>DN</v>
          </cell>
          <cell r="W566" t="str">
            <v>AK</v>
          </cell>
          <cell r="X566" t="str">
            <v>R</v>
          </cell>
        </row>
        <row r="567">
          <cell r="B567">
            <v>3324</v>
          </cell>
          <cell r="C567" t="str">
            <v xml:space="preserve"> RENOUVELLEMENT DES BUREAUX DE PMK / AK / C</v>
          </cell>
          <cell r="D567">
            <v>25000</v>
          </cell>
          <cell r="E567">
            <v>25000</v>
          </cell>
          <cell r="F567">
            <v>0</v>
          </cell>
          <cell r="G567">
            <v>0</v>
          </cell>
          <cell r="I567" t="str">
            <v>CONSUL</v>
          </cell>
          <cell r="J567" t="str">
            <v>AD</v>
          </cell>
          <cell r="K567" t="str">
            <v>DAM pour consultation</v>
          </cell>
          <cell r="L567">
            <v>244</v>
          </cell>
          <cell r="M567">
            <v>39188</v>
          </cell>
          <cell r="N567" t="str">
            <v>DAM-04/07</v>
          </cell>
          <cell r="O567">
            <v>6394</v>
          </cell>
          <cell r="S567" t="str">
            <v>EL HOUSANI</v>
          </cell>
          <cell r="T567" t="str">
            <v>R6</v>
          </cell>
          <cell r="U567" t="str">
            <v>ADM</v>
          </cell>
          <cell r="V567" t="str">
            <v>RN</v>
          </cell>
          <cell r="W567" t="str">
            <v>AK</v>
          </cell>
          <cell r="X567" t="str">
            <v>R</v>
          </cell>
        </row>
        <row r="568">
          <cell r="B568">
            <v>3325</v>
          </cell>
          <cell r="C568" t="str">
            <v>03  RAYONNAGES  POUR  ARCHIVAGE  POUR  PMK / AK / C</v>
          </cell>
          <cell r="D568">
            <v>30000</v>
          </cell>
          <cell r="E568">
            <v>30000</v>
          </cell>
          <cell r="F568">
            <v>0</v>
          </cell>
          <cell r="G568">
            <v>0</v>
          </cell>
          <cell r="I568" t="str">
            <v>CONSUL</v>
          </cell>
          <cell r="J568" t="str">
            <v>AD</v>
          </cell>
          <cell r="K568" t="str">
            <v>DAM pour consultation</v>
          </cell>
          <cell r="L568">
            <v>245</v>
          </cell>
          <cell r="M568">
            <v>39188</v>
          </cell>
          <cell r="N568" t="str">
            <v>DAM-05/07</v>
          </cell>
          <cell r="O568">
            <v>6396</v>
          </cell>
          <cell r="S568" t="str">
            <v>EL HOUSANI</v>
          </cell>
          <cell r="T568" t="str">
            <v>R6</v>
          </cell>
          <cell r="U568" t="str">
            <v>ADM</v>
          </cell>
          <cell r="V568" t="str">
            <v>DN</v>
          </cell>
          <cell r="W568" t="str">
            <v>AK</v>
          </cell>
          <cell r="X568" t="str">
            <v>R</v>
          </cell>
        </row>
        <row r="569">
          <cell r="B569">
            <v>3326</v>
          </cell>
          <cell r="C569" t="str">
            <v xml:space="preserve">ACQUISITION  D'UNE  FONTAINE  REFRIGERANTE  </v>
          </cell>
          <cell r="D569">
            <v>10000</v>
          </cell>
          <cell r="E569">
            <v>10000</v>
          </cell>
          <cell r="F569">
            <v>0</v>
          </cell>
          <cell r="G569">
            <v>0</v>
          </cell>
          <cell r="I569" t="str">
            <v>CONSUL</v>
          </cell>
          <cell r="J569" t="str">
            <v>AD</v>
          </cell>
          <cell r="K569" t="str">
            <v>DAM pour consultation</v>
          </cell>
          <cell r="L569">
            <v>246</v>
          </cell>
          <cell r="M569">
            <v>39188</v>
          </cell>
          <cell r="N569" t="str">
            <v>DAM-06/07</v>
          </cell>
          <cell r="O569">
            <v>6397</v>
          </cell>
          <cell r="S569" t="str">
            <v>EL HOUSANI</v>
          </cell>
          <cell r="T569" t="str">
            <v>R2</v>
          </cell>
          <cell r="U569" t="str">
            <v>ORD</v>
          </cell>
          <cell r="V569" t="str">
            <v>DN</v>
          </cell>
          <cell r="W569" t="str">
            <v>AK</v>
          </cell>
          <cell r="X569" t="str">
            <v>R</v>
          </cell>
        </row>
        <row r="570">
          <cell r="B570">
            <v>3327</v>
          </cell>
          <cell r="C570" t="str">
            <v>20 CLIMATISEURS</v>
          </cell>
          <cell r="D570">
            <v>480000</v>
          </cell>
          <cell r="E570">
            <v>480000</v>
          </cell>
          <cell r="F570">
            <v>0</v>
          </cell>
          <cell r="G570">
            <v>0</v>
          </cell>
          <cell r="I570" t="str">
            <v>AVIS</v>
          </cell>
          <cell r="J570" t="str">
            <v>PFF/CI</v>
          </cell>
          <cell r="K570" t="str">
            <v>Attente avis PFF pour établir DAC (rappel)</v>
          </cell>
          <cell r="L570">
            <v>290</v>
          </cell>
          <cell r="M570">
            <v>39274</v>
          </cell>
          <cell r="N570" t="str">
            <v>DAM -64</v>
          </cell>
          <cell r="S570" t="str">
            <v>BENMAKHLOUF</v>
          </cell>
          <cell r="T570" t="str">
            <v>R6</v>
          </cell>
          <cell r="U570" t="str">
            <v>ADM</v>
          </cell>
          <cell r="V570" t="str">
            <v>DN</v>
          </cell>
          <cell r="W570" t="str">
            <v>T</v>
          </cell>
          <cell r="X570" t="str">
            <v>R</v>
          </cell>
        </row>
        <row r="571">
          <cell r="B571">
            <v>3327</v>
          </cell>
          <cell r="C571" t="str">
            <v>EQUIPEMENT DES NOUVEAUX BUREAUX DU SERVICE MATERIEL DE PMK/TD</v>
          </cell>
          <cell r="I571" t="str">
            <v>AVIS</v>
          </cell>
          <cell r="J571" t="str">
            <v>PFF</v>
          </cell>
          <cell r="K571" t="str">
            <v>Pour avis en vue d'établir la DAC
FAX PMK/TG 1081/B du 19/06/2007</v>
          </cell>
          <cell r="L571">
            <v>176</v>
          </cell>
          <cell r="M571">
            <v>39197</v>
          </cell>
          <cell r="N571" t="str">
            <v>DAM 63</v>
          </cell>
          <cell r="S571" t="str">
            <v>NAJAM</v>
          </cell>
          <cell r="T571" t="str">
            <v>R6</v>
          </cell>
          <cell r="U571" t="str">
            <v>ADM</v>
          </cell>
          <cell r="V571" t="str">
            <v>DN</v>
          </cell>
          <cell r="W571" t="str">
            <v>T</v>
          </cell>
          <cell r="X571" t="str">
            <v>R</v>
          </cell>
        </row>
        <row r="572">
          <cell r="B572">
            <v>3328</v>
          </cell>
          <cell r="C572" t="str">
            <v>ACHAT D'UN MOTEUR THERMIQUE DIESEL CUMMINS-M11 POUR LES 03 CAMIONS TEREX TA30 DE RAVITAILLEMENT.</v>
          </cell>
          <cell r="D572">
            <v>600000</v>
          </cell>
          <cell r="E572">
            <v>600000</v>
          </cell>
          <cell r="F572">
            <v>0</v>
          </cell>
          <cell r="G572">
            <v>0</v>
          </cell>
          <cell r="I572" t="str">
            <v>CHT</v>
          </cell>
          <cell r="J572" t="str">
            <v>PLM/A</v>
          </cell>
          <cell r="K572" t="str">
            <v>CHT envoyé pour attribution</v>
          </cell>
          <cell r="L572">
            <v>199</v>
          </cell>
          <cell r="M572">
            <v>39217</v>
          </cell>
          <cell r="N572" t="str">
            <v>DAM-6042/06</v>
          </cell>
          <cell r="S572" t="str">
            <v>KHOUILI</v>
          </cell>
          <cell r="T572" t="str">
            <v>R2</v>
          </cell>
          <cell r="U572" t="str">
            <v>ORD</v>
          </cell>
          <cell r="V572" t="str">
            <v>DN</v>
          </cell>
          <cell r="W572" t="str">
            <v>P</v>
          </cell>
          <cell r="X572" t="str">
            <v>R</v>
          </cell>
        </row>
        <row r="573">
          <cell r="B573">
            <v>3329</v>
          </cell>
          <cell r="C573" t="str">
            <v xml:space="preserve">ACQUISITION DES ÉQUIPEMENTS DE FROID ET CLIMATISATION </v>
          </cell>
          <cell r="D573">
            <v>0</v>
          </cell>
          <cell r="E573">
            <v>200000</v>
          </cell>
          <cell r="F573">
            <v>0</v>
          </cell>
          <cell r="G573">
            <v>0</v>
          </cell>
          <cell r="I573" t="str">
            <v>CONSUL</v>
          </cell>
          <cell r="J573" t="str">
            <v>AD</v>
          </cell>
          <cell r="K573" t="str">
            <v>DAM envoyée pour consultation</v>
          </cell>
          <cell r="L573">
            <v>151</v>
          </cell>
          <cell r="M573">
            <v>39156</v>
          </cell>
          <cell r="N573" t="str">
            <v>DAM-14-07</v>
          </cell>
          <cell r="S573" t="str">
            <v>SAOUD</v>
          </cell>
          <cell r="T573" t="str">
            <v>R2</v>
          </cell>
          <cell r="U573" t="str">
            <v>ORD</v>
          </cell>
          <cell r="V573" t="str">
            <v>DN</v>
          </cell>
          <cell r="W573" t="str">
            <v>L</v>
          </cell>
          <cell r="X573" t="str">
            <v>R</v>
          </cell>
        </row>
        <row r="574">
          <cell r="B574">
            <v>3330</v>
          </cell>
          <cell r="C574" t="str">
            <v xml:space="preserve">EXTENSION DE L'ATELIER DE BOBINAGE </v>
          </cell>
          <cell r="D574">
            <v>300000</v>
          </cell>
          <cell r="E574">
            <v>1500000</v>
          </cell>
          <cell r="F574">
            <v>0</v>
          </cell>
          <cell r="G574">
            <v>0</v>
          </cell>
          <cell r="I574" t="str">
            <v>CONSUL</v>
          </cell>
          <cell r="J574" t="str">
            <v>AD</v>
          </cell>
          <cell r="K574" t="str">
            <v>DAM envoyée pour consultation</v>
          </cell>
          <cell r="L574">
            <v>603</v>
          </cell>
          <cell r="M574">
            <v>39042</v>
          </cell>
          <cell r="N574" t="str">
            <v>DPM-5233/6</v>
          </cell>
          <cell r="S574" t="str">
            <v>SAOUD</v>
          </cell>
          <cell r="T574" t="str">
            <v>R2</v>
          </cell>
          <cell r="U574" t="str">
            <v>ORD</v>
          </cell>
          <cell r="V574" t="str">
            <v>DN</v>
          </cell>
          <cell r="W574" t="str">
            <v>L</v>
          </cell>
          <cell r="X574" t="str">
            <v>R</v>
          </cell>
        </row>
        <row r="575">
          <cell r="B575">
            <v>3331</v>
          </cell>
          <cell r="C575" t="str">
            <v xml:space="preserve">ACQUISITION DES ÉLECTROPOMPES DE RELAIS POUR FORAGES  </v>
          </cell>
          <cell r="D575">
            <v>0</v>
          </cell>
          <cell r="E575">
            <v>500000</v>
          </cell>
          <cell r="F575">
            <v>0</v>
          </cell>
          <cell r="G575">
            <v>0</v>
          </cell>
          <cell r="I575" t="str">
            <v>CONSUL</v>
          </cell>
          <cell r="J575" t="str">
            <v>AD</v>
          </cell>
          <cell r="K575" t="str">
            <v>DAM envoyée pour consultation</v>
          </cell>
          <cell r="L575">
            <v>50</v>
          </cell>
          <cell r="M575">
            <v>39126</v>
          </cell>
          <cell r="N575" t="str">
            <v>DAM-17-21/07</v>
          </cell>
          <cell r="S575" t="str">
            <v>SAOUD</v>
          </cell>
          <cell r="T575" t="str">
            <v>R2</v>
          </cell>
          <cell r="U575" t="str">
            <v>ORD</v>
          </cell>
          <cell r="V575" t="str">
            <v>DN</v>
          </cell>
          <cell r="W575" t="str">
            <v>L</v>
          </cell>
          <cell r="X575" t="str">
            <v>R</v>
          </cell>
        </row>
        <row r="576">
          <cell r="B576">
            <v>3332</v>
          </cell>
          <cell r="C576" t="str">
            <v>ACHAT DES APPAREILS TELEPHONIQUES BLINDES POUR LES INSTALLATIONS PMK/TB</v>
          </cell>
          <cell r="D576">
            <v>0</v>
          </cell>
          <cell r="E576">
            <v>150000</v>
          </cell>
          <cell r="F576">
            <v>0</v>
          </cell>
          <cell r="G576">
            <v>0</v>
          </cell>
          <cell r="I576" t="str">
            <v>AVIS</v>
          </cell>
          <cell r="J576" t="str">
            <v>PFF/CI</v>
          </cell>
          <cell r="K576" t="str">
            <v>Attente avis PFF pour établir DAC</v>
          </cell>
          <cell r="L576">
            <v>50</v>
          </cell>
          <cell r="M576">
            <v>38757</v>
          </cell>
          <cell r="N576" t="str">
            <v>DAM-P 55/06</v>
          </cell>
          <cell r="P576" t="str">
            <v>AO DKI-285E6370/06</v>
          </cell>
          <cell r="S576" t="str">
            <v>BENCHEKROUN</v>
          </cell>
          <cell r="T576" t="str">
            <v>R2</v>
          </cell>
          <cell r="U576" t="str">
            <v>ORD</v>
          </cell>
          <cell r="V576" t="str">
            <v>DN</v>
          </cell>
          <cell r="W576" t="str">
            <v>T</v>
          </cell>
          <cell r="X576" t="str">
            <v>R</v>
          </cell>
        </row>
        <row r="577">
          <cell r="B577">
            <v>3333</v>
          </cell>
          <cell r="C577" t="str">
            <v>RN DE 02 MOTEURS THERMIQUES DIESEL POUR LA CHARGEUSE ET LA GRUE DE PMK/T</v>
          </cell>
          <cell r="D577">
            <v>0</v>
          </cell>
          <cell r="E577">
            <v>300000</v>
          </cell>
          <cell r="F577">
            <v>0</v>
          </cell>
          <cell r="G577">
            <v>0</v>
          </cell>
          <cell r="I577" t="str">
            <v>CONSUL</v>
          </cell>
          <cell r="J577" t="str">
            <v>AD</v>
          </cell>
          <cell r="K577" t="str">
            <v>DAM envoyée pour consultation</v>
          </cell>
          <cell r="L577" t="str">
            <v>TG-618</v>
          </cell>
          <cell r="M577">
            <v>38803</v>
          </cell>
          <cell r="N577" t="str">
            <v>DAM-31/06</v>
          </cell>
          <cell r="S577" t="str">
            <v>OUAMALICH</v>
          </cell>
          <cell r="T577" t="str">
            <v>R2</v>
          </cell>
          <cell r="U577" t="str">
            <v>ORD</v>
          </cell>
          <cell r="V577" t="str">
            <v>RN</v>
          </cell>
          <cell r="W577" t="str">
            <v>T</v>
          </cell>
          <cell r="X577" t="str">
            <v>R</v>
          </cell>
        </row>
        <row r="578">
          <cell r="B578">
            <v>3334</v>
          </cell>
          <cell r="C578" t="str">
            <v>RN DU GROUPE ELECTROGENE POUR L'ANTENNE DE SECURITE DU COZ</v>
          </cell>
          <cell r="D578">
            <v>400000</v>
          </cell>
          <cell r="E578">
            <v>400000</v>
          </cell>
          <cell r="F578">
            <v>0</v>
          </cell>
          <cell r="G578">
            <v>0</v>
          </cell>
          <cell r="H578">
            <v>111600</v>
          </cell>
          <cell r="I578" t="str">
            <v>ENG</v>
          </cell>
          <cell r="J578" t="str">
            <v>CP</v>
          </cell>
          <cell r="K578" t="str">
            <v xml:space="preserve">AE N°-3334-1 de 111 600,00 DH
Lettre d'urgence accordée par DG </v>
          </cell>
          <cell r="L578" t="str">
            <v>PFF-642</v>
          </cell>
          <cell r="M578">
            <v>39356</v>
          </cell>
          <cell r="S578" t="str">
            <v>ASSOUD</v>
          </cell>
          <cell r="T578" t="str">
            <v>R2</v>
          </cell>
          <cell r="U578" t="str">
            <v>ORD</v>
          </cell>
          <cell r="V578" t="str">
            <v>RN</v>
          </cell>
          <cell r="W578" t="str">
            <v>T</v>
          </cell>
          <cell r="X578" t="str">
            <v>R</v>
          </cell>
        </row>
        <row r="579">
          <cell r="B579">
            <v>3335</v>
          </cell>
          <cell r="C579" t="str">
            <v>ACHAT DES APPAREILS DE FROID ET DE CLIMATISATION, POUR LES INSTALLATIONS PMK/TB</v>
          </cell>
          <cell r="D579">
            <v>0</v>
          </cell>
          <cell r="E579">
            <v>244000</v>
          </cell>
          <cell r="F579">
            <v>0</v>
          </cell>
          <cell r="G579">
            <v>0</v>
          </cell>
          <cell r="I579" t="str">
            <v>CONSUL</v>
          </cell>
          <cell r="J579" t="str">
            <v>AD</v>
          </cell>
          <cell r="K579" t="str">
            <v>DAM pour consultation</v>
          </cell>
          <cell r="L579">
            <v>303</v>
          </cell>
          <cell r="M579">
            <v>38859</v>
          </cell>
          <cell r="N579" t="str">
            <v>DAM/105/06</v>
          </cell>
          <cell r="S579" t="str">
            <v>BENCHEKROUN</v>
          </cell>
          <cell r="T579" t="str">
            <v>R6</v>
          </cell>
          <cell r="U579" t="str">
            <v>ADM</v>
          </cell>
          <cell r="V579" t="str">
            <v>DN</v>
          </cell>
          <cell r="W579" t="str">
            <v>T</v>
          </cell>
          <cell r="X579" t="str">
            <v>R</v>
          </cell>
        </row>
        <row r="580">
          <cell r="B580">
            <v>3336</v>
          </cell>
          <cell r="C580" t="str">
            <v>ACQUISITION DE LOGICIELS D'AIDE A L'EXPLOITATION ET A LA MAINTENANCE (ACQUISITION DE LOGICIELS de calcul de la charpente métallique et convoyeurs)</v>
          </cell>
          <cell r="D580">
            <v>0</v>
          </cell>
          <cell r="E580">
            <v>980000</v>
          </cell>
          <cell r="F580">
            <v>0</v>
          </cell>
          <cell r="G580">
            <v>0</v>
          </cell>
          <cell r="I580" t="str">
            <v>CONSUL</v>
          </cell>
          <cell r="J580" t="str">
            <v>AD</v>
          </cell>
          <cell r="K580" t="str">
            <v>DAM pour consultation</v>
          </cell>
          <cell r="L580">
            <v>480</v>
          </cell>
          <cell r="M580">
            <v>39311</v>
          </cell>
          <cell r="N580" t="str">
            <v>DAM-101/07</v>
          </cell>
          <cell r="O580">
            <v>6215</v>
          </cell>
          <cell r="S580" t="str">
            <v>KARMOUNI</v>
          </cell>
          <cell r="T580" t="str">
            <v>R6</v>
          </cell>
          <cell r="U580" t="str">
            <v>ADM</v>
          </cell>
          <cell r="V580" t="str">
            <v>DN</v>
          </cell>
          <cell r="W580" t="str">
            <v>T</v>
          </cell>
          <cell r="X580" t="str">
            <v>R</v>
          </cell>
        </row>
        <row r="581">
          <cell r="B581">
            <v>3336</v>
          </cell>
          <cell r="C581" t="str">
            <v>ACQUISITION DE LOGICIEL Autocad avec 05 stations de travail</v>
          </cell>
          <cell r="I581" t="str">
            <v>CONSUL</v>
          </cell>
          <cell r="J581" t="str">
            <v>AD</v>
          </cell>
          <cell r="K581" t="str">
            <v>DAM pour consultation</v>
          </cell>
          <cell r="L581">
            <v>441</v>
          </cell>
          <cell r="M581">
            <v>39283</v>
          </cell>
          <cell r="N581" t="str">
            <v>DAM-4526/07</v>
          </cell>
          <cell r="O581">
            <v>5883</v>
          </cell>
          <cell r="S581" t="str">
            <v>KARMOUNI</v>
          </cell>
          <cell r="T581" t="str">
            <v>R6</v>
          </cell>
          <cell r="U581" t="str">
            <v>ADM</v>
          </cell>
          <cell r="V581" t="str">
            <v>DN</v>
          </cell>
          <cell r="W581" t="str">
            <v>T</v>
          </cell>
          <cell r="X581" t="str">
            <v>R</v>
          </cell>
        </row>
        <row r="582">
          <cell r="B582">
            <v>3338</v>
          </cell>
          <cell r="C582" t="str">
            <v>04 CLIMATISEURS</v>
          </cell>
          <cell r="D582">
            <v>0</v>
          </cell>
          <cell r="E582">
            <v>45000</v>
          </cell>
          <cell r="F582">
            <v>0</v>
          </cell>
          <cell r="G582">
            <v>0</v>
          </cell>
          <cell r="I582" t="str">
            <v>AT.AE</v>
          </cell>
          <cell r="J582" t="str">
            <v>PFF</v>
          </cell>
          <cell r="K582" t="str">
            <v>DAE N°-3338-1 DE 23520 DH</v>
          </cell>
          <cell r="L582">
            <v>111</v>
          </cell>
          <cell r="M582">
            <v>39149</v>
          </cell>
          <cell r="N582" t="str">
            <v>DAM/15/06</v>
          </cell>
          <cell r="P582" t="str">
            <v>DP-DKI482E6086</v>
          </cell>
          <cell r="S582" t="str">
            <v>BENZAKI</v>
          </cell>
          <cell r="T582" t="str">
            <v>R6</v>
          </cell>
          <cell r="U582" t="str">
            <v>ADM</v>
          </cell>
          <cell r="V582" t="str">
            <v>DN</v>
          </cell>
          <cell r="W582" t="str">
            <v>L</v>
          </cell>
          <cell r="X582" t="str">
            <v>R</v>
          </cell>
        </row>
        <row r="583">
          <cell r="B583">
            <v>3339</v>
          </cell>
          <cell r="C583" t="str">
            <v>MOBILIER DE BUREAU</v>
          </cell>
          <cell r="D583">
            <v>48000</v>
          </cell>
          <cell r="E583">
            <v>48000</v>
          </cell>
          <cell r="F583">
            <v>0</v>
          </cell>
          <cell r="G583">
            <v>0</v>
          </cell>
          <cell r="I583" t="str">
            <v>CHT</v>
          </cell>
          <cell r="J583" t="str">
            <v>AD</v>
          </cell>
          <cell r="K583" t="str">
            <v>CHT transmis à AD par le CP (Directement)</v>
          </cell>
          <cell r="L583" t="str">
            <v>LG - 117</v>
          </cell>
          <cell r="M583">
            <v>39268</v>
          </cell>
          <cell r="N583" t="str">
            <v>DAM-17/06</v>
          </cell>
          <cell r="S583" t="str">
            <v>BENZAKI</v>
          </cell>
          <cell r="T583" t="str">
            <v>R6</v>
          </cell>
          <cell r="U583" t="str">
            <v>ADM</v>
          </cell>
          <cell r="V583" t="str">
            <v>DN</v>
          </cell>
          <cell r="W583" t="str">
            <v>L</v>
          </cell>
          <cell r="X583" t="str">
            <v>R</v>
          </cell>
        </row>
        <row r="584">
          <cell r="B584">
            <v>3340</v>
          </cell>
          <cell r="C584" t="str">
            <v>05 APPAREILS TELEPHONIQUES</v>
          </cell>
          <cell r="D584">
            <v>0</v>
          </cell>
          <cell r="E584">
            <v>5500</v>
          </cell>
          <cell r="F584">
            <v>0</v>
          </cell>
          <cell r="G584">
            <v>0</v>
          </cell>
          <cell r="K584" t="str">
            <v>AE-3340-1 DE 2548 DH CHC refait pour 4 à AD le 22/12/6</v>
          </cell>
          <cell r="M584">
            <v>39058</v>
          </cell>
          <cell r="N584" t="str">
            <v>DAM-13/06</v>
          </cell>
          <cell r="P584" t="str">
            <v>DP-DKI-478E66370/06</v>
          </cell>
          <cell r="S584" t="str">
            <v>BENZAKI</v>
          </cell>
          <cell r="T584" t="str">
            <v>R6</v>
          </cell>
          <cell r="U584" t="str">
            <v>ADM</v>
          </cell>
          <cell r="V584" t="str">
            <v>DN</v>
          </cell>
          <cell r="W584" t="str">
            <v>L</v>
          </cell>
          <cell r="X584" t="str">
            <v>R</v>
          </cell>
        </row>
        <row r="585">
          <cell r="B585">
            <v>3341</v>
          </cell>
          <cell r="C585" t="str">
            <v>CLIMATISEURS DE BUREAU</v>
          </cell>
          <cell r="D585">
            <v>165000</v>
          </cell>
          <cell r="E585">
            <v>165000</v>
          </cell>
          <cell r="F585">
            <v>0</v>
          </cell>
          <cell r="G585">
            <v>0</v>
          </cell>
          <cell r="I585" t="str">
            <v>CONSUL</v>
          </cell>
          <cell r="J585" t="str">
            <v>AD</v>
          </cell>
          <cell r="K585" t="str">
            <v>DAM envoyée pour consultation</v>
          </cell>
          <cell r="L585" t="str">
            <v>411
AD-360</v>
          </cell>
          <cell r="M585" t="str">
            <v>27/06/2007
06/03/2007</v>
          </cell>
          <cell r="N585" t="str">
            <v>DAM-60/07
DAM-20/06</v>
          </cell>
          <cell r="O585">
            <v>3267</v>
          </cell>
          <cell r="S585" t="str">
            <v>MOUMEN</v>
          </cell>
          <cell r="T585" t="str">
            <v>R6</v>
          </cell>
          <cell r="U585" t="str">
            <v>ADM</v>
          </cell>
          <cell r="V585" t="str">
            <v>DN</v>
          </cell>
          <cell r="W585" t="str">
            <v>TC</v>
          </cell>
          <cell r="X585" t="str">
            <v>R</v>
          </cell>
        </row>
        <row r="586">
          <cell r="B586">
            <v>3342</v>
          </cell>
          <cell r="C586" t="str">
            <v>ACHAT MATERIEL POUR L'ATELIER MECANIQUE- 6 LAMPES</v>
          </cell>
          <cell r="D586">
            <v>26880</v>
          </cell>
          <cell r="E586">
            <v>111500</v>
          </cell>
          <cell r="F586">
            <v>0</v>
          </cell>
          <cell r="G586">
            <v>0</v>
          </cell>
          <cell r="K586" t="str">
            <v>Crédit annulé par le CP(Cf PMK/TD/LM N° 526/07 du 24/07/2007) DAE N°-3342-1 DE 1188 DH</v>
          </cell>
          <cell r="L586">
            <v>697</v>
          </cell>
          <cell r="M586">
            <v>39076</v>
          </cell>
          <cell r="N586" t="str">
            <v>DAM-11/06</v>
          </cell>
          <cell r="P586" t="str">
            <v>DKI-184EE6034</v>
          </cell>
          <cell r="Q586">
            <v>9702</v>
          </cell>
          <cell r="R586" t="str">
            <v>C015 du 21/06/2007</v>
          </cell>
          <cell r="S586" t="str">
            <v>BENMAKHLOUF</v>
          </cell>
          <cell r="T586" t="str">
            <v>R2</v>
          </cell>
          <cell r="U586" t="str">
            <v>ORD</v>
          </cell>
          <cell r="V586" t="str">
            <v>DN</v>
          </cell>
          <cell r="W586" t="str">
            <v>T</v>
          </cell>
          <cell r="X586" t="str">
            <v>R</v>
          </cell>
        </row>
        <row r="587">
          <cell r="B587">
            <v>3343</v>
          </cell>
          <cell r="C587" t="str">
            <v>RN DU MOBILIER ET D'EQUIPENEMT DU BUREAU A PMK/TB</v>
          </cell>
          <cell r="D587">
            <v>0</v>
          </cell>
          <cell r="E587">
            <v>171000</v>
          </cell>
          <cell r="F587">
            <v>0</v>
          </cell>
          <cell r="G587">
            <v>0</v>
          </cell>
          <cell r="S587" t="str">
            <v>BENCHEKROUN</v>
          </cell>
          <cell r="T587" t="str">
            <v>R6</v>
          </cell>
          <cell r="U587" t="str">
            <v>ADM</v>
          </cell>
          <cell r="V587" t="str">
            <v>RN</v>
          </cell>
          <cell r="W587" t="str">
            <v>T</v>
          </cell>
          <cell r="X587" t="str">
            <v>R</v>
          </cell>
        </row>
        <row r="588">
          <cell r="B588">
            <v>3344</v>
          </cell>
          <cell r="C588" t="str">
            <v>ACQUISITION DE 02 CUISINIERES PROFESSIONNELLES 08 FEUX POUR RESTAURANTS OCP KHOURIBGA</v>
          </cell>
          <cell r="D588">
            <v>440000</v>
          </cell>
          <cell r="E588">
            <v>440000</v>
          </cell>
          <cell r="F588">
            <v>0</v>
          </cell>
          <cell r="G588">
            <v>0</v>
          </cell>
          <cell r="I588" t="str">
            <v>CHT</v>
          </cell>
          <cell r="J588" t="str">
            <v>CP</v>
          </cell>
          <cell r="K588" t="str">
            <v>CHT en retour dossier incompléte</v>
          </cell>
          <cell r="L588">
            <v>495</v>
          </cell>
          <cell r="M588">
            <v>39323</v>
          </cell>
          <cell r="N588" t="str">
            <v>DAM-07/06</v>
          </cell>
          <cell r="S588" t="str">
            <v>DERDAKI</v>
          </cell>
          <cell r="T588" t="str">
            <v>R6</v>
          </cell>
          <cell r="U588" t="str">
            <v>SOC</v>
          </cell>
          <cell r="V588" t="str">
            <v>DN</v>
          </cell>
          <cell r="W588" t="str">
            <v>AK</v>
          </cell>
          <cell r="X588" t="str">
            <v>R</v>
          </cell>
        </row>
        <row r="589">
          <cell r="B589">
            <v>3345</v>
          </cell>
          <cell r="C589" t="str">
            <v>RENOUVELLEMENT DE 12 EXTINCTEURS</v>
          </cell>
          <cell r="D589">
            <v>10000</v>
          </cell>
          <cell r="E589">
            <v>8400</v>
          </cell>
          <cell r="F589">
            <v>0</v>
          </cell>
          <cell r="G589">
            <v>0</v>
          </cell>
          <cell r="I589" t="str">
            <v>CONSUL</v>
          </cell>
          <cell r="J589" t="str">
            <v>AD</v>
          </cell>
          <cell r="K589" t="str">
            <v>Pour attribution</v>
          </cell>
          <cell r="L589">
            <v>12</v>
          </cell>
          <cell r="M589">
            <v>39287</v>
          </cell>
          <cell r="N589" t="str">
            <v>DAM-6039/06</v>
          </cell>
          <cell r="S589" t="str">
            <v>CHEHTANE</v>
          </cell>
          <cell r="T589" t="str">
            <v>R7</v>
          </cell>
          <cell r="U589" t="str">
            <v>ORD</v>
          </cell>
          <cell r="V589" t="str">
            <v>RN</v>
          </cell>
          <cell r="W589" t="str">
            <v>P</v>
          </cell>
          <cell r="X589" t="str">
            <v>R</v>
          </cell>
        </row>
        <row r="590">
          <cell r="B590">
            <v>3346</v>
          </cell>
          <cell r="C590" t="str">
            <v>REMISE A NIVEAU ET EXTENSION DES INFRASTRUCTURES DE TÉLÉCOMMUNICATION ET TRANSMISSION DE DONNÉES PMK/T</v>
          </cell>
          <cell r="D590">
            <v>0</v>
          </cell>
          <cell r="E590">
            <v>4000000</v>
          </cell>
          <cell r="F590">
            <v>0</v>
          </cell>
          <cell r="G590">
            <v>0</v>
          </cell>
          <cell r="I590" t="str">
            <v>CONSUL</v>
          </cell>
          <cell r="J590" t="str">
            <v>AD</v>
          </cell>
          <cell r="K590" t="str">
            <v>DPM pour consultation</v>
          </cell>
          <cell r="L590">
            <v>102</v>
          </cell>
          <cell r="M590">
            <v>38777</v>
          </cell>
          <cell r="N590" t="str">
            <v>DPM-4501/06</v>
          </cell>
          <cell r="S590" t="str">
            <v>MANSOURI</v>
          </cell>
          <cell r="T590" t="str">
            <v>R8</v>
          </cell>
          <cell r="U590" t="str">
            <v>ADM</v>
          </cell>
          <cell r="V590" t="str">
            <v>DN</v>
          </cell>
          <cell r="W590" t="str">
            <v>T</v>
          </cell>
          <cell r="X590" t="str">
            <v>R</v>
          </cell>
        </row>
        <row r="591">
          <cell r="B591">
            <v>3346</v>
          </cell>
          <cell r="C591" t="str">
            <v>REMISE A NIVEAU ET EXTENSION DES INFRASTRUCTURES DE TÉLÉCOMMUNICATION ET TRANSMISSION DE DONNÉES COZ et BI</v>
          </cell>
          <cell r="F591">
            <v>0</v>
          </cell>
          <cell r="G591">
            <v>0</v>
          </cell>
          <cell r="I591" t="str">
            <v>CT</v>
          </cell>
          <cell r="J591" t="str">
            <v>CP</v>
          </cell>
          <cell r="K591" t="str">
            <v>DPM en retour suite aux remarques du CT</v>
          </cell>
          <cell r="L591">
            <v>316</v>
          </cell>
          <cell r="M591">
            <v>39210</v>
          </cell>
          <cell r="N591" t="str">
            <v>DPM-01et 36/06</v>
          </cell>
          <cell r="S591" t="str">
            <v>MANSOURI</v>
          </cell>
          <cell r="T591" t="str">
            <v>R8</v>
          </cell>
          <cell r="U591" t="str">
            <v>ADM</v>
          </cell>
          <cell r="V591" t="str">
            <v>DN</v>
          </cell>
          <cell r="W591" t="str">
            <v>T</v>
          </cell>
          <cell r="X591" t="str">
            <v>R</v>
          </cell>
        </row>
        <row r="592">
          <cell r="B592">
            <v>3346</v>
          </cell>
          <cell r="C592" t="str">
            <v xml:space="preserve">Travaux de traçage GPS-GPRS de la flotte des véhicules PMK/T </v>
          </cell>
          <cell r="F592">
            <v>0</v>
          </cell>
          <cell r="G592">
            <v>0</v>
          </cell>
          <cell r="I592" t="str">
            <v>CONSUL</v>
          </cell>
          <cell r="J592" t="str">
            <v>AD</v>
          </cell>
          <cell r="K592" t="str">
            <v>DPM pour consultation</v>
          </cell>
          <cell r="L592">
            <v>509</v>
          </cell>
          <cell r="M592">
            <v>39356</v>
          </cell>
          <cell r="N592" t="str">
            <v>DPM-4522/06</v>
          </cell>
          <cell r="S592" t="str">
            <v>MANSOURI</v>
          </cell>
          <cell r="T592" t="str">
            <v>R8</v>
          </cell>
          <cell r="U592" t="str">
            <v>ADM</v>
          </cell>
          <cell r="V592" t="str">
            <v>DN</v>
          </cell>
          <cell r="W592" t="str">
            <v>T</v>
          </cell>
          <cell r="X592" t="str">
            <v>R</v>
          </cell>
        </row>
        <row r="593">
          <cell r="B593">
            <v>3347</v>
          </cell>
          <cell r="C593" t="str">
            <v>ACQUISITION, INSTALLATION ET MISE EN SERVICE D'UNE ALIMENTATION SECOURS AU BATIMENT ADMINISTRATIF DE PMK/T</v>
          </cell>
          <cell r="D593">
            <v>0</v>
          </cell>
          <cell r="E593">
            <v>150000</v>
          </cell>
          <cell r="F593">
            <v>0</v>
          </cell>
          <cell r="G593">
            <v>0</v>
          </cell>
          <cell r="I593" t="str">
            <v>CONSUL</v>
          </cell>
          <cell r="J593" t="str">
            <v>CP</v>
          </cell>
          <cell r="K593" t="str">
            <v>DAM retour besoin non instruit</v>
          </cell>
          <cell r="L593">
            <v>419</v>
          </cell>
          <cell r="M593">
            <v>39371</v>
          </cell>
          <cell r="N593" t="str">
            <v>DPM - 4520/07</v>
          </cell>
          <cell r="O593">
            <v>7120</v>
          </cell>
          <cell r="S593" t="str">
            <v>MANSOURI</v>
          </cell>
          <cell r="T593" t="str">
            <v>R6</v>
          </cell>
          <cell r="U593" t="str">
            <v>ADM</v>
          </cell>
          <cell r="V593" t="str">
            <v>DN</v>
          </cell>
          <cell r="W593" t="str">
            <v>T</v>
          </cell>
          <cell r="X593" t="str">
            <v>R</v>
          </cell>
        </row>
        <row r="594">
          <cell r="B594">
            <v>3348</v>
          </cell>
          <cell r="C594" t="str">
            <v>ACHAT DE 40 CLIMATISEURS INDUSTRIELS POUR LES INSTALLATIONS ET ATELIERS DE MAINTENANCE DE PMK/TB</v>
          </cell>
          <cell r="D594">
            <v>0</v>
          </cell>
          <cell r="E594">
            <v>480000</v>
          </cell>
          <cell r="F594">
            <v>0</v>
          </cell>
          <cell r="G594">
            <v>0</v>
          </cell>
          <cell r="I594" t="str">
            <v>CONSUL</v>
          </cell>
          <cell r="J594" t="str">
            <v>AD</v>
          </cell>
          <cell r="K594" t="str">
            <v>DAM envoyée pour consultation</v>
          </cell>
          <cell r="L594">
            <v>418</v>
          </cell>
          <cell r="M594">
            <v>38933</v>
          </cell>
          <cell r="N594" t="str">
            <v>DAM-125/06</v>
          </cell>
          <cell r="S594" t="str">
            <v>TOGHZAOUI</v>
          </cell>
          <cell r="T594" t="str">
            <v>R2</v>
          </cell>
          <cell r="U594" t="str">
            <v>ORD</v>
          </cell>
          <cell r="V594" t="str">
            <v>DN</v>
          </cell>
          <cell r="W594" t="str">
            <v>T</v>
          </cell>
          <cell r="X594" t="str">
            <v>R</v>
          </cell>
        </row>
        <row r="595">
          <cell r="B595">
            <v>3349</v>
          </cell>
          <cell r="C595" t="str">
            <v>ACHAT DE 20 REFRIGERATEURS POUR LES ATELIERS DE MAINTENANCE DE PMK/TB</v>
          </cell>
          <cell r="D595">
            <v>0</v>
          </cell>
          <cell r="E595">
            <v>300000</v>
          </cell>
          <cell r="F595">
            <v>0</v>
          </cell>
          <cell r="G595">
            <v>0</v>
          </cell>
          <cell r="I595" t="str">
            <v>CONSUL</v>
          </cell>
          <cell r="J595" t="str">
            <v>AD</v>
          </cell>
          <cell r="K595" t="str">
            <v>DPM pour consultation</v>
          </cell>
          <cell r="L595">
            <v>398</v>
          </cell>
          <cell r="M595">
            <v>38925</v>
          </cell>
          <cell r="S595" t="str">
            <v>TOGHZAOUI</v>
          </cell>
          <cell r="T595" t="str">
            <v>R6</v>
          </cell>
          <cell r="U595" t="str">
            <v>ADM</v>
          </cell>
          <cell r="V595" t="str">
            <v>DN</v>
          </cell>
          <cell r="W595" t="str">
            <v>T</v>
          </cell>
          <cell r="X595" t="str">
            <v>R</v>
          </cell>
        </row>
        <row r="596">
          <cell r="B596">
            <v>3350</v>
          </cell>
          <cell r="C596" t="str">
            <v xml:space="preserve">ACHAT DE 30 ONDULEURS POUR LES INSTALLATIONS </v>
          </cell>
          <cell r="D596">
            <v>0</v>
          </cell>
          <cell r="E596">
            <v>450000</v>
          </cell>
          <cell r="F596">
            <v>0</v>
          </cell>
          <cell r="G596">
            <v>0</v>
          </cell>
          <cell r="I596" t="str">
            <v>CONSUL</v>
          </cell>
          <cell r="J596" t="str">
            <v>AD</v>
          </cell>
          <cell r="K596" t="str">
            <v>DPM pour consultation</v>
          </cell>
          <cell r="L596" t="str">
            <v>TG 564/B</v>
          </cell>
          <cell r="M596">
            <v>38797</v>
          </cell>
          <cell r="N596" t="str">
            <v>DAM 86</v>
          </cell>
          <cell r="S596" t="str">
            <v>TOGHZAOUI</v>
          </cell>
          <cell r="T596" t="str">
            <v>R2</v>
          </cell>
          <cell r="U596" t="str">
            <v>ORD</v>
          </cell>
          <cell r="V596" t="str">
            <v>DN</v>
          </cell>
          <cell r="W596" t="str">
            <v>T</v>
          </cell>
          <cell r="X596" t="str">
            <v>R</v>
          </cell>
        </row>
        <row r="597">
          <cell r="B597">
            <v>3353</v>
          </cell>
          <cell r="C597" t="str">
            <v>ACQUSITION DE 03 THERMOMETRE</v>
          </cell>
          <cell r="D597">
            <v>48000</v>
          </cell>
          <cell r="E597">
            <v>48000</v>
          </cell>
          <cell r="F597">
            <v>0</v>
          </cell>
          <cell r="G597">
            <v>0</v>
          </cell>
          <cell r="I597" t="str">
            <v>CONSUL</v>
          </cell>
          <cell r="J597" t="str">
            <v>AD</v>
          </cell>
          <cell r="K597" t="str">
            <v>DAM envoyée pour consultation</v>
          </cell>
          <cell r="L597" t="str">
            <v>T-619B</v>
          </cell>
          <cell r="M597">
            <v>38803</v>
          </cell>
          <cell r="N597" t="str">
            <v>DAM-45</v>
          </cell>
          <cell r="S597" t="str">
            <v>MOUNTASSIR</v>
          </cell>
          <cell r="T597" t="str">
            <v>R5</v>
          </cell>
          <cell r="U597" t="str">
            <v>ETUDES ET ESSAIS</v>
          </cell>
          <cell r="V597" t="str">
            <v>DN</v>
          </cell>
          <cell r="W597" t="str">
            <v>T</v>
          </cell>
          <cell r="X597" t="str">
            <v>R</v>
          </cell>
        </row>
        <row r="598">
          <cell r="B598">
            <v>3354</v>
          </cell>
          <cell r="C598" t="str">
            <v>ACHAT D'UN SPECTROMETRE DE FLUORESCENCE X AVEC ACCESSOIRES POUR L'UNITE PMK/TD</v>
          </cell>
          <cell r="D598">
            <v>0</v>
          </cell>
          <cell r="E598">
            <v>2000000</v>
          </cell>
          <cell r="F598">
            <v>0</v>
          </cell>
          <cell r="G598">
            <v>0</v>
          </cell>
          <cell r="S598" t="str">
            <v>KABBAGE</v>
          </cell>
          <cell r="T598" t="str">
            <v>R5</v>
          </cell>
          <cell r="U598" t="str">
            <v>ETUDES ET ESSAIS</v>
          </cell>
          <cell r="V598" t="str">
            <v>DN</v>
          </cell>
          <cell r="W598" t="str">
            <v>T</v>
          </cell>
          <cell r="X598" t="str">
            <v>R</v>
          </cell>
        </row>
        <row r="599">
          <cell r="B599">
            <v>3355</v>
          </cell>
          <cell r="C599" t="str">
            <v>ACQUISITION DE 50 APPAREILS TELEPHONIQUES POUR LE SERVICE PMK / AD</v>
          </cell>
          <cell r="D599">
            <v>50000</v>
          </cell>
          <cell r="E599">
            <v>50000</v>
          </cell>
          <cell r="F599">
            <v>0</v>
          </cell>
          <cell r="G599">
            <v>0</v>
          </cell>
          <cell r="H599">
            <v>24000</v>
          </cell>
          <cell r="I599" t="str">
            <v>ENG</v>
          </cell>
          <cell r="J599" t="str">
            <v>CP
AD</v>
          </cell>
          <cell r="K599" t="str">
            <v>DAE N°-3355_3 de 24 000 dh et 3355_1 negative de 34 200 dh
CHC transmis a AD</v>
          </cell>
          <cell r="L599" t="str">
            <v>PFF-666
526</v>
          </cell>
          <cell r="M599">
            <v>39371</v>
          </cell>
          <cell r="N599" t="str">
            <v>DAM-01/07</v>
          </cell>
          <cell r="O599">
            <v>4903</v>
          </cell>
          <cell r="S599" t="str">
            <v>LARHZAOUI</v>
          </cell>
          <cell r="T599" t="str">
            <v>R6</v>
          </cell>
          <cell r="U599" t="str">
            <v>ADM</v>
          </cell>
          <cell r="V599" t="str">
            <v>DN</v>
          </cell>
          <cell r="W599" t="str">
            <v>AK</v>
          </cell>
          <cell r="X599" t="str">
            <v>R</v>
          </cell>
        </row>
        <row r="600">
          <cell r="B600">
            <v>3356</v>
          </cell>
          <cell r="C600" t="str">
            <v>ACQUISITION DE 05 MACHINES A CALCULER</v>
          </cell>
          <cell r="D600">
            <v>7500</v>
          </cell>
          <cell r="E600">
            <v>7500</v>
          </cell>
          <cell r="F600">
            <v>0</v>
          </cell>
          <cell r="G600">
            <v>0</v>
          </cell>
          <cell r="K600" t="str">
            <v xml:space="preserve">AE N° IV 3356-1 </v>
          </cell>
          <cell r="M600">
            <v>39030</v>
          </cell>
          <cell r="S600" t="str">
            <v>LARHZAOUI</v>
          </cell>
          <cell r="T600" t="str">
            <v>R6</v>
          </cell>
          <cell r="U600" t="str">
            <v>ADM</v>
          </cell>
          <cell r="V600" t="str">
            <v>DN</v>
          </cell>
          <cell r="W600" t="str">
            <v>AK</v>
          </cell>
          <cell r="X600" t="str">
            <v>R</v>
          </cell>
        </row>
        <row r="601">
          <cell r="B601">
            <v>3358</v>
          </cell>
          <cell r="C601" t="str">
            <v>ACQUISTION DE 20 FAUTEUILS DE BUREAUX ROULANTS</v>
          </cell>
          <cell r="D601">
            <v>60000</v>
          </cell>
          <cell r="E601">
            <v>60000</v>
          </cell>
          <cell r="F601">
            <v>0</v>
          </cell>
          <cell r="G601">
            <v>0</v>
          </cell>
          <cell r="K601" t="str">
            <v>AE N° IV 3358-1</v>
          </cell>
          <cell r="M601">
            <v>39030</v>
          </cell>
          <cell r="S601" t="str">
            <v>LARHZAOUI</v>
          </cell>
          <cell r="T601" t="str">
            <v>R6</v>
          </cell>
          <cell r="U601" t="str">
            <v>ADM</v>
          </cell>
          <cell r="V601" t="str">
            <v>DN</v>
          </cell>
          <cell r="W601" t="str">
            <v>AK</v>
          </cell>
          <cell r="X601" t="str">
            <v>R</v>
          </cell>
        </row>
        <row r="602">
          <cell r="B602">
            <v>3359</v>
          </cell>
          <cell r="C602" t="str">
            <v>ACQUISITION DE 02 MOTOCYCLETTES POUR PMK/AD</v>
          </cell>
          <cell r="D602">
            <v>17000</v>
          </cell>
          <cell r="E602">
            <v>17000</v>
          </cell>
          <cell r="F602">
            <v>0</v>
          </cell>
          <cell r="G602">
            <v>0</v>
          </cell>
          <cell r="K602" t="str">
            <v>AE N°3359-1 de 16294,72</v>
          </cell>
          <cell r="M602">
            <v>39034</v>
          </cell>
          <cell r="P602" t="str">
            <v>DP-DKI323E6146/06</v>
          </cell>
          <cell r="S602" t="str">
            <v>LARHZAOUI</v>
          </cell>
          <cell r="T602" t="str">
            <v>R6</v>
          </cell>
          <cell r="U602" t="str">
            <v>ADM</v>
          </cell>
          <cell r="V602" t="str">
            <v>DN</v>
          </cell>
          <cell r="W602" t="str">
            <v>AK</v>
          </cell>
          <cell r="X602" t="str">
            <v>R</v>
          </cell>
        </row>
        <row r="603">
          <cell r="B603">
            <v>3360</v>
          </cell>
          <cell r="C603" t="str">
            <v>ACQUISITION DE 04 FONTAINES REFRIGERANTES POUR PMK/AD</v>
          </cell>
          <cell r="D603">
            <v>40000</v>
          </cell>
          <cell r="E603">
            <v>40000</v>
          </cell>
          <cell r="F603">
            <v>0</v>
          </cell>
          <cell r="G603">
            <v>0</v>
          </cell>
          <cell r="K603" t="str">
            <v>AE N°-3360-1</v>
          </cell>
          <cell r="M603">
            <v>38960</v>
          </cell>
          <cell r="N603" t="str">
            <v>DAM-05/06</v>
          </cell>
          <cell r="P603" t="str">
            <v>DKI-322E6152/6</v>
          </cell>
          <cell r="S603" t="str">
            <v>LARHZAOUI</v>
          </cell>
          <cell r="T603" t="str">
            <v>R6</v>
          </cell>
          <cell r="U603" t="str">
            <v>ADM</v>
          </cell>
          <cell r="V603" t="str">
            <v>DN</v>
          </cell>
          <cell r="W603" t="str">
            <v>AK</v>
          </cell>
          <cell r="X603" t="str">
            <v>R</v>
          </cell>
        </row>
        <row r="604">
          <cell r="B604">
            <v>3363</v>
          </cell>
          <cell r="C604" t="str">
            <v>ACQUISITION   20  TABLES  POUR  MICROS  POUR  PMK / AD</v>
          </cell>
          <cell r="D604">
            <v>40000</v>
          </cell>
          <cell r="E604">
            <v>40000</v>
          </cell>
          <cell r="F604">
            <v>0</v>
          </cell>
          <cell r="G604">
            <v>0</v>
          </cell>
          <cell r="K604" t="str">
            <v>AE N°-3363-1 de 36000,00 DH</v>
          </cell>
          <cell r="M604">
            <v>39042</v>
          </cell>
          <cell r="N604" t="str">
            <v>DAM-06/06</v>
          </cell>
          <cell r="P604" t="str">
            <v>DKI319E6075/06</v>
          </cell>
          <cell r="S604" t="str">
            <v>LARHZAOUI</v>
          </cell>
          <cell r="T604" t="str">
            <v>R6</v>
          </cell>
          <cell r="U604" t="str">
            <v>ADM</v>
          </cell>
          <cell r="V604" t="str">
            <v>DN</v>
          </cell>
          <cell r="W604" t="str">
            <v>AK</v>
          </cell>
          <cell r="X604" t="str">
            <v>R</v>
          </cell>
        </row>
        <row r="605">
          <cell r="B605">
            <v>3365</v>
          </cell>
          <cell r="C605" t="str">
            <v>RENOUVELLEMENT  D'UNE  FONTAINE  REFRIGERANTE  DE  PMK / GE</v>
          </cell>
          <cell r="D605">
            <v>9000</v>
          </cell>
          <cell r="E605">
            <v>9000</v>
          </cell>
          <cell r="F605">
            <v>0</v>
          </cell>
          <cell r="G605">
            <v>0</v>
          </cell>
          <cell r="I605" t="str">
            <v>CHC</v>
          </cell>
          <cell r="J605" t="str">
            <v>AD</v>
          </cell>
          <cell r="K605" t="str">
            <v>CHC transmis a AD</v>
          </cell>
          <cell r="L605">
            <v>561</v>
          </cell>
          <cell r="M605">
            <v>39365</v>
          </cell>
          <cell r="N605" t="str">
            <v>DAM-02/07</v>
          </cell>
          <cell r="O605">
            <v>5914</v>
          </cell>
          <cell r="S605" t="str">
            <v>BOUYA</v>
          </cell>
          <cell r="T605" t="str">
            <v>R6</v>
          </cell>
          <cell r="U605" t="str">
            <v>SOC</v>
          </cell>
          <cell r="V605" t="str">
            <v>RN</v>
          </cell>
          <cell r="W605" t="str">
            <v>AK</v>
          </cell>
          <cell r="X605" t="str">
            <v>R</v>
          </cell>
        </row>
        <row r="606">
          <cell r="B606">
            <v>3367</v>
          </cell>
          <cell r="C606" t="str">
            <v>DEPOUSSIERAGE DES INSTALLATIONS PORTUAIRES DE PMK/TC</v>
          </cell>
          <cell r="D606">
            <v>40000000</v>
          </cell>
          <cell r="E606">
            <v>40000000</v>
          </cell>
          <cell r="F606">
            <v>0</v>
          </cell>
          <cell r="G606">
            <v>0</v>
          </cell>
          <cell r="I606" t="str">
            <v>CONSUL</v>
          </cell>
          <cell r="J606" t="str">
            <v>AD</v>
          </cell>
          <cell r="K606" t="str">
            <v>DAL de 19 MDH approuvée DG -DPM au niveau AD</v>
          </cell>
          <cell r="S606" t="str">
            <v>EL FATTAHI</v>
          </cell>
          <cell r="T606" t="str">
            <v>R7</v>
          </cell>
          <cell r="U606" t="str">
            <v>IMP</v>
          </cell>
          <cell r="V606" t="str">
            <v>DN</v>
          </cell>
          <cell r="W606" t="str">
            <v>TC</v>
          </cell>
          <cell r="X606" t="str">
            <v>R</v>
          </cell>
        </row>
        <row r="607">
          <cell r="B607">
            <v>3368</v>
          </cell>
          <cell r="C607" t="str">
            <v>EQUIPEMENT POUR LA SALLE AUDIO-VISUEL DU MUSEE</v>
          </cell>
          <cell r="D607">
            <v>143000</v>
          </cell>
          <cell r="E607">
            <v>143000</v>
          </cell>
          <cell r="F607">
            <v>0</v>
          </cell>
          <cell r="G607">
            <v>0</v>
          </cell>
          <cell r="I607" t="str">
            <v>CHC</v>
          </cell>
          <cell r="J607" t="str">
            <v>AD</v>
          </cell>
          <cell r="K607" t="str">
            <v>CHC transmis a AD</v>
          </cell>
          <cell r="L607">
            <v>560</v>
          </cell>
          <cell r="M607">
            <v>39146</v>
          </cell>
          <cell r="N607" t="str">
            <v>DAM-02/06</v>
          </cell>
          <cell r="P607" t="str">
            <v>AO-DKI-1395E6199/6</v>
          </cell>
          <cell r="S607" t="str">
            <v>ZAHRI</v>
          </cell>
          <cell r="T607" t="str">
            <v>R6</v>
          </cell>
          <cell r="U607" t="str">
            <v>ORD</v>
          </cell>
          <cell r="V607" t="str">
            <v>DN</v>
          </cell>
          <cell r="W607" t="str">
            <v>L</v>
          </cell>
          <cell r="X607" t="str">
            <v>R</v>
          </cell>
        </row>
        <row r="608">
          <cell r="B608">
            <v>3368</v>
          </cell>
          <cell r="C608" t="str">
            <v>Matériel de projection</v>
          </cell>
          <cell r="F608">
            <v>0</v>
          </cell>
          <cell r="G608">
            <v>0</v>
          </cell>
          <cell r="I608" t="str">
            <v>CONSUL</v>
          </cell>
          <cell r="J608" t="str">
            <v>AD</v>
          </cell>
          <cell r="K608" t="str">
            <v>DAM envoyée pour consultation</v>
          </cell>
          <cell r="L608">
            <v>359</v>
          </cell>
          <cell r="M608">
            <v>39210</v>
          </cell>
          <cell r="N608" t="str">
            <v>DAM-04/07</v>
          </cell>
          <cell r="O608">
            <v>6959</v>
          </cell>
          <cell r="S608" t="str">
            <v>ZAHRI</v>
          </cell>
          <cell r="T608" t="str">
            <v>R6</v>
          </cell>
          <cell r="U608" t="str">
            <v>ORD</v>
          </cell>
          <cell r="V608" t="str">
            <v>DN</v>
          </cell>
          <cell r="W608" t="str">
            <v>L</v>
          </cell>
          <cell r="X608" t="str">
            <v>R</v>
          </cell>
        </row>
        <row r="609">
          <cell r="B609">
            <v>3369</v>
          </cell>
          <cell r="C609" t="str">
            <v>PINCE A SERTIR</v>
          </cell>
          <cell r="D609">
            <v>20000</v>
          </cell>
          <cell r="E609">
            <v>20000</v>
          </cell>
          <cell r="F609">
            <v>0</v>
          </cell>
          <cell r="G609">
            <v>0</v>
          </cell>
          <cell r="I609" t="str">
            <v>CONSUL</v>
          </cell>
          <cell r="J609" t="str">
            <v>AD</v>
          </cell>
          <cell r="K609" t="str">
            <v>DAM envoyée pour consultation</v>
          </cell>
          <cell r="L609">
            <v>336</v>
          </cell>
          <cell r="M609">
            <v>38896</v>
          </cell>
          <cell r="N609" t="str">
            <v>DAM-14/06</v>
          </cell>
          <cell r="S609" t="str">
            <v>RAOUIA</v>
          </cell>
          <cell r="T609" t="str">
            <v>R2</v>
          </cell>
          <cell r="U609" t="str">
            <v>ORD</v>
          </cell>
          <cell r="V609" t="str">
            <v>DN</v>
          </cell>
          <cell r="W609" t="str">
            <v>TC</v>
          </cell>
          <cell r="X609" t="str">
            <v>R</v>
          </cell>
        </row>
        <row r="610">
          <cell r="B610">
            <v>3370</v>
          </cell>
          <cell r="C610" t="str">
            <v>AMENAGEMENT DE HANGARS A L'USINE DE KHOURIBGA (UK) EN GARAGES POUR SOTREG</v>
          </cell>
          <cell r="D610">
            <v>0</v>
          </cell>
          <cell r="E610">
            <v>12000000</v>
          </cell>
          <cell r="F610">
            <v>0</v>
          </cell>
          <cell r="G610">
            <v>0</v>
          </cell>
          <cell r="S610" t="str">
            <v>ZAHRI</v>
          </cell>
          <cell r="T610" t="str">
            <v>R2</v>
          </cell>
          <cell r="U610" t="str">
            <v>ORD</v>
          </cell>
          <cell r="V610" t="str">
            <v>DN</v>
          </cell>
          <cell r="W610" t="str">
            <v>L</v>
          </cell>
          <cell r="X610" t="str">
            <v>R</v>
          </cell>
        </row>
        <row r="611">
          <cell r="B611">
            <v>3370</v>
          </cell>
          <cell r="C611" t="str">
            <v xml:space="preserve">AMENAGEMENT DES ABRIS - ATELIERS &amp; STATION SERVICE POUR LE COMPTE DE SOTREG </v>
          </cell>
          <cell r="I611" t="str">
            <v>CT</v>
          </cell>
          <cell r="J611" t="str">
            <v>CP</v>
          </cell>
          <cell r="K611" t="str">
            <v>DAM rejetée par DSD/TM (projet à réaliser par SOTREG)</v>
          </cell>
          <cell r="L611">
            <v>546</v>
          </cell>
          <cell r="M611">
            <v>39002</v>
          </cell>
          <cell r="N611" t="str">
            <v>DPM-5407/06</v>
          </cell>
          <cell r="S611" t="str">
            <v>ZAHRI</v>
          </cell>
          <cell r="T611" t="str">
            <v>R2</v>
          </cell>
          <cell r="U611" t="str">
            <v>ORD</v>
          </cell>
          <cell r="V611" t="str">
            <v>DN</v>
          </cell>
          <cell r="W611" t="str">
            <v>L</v>
          </cell>
          <cell r="X611" t="str">
            <v>R</v>
          </cell>
        </row>
        <row r="612">
          <cell r="B612">
            <v>3370</v>
          </cell>
          <cell r="C612" t="str">
            <v>CONSTRUCTION DE LOCAUX ANNEXES AUX BUREAUX SOTREG</v>
          </cell>
          <cell r="I612" t="str">
            <v>CONSUL</v>
          </cell>
          <cell r="J612" t="str">
            <v>AD</v>
          </cell>
          <cell r="K612" t="str">
            <v>DAM envoyée pour consultation</v>
          </cell>
          <cell r="L612">
            <v>506</v>
          </cell>
          <cell r="M612">
            <v>38987</v>
          </cell>
          <cell r="N612" t="str">
            <v>DPM-5406/06</v>
          </cell>
          <cell r="S612" t="str">
            <v>ZAHRI</v>
          </cell>
          <cell r="T612" t="str">
            <v>R2</v>
          </cell>
          <cell r="U612" t="str">
            <v>ORD</v>
          </cell>
          <cell r="V612" t="str">
            <v>DN</v>
          </cell>
          <cell r="W612" t="str">
            <v>L</v>
          </cell>
          <cell r="X612" t="str">
            <v>R</v>
          </cell>
        </row>
        <row r="613">
          <cell r="B613">
            <v>3370</v>
          </cell>
          <cell r="C613" t="str">
            <v>TRAVAUX DE VOIERIE ET RESEAUX DIVERS</v>
          </cell>
          <cell r="I613" t="str">
            <v>CONSUL</v>
          </cell>
          <cell r="J613" t="str">
            <v>AD</v>
          </cell>
          <cell r="K613" t="str">
            <v>DAM envoyée pour consultation</v>
          </cell>
          <cell r="L613">
            <v>506</v>
          </cell>
          <cell r="M613">
            <v>38987</v>
          </cell>
          <cell r="N613" t="str">
            <v>DPM-5409/06</v>
          </cell>
          <cell r="S613" t="str">
            <v>ZAHRI</v>
          </cell>
          <cell r="T613" t="str">
            <v>R2</v>
          </cell>
          <cell r="U613" t="str">
            <v>ORD</v>
          </cell>
          <cell r="V613" t="str">
            <v>DN</v>
          </cell>
          <cell r="W613" t="str">
            <v>L</v>
          </cell>
          <cell r="X613" t="str">
            <v>R</v>
          </cell>
        </row>
        <row r="614">
          <cell r="B614">
            <v>3372</v>
          </cell>
          <cell r="C614" t="str">
            <v>10  APPAREILS  TELEPHONIQUES  POUR  LE  SERVICE  CONTROLE  DE  GESTION  DE  LA  DIVISION  GESTION  ADMINISTRATIVE  ET  SOCIALE.</v>
          </cell>
          <cell r="D614">
            <v>12000</v>
          </cell>
          <cell r="E614">
            <v>12000</v>
          </cell>
          <cell r="F614">
            <v>0</v>
          </cell>
          <cell r="G614">
            <v>0</v>
          </cell>
          <cell r="I614" t="str">
            <v>CHC</v>
          </cell>
          <cell r="J614" t="str">
            <v>AD</v>
          </cell>
          <cell r="K614" t="str">
            <v>CHC pour attribution transmis à AD</v>
          </cell>
          <cell r="L614">
            <v>554</v>
          </cell>
          <cell r="M614">
            <v>39363</v>
          </cell>
          <cell r="N614" t="str">
            <v>DAM-01/07</v>
          </cell>
          <cell r="S614" t="str">
            <v>EL HOUSANI</v>
          </cell>
          <cell r="T614" t="str">
            <v>R6</v>
          </cell>
          <cell r="U614" t="str">
            <v>ADM</v>
          </cell>
          <cell r="V614" t="str">
            <v>RN</v>
          </cell>
          <cell r="W614" t="str">
            <v>AK</v>
          </cell>
          <cell r="X614" t="str">
            <v>R</v>
          </cell>
        </row>
        <row r="615">
          <cell r="B615">
            <v>3373</v>
          </cell>
          <cell r="C615" t="str">
            <v>ACHAT DE 07 TELECOPIEURS POUR LA DIRECTION TRAITEMENT ET EMBARQUEMENTS</v>
          </cell>
          <cell r="D615">
            <v>0</v>
          </cell>
          <cell r="E615">
            <v>56000</v>
          </cell>
          <cell r="F615">
            <v>0</v>
          </cell>
          <cell r="G615">
            <v>0</v>
          </cell>
          <cell r="I615" t="str">
            <v>CONSUL</v>
          </cell>
          <cell r="J615" t="str">
            <v>AD</v>
          </cell>
          <cell r="K615" t="str">
            <v>DAM pour attribution (Transmis directement à AD)</v>
          </cell>
          <cell r="L615" t="str">
            <v>102/07</v>
          </cell>
          <cell r="M615">
            <v>39231</v>
          </cell>
          <cell r="N615" t="str">
            <v>DAM-01/07</v>
          </cell>
          <cell r="O615">
            <v>7034</v>
          </cell>
          <cell r="S615" t="str">
            <v>MANSOURI</v>
          </cell>
          <cell r="T615" t="str">
            <v>R6</v>
          </cell>
          <cell r="U615" t="str">
            <v>ADM</v>
          </cell>
          <cell r="V615" t="str">
            <v>DN</v>
          </cell>
          <cell r="W615" t="str">
            <v>T</v>
          </cell>
          <cell r="X615" t="str">
            <v>R</v>
          </cell>
        </row>
        <row r="616">
          <cell r="B616">
            <v>3374</v>
          </cell>
          <cell r="C616" t="str">
            <v>ACHAT DES EQUIPEMENTS DE TELECOMMUNICATIONS</v>
          </cell>
          <cell r="D616">
            <v>0</v>
          </cell>
          <cell r="E616">
            <v>90000</v>
          </cell>
          <cell r="F616">
            <v>0</v>
          </cell>
          <cell r="G616">
            <v>0</v>
          </cell>
          <cell r="K616" t="str">
            <v xml:space="preserve">AE N°-3374-1 </v>
          </cell>
          <cell r="M616">
            <v>38960</v>
          </cell>
          <cell r="N616" t="str">
            <v>DAM-16/06</v>
          </cell>
          <cell r="P616" t="str">
            <v>DP-45230</v>
          </cell>
          <cell r="S616" t="str">
            <v>ASSOUD</v>
          </cell>
          <cell r="T616" t="str">
            <v>R6</v>
          </cell>
          <cell r="U616" t="str">
            <v>ADM</v>
          </cell>
          <cell r="V616" t="str">
            <v>DN</v>
          </cell>
          <cell r="W616" t="str">
            <v>T</v>
          </cell>
          <cell r="X616" t="str">
            <v>R</v>
          </cell>
        </row>
        <row r="617">
          <cell r="B617">
            <v>3375</v>
          </cell>
          <cell r="C617" t="str">
            <v>1 MOTEUR SYNCHRONE POUR LA DRAGALINE M8400</v>
          </cell>
          <cell r="D617">
            <v>6000000</v>
          </cell>
          <cell r="E617">
            <v>2500000</v>
          </cell>
          <cell r="F617">
            <v>0</v>
          </cell>
          <cell r="G617">
            <v>0</v>
          </cell>
          <cell r="H617">
            <v>5528627.0499999998</v>
          </cell>
          <cell r="I617" t="str">
            <v>ENG</v>
          </cell>
          <cell r="J617" t="str">
            <v>CP</v>
          </cell>
          <cell r="K617" t="str">
            <v>AE n° 3375_1 de 5 528 627,05 dh</v>
          </cell>
          <cell r="L617" t="str">
            <v>PFF 528</v>
          </cell>
          <cell r="M617">
            <v>39274</v>
          </cell>
          <cell r="N617" t="str">
            <v>DAM-125/06</v>
          </cell>
          <cell r="S617" t="str">
            <v>EL BOUCHRIFI</v>
          </cell>
          <cell r="T617" t="str">
            <v>R2</v>
          </cell>
          <cell r="U617" t="str">
            <v>ORD</v>
          </cell>
          <cell r="V617" t="str">
            <v>RN</v>
          </cell>
          <cell r="W617" t="str">
            <v>P</v>
          </cell>
          <cell r="X617" t="str">
            <v>R</v>
          </cell>
        </row>
        <row r="618">
          <cell r="B618">
            <v>2965</v>
          </cell>
          <cell r="C618" t="str">
            <v>ACHAT DE 2 CAMESCOPES NUMERIQUES</v>
          </cell>
          <cell r="D618">
            <v>28000</v>
          </cell>
          <cell r="E618">
            <v>28000</v>
          </cell>
          <cell r="F618">
            <v>0</v>
          </cell>
          <cell r="I618" t="str">
            <v>AT.AE</v>
          </cell>
          <cell r="J618" t="str">
            <v>PFF</v>
          </cell>
          <cell r="K618" t="str">
            <v>DAE N°-2965-2 DE 18400 DH</v>
          </cell>
          <cell r="L618">
            <v>168</v>
          </cell>
          <cell r="M618">
            <v>39188</v>
          </cell>
          <cell r="N618" t="str">
            <v>DAM-153/05</v>
          </cell>
          <cell r="P618" t="str">
            <v>DKI-300E6207/060</v>
          </cell>
          <cell r="S618" t="str">
            <v>MANSOURI</v>
          </cell>
          <cell r="T618" t="str">
            <v>R6</v>
          </cell>
          <cell r="U618" t="str">
            <v>ADM</v>
          </cell>
          <cell r="V618" t="str">
            <v>DN</v>
          </cell>
          <cell r="W618" t="str">
            <v>T</v>
          </cell>
          <cell r="X618" t="str">
            <v>R</v>
          </cell>
        </row>
        <row r="619">
          <cell r="B619">
            <v>2871</v>
          </cell>
          <cell r="C619" t="str">
            <v>Renouvellement d'une chargeuse par une pelle hydraulique</v>
          </cell>
          <cell r="D619">
            <v>30000000</v>
          </cell>
          <cell r="E619">
            <v>30000000</v>
          </cell>
          <cell r="F619">
            <v>0</v>
          </cell>
          <cell r="G619">
            <v>0</v>
          </cell>
          <cell r="I619" t="str">
            <v>DAL</v>
          </cell>
          <cell r="J619" t="str">
            <v>CP</v>
          </cell>
          <cell r="K619" t="str">
            <v>DAL approuvée par le DG dont copie transmise au CP. DAM au niveau PFM/AC pour consultation depuis le 10/04/06</v>
          </cell>
          <cell r="M619">
            <v>38817</v>
          </cell>
          <cell r="N619" t="str">
            <v>DAM/P-6062</v>
          </cell>
          <cell r="S619" t="str">
            <v>KARROUACHE</v>
          </cell>
          <cell r="T619" t="str">
            <v>R2</v>
          </cell>
          <cell r="U619" t="str">
            <v>ORD</v>
          </cell>
          <cell r="V619" t="str">
            <v>RN</v>
          </cell>
          <cell r="W619" t="str">
            <v>P</v>
          </cell>
          <cell r="X619" t="str">
            <v>R</v>
          </cell>
        </row>
        <row r="620">
          <cell r="B620">
            <v>3550</v>
          </cell>
          <cell r="C620" t="str">
            <v>6 Badgeuses pour TC</v>
          </cell>
          <cell r="D620">
            <v>240000</v>
          </cell>
          <cell r="I620" t="str">
            <v>AT.AE</v>
          </cell>
          <cell r="J620" t="str">
            <v>PFF</v>
          </cell>
          <cell r="K620" t="str">
            <v>DAE n° 3550_1 de 195 506,40</v>
          </cell>
          <cell r="L620">
            <v>422</v>
          </cell>
          <cell r="M620">
            <v>39372</v>
          </cell>
          <cell r="N620" t="str">
            <v>DPM-03/06</v>
          </cell>
          <cell r="P620" t="str">
            <v>DKM1145M0395/06</v>
          </cell>
          <cell r="S620" t="str">
            <v>RAOUIA</v>
          </cell>
          <cell r="T620" t="str">
            <v>R2</v>
          </cell>
          <cell r="U620" t="str">
            <v>ORD</v>
          </cell>
          <cell r="V620" t="str">
            <v>DN</v>
          </cell>
          <cell r="W620" t="str">
            <v>TC</v>
          </cell>
          <cell r="X620" t="str">
            <v>R</v>
          </cell>
        </row>
        <row r="621">
          <cell r="B621">
            <v>3571</v>
          </cell>
          <cell r="C621" t="str">
            <v>ACHAT DE MOBILIER DE BUREAU</v>
          </cell>
          <cell r="D621">
            <v>70000</v>
          </cell>
          <cell r="E621">
            <v>70000</v>
          </cell>
          <cell r="F621">
            <v>0</v>
          </cell>
          <cell r="G621">
            <v>0</v>
          </cell>
          <cell r="I621" t="str">
            <v>CONSUL</v>
          </cell>
          <cell r="J621" t="str">
            <v>AD</v>
          </cell>
          <cell r="K621" t="str">
            <v>DAM pour attribution</v>
          </cell>
          <cell r="L621">
            <v>307</v>
          </cell>
          <cell r="M621">
            <v>39209</v>
          </cell>
          <cell r="N621" t="str">
            <v>DAM-01-02/07</v>
          </cell>
          <cell r="O621" t="str">
            <v>6713-6715</v>
          </cell>
          <cell r="S621" t="str">
            <v>DAOUDI</v>
          </cell>
          <cell r="T621" t="str">
            <v>R6</v>
          </cell>
          <cell r="U621" t="str">
            <v>ADM</v>
          </cell>
          <cell r="V621" t="str">
            <v>DN</v>
          </cell>
          <cell r="W621" t="str">
            <v>L</v>
          </cell>
          <cell r="X621" t="str">
            <v>P</v>
          </cell>
        </row>
        <row r="622">
          <cell r="B622">
            <v>3577</v>
          </cell>
          <cell r="C622" t="str">
            <v>ACHATS DE TERRAINS A KHOURIBGA POUR LA MINE OULAD FARES</v>
          </cell>
          <cell r="D622">
            <v>30000000</v>
          </cell>
          <cell r="E622">
            <v>30000000</v>
          </cell>
          <cell r="F622">
            <v>70000000</v>
          </cell>
          <cell r="G622">
            <v>100000000</v>
          </cell>
          <cell r="S622" t="str">
            <v>BOUALAM</v>
          </cell>
          <cell r="T622" t="str">
            <v>R1</v>
          </cell>
          <cell r="U622" t="str">
            <v>ORD</v>
          </cell>
          <cell r="V622" t="str">
            <v>DN</v>
          </cell>
          <cell r="W622" t="str">
            <v>L</v>
          </cell>
          <cell r="X622" t="str">
            <v>P</v>
          </cell>
        </row>
        <row r="623">
          <cell r="B623">
            <v>3616</v>
          </cell>
          <cell r="C623" t="str">
            <v>MATERIEL DE MESURE</v>
          </cell>
          <cell r="D623">
            <v>42500</v>
          </cell>
          <cell r="E623">
            <v>42500</v>
          </cell>
          <cell r="F623">
            <v>0</v>
          </cell>
          <cell r="G623">
            <v>0</v>
          </cell>
          <cell r="S623" t="str">
            <v>RAOUIA</v>
          </cell>
          <cell r="T623" t="str">
            <v>R2</v>
          </cell>
          <cell r="U623" t="str">
            <v>ORD</v>
          </cell>
          <cell r="V623" t="str">
            <v>DN</v>
          </cell>
          <cell r="W623" t="str">
            <v>TC</v>
          </cell>
          <cell r="X623" t="str">
            <v>P</v>
          </cell>
        </row>
        <row r="624">
          <cell r="B624">
            <v>3616</v>
          </cell>
          <cell r="C624" t="str">
            <v>01 Chargeur de batterie</v>
          </cell>
          <cell r="I624" t="str">
            <v>CONSUL</v>
          </cell>
          <cell r="J624" t="str">
            <v>AD</v>
          </cell>
          <cell r="K624" t="str">
            <v xml:space="preserve">DAM retournée à AD après objet rempli </v>
          </cell>
          <cell r="L624" t="str">
            <v>TC-121</v>
          </cell>
          <cell r="M624">
            <v>39269</v>
          </cell>
          <cell r="N624" t="str">
            <v>DAM-06/07</v>
          </cell>
          <cell r="O624" t="str">
            <v>5428-5429-5430-5431</v>
          </cell>
          <cell r="S624" t="str">
            <v>RAOUIA</v>
          </cell>
          <cell r="T624" t="str">
            <v>R2</v>
          </cell>
          <cell r="U624" t="str">
            <v>ORD</v>
          </cell>
          <cell r="V624" t="str">
            <v>DN</v>
          </cell>
          <cell r="W624" t="str">
            <v>TC</v>
          </cell>
          <cell r="X624" t="str">
            <v>P</v>
          </cell>
        </row>
        <row r="625">
          <cell r="B625">
            <v>3616</v>
          </cell>
          <cell r="C625" t="str">
            <v>01 Contrôleur d'isolement 5,5 V, 02 contrôleurs d'isolement 500V, 06 appareils de mesure Metrix</v>
          </cell>
          <cell r="I625" t="str">
            <v>CONSUL</v>
          </cell>
          <cell r="J625" t="str">
            <v>AD</v>
          </cell>
          <cell r="K625" t="str">
            <v xml:space="preserve">DAM retournée à AD après objet rempli </v>
          </cell>
          <cell r="L625" t="str">
            <v>TC-107</v>
          </cell>
          <cell r="M625">
            <v>39227</v>
          </cell>
          <cell r="N625" t="str">
            <v>DAM-07/07</v>
          </cell>
          <cell r="O625">
            <v>5394</v>
          </cell>
          <cell r="S625" t="str">
            <v>RAOUIA</v>
          </cell>
          <cell r="T625" t="str">
            <v>R2</v>
          </cell>
          <cell r="U625" t="str">
            <v>ORD</v>
          </cell>
          <cell r="V625" t="str">
            <v>DN</v>
          </cell>
          <cell r="W625" t="str">
            <v>TC</v>
          </cell>
          <cell r="X625" t="str">
            <v>P</v>
          </cell>
        </row>
        <row r="626">
          <cell r="B626">
            <v>3620</v>
          </cell>
          <cell r="C626" t="str">
            <v>PERCEUSES ET MEULEUSES</v>
          </cell>
          <cell r="D626">
            <v>14500</v>
          </cell>
          <cell r="E626">
            <v>14500</v>
          </cell>
          <cell r="F626">
            <v>0</v>
          </cell>
          <cell r="G626">
            <v>0</v>
          </cell>
          <cell r="I626" t="str">
            <v>CONSUL</v>
          </cell>
          <cell r="J626" t="str">
            <v>AD</v>
          </cell>
          <cell r="K626" t="str">
            <v xml:space="preserve">DAM retournée à AD après objet rempli </v>
          </cell>
          <cell r="L626" t="str">
            <v>TC-107</v>
          </cell>
          <cell r="M626">
            <v>39227</v>
          </cell>
          <cell r="N626" t="str">
            <v>DAM-05/07</v>
          </cell>
          <cell r="O626" t="str">
            <v>5428 - 5429
5430 - 5431</v>
          </cell>
          <cell r="S626" t="str">
            <v>RAOUIA</v>
          </cell>
          <cell r="T626" t="str">
            <v>R2</v>
          </cell>
          <cell r="U626" t="str">
            <v>ORD</v>
          </cell>
          <cell r="V626" t="str">
            <v>DN</v>
          </cell>
          <cell r="W626" t="str">
            <v>TC</v>
          </cell>
          <cell r="X626" t="str">
            <v>P</v>
          </cell>
        </row>
        <row r="627">
          <cell r="B627">
            <v>3622</v>
          </cell>
          <cell r="C627" t="str">
            <v>MATERIEL DE SOUDURE ET DE CONTROLE</v>
          </cell>
          <cell r="D627">
            <v>60000</v>
          </cell>
          <cell r="E627">
            <v>60000</v>
          </cell>
          <cell r="F627">
            <v>0</v>
          </cell>
          <cell r="G627">
            <v>0</v>
          </cell>
          <cell r="S627" t="str">
            <v>RAOUIA</v>
          </cell>
          <cell r="T627" t="str">
            <v>R2</v>
          </cell>
          <cell r="U627" t="str">
            <v>ORD</v>
          </cell>
          <cell r="V627" t="str">
            <v>DN</v>
          </cell>
          <cell r="W627" t="str">
            <v>TC</v>
          </cell>
          <cell r="X627" t="str">
            <v>P</v>
          </cell>
        </row>
        <row r="628">
          <cell r="B628">
            <v>3623</v>
          </cell>
          <cell r="C628" t="str">
            <v>MATERIEL DE LEVAGE ET MANUTENTION</v>
          </cell>
          <cell r="D628">
            <v>52500</v>
          </cell>
          <cell r="E628">
            <v>52500</v>
          </cell>
          <cell r="F628">
            <v>0</v>
          </cell>
          <cell r="G628">
            <v>0</v>
          </cell>
          <cell r="S628" t="str">
            <v>RAOUIA</v>
          </cell>
          <cell r="T628" t="str">
            <v>R2</v>
          </cell>
          <cell r="U628" t="str">
            <v>ORD</v>
          </cell>
          <cell r="V628" t="str">
            <v>DN</v>
          </cell>
          <cell r="W628" t="str">
            <v>TC</v>
          </cell>
          <cell r="X628" t="str">
            <v>P</v>
          </cell>
        </row>
        <row r="629">
          <cell r="B629">
            <v>3623</v>
          </cell>
          <cell r="C629" t="str">
            <v>01 Pull lift a chaine 3T, 01 Tir fort 3,2T et 01 Palans à chaine 3T</v>
          </cell>
          <cell r="I629" t="str">
            <v>CONSUL</v>
          </cell>
          <cell r="J629" t="str">
            <v>AD</v>
          </cell>
          <cell r="K629" t="str">
            <v xml:space="preserve">DAM retournée à AD après objet rempli </v>
          </cell>
          <cell r="L629" t="str">
            <v>TC-107</v>
          </cell>
          <cell r="M629">
            <v>39227</v>
          </cell>
          <cell r="N629" t="str">
            <v>DAM-13/07</v>
          </cell>
          <cell r="O629" t="str">
            <v>5459 - 5460
5462 - 5463</v>
          </cell>
          <cell r="S629" t="str">
            <v>RAOUIA</v>
          </cell>
          <cell r="T629" t="str">
            <v>R2</v>
          </cell>
          <cell r="U629" t="str">
            <v>ORD</v>
          </cell>
          <cell r="V629" t="str">
            <v>DN</v>
          </cell>
          <cell r="W629" t="str">
            <v>TC</v>
          </cell>
          <cell r="X629" t="str">
            <v>P</v>
          </cell>
        </row>
        <row r="630">
          <cell r="B630">
            <v>3623</v>
          </cell>
          <cell r="C630" t="str">
            <v>01 Grue d'atelier 1000 Kgs</v>
          </cell>
          <cell r="I630" t="str">
            <v>CONSUL</v>
          </cell>
          <cell r="J630" t="str">
            <v>AD</v>
          </cell>
          <cell r="K630" t="str">
            <v>DAM pour attribution</v>
          </cell>
          <cell r="L630">
            <v>136</v>
          </cell>
          <cell r="M630">
            <v>39150</v>
          </cell>
          <cell r="N630" t="str">
            <v>DAM-14/07</v>
          </cell>
          <cell r="O630">
            <v>5458</v>
          </cell>
          <cell r="S630" t="str">
            <v>RAOUIA</v>
          </cell>
          <cell r="T630" t="str">
            <v>R2</v>
          </cell>
          <cell r="U630" t="str">
            <v>ORD</v>
          </cell>
          <cell r="V630" t="str">
            <v>DN</v>
          </cell>
          <cell r="W630" t="str">
            <v>TC</v>
          </cell>
          <cell r="X630" t="str">
            <v>P</v>
          </cell>
        </row>
        <row r="631">
          <cell r="B631">
            <v>3623</v>
          </cell>
          <cell r="C631" t="str">
            <v>02 Verins à piston creux</v>
          </cell>
          <cell r="I631" t="str">
            <v>CONSUL</v>
          </cell>
          <cell r="J631" t="str">
            <v>AD</v>
          </cell>
          <cell r="K631" t="str">
            <v xml:space="preserve">DAM retournée à AD après objet rempli </v>
          </cell>
          <cell r="L631">
            <v>725</v>
          </cell>
          <cell r="M631">
            <v>39216</v>
          </cell>
          <cell r="N631" t="str">
            <v>DAM-15/07</v>
          </cell>
          <cell r="O631">
            <v>5362</v>
          </cell>
          <cell r="S631" t="str">
            <v>RAOUIA</v>
          </cell>
          <cell r="T631" t="str">
            <v>R2</v>
          </cell>
          <cell r="U631" t="str">
            <v>ORD</v>
          </cell>
          <cell r="V631" t="str">
            <v>DN</v>
          </cell>
          <cell r="W631" t="str">
            <v>TC</v>
          </cell>
          <cell r="X631" t="str">
            <v>P</v>
          </cell>
        </row>
        <row r="632">
          <cell r="B632">
            <v>3624</v>
          </cell>
          <cell r="C632" t="str">
            <v>POSTES EMETTEURS RECEPTEURS</v>
          </cell>
          <cell r="D632">
            <v>54000</v>
          </cell>
          <cell r="E632">
            <v>54000</v>
          </cell>
          <cell r="F632">
            <v>0</v>
          </cell>
          <cell r="G632">
            <v>0</v>
          </cell>
          <cell r="I632" t="str">
            <v>CONSUL</v>
          </cell>
          <cell r="J632" t="str">
            <v>AD</v>
          </cell>
          <cell r="K632" t="str">
            <v>DAM pour attribution</v>
          </cell>
          <cell r="L632">
            <v>48</v>
          </cell>
          <cell r="M632">
            <v>39126</v>
          </cell>
          <cell r="N632" t="str">
            <v>DAM-02/07</v>
          </cell>
          <cell r="O632">
            <v>5060</v>
          </cell>
          <cell r="S632" t="str">
            <v>RAOUIA</v>
          </cell>
          <cell r="T632" t="str">
            <v>R2</v>
          </cell>
          <cell r="U632" t="str">
            <v>ORD</v>
          </cell>
          <cell r="V632" t="str">
            <v>DN</v>
          </cell>
          <cell r="W632" t="str">
            <v>TC</v>
          </cell>
          <cell r="X632" t="str">
            <v>P</v>
          </cell>
        </row>
        <row r="633">
          <cell r="B633">
            <v>3633</v>
          </cell>
          <cell r="C633" t="str">
            <v>TRANSFORMATEURS</v>
          </cell>
          <cell r="D633">
            <v>840000</v>
          </cell>
          <cell r="E633">
            <v>840000</v>
          </cell>
          <cell r="F633">
            <v>0</v>
          </cell>
          <cell r="G633">
            <v>0</v>
          </cell>
          <cell r="I633" t="str">
            <v>CT</v>
          </cell>
          <cell r="J633" t="str">
            <v>CP</v>
          </cell>
          <cell r="K633" t="str">
            <v>DAM en retour au CP, calendrier non respecter</v>
          </cell>
          <cell r="L633">
            <v>163</v>
          </cell>
          <cell r="M633">
            <v>39188</v>
          </cell>
          <cell r="N633" t="str">
            <v>DAM-10/07</v>
          </cell>
          <cell r="O633" t="str">
            <v>2073 à 2077</v>
          </cell>
          <cell r="S633" t="str">
            <v>RAOUIA</v>
          </cell>
          <cell r="T633" t="str">
            <v>R2</v>
          </cell>
          <cell r="U633" t="str">
            <v>ORD</v>
          </cell>
          <cell r="V633" t="str">
            <v>DN</v>
          </cell>
          <cell r="W633" t="str">
            <v>TC</v>
          </cell>
          <cell r="X633" t="str">
            <v>P</v>
          </cell>
        </row>
        <row r="634">
          <cell r="B634">
            <v>3636</v>
          </cell>
          <cell r="C634" t="str">
            <v>DEPOUSSIERAGE DES INSTALLATIONS PORTUAIRES DES EMBARQUEMENTS CASABLANCA</v>
          </cell>
          <cell r="D634">
            <v>0</v>
          </cell>
          <cell r="E634">
            <v>50000000</v>
          </cell>
          <cell r="F634">
            <v>0</v>
          </cell>
          <cell r="G634">
            <v>0</v>
          </cell>
          <cell r="S634" t="str">
            <v>EL FATTAHI</v>
          </cell>
          <cell r="T634" t="str">
            <v>R7</v>
          </cell>
          <cell r="U634" t="str">
            <v>IMP</v>
          </cell>
          <cell r="V634" t="str">
            <v>DN</v>
          </cell>
          <cell r="W634" t="str">
            <v>TC</v>
          </cell>
          <cell r="X634" t="str">
            <v>P</v>
          </cell>
        </row>
        <row r="635">
          <cell r="B635">
            <v>3642</v>
          </cell>
          <cell r="C635" t="str">
            <v>RENOUVELLEMENT DE MOBILIERS DE BUREAUX</v>
          </cell>
          <cell r="D635">
            <v>0</v>
          </cell>
          <cell r="E635">
            <v>289900</v>
          </cell>
          <cell r="F635">
            <v>0</v>
          </cell>
          <cell r="G635">
            <v>0</v>
          </cell>
          <cell r="I635" t="str">
            <v>CONSUL</v>
          </cell>
          <cell r="J635" t="str">
            <v>AD</v>
          </cell>
          <cell r="K635" t="str">
            <v>DAM pour attribution</v>
          </cell>
          <cell r="L635">
            <v>385</v>
          </cell>
          <cell r="M635">
            <v>39245</v>
          </cell>
          <cell r="N635" t="str">
            <v>DAM-7059/07</v>
          </cell>
          <cell r="O635">
            <v>7074</v>
          </cell>
          <cell r="S635" t="str">
            <v>CHARKI</v>
          </cell>
          <cell r="T635" t="str">
            <v>R6</v>
          </cell>
          <cell r="U635" t="str">
            <v>ADM</v>
          </cell>
          <cell r="V635" t="str">
            <v>RN</v>
          </cell>
          <cell r="W635" t="str">
            <v>P</v>
          </cell>
          <cell r="X635" t="str">
            <v>P</v>
          </cell>
        </row>
        <row r="636">
          <cell r="B636">
            <v>3643</v>
          </cell>
          <cell r="C636" t="str">
            <v>RENOUVELLEMENT DE 100 APPAREILS TELEPHONIQUES</v>
          </cell>
          <cell r="D636">
            <v>140000</v>
          </cell>
          <cell r="E636">
            <v>140000</v>
          </cell>
          <cell r="F636">
            <v>0</v>
          </cell>
          <cell r="G636">
            <v>0</v>
          </cell>
          <cell r="I636" t="str">
            <v>CONSUL</v>
          </cell>
          <cell r="J636" t="str">
            <v>AD</v>
          </cell>
          <cell r="K636" t="str">
            <v>DAM pour attribution</v>
          </cell>
          <cell r="L636">
            <v>100</v>
          </cell>
          <cell r="M636">
            <v>39141</v>
          </cell>
          <cell r="N636" t="str">
            <v>DAM-7021/07</v>
          </cell>
          <cell r="O636">
            <v>5328</v>
          </cell>
          <cell r="S636" t="str">
            <v>CHARKI</v>
          </cell>
          <cell r="T636" t="str">
            <v>R8</v>
          </cell>
          <cell r="U636" t="str">
            <v>ADM</v>
          </cell>
          <cell r="V636" t="str">
            <v>RN</v>
          </cell>
          <cell r="W636" t="str">
            <v>P</v>
          </cell>
          <cell r="X636" t="str">
            <v>P</v>
          </cell>
        </row>
        <row r="637">
          <cell r="B637">
            <v>3645</v>
          </cell>
          <cell r="C637" t="str">
            <v>Renouvellement des climatiseurs de bureaux</v>
          </cell>
          <cell r="D637">
            <v>270000</v>
          </cell>
          <cell r="E637">
            <v>270000</v>
          </cell>
          <cell r="F637">
            <v>0</v>
          </cell>
          <cell r="G637">
            <v>0</v>
          </cell>
          <cell r="S637" t="str">
            <v>CHARKI</v>
          </cell>
          <cell r="T637" t="str">
            <v>R6</v>
          </cell>
          <cell r="U637" t="str">
            <v>ADM</v>
          </cell>
          <cell r="V637" t="str">
            <v>RN</v>
          </cell>
          <cell r="W637" t="str">
            <v>P</v>
          </cell>
          <cell r="X637" t="str">
            <v>P</v>
          </cell>
        </row>
        <row r="638">
          <cell r="B638">
            <v>3650</v>
          </cell>
          <cell r="C638" t="str">
            <v>ACHAT DE MOBILIERS DE BUREAUX</v>
          </cell>
          <cell r="D638">
            <v>0</v>
          </cell>
          <cell r="E638">
            <v>440600</v>
          </cell>
          <cell r="F638">
            <v>0</v>
          </cell>
          <cell r="G638">
            <v>0</v>
          </cell>
          <cell r="I638" t="str">
            <v>CONSUL</v>
          </cell>
          <cell r="J638" t="str">
            <v>AD</v>
          </cell>
          <cell r="K638" t="str">
            <v>DAM pour attribution</v>
          </cell>
          <cell r="L638" t="str">
            <v>322
385</v>
          </cell>
          <cell r="M638" t="str">
            <v>11/05/2007
12/06/2007</v>
          </cell>
          <cell r="N638" t="str">
            <v>DAM-7060/07
DAM-7059/07</v>
          </cell>
          <cell r="O638" t="str">
            <v>6594
7074</v>
          </cell>
          <cell r="S638" t="str">
            <v>CHARKI</v>
          </cell>
          <cell r="T638" t="str">
            <v>R6</v>
          </cell>
          <cell r="U638" t="str">
            <v>ADM</v>
          </cell>
          <cell r="V638" t="str">
            <v>DN</v>
          </cell>
          <cell r="W638" t="str">
            <v>P</v>
          </cell>
          <cell r="X638" t="str">
            <v>P</v>
          </cell>
        </row>
        <row r="639">
          <cell r="B639">
            <v>3652</v>
          </cell>
          <cell r="C639" t="str">
            <v>ACHAT DE MOBILIERS DE BUREAU</v>
          </cell>
          <cell r="D639">
            <v>108000</v>
          </cell>
          <cell r="E639">
            <v>458500</v>
          </cell>
          <cell r="F639">
            <v>0</v>
          </cell>
          <cell r="G639">
            <v>0</v>
          </cell>
          <cell r="I639" t="str">
            <v>CONSUL</v>
          </cell>
          <cell r="J639" t="str">
            <v>AD</v>
          </cell>
          <cell r="K639" t="str">
            <v>DAM pour attribution</v>
          </cell>
          <cell r="L639" t="str">
            <v>363-237-236-233</v>
          </cell>
          <cell r="M639" t="str">
            <v>31/05/2007
13/04/2007</v>
          </cell>
          <cell r="N639" t="str">
            <v>DAM -7043 - 7049 - 7042 - 7050</v>
          </cell>
          <cell r="O639" t="str">
            <v>6208 - 6150 - 6132</v>
          </cell>
          <cell r="S639" t="str">
            <v>CHARKI</v>
          </cell>
          <cell r="T639" t="str">
            <v>R6</v>
          </cell>
          <cell r="U639" t="str">
            <v>ADM</v>
          </cell>
          <cell r="V639" t="str">
            <v>DN</v>
          </cell>
          <cell r="W639" t="str">
            <v>P</v>
          </cell>
          <cell r="X639" t="str">
            <v>P</v>
          </cell>
        </row>
        <row r="640">
          <cell r="B640">
            <v>3653</v>
          </cell>
          <cell r="C640" t="str">
            <v>ACHAT DE MOBILIER DE BUREAU A PMK/L</v>
          </cell>
          <cell r="D640">
            <v>96000</v>
          </cell>
          <cell r="E640">
            <v>96000</v>
          </cell>
          <cell r="F640">
            <v>0</v>
          </cell>
          <cell r="G640">
            <v>0</v>
          </cell>
          <cell r="I640" t="str">
            <v>CONSUL</v>
          </cell>
          <cell r="J640" t="str">
            <v>AD</v>
          </cell>
          <cell r="K640" t="str">
            <v>DAM pour attribution</v>
          </cell>
          <cell r="L640">
            <v>307</v>
          </cell>
          <cell r="M640">
            <v>39179</v>
          </cell>
          <cell r="N640" t="str">
            <v>DAM-01/07</v>
          </cell>
          <cell r="O640">
            <v>6707</v>
          </cell>
          <cell r="S640" t="str">
            <v>DAOUDI</v>
          </cell>
          <cell r="T640" t="str">
            <v>R6</v>
          </cell>
          <cell r="U640" t="str">
            <v>ADM</v>
          </cell>
          <cell r="V640" t="str">
            <v>DN</v>
          </cell>
          <cell r="W640" t="str">
            <v>L</v>
          </cell>
          <cell r="X640" t="str">
            <v>P</v>
          </cell>
        </row>
        <row r="641">
          <cell r="B641">
            <v>3726</v>
          </cell>
          <cell r="C641" t="str">
            <v>EQUIPEMENT ATELIER BOBINAGE  REPORT L2</v>
          </cell>
          <cell r="D641">
            <v>0</v>
          </cell>
          <cell r="E641">
            <v>680000</v>
          </cell>
          <cell r="F641">
            <v>0</v>
          </cell>
          <cell r="G641">
            <v>0</v>
          </cell>
          <cell r="I641" t="str">
            <v>CONSUL</v>
          </cell>
          <cell r="J641" t="str">
            <v>AD</v>
          </cell>
          <cell r="K641" t="str">
            <v>DAM pour attribution</v>
          </cell>
          <cell r="L641">
            <v>224</v>
          </cell>
          <cell r="M641">
            <v>39185</v>
          </cell>
          <cell r="N641" t="str">
            <v>DAM-06/07</v>
          </cell>
          <cell r="O641">
            <v>6230</v>
          </cell>
          <cell r="S641" t="str">
            <v>SAOUD</v>
          </cell>
          <cell r="T641" t="str">
            <v>R2</v>
          </cell>
          <cell r="U641" t="str">
            <v>ORD</v>
          </cell>
          <cell r="V641" t="str">
            <v>DN</v>
          </cell>
          <cell r="W641" t="str">
            <v>L</v>
          </cell>
          <cell r="X641" t="str">
            <v>P</v>
          </cell>
        </row>
        <row r="642">
          <cell r="B642">
            <v>3745</v>
          </cell>
          <cell r="C642" t="str">
            <v>Fourniture et installation des équipements de dépoussiérage des fours sécheurs de Béni-Idir</v>
          </cell>
          <cell r="D642">
            <v>50000000</v>
          </cell>
          <cell r="E642">
            <v>50000000</v>
          </cell>
          <cell r="F642">
            <v>0</v>
          </cell>
          <cell r="G642">
            <v>0</v>
          </cell>
          <cell r="H642">
            <v>50000000</v>
          </cell>
          <cell r="I642" t="str">
            <v>ENG</v>
          </cell>
          <cell r="J642" t="str">
            <v>CP</v>
          </cell>
          <cell r="K642" t="str">
            <v>DAE n°  3745_1 de 50 000 000 DH
Lettre accord  par DG PMK-10 du 12/06/2007</v>
          </cell>
          <cell r="L642" t="str">
            <v>PFF 538</v>
          </cell>
          <cell r="M642">
            <v>39274</v>
          </cell>
          <cell r="S642" t="str">
            <v>MANSOURI</v>
          </cell>
          <cell r="T642" t="str">
            <v>R2</v>
          </cell>
          <cell r="U642" t="str">
            <v>ORD</v>
          </cell>
          <cell r="V642" t="str">
            <v>DN</v>
          </cell>
          <cell r="W642" t="str">
            <v>T</v>
          </cell>
          <cell r="X642" t="str">
            <v>P</v>
          </cell>
        </row>
        <row r="643">
          <cell r="B643">
            <v>3758</v>
          </cell>
          <cell r="C643" t="str">
            <v>RENOUVELLEMENT TIREUSE PLANS REPORT L2</v>
          </cell>
          <cell r="D643">
            <v>0</v>
          </cell>
          <cell r="E643">
            <v>350000</v>
          </cell>
          <cell r="F643">
            <v>0</v>
          </cell>
          <cell r="G643">
            <v>0</v>
          </cell>
          <cell r="S643" t="str">
            <v>SAOUD</v>
          </cell>
          <cell r="T643" t="str">
            <v>R2</v>
          </cell>
          <cell r="U643" t="str">
            <v>ORD</v>
          </cell>
          <cell r="V643" t="str">
            <v>RN</v>
          </cell>
          <cell r="W643" t="str">
            <v>L</v>
          </cell>
          <cell r="X643" t="str">
            <v>P</v>
          </cell>
        </row>
        <row r="644">
          <cell r="B644">
            <v>3762</v>
          </cell>
          <cell r="C644" t="str">
            <v>REALISATION D'UNE CONDUITE D'EAU POUR LAVERIE REPORT L2</v>
          </cell>
          <cell r="D644">
            <v>0</v>
          </cell>
          <cell r="E644">
            <v>9000000</v>
          </cell>
          <cell r="F644">
            <v>0</v>
          </cell>
          <cell r="G644">
            <v>0</v>
          </cell>
          <cell r="S644" t="str">
            <v>SAOUD</v>
          </cell>
          <cell r="T644" t="str">
            <v>R4</v>
          </cell>
          <cell r="U644" t="str">
            <v>ORD</v>
          </cell>
          <cell r="V644" t="str">
            <v>DN</v>
          </cell>
          <cell r="W644" t="str">
            <v>L</v>
          </cell>
          <cell r="X644" t="str">
            <v>P</v>
          </cell>
        </row>
        <row r="645">
          <cell r="B645">
            <v>3766</v>
          </cell>
          <cell r="C645" t="str">
            <v>RENOUVELLEMENT AUTO COMMUTATEUR POINT B REPORT L2</v>
          </cell>
          <cell r="D645">
            <v>0</v>
          </cell>
          <cell r="E645">
            <v>1000000</v>
          </cell>
          <cell r="F645">
            <v>0</v>
          </cell>
          <cell r="G645">
            <v>0</v>
          </cell>
          <cell r="S645" t="str">
            <v>SAOUD</v>
          </cell>
          <cell r="T645" t="str">
            <v>R2</v>
          </cell>
          <cell r="U645" t="str">
            <v>ORD</v>
          </cell>
          <cell r="V645" t="str">
            <v>RN</v>
          </cell>
          <cell r="W645" t="str">
            <v>L</v>
          </cell>
          <cell r="X645" t="str">
            <v>P</v>
          </cell>
        </row>
        <row r="646">
          <cell r="B646">
            <v>3768</v>
          </cell>
          <cell r="C646" t="str">
            <v>Mise à niveau des installations électriques basse tension des établissements sociaux de la ville de Khouribga REPORT L2</v>
          </cell>
          <cell r="D646">
            <v>0</v>
          </cell>
          <cell r="E646">
            <v>4200000</v>
          </cell>
          <cell r="F646">
            <v>0</v>
          </cell>
          <cell r="G646">
            <v>0</v>
          </cell>
          <cell r="S646" t="str">
            <v>SAOUD</v>
          </cell>
          <cell r="T646" t="str">
            <v>R2</v>
          </cell>
          <cell r="U646" t="str">
            <v>ORD</v>
          </cell>
          <cell r="V646" t="str">
            <v>DN</v>
          </cell>
          <cell r="W646" t="str">
            <v>L</v>
          </cell>
          <cell r="X646" t="str">
            <v>P</v>
          </cell>
        </row>
        <row r="647">
          <cell r="B647">
            <v>3788</v>
          </cell>
          <cell r="C647" t="str">
            <v>Renouvellement d'outillage d'atelier</v>
          </cell>
          <cell r="D647">
            <v>573000</v>
          </cell>
          <cell r="E647">
            <v>573000</v>
          </cell>
          <cell r="F647">
            <v>0</v>
          </cell>
          <cell r="G647">
            <v>0</v>
          </cell>
          <cell r="S647" t="str">
            <v>MAGHRAOUI</v>
          </cell>
          <cell r="T647" t="str">
            <v>R2</v>
          </cell>
          <cell r="U647" t="str">
            <v>ORD</v>
          </cell>
          <cell r="V647" t="str">
            <v>RN</v>
          </cell>
          <cell r="W647" t="str">
            <v>P</v>
          </cell>
          <cell r="X647" t="str">
            <v>P</v>
          </cell>
        </row>
        <row r="648">
          <cell r="B648">
            <v>3788</v>
          </cell>
          <cell r="C648" t="str">
            <v>03 lampes rechargeables portatives, 01 perceuse électrique portative</v>
          </cell>
          <cell r="I648" t="str">
            <v>CONSUL</v>
          </cell>
          <cell r="J648" t="str">
            <v>AD</v>
          </cell>
          <cell r="K648" t="str">
            <v>DAM pour attribution</v>
          </cell>
          <cell r="L648">
            <v>71</v>
          </cell>
          <cell r="M648">
            <v>39129</v>
          </cell>
          <cell r="N648" t="str">
            <v>DAM-7022</v>
          </cell>
          <cell r="O648">
            <v>5282</v>
          </cell>
          <cell r="S648" t="str">
            <v>MAGHRAOUI</v>
          </cell>
          <cell r="T648" t="str">
            <v>R2</v>
          </cell>
          <cell r="U648" t="str">
            <v>ORD</v>
          </cell>
          <cell r="V648" t="str">
            <v>RN</v>
          </cell>
          <cell r="W648" t="str">
            <v>P</v>
          </cell>
          <cell r="X648" t="str">
            <v>P</v>
          </cell>
        </row>
        <row r="649">
          <cell r="B649">
            <v>3788</v>
          </cell>
          <cell r="C649" t="str">
            <v>03 Clés à choc 900NM</v>
          </cell>
          <cell r="I649" t="str">
            <v>CONSUL</v>
          </cell>
          <cell r="J649" t="str">
            <v>AD</v>
          </cell>
          <cell r="K649" t="str">
            <v>DAM pour attribution</v>
          </cell>
          <cell r="L649">
            <v>59</v>
          </cell>
          <cell r="M649">
            <v>39129</v>
          </cell>
          <cell r="N649" t="str">
            <v>DAM-7004</v>
          </cell>
          <cell r="O649">
            <v>5153</v>
          </cell>
          <cell r="S649" t="str">
            <v>MAGHRAOUI</v>
          </cell>
          <cell r="T649" t="str">
            <v>R2</v>
          </cell>
          <cell r="U649" t="str">
            <v>ORD</v>
          </cell>
          <cell r="V649" t="str">
            <v>RN</v>
          </cell>
          <cell r="W649" t="str">
            <v>P</v>
          </cell>
          <cell r="X649" t="str">
            <v>P</v>
          </cell>
        </row>
        <row r="650">
          <cell r="B650">
            <v>3788</v>
          </cell>
          <cell r="C650" t="str">
            <v>02 Ensemble de presses 30 T et 50 T</v>
          </cell>
          <cell r="I650" t="str">
            <v>CONSUL</v>
          </cell>
          <cell r="J650" t="str">
            <v>AD</v>
          </cell>
          <cell r="K650" t="str">
            <v>DAM pour attribution</v>
          </cell>
          <cell r="L650">
            <v>58</v>
          </cell>
          <cell r="M650">
            <v>39129</v>
          </cell>
          <cell r="N650" t="str">
            <v>DAM-7005</v>
          </cell>
          <cell r="O650">
            <v>5130</v>
          </cell>
          <cell r="S650" t="str">
            <v>MAGHRAOUI</v>
          </cell>
          <cell r="T650" t="str">
            <v>R2</v>
          </cell>
          <cell r="U650" t="str">
            <v>ORD</v>
          </cell>
          <cell r="V650" t="str">
            <v>RN</v>
          </cell>
          <cell r="W650" t="str">
            <v>P</v>
          </cell>
          <cell r="X650" t="str">
            <v>P</v>
          </cell>
        </row>
        <row r="651">
          <cell r="B651">
            <v>3788</v>
          </cell>
          <cell r="C651" t="str">
            <v>01 palan 16T et un tirfor 3,2T</v>
          </cell>
          <cell r="I651" t="str">
            <v>CONSUL</v>
          </cell>
          <cell r="J651" t="str">
            <v>CP</v>
          </cell>
          <cell r="K651" t="str">
            <v>DAM en retour suite au remarque AD (transmis directement)</v>
          </cell>
          <cell r="L651" t="str">
            <v>AD - 1460</v>
          </cell>
          <cell r="M651">
            <v>39324</v>
          </cell>
          <cell r="N651" t="str">
            <v>DAM-7044/07</v>
          </cell>
          <cell r="S651" t="str">
            <v>MAGHRAOUI</v>
          </cell>
          <cell r="T651" t="str">
            <v>R2</v>
          </cell>
          <cell r="U651" t="str">
            <v>ORD</v>
          </cell>
          <cell r="V651" t="str">
            <v>RN</v>
          </cell>
          <cell r="W651" t="str">
            <v>P</v>
          </cell>
          <cell r="X651" t="str">
            <v>P</v>
          </cell>
        </row>
        <row r="652">
          <cell r="B652">
            <v>3789</v>
          </cell>
          <cell r="C652" t="str">
            <v>Renouvellement de 08 postes de soudure statiques</v>
          </cell>
          <cell r="D652">
            <v>560000</v>
          </cell>
          <cell r="E652">
            <v>560000</v>
          </cell>
          <cell r="F652">
            <v>0</v>
          </cell>
          <cell r="G652">
            <v>0</v>
          </cell>
          <cell r="I652" t="str">
            <v>CONSUL</v>
          </cell>
          <cell r="J652" t="str">
            <v>PFM/AC</v>
          </cell>
          <cell r="K652" t="str">
            <v>DAM pour consultation</v>
          </cell>
          <cell r="L652">
            <v>118</v>
          </cell>
          <cell r="M652">
            <v>39150</v>
          </cell>
          <cell r="N652" t="str">
            <v>DAM-7006</v>
          </cell>
          <cell r="O652">
            <v>1659</v>
          </cell>
          <cell r="S652" t="str">
            <v>BOUZEKKOURA</v>
          </cell>
          <cell r="T652" t="str">
            <v>R2</v>
          </cell>
          <cell r="U652" t="str">
            <v>ORD</v>
          </cell>
          <cell r="V652" t="str">
            <v>RN</v>
          </cell>
          <cell r="W652" t="str">
            <v>P</v>
          </cell>
          <cell r="X652" t="str">
            <v>P</v>
          </cell>
        </row>
        <row r="653">
          <cell r="B653">
            <v>3790</v>
          </cell>
          <cell r="C653" t="str">
            <v>Achat de 02 tracks droit et gauche D9R</v>
          </cell>
          <cell r="D653">
            <v>0</v>
          </cell>
          <cell r="E653">
            <v>1200000</v>
          </cell>
          <cell r="F653">
            <v>0</v>
          </cell>
          <cell r="G653">
            <v>0</v>
          </cell>
          <cell r="I653" t="str">
            <v>CT</v>
          </cell>
          <cell r="J653" t="str">
            <v>CP</v>
          </cell>
          <cell r="K653" t="str">
            <v>DAM retournée au CP pour éléments de réponse</v>
          </cell>
          <cell r="L653">
            <v>109</v>
          </cell>
          <cell r="M653">
            <v>39142</v>
          </cell>
          <cell r="N653" t="str">
            <v>DAM-7007/07</v>
          </cell>
          <cell r="S653" t="str">
            <v>MAGHRAOUI</v>
          </cell>
          <cell r="T653" t="str">
            <v>R4</v>
          </cell>
          <cell r="U653" t="str">
            <v>ORD</v>
          </cell>
          <cell r="V653" t="str">
            <v>DN</v>
          </cell>
          <cell r="W653" t="str">
            <v>P</v>
          </cell>
          <cell r="X653" t="str">
            <v>P</v>
          </cell>
        </row>
        <row r="654">
          <cell r="B654">
            <v>3791</v>
          </cell>
          <cell r="C654" t="str">
            <v>Achat d'outillages d'ateliers</v>
          </cell>
          <cell r="D654">
            <v>463000</v>
          </cell>
          <cell r="E654">
            <v>533000</v>
          </cell>
          <cell r="F654">
            <v>0</v>
          </cell>
          <cell r="G654">
            <v>0</v>
          </cell>
          <cell r="I654" t="str">
            <v>CONSUL</v>
          </cell>
          <cell r="J654" t="str">
            <v>AD</v>
          </cell>
          <cell r="K654" t="str">
            <v>DAM pour attribution</v>
          </cell>
          <cell r="L654">
            <v>476</v>
          </cell>
          <cell r="M654">
            <v>39310</v>
          </cell>
          <cell r="N654" t="str">
            <v>DAM-7051</v>
          </cell>
          <cell r="O654">
            <v>7642</v>
          </cell>
          <cell r="S654" t="str">
            <v>BOUTBHIRT</v>
          </cell>
          <cell r="T654" t="str">
            <v>R4</v>
          </cell>
          <cell r="U654" t="str">
            <v>ORD</v>
          </cell>
          <cell r="V654" t="str">
            <v>DN</v>
          </cell>
          <cell r="W654" t="str">
            <v>P</v>
          </cell>
          <cell r="X654" t="str">
            <v>P</v>
          </cell>
        </row>
        <row r="655">
          <cell r="B655">
            <v>3791</v>
          </cell>
          <cell r="C655" t="str">
            <v>02 Comparateurs, 01 testeur flight système, 06 jeux de micrométres intérieurs</v>
          </cell>
          <cell r="I655" t="str">
            <v>CONSUL</v>
          </cell>
          <cell r="J655" t="str">
            <v>AD</v>
          </cell>
          <cell r="K655" t="str">
            <v>DAM pour attribution</v>
          </cell>
          <cell r="L655">
            <v>61</v>
          </cell>
          <cell r="M655">
            <v>39129</v>
          </cell>
          <cell r="N655" t="str">
            <v>DAM-7009</v>
          </cell>
          <cell r="O655">
            <v>5132</v>
          </cell>
          <cell r="S655" t="str">
            <v>MAGHRAOUI</v>
          </cell>
          <cell r="T655" t="str">
            <v>R4</v>
          </cell>
          <cell r="U655" t="str">
            <v>ORD</v>
          </cell>
          <cell r="V655" t="str">
            <v>DN</v>
          </cell>
          <cell r="W655" t="str">
            <v>P</v>
          </cell>
          <cell r="X655" t="str">
            <v>P</v>
          </cell>
        </row>
        <row r="656">
          <cell r="B656">
            <v>3791</v>
          </cell>
          <cell r="C656" t="str">
            <v>08 caisses d'outillage</v>
          </cell>
          <cell r="I656" t="str">
            <v>CONSUL</v>
          </cell>
          <cell r="J656" t="str">
            <v>CP</v>
          </cell>
          <cell r="K656" t="str">
            <v>DAM en retour suite au remarque AD (transmis directement)</v>
          </cell>
          <cell r="L656" t="str">
            <v>AD - 895</v>
          </cell>
          <cell r="M656">
            <v>39246</v>
          </cell>
          <cell r="N656" t="str">
            <v>DAM-7008</v>
          </cell>
          <cell r="O656">
            <v>5150</v>
          </cell>
          <cell r="S656" t="str">
            <v>MAGHRAOUI</v>
          </cell>
          <cell r="T656" t="str">
            <v>R4</v>
          </cell>
          <cell r="U656" t="str">
            <v>ORD</v>
          </cell>
          <cell r="V656" t="str">
            <v>DN</v>
          </cell>
          <cell r="W656" t="str">
            <v>P</v>
          </cell>
          <cell r="X656" t="str">
            <v>P</v>
          </cell>
        </row>
        <row r="657">
          <cell r="B657">
            <v>3791</v>
          </cell>
          <cell r="C657" t="str">
            <v>01 Mulicateurs de couple, 20 clés dynamétrique carrés 1/2"</v>
          </cell>
          <cell r="I657" t="str">
            <v>CONSUL</v>
          </cell>
          <cell r="J657" t="str">
            <v>AD</v>
          </cell>
          <cell r="K657" t="str">
            <v>DAM pour attribution</v>
          </cell>
          <cell r="L657">
            <v>59</v>
          </cell>
          <cell r="M657">
            <v>39129</v>
          </cell>
          <cell r="N657" t="str">
            <v>DAM-7004</v>
          </cell>
          <cell r="O657">
            <v>5153</v>
          </cell>
          <cell r="S657" t="str">
            <v>MAGHRAOUI</v>
          </cell>
          <cell r="T657" t="str">
            <v>R4</v>
          </cell>
          <cell r="U657" t="str">
            <v>ORD</v>
          </cell>
          <cell r="V657" t="str">
            <v>DN</v>
          </cell>
          <cell r="W657" t="str">
            <v>P</v>
          </cell>
          <cell r="X657" t="str">
            <v>P</v>
          </cell>
        </row>
        <row r="658">
          <cell r="B658">
            <v>3791</v>
          </cell>
          <cell r="C658" t="str">
            <v>01 mesureur d'isolement 500V</v>
          </cell>
          <cell r="I658" t="str">
            <v>CONSUL</v>
          </cell>
          <cell r="J658" t="str">
            <v>AD</v>
          </cell>
          <cell r="K658" t="str">
            <v>DAM pour attribution</v>
          </cell>
          <cell r="L658">
            <v>71</v>
          </cell>
          <cell r="M658">
            <v>39129</v>
          </cell>
          <cell r="N658" t="str">
            <v>DAM-7022</v>
          </cell>
          <cell r="O658">
            <v>5282</v>
          </cell>
          <cell r="S658" t="str">
            <v>MAGHRAOUI</v>
          </cell>
          <cell r="T658" t="str">
            <v>R4</v>
          </cell>
          <cell r="U658" t="str">
            <v>ORD</v>
          </cell>
          <cell r="V658" t="str">
            <v>DN</v>
          </cell>
          <cell r="W658" t="str">
            <v>P</v>
          </cell>
          <cell r="X658" t="str">
            <v>P</v>
          </cell>
        </row>
        <row r="659">
          <cell r="B659">
            <v>3791</v>
          </cell>
          <cell r="C659" t="str">
            <v>03 Meuleuses pneumatiques 180 mm</v>
          </cell>
          <cell r="I659" t="str">
            <v>CONSUL</v>
          </cell>
          <cell r="J659" t="str">
            <v>AD</v>
          </cell>
          <cell r="K659" t="str">
            <v>DAM pour attribution</v>
          </cell>
          <cell r="L659">
            <v>28</v>
          </cell>
          <cell r="M659">
            <v>39115</v>
          </cell>
          <cell r="N659" t="str">
            <v>DAM-7011</v>
          </cell>
          <cell r="O659">
            <v>5036</v>
          </cell>
          <cell r="S659" t="str">
            <v>MAGHRAOUI</v>
          </cell>
          <cell r="T659" t="str">
            <v>R4</v>
          </cell>
          <cell r="U659" t="str">
            <v>ORD</v>
          </cell>
          <cell r="V659" t="str">
            <v>DN</v>
          </cell>
          <cell r="W659" t="str">
            <v>P</v>
          </cell>
          <cell r="X659" t="str">
            <v>P</v>
          </cell>
        </row>
        <row r="660">
          <cell r="B660">
            <v>3791</v>
          </cell>
          <cell r="C660" t="str">
            <v>01 Table élévatrice et étaux à morcs parallele</v>
          </cell>
          <cell r="I660" t="str">
            <v>CONSUL</v>
          </cell>
          <cell r="J660" t="str">
            <v>AD</v>
          </cell>
          <cell r="K660" t="str">
            <v>DAM pour attribution</v>
          </cell>
          <cell r="L660">
            <v>29</v>
          </cell>
          <cell r="M660">
            <v>39115</v>
          </cell>
          <cell r="N660" t="str">
            <v>DAM-7010</v>
          </cell>
          <cell r="O660">
            <v>5033</v>
          </cell>
          <cell r="S660" t="str">
            <v>MAGHRAOUI</v>
          </cell>
          <cell r="T660" t="str">
            <v>R4</v>
          </cell>
          <cell r="U660" t="str">
            <v>ORD</v>
          </cell>
          <cell r="V660" t="str">
            <v>DN</v>
          </cell>
          <cell r="W660" t="str">
            <v>P</v>
          </cell>
          <cell r="X660" t="str">
            <v>P</v>
          </cell>
        </row>
        <row r="661">
          <cell r="B661">
            <v>3793</v>
          </cell>
          <cell r="C661" t="str">
            <v>Achat de 30 postes émetteurs récepteurs portatifs</v>
          </cell>
          <cell r="D661">
            <v>240000</v>
          </cell>
          <cell r="E661">
            <v>240000</v>
          </cell>
          <cell r="F661">
            <v>0</v>
          </cell>
          <cell r="G661">
            <v>0</v>
          </cell>
          <cell r="I661" t="str">
            <v>CONSUL</v>
          </cell>
          <cell r="J661" t="str">
            <v>AD</v>
          </cell>
          <cell r="K661" t="str">
            <v>DAM pour attribution</v>
          </cell>
          <cell r="L661">
            <v>102</v>
          </cell>
          <cell r="M661">
            <v>39141</v>
          </cell>
          <cell r="N661" t="str">
            <v>DAM-7023</v>
          </cell>
          <cell r="O661">
            <v>5324</v>
          </cell>
          <cell r="S661" t="str">
            <v>MEFTAH</v>
          </cell>
          <cell r="T661" t="str">
            <v>R2</v>
          </cell>
          <cell r="U661" t="str">
            <v>ORD</v>
          </cell>
          <cell r="V661" t="str">
            <v>DN</v>
          </cell>
          <cell r="W661" t="str">
            <v>P</v>
          </cell>
          <cell r="X661" t="str">
            <v>P</v>
          </cell>
        </row>
        <row r="662">
          <cell r="B662">
            <v>3805</v>
          </cell>
          <cell r="C662" t="str">
            <v>FOURNITURE ET INSTALLATION MATERIEL DAO-CAO BUREAU D'ETUDE PMK/LV REPORT L2</v>
          </cell>
          <cell r="D662">
            <v>0</v>
          </cell>
          <cell r="E662">
            <v>400000</v>
          </cell>
          <cell r="F662">
            <v>0</v>
          </cell>
          <cell r="G662">
            <v>0</v>
          </cell>
          <cell r="I662" t="str">
            <v>CONSUL</v>
          </cell>
          <cell r="J662" t="str">
            <v>AD</v>
          </cell>
          <cell r="K662" t="str">
            <v>DAM pour attribution</v>
          </cell>
          <cell r="L662">
            <v>508</v>
          </cell>
          <cell r="M662">
            <v>39329</v>
          </cell>
          <cell r="N662" t="str">
            <v>DAM-5405/05
DPM-5404/07</v>
          </cell>
          <cell r="O662">
            <v>7543</v>
          </cell>
          <cell r="S662" t="str">
            <v>ZAHRI</v>
          </cell>
          <cell r="T662" t="str">
            <v>R8</v>
          </cell>
          <cell r="U662" t="str">
            <v>ORD</v>
          </cell>
          <cell r="V662" t="str">
            <v>DN</v>
          </cell>
          <cell r="W662" t="str">
            <v>L</v>
          </cell>
          <cell r="X662" t="str">
            <v>P</v>
          </cell>
        </row>
        <row r="663">
          <cell r="B663">
            <v>3807</v>
          </cell>
          <cell r="C663" t="str">
            <v>ETUDES DIVERSES MINE OULAD FARES</v>
          </cell>
          <cell r="D663">
            <v>5000000</v>
          </cell>
          <cell r="E663">
            <v>10000000</v>
          </cell>
          <cell r="F663">
            <v>10000000</v>
          </cell>
          <cell r="G663">
            <v>0</v>
          </cell>
          <cell r="S663" t="str">
            <v>BOUALAM</v>
          </cell>
          <cell r="T663" t="str">
            <v>R5</v>
          </cell>
          <cell r="U663" t="str">
            <v>ETUDES ET ESSAIS</v>
          </cell>
          <cell r="V663" t="str">
            <v>DN</v>
          </cell>
          <cell r="W663" t="str">
            <v>L</v>
          </cell>
          <cell r="X663" t="str">
            <v>P</v>
          </cell>
        </row>
        <row r="664">
          <cell r="B664">
            <v>3824</v>
          </cell>
          <cell r="C664" t="str">
            <v>MOBILIER DE BUREAU</v>
          </cell>
          <cell r="D664">
            <v>83200</v>
          </cell>
          <cell r="E664">
            <v>83200</v>
          </cell>
          <cell r="F664">
            <v>0</v>
          </cell>
          <cell r="G664">
            <v>0</v>
          </cell>
          <cell r="I664" t="str">
            <v>CONSUL</v>
          </cell>
          <cell r="J664" t="str">
            <v>AD</v>
          </cell>
          <cell r="K664" t="str">
            <v>DAM pour attribution</v>
          </cell>
          <cell r="L664">
            <v>272</v>
          </cell>
          <cell r="M664">
            <v>39198</v>
          </cell>
          <cell r="N664" t="str">
            <v>DAM-51/07</v>
          </cell>
          <cell r="S664" t="str">
            <v>AFARID</v>
          </cell>
          <cell r="T664" t="str">
            <v>R6</v>
          </cell>
          <cell r="U664" t="str">
            <v>ADM</v>
          </cell>
          <cell r="V664" t="str">
            <v>DN</v>
          </cell>
          <cell r="W664" t="str">
            <v>TC</v>
          </cell>
          <cell r="X664" t="str">
            <v>P</v>
          </cell>
        </row>
        <row r="665">
          <cell r="B665">
            <v>3826</v>
          </cell>
          <cell r="C665" t="str">
            <v>FROID ET CLIMATISATION</v>
          </cell>
          <cell r="D665">
            <v>64500</v>
          </cell>
          <cell r="E665">
            <v>64500</v>
          </cell>
          <cell r="F665">
            <v>0</v>
          </cell>
          <cell r="G665">
            <v>0</v>
          </cell>
          <cell r="S665" t="str">
            <v>AFARID</v>
          </cell>
          <cell r="T665" t="str">
            <v>R6</v>
          </cell>
          <cell r="U665" t="str">
            <v>ADM</v>
          </cell>
          <cell r="V665" t="str">
            <v>DN</v>
          </cell>
          <cell r="W665" t="str">
            <v>TC</v>
          </cell>
          <cell r="X665" t="str">
            <v>P</v>
          </cell>
        </row>
        <row r="666">
          <cell r="B666">
            <v>3849</v>
          </cell>
          <cell r="C666" t="str">
            <v>Renouvellement de trois groupes motopompes portatifs et une électropompe submersible pour la DCI de PMK/T</v>
          </cell>
          <cell r="D666">
            <v>0</v>
          </cell>
          <cell r="E666">
            <v>160000</v>
          </cell>
          <cell r="F666">
            <v>0</v>
          </cell>
          <cell r="G666">
            <v>0</v>
          </cell>
          <cell r="I666" t="str">
            <v>CONSUL</v>
          </cell>
          <cell r="J666" t="str">
            <v>AD</v>
          </cell>
          <cell r="K666" t="str">
            <v>DAM pour attribution</v>
          </cell>
          <cell r="L666">
            <v>270</v>
          </cell>
          <cell r="M666">
            <v>39198</v>
          </cell>
          <cell r="N666" t="str">
            <v>DAM-06/07</v>
          </cell>
          <cell r="O666">
            <v>6533</v>
          </cell>
          <cell r="S666" t="str">
            <v>ASSOUD</v>
          </cell>
          <cell r="T666" t="str">
            <v>R7</v>
          </cell>
          <cell r="U666" t="str">
            <v>ORD</v>
          </cell>
          <cell r="V666" t="str">
            <v>RN</v>
          </cell>
          <cell r="W666" t="str">
            <v>T</v>
          </cell>
          <cell r="X666" t="str">
            <v>P</v>
          </cell>
        </row>
        <row r="667">
          <cell r="B667">
            <v>3863</v>
          </cell>
          <cell r="C667" t="str">
            <v>5 MOTEURS ELECTRIQUES</v>
          </cell>
          <cell r="D667">
            <v>106000</v>
          </cell>
          <cell r="E667">
            <v>106000</v>
          </cell>
          <cell r="F667">
            <v>0</v>
          </cell>
          <cell r="G667">
            <v>0</v>
          </cell>
          <cell r="S667" t="str">
            <v>RAOUIA</v>
          </cell>
          <cell r="T667" t="str">
            <v>R2</v>
          </cell>
          <cell r="U667" t="str">
            <v>ORD</v>
          </cell>
          <cell r="V667" t="str">
            <v>DN</v>
          </cell>
          <cell r="W667" t="str">
            <v>TC</v>
          </cell>
          <cell r="X667" t="str">
            <v>P</v>
          </cell>
        </row>
        <row r="668">
          <cell r="B668">
            <v>3863</v>
          </cell>
          <cell r="C668" t="str">
            <v>01 Moteur électrique 90 Kw</v>
          </cell>
          <cell r="I668" t="str">
            <v>CONSUL</v>
          </cell>
          <cell r="J668" t="str">
            <v>AD</v>
          </cell>
          <cell r="K668" t="str">
            <v>DAM pour attribution</v>
          </cell>
          <cell r="L668">
            <v>134</v>
          </cell>
          <cell r="M668">
            <v>39150</v>
          </cell>
          <cell r="N668" t="str">
            <v>DAM-16/07</v>
          </cell>
          <cell r="O668">
            <v>5573</v>
          </cell>
          <cell r="S668" t="str">
            <v>RAOUIA</v>
          </cell>
          <cell r="T668" t="str">
            <v>R2</v>
          </cell>
          <cell r="U668" t="str">
            <v>ORD</v>
          </cell>
          <cell r="V668" t="str">
            <v>DN</v>
          </cell>
          <cell r="W668" t="str">
            <v>TC</v>
          </cell>
          <cell r="X668" t="str">
            <v>P</v>
          </cell>
        </row>
        <row r="669">
          <cell r="B669">
            <v>3863</v>
          </cell>
          <cell r="C669" t="str">
            <v>01 Moteur électrique 30 Kw
02 Moteurs électriques 1,5Kw</v>
          </cell>
          <cell r="I669" t="str">
            <v>CONSUL</v>
          </cell>
          <cell r="J669" t="str">
            <v>AD</v>
          </cell>
          <cell r="K669" t="str">
            <v>DAM pour attribution</v>
          </cell>
          <cell r="L669">
            <v>25</v>
          </cell>
          <cell r="M669">
            <v>39115</v>
          </cell>
          <cell r="N669" t="str">
            <v>DAM-04/07</v>
          </cell>
          <cell r="O669" t="str">
            <v>5121 - 5122</v>
          </cell>
          <cell r="S669" t="str">
            <v>RAOUIA</v>
          </cell>
          <cell r="T669" t="str">
            <v>R2</v>
          </cell>
          <cell r="U669" t="str">
            <v>ORD</v>
          </cell>
          <cell r="V669" t="str">
            <v>DN</v>
          </cell>
          <cell r="W669" t="str">
            <v>TC</v>
          </cell>
          <cell r="X669" t="str">
            <v>P</v>
          </cell>
        </row>
        <row r="670">
          <cell r="B670">
            <v>3866</v>
          </cell>
          <cell r="C670" t="str">
            <v>MOTEURS ET DISJONCTEURS</v>
          </cell>
          <cell r="D670">
            <v>1920000</v>
          </cell>
          <cell r="E670">
            <v>1920000</v>
          </cell>
          <cell r="F670">
            <v>0</v>
          </cell>
          <cell r="G670">
            <v>0</v>
          </cell>
          <cell r="S670" t="str">
            <v>RAOUIA</v>
          </cell>
          <cell r="T670" t="str">
            <v>R2</v>
          </cell>
          <cell r="U670" t="str">
            <v>ORD</v>
          </cell>
          <cell r="V670" t="str">
            <v>DN</v>
          </cell>
          <cell r="W670" t="str">
            <v>TC</v>
          </cell>
          <cell r="X670" t="str">
            <v>P</v>
          </cell>
        </row>
        <row r="671">
          <cell r="B671">
            <v>3866</v>
          </cell>
          <cell r="C671" t="str">
            <v>04 Disjoncteurs 5500V</v>
          </cell>
          <cell r="I671" t="str">
            <v>CONSUL</v>
          </cell>
          <cell r="J671" t="str">
            <v>PLM</v>
          </cell>
          <cell r="K671" t="str">
            <v>DAM pour attribution</v>
          </cell>
          <cell r="L671">
            <v>390</v>
          </cell>
          <cell r="M671">
            <v>39351</v>
          </cell>
          <cell r="N671" t="str">
            <v>DAM-09/07</v>
          </cell>
          <cell r="O671">
            <v>2810</v>
          </cell>
          <cell r="S671" t="str">
            <v>RAOUIA</v>
          </cell>
          <cell r="T671" t="str">
            <v>R2</v>
          </cell>
          <cell r="U671" t="str">
            <v>ORD</v>
          </cell>
          <cell r="V671" t="str">
            <v>DN</v>
          </cell>
          <cell r="W671" t="str">
            <v>TC</v>
          </cell>
          <cell r="X671" t="str">
            <v>P</v>
          </cell>
        </row>
        <row r="672">
          <cell r="B672">
            <v>3866</v>
          </cell>
          <cell r="C672" t="str">
            <v>01 Moteur électrique 132 Kw</v>
          </cell>
          <cell r="I672" t="str">
            <v>CONSUL</v>
          </cell>
          <cell r="J672" t="str">
            <v>AD</v>
          </cell>
          <cell r="K672" t="str">
            <v>DAM pour attribution</v>
          </cell>
          <cell r="L672">
            <v>48</v>
          </cell>
          <cell r="M672">
            <v>39126</v>
          </cell>
          <cell r="N672" t="str">
            <v>DAM-03/07</v>
          </cell>
          <cell r="O672">
            <v>5057</v>
          </cell>
          <cell r="S672" t="str">
            <v>RAOUIA</v>
          </cell>
          <cell r="T672" t="str">
            <v>R2</v>
          </cell>
          <cell r="U672" t="str">
            <v>ORD</v>
          </cell>
          <cell r="V672" t="str">
            <v>DN</v>
          </cell>
          <cell r="W672" t="str">
            <v>TC</v>
          </cell>
          <cell r="X672" t="str">
            <v>P</v>
          </cell>
        </row>
        <row r="673">
          <cell r="B673">
            <v>3866</v>
          </cell>
          <cell r="C673" t="str">
            <v>01 Moteur électrique 200 Kw</v>
          </cell>
          <cell r="I673" t="str">
            <v>CONSUL</v>
          </cell>
          <cell r="J673" t="str">
            <v>PLM</v>
          </cell>
          <cell r="K673" t="str">
            <v>DAM pour attribution</v>
          </cell>
          <cell r="L673">
            <v>300</v>
          </cell>
          <cell r="M673">
            <v>39280</v>
          </cell>
          <cell r="N673" t="str">
            <v>DAM-08/07</v>
          </cell>
          <cell r="S673" t="str">
            <v>RAOUIA</v>
          </cell>
          <cell r="T673" t="str">
            <v>R2</v>
          </cell>
          <cell r="U673" t="str">
            <v>ORD</v>
          </cell>
          <cell r="V673" t="str">
            <v>DN</v>
          </cell>
          <cell r="W673" t="str">
            <v>TC</v>
          </cell>
          <cell r="X673" t="str">
            <v>P</v>
          </cell>
        </row>
        <row r="674">
          <cell r="B674">
            <v>3874</v>
          </cell>
          <cell r="C674" t="str">
            <v>COMPRESSEUR D'AIR COMPRIME</v>
          </cell>
          <cell r="D674">
            <v>700000</v>
          </cell>
          <cell r="E674">
            <v>700000</v>
          </cell>
          <cell r="F674">
            <v>0</v>
          </cell>
          <cell r="G674">
            <v>0</v>
          </cell>
          <cell r="I674" t="str">
            <v>CONSUL</v>
          </cell>
          <cell r="J674" t="str">
            <v>AD</v>
          </cell>
          <cell r="K674" t="str">
            <v>DAM pour attribution</v>
          </cell>
          <cell r="L674" t="str">
            <v>TC-124/07</v>
          </cell>
          <cell r="M674">
            <v>39266</v>
          </cell>
          <cell r="N674" t="str">
            <v>DAM-12/07</v>
          </cell>
          <cell r="O674">
            <v>2441</v>
          </cell>
          <cell r="S674" t="str">
            <v>RAOUIA</v>
          </cell>
          <cell r="T674" t="str">
            <v>R2</v>
          </cell>
          <cell r="U674" t="str">
            <v>ORD</v>
          </cell>
          <cell r="V674" t="str">
            <v>RN</v>
          </cell>
          <cell r="W674" t="str">
            <v>TC</v>
          </cell>
          <cell r="X674" t="str">
            <v>P</v>
          </cell>
        </row>
        <row r="675">
          <cell r="B675">
            <v>3875</v>
          </cell>
          <cell r="C675" t="str">
            <v>POMPE ET ENSEMBLE DE GRAISSAGE</v>
          </cell>
          <cell r="D675">
            <v>12500</v>
          </cell>
          <cell r="E675">
            <v>12500</v>
          </cell>
          <cell r="F675">
            <v>0</v>
          </cell>
          <cell r="G675">
            <v>0</v>
          </cell>
          <cell r="I675" t="str">
            <v>CONSUL</v>
          </cell>
          <cell r="J675" t="str">
            <v>AD</v>
          </cell>
          <cell r="K675" t="str">
            <v>DAM pour attribution</v>
          </cell>
          <cell r="L675" t="str">
            <v>TC-123/07</v>
          </cell>
          <cell r="M675">
            <v>39266</v>
          </cell>
          <cell r="N675" t="str">
            <v>DAM-01-26/07</v>
          </cell>
          <cell r="O675" t="str">
            <v>5123 - 5124</v>
          </cell>
          <cell r="S675" t="str">
            <v>RAOUIA</v>
          </cell>
          <cell r="T675" t="str">
            <v>R2</v>
          </cell>
          <cell r="U675" t="str">
            <v>ORD</v>
          </cell>
          <cell r="V675" t="str">
            <v>DN</v>
          </cell>
          <cell r="W675" t="str">
            <v>TC</v>
          </cell>
          <cell r="X675" t="str">
            <v>P</v>
          </cell>
        </row>
        <row r="676">
          <cell r="B676">
            <v>3881</v>
          </cell>
          <cell r="C676" t="str">
            <v>Renouvellement d'un moteur électrique 190 KW</v>
          </cell>
          <cell r="D676">
            <v>300000</v>
          </cell>
          <cell r="E676">
            <v>300000</v>
          </cell>
          <cell r="F676">
            <v>0</v>
          </cell>
          <cell r="G676">
            <v>0</v>
          </cell>
          <cell r="I676" t="str">
            <v>CONSUL</v>
          </cell>
          <cell r="J676" t="str">
            <v>AD</v>
          </cell>
          <cell r="K676" t="str">
            <v>DAM pour attribution</v>
          </cell>
          <cell r="L676">
            <v>62</v>
          </cell>
          <cell r="M676">
            <v>39129</v>
          </cell>
          <cell r="N676" t="str">
            <v>DAM-7012</v>
          </cell>
          <cell r="O676">
            <v>5100</v>
          </cell>
          <cell r="S676" t="str">
            <v>DRIBA</v>
          </cell>
          <cell r="T676" t="str">
            <v>R2</v>
          </cell>
          <cell r="U676" t="str">
            <v>ORD</v>
          </cell>
          <cell r="V676" t="str">
            <v>RN</v>
          </cell>
          <cell r="W676" t="str">
            <v>P</v>
          </cell>
          <cell r="X676" t="str">
            <v>P</v>
          </cell>
        </row>
        <row r="677">
          <cell r="B677">
            <v>3883</v>
          </cell>
          <cell r="C677" t="str">
            <v>Achat de moteurs électriques pour MEA</v>
          </cell>
          <cell r="D677">
            <v>1650000</v>
          </cell>
          <cell r="E677">
            <v>1650000</v>
          </cell>
          <cell r="F677">
            <v>0</v>
          </cell>
          <cell r="G677">
            <v>0</v>
          </cell>
          <cell r="S677" t="str">
            <v>BOUTABBA</v>
          </cell>
          <cell r="T677" t="str">
            <v>R3</v>
          </cell>
          <cell r="U677" t="str">
            <v>ORD</v>
          </cell>
          <cell r="V677" t="str">
            <v>DN</v>
          </cell>
          <cell r="W677" t="str">
            <v>P</v>
          </cell>
          <cell r="X677" t="str">
            <v>P</v>
          </cell>
        </row>
        <row r="678">
          <cell r="B678">
            <v>3883</v>
          </cell>
          <cell r="C678" t="str">
            <v xml:space="preserve">12 Moteurs électriques 2 (HP), 1 (110 Kw), 2 (90 Kw), 2 (55 Kw), 1(20 Kw) ,1 (75 Kw) ,1 (30 Kw) ,2 (1,5 Kw) </v>
          </cell>
          <cell r="I678" t="str">
            <v>CONSUL</v>
          </cell>
          <cell r="J678" t="str">
            <v>AD</v>
          </cell>
          <cell r="K678" t="str">
            <v>DAM pour attribution</v>
          </cell>
          <cell r="L678">
            <v>63</v>
          </cell>
          <cell r="M678">
            <v>39129</v>
          </cell>
          <cell r="N678" t="str">
            <v>DAM-7014</v>
          </cell>
          <cell r="O678">
            <v>5154</v>
          </cell>
          <cell r="S678" t="str">
            <v>BOUTABBA</v>
          </cell>
          <cell r="T678" t="str">
            <v>R3</v>
          </cell>
          <cell r="U678" t="str">
            <v>ORD</v>
          </cell>
          <cell r="V678" t="str">
            <v>DN</v>
          </cell>
          <cell r="W678" t="str">
            <v>P</v>
          </cell>
          <cell r="X678" t="str">
            <v>P</v>
          </cell>
        </row>
        <row r="679">
          <cell r="B679">
            <v>3895</v>
          </cell>
          <cell r="C679" t="str">
            <v>Achat de matériels électriques</v>
          </cell>
          <cell r="D679">
            <v>535000</v>
          </cell>
          <cell r="E679">
            <v>535000</v>
          </cell>
          <cell r="F679">
            <v>0</v>
          </cell>
          <cell r="G679">
            <v>0</v>
          </cell>
          <cell r="S679" t="str">
            <v>EL BOUCHRIFI</v>
          </cell>
          <cell r="T679" t="str">
            <v>R4</v>
          </cell>
          <cell r="U679" t="str">
            <v>ORD</v>
          </cell>
          <cell r="V679" t="str">
            <v>DN</v>
          </cell>
          <cell r="W679" t="str">
            <v>P</v>
          </cell>
          <cell r="X679" t="str">
            <v>P</v>
          </cell>
        </row>
        <row r="680">
          <cell r="B680">
            <v>3895</v>
          </cell>
          <cell r="C680" t="str">
            <v xml:space="preserve">05 Moteurs ( 2(50HP), 2(15HP), 1(25HP)) </v>
          </cell>
          <cell r="I680" t="str">
            <v>CONSUL</v>
          </cell>
          <cell r="J680" t="str">
            <v>AD</v>
          </cell>
          <cell r="K680" t="str">
            <v>DAM pour attribution</v>
          </cell>
          <cell r="L680">
            <v>64</v>
          </cell>
          <cell r="M680">
            <v>39129</v>
          </cell>
          <cell r="N680" t="str">
            <v>DAM-7015</v>
          </cell>
          <cell r="O680">
            <v>5158</v>
          </cell>
          <cell r="S680" t="str">
            <v>EL BOUCHRIFI</v>
          </cell>
          <cell r="T680" t="str">
            <v>R4</v>
          </cell>
          <cell r="U680" t="str">
            <v>ORD</v>
          </cell>
          <cell r="V680" t="str">
            <v>DN</v>
          </cell>
          <cell r="W680" t="str">
            <v>P</v>
          </cell>
          <cell r="X680" t="str">
            <v>P</v>
          </cell>
        </row>
        <row r="681">
          <cell r="B681">
            <v>3895</v>
          </cell>
          <cell r="C681" t="str">
            <v>01 Transformateur 250KVA-MT et 01 Transformateur 150KVA-MT</v>
          </cell>
          <cell r="I681" t="str">
            <v>CONSUL</v>
          </cell>
          <cell r="J681" t="str">
            <v>AD</v>
          </cell>
          <cell r="K681" t="str">
            <v>DAM pour attribution</v>
          </cell>
          <cell r="L681">
            <v>65</v>
          </cell>
          <cell r="M681">
            <v>39129</v>
          </cell>
          <cell r="N681" t="str">
            <v>DAM-7024</v>
          </cell>
          <cell r="O681">
            <v>5159</v>
          </cell>
          <cell r="S681" t="str">
            <v>EL BOUCHRIFI</v>
          </cell>
          <cell r="T681" t="str">
            <v>R4</v>
          </cell>
          <cell r="U681" t="str">
            <v>ORD</v>
          </cell>
          <cell r="V681" t="str">
            <v>DN</v>
          </cell>
          <cell r="W681" t="str">
            <v>P</v>
          </cell>
          <cell r="X681" t="str">
            <v>P</v>
          </cell>
        </row>
        <row r="682">
          <cell r="B682">
            <v>3896</v>
          </cell>
          <cell r="C682" t="str">
            <v>Achat d'outillage d'atelier</v>
          </cell>
          <cell r="D682">
            <v>68500</v>
          </cell>
          <cell r="E682">
            <v>68500</v>
          </cell>
          <cell r="F682">
            <v>0</v>
          </cell>
          <cell r="G682">
            <v>0</v>
          </cell>
          <cell r="I682" t="str">
            <v>CONSUL</v>
          </cell>
          <cell r="J682" t="str">
            <v>AD</v>
          </cell>
          <cell r="K682" t="str">
            <v>DAM pour attribution</v>
          </cell>
          <cell r="L682">
            <v>189</v>
          </cell>
          <cell r="M682">
            <v>39171</v>
          </cell>
          <cell r="N682" t="str">
            <v>DAM-7045/07</v>
          </cell>
          <cell r="O682">
            <v>5973</v>
          </cell>
          <cell r="S682" t="str">
            <v>BOUTABBA</v>
          </cell>
          <cell r="T682" t="str">
            <v>R3</v>
          </cell>
          <cell r="U682" t="str">
            <v>ORD</v>
          </cell>
          <cell r="V682" t="str">
            <v>DN</v>
          </cell>
          <cell r="W682" t="str">
            <v>P</v>
          </cell>
          <cell r="X682" t="str">
            <v>P</v>
          </cell>
        </row>
        <row r="683">
          <cell r="B683">
            <v>3896</v>
          </cell>
          <cell r="C683" t="str">
            <v>15 Multimétres digitaus et 01 enregistreurs DATA Q</v>
          </cell>
          <cell r="I683" t="str">
            <v>CONSUL</v>
          </cell>
          <cell r="J683" t="str">
            <v>AD</v>
          </cell>
          <cell r="K683" t="str">
            <v>DAM pour attribution</v>
          </cell>
          <cell r="L683">
            <v>72</v>
          </cell>
          <cell r="M683">
            <v>39133</v>
          </cell>
          <cell r="N683" t="str">
            <v>DAM-7025/07</v>
          </cell>
          <cell r="O683">
            <v>5285</v>
          </cell>
          <cell r="S683" t="str">
            <v>BOUTABBA</v>
          </cell>
          <cell r="T683" t="str">
            <v>R3</v>
          </cell>
          <cell r="U683" t="str">
            <v>ORD</v>
          </cell>
          <cell r="V683" t="str">
            <v>DN</v>
          </cell>
          <cell r="W683" t="str">
            <v>P</v>
          </cell>
          <cell r="X683" t="str">
            <v>P</v>
          </cell>
        </row>
        <row r="684">
          <cell r="B684">
            <v>3900</v>
          </cell>
          <cell r="C684" t="str">
            <v>Etude, fourniture et installation d'un palan électrique 8 tonnes et pont roulant à l'atelier électrique MEA</v>
          </cell>
          <cell r="D684">
            <v>0</v>
          </cell>
          <cell r="E684">
            <v>500000</v>
          </cell>
          <cell r="F684">
            <v>0</v>
          </cell>
          <cell r="G684">
            <v>0</v>
          </cell>
          <cell r="I684" t="str">
            <v>CONSUL</v>
          </cell>
          <cell r="J684" t="str">
            <v>AD</v>
          </cell>
          <cell r="K684" t="str">
            <v>DAM pour attribution</v>
          </cell>
          <cell r="L684">
            <v>251</v>
          </cell>
          <cell r="M684">
            <v>39195</v>
          </cell>
          <cell r="N684" t="str">
            <v>DAM-3132/07</v>
          </cell>
          <cell r="O684">
            <v>5285</v>
          </cell>
          <cell r="S684" t="str">
            <v>BOUTABBA</v>
          </cell>
          <cell r="T684" t="str">
            <v>R2</v>
          </cell>
          <cell r="U684" t="str">
            <v>ORD</v>
          </cell>
          <cell r="V684" t="str">
            <v>DN</v>
          </cell>
          <cell r="W684" t="str">
            <v>P</v>
          </cell>
          <cell r="X684" t="str">
            <v>P</v>
          </cell>
        </row>
        <row r="685">
          <cell r="B685">
            <v>3901</v>
          </cell>
          <cell r="C685" t="str">
            <v>Achat d'outillages pour les ateliers</v>
          </cell>
          <cell r="D685">
            <v>385000</v>
          </cell>
          <cell r="E685">
            <v>385000</v>
          </cell>
          <cell r="F685">
            <v>0</v>
          </cell>
          <cell r="G685">
            <v>0</v>
          </cell>
          <cell r="S685" t="str">
            <v>MAHSOUN</v>
          </cell>
          <cell r="T685" t="str">
            <v>R3</v>
          </cell>
          <cell r="U685" t="str">
            <v>ORD</v>
          </cell>
          <cell r="V685" t="str">
            <v>DN</v>
          </cell>
          <cell r="W685" t="str">
            <v>P</v>
          </cell>
          <cell r="X685" t="str">
            <v>P</v>
          </cell>
        </row>
        <row r="686">
          <cell r="B686">
            <v>3901</v>
          </cell>
          <cell r="C686" t="str">
            <v>01 Cric hydraulique</v>
          </cell>
          <cell r="I686" t="str">
            <v>CONSUL</v>
          </cell>
          <cell r="J686" t="str">
            <v>AD</v>
          </cell>
          <cell r="K686" t="str">
            <v>DAM pour attribution</v>
          </cell>
          <cell r="L686">
            <v>30</v>
          </cell>
          <cell r="M686">
            <v>39115</v>
          </cell>
          <cell r="N686" t="str">
            <v>DAM-7029</v>
          </cell>
          <cell r="S686" t="str">
            <v>MAHSOUN</v>
          </cell>
          <cell r="T686" t="str">
            <v>R3</v>
          </cell>
          <cell r="U686" t="str">
            <v>ORD</v>
          </cell>
          <cell r="V686" t="str">
            <v>DN</v>
          </cell>
          <cell r="W686" t="str">
            <v>P</v>
          </cell>
          <cell r="X686" t="str">
            <v>P</v>
          </cell>
        </row>
        <row r="687">
          <cell r="B687">
            <v>3901</v>
          </cell>
          <cell r="C687" t="str">
            <v>Filière à cliquet 1/4" à 2", étau de plombier et clés à choc 3/4"</v>
          </cell>
          <cell r="I687" t="str">
            <v>CONSUL</v>
          </cell>
          <cell r="J687" t="str">
            <v>AD</v>
          </cell>
          <cell r="K687" t="str">
            <v>DAM pour attribution</v>
          </cell>
          <cell r="L687">
            <v>56</v>
          </cell>
          <cell r="M687">
            <v>39129</v>
          </cell>
          <cell r="N687" t="str">
            <v>DAM-7016</v>
          </cell>
          <cell r="O687">
            <v>5146</v>
          </cell>
          <cell r="S687" t="str">
            <v>MAHSOUN</v>
          </cell>
          <cell r="T687" t="str">
            <v>R3</v>
          </cell>
          <cell r="U687" t="str">
            <v>ORD</v>
          </cell>
          <cell r="V687" t="str">
            <v>DN</v>
          </cell>
          <cell r="W687" t="str">
            <v>P</v>
          </cell>
          <cell r="X687" t="str">
            <v>P</v>
          </cell>
        </row>
        <row r="688">
          <cell r="B688">
            <v>3901</v>
          </cell>
          <cell r="C688" t="str">
            <v>1 Treuil électrique 8T et 2 palans à câble LM 500Kg</v>
          </cell>
          <cell r="I688" t="str">
            <v>CONSUL</v>
          </cell>
          <cell r="J688" t="str">
            <v>AD</v>
          </cell>
          <cell r="K688" t="str">
            <v>DAM pour attribution</v>
          </cell>
          <cell r="L688">
            <v>430</v>
          </cell>
          <cell r="M688">
            <v>39274</v>
          </cell>
          <cell r="N688" t="str">
            <v>DAM-7046</v>
          </cell>
          <cell r="O688">
            <v>7390</v>
          </cell>
          <cell r="S688" t="str">
            <v>MAHSOUN</v>
          </cell>
          <cell r="T688" t="str">
            <v>R3</v>
          </cell>
          <cell r="U688" t="str">
            <v>ORD</v>
          </cell>
          <cell r="V688" t="str">
            <v>DN</v>
          </cell>
          <cell r="W688" t="str">
            <v>P</v>
          </cell>
          <cell r="X688" t="str">
            <v>P</v>
          </cell>
        </row>
        <row r="689">
          <cell r="B689">
            <v>3902</v>
          </cell>
          <cell r="C689" t="str">
            <v>Achat de 04 machines thermiques de lavage à eau chaude</v>
          </cell>
          <cell r="D689">
            <v>0</v>
          </cell>
          <cell r="E689">
            <v>600000</v>
          </cell>
          <cell r="F689">
            <v>0</v>
          </cell>
          <cell r="G689">
            <v>0</v>
          </cell>
          <cell r="I689" t="str">
            <v>CONSUL</v>
          </cell>
          <cell r="J689" t="str">
            <v>PLM</v>
          </cell>
          <cell r="K689" t="str">
            <v>DAM pour attribution (Approbation PMK)</v>
          </cell>
          <cell r="L689">
            <v>247</v>
          </cell>
          <cell r="M689">
            <v>39244</v>
          </cell>
          <cell r="N689" t="str">
            <v>DAM-7026/07</v>
          </cell>
          <cell r="O689">
            <v>1915</v>
          </cell>
          <cell r="S689" t="str">
            <v>EL BOUCHRIFI</v>
          </cell>
          <cell r="T689" t="str">
            <v>R4</v>
          </cell>
          <cell r="U689" t="str">
            <v>ORD</v>
          </cell>
          <cell r="V689" t="str">
            <v>DN</v>
          </cell>
          <cell r="W689" t="str">
            <v>P</v>
          </cell>
          <cell r="X689" t="str">
            <v>P</v>
          </cell>
        </row>
        <row r="690">
          <cell r="B690">
            <v>3911</v>
          </cell>
          <cell r="C690" t="str">
            <v xml:space="preserve"> Achat d'un Nacelle tout terrain automotrice</v>
          </cell>
          <cell r="D690">
            <v>0</v>
          </cell>
          <cell r="E690">
            <v>800000</v>
          </cell>
          <cell r="F690">
            <v>0</v>
          </cell>
          <cell r="G690">
            <v>0</v>
          </cell>
          <cell r="I690" t="str">
            <v>CONSUL</v>
          </cell>
          <cell r="J690" t="str">
            <v>PLM</v>
          </cell>
          <cell r="K690" t="str">
            <v>DAM pour attribution (Approbation PMK)</v>
          </cell>
          <cell r="L690">
            <v>247</v>
          </cell>
          <cell r="M690">
            <v>39244</v>
          </cell>
          <cell r="N690" t="str">
            <v>DAM-7047/07</v>
          </cell>
          <cell r="S690" t="str">
            <v>HALMI</v>
          </cell>
          <cell r="T690" t="str">
            <v>R2</v>
          </cell>
          <cell r="U690" t="str">
            <v>ORD</v>
          </cell>
          <cell r="V690" t="str">
            <v>DN</v>
          </cell>
          <cell r="W690" t="str">
            <v>P</v>
          </cell>
          <cell r="X690" t="str">
            <v>P</v>
          </cell>
        </row>
        <row r="691">
          <cell r="B691">
            <v>3912</v>
          </cell>
          <cell r="C691" t="str">
            <v>Achat d'une barre d'alésage</v>
          </cell>
          <cell r="D691">
            <v>0</v>
          </cell>
          <cell r="E691">
            <v>300000</v>
          </cell>
          <cell r="F691">
            <v>0</v>
          </cell>
          <cell r="G691">
            <v>0</v>
          </cell>
          <cell r="S691" t="str">
            <v>SABRI</v>
          </cell>
          <cell r="T691" t="str">
            <v>R2</v>
          </cell>
          <cell r="U691" t="str">
            <v>ORD</v>
          </cell>
          <cell r="V691" t="str">
            <v>DN</v>
          </cell>
          <cell r="W691" t="str">
            <v>P</v>
          </cell>
          <cell r="X691" t="str">
            <v>P</v>
          </cell>
        </row>
        <row r="692">
          <cell r="B692">
            <v>3915</v>
          </cell>
          <cell r="C692" t="str">
            <v>Achat d'un appareil DATA SHOW et Télecopieurs</v>
          </cell>
          <cell r="D692">
            <v>320000</v>
          </cell>
          <cell r="E692">
            <v>320000</v>
          </cell>
          <cell r="F692">
            <v>0</v>
          </cell>
          <cell r="G692">
            <v>0</v>
          </cell>
          <cell r="I692" t="str">
            <v>CONSUL</v>
          </cell>
          <cell r="J692" t="str">
            <v>AD</v>
          </cell>
          <cell r="K692" t="str">
            <v>DAM pour attribution</v>
          </cell>
          <cell r="L692">
            <v>359</v>
          </cell>
          <cell r="M692">
            <v>39230</v>
          </cell>
          <cell r="N692" t="str">
            <v>DAM-7068/07</v>
          </cell>
          <cell r="O692">
            <v>6814</v>
          </cell>
          <cell r="S692" t="str">
            <v>CHARKI</v>
          </cell>
          <cell r="T692" t="str">
            <v>R6</v>
          </cell>
          <cell r="U692" t="str">
            <v>ADM</v>
          </cell>
          <cell r="V692" t="str">
            <v>DN</v>
          </cell>
          <cell r="W692" t="str">
            <v>P</v>
          </cell>
          <cell r="X692" t="str">
            <v>P</v>
          </cell>
        </row>
        <row r="693">
          <cell r="B693">
            <v>3916</v>
          </cell>
          <cell r="C693" t="str">
            <v>Achat de 3 inhalateurs d'oxygène</v>
          </cell>
          <cell r="D693">
            <v>45000</v>
          </cell>
          <cell r="E693">
            <v>45000</v>
          </cell>
          <cell r="F693">
            <v>0</v>
          </cell>
          <cell r="G693">
            <v>0</v>
          </cell>
          <cell r="I693" t="str">
            <v>CONSUL</v>
          </cell>
          <cell r="J693" t="str">
            <v>AD</v>
          </cell>
          <cell r="K693" t="str">
            <v>DAM pour attribution</v>
          </cell>
          <cell r="L693">
            <v>189</v>
          </cell>
          <cell r="M693">
            <v>39171</v>
          </cell>
          <cell r="N693" t="str">
            <v>DAM-7048/07</v>
          </cell>
          <cell r="O693">
            <v>6006</v>
          </cell>
          <cell r="S693" t="str">
            <v>SAAD</v>
          </cell>
          <cell r="T693" t="str">
            <v>R7</v>
          </cell>
          <cell r="U693" t="str">
            <v>ORD</v>
          </cell>
          <cell r="V693" t="str">
            <v>DN</v>
          </cell>
          <cell r="W693" t="str">
            <v>P</v>
          </cell>
          <cell r="X693" t="str">
            <v>P</v>
          </cell>
        </row>
        <row r="694">
          <cell r="B694">
            <v>3917</v>
          </cell>
          <cell r="C694" t="str">
            <v>Achat d'outillage pour les ateliers de maintenance PMK/PC</v>
          </cell>
          <cell r="D694">
            <v>0</v>
          </cell>
          <cell r="E694">
            <v>728100</v>
          </cell>
          <cell r="F694">
            <v>0</v>
          </cell>
          <cell r="G694">
            <v>0</v>
          </cell>
          <cell r="S694" t="str">
            <v>EL BOUCHRIFI</v>
          </cell>
          <cell r="T694" t="str">
            <v>R4</v>
          </cell>
          <cell r="U694" t="str">
            <v>ORD</v>
          </cell>
          <cell r="V694" t="str">
            <v>DN</v>
          </cell>
          <cell r="W694" t="str">
            <v>P</v>
          </cell>
          <cell r="X694" t="str">
            <v>P</v>
          </cell>
        </row>
        <row r="695">
          <cell r="B695">
            <v>3917</v>
          </cell>
          <cell r="C695" t="str">
            <v>12 Lampes rechargeables</v>
          </cell>
          <cell r="I695" t="str">
            <v>CONSUL</v>
          </cell>
          <cell r="J695" t="str">
            <v>AD</v>
          </cell>
          <cell r="K695" t="str">
            <v>DAM pour attribution</v>
          </cell>
          <cell r="L695">
            <v>75</v>
          </cell>
          <cell r="M695">
            <v>39133</v>
          </cell>
          <cell r="N695" t="str">
            <v>DAM-7027</v>
          </cell>
          <cell r="O695">
            <v>5279</v>
          </cell>
          <cell r="S695" t="str">
            <v>EL BOUCHRIFI</v>
          </cell>
          <cell r="T695" t="str">
            <v>R4</v>
          </cell>
          <cell r="U695" t="str">
            <v>ORD</v>
          </cell>
          <cell r="V695" t="str">
            <v>DN</v>
          </cell>
          <cell r="W695" t="str">
            <v>P</v>
          </cell>
          <cell r="X695" t="str">
            <v>P</v>
          </cell>
        </row>
        <row r="696">
          <cell r="B696">
            <v>3917</v>
          </cell>
          <cell r="C696" t="str">
            <v>08 Clés à choc et une meuleuse électriques à disque 230 mm</v>
          </cell>
          <cell r="I696" t="str">
            <v>CONSUL</v>
          </cell>
          <cell r="J696" t="str">
            <v>AD</v>
          </cell>
          <cell r="K696" t="str">
            <v>DAM pour attribution</v>
          </cell>
          <cell r="L696">
            <v>55</v>
          </cell>
          <cell r="M696">
            <v>39129</v>
          </cell>
          <cell r="N696" t="str">
            <v>DAM-7020</v>
          </cell>
          <cell r="O696">
            <v>5152</v>
          </cell>
          <cell r="S696" t="str">
            <v>EL BOUCHRIFI</v>
          </cell>
          <cell r="T696" t="str">
            <v>R4</v>
          </cell>
          <cell r="U696" t="str">
            <v>ORD</v>
          </cell>
          <cell r="V696" t="str">
            <v>DN</v>
          </cell>
          <cell r="W696" t="str">
            <v>P</v>
          </cell>
          <cell r="X696" t="str">
            <v>P</v>
          </cell>
        </row>
        <row r="697">
          <cell r="B697">
            <v>3917</v>
          </cell>
          <cell r="C697" t="str">
            <v>01 Extracteur hydraulique, 03 pistolets de peinture, 04 supresseurs d'huile</v>
          </cell>
          <cell r="I697" t="str">
            <v>CONSUL</v>
          </cell>
          <cell r="J697" t="str">
            <v>AD</v>
          </cell>
          <cell r="K697" t="str">
            <v>DAM pour attribution</v>
          </cell>
          <cell r="L697">
            <v>54</v>
          </cell>
          <cell r="M697">
            <v>39129</v>
          </cell>
          <cell r="N697" t="str">
            <v>DAM-7019</v>
          </cell>
          <cell r="O697">
            <v>5133</v>
          </cell>
          <cell r="S697" t="str">
            <v>EL BOUCHRIFI</v>
          </cell>
          <cell r="T697" t="str">
            <v>R4</v>
          </cell>
          <cell r="U697" t="str">
            <v>ORD</v>
          </cell>
          <cell r="V697" t="str">
            <v>DN</v>
          </cell>
          <cell r="W697" t="str">
            <v>P</v>
          </cell>
          <cell r="X697" t="str">
            <v>P</v>
          </cell>
        </row>
        <row r="698">
          <cell r="B698">
            <v>3917</v>
          </cell>
          <cell r="C698" t="str">
            <v>15 caisses d'outillage</v>
          </cell>
          <cell r="I698" t="str">
            <v>CONSUL</v>
          </cell>
          <cell r="J698" t="str">
            <v>AD</v>
          </cell>
          <cell r="K698" t="str">
            <v>DAM pour attribution</v>
          </cell>
          <cell r="L698">
            <v>53</v>
          </cell>
          <cell r="M698">
            <v>39129</v>
          </cell>
          <cell r="N698" t="str">
            <v>DAM-7018</v>
          </cell>
          <cell r="O698">
            <v>5149</v>
          </cell>
          <cell r="S698" t="str">
            <v>EL BOUCHRIFI</v>
          </cell>
          <cell r="T698" t="str">
            <v>R4</v>
          </cell>
          <cell r="U698" t="str">
            <v>ORD</v>
          </cell>
          <cell r="V698" t="str">
            <v>DN</v>
          </cell>
          <cell r="W698" t="str">
            <v>P</v>
          </cell>
          <cell r="X698" t="str">
            <v>P</v>
          </cell>
        </row>
        <row r="699">
          <cell r="B699">
            <v>3917</v>
          </cell>
          <cell r="C699" t="str">
            <v>02 Aspirateurs</v>
          </cell>
          <cell r="I699" t="str">
            <v>CONSUL</v>
          </cell>
          <cell r="J699" t="str">
            <v>AD</v>
          </cell>
          <cell r="K699" t="str">
            <v>DAM pour attribution</v>
          </cell>
          <cell r="L699">
            <v>432</v>
          </cell>
          <cell r="M699">
            <v>39276</v>
          </cell>
          <cell r="N699" t="str">
            <v>DAM-7016</v>
          </cell>
          <cell r="O699">
            <v>7495</v>
          </cell>
          <cell r="S699" t="str">
            <v>EL BOUCHRIFI</v>
          </cell>
          <cell r="T699" t="str">
            <v>R4</v>
          </cell>
          <cell r="U699" t="str">
            <v>ORD</v>
          </cell>
          <cell r="V699" t="str">
            <v>DN</v>
          </cell>
          <cell r="W699" t="str">
            <v>P</v>
          </cell>
          <cell r="X699" t="str">
            <v>P</v>
          </cell>
        </row>
        <row r="700">
          <cell r="B700">
            <v>3918</v>
          </cell>
          <cell r="C700" t="str">
            <v>Achat de postes de soudures</v>
          </cell>
          <cell r="D700">
            <v>1140000</v>
          </cell>
          <cell r="E700">
            <v>1140000</v>
          </cell>
          <cell r="F700">
            <v>0</v>
          </cell>
          <cell r="G700">
            <v>0</v>
          </cell>
          <cell r="S700" t="str">
            <v>EL BOUCHRIFI</v>
          </cell>
          <cell r="T700" t="str">
            <v>R4</v>
          </cell>
          <cell r="U700" t="str">
            <v>ORD</v>
          </cell>
          <cell r="V700" t="str">
            <v>DN</v>
          </cell>
          <cell r="W700" t="str">
            <v>P</v>
          </cell>
          <cell r="X700" t="str">
            <v>P</v>
          </cell>
        </row>
        <row r="701">
          <cell r="B701">
            <v>3918</v>
          </cell>
          <cell r="C701" t="str">
            <v>02 postes de soudure autonomes 500A</v>
          </cell>
          <cell r="H701">
            <v>348000</v>
          </cell>
          <cell r="I701" t="str">
            <v>ENG</v>
          </cell>
          <cell r="J701" t="str">
            <v>CP</v>
          </cell>
          <cell r="K701" t="str">
            <v>AE n° 3918_4 de 348 000,00 DH</v>
          </cell>
          <cell r="L701" t="str">
            <v>PFF-593</v>
          </cell>
          <cell r="M701">
            <v>39324</v>
          </cell>
          <cell r="N701" t="str">
            <v>DAM-7002</v>
          </cell>
          <cell r="O701">
            <v>4460</v>
          </cell>
          <cell r="S701" t="str">
            <v>EL BOUCHRIFI</v>
          </cell>
          <cell r="T701" t="str">
            <v>R4</v>
          </cell>
          <cell r="U701" t="str">
            <v>ORD</v>
          </cell>
          <cell r="V701" t="str">
            <v>DN</v>
          </cell>
          <cell r="W701" t="str">
            <v>P</v>
          </cell>
          <cell r="X701" t="str">
            <v>P</v>
          </cell>
        </row>
        <row r="702">
          <cell r="B702">
            <v>3918</v>
          </cell>
          <cell r="C702" t="str">
            <v>02 postes de soudure statiques 500A et 01 poste de soudure portatif</v>
          </cell>
          <cell r="H702">
            <v>49836</v>
          </cell>
          <cell r="I702" t="str">
            <v>ENG</v>
          </cell>
          <cell r="J702" t="str">
            <v>CP</v>
          </cell>
          <cell r="K702" t="str">
            <v>AE n° 3918_2 de 3780,00 DH et AE n° 3918_3 de 46056,00 DH</v>
          </cell>
          <cell r="L702" t="str">
            <v>299
433</v>
          </cell>
          <cell r="M702">
            <v>39279</v>
          </cell>
          <cell r="N702" t="str">
            <v>DAM-7001</v>
          </cell>
          <cell r="O702">
            <v>4469</v>
          </cell>
          <cell r="S702" t="str">
            <v>EL BOUCHRIFI</v>
          </cell>
          <cell r="T702" t="str">
            <v>R4</v>
          </cell>
          <cell r="U702" t="str">
            <v>ORD</v>
          </cell>
          <cell r="V702" t="str">
            <v>DN</v>
          </cell>
          <cell r="W702" t="str">
            <v>P</v>
          </cell>
          <cell r="X702" t="str">
            <v>P</v>
          </cell>
        </row>
        <row r="703">
          <cell r="B703">
            <v>3918</v>
          </cell>
          <cell r="C703" t="str">
            <v>06 postes de soudure statiques 630A</v>
          </cell>
          <cell r="H703">
            <v>252432</v>
          </cell>
          <cell r="I703" t="str">
            <v>ENG</v>
          </cell>
          <cell r="J703" t="str">
            <v>CP</v>
          </cell>
          <cell r="K703" t="str">
            <v>AE n° 3918_1 de 252 432,00 DH</v>
          </cell>
          <cell r="L703" t="str">
            <v>PFF 528</v>
          </cell>
          <cell r="M703">
            <v>39274</v>
          </cell>
          <cell r="N703" t="str">
            <v>DAM-7003</v>
          </cell>
          <cell r="O703">
            <v>4468</v>
          </cell>
          <cell r="Q703">
            <v>252432</v>
          </cell>
          <cell r="R703" t="str">
            <v>AL 07 du 06/09/2007</v>
          </cell>
          <cell r="S703" t="str">
            <v>EL BOUCHRIFI</v>
          </cell>
          <cell r="T703" t="str">
            <v>R4</v>
          </cell>
          <cell r="U703" t="str">
            <v>ORD</v>
          </cell>
          <cell r="V703" t="str">
            <v>DN</v>
          </cell>
          <cell r="W703" t="str">
            <v>P</v>
          </cell>
          <cell r="X703" t="str">
            <v>P</v>
          </cell>
        </row>
        <row r="704">
          <cell r="B704">
            <v>3929</v>
          </cell>
          <cell r="C704" t="str">
            <v>Renouvellement de 7 bulls D9</v>
          </cell>
          <cell r="D704">
            <v>0</v>
          </cell>
          <cell r="E704">
            <v>0</v>
          </cell>
          <cell r="F704">
            <v>30000000</v>
          </cell>
          <cell r="G704">
            <v>0</v>
          </cell>
          <cell r="I704" t="str">
            <v>AVIS</v>
          </cell>
          <cell r="J704" t="str">
            <v>DAC/TM</v>
          </cell>
          <cell r="K704" t="str">
            <v>Attente avis DAC en vue d'etablir la DAL</v>
          </cell>
          <cell r="S704" t="str">
            <v>RAMZI</v>
          </cell>
          <cell r="T704" t="str">
            <v>R2</v>
          </cell>
          <cell r="U704" t="str">
            <v>ORD</v>
          </cell>
          <cell r="V704" t="str">
            <v>RN</v>
          </cell>
          <cell r="W704" t="str">
            <v>P</v>
          </cell>
          <cell r="X704" t="str">
            <v>P</v>
          </cell>
        </row>
        <row r="705">
          <cell r="B705">
            <v>3940</v>
          </cell>
          <cell r="C705" t="str">
            <v>Renouvellement d'une cintreuse de tôles</v>
          </cell>
          <cell r="D705">
            <v>0</v>
          </cell>
          <cell r="E705">
            <v>800000</v>
          </cell>
          <cell r="F705">
            <v>0</v>
          </cell>
          <cell r="G705">
            <v>0</v>
          </cell>
          <cell r="S705" t="str">
            <v>BOUZZIT</v>
          </cell>
          <cell r="T705" t="str">
            <v>R3</v>
          </cell>
          <cell r="U705" t="str">
            <v>ORD</v>
          </cell>
          <cell r="V705" t="str">
            <v>RN</v>
          </cell>
          <cell r="W705" t="str">
            <v>L</v>
          </cell>
          <cell r="X705" t="str">
            <v>P</v>
          </cell>
        </row>
        <row r="706">
          <cell r="B706">
            <v>3949</v>
          </cell>
          <cell r="C706" t="str">
            <v>ACHAT MATERIEL LABORATOIRES DES LUBRIFIANTS</v>
          </cell>
          <cell r="D706">
            <v>0</v>
          </cell>
          <cell r="E706">
            <v>250000</v>
          </cell>
          <cell r="F706">
            <v>0</v>
          </cell>
          <cell r="G706">
            <v>0</v>
          </cell>
          <cell r="S706" t="str">
            <v>BENZAKI</v>
          </cell>
          <cell r="T706" t="str">
            <v>R3</v>
          </cell>
          <cell r="U706" t="str">
            <v>ORD</v>
          </cell>
          <cell r="V706" t="str">
            <v>RN</v>
          </cell>
          <cell r="W706" t="str">
            <v>L</v>
          </cell>
          <cell r="X706" t="str">
            <v>P</v>
          </cell>
        </row>
        <row r="707">
          <cell r="B707">
            <v>3949</v>
          </cell>
          <cell r="C707" t="str">
            <v>01 Appareil de corrosion à la lame de cuivre</v>
          </cell>
          <cell r="I707" t="str">
            <v>CONSUL</v>
          </cell>
          <cell r="J707" t="str">
            <v>AD</v>
          </cell>
          <cell r="K707" t="str">
            <v>DAM pour attribution</v>
          </cell>
          <cell r="L707">
            <v>68</v>
          </cell>
          <cell r="M707">
            <v>39129</v>
          </cell>
          <cell r="N707" t="str">
            <v>DAM-01/07</v>
          </cell>
          <cell r="O707">
            <v>5253</v>
          </cell>
          <cell r="S707" t="str">
            <v>BENZAKI</v>
          </cell>
          <cell r="T707" t="str">
            <v>R3</v>
          </cell>
          <cell r="U707" t="str">
            <v>ORD</v>
          </cell>
          <cell r="V707" t="str">
            <v>RN</v>
          </cell>
          <cell r="W707" t="str">
            <v>L</v>
          </cell>
          <cell r="X707" t="str">
            <v>P</v>
          </cell>
        </row>
        <row r="708">
          <cell r="B708">
            <v>3949</v>
          </cell>
          <cell r="C708" t="str">
            <v xml:space="preserve">02 Appareils de point éclaire en vase ouvert </v>
          </cell>
          <cell r="I708" t="str">
            <v>CONSUL</v>
          </cell>
          <cell r="J708" t="str">
            <v>AD</v>
          </cell>
          <cell r="K708" t="str">
            <v>DAM pour attribution</v>
          </cell>
          <cell r="L708">
            <v>69</v>
          </cell>
          <cell r="M708">
            <v>39129</v>
          </cell>
          <cell r="N708" t="str">
            <v>DAM-03/07</v>
          </cell>
          <cell r="O708">
            <v>5259</v>
          </cell>
          <cell r="S708" t="str">
            <v>BENZAKI</v>
          </cell>
          <cell r="T708" t="str">
            <v>R3</v>
          </cell>
          <cell r="U708" t="str">
            <v>ORD</v>
          </cell>
          <cell r="V708" t="str">
            <v>RN</v>
          </cell>
          <cell r="W708" t="str">
            <v>L</v>
          </cell>
          <cell r="X708" t="str">
            <v>P</v>
          </cell>
        </row>
        <row r="709">
          <cell r="B709">
            <v>3952</v>
          </cell>
          <cell r="C709" t="str">
            <v>ACQUISITION D'EQUIPEMENTS D'ATELIERS ET D'OUTILLAGES</v>
          </cell>
          <cell r="D709">
            <v>0</v>
          </cell>
          <cell r="E709">
            <v>2400000</v>
          </cell>
          <cell r="F709">
            <v>0</v>
          </cell>
          <cell r="G709">
            <v>0</v>
          </cell>
          <cell r="S709" t="str">
            <v>MAGHRANI</v>
          </cell>
          <cell r="T709" t="str">
            <v>R2</v>
          </cell>
          <cell r="U709" t="str">
            <v>ORD</v>
          </cell>
          <cell r="V709" t="str">
            <v>DN</v>
          </cell>
          <cell r="W709" t="str">
            <v>L</v>
          </cell>
          <cell r="X709" t="str">
            <v>P</v>
          </cell>
        </row>
        <row r="710">
          <cell r="B710">
            <v>3952</v>
          </cell>
          <cell r="C710" t="str">
            <v>Renouvellement d'une machine de lavage haute pression à eau froid, chaud et vapeur</v>
          </cell>
          <cell r="I710" t="str">
            <v>CONSUL</v>
          </cell>
          <cell r="J710" t="str">
            <v>AD</v>
          </cell>
          <cell r="K710" t="str">
            <v>DAM pour attribution</v>
          </cell>
          <cell r="L710">
            <v>222</v>
          </cell>
          <cell r="M710">
            <v>39185</v>
          </cell>
          <cell r="N710" t="str">
            <v>DAM-13/07</v>
          </cell>
          <cell r="O710">
            <v>6321</v>
          </cell>
          <cell r="S710" t="str">
            <v>MAGHRANI</v>
          </cell>
          <cell r="T710" t="str">
            <v>R2</v>
          </cell>
          <cell r="U710" t="str">
            <v>ORD</v>
          </cell>
          <cell r="V710" t="str">
            <v>DN</v>
          </cell>
          <cell r="W710" t="str">
            <v>L</v>
          </cell>
          <cell r="X710" t="str">
            <v>P</v>
          </cell>
        </row>
        <row r="711">
          <cell r="B711">
            <v>3952</v>
          </cell>
          <cell r="C711" t="str">
            <v>01 pont roulant et palan de 10 T</v>
          </cell>
          <cell r="I711" t="str">
            <v>CONSUL</v>
          </cell>
          <cell r="J711" t="str">
            <v>PFM/AC</v>
          </cell>
          <cell r="K711" t="str">
            <v>DAM pour consultation</v>
          </cell>
          <cell r="L711">
            <v>133</v>
          </cell>
          <cell r="M711">
            <v>39160</v>
          </cell>
          <cell r="N711" t="str">
            <v>DAM-04/07</v>
          </cell>
          <cell r="O711">
            <v>1894</v>
          </cell>
          <cell r="S711" t="str">
            <v>MAGHRANI</v>
          </cell>
          <cell r="T711" t="str">
            <v>R2</v>
          </cell>
          <cell r="U711" t="str">
            <v>ORD</v>
          </cell>
          <cell r="V711" t="str">
            <v>DN</v>
          </cell>
          <cell r="W711" t="str">
            <v>L</v>
          </cell>
          <cell r="X711" t="str">
            <v>P</v>
          </cell>
        </row>
        <row r="712">
          <cell r="B712">
            <v>3952</v>
          </cell>
          <cell r="C712" t="str">
            <v>Outillages collectives</v>
          </cell>
          <cell r="I712" t="str">
            <v>CONSUL</v>
          </cell>
          <cell r="J712" t="str">
            <v>PFM/AC</v>
          </cell>
          <cell r="K712" t="str">
            <v>DAM pour consultation</v>
          </cell>
          <cell r="L712">
            <v>176</v>
          </cell>
          <cell r="M712">
            <v>39160</v>
          </cell>
          <cell r="N712" t="str">
            <v>DAM-5-6-7-8-9-10/7</v>
          </cell>
          <cell r="O712">
            <v>1894</v>
          </cell>
          <cell r="S712" t="str">
            <v>MAGHRANI</v>
          </cell>
          <cell r="T712" t="str">
            <v>R2</v>
          </cell>
          <cell r="U712" t="str">
            <v>ORD</v>
          </cell>
          <cell r="V712" t="str">
            <v>DN</v>
          </cell>
          <cell r="W712" t="str">
            <v>L</v>
          </cell>
          <cell r="X712" t="str">
            <v>P</v>
          </cell>
        </row>
        <row r="713">
          <cell r="B713">
            <v>4039</v>
          </cell>
          <cell r="C713" t="str">
            <v>MOBILIER ET MATERIEL DE BUREAUX POUR PMK/IE</v>
          </cell>
          <cell r="D713">
            <v>99000</v>
          </cell>
          <cell r="E713">
            <v>99000</v>
          </cell>
          <cell r="F713">
            <v>0</v>
          </cell>
          <cell r="G713">
            <v>0</v>
          </cell>
          <cell r="I713" t="str">
            <v>CONSUL</v>
          </cell>
          <cell r="J713" t="str">
            <v>AD</v>
          </cell>
          <cell r="K713" t="str">
            <v>DAM pour attribution</v>
          </cell>
          <cell r="L713" t="str">
            <v>274
273</v>
          </cell>
          <cell r="M713">
            <v>39198</v>
          </cell>
          <cell r="N713" t="str">
            <v>DAM-1-2-3/07</v>
          </cell>
          <cell r="S713" t="str">
            <v>KAZZOUZI</v>
          </cell>
          <cell r="T713" t="str">
            <v>R6</v>
          </cell>
          <cell r="U713" t="str">
            <v>ADM</v>
          </cell>
          <cell r="V713" t="str">
            <v>DN</v>
          </cell>
          <cell r="W713" t="str">
            <v>AK</v>
          </cell>
          <cell r="X713" t="str">
            <v>P</v>
          </cell>
        </row>
        <row r="714">
          <cell r="B714">
            <v>4040</v>
          </cell>
          <cell r="C714" t="str">
            <v>Fourniture et installation de caméras de surveillance</v>
          </cell>
          <cell r="D714">
            <v>0</v>
          </cell>
          <cell r="E714">
            <v>1000000</v>
          </cell>
          <cell r="F714">
            <v>0</v>
          </cell>
          <cell r="G714">
            <v>0</v>
          </cell>
          <cell r="I714" t="str">
            <v>CONSUL</v>
          </cell>
          <cell r="J714" t="str">
            <v>AD</v>
          </cell>
          <cell r="K714" t="str">
            <v>DAM pour attribution</v>
          </cell>
          <cell r="L714">
            <v>367</v>
          </cell>
          <cell r="M714">
            <v>39240</v>
          </cell>
          <cell r="N714" t="str">
            <v>DAM-3134/07</v>
          </cell>
          <cell r="O714">
            <v>7010</v>
          </cell>
          <cell r="S714" t="str">
            <v>HALMI</v>
          </cell>
          <cell r="T714" t="str">
            <v>R7</v>
          </cell>
          <cell r="U714" t="str">
            <v>ORD</v>
          </cell>
          <cell r="V714" t="str">
            <v>DN</v>
          </cell>
          <cell r="W714" t="str">
            <v>P</v>
          </cell>
          <cell r="X714" t="str">
            <v>P</v>
          </cell>
        </row>
        <row r="715">
          <cell r="B715">
            <v>4070</v>
          </cell>
          <cell r="C715" t="str">
            <v>Renouvellement d'un compresseur d'air à la station de chargement au COZ</v>
          </cell>
          <cell r="D715">
            <v>0</v>
          </cell>
          <cell r="E715">
            <v>800000</v>
          </cell>
          <cell r="F715">
            <v>0</v>
          </cell>
          <cell r="G715">
            <v>0</v>
          </cell>
          <cell r="I715" t="str">
            <v>CONSUL</v>
          </cell>
          <cell r="J715" t="str">
            <v>AD</v>
          </cell>
          <cell r="K715" t="str">
            <v>DAM pour attribution</v>
          </cell>
          <cell r="L715">
            <v>69</v>
          </cell>
          <cell r="M715">
            <v>39129</v>
          </cell>
          <cell r="N715" t="str">
            <v>DAM-05</v>
          </cell>
          <cell r="O715">
            <v>1712</v>
          </cell>
          <cell r="S715" t="str">
            <v>CHNANI</v>
          </cell>
          <cell r="T715" t="str">
            <v>R2</v>
          </cell>
          <cell r="U715" t="str">
            <v>ORD</v>
          </cell>
          <cell r="V715" t="str">
            <v>RN</v>
          </cell>
          <cell r="W715" t="str">
            <v>T</v>
          </cell>
          <cell r="X715" t="str">
            <v>P</v>
          </cell>
        </row>
        <row r="716">
          <cell r="B716">
            <v>4071</v>
          </cell>
          <cell r="C716" t="str">
            <v>Renouvellement de 02 enrouleurs de câble de la stockeuse orientable au COZ</v>
          </cell>
          <cell r="D716">
            <v>0</v>
          </cell>
          <cell r="E716">
            <v>800000</v>
          </cell>
          <cell r="F716">
            <v>0</v>
          </cell>
          <cell r="G716">
            <v>0</v>
          </cell>
          <cell r="I716" t="str">
            <v>CONSUL</v>
          </cell>
          <cell r="J716" t="str">
            <v>PLM</v>
          </cell>
          <cell r="K716" t="str">
            <v>DAM pour attribution</v>
          </cell>
          <cell r="L716">
            <v>412</v>
          </cell>
          <cell r="M716">
            <v>39366</v>
          </cell>
          <cell r="N716" t="str">
            <v>DAM-69/07</v>
          </cell>
          <cell r="O716">
            <v>2870</v>
          </cell>
          <cell r="S716" t="str">
            <v>CHNANI</v>
          </cell>
          <cell r="T716" t="str">
            <v>R2</v>
          </cell>
          <cell r="U716" t="str">
            <v>ORD</v>
          </cell>
          <cell r="V716" t="str">
            <v>RN</v>
          </cell>
          <cell r="W716" t="str">
            <v>T</v>
          </cell>
          <cell r="X716" t="str">
            <v>P</v>
          </cell>
        </row>
        <row r="717">
          <cell r="B717">
            <v>4073</v>
          </cell>
          <cell r="C717" t="str">
            <v>RN d'outillage et équipements ateliers de maintenance PMK/TD
presse, verins et cintreuse</v>
          </cell>
          <cell r="D717">
            <v>0</v>
          </cell>
          <cell r="E717">
            <v>1880000</v>
          </cell>
          <cell r="F717">
            <v>0</v>
          </cell>
          <cell r="G717">
            <v>0</v>
          </cell>
          <cell r="I717" t="str">
            <v>CONSUL</v>
          </cell>
          <cell r="J717" t="str">
            <v>DAC</v>
          </cell>
          <cell r="K717" t="str">
            <v>DAM retournée en réponse au remarque du CT</v>
          </cell>
          <cell r="L717">
            <v>316</v>
          </cell>
          <cell r="M717">
            <v>39288</v>
          </cell>
          <cell r="N717" t="str">
            <v>DAM-75/07</v>
          </cell>
          <cell r="S717" t="str">
            <v>CHNANI</v>
          </cell>
          <cell r="T717" t="str">
            <v>R2</v>
          </cell>
          <cell r="U717" t="str">
            <v>ORD</v>
          </cell>
          <cell r="V717" t="str">
            <v>RN</v>
          </cell>
          <cell r="W717" t="str">
            <v>T</v>
          </cell>
          <cell r="X717" t="str">
            <v>P</v>
          </cell>
        </row>
        <row r="718">
          <cell r="B718">
            <v>4073</v>
          </cell>
          <cell r="C718" t="str">
            <v>Perceuse et touret à meuler</v>
          </cell>
          <cell r="F718">
            <v>0</v>
          </cell>
          <cell r="G718">
            <v>0</v>
          </cell>
          <cell r="I718" t="str">
            <v>CONSUL</v>
          </cell>
          <cell r="J718" t="str">
            <v>DAC</v>
          </cell>
          <cell r="K718" t="str">
            <v>DAM retournée en réponse au remarque du CT</v>
          </cell>
          <cell r="L718">
            <v>316</v>
          </cell>
          <cell r="M718">
            <v>39288</v>
          </cell>
          <cell r="N718" t="str">
            <v>DAM-76/07</v>
          </cell>
          <cell r="S718" t="str">
            <v>CHNANI</v>
          </cell>
          <cell r="T718" t="str">
            <v>R2</v>
          </cell>
          <cell r="U718" t="str">
            <v>ORD</v>
          </cell>
          <cell r="V718" t="str">
            <v>RN</v>
          </cell>
          <cell r="W718" t="str">
            <v>T</v>
          </cell>
          <cell r="X718" t="str">
            <v>P</v>
          </cell>
        </row>
        <row r="719">
          <cell r="B719">
            <v>4073</v>
          </cell>
          <cell r="C719" t="str">
            <v>Tir fort et pull-lift</v>
          </cell>
          <cell r="F719">
            <v>0</v>
          </cell>
          <cell r="G719">
            <v>0</v>
          </cell>
          <cell r="I719" t="str">
            <v>CONSUL</v>
          </cell>
          <cell r="J719" t="str">
            <v>DAC</v>
          </cell>
          <cell r="K719" t="str">
            <v>DAM retournée en réponse au remarque du CT</v>
          </cell>
          <cell r="L719">
            <v>316</v>
          </cell>
          <cell r="M719">
            <v>39288</v>
          </cell>
          <cell r="N719" t="str">
            <v>DAM-77/07</v>
          </cell>
          <cell r="S719" t="str">
            <v>CHNANI</v>
          </cell>
          <cell r="T719" t="str">
            <v>R2</v>
          </cell>
          <cell r="U719" t="str">
            <v>ORD</v>
          </cell>
          <cell r="V719" t="str">
            <v>RN</v>
          </cell>
          <cell r="W719" t="str">
            <v>T</v>
          </cell>
          <cell r="X719" t="str">
            <v>P</v>
          </cell>
        </row>
        <row r="720">
          <cell r="B720">
            <v>4073</v>
          </cell>
          <cell r="C720" t="str">
            <v>Postes de soudages</v>
          </cell>
          <cell r="F720">
            <v>0</v>
          </cell>
          <cell r="G720">
            <v>0</v>
          </cell>
          <cell r="I720" t="str">
            <v>CONSUL</v>
          </cell>
          <cell r="J720" t="str">
            <v>DAC</v>
          </cell>
          <cell r="K720" t="str">
            <v>DAM retournée en réponse au remarque du CT</v>
          </cell>
          <cell r="L720">
            <v>316</v>
          </cell>
          <cell r="M720">
            <v>39288</v>
          </cell>
          <cell r="N720" t="str">
            <v>DAM-78/07</v>
          </cell>
          <cell r="S720" t="str">
            <v>CHNANI</v>
          </cell>
          <cell r="T720" t="str">
            <v>R2</v>
          </cell>
          <cell r="U720" t="str">
            <v>ORD</v>
          </cell>
          <cell r="V720" t="str">
            <v>RN</v>
          </cell>
          <cell r="W720" t="str">
            <v>T</v>
          </cell>
          <cell r="X720" t="str">
            <v>P</v>
          </cell>
        </row>
        <row r="721">
          <cell r="B721">
            <v>4073</v>
          </cell>
          <cell r="C721" t="str">
            <v>Composition d'outillage et chignole électrique</v>
          </cell>
          <cell r="F721">
            <v>0</v>
          </cell>
          <cell r="G721">
            <v>0</v>
          </cell>
          <cell r="I721" t="str">
            <v>CONSUL</v>
          </cell>
          <cell r="J721" t="str">
            <v>DAC</v>
          </cell>
          <cell r="K721" t="str">
            <v>DAM retournée en réponse au remarque du CT</v>
          </cell>
          <cell r="L721">
            <v>316</v>
          </cell>
          <cell r="M721">
            <v>39288</v>
          </cell>
          <cell r="N721" t="str">
            <v>DAM-79/07</v>
          </cell>
          <cell r="S721" t="str">
            <v>CHNANI</v>
          </cell>
          <cell r="T721" t="str">
            <v>R2</v>
          </cell>
          <cell r="U721" t="str">
            <v>ORD</v>
          </cell>
          <cell r="V721" t="str">
            <v>RN</v>
          </cell>
          <cell r="W721" t="str">
            <v>T</v>
          </cell>
          <cell r="X721" t="str">
            <v>P</v>
          </cell>
        </row>
        <row r="722">
          <cell r="B722">
            <v>4074</v>
          </cell>
          <cell r="C722" t="str">
            <v>Equipement pour Etablissements Sociaux</v>
          </cell>
          <cell r="D722">
            <v>500000</v>
          </cell>
          <cell r="E722">
            <v>1690000</v>
          </cell>
          <cell r="F722">
            <v>0</v>
          </cell>
          <cell r="G722">
            <v>0</v>
          </cell>
          <cell r="I722" t="str">
            <v>CONSUL</v>
          </cell>
          <cell r="J722" t="str">
            <v>AD</v>
          </cell>
          <cell r="K722" t="str">
            <v>DAM pour attribution</v>
          </cell>
          <cell r="L722" t="str">
            <v>286
345</v>
          </cell>
          <cell r="M722" t="str">
            <v>03/05/2007
22/05/2007</v>
          </cell>
          <cell r="N722" t="str">
            <v>DAM-02/07
DAM-04/07</v>
          </cell>
          <cell r="S722" t="str">
            <v>DERDAKI</v>
          </cell>
          <cell r="T722" t="str">
            <v>R6</v>
          </cell>
          <cell r="U722" t="str">
            <v>SOC</v>
          </cell>
          <cell r="V722" t="str">
            <v>DN</v>
          </cell>
          <cell r="W722" t="str">
            <v>AK</v>
          </cell>
          <cell r="X722" t="str">
            <v>P</v>
          </cell>
        </row>
        <row r="723">
          <cell r="B723">
            <v>4077</v>
          </cell>
          <cell r="C723" t="str">
            <v>Achat d'outillage et d'équipements des ateliers de la maintenance mécanique de PMK/TD</v>
          </cell>
          <cell r="D723">
            <v>0</v>
          </cell>
          <cell r="E723">
            <v>400000</v>
          </cell>
          <cell r="F723">
            <v>0</v>
          </cell>
          <cell r="G723">
            <v>0</v>
          </cell>
          <cell r="I723" t="str">
            <v>CONSUL</v>
          </cell>
          <cell r="J723" t="str">
            <v>AD</v>
          </cell>
          <cell r="K723" t="str">
            <v>DAM pour attribution</v>
          </cell>
          <cell r="L723" t="str">
            <v>257 à 259
271</v>
          </cell>
          <cell r="M723" t="str">
            <v>23/04/2007
26/04/2007</v>
          </cell>
          <cell r="N723" t="str">
            <v>DAM-66-67-68/07
DAM-65/07</v>
          </cell>
          <cell r="O723" t="str">
            <v>6506 - 6501
 6500 - 6509</v>
          </cell>
          <cell r="S723" t="str">
            <v>CHNANI</v>
          </cell>
          <cell r="T723" t="str">
            <v>R2</v>
          </cell>
          <cell r="U723" t="str">
            <v>ORD</v>
          </cell>
          <cell r="V723" t="str">
            <v>DN</v>
          </cell>
          <cell r="W723" t="str">
            <v>T</v>
          </cell>
          <cell r="X723" t="str">
            <v>P</v>
          </cell>
        </row>
        <row r="724">
          <cell r="B724">
            <v>4079</v>
          </cell>
          <cell r="C724" t="str">
            <v>ECHELLES ET ESCABOTS</v>
          </cell>
          <cell r="D724">
            <v>5500</v>
          </cell>
          <cell r="E724">
            <v>5500</v>
          </cell>
          <cell r="F724">
            <v>0</v>
          </cell>
          <cell r="G724">
            <v>0</v>
          </cell>
          <cell r="I724" t="str">
            <v>CONSUL</v>
          </cell>
          <cell r="J724" t="str">
            <v>AD</v>
          </cell>
          <cell r="K724" t="str">
            <v>DAM pour attribution</v>
          </cell>
          <cell r="L724" t="str">
            <v>TC-107</v>
          </cell>
          <cell r="M724">
            <v>39227</v>
          </cell>
          <cell r="N724" t="str">
            <v>DAM-11/07</v>
          </cell>
          <cell r="O724" t="str">
            <v>5456 - 5457</v>
          </cell>
          <cell r="S724" t="str">
            <v>RAOUIA</v>
          </cell>
          <cell r="T724" t="str">
            <v>R2</v>
          </cell>
          <cell r="U724" t="str">
            <v>ORD</v>
          </cell>
          <cell r="V724" t="str">
            <v>DN</v>
          </cell>
          <cell r="W724" t="str">
            <v>TC</v>
          </cell>
          <cell r="X724" t="str">
            <v>P</v>
          </cell>
        </row>
        <row r="725">
          <cell r="B725">
            <v>4080</v>
          </cell>
          <cell r="C725" t="str">
            <v>Fourniture et installation d'une Joy pour les mises à terril de PMK/TD</v>
          </cell>
          <cell r="D725">
            <v>0</v>
          </cell>
          <cell r="E725">
            <v>0</v>
          </cell>
          <cell r="F725">
            <v>3000000</v>
          </cell>
          <cell r="G725">
            <v>0</v>
          </cell>
          <cell r="S725" t="str">
            <v>CHNANI</v>
          </cell>
          <cell r="T725" t="str">
            <v>R2</v>
          </cell>
          <cell r="U725" t="str">
            <v>ORD</v>
          </cell>
          <cell r="V725" t="str">
            <v>DN</v>
          </cell>
          <cell r="W725" t="str">
            <v>TC</v>
          </cell>
          <cell r="X725" t="str">
            <v>P</v>
          </cell>
        </row>
        <row r="726">
          <cell r="B726">
            <v>4081</v>
          </cell>
          <cell r="C726" t="str">
            <v>Renouvellement de 02 pompes de la station de reprise des eaux claires</v>
          </cell>
          <cell r="D726">
            <v>0</v>
          </cell>
          <cell r="E726">
            <v>0</v>
          </cell>
          <cell r="F726">
            <v>1400000</v>
          </cell>
          <cell r="G726">
            <v>0</v>
          </cell>
          <cell r="S726" t="str">
            <v>CHNANI</v>
          </cell>
          <cell r="T726" t="str">
            <v>R2</v>
          </cell>
          <cell r="U726" t="str">
            <v>ORD</v>
          </cell>
          <cell r="V726" t="str">
            <v>RN</v>
          </cell>
          <cell r="W726" t="str">
            <v>TC</v>
          </cell>
          <cell r="X726" t="str">
            <v>P</v>
          </cell>
        </row>
        <row r="727">
          <cell r="B727">
            <v>4085</v>
          </cell>
          <cell r="C727" t="str">
            <v>Renouvellement de 08 bascules intégratrices pour l'unité DAOUI et COZ</v>
          </cell>
          <cell r="D727">
            <v>0</v>
          </cell>
          <cell r="E727">
            <v>1200000</v>
          </cell>
          <cell r="F727">
            <v>0</v>
          </cell>
          <cell r="G727">
            <v>0</v>
          </cell>
          <cell r="I727" t="str">
            <v>CONSUL</v>
          </cell>
          <cell r="J727" t="str">
            <v>PLM</v>
          </cell>
          <cell r="K727" t="str">
            <v>DAM pour attribution (Approbation DEK)</v>
          </cell>
          <cell r="L727">
            <v>247</v>
          </cell>
          <cell r="M727">
            <v>39244</v>
          </cell>
          <cell r="N727" t="str">
            <v>DAM-36/07</v>
          </cell>
          <cell r="O727" t="str">
            <v xml:space="preserve"> </v>
          </cell>
          <cell r="S727" t="str">
            <v>BERRADA</v>
          </cell>
          <cell r="T727" t="str">
            <v>R2</v>
          </cell>
          <cell r="U727" t="str">
            <v>ORD</v>
          </cell>
          <cell r="V727" t="str">
            <v>RN</v>
          </cell>
          <cell r="W727" t="str">
            <v>T</v>
          </cell>
          <cell r="X727" t="str">
            <v>P</v>
          </cell>
        </row>
        <row r="728">
          <cell r="B728">
            <v>4087</v>
          </cell>
          <cell r="C728" t="str">
            <v>Achat de 14 convertisseurs de fréquence pour l'unité DAOUI et COZ</v>
          </cell>
          <cell r="D728">
            <v>0</v>
          </cell>
          <cell r="E728">
            <v>2000000</v>
          </cell>
          <cell r="F728">
            <v>2260000</v>
          </cell>
          <cell r="G728">
            <v>0</v>
          </cell>
          <cell r="I728" t="str">
            <v>CT</v>
          </cell>
          <cell r="J728" t="str">
            <v>DAC/TM</v>
          </cell>
          <cell r="K728" t="str">
            <v>DAM  - Avis élement de reponse aux remarques de DAC</v>
          </cell>
          <cell r="L728">
            <v>395</v>
          </cell>
          <cell r="M728">
            <v>39356</v>
          </cell>
          <cell r="N728" t="str">
            <v>DAM-20/07</v>
          </cell>
          <cell r="S728" t="str">
            <v>BERRADA</v>
          </cell>
          <cell r="T728" t="str">
            <v>R2</v>
          </cell>
          <cell r="U728" t="str">
            <v>ORD</v>
          </cell>
          <cell r="V728" t="str">
            <v>DN</v>
          </cell>
          <cell r="W728" t="str">
            <v>T</v>
          </cell>
          <cell r="X728" t="str">
            <v>P</v>
          </cell>
        </row>
        <row r="729">
          <cell r="B729">
            <v>4088</v>
          </cell>
          <cell r="C729" t="str">
            <v>Renouvellement de 07 chargeurs de batteries pour l'unité COZ et ses annexes</v>
          </cell>
          <cell r="D729">
            <v>0</v>
          </cell>
          <cell r="E729">
            <v>900000</v>
          </cell>
          <cell r="F729">
            <v>0</v>
          </cell>
          <cell r="G729">
            <v>0</v>
          </cell>
          <cell r="I729" t="str">
            <v>CONSUL</v>
          </cell>
          <cell r="J729" t="str">
            <v>PFM</v>
          </cell>
          <cell r="K729" t="str">
            <v>DAM pour attribution</v>
          </cell>
          <cell r="L729">
            <v>97</v>
          </cell>
          <cell r="M729">
            <v>39141</v>
          </cell>
          <cell r="N729" t="str">
            <v>DAM-19/07</v>
          </cell>
          <cell r="O729">
            <v>1740</v>
          </cell>
          <cell r="S729" t="str">
            <v>BERRADA</v>
          </cell>
          <cell r="T729" t="str">
            <v>R2</v>
          </cell>
          <cell r="U729" t="str">
            <v>ORD</v>
          </cell>
          <cell r="V729" t="str">
            <v>RN</v>
          </cell>
          <cell r="W729" t="str">
            <v>T</v>
          </cell>
          <cell r="X729" t="str">
            <v>P</v>
          </cell>
        </row>
        <row r="730">
          <cell r="B730">
            <v>4090</v>
          </cell>
          <cell r="C730" t="str">
            <v>Renouvellement de 45 moteurs électriques pour PMK/TD et la roue palle KRUPP</v>
          </cell>
          <cell r="D730">
            <v>0</v>
          </cell>
          <cell r="E730">
            <v>2000000</v>
          </cell>
          <cell r="F730">
            <v>1370000</v>
          </cell>
          <cell r="G730">
            <v>0</v>
          </cell>
          <cell r="I730" t="str">
            <v>CT</v>
          </cell>
          <cell r="J730" t="str">
            <v>DAC/TM</v>
          </cell>
          <cell r="K730" t="str">
            <v>DAM en reponse a la remarque de DAC</v>
          </cell>
          <cell r="L730">
            <v>392</v>
          </cell>
          <cell r="M730">
            <v>39350</v>
          </cell>
          <cell r="N730" t="str">
            <v>DAM-21</v>
          </cell>
          <cell r="S730" t="str">
            <v>BERRADA</v>
          </cell>
          <cell r="T730" t="str">
            <v>R2</v>
          </cell>
          <cell r="U730" t="str">
            <v>ORD</v>
          </cell>
          <cell r="V730" t="str">
            <v>RN</v>
          </cell>
          <cell r="W730" t="str">
            <v>T</v>
          </cell>
          <cell r="X730" t="str">
            <v>P</v>
          </cell>
        </row>
        <row r="731">
          <cell r="B731">
            <v>4091</v>
          </cell>
          <cell r="C731" t="str">
            <v>Rénovation des cellules MT au poste (P5) au COZ</v>
          </cell>
          <cell r="D731">
            <v>0</v>
          </cell>
          <cell r="E731">
            <v>4800000</v>
          </cell>
          <cell r="F731">
            <v>0</v>
          </cell>
          <cell r="G731">
            <v>0</v>
          </cell>
          <cell r="I731" t="str">
            <v>CONSUL</v>
          </cell>
          <cell r="J731" t="str">
            <v>PLM</v>
          </cell>
          <cell r="K731" t="str">
            <v>DAM pour attribution</v>
          </cell>
          <cell r="L731">
            <v>416</v>
          </cell>
          <cell r="M731">
            <v>39372</v>
          </cell>
          <cell r="N731" t="str">
            <v>DAM-11/07</v>
          </cell>
          <cell r="S731" t="str">
            <v>BERRADA</v>
          </cell>
          <cell r="T731" t="str">
            <v>R2</v>
          </cell>
          <cell r="U731" t="str">
            <v>ORD</v>
          </cell>
          <cell r="V731" t="str">
            <v>DN</v>
          </cell>
          <cell r="W731" t="str">
            <v>T</v>
          </cell>
          <cell r="X731" t="str">
            <v>P</v>
          </cell>
        </row>
        <row r="732">
          <cell r="B732">
            <v>4092</v>
          </cell>
          <cell r="C732" t="str">
            <v>Installation et mise en service des écluses rotatives au niveau des buses de sorties des fours sécheurs</v>
          </cell>
          <cell r="D732">
            <v>3000000</v>
          </cell>
          <cell r="E732">
            <v>3000000</v>
          </cell>
          <cell r="F732">
            <v>8800000</v>
          </cell>
          <cell r="G732">
            <v>0</v>
          </cell>
          <cell r="I732" t="str">
            <v>AVIS</v>
          </cell>
          <cell r="J732" t="str">
            <v>CP</v>
          </cell>
          <cell r="K732" t="str">
            <v>EN retour pour éléments de réponse de DAC (en vue d'etablir la DAL et DAC) DIB de Mt 3 MDH</v>
          </cell>
          <cell r="L732">
            <v>212</v>
          </cell>
          <cell r="M732">
            <v>39177</v>
          </cell>
          <cell r="S732" t="str">
            <v>BOUZIAN</v>
          </cell>
          <cell r="T732" t="str">
            <v>R2</v>
          </cell>
          <cell r="U732" t="str">
            <v>ORD</v>
          </cell>
          <cell r="V732" t="str">
            <v>DN</v>
          </cell>
          <cell r="W732" t="str">
            <v>T</v>
          </cell>
          <cell r="X732" t="str">
            <v>P</v>
          </cell>
        </row>
        <row r="733">
          <cell r="B733">
            <v>4094</v>
          </cell>
          <cell r="C733" t="str">
            <v>Equipement pour Etablissements Sociaux</v>
          </cell>
          <cell r="D733">
            <v>300000</v>
          </cell>
          <cell r="E733">
            <v>300000</v>
          </cell>
          <cell r="F733">
            <v>0</v>
          </cell>
          <cell r="G733">
            <v>0</v>
          </cell>
          <cell r="I733" t="str">
            <v>CONSUL</v>
          </cell>
          <cell r="J733" t="str">
            <v>AD</v>
          </cell>
          <cell r="K733" t="str">
            <v>DAM pour attribution</v>
          </cell>
          <cell r="L733">
            <v>26</v>
          </cell>
          <cell r="M733">
            <v>39115</v>
          </cell>
          <cell r="N733" t="str">
            <v>DAM-01/07</v>
          </cell>
          <cell r="O733">
            <v>5102</v>
          </cell>
          <cell r="S733" t="str">
            <v>DERDAKI</v>
          </cell>
          <cell r="T733" t="str">
            <v>R6</v>
          </cell>
          <cell r="U733" t="str">
            <v>SOC</v>
          </cell>
          <cell r="V733" t="str">
            <v>RN</v>
          </cell>
          <cell r="W733" t="str">
            <v>AK</v>
          </cell>
          <cell r="X733" t="str">
            <v>P</v>
          </cell>
        </row>
        <row r="734">
          <cell r="B734">
            <v>4098</v>
          </cell>
          <cell r="C734" t="str">
            <v>Réaménagement du bloc administratif de la laverie Daoui</v>
          </cell>
          <cell r="D734">
            <v>0</v>
          </cell>
          <cell r="E734">
            <v>490000</v>
          </cell>
          <cell r="F734">
            <v>0</v>
          </cell>
          <cell r="G734">
            <v>0</v>
          </cell>
          <cell r="S734" t="str">
            <v>BENAMEUR</v>
          </cell>
          <cell r="T734" t="str">
            <v>R6</v>
          </cell>
          <cell r="U734" t="str">
            <v>ADM</v>
          </cell>
          <cell r="V734" t="str">
            <v>DN</v>
          </cell>
          <cell r="W734" t="str">
            <v>T</v>
          </cell>
          <cell r="X734" t="str">
            <v>P</v>
          </cell>
        </row>
        <row r="735">
          <cell r="B735">
            <v>4099</v>
          </cell>
          <cell r="C735" t="str">
            <v>Equipement pour l'hôpital de PMK / AK</v>
          </cell>
          <cell r="D735">
            <v>390000</v>
          </cell>
          <cell r="E735">
            <v>390000</v>
          </cell>
          <cell r="F735">
            <v>0</v>
          </cell>
          <cell r="G735">
            <v>0</v>
          </cell>
          <cell r="I735" t="str">
            <v>CONSUL</v>
          </cell>
          <cell r="J735" t="str">
            <v>AD</v>
          </cell>
          <cell r="K735" t="str">
            <v>DAM pour attribution (transmis directement a AD)</v>
          </cell>
          <cell r="L735" t="str">
            <v>AK/M 270</v>
          </cell>
          <cell r="M735">
            <v>39247</v>
          </cell>
          <cell r="N735" t="str">
            <v>DAM-06/07</v>
          </cell>
          <cell r="O735">
            <v>7176</v>
          </cell>
          <cell r="S735" t="str">
            <v>LAGHRIB</v>
          </cell>
          <cell r="T735" t="str">
            <v>R10</v>
          </cell>
          <cell r="U735" t="str">
            <v>MED</v>
          </cell>
          <cell r="V735" t="str">
            <v>DN</v>
          </cell>
          <cell r="W735" t="str">
            <v>AK</v>
          </cell>
          <cell r="X735" t="str">
            <v>P</v>
          </cell>
        </row>
        <row r="736">
          <cell r="B736">
            <v>4100</v>
          </cell>
          <cell r="C736" t="str">
            <v>Aménagement de nouveaux bassins d'épandage des boues</v>
          </cell>
          <cell r="D736">
            <v>65000000</v>
          </cell>
          <cell r="E736">
            <v>65000000</v>
          </cell>
          <cell r="F736">
            <v>0</v>
          </cell>
          <cell r="G736">
            <v>0</v>
          </cell>
          <cell r="I736" t="str">
            <v>DAL</v>
          </cell>
          <cell r="J736" t="str">
            <v>PFM</v>
          </cell>
          <cell r="K736" t="str">
            <v>DAL/INV/PMK/002/07 de 65 MDH</v>
          </cell>
          <cell r="L736">
            <v>68</v>
          </cell>
          <cell r="M736">
            <v>39129</v>
          </cell>
          <cell r="S736" t="str">
            <v>BENAMEUR</v>
          </cell>
          <cell r="T736" t="str">
            <v>R2</v>
          </cell>
          <cell r="U736" t="str">
            <v>ORD</v>
          </cell>
          <cell r="V736" t="str">
            <v>DN</v>
          </cell>
          <cell r="W736" t="str">
            <v>T</v>
          </cell>
          <cell r="X736" t="str">
            <v>P</v>
          </cell>
        </row>
        <row r="737">
          <cell r="B737">
            <v>4100</v>
          </cell>
          <cell r="C737" t="str">
            <v>Réalisation des cheminées de récupération des eaux des bassins de boues de la laverie et leurs annexes</v>
          </cell>
          <cell r="F737">
            <v>0</v>
          </cell>
          <cell r="G737">
            <v>0</v>
          </cell>
          <cell r="I737" t="str">
            <v>CHT</v>
          </cell>
          <cell r="J737" t="str">
            <v>PLM</v>
          </cell>
          <cell r="K737" t="str">
            <v>CHT transmis pour attribution</v>
          </cell>
          <cell r="L737">
            <v>342</v>
          </cell>
          <cell r="M737">
            <v>39307</v>
          </cell>
          <cell r="N737" t="str">
            <v>DPM-05/07</v>
          </cell>
          <cell r="O737">
            <v>1703</v>
          </cell>
          <cell r="S737" t="str">
            <v>BENAMEUR</v>
          </cell>
          <cell r="T737" t="str">
            <v>R2</v>
          </cell>
          <cell r="U737" t="str">
            <v>ORD</v>
          </cell>
          <cell r="V737" t="str">
            <v>DN</v>
          </cell>
          <cell r="W737" t="str">
            <v>T</v>
          </cell>
          <cell r="X737" t="str">
            <v>P</v>
          </cell>
        </row>
        <row r="738">
          <cell r="B738">
            <v>4100</v>
          </cell>
          <cell r="C738" t="str">
            <v>Travaux de terrassement d'epandage des boues de lavage</v>
          </cell>
          <cell r="F738">
            <v>0</v>
          </cell>
          <cell r="G738">
            <v>0</v>
          </cell>
          <cell r="I738" t="str">
            <v>CONSUL</v>
          </cell>
          <cell r="J738" t="str">
            <v>PLM</v>
          </cell>
          <cell r="K738" t="str">
            <v>DPM transmis pour attribution</v>
          </cell>
          <cell r="L738">
            <v>63</v>
          </cell>
          <cell r="M738">
            <v>39126</v>
          </cell>
          <cell r="N738" t="str">
            <v>DPM-06/07</v>
          </cell>
          <cell r="O738">
            <v>1695</v>
          </cell>
          <cell r="S738" t="str">
            <v>BENAMEUR</v>
          </cell>
          <cell r="T738" t="str">
            <v>R2</v>
          </cell>
          <cell r="U738" t="str">
            <v>ORD</v>
          </cell>
          <cell r="V738" t="str">
            <v>DN</v>
          </cell>
          <cell r="W738" t="str">
            <v>T</v>
          </cell>
          <cell r="X738" t="str">
            <v>P</v>
          </cell>
        </row>
        <row r="739">
          <cell r="B739">
            <v>4100</v>
          </cell>
          <cell r="C739" t="str">
            <v>Circuit de pompage des boues et des eaux claires</v>
          </cell>
          <cell r="F739">
            <v>0</v>
          </cell>
          <cell r="G739">
            <v>0</v>
          </cell>
          <cell r="I739" t="str">
            <v>CONSUL</v>
          </cell>
          <cell r="J739" t="str">
            <v>PLM</v>
          </cell>
          <cell r="K739" t="str">
            <v>DPM transmis pour attribution</v>
          </cell>
          <cell r="L739">
            <v>66</v>
          </cell>
          <cell r="M739">
            <v>39127</v>
          </cell>
          <cell r="N739" t="str">
            <v>DPM-07/07</v>
          </cell>
          <cell r="O739">
            <v>1698</v>
          </cell>
          <cell r="S739" t="str">
            <v>BENAMEUR</v>
          </cell>
          <cell r="T739" t="str">
            <v>R2</v>
          </cell>
          <cell r="U739" t="str">
            <v>ORD</v>
          </cell>
          <cell r="V739" t="str">
            <v>DN</v>
          </cell>
          <cell r="W739" t="str">
            <v>T</v>
          </cell>
          <cell r="X739" t="str">
            <v>P</v>
          </cell>
        </row>
        <row r="740">
          <cell r="B740">
            <v>4100</v>
          </cell>
          <cell r="C740" t="str">
            <v>Achat des groupes moto-pompes à eau claire</v>
          </cell>
          <cell r="F740">
            <v>0</v>
          </cell>
          <cell r="G740">
            <v>0</v>
          </cell>
          <cell r="I740" t="str">
            <v>CONSUL</v>
          </cell>
          <cell r="J740" t="str">
            <v>PLM</v>
          </cell>
          <cell r="K740" t="str">
            <v>DPM transmis pour attribution</v>
          </cell>
          <cell r="L740">
            <v>65</v>
          </cell>
          <cell r="M740">
            <v>39127</v>
          </cell>
          <cell r="N740" t="str">
            <v>DPM-08/07</v>
          </cell>
          <cell r="O740">
            <v>1693</v>
          </cell>
          <cell r="S740" t="str">
            <v>BENAMEUR</v>
          </cell>
          <cell r="T740" t="str">
            <v>R2</v>
          </cell>
          <cell r="U740" t="str">
            <v>ORD</v>
          </cell>
          <cell r="V740" t="str">
            <v>DN</v>
          </cell>
          <cell r="W740" t="str">
            <v>T</v>
          </cell>
          <cell r="X740" t="str">
            <v>P</v>
          </cell>
        </row>
        <row r="741">
          <cell r="B741">
            <v>4100</v>
          </cell>
          <cell r="C741" t="str">
            <v>Achat des groupes moto-pompesà pulpes</v>
          </cell>
          <cell r="F741">
            <v>0</v>
          </cell>
          <cell r="G741">
            <v>0</v>
          </cell>
          <cell r="I741" t="str">
            <v>CONSUL</v>
          </cell>
          <cell r="J741" t="str">
            <v>PLM</v>
          </cell>
          <cell r="K741" t="str">
            <v>DPM transmis pour attribution</v>
          </cell>
          <cell r="L741">
            <v>65</v>
          </cell>
          <cell r="M741">
            <v>39127</v>
          </cell>
          <cell r="N741" t="str">
            <v>DPM-08bis/07</v>
          </cell>
          <cell r="O741">
            <v>1694</v>
          </cell>
          <cell r="S741" t="str">
            <v>BENAMEUR</v>
          </cell>
          <cell r="T741" t="str">
            <v>R2</v>
          </cell>
          <cell r="U741" t="str">
            <v>ORD</v>
          </cell>
          <cell r="V741" t="str">
            <v>DN</v>
          </cell>
          <cell r="W741" t="str">
            <v>T</v>
          </cell>
          <cell r="X741" t="str">
            <v>P</v>
          </cell>
        </row>
        <row r="742">
          <cell r="B742">
            <v>4101</v>
          </cell>
          <cell r="C742" t="str">
            <v>Equipement de bureaux
20 appareils téléphoniques</v>
          </cell>
          <cell r="D742">
            <v>197500</v>
          </cell>
          <cell r="E742">
            <v>197500</v>
          </cell>
          <cell r="I742" t="str">
            <v>CONSUL</v>
          </cell>
          <cell r="J742" t="str">
            <v>AD</v>
          </cell>
          <cell r="K742" t="str">
            <v>DAM pour attribution</v>
          </cell>
          <cell r="L742">
            <v>140</v>
          </cell>
          <cell r="M742">
            <v>39153</v>
          </cell>
          <cell r="N742" t="str">
            <v>DAM-01/07</v>
          </cell>
          <cell r="S742" t="str">
            <v>SEMMACH</v>
          </cell>
          <cell r="T742" t="str">
            <v>R6</v>
          </cell>
          <cell r="U742" t="str">
            <v>ADM</v>
          </cell>
          <cell r="V742" t="str">
            <v>RN</v>
          </cell>
          <cell r="W742" t="str">
            <v>AK</v>
          </cell>
          <cell r="X742" t="str">
            <v>P</v>
          </cell>
        </row>
        <row r="743">
          <cell r="B743">
            <v>4101</v>
          </cell>
          <cell r="C743" t="str">
            <v>11appareils téléphoniques</v>
          </cell>
          <cell r="I743" t="str">
            <v>CONSUL</v>
          </cell>
          <cell r="J743" t="str">
            <v>AD</v>
          </cell>
          <cell r="K743" t="str">
            <v>DAM pour attribution</v>
          </cell>
          <cell r="L743">
            <v>141</v>
          </cell>
          <cell r="M743">
            <v>39153</v>
          </cell>
          <cell r="N743" t="str">
            <v>DAM-01/07</v>
          </cell>
          <cell r="S743" t="str">
            <v>SEMMACH</v>
          </cell>
          <cell r="T743" t="str">
            <v>R6</v>
          </cell>
          <cell r="U743" t="str">
            <v>ADM</v>
          </cell>
          <cell r="V743" t="str">
            <v>RN</v>
          </cell>
          <cell r="W743" t="str">
            <v>AK</v>
          </cell>
          <cell r="X743" t="str">
            <v>P</v>
          </cell>
        </row>
        <row r="744">
          <cell r="B744">
            <v>4102</v>
          </cell>
          <cell r="C744" t="str">
            <v>Achat  de mobilier de bureau pour PMK/TD/D</v>
          </cell>
          <cell r="D744">
            <v>0</v>
          </cell>
          <cell r="E744">
            <v>307600</v>
          </cell>
          <cell r="F744">
            <v>0</v>
          </cell>
          <cell r="G744">
            <v>0</v>
          </cell>
          <cell r="I744" t="str">
            <v>CONSUL</v>
          </cell>
          <cell r="J744" t="str">
            <v>AD</v>
          </cell>
          <cell r="K744" t="str">
            <v>DAM pour attribution</v>
          </cell>
          <cell r="L744">
            <v>269</v>
          </cell>
          <cell r="M744">
            <v>39198</v>
          </cell>
          <cell r="N744" t="str">
            <v>DAM-34/07</v>
          </cell>
          <cell r="O744">
            <v>6513</v>
          </cell>
          <cell r="S744" t="str">
            <v>BENAMEUR</v>
          </cell>
          <cell r="T744" t="str">
            <v>R6</v>
          </cell>
          <cell r="U744" t="str">
            <v>ADM</v>
          </cell>
          <cell r="V744" t="str">
            <v>DN</v>
          </cell>
          <cell r="W744" t="str">
            <v>T</v>
          </cell>
          <cell r="X744" t="str">
            <v>P</v>
          </cell>
        </row>
        <row r="745">
          <cell r="B745">
            <v>4103</v>
          </cell>
          <cell r="C745" t="str">
            <v>Mobilier de bureau pour AK (7 chaises fixes et 10 bureaux metalliques)</v>
          </cell>
          <cell r="D745">
            <v>58400</v>
          </cell>
          <cell r="E745">
            <v>42400</v>
          </cell>
          <cell r="F745">
            <v>0</v>
          </cell>
          <cell r="G745">
            <v>0</v>
          </cell>
          <cell r="I745" t="str">
            <v>CONSUL</v>
          </cell>
          <cell r="J745" t="str">
            <v>AD</v>
          </cell>
          <cell r="K745" t="str">
            <v>DAM pour attribution</v>
          </cell>
          <cell r="L745">
            <v>200</v>
          </cell>
          <cell r="M745">
            <v>39176</v>
          </cell>
          <cell r="N745" t="str">
            <v>DAM-05/07</v>
          </cell>
          <cell r="O745">
            <v>5670</v>
          </cell>
          <cell r="S745" t="str">
            <v>DERDAKI</v>
          </cell>
          <cell r="T745" t="str">
            <v>R6</v>
          </cell>
          <cell r="U745" t="str">
            <v>ADM</v>
          </cell>
          <cell r="V745" t="str">
            <v>RN</v>
          </cell>
          <cell r="W745" t="str">
            <v>AK</v>
          </cell>
          <cell r="X745" t="str">
            <v>P</v>
          </cell>
        </row>
        <row r="746">
          <cell r="B746">
            <v>4103</v>
          </cell>
          <cell r="C746" t="str">
            <v>Mobilier de bureau pour AK (4 fauteuils roulants)</v>
          </cell>
          <cell r="E746">
            <v>16000</v>
          </cell>
          <cell r="I746" t="str">
            <v>CONSUL</v>
          </cell>
          <cell r="J746" t="str">
            <v>AD</v>
          </cell>
          <cell r="K746" t="str">
            <v>DAM pour attribution</v>
          </cell>
          <cell r="L746">
            <v>204</v>
          </cell>
          <cell r="M746">
            <v>39176</v>
          </cell>
          <cell r="N746" t="str">
            <v>DAM-03/07</v>
          </cell>
          <cell r="O746">
            <v>5915</v>
          </cell>
          <cell r="S746" t="str">
            <v>DERDAKI</v>
          </cell>
          <cell r="T746" t="str">
            <v>R6</v>
          </cell>
          <cell r="U746" t="str">
            <v>ADM</v>
          </cell>
          <cell r="V746" t="str">
            <v>RN</v>
          </cell>
          <cell r="W746" t="str">
            <v>AK</v>
          </cell>
          <cell r="X746" t="str">
            <v>P</v>
          </cell>
        </row>
        <row r="747">
          <cell r="B747">
            <v>4104</v>
          </cell>
          <cell r="C747" t="str">
            <v>Mobilier de bureau pour PMK / IC en DN</v>
          </cell>
          <cell r="D747">
            <v>41100</v>
          </cell>
          <cell r="E747">
            <v>41100</v>
          </cell>
          <cell r="F747">
            <v>0</v>
          </cell>
          <cell r="G747">
            <v>0</v>
          </cell>
          <cell r="I747" t="str">
            <v>CONSUL</v>
          </cell>
          <cell r="J747" t="str">
            <v>AD</v>
          </cell>
          <cell r="K747" t="str">
            <v>DAM pour attribution</v>
          </cell>
          <cell r="L747">
            <v>204</v>
          </cell>
          <cell r="M747">
            <v>39176</v>
          </cell>
          <cell r="N747" t="str">
            <v>DAM-03/07</v>
          </cell>
          <cell r="O747">
            <v>5915</v>
          </cell>
          <cell r="S747" t="str">
            <v>DERDAKI</v>
          </cell>
          <cell r="T747" t="str">
            <v>R6</v>
          </cell>
          <cell r="U747" t="str">
            <v>ADM</v>
          </cell>
          <cell r="V747" t="str">
            <v>DN</v>
          </cell>
          <cell r="W747" t="str">
            <v>AK</v>
          </cell>
          <cell r="X747" t="str">
            <v>P</v>
          </cell>
        </row>
        <row r="748">
          <cell r="B748">
            <v>4105</v>
          </cell>
          <cell r="C748" t="str">
            <v>Matériel Informatique PMK / IC</v>
          </cell>
          <cell r="D748">
            <v>55000</v>
          </cell>
          <cell r="E748">
            <v>55000</v>
          </cell>
          <cell r="F748">
            <v>0</v>
          </cell>
          <cell r="G748">
            <v>0</v>
          </cell>
          <cell r="S748" t="str">
            <v>DERDAKI</v>
          </cell>
          <cell r="T748" t="str">
            <v>R8</v>
          </cell>
          <cell r="U748" t="str">
            <v>ADM</v>
          </cell>
          <cell r="V748" t="str">
            <v>DN</v>
          </cell>
          <cell r="W748" t="str">
            <v>AK</v>
          </cell>
          <cell r="X748" t="str">
            <v>P</v>
          </cell>
        </row>
        <row r="749">
          <cell r="B749">
            <v>4107</v>
          </cell>
          <cell r="C749" t="str">
            <v>Achat de 08 groupes électro-compresseurs à pistons bi-étages</v>
          </cell>
          <cell r="D749">
            <v>0</v>
          </cell>
          <cell r="E749">
            <v>495000</v>
          </cell>
          <cell r="F749">
            <v>0</v>
          </cell>
          <cell r="G749">
            <v>0</v>
          </cell>
          <cell r="I749" t="str">
            <v>CONSUL</v>
          </cell>
          <cell r="J749" t="str">
            <v>AD</v>
          </cell>
          <cell r="K749" t="str">
            <v>DAM pour attribution</v>
          </cell>
          <cell r="L749">
            <v>473</v>
          </cell>
          <cell r="M749">
            <v>39303</v>
          </cell>
          <cell r="N749" t="str">
            <v>DAM-33/07</v>
          </cell>
          <cell r="O749">
            <v>7930</v>
          </cell>
          <cell r="S749" t="str">
            <v>BENAMEUR</v>
          </cell>
          <cell r="T749" t="str">
            <v>R2</v>
          </cell>
          <cell r="U749" t="str">
            <v>ORD</v>
          </cell>
          <cell r="V749" t="str">
            <v>DN</v>
          </cell>
          <cell r="W749" t="str">
            <v>T</v>
          </cell>
          <cell r="X749" t="str">
            <v>P</v>
          </cell>
        </row>
        <row r="750">
          <cell r="B750">
            <v>4110</v>
          </cell>
          <cell r="C750" t="str">
            <v>RENOUVELLEMENT DES MACHINES OUTILS
01 Fraiseuse universelle</v>
          </cell>
          <cell r="D750">
            <v>0</v>
          </cell>
          <cell r="E750">
            <v>4600000</v>
          </cell>
          <cell r="F750">
            <v>0</v>
          </cell>
          <cell r="G750">
            <v>0</v>
          </cell>
          <cell r="I750" t="str">
            <v>CT</v>
          </cell>
          <cell r="J750" t="str">
            <v>CP</v>
          </cell>
          <cell r="K750" t="str">
            <v>DAM en retour suite au remarque DAC</v>
          </cell>
          <cell r="L750">
            <v>395</v>
          </cell>
          <cell r="M750">
            <v>39251</v>
          </cell>
          <cell r="N750" t="str">
            <v>DAM-01/07</v>
          </cell>
          <cell r="S750" t="str">
            <v>BOUZZIT</v>
          </cell>
          <cell r="T750" t="str">
            <v>R2</v>
          </cell>
          <cell r="U750" t="str">
            <v>ORD</v>
          </cell>
          <cell r="V750" t="str">
            <v>RN</v>
          </cell>
          <cell r="W750" t="str">
            <v>L</v>
          </cell>
          <cell r="X750" t="str">
            <v>P</v>
          </cell>
        </row>
        <row r="751">
          <cell r="B751">
            <v>4110</v>
          </cell>
          <cell r="C751" t="str">
            <v>RENOUVELLEMENT DES MACHINES OUTILS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I751" t="str">
            <v>CT</v>
          </cell>
          <cell r="J751" t="str">
            <v>CP</v>
          </cell>
          <cell r="K751" t="str">
            <v>DAM en retour suite au remarque DAC</v>
          </cell>
          <cell r="L751">
            <v>395</v>
          </cell>
          <cell r="M751">
            <v>39251</v>
          </cell>
          <cell r="N751" t="str">
            <v>DAM-02/07</v>
          </cell>
          <cell r="S751" t="str">
            <v>BOUZZIT</v>
          </cell>
          <cell r="T751" t="str">
            <v>R2</v>
          </cell>
          <cell r="U751" t="str">
            <v>ORD</v>
          </cell>
          <cell r="V751" t="str">
            <v>RN</v>
          </cell>
          <cell r="W751" t="str">
            <v>L</v>
          </cell>
          <cell r="X751" t="str">
            <v>P</v>
          </cell>
        </row>
        <row r="752">
          <cell r="B752">
            <v>4110</v>
          </cell>
          <cell r="C752" t="str">
            <v>RENOUVELLEMENT DES MACHINES OUTILS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I752" t="str">
            <v>CT</v>
          </cell>
          <cell r="J752" t="str">
            <v>CP</v>
          </cell>
          <cell r="K752" t="str">
            <v>DAM en retour suite au remarque DAC</v>
          </cell>
          <cell r="L752">
            <v>395</v>
          </cell>
          <cell r="M752">
            <v>39251</v>
          </cell>
          <cell r="N752" t="str">
            <v>DAM-03/07</v>
          </cell>
          <cell r="S752" t="str">
            <v>BOUZZIT</v>
          </cell>
          <cell r="T752" t="str">
            <v>R2</v>
          </cell>
          <cell r="U752" t="str">
            <v>ORD</v>
          </cell>
          <cell r="V752" t="str">
            <v>RN</v>
          </cell>
          <cell r="W752" t="str">
            <v>L</v>
          </cell>
          <cell r="X752" t="str">
            <v>P</v>
          </cell>
        </row>
        <row r="753">
          <cell r="B753">
            <v>4111</v>
          </cell>
          <cell r="C753" t="str">
            <v>ACQUISITION DES MOTEURS ELECTRIQUES DE PUISSANCE INFERIEURE OU EGALE A 7,5 KW</v>
          </cell>
          <cell r="D753">
            <v>0</v>
          </cell>
          <cell r="E753">
            <v>1500000</v>
          </cell>
          <cell r="F753">
            <v>0</v>
          </cell>
          <cell r="G753">
            <v>0</v>
          </cell>
          <cell r="S753" t="str">
            <v>SAOUD</v>
          </cell>
          <cell r="T753" t="str">
            <v>R4</v>
          </cell>
          <cell r="U753" t="str">
            <v>ORD</v>
          </cell>
          <cell r="V753" t="str">
            <v>DN</v>
          </cell>
          <cell r="W753" t="str">
            <v>L</v>
          </cell>
          <cell r="X753" t="str">
            <v>P</v>
          </cell>
        </row>
        <row r="754">
          <cell r="B754">
            <v>4113</v>
          </cell>
          <cell r="C754" t="str">
            <v>Automatisation du système de gestion de carburant au secteur MEA</v>
          </cell>
          <cell r="D754">
            <v>0</v>
          </cell>
          <cell r="E754">
            <v>500000</v>
          </cell>
          <cell r="F754">
            <v>0</v>
          </cell>
          <cell r="G754">
            <v>0</v>
          </cell>
          <cell r="I754" t="str">
            <v>CONSUL</v>
          </cell>
          <cell r="J754" t="str">
            <v>AD</v>
          </cell>
          <cell r="K754" t="str">
            <v>DAM pour attribution</v>
          </cell>
          <cell r="L754">
            <v>144</v>
          </cell>
          <cell r="M754">
            <v>39156</v>
          </cell>
          <cell r="N754" t="str">
            <v>DAM-3125/07</v>
          </cell>
          <cell r="O754">
            <v>5484</v>
          </cell>
          <cell r="S754" t="str">
            <v>CHARKI</v>
          </cell>
          <cell r="T754" t="str">
            <v>R7</v>
          </cell>
          <cell r="U754" t="str">
            <v>ORD</v>
          </cell>
          <cell r="V754" t="str">
            <v>DN</v>
          </cell>
          <cell r="W754" t="str">
            <v>P</v>
          </cell>
          <cell r="X754" t="str">
            <v>P</v>
          </cell>
        </row>
        <row r="755">
          <cell r="B755">
            <v>4114</v>
          </cell>
          <cell r="C755" t="str">
            <v>RENOUVELLEMENT DE 16 CLIMATISEURS</v>
          </cell>
          <cell r="D755">
            <v>0</v>
          </cell>
          <cell r="E755">
            <v>136000</v>
          </cell>
          <cell r="F755">
            <v>0</v>
          </cell>
          <cell r="G755">
            <v>0</v>
          </cell>
          <cell r="I755" t="str">
            <v>CONSUL</v>
          </cell>
          <cell r="J755" t="str">
            <v>AD</v>
          </cell>
          <cell r="K755" t="str">
            <v>DAM pour attribution</v>
          </cell>
          <cell r="L755">
            <v>173</v>
          </cell>
          <cell r="M755">
            <v>39160</v>
          </cell>
          <cell r="N755" t="str">
            <v>DAM-07/07</v>
          </cell>
          <cell r="O755">
            <v>5925</v>
          </cell>
          <cell r="S755" t="str">
            <v>JARHOU</v>
          </cell>
          <cell r="T755" t="str">
            <v>R6</v>
          </cell>
          <cell r="U755" t="str">
            <v>ADM</v>
          </cell>
          <cell r="V755" t="str">
            <v>RN</v>
          </cell>
          <cell r="W755" t="str">
            <v>L</v>
          </cell>
          <cell r="X755" t="str">
            <v>P</v>
          </cell>
        </row>
        <row r="756">
          <cell r="B756">
            <v>4119</v>
          </cell>
          <cell r="C756" t="str">
            <v>Augmentation de la capacité des convoyeurs DC1, DC2 et DC3</v>
          </cell>
          <cell r="D756">
            <v>0</v>
          </cell>
          <cell r="E756">
            <v>0</v>
          </cell>
          <cell r="F756">
            <v>4300000</v>
          </cell>
          <cell r="G756">
            <v>0</v>
          </cell>
          <cell r="I756" t="str">
            <v>CT</v>
          </cell>
          <cell r="J756" t="str">
            <v>DAC</v>
          </cell>
          <cell r="K756" t="str">
            <v>DPM en réponse aux remarques de DAC</v>
          </cell>
          <cell r="L756">
            <v>431</v>
          </cell>
          <cell r="M756">
            <v>39373</v>
          </cell>
          <cell r="N756" t="str">
            <v>DAM-17/07</v>
          </cell>
          <cell r="S756" t="str">
            <v>LEBBARDI</v>
          </cell>
          <cell r="T756" t="str">
            <v>R4</v>
          </cell>
          <cell r="U756" t="str">
            <v>ORD</v>
          </cell>
          <cell r="V756" t="str">
            <v>DN</v>
          </cell>
          <cell r="W756" t="str">
            <v>L</v>
          </cell>
          <cell r="X756" t="str">
            <v>P</v>
          </cell>
        </row>
        <row r="757">
          <cell r="B757">
            <v>4120</v>
          </cell>
          <cell r="C757" t="str">
            <v>Augmentation de la capacité du stock C</v>
          </cell>
          <cell r="D757">
            <v>0</v>
          </cell>
          <cell r="E757">
            <v>0</v>
          </cell>
          <cell r="F757">
            <v>4500000</v>
          </cell>
          <cell r="G757">
            <v>0</v>
          </cell>
          <cell r="S757" t="str">
            <v>LEBBARDI</v>
          </cell>
          <cell r="T757" t="str">
            <v>R4</v>
          </cell>
          <cell r="U757" t="str">
            <v>ORD</v>
          </cell>
          <cell r="V757" t="str">
            <v>DN</v>
          </cell>
          <cell r="W757" t="str">
            <v>L</v>
          </cell>
          <cell r="X757" t="str">
            <v>P</v>
          </cell>
        </row>
        <row r="758">
          <cell r="B758">
            <v>4121</v>
          </cell>
          <cell r="C758" t="str">
            <v>Achat d'un dumper pour les travaux d'hygiène pour PMK/TD/Z</v>
          </cell>
          <cell r="D758">
            <v>0</v>
          </cell>
          <cell r="E758">
            <v>160000</v>
          </cell>
          <cell r="F758">
            <v>0</v>
          </cell>
          <cell r="G758">
            <v>0</v>
          </cell>
          <cell r="I758" t="str">
            <v>CONSUL</v>
          </cell>
          <cell r="J758" t="str">
            <v>AD</v>
          </cell>
          <cell r="K758" t="str">
            <v>DAM pour attribution</v>
          </cell>
          <cell r="L758">
            <v>321</v>
          </cell>
          <cell r="M758">
            <v>39213</v>
          </cell>
          <cell r="N758" t="str">
            <v>DAM-89/07</v>
          </cell>
          <cell r="O758">
            <v>6769</v>
          </cell>
          <cell r="S758" t="str">
            <v>LEBBARDI</v>
          </cell>
          <cell r="T758" t="str">
            <v>R9</v>
          </cell>
          <cell r="U758" t="str">
            <v>ORD</v>
          </cell>
          <cell r="V758" t="str">
            <v>DN</v>
          </cell>
          <cell r="W758" t="str">
            <v>T</v>
          </cell>
          <cell r="X758" t="str">
            <v>P</v>
          </cell>
        </row>
        <row r="759">
          <cell r="B759">
            <v>4129</v>
          </cell>
          <cell r="C759" t="str">
            <v>Achat de 08 échelles pour PMK/TD/Z</v>
          </cell>
          <cell r="D759">
            <v>0</v>
          </cell>
          <cell r="E759">
            <v>24000</v>
          </cell>
          <cell r="F759">
            <v>0</v>
          </cell>
          <cell r="G759">
            <v>0</v>
          </cell>
          <cell r="I759" t="str">
            <v>CONSUL</v>
          </cell>
          <cell r="J759" t="str">
            <v>AD</v>
          </cell>
          <cell r="K759" t="str">
            <v>DAM pour attribution</v>
          </cell>
          <cell r="L759">
            <v>150</v>
          </cell>
          <cell r="M759">
            <v>39156</v>
          </cell>
          <cell r="N759" t="str">
            <v>DAM-45/07</v>
          </cell>
          <cell r="O759">
            <v>5834</v>
          </cell>
          <cell r="S759" t="str">
            <v>LEBBARDI</v>
          </cell>
          <cell r="T759" t="str">
            <v>R2</v>
          </cell>
          <cell r="U759" t="str">
            <v>ORD</v>
          </cell>
          <cell r="V759" t="str">
            <v>DN</v>
          </cell>
          <cell r="W759" t="str">
            <v>T</v>
          </cell>
          <cell r="X759" t="str">
            <v>P</v>
          </cell>
        </row>
        <row r="760">
          <cell r="B760">
            <v>4141</v>
          </cell>
          <cell r="C760" t="str">
            <v>Fourniture et installation et mise en service des automates programmables pour les roue pelles et stockeuses au Parc El Wafi</v>
          </cell>
          <cell r="D760">
            <v>0</v>
          </cell>
          <cell r="E760">
            <v>1240000</v>
          </cell>
          <cell r="F760">
            <v>0</v>
          </cell>
          <cell r="G760">
            <v>0</v>
          </cell>
          <cell r="I760" t="str">
            <v>CONSUL</v>
          </cell>
          <cell r="J760" t="str">
            <v>AD</v>
          </cell>
          <cell r="K760" t="str">
            <v>DAM pour attribution</v>
          </cell>
          <cell r="L760">
            <v>389</v>
          </cell>
          <cell r="M760">
            <v>39248</v>
          </cell>
          <cell r="N760" t="str">
            <v>DAM-4511/07</v>
          </cell>
          <cell r="O760">
            <v>7079</v>
          </cell>
          <cell r="S760" t="str">
            <v>AIT HSSAINE</v>
          </cell>
          <cell r="T760" t="str">
            <v>R2</v>
          </cell>
          <cell r="U760" t="str">
            <v>ORD</v>
          </cell>
          <cell r="V760" t="str">
            <v>DN</v>
          </cell>
          <cell r="W760" t="str">
            <v>T</v>
          </cell>
          <cell r="X760" t="str">
            <v>P</v>
          </cell>
        </row>
        <row r="761">
          <cell r="B761">
            <v>4142</v>
          </cell>
          <cell r="C761" t="str">
            <v>Fourniture et installation et mise en service de 02 lignes életriques aériennes</v>
          </cell>
          <cell r="D761">
            <v>0</v>
          </cell>
          <cell r="E761">
            <v>1350000</v>
          </cell>
          <cell r="F761">
            <v>0</v>
          </cell>
          <cell r="G761">
            <v>0</v>
          </cell>
          <cell r="I761" t="str">
            <v>CT</v>
          </cell>
          <cell r="J761" t="str">
            <v>DAC</v>
          </cell>
          <cell r="K761" t="str">
            <v>DPM en réponse aux remarques de DAC</v>
          </cell>
          <cell r="L761">
            <v>398</v>
          </cell>
          <cell r="M761">
            <v>39356</v>
          </cell>
          <cell r="N761" t="str">
            <v>DAM-4528/07</v>
          </cell>
          <cell r="S761" t="str">
            <v>AIT HSSAINE</v>
          </cell>
          <cell r="T761" t="str">
            <v>R2</v>
          </cell>
          <cell r="U761" t="str">
            <v>ORD</v>
          </cell>
          <cell r="V761" t="str">
            <v>DN</v>
          </cell>
          <cell r="W761" t="str">
            <v>T</v>
          </cell>
          <cell r="X761" t="str">
            <v>P</v>
          </cell>
        </row>
        <row r="762">
          <cell r="B762">
            <v>4144</v>
          </cell>
          <cell r="C762" t="str">
            <v>Renouvellement d'un groupe électrogène du décanteur de la laverie DAOUI</v>
          </cell>
          <cell r="D762">
            <v>0</v>
          </cell>
          <cell r="E762">
            <v>1100000</v>
          </cell>
          <cell r="F762">
            <v>0</v>
          </cell>
          <cell r="G762">
            <v>0</v>
          </cell>
          <cell r="I762" t="str">
            <v>CT</v>
          </cell>
          <cell r="J762" t="str">
            <v>CP</v>
          </cell>
          <cell r="K762" t="str">
            <v>DAM en retour au CP, calendrier non respecter</v>
          </cell>
          <cell r="L762" t="str">
            <v>PLM-70</v>
          </cell>
          <cell r="M762">
            <v>39191</v>
          </cell>
          <cell r="N762" t="str">
            <v>DAM-13/07</v>
          </cell>
          <cell r="O762">
            <v>2047</v>
          </cell>
          <cell r="S762" t="str">
            <v>AIT HSSAINE</v>
          </cell>
          <cell r="T762" t="str">
            <v>R2</v>
          </cell>
          <cell r="U762" t="str">
            <v>ORD</v>
          </cell>
          <cell r="V762" t="str">
            <v>RN</v>
          </cell>
          <cell r="W762" t="str">
            <v>T</v>
          </cell>
          <cell r="X762" t="str">
            <v>P</v>
          </cell>
        </row>
        <row r="763">
          <cell r="B763">
            <v>4156</v>
          </cell>
          <cell r="C763" t="str">
            <v>Achat de 40 extincteurs à poudre polyvalente et une camera radar pour le service de sécurité de PMK/T</v>
          </cell>
          <cell r="D763">
            <v>0</v>
          </cell>
          <cell r="E763">
            <v>108000</v>
          </cell>
          <cell r="F763">
            <v>0</v>
          </cell>
          <cell r="G763">
            <v>0</v>
          </cell>
          <cell r="I763" t="str">
            <v>CONSUL</v>
          </cell>
          <cell r="J763" t="str">
            <v>AD</v>
          </cell>
          <cell r="K763" t="str">
            <v>DAM pour consultation</v>
          </cell>
          <cell r="L763">
            <v>225</v>
          </cell>
          <cell r="M763">
            <v>39185</v>
          </cell>
          <cell r="N763" t="str">
            <v>DAM-60/07</v>
          </cell>
          <cell r="O763">
            <v>6338</v>
          </cell>
          <cell r="S763" t="str">
            <v>ASSOUD</v>
          </cell>
          <cell r="T763" t="str">
            <v>R7</v>
          </cell>
          <cell r="U763" t="str">
            <v>ORD</v>
          </cell>
          <cell r="V763" t="str">
            <v>DN</v>
          </cell>
          <cell r="W763" t="str">
            <v>T</v>
          </cell>
          <cell r="X763" t="str">
            <v>P</v>
          </cell>
        </row>
        <row r="764">
          <cell r="B764">
            <v>4158</v>
          </cell>
          <cell r="C764" t="str">
            <v>Achat d'un répartiteur d'échantillons et Kit de mesure</v>
          </cell>
          <cell r="D764">
            <v>0</v>
          </cell>
          <cell r="E764">
            <v>80000</v>
          </cell>
          <cell r="F764">
            <v>0</v>
          </cell>
          <cell r="G764">
            <v>0</v>
          </cell>
          <cell r="I764" t="str">
            <v>CONSUL</v>
          </cell>
          <cell r="J764" t="str">
            <v>AD</v>
          </cell>
          <cell r="K764" t="str">
            <v>DAM pour attribution</v>
          </cell>
          <cell r="L764">
            <v>57</v>
          </cell>
          <cell r="M764">
            <v>39129</v>
          </cell>
          <cell r="N764" t="str">
            <v>DAM-25</v>
          </cell>
          <cell r="O764">
            <v>5332</v>
          </cell>
          <cell r="S764" t="str">
            <v>MOUNTASSIR</v>
          </cell>
          <cell r="T764" t="str">
            <v>R5</v>
          </cell>
          <cell r="U764" t="str">
            <v>ETUDES ET ESSAIS</v>
          </cell>
          <cell r="V764" t="str">
            <v>DN</v>
          </cell>
          <cell r="W764" t="str">
            <v>T</v>
          </cell>
          <cell r="X764" t="str">
            <v>P</v>
          </cell>
        </row>
        <row r="765">
          <cell r="B765">
            <v>4163</v>
          </cell>
          <cell r="C765" t="str">
            <v>Renouvellement d'une balance de précision pour le laboratoire secondaire de l'usine de l'enrichissement à sec</v>
          </cell>
          <cell r="D765">
            <v>0</v>
          </cell>
          <cell r="E765">
            <v>40000</v>
          </cell>
          <cell r="F765">
            <v>0</v>
          </cell>
          <cell r="G765">
            <v>0</v>
          </cell>
          <cell r="K765" t="str">
            <v>Annulé</v>
          </cell>
          <cell r="S765" t="str">
            <v>NOUARI</v>
          </cell>
          <cell r="T765" t="str">
            <v>R5</v>
          </cell>
          <cell r="U765" t="str">
            <v>ETUDES ET ESSAIS</v>
          </cell>
          <cell r="V765" t="str">
            <v>RN</v>
          </cell>
          <cell r="W765" t="str">
            <v>T</v>
          </cell>
          <cell r="X765" t="str">
            <v>P</v>
          </cell>
        </row>
        <row r="766">
          <cell r="B766">
            <v>4171</v>
          </cell>
          <cell r="C766" t="str">
            <v>Achat de matériel et outillage pour les travaux de vulcanisation 
01 Presse pour vulcanisation des bandes et une presse pour réparation des bandes</v>
          </cell>
          <cell r="D766">
            <v>0</v>
          </cell>
          <cell r="E766">
            <v>3000000</v>
          </cell>
          <cell r="F766">
            <v>0</v>
          </cell>
          <cell r="G766">
            <v>0</v>
          </cell>
          <cell r="I766" t="str">
            <v>CT</v>
          </cell>
          <cell r="J766" t="str">
            <v>CP</v>
          </cell>
          <cell r="K766" t="str">
            <v>En retour suite aux remarques DAC</v>
          </cell>
          <cell r="L766">
            <v>231</v>
          </cell>
          <cell r="M766">
            <v>39185</v>
          </cell>
          <cell r="N766" t="str">
            <v>DAM-58/07</v>
          </cell>
          <cell r="S766" t="str">
            <v>LATRACH</v>
          </cell>
          <cell r="T766" t="str">
            <v>R2</v>
          </cell>
          <cell r="U766" t="str">
            <v>ORD</v>
          </cell>
          <cell r="V766" t="str">
            <v>DN</v>
          </cell>
          <cell r="W766" t="str">
            <v>T</v>
          </cell>
          <cell r="X766" t="str">
            <v>P</v>
          </cell>
        </row>
        <row r="767">
          <cell r="B767">
            <v>4175</v>
          </cell>
          <cell r="C767" t="str">
            <v>Achat du matériel pour les ateliers centralisés de PMK/TM/C</v>
          </cell>
          <cell r="D767">
            <v>0</v>
          </cell>
          <cell r="E767">
            <v>2800000</v>
          </cell>
          <cell r="F767">
            <v>0</v>
          </cell>
          <cell r="G767">
            <v>0</v>
          </cell>
          <cell r="S767" t="str">
            <v>LAHMIDI</v>
          </cell>
          <cell r="T767" t="str">
            <v>R2</v>
          </cell>
          <cell r="U767" t="str">
            <v>ORD</v>
          </cell>
          <cell r="V767" t="str">
            <v>DN</v>
          </cell>
          <cell r="W767" t="str">
            <v>T</v>
          </cell>
          <cell r="X767" t="str">
            <v>P</v>
          </cell>
        </row>
        <row r="768">
          <cell r="B768">
            <v>4175</v>
          </cell>
          <cell r="C768" t="str">
            <v>Achat du matériel pour les ateliers mécaniques des locotracteurs</v>
          </cell>
          <cell r="I768" t="str">
            <v>CT</v>
          </cell>
          <cell r="J768" t="str">
            <v>DAC/TM</v>
          </cell>
          <cell r="K768" t="str">
            <v>DAM envoyées pour CT</v>
          </cell>
          <cell r="N768" t="str">
            <v>DAM de 39 à 44</v>
          </cell>
          <cell r="S768" t="str">
            <v>LAHMIDI</v>
          </cell>
          <cell r="T768" t="str">
            <v>R2</v>
          </cell>
          <cell r="U768" t="str">
            <v>ORD</v>
          </cell>
          <cell r="V768" t="str">
            <v>DN</v>
          </cell>
          <cell r="W768" t="str">
            <v>T</v>
          </cell>
          <cell r="X768" t="str">
            <v>P</v>
          </cell>
        </row>
        <row r="769">
          <cell r="B769">
            <v>4175</v>
          </cell>
          <cell r="C769" t="str">
            <v>Matériel hydraulique</v>
          </cell>
          <cell r="I769" t="str">
            <v>CT</v>
          </cell>
          <cell r="J769" t="str">
            <v>CP</v>
          </cell>
          <cell r="K769" t="str">
            <v>En retour suite aux remarques DAC</v>
          </cell>
          <cell r="L769">
            <v>213</v>
          </cell>
          <cell r="M769">
            <v>39185</v>
          </cell>
          <cell r="N769" t="str">
            <v>DAM-31</v>
          </cell>
          <cell r="S769" t="str">
            <v>LAHMIDI</v>
          </cell>
          <cell r="T769" t="str">
            <v>R2</v>
          </cell>
          <cell r="U769" t="str">
            <v>ORD</v>
          </cell>
          <cell r="V769" t="str">
            <v>DN</v>
          </cell>
          <cell r="W769" t="str">
            <v>T</v>
          </cell>
          <cell r="X769" t="str">
            <v>P</v>
          </cell>
        </row>
        <row r="770">
          <cell r="B770">
            <v>4175</v>
          </cell>
          <cell r="C770" t="str">
            <v>Matériel de soudage</v>
          </cell>
          <cell r="I770" t="str">
            <v>CT</v>
          </cell>
          <cell r="J770" t="str">
            <v>CP</v>
          </cell>
          <cell r="K770" t="str">
            <v>En retour suite aux remarques DAC</v>
          </cell>
          <cell r="L770">
            <v>213</v>
          </cell>
          <cell r="M770">
            <v>39185</v>
          </cell>
          <cell r="N770" t="str">
            <v>DAM-30</v>
          </cell>
          <cell r="S770" t="str">
            <v>LAHMIDI</v>
          </cell>
          <cell r="T770" t="str">
            <v>R2</v>
          </cell>
          <cell r="U770" t="str">
            <v>ORD</v>
          </cell>
          <cell r="V770" t="str">
            <v>DN</v>
          </cell>
          <cell r="W770" t="str">
            <v>T</v>
          </cell>
          <cell r="X770" t="str">
            <v>P</v>
          </cell>
        </row>
        <row r="771">
          <cell r="B771">
            <v>4180</v>
          </cell>
          <cell r="C771" t="str">
            <v>Achat de 04 bascules intégratrices pour la station de chargement de l'unité de Béni-Idir</v>
          </cell>
          <cell r="D771">
            <v>0</v>
          </cell>
          <cell r="E771">
            <v>490000</v>
          </cell>
          <cell r="F771">
            <v>0</v>
          </cell>
          <cell r="G771">
            <v>0</v>
          </cell>
          <cell r="I771" t="str">
            <v>CONSUL</v>
          </cell>
          <cell r="J771" t="str">
            <v>AD</v>
          </cell>
          <cell r="K771" t="str">
            <v>DAM pour attribution</v>
          </cell>
          <cell r="L771">
            <v>206</v>
          </cell>
          <cell r="M771">
            <v>39176</v>
          </cell>
          <cell r="N771" t="str">
            <v>DAM-48/07</v>
          </cell>
          <cell r="O771">
            <v>5985</v>
          </cell>
          <cell r="S771" t="str">
            <v>HADINI</v>
          </cell>
          <cell r="T771" t="str">
            <v>R2</v>
          </cell>
          <cell r="U771" t="str">
            <v>ORD</v>
          </cell>
          <cell r="V771" t="str">
            <v>DN</v>
          </cell>
          <cell r="W771" t="str">
            <v>T</v>
          </cell>
          <cell r="X771" t="str">
            <v>P</v>
          </cell>
        </row>
        <row r="772">
          <cell r="B772">
            <v>4181</v>
          </cell>
          <cell r="C772" t="str">
            <v>Achat des postes émetteurs / récepteurs pour la direction PMK/T</v>
          </cell>
          <cell r="D772">
            <v>0</v>
          </cell>
          <cell r="E772">
            <v>1000000</v>
          </cell>
          <cell r="F772">
            <v>415000</v>
          </cell>
          <cell r="G772">
            <v>0</v>
          </cell>
          <cell r="S772" t="str">
            <v>HADINI</v>
          </cell>
          <cell r="T772" t="str">
            <v>R2</v>
          </cell>
          <cell r="U772" t="str">
            <v>ORD</v>
          </cell>
          <cell r="V772" t="str">
            <v>DN</v>
          </cell>
          <cell r="W772" t="str">
            <v>T</v>
          </cell>
          <cell r="X772" t="str">
            <v>P</v>
          </cell>
        </row>
        <row r="773">
          <cell r="B773">
            <v>4182</v>
          </cell>
          <cell r="C773" t="str">
            <v>Achat des chargeurs de batteries pour les postes électriques des installations de PMK/TB</v>
          </cell>
          <cell r="D773">
            <v>0</v>
          </cell>
          <cell r="E773">
            <v>490000</v>
          </cell>
          <cell r="F773">
            <v>0</v>
          </cell>
          <cell r="G773">
            <v>0</v>
          </cell>
          <cell r="I773" t="str">
            <v>CONSUL</v>
          </cell>
          <cell r="J773" t="str">
            <v>AD</v>
          </cell>
          <cell r="K773" t="str">
            <v>DAM pour attribution</v>
          </cell>
          <cell r="L773">
            <v>254</v>
          </cell>
          <cell r="M773">
            <v>39195</v>
          </cell>
          <cell r="N773" t="str">
            <v>DAM-50/07</v>
          </cell>
          <cell r="O773">
            <v>6451</v>
          </cell>
          <cell r="S773" t="str">
            <v>HADINI</v>
          </cell>
          <cell r="T773" t="str">
            <v>R2</v>
          </cell>
          <cell r="U773" t="str">
            <v>ORD</v>
          </cell>
          <cell r="V773" t="str">
            <v>DN</v>
          </cell>
          <cell r="W773" t="str">
            <v>T</v>
          </cell>
          <cell r="X773" t="str">
            <v>P</v>
          </cell>
        </row>
        <row r="774">
          <cell r="B774">
            <v>4185</v>
          </cell>
          <cell r="C774" t="str">
            <v>Fourniture et installation de 08 cheminées des fours sécheurs de Béni-Idir</v>
          </cell>
          <cell r="D774">
            <v>0</v>
          </cell>
          <cell r="E774">
            <v>4500000</v>
          </cell>
          <cell r="F774">
            <v>0</v>
          </cell>
          <cell r="G774">
            <v>0</v>
          </cell>
          <cell r="S774" t="str">
            <v>JERRAR</v>
          </cell>
          <cell r="T774" t="str">
            <v>R2</v>
          </cell>
          <cell r="U774" t="str">
            <v>ORD</v>
          </cell>
          <cell r="V774" t="str">
            <v>DN</v>
          </cell>
          <cell r="W774" t="str">
            <v>T</v>
          </cell>
          <cell r="X774" t="str">
            <v>P</v>
          </cell>
        </row>
        <row r="775">
          <cell r="B775">
            <v>4186</v>
          </cell>
          <cell r="C775" t="str">
            <v>Renouvellement des équipements des ateliers mécaniques de Béni-Idir</v>
          </cell>
          <cell r="D775">
            <v>0</v>
          </cell>
          <cell r="E775">
            <v>1000000</v>
          </cell>
          <cell r="F775">
            <v>1000000</v>
          </cell>
          <cell r="G775">
            <v>0</v>
          </cell>
          <cell r="S775" t="str">
            <v>JERRAR</v>
          </cell>
          <cell r="T775" t="str">
            <v>R2</v>
          </cell>
          <cell r="U775" t="str">
            <v>ORD</v>
          </cell>
          <cell r="V775" t="str">
            <v>RN</v>
          </cell>
          <cell r="W775" t="str">
            <v>T</v>
          </cell>
          <cell r="X775" t="str">
            <v>P</v>
          </cell>
        </row>
        <row r="776">
          <cell r="B776">
            <v>4188</v>
          </cell>
          <cell r="C776" t="str">
            <v>Renouvellement d'outillage pour l'atelier mécanique de PMK/TB</v>
          </cell>
          <cell r="D776">
            <v>0</v>
          </cell>
          <cell r="E776">
            <v>2000000</v>
          </cell>
          <cell r="F776">
            <v>2466000</v>
          </cell>
          <cell r="G776">
            <v>0</v>
          </cell>
          <cell r="S776" t="str">
            <v>JERRAR</v>
          </cell>
          <cell r="T776" t="str">
            <v>R2</v>
          </cell>
          <cell r="U776" t="str">
            <v>ORD</v>
          </cell>
          <cell r="V776" t="str">
            <v>RN</v>
          </cell>
          <cell r="W776" t="str">
            <v>T</v>
          </cell>
          <cell r="X776" t="str">
            <v>P</v>
          </cell>
        </row>
        <row r="777">
          <cell r="B777">
            <v>4189</v>
          </cell>
          <cell r="C777" t="str">
            <v>Renouvellement de 70 réducteurs de vitesse des installations de PMK/TB</v>
          </cell>
          <cell r="D777">
            <v>0</v>
          </cell>
          <cell r="E777">
            <v>4000000</v>
          </cell>
          <cell r="F777">
            <v>5000000</v>
          </cell>
          <cell r="G777">
            <v>0</v>
          </cell>
          <cell r="I777" t="str">
            <v>CT</v>
          </cell>
          <cell r="J777" t="str">
            <v>CP</v>
          </cell>
          <cell r="K777" t="str">
            <v>En retour suite aux remarques DAC</v>
          </cell>
          <cell r="L777">
            <v>231</v>
          </cell>
          <cell r="M777">
            <v>39185</v>
          </cell>
          <cell r="N777" t="str">
            <v>DAM-59/07</v>
          </cell>
          <cell r="S777" t="str">
            <v>JERRAR</v>
          </cell>
          <cell r="T777" t="str">
            <v>R2</v>
          </cell>
          <cell r="U777" t="str">
            <v>ORD</v>
          </cell>
          <cell r="V777" t="str">
            <v>RN</v>
          </cell>
          <cell r="W777" t="str">
            <v>T</v>
          </cell>
          <cell r="X777" t="str">
            <v>P</v>
          </cell>
        </row>
        <row r="778">
          <cell r="B778">
            <v>4192</v>
          </cell>
          <cell r="C778" t="str">
            <v>Renouvellement d'un tracteur et un chariot pour PMK/TB</v>
          </cell>
          <cell r="D778">
            <v>0</v>
          </cell>
          <cell r="E778">
            <v>480000</v>
          </cell>
          <cell r="F778">
            <v>0</v>
          </cell>
          <cell r="G778">
            <v>0</v>
          </cell>
          <cell r="S778" t="str">
            <v>JERRAR</v>
          </cell>
          <cell r="T778" t="str">
            <v>R9</v>
          </cell>
          <cell r="U778" t="str">
            <v>ORD</v>
          </cell>
          <cell r="V778" t="str">
            <v>RN</v>
          </cell>
          <cell r="W778" t="str">
            <v>T</v>
          </cell>
          <cell r="X778" t="str">
            <v>P</v>
          </cell>
        </row>
        <row r="779">
          <cell r="B779">
            <v>4194</v>
          </cell>
          <cell r="C779" t="str">
            <v>Renouvellement de 40 treuils des installations de PMK/TB</v>
          </cell>
          <cell r="D779">
            <v>0</v>
          </cell>
          <cell r="E779">
            <v>2000000</v>
          </cell>
          <cell r="F779">
            <v>2800000</v>
          </cell>
          <cell r="G779">
            <v>0</v>
          </cell>
          <cell r="I779" t="str">
            <v>CONSUL</v>
          </cell>
          <cell r="J779" t="str">
            <v>CP</v>
          </cell>
          <cell r="K779" t="str">
            <v>En retour Non respect du calendrier  DAM 2007 de PLM</v>
          </cell>
          <cell r="L779">
            <v>311</v>
          </cell>
          <cell r="M779">
            <v>39209</v>
          </cell>
          <cell r="N779" t="str">
            <v>DAM-88/07</v>
          </cell>
          <cell r="S779" t="str">
            <v>JERRAR</v>
          </cell>
          <cell r="T779" t="str">
            <v>R2</v>
          </cell>
          <cell r="U779" t="str">
            <v>ORD</v>
          </cell>
          <cell r="V779" t="str">
            <v>RN</v>
          </cell>
          <cell r="W779" t="str">
            <v>T</v>
          </cell>
          <cell r="X779" t="str">
            <v>P</v>
          </cell>
        </row>
        <row r="780">
          <cell r="B780">
            <v>4195</v>
          </cell>
          <cell r="C780" t="str">
            <v>Renouvellement de 10 enrouleurs de câbles des roue pelles et stockeuses à Béni-Idir</v>
          </cell>
          <cell r="D780">
            <v>0</v>
          </cell>
          <cell r="E780">
            <v>3000000</v>
          </cell>
          <cell r="F780">
            <v>0</v>
          </cell>
          <cell r="G780">
            <v>0</v>
          </cell>
          <cell r="S780" t="str">
            <v>JERRAR</v>
          </cell>
          <cell r="T780" t="str">
            <v>R2</v>
          </cell>
          <cell r="U780" t="str">
            <v>ORD</v>
          </cell>
          <cell r="V780" t="str">
            <v>RN</v>
          </cell>
          <cell r="W780" t="str">
            <v>T</v>
          </cell>
          <cell r="X780" t="str">
            <v>P</v>
          </cell>
        </row>
        <row r="781">
          <cell r="B781">
            <v>4196</v>
          </cell>
          <cell r="C781" t="str">
            <v>Renouvellement de 18 postes de soudage pour les ateliers mécaniques de PMK/TB</v>
          </cell>
          <cell r="D781">
            <v>0</v>
          </cell>
          <cell r="E781">
            <v>1000000</v>
          </cell>
          <cell r="F781">
            <v>1000000</v>
          </cell>
          <cell r="G781">
            <v>0</v>
          </cell>
          <cell r="I781" t="str">
            <v>CT</v>
          </cell>
          <cell r="J781" t="str">
            <v>CP</v>
          </cell>
          <cell r="K781" t="str">
            <v>DAM pour attribution</v>
          </cell>
          <cell r="L781">
            <v>282</v>
          </cell>
          <cell r="M781">
            <v>39205</v>
          </cell>
          <cell r="N781" t="str">
            <v>DAM-81/07</v>
          </cell>
          <cell r="S781" t="str">
            <v>JERRAR</v>
          </cell>
          <cell r="T781" t="str">
            <v>R2</v>
          </cell>
          <cell r="U781" t="str">
            <v>ORD</v>
          </cell>
          <cell r="V781" t="str">
            <v>RN</v>
          </cell>
          <cell r="W781" t="str">
            <v>T</v>
          </cell>
          <cell r="X781" t="str">
            <v>P</v>
          </cell>
        </row>
        <row r="782">
          <cell r="B782">
            <v>4208</v>
          </cell>
          <cell r="C782" t="str">
            <v>Acquisition de l'outillage pour les ateliers de maintenance électrique et régulation de PMK/TB</v>
          </cell>
          <cell r="D782">
            <v>0</v>
          </cell>
          <cell r="E782">
            <v>480000</v>
          </cell>
          <cell r="F782">
            <v>0</v>
          </cell>
          <cell r="G782">
            <v>0</v>
          </cell>
          <cell r="I782" t="str">
            <v>CONSUL</v>
          </cell>
          <cell r="J782" t="str">
            <v>AD</v>
          </cell>
          <cell r="K782" t="str">
            <v>DAM pour attribution</v>
          </cell>
          <cell r="L782">
            <v>477</v>
          </cell>
          <cell r="M782">
            <v>39310</v>
          </cell>
          <cell r="N782" t="str">
            <v>DAM-97/07</v>
          </cell>
          <cell r="S782" t="str">
            <v>HADINI</v>
          </cell>
          <cell r="T782" t="str">
            <v>R2</v>
          </cell>
          <cell r="U782" t="str">
            <v>ORD</v>
          </cell>
          <cell r="V782" t="str">
            <v>DN</v>
          </cell>
          <cell r="W782" t="str">
            <v>T</v>
          </cell>
          <cell r="X782" t="str">
            <v>P</v>
          </cell>
        </row>
        <row r="783">
          <cell r="B783">
            <v>4208</v>
          </cell>
          <cell r="C783" t="str">
            <v>Acquisition de l'outillage collectif de PMK/TB/M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I783" t="str">
            <v>CONSUL</v>
          </cell>
          <cell r="J783" t="str">
            <v>AD</v>
          </cell>
          <cell r="K783" t="str">
            <v>DAM pour attribution</v>
          </cell>
          <cell r="L783">
            <v>442</v>
          </cell>
          <cell r="M783">
            <v>39283</v>
          </cell>
          <cell r="N783" t="str">
            <v>DAM-96/07</v>
          </cell>
          <cell r="O783">
            <v>7577</v>
          </cell>
          <cell r="S783" t="str">
            <v>HADINI</v>
          </cell>
          <cell r="T783" t="str">
            <v>R2</v>
          </cell>
          <cell r="U783" t="str">
            <v>ORD</v>
          </cell>
          <cell r="V783" t="str">
            <v>DN</v>
          </cell>
          <cell r="W783" t="str">
            <v>T</v>
          </cell>
          <cell r="X783" t="str">
            <v>P</v>
          </cell>
        </row>
        <row r="784">
          <cell r="B784">
            <v>4208</v>
          </cell>
          <cell r="C784" t="str">
            <v>Acquisition de l'outillage collectif de PMK/TB/M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I784" t="str">
            <v>CONSUL</v>
          </cell>
          <cell r="J784" t="str">
            <v>AD</v>
          </cell>
          <cell r="K784" t="str">
            <v>DAM pour attribution</v>
          </cell>
          <cell r="L784">
            <v>341</v>
          </cell>
          <cell r="M784">
            <v>39219</v>
          </cell>
          <cell r="N784" t="str">
            <v>DAM-82/07</v>
          </cell>
          <cell r="O784">
            <v>6833</v>
          </cell>
          <cell r="S784" t="str">
            <v>HADINI</v>
          </cell>
          <cell r="T784" t="str">
            <v>R2</v>
          </cell>
          <cell r="U784" t="str">
            <v>ORD</v>
          </cell>
          <cell r="V784" t="str">
            <v>DN</v>
          </cell>
          <cell r="W784" t="str">
            <v>T</v>
          </cell>
          <cell r="X784" t="str">
            <v>P</v>
          </cell>
        </row>
        <row r="785">
          <cell r="B785">
            <v>4223</v>
          </cell>
          <cell r="C785" t="str">
            <v>AQUISITION D'UN TELECOPIEUR POUR PMK /IC</v>
          </cell>
          <cell r="D785">
            <v>11000</v>
          </cell>
          <cell r="E785">
            <v>11000</v>
          </cell>
          <cell r="F785">
            <v>0</v>
          </cell>
          <cell r="G785">
            <v>0</v>
          </cell>
          <cell r="I785" t="str">
            <v>CONSUL</v>
          </cell>
          <cell r="J785" t="str">
            <v>AD</v>
          </cell>
          <cell r="K785" t="str">
            <v>DAM pour attribution</v>
          </cell>
          <cell r="L785">
            <v>310</v>
          </cell>
          <cell r="M785">
            <v>39209</v>
          </cell>
          <cell r="N785" t="str">
            <v>DAM-02/07</v>
          </cell>
          <cell r="S785" t="str">
            <v>DERDAKI</v>
          </cell>
          <cell r="T785" t="str">
            <v>R6</v>
          </cell>
          <cell r="U785" t="str">
            <v>ADM</v>
          </cell>
          <cell r="V785" t="str">
            <v>DN</v>
          </cell>
          <cell r="W785" t="str">
            <v>AK</v>
          </cell>
          <cell r="X785" t="str">
            <v>P</v>
          </cell>
        </row>
        <row r="786">
          <cell r="B786">
            <v>4226</v>
          </cell>
          <cell r="C786" t="str">
            <v>Achat de matériel topographique</v>
          </cell>
          <cell r="D786">
            <v>10000</v>
          </cell>
          <cell r="E786">
            <v>10000</v>
          </cell>
          <cell r="F786">
            <v>0</v>
          </cell>
          <cell r="G786">
            <v>0</v>
          </cell>
          <cell r="I786" t="str">
            <v>CONSUL</v>
          </cell>
          <cell r="J786" t="str">
            <v>AD</v>
          </cell>
          <cell r="K786" t="str">
            <v>DAM pour attribution</v>
          </cell>
          <cell r="L786">
            <v>337</v>
          </cell>
          <cell r="M786">
            <v>39218</v>
          </cell>
          <cell r="N786" t="str">
            <v>DAM-7063/07</v>
          </cell>
          <cell r="O786">
            <v>6586</v>
          </cell>
          <cell r="S786" t="str">
            <v>CHEHTANE</v>
          </cell>
          <cell r="T786" t="str">
            <v>R6</v>
          </cell>
          <cell r="U786" t="str">
            <v>ADM</v>
          </cell>
          <cell r="V786" t="str">
            <v>DN</v>
          </cell>
          <cell r="W786" t="str">
            <v>P</v>
          </cell>
          <cell r="X786" t="str">
            <v>P</v>
          </cell>
        </row>
        <row r="787">
          <cell r="B787">
            <v>4254</v>
          </cell>
          <cell r="C787" t="str">
            <v xml:space="preserve"> MATERIEL LABORATOIRE DES BANDES
01 Appareil pour essai de torsion des fils métaliques</v>
          </cell>
          <cell r="D787">
            <v>0</v>
          </cell>
          <cell r="E787">
            <v>550000</v>
          </cell>
          <cell r="F787">
            <v>0</v>
          </cell>
          <cell r="G787">
            <v>0</v>
          </cell>
          <cell r="I787" t="str">
            <v>CONSUL</v>
          </cell>
          <cell r="J787" t="str">
            <v>AD</v>
          </cell>
          <cell r="K787" t="str">
            <v>DAM pour attribution</v>
          </cell>
          <cell r="L787">
            <v>66</v>
          </cell>
          <cell r="M787">
            <v>39129</v>
          </cell>
          <cell r="N787" t="str">
            <v>DAM-06/07</v>
          </cell>
          <cell r="O787">
            <v>5258</v>
          </cell>
          <cell r="S787" t="str">
            <v>BENZAKI</v>
          </cell>
          <cell r="T787" t="str">
            <v>R3</v>
          </cell>
          <cell r="U787" t="str">
            <v>ORD</v>
          </cell>
          <cell r="V787" t="str">
            <v>DN</v>
          </cell>
          <cell r="W787" t="str">
            <v>L</v>
          </cell>
          <cell r="X787" t="str">
            <v>P</v>
          </cell>
        </row>
        <row r="788">
          <cell r="B788">
            <v>4254</v>
          </cell>
          <cell r="C788" t="str">
            <v>04 Humidificateurs + 02 Deshumidificateurs</v>
          </cell>
          <cell r="I788" t="str">
            <v>CONSUL</v>
          </cell>
          <cell r="J788" t="str">
            <v>AD</v>
          </cell>
          <cell r="K788" t="str">
            <v>DAM pour attribution</v>
          </cell>
          <cell r="L788">
            <v>67</v>
          </cell>
          <cell r="M788">
            <v>39129</v>
          </cell>
          <cell r="N788" t="str">
            <v>DAM-07/07</v>
          </cell>
          <cell r="O788">
            <v>5283</v>
          </cell>
          <cell r="S788" t="str">
            <v>BENZAKI</v>
          </cell>
          <cell r="T788" t="str">
            <v>R3</v>
          </cell>
          <cell r="U788" t="str">
            <v>ORD</v>
          </cell>
          <cell r="V788" t="str">
            <v>DN</v>
          </cell>
          <cell r="W788" t="str">
            <v>L</v>
          </cell>
          <cell r="X788" t="str">
            <v>P</v>
          </cell>
        </row>
        <row r="789">
          <cell r="B789">
            <v>4263</v>
          </cell>
          <cell r="C789" t="str">
            <v>Renouvellement du mobilier de bureau pour les ateliers de maintenance électrique et régulation de PMK/TB</v>
          </cell>
          <cell r="D789">
            <v>0</v>
          </cell>
          <cell r="E789">
            <v>490000</v>
          </cell>
          <cell r="F789">
            <v>0</v>
          </cell>
          <cell r="G789">
            <v>0</v>
          </cell>
          <cell r="S789" t="str">
            <v>HADINI</v>
          </cell>
          <cell r="T789" t="str">
            <v>R6</v>
          </cell>
          <cell r="U789" t="str">
            <v>ADM</v>
          </cell>
          <cell r="V789" t="str">
            <v>DN</v>
          </cell>
          <cell r="W789" t="str">
            <v>T</v>
          </cell>
          <cell r="X789" t="str">
            <v>P</v>
          </cell>
        </row>
        <row r="790">
          <cell r="B790">
            <v>4270</v>
          </cell>
          <cell r="C790" t="str">
            <v>Augmentation du potentiel de décapage de PMK/P par l'acquisition d'une dragline et bulldozers</v>
          </cell>
          <cell r="D790">
            <v>55000000</v>
          </cell>
          <cell r="E790">
            <v>100000000</v>
          </cell>
          <cell r="F790">
            <v>100000000</v>
          </cell>
          <cell r="G790">
            <v>0</v>
          </cell>
          <cell r="I790" t="str">
            <v>CHT</v>
          </cell>
          <cell r="J790" t="str">
            <v>CP</v>
          </cell>
          <cell r="K790" t="str">
            <v>DAL approuvée DG de 200 000 000dh
CHT + offres des 7 bulls remis à M.FARAJ le 03/08/2007 suite à sa demande</v>
          </cell>
          <cell r="L790">
            <v>455</v>
          </cell>
          <cell r="M790">
            <v>39290</v>
          </cell>
          <cell r="N790" t="str">
            <v>DAM-6086/06</v>
          </cell>
          <cell r="S790" t="str">
            <v>HALMI</v>
          </cell>
          <cell r="T790" t="str">
            <v>R2</v>
          </cell>
          <cell r="U790" t="str">
            <v>ORD</v>
          </cell>
          <cell r="V790" t="str">
            <v>RN</v>
          </cell>
          <cell r="W790" t="str">
            <v>P</v>
          </cell>
          <cell r="X790" t="str">
            <v>P</v>
          </cell>
        </row>
        <row r="791">
          <cell r="B791">
            <v>4275</v>
          </cell>
          <cell r="C791" t="str">
            <v>Aménagement des ateliers de maintenance à COZ</v>
          </cell>
          <cell r="D791">
            <v>0</v>
          </cell>
          <cell r="E791">
            <v>1400000</v>
          </cell>
          <cell r="F791">
            <v>0</v>
          </cell>
          <cell r="G791">
            <v>0</v>
          </cell>
          <cell r="I791" t="str">
            <v>CONSUL</v>
          </cell>
          <cell r="J791" t="str">
            <v>AD</v>
          </cell>
          <cell r="K791" t="str">
            <v>DAM  pour attribution  (le necessaire fait et transmis directement par CP)</v>
          </cell>
          <cell r="L791" t="str">
            <v>DAC/TM-577</v>
          </cell>
          <cell r="M791">
            <v>39358</v>
          </cell>
          <cell r="N791" t="str">
            <v>DPM-4529</v>
          </cell>
          <cell r="S791" t="str">
            <v>CHNANI</v>
          </cell>
          <cell r="T791" t="str">
            <v>R6</v>
          </cell>
          <cell r="U791" t="str">
            <v>ADM</v>
          </cell>
          <cell r="V791" t="str">
            <v>DN</v>
          </cell>
          <cell r="W791" t="str">
            <v>T</v>
          </cell>
          <cell r="X791" t="str">
            <v>P</v>
          </cell>
        </row>
        <row r="792">
          <cell r="B792">
            <v>4301</v>
          </cell>
          <cell r="C792" t="str">
            <v>Matériel de santé et de sécurité</v>
          </cell>
          <cell r="D792">
            <v>38400</v>
          </cell>
          <cell r="E792">
            <v>38400</v>
          </cell>
          <cell r="F792">
            <v>0</v>
          </cell>
          <cell r="G792">
            <v>0</v>
          </cell>
          <cell r="I792" t="str">
            <v>CONSUL</v>
          </cell>
          <cell r="J792" t="str">
            <v>AD</v>
          </cell>
          <cell r="K792" t="str">
            <v>DAM pour attribution</v>
          </cell>
          <cell r="L792">
            <v>189</v>
          </cell>
          <cell r="M792">
            <v>39171</v>
          </cell>
          <cell r="N792" t="str">
            <v>DAM-7048/07</v>
          </cell>
          <cell r="O792">
            <v>6006</v>
          </cell>
          <cell r="S792" t="str">
            <v>SAAD</v>
          </cell>
          <cell r="T792" t="str">
            <v>R7</v>
          </cell>
          <cell r="U792" t="str">
            <v>MED</v>
          </cell>
          <cell r="V792" t="str">
            <v>DN</v>
          </cell>
          <cell r="W792" t="str">
            <v>P</v>
          </cell>
          <cell r="X792" t="str">
            <v>P</v>
          </cell>
        </row>
        <row r="793">
          <cell r="B793">
            <v>4909</v>
          </cell>
          <cell r="C793" t="str">
            <v>Renouvellement d'un banc d'essai pour moteurs diesel</v>
          </cell>
          <cell r="D793">
            <v>4000000</v>
          </cell>
          <cell r="E793">
            <v>4000000</v>
          </cell>
          <cell r="F793">
            <v>0</v>
          </cell>
          <cell r="G793">
            <v>0</v>
          </cell>
          <cell r="I793" t="str">
            <v>CT</v>
          </cell>
          <cell r="J793" t="str">
            <v>CP</v>
          </cell>
          <cell r="K793" t="str">
            <v>En retour suite aux remarques DAC</v>
          </cell>
          <cell r="L793">
            <v>159</v>
          </cell>
          <cell r="M793">
            <v>39156</v>
          </cell>
          <cell r="N793" t="str">
            <v>DAM-7028/07</v>
          </cell>
          <cell r="S793" t="str">
            <v>KHOUILI</v>
          </cell>
          <cell r="T793" t="str">
            <v>R2</v>
          </cell>
          <cell r="U793" t="str">
            <v>ORD</v>
          </cell>
          <cell r="V793" t="str">
            <v>RN</v>
          </cell>
          <cell r="W793" t="str">
            <v>P</v>
          </cell>
          <cell r="X793" t="str">
            <v>P</v>
          </cell>
        </row>
        <row r="794">
          <cell r="B794">
            <v>4975</v>
          </cell>
          <cell r="C794" t="str">
            <v>MISE A NIVEAU DU RESEAU HT DE LA ZONE KHOURIBGA</v>
          </cell>
          <cell r="D794">
            <v>0</v>
          </cell>
          <cell r="E794">
            <v>3500000</v>
          </cell>
          <cell r="F794">
            <v>0</v>
          </cell>
          <cell r="G794">
            <v>0</v>
          </cell>
          <cell r="S794" t="str">
            <v>SAOUD</v>
          </cell>
          <cell r="T794" t="str">
            <v>R4</v>
          </cell>
          <cell r="U794" t="str">
            <v>ORD</v>
          </cell>
          <cell r="V794" t="str">
            <v>DN</v>
          </cell>
          <cell r="W794" t="str">
            <v>L</v>
          </cell>
          <cell r="X794" t="str">
            <v>P</v>
          </cell>
        </row>
        <row r="795">
          <cell r="B795">
            <v>5010</v>
          </cell>
          <cell r="C795" t="str">
            <v>RENOUVELLEMENT D'UN CAMION DCI</v>
          </cell>
          <cell r="D795">
            <v>0</v>
          </cell>
          <cell r="E795">
            <v>0</v>
          </cell>
          <cell r="F795">
            <v>2600000</v>
          </cell>
          <cell r="G795">
            <v>0</v>
          </cell>
          <cell r="S795" t="str">
            <v>SAAD</v>
          </cell>
          <cell r="T795" t="str">
            <v>R7</v>
          </cell>
          <cell r="U795" t="str">
            <v>ORD</v>
          </cell>
          <cell r="V795" t="str">
            <v>RN</v>
          </cell>
          <cell r="W795" t="str">
            <v>L</v>
          </cell>
          <cell r="X795" t="str">
            <v>P</v>
          </cell>
        </row>
        <row r="796">
          <cell r="B796">
            <v>5366</v>
          </cell>
          <cell r="C796" t="str">
            <v>Rénovation du système d'entrainement du décanteur n°1 de la laverie DAOUI</v>
          </cell>
          <cell r="D796">
            <v>8000000</v>
          </cell>
          <cell r="E796">
            <v>8000000</v>
          </cell>
          <cell r="F796">
            <v>0</v>
          </cell>
          <cell r="G796">
            <v>0</v>
          </cell>
          <cell r="I796" t="str">
            <v>CONSUL</v>
          </cell>
          <cell r="J796" t="str">
            <v>PLM</v>
          </cell>
          <cell r="K796" t="str">
            <v>DAM pour attribution</v>
          </cell>
          <cell r="L796">
            <v>240</v>
          </cell>
          <cell r="M796">
            <v>39240</v>
          </cell>
          <cell r="N796" t="str">
            <v>DPM-08/07</v>
          </cell>
          <cell r="O796">
            <v>2253</v>
          </cell>
          <cell r="S796" t="str">
            <v>BENMAKHLOUF</v>
          </cell>
          <cell r="T796" t="str">
            <v>R2</v>
          </cell>
          <cell r="U796" t="str">
            <v>ORD</v>
          </cell>
          <cell r="V796" t="str">
            <v>DN</v>
          </cell>
          <cell r="W796" t="str">
            <v>T</v>
          </cell>
          <cell r="X796" t="str">
            <v>P</v>
          </cell>
        </row>
        <row r="797">
          <cell r="B797">
            <v>5367</v>
          </cell>
          <cell r="C797" t="str">
            <v>MATERIEL BUREAUTIQUE ET DE PROJECTION</v>
          </cell>
          <cell r="D797">
            <v>57000</v>
          </cell>
          <cell r="E797">
            <v>57000</v>
          </cell>
          <cell r="F797">
            <v>0</v>
          </cell>
          <cell r="G797">
            <v>0</v>
          </cell>
          <cell r="I797" t="str">
            <v>CONSUL</v>
          </cell>
          <cell r="J797" t="str">
            <v>AD</v>
          </cell>
          <cell r="K797" t="str">
            <v>DAM pour attribution</v>
          </cell>
          <cell r="L797">
            <v>409</v>
          </cell>
          <cell r="M797">
            <v>39260</v>
          </cell>
          <cell r="N797" t="str">
            <v>DAM-68/07</v>
          </cell>
          <cell r="S797" t="str">
            <v>TIBAR</v>
          </cell>
          <cell r="T797" t="str">
            <v>R8</v>
          </cell>
          <cell r="U797" t="str">
            <v>ADM</v>
          </cell>
          <cell r="V797" t="str">
            <v>DN</v>
          </cell>
          <cell r="W797" t="str">
            <v>TC</v>
          </cell>
          <cell r="X797" t="str">
            <v>P</v>
          </cell>
        </row>
        <row r="798">
          <cell r="B798">
            <v>5373</v>
          </cell>
          <cell r="C798" t="str">
            <v>Achat de matériel audio-visuel pour les salles de réunions de PMK/TM</v>
          </cell>
          <cell r="D798">
            <v>0</v>
          </cell>
          <cell r="E798">
            <v>100000</v>
          </cell>
          <cell r="F798">
            <v>0</v>
          </cell>
          <cell r="G798">
            <v>0</v>
          </cell>
          <cell r="I798" t="str">
            <v>CONSUL</v>
          </cell>
          <cell r="J798" t="str">
            <v>AD</v>
          </cell>
          <cell r="K798" t="str">
            <v>DAM pour attribution</v>
          </cell>
          <cell r="L798">
            <v>320</v>
          </cell>
          <cell r="M798">
            <v>39213</v>
          </cell>
          <cell r="N798" t="str">
            <v>DAM-70/07</v>
          </cell>
          <cell r="O798">
            <v>6756</v>
          </cell>
          <cell r="S798" t="str">
            <v>MANSOURI</v>
          </cell>
          <cell r="T798" t="str">
            <v>R6</v>
          </cell>
          <cell r="U798" t="str">
            <v>ADM</v>
          </cell>
          <cell r="V798" t="str">
            <v>DN</v>
          </cell>
          <cell r="W798" t="str">
            <v>T</v>
          </cell>
          <cell r="X798" t="str">
            <v>P</v>
          </cell>
        </row>
        <row r="799">
          <cell r="B799">
            <v>5382</v>
          </cell>
          <cell r="C799" t="str">
            <v>Renouvellement de mobiliers de bureau et de réfrigérateurs</v>
          </cell>
          <cell r="D799">
            <v>0</v>
          </cell>
          <cell r="E799">
            <v>61000</v>
          </cell>
          <cell r="F799">
            <v>0</v>
          </cell>
          <cell r="G799">
            <v>0</v>
          </cell>
          <cell r="I799" t="str">
            <v>CONSUL</v>
          </cell>
          <cell r="J799" t="str">
            <v>AD</v>
          </cell>
          <cell r="K799" t="str">
            <v>DAM pour attribution</v>
          </cell>
          <cell r="L799">
            <v>237</v>
          </cell>
          <cell r="M799">
            <v>39185</v>
          </cell>
          <cell r="N799" t="str">
            <v>DAM-7050/07</v>
          </cell>
          <cell r="O799">
            <v>6208</v>
          </cell>
          <cell r="S799" t="str">
            <v>EL BOUCHRIFI</v>
          </cell>
          <cell r="T799" t="str">
            <v>R6</v>
          </cell>
          <cell r="U799" t="str">
            <v>ORD</v>
          </cell>
          <cell r="V799" t="str">
            <v>RN</v>
          </cell>
          <cell r="W799" t="str">
            <v>P</v>
          </cell>
          <cell r="X799" t="str">
            <v>P</v>
          </cell>
        </row>
        <row r="800">
          <cell r="B800">
            <v>5431</v>
          </cell>
          <cell r="C800" t="str">
            <v>ACHAT D'UN CAMION NACELLE POUR PMK/TD</v>
          </cell>
          <cell r="D800">
            <v>0</v>
          </cell>
          <cell r="E800">
            <v>1300000</v>
          </cell>
          <cell r="F800">
            <v>0</v>
          </cell>
          <cell r="G800">
            <v>0</v>
          </cell>
          <cell r="S800" t="str">
            <v>CHNANI</v>
          </cell>
          <cell r="T800" t="str">
            <v>R9</v>
          </cell>
          <cell r="U800" t="str">
            <v>ORD</v>
          </cell>
          <cell r="V800" t="str">
            <v>DN</v>
          </cell>
          <cell r="W800" t="str">
            <v>T</v>
          </cell>
          <cell r="X800" t="str">
            <v>P</v>
          </cell>
        </row>
        <row r="801">
          <cell r="B801">
            <v>5432</v>
          </cell>
          <cell r="C801" t="str">
            <v>Renouvellement d'un compresseur d'air de la station de reprise des eaux claires de PMKTD</v>
          </cell>
          <cell r="D801">
            <v>0</v>
          </cell>
          <cell r="E801">
            <v>700000</v>
          </cell>
          <cell r="F801">
            <v>0</v>
          </cell>
          <cell r="G801">
            <v>0</v>
          </cell>
          <cell r="I801" t="str">
            <v>CONSUL</v>
          </cell>
          <cell r="J801" t="str">
            <v>PLM</v>
          </cell>
          <cell r="K801" t="str">
            <v>DAM pour attribution</v>
          </cell>
          <cell r="L801">
            <v>269</v>
          </cell>
          <cell r="M801">
            <v>39259</v>
          </cell>
          <cell r="N801" t="str">
            <v>DAM-84/07</v>
          </cell>
          <cell r="S801" t="str">
            <v>CHNANI</v>
          </cell>
          <cell r="T801" t="str">
            <v>R2</v>
          </cell>
          <cell r="U801" t="str">
            <v>ORD</v>
          </cell>
          <cell r="V801" t="str">
            <v>RN</v>
          </cell>
          <cell r="W801" t="str">
            <v>T</v>
          </cell>
          <cell r="X801" t="str">
            <v>P</v>
          </cell>
        </row>
        <row r="802">
          <cell r="B802">
            <v>5457</v>
          </cell>
          <cell r="C802" t="str">
            <v>Renouvellement du tracteur avec chariot remorque de PMK/TD/CM</v>
          </cell>
          <cell r="D802">
            <v>0</v>
          </cell>
          <cell r="E802">
            <v>400000</v>
          </cell>
          <cell r="F802">
            <v>0</v>
          </cell>
          <cell r="G802">
            <v>0</v>
          </cell>
          <cell r="S802" t="str">
            <v>LAHMIDI</v>
          </cell>
          <cell r="T802" t="str">
            <v>R2</v>
          </cell>
          <cell r="U802" t="str">
            <v>ORD</v>
          </cell>
          <cell r="V802" t="str">
            <v>RN</v>
          </cell>
          <cell r="W802" t="str">
            <v>T</v>
          </cell>
          <cell r="X802" t="str">
            <v>P</v>
          </cell>
        </row>
        <row r="803">
          <cell r="B803">
            <v>5458</v>
          </cell>
          <cell r="C803" t="str">
            <v>Renouvellement de 02 moteurs thermiques Diesel des locotracteurs de PMK/T</v>
          </cell>
          <cell r="D803">
            <v>0</v>
          </cell>
          <cell r="E803">
            <v>2000000</v>
          </cell>
          <cell r="F803">
            <v>0</v>
          </cell>
          <cell r="G803">
            <v>0</v>
          </cell>
          <cell r="I803" t="str">
            <v>CONSUL</v>
          </cell>
          <cell r="J803" t="str">
            <v>PLM</v>
          </cell>
          <cell r="K803" t="str">
            <v>DAM pour attribution (Approbation PMK)</v>
          </cell>
          <cell r="L803">
            <v>247</v>
          </cell>
          <cell r="M803">
            <v>39244</v>
          </cell>
          <cell r="N803" t="str">
            <v>DAM-29</v>
          </cell>
          <cell r="O803">
            <v>5458</v>
          </cell>
          <cell r="S803" t="str">
            <v>LAHMIDI</v>
          </cell>
          <cell r="T803" t="str">
            <v>R2</v>
          </cell>
          <cell r="U803" t="str">
            <v>ORD</v>
          </cell>
          <cell r="V803" t="str">
            <v>RN</v>
          </cell>
          <cell r="W803" t="str">
            <v>T</v>
          </cell>
          <cell r="X803" t="str">
            <v>P</v>
          </cell>
        </row>
        <row r="804">
          <cell r="B804">
            <v>5460</v>
          </cell>
          <cell r="C804" t="str">
            <v>Renouvellement de 03 chariots élévateurs à fourches de 5 000 Kg pour la manutention des modules à PMK/T</v>
          </cell>
          <cell r="D804">
            <v>0</v>
          </cell>
          <cell r="E804">
            <v>1800000</v>
          </cell>
          <cell r="F804">
            <v>0</v>
          </cell>
          <cell r="G804">
            <v>0</v>
          </cell>
          <cell r="I804" t="str">
            <v>CT</v>
          </cell>
          <cell r="J804" t="str">
            <v>DAC/TM</v>
          </cell>
          <cell r="K804" t="str">
            <v>DAM retour pour élement de réponse suite aux remarques DAC</v>
          </cell>
          <cell r="L804">
            <v>256</v>
          </cell>
          <cell r="M804">
            <v>39248</v>
          </cell>
          <cell r="N804" t="str">
            <v>DAM-37/07</v>
          </cell>
          <cell r="S804" t="str">
            <v>LAHMIDI</v>
          </cell>
          <cell r="T804" t="str">
            <v>R2</v>
          </cell>
          <cell r="U804" t="str">
            <v>ORD</v>
          </cell>
          <cell r="V804" t="str">
            <v>RN</v>
          </cell>
          <cell r="W804" t="str">
            <v>T</v>
          </cell>
          <cell r="X804" t="str">
            <v>P</v>
          </cell>
        </row>
        <row r="805">
          <cell r="B805">
            <v>5463</v>
          </cell>
          <cell r="C805" t="str">
            <v>Renouvellement des cribles des fours sécheurs</v>
          </cell>
          <cell r="D805">
            <v>0</v>
          </cell>
          <cell r="E805">
            <v>4000000</v>
          </cell>
          <cell r="F805">
            <v>0</v>
          </cell>
          <cell r="G805">
            <v>0</v>
          </cell>
          <cell r="I805" t="str">
            <v>CT</v>
          </cell>
          <cell r="J805" t="str">
            <v>DAC/TM</v>
          </cell>
          <cell r="K805" t="str">
            <v>DAM retour pour élement de réponse suite aux remarques DAC</v>
          </cell>
          <cell r="L805">
            <v>391</v>
          </cell>
          <cell r="M805">
            <v>39350</v>
          </cell>
          <cell r="N805" t="str">
            <v>DAM-100/07</v>
          </cell>
          <cell r="S805" t="str">
            <v>LEBBARDI</v>
          </cell>
          <cell r="T805" t="str">
            <v>R2</v>
          </cell>
          <cell r="U805" t="str">
            <v>ORD</v>
          </cell>
          <cell r="V805" t="str">
            <v>RN</v>
          </cell>
          <cell r="W805" t="str">
            <v>T</v>
          </cell>
          <cell r="X805" t="str">
            <v>P</v>
          </cell>
        </row>
        <row r="806">
          <cell r="B806">
            <v>5465</v>
          </cell>
          <cell r="C806" t="str">
            <v>Fourniture, installation et mise en service d'un central téléphonique au secteur DAOUI</v>
          </cell>
          <cell r="D806">
            <v>0</v>
          </cell>
          <cell r="E806">
            <v>4000000</v>
          </cell>
          <cell r="F806">
            <v>0</v>
          </cell>
          <cell r="G806">
            <v>0</v>
          </cell>
          <cell r="S806" t="str">
            <v>AIT HSSAINE</v>
          </cell>
          <cell r="T806" t="str">
            <v>R2</v>
          </cell>
          <cell r="U806" t="str">
            <v>ORD</v>
          </cell>
          <cell r="V806" t="str">
            <v>DN</v>
          </cell>
          <cell r="W806" t="str">
            <v>T</v>
          </cell>
          <cell r="X806" t="str">
            <v>P</v>
          </cell>
        </row>
        <row r="807">
          <cell r="B807">
            <v>5466</v>
          </cell>
          <cell r="C807" t="str">
            <v>Renouvellement de 03 fours à calcination</v>
          </cell>
          <cell r="D807">
            <v>0</v>
          </cell>
          <cell r="E807">
            <v>360000</v>
          </cell>
          <cell r="F807">
            <v>0</v>
          </cell>
          <cell r="G807">
            <v>0</v>
          </cell>
          <cell r="I807" t="str">
            <v>CONSUL</v>
          </cell>
          <cell r="J807" t="str">
            <v>AD</v>
          </cell>
          <cell r="K807" t="str">
            <v>DAM pour attribution</v>
          </cell>
          <cell r="L807">
            <v>174</v>
          </cell>
          <cell r="M807">
            <v>39160</v>
          </cell>
          <cell r="N807" t="str">
            <v>DAM-55/07</v>
          </cell>
          <cell r="S807" t="str">
            <v>KABBAGE</v>
          </cell>
          <cell r="T807" t="str">
            <v>R2</v>
          </cell>
          <cell r="U807" t="str">
            <v>ORD</v>
          </cell>
          <cell r="V807" t="str">
            <v>RN</v>
          </cell>
          <cell r="W807" t="str">
            <v>T</v>
          </cell>
          <cell r="X807" t="str">
            <v>P</v>
          </cell>
        </row>
        <row r="808">
          <cell r="B808">
            <v>5469</v>
          </cell>
          <cell r="C808" t="str">
            <v>APPAREIL PHOTO NUMERIQUE PROFESSIONNEL POUR ETABLISSEMENT DES CARTES DE TRAVAIL  ET APPAREIL POUR EDITION DES BADGES ET CARTES DE TRAVAIL.</v>
          </cell>
          <cell r="D808">
            <v>70000</v>
          </cell>
          <cell r="E808">
            <v>70000</v>
          </cell>
          <cell r="F808">
            <v>0</v>
          </cell>
          <cell r="G808">
            <v>0</v>
          </cell>
          <cell r="I808" t="str">
            <v>CONSUL</v>
          </cell>
          <cell r="J808" t="str">
            <v>AD</v>
          </cell>
          <cell r="K808" t="str">
            <v>DAM pour attribution envoyer directement</v>
          </cell>
          <cell r="L808" t="str">
            <v>AK-196</v>
          </cell>
          <cell r="M808">
            <v>39363</v>
          </cell>
          <cell r="N808" t="str">
            <v>DAM-151/07</v>
          </cell>
          <cell r="O808">
            <v>6427</v>
          </cell>
          <cell r="S808" t="str">
            <v>DERDAKI</v>
          </cell>
          <cell r="T808" t="str">
            <v>R6</v>
          </cell>
          <cell r="U808" t="str">
            <v>ADM</v>
          </cell>
          <cell r="V808" t="str">
            <v>DN</v>
          </cell>
          <cell r="W808" t="str">
            <v>AK</v>
          </cell>
          <cell r="X808" t="str">
            <v>P</v>
          </cell>
        </row>
        <row r="809">
          <cell r="B809">
            <v>5589</v>
          </cell>
          <cell r="C809" t="str">
            <v>Acquisition de mobilier de bureau pour PMK / AD
Achat d'un destructeur</v>
          </cell>
          <cell r="D809">
            <v>200000</v>
          </cell>
          <cell r="E809">
            <v>200000</v>
          </cell>
          <cell r="F809">
            <v>0</v>
          </cell>
          <cell r="G809">
            <v>0</v>
          </cell>
          <cell r="I809" t="str">
            <v>AVIS</v>
          </cell>
          <cell r="J809" t="str">
            <v>PFF</v>
          </cell>
          <cell r="K809" t="str">
            <v>DAM pour attribution + Pour avis en vue d'établir la DAC</v>
          </cell>
          <cell r="L809">
            <v>263</v>
          </cell>
          <cell r="M809">
            <v>39253</v>
          </cell>
          <cell r="N809" t="str">
            <v>DAM-04/07</v>
          </cell>
          <cell r="O809">
            <v>5911</v>
          </cell>
          <cell r="S809" t="str">
            <v>LARHZAOUI</v>
          </cell>
          <cell r="T809" t="str">
            <v>R6</v>
          </cell>
          <cell r="U809" t="str">
            <v>ADM</v>
          </cell>
          <cell r="V809" t="str">
            <v>DN</v>
          </cell>
          <cell r="W809" t="str">
            <v>AK</v>
          </cell>
          <cell r="X809" t="str">
            <v>P</v>
          </cell>
        </row>
        <row r="810">
          <cell r="B810">
            <v>5589</v>
          </cell>
          <cell r="C810" t="str">
            <v>Acquisition de mobilier de bureau pour PMK / AD
30 fauteuils, 40chaises, 10 bureaux et 10 armoires</v>
          </cell>
          <cell r="F810">
            <v>0</v>
          </cell>
          <cell r="G810">
            <v>0</v>
          </cell>
          <cell r="I810" t="str">
            <v>CONSUL</v>
          </cell>
          <cell r="J810" t="str">
            <v>AD</v>
          </cell>
          <cell r="K810" t="str">
            <v>DAM pour attribution</v>
          </cell>
          <cell r="L810">
            <v>202</v>
          </cell>
          <cell r="M810">
            <v>39176</v>
          </cell>
          <cell r="N810" t="str">
            <v>DAM-03/07</v>
          </cell>
          <cell r="O810">
            <v>5909</v>
          </cell>
          <cell r="S810" t="str">
            <v>LARHZAOUI</v>
          </cell>
          <cell r="T810" t="str">
            <v>R6</v>
          </cell>
          <cell r="U810" t="str">
            <v>ADM</v>
          </cell>
          <cell r="V810" t="str">
            <v>DN</v>
          </cell>
          <cell r="W810" t="str">
            <v>AK</v>
          </cell>
          <cell r="X810" t="str">
            <v>P</v>
          </cell>
        </row>
        <row r="811">
          <cell r="B811">
            <v>5590</v>
          </cell>
          <cell r="C811" t="str">
            <v>Renouvellement de climatiseurs pour PMK / AD</v>
          </cell>
          <cell r="D811">
            <v>200000</v>
          </cell>
          <cell r="E811">
            <v>200000</v>
          </cell>
          <cell r="F811">
            <v>0</v>
          </cell>
          <cell r="G811">
            <v>0</v>
          </cell>
          <cell r="I811" t="str">
            <v>AVIS</v>
          </cell>
          <cell r="J811" t="str">
            <v>PFF</v>
          </cell>
          <cell r="K811" t="str">
            <v>CHC transmis a AD (Demande d'accord dengagement n'est pas signée par PM) + Attente avis PFF pour établir DAC</v>
          </cell>
          <cell r="L811">
            <v>465</v>
          </cell>
          <cell r="M811">
            <v>39301</v>
          </cell>
          <cell r="N811" t="str">
            <v>DAM-02/07</v>
          </cell>
          <cell r="O811">
            <v>5912</v>
          </cell>
          <cell r="P811" t="str">
            <v>DKI-4029/070</v>
          </cell>
          <cell r="S811" t="str">
            <v>LARHZAOUI</v>
          </cell>
          <cell r="T811" t="str">
            <v>R6</v>
          </cell>
          <cell r="U811" t="str">
            <v>ADM</v>
          </cell>
          <cell r="V811" t="str">
            <v>RN</v>
          </cell>
          <cell r="W811" t="str">
            <v>AK</v>
          </cell>
          <cell r="X811" t="str">
            <v>P</v>
          </cell>
        </row>
        <row r="812">
          <cell r="B812">
            <v>5591</v>
          </cell>
          <cell r="C812" t="str">
            <v>BALANCE DE PRECISION POUR AD</v>
          </cell>
          <cell r="D812">
            <v>30000</v>
          </cell>
          <cell r="E812">
            <v>30000</v>
          </cell>
          <cell r="F812">
            <v>0</v>
          </cell>
          <cell r="G812">
            <v>0</v>
          </cell>
          <cell r="I812" t="str">
            <v>CHC</v>
          </cell>
          <cell r="J812" t="str">
            <v>AD</v>
          </cell>
          <cell r="K812" t="str">
            <v>CHC transmis a AD</v>
          </cell>
          <cell r="L812">
            <v>462</v>
          </cell>
          <cell r="M812">
            <v>39296</v>
          </cell>
          <cell r="N812" t="str">
            <v>DAM-05/07</v>
          </cell>
          <cell r="O812">
            <v>5886</v>
          </cell>
          <cell r="P812" t="str">
            <v>DKI-4030/070</v>
          </cell>
          <cell r="S812" t="str">
            <v>LARHZAOUI</v>
          </cell>
          <cell r="T812" t="str">
            <v>R6</v>
          </cell>
          <cell r="U812" t="str">
            <v>ADM</v>
          </cell>
          <cell r="V812" t="str">
            <v>DN</v>
          </cell>
          <cell r="W812" t="str">
            <v>AK</v>
          </cell>
          <cell r="X812" t="str">
            <v>P</v>
          </cell>
        </row>
        <row r="813">
          <cell r="B813">
            <v>5950</v>
          </cell>
          <cell r="C813" t="str">
            <v>EQUIPEMENT BUREAUTIQUE POUR LE MUSEE DE LA MINE DE KHOURIBGA</v>
          </cell>
          <cell r="D813">
            <v>111600</v>
          </cell>
          <cell r="I813" t="str">
            <v>lettre</v>
          </cell>
          <cell r="J813" t="str">
            <v>SDG</v>
          </cell>
          <cell r="K813" t="str">
            <v>Lettre d'accord pour attribution PM (explication par M.KAZZOUZI)
projet non approuvée</v>
          </cell>
          <cell r="L813">
            <v>487</v>
          </cell>
          <cell r="M813">
            <v>39318</v>
          </cell>
          <cell r="S813" t="str">
            <v>LARHZAOUI</v>
          </cell>
          <cell r="T813" t="str">
            <v>R6</v>
          </cell>
          <cell r="U813" t="str">
            <v>ADM</v>
          </cell>
          <cell r="V813" t="str">
            <v>DN</v>
          </cell>
          <cell r="W813" t="str">
            <v>L</v>
          </cell>
          <cell r="X813" t="str">
            <v>P</v>
          </cell>
        </row>
        <row r="814">
          <cell r="B814">
            <v>6109</v>
          </cell>
          <cell r="C814" t="str">
            <v>Réalisation d'une station de criblage de phosphate humide à 6mm</v>
          </cell>
          <cell r="D814">
            <v>0</v>
          </cell>
          <cell r="E814" t="str">
            <v>(20000000)</v>
          </cell>
          <cell r="I814" t="str">
            <v>AVIS</v>
          </cell>
          <cell r="J814" t="str">
            <v>PFF</v>
          </cell>
          <cell r="K814" t="str">
            <v>Pour avis en vue d'etablir la DAC et DAL
(FAX n° 500 du 31/08/2007 en reponse au CP)</v>
          </cell>
          <cell r="L814">
            <v>345</v>
          </cell>
          <cell r="M814">
            <v>39310</v>
          </cell>
          <cell r="S814" t="str">
            <v>BOUKAISSI</v>
          </cell>
          <cell r="T814" t="str">
            <v>R4</v>
          </cell>
          <cell r="U814" t="str">
            <v>ORD</v>
          </cell>
          <cell r="V814" t="str">
            <v>DN</v>
          </cell>
          <cell r="W814" t="str">
            <v>T</v>
          </cell>
          <cell r="X814" t="str">
            <v>P</v>
          </cell>
        </row>
        <row r="815">
          <cell r="B815">
            <v>6110</v>
          </cell>
          <cell r="C815" t="str">
            <v>Rénovation des automates et supervision des fours de BI</v>
          </cell>
          <cell r="D815">
            <v>0</v>
          </cell>
          <cell r="E815" t="str">
            <v>(9800000)</v>
          </cell>
          <cell r="I815" t="str">
            <v>CONSUL</v>
          </cell>
          <cell r="J815" t="str">
            <v>PLM</v>
          </cell>
          <cell r="K815" t="str">
            <v xml:space="preserve">DAM pour attribution </v>
          </cell>
          <cell r="L815">
            <v>424</v>
          </cell>
          <cell r="M815">
            <v>39373</v>
          </cell>
          <cell r="N815" t="str">
            <v>DAM-15/07</v>
          </cell>
          <cell r="O815">
            <v>2920</v>
          </cell>
          <cell r="S815" t="str">
            <v>HADINI</v>
          </cell>
          <cell r="T815" t="str">
            <v>R2</v>
          </cell>
          <cell r="U815" t="str">
            <v>ORD</v>
          </cell>
          <cell r="V815" t="str">
            <v>DN</v>
          </cell>
          <cell r="W815" t="str">
            <v>T</v>
          </cell>
          <cell r="X815" t="str">
            <v>P</v>
          </cell>
        </row>
        <row r="816">
          <cell r="B816">
            <v>6118</v>
          </cell>
          <cell r="C816" t="str">
            <v>Complément pour renouvellement de 2 sondeuses 45R</v>
          </cell>
          <cell r="D816">
            <v>351000</v>
          </cell>
          <cell r="S816" t="str">
            <v>LARHZAOUI</v>
          </cell>
          <cell r="T816" t="str">
            <v>R6</v>
          </cell>
          <cell r="U816" t="str">
            <v>ORD</v>
          </cell>
          <cell r="V816" t="str">
            <v>RN</v>
          </cell>
          <cell r="W816" t="str">
            <v>P</v>
          </cell>
          <cell r="X816" t="str">
            <v>P</v>
          </cell>
        </row>
        <row r="817">
          <cell r="B817">
            <v>6119</v>
          </cell>
          <cell r="C817" t="str">
            <v>Régularisation des immobilisations cédées par SOTREG à PMK/P</v>
          </cell>
          <cell r="D817">
            <v>700000</v>
          </cell>
          <cell r="I817" t="str">
            <v>AT.AE</v>
          </cell>
          <cell r="J817" t="str">
            <v>PFF</v>
          </cell>
          <cell r="K817" t="str">
            <v>DAE n° 6119_1 de 700 000,00</v>
          </cell>
          <cell r="L817">
            <v>420</v>
          </cell>
          <cell r="M817">
            <v>39372</v>
          </cell>
          <cell r="S817" t="str">
            <v>LARHZAOUI</v>
          </cell>
          <cell r="T817" t="str">
            <v>R6</v>
          </cell>
          <cell r="U817" t="str">
            <v>ADM</v>
          </cell>
          <cell r="V817" t="str">
            <v>DN</v>
          </cell>
          <cell r="W817" t="str">
            <v>P</v>
          </cell>
          <cell r="X817" t="str">
            <v>P</v>
          </cell>
        </row>
        <row r="818">
          <cell r="B818">
            <v>2887</v>
          </cell>
          <cell r="C818" t="str">
            <v>AUGMENTATION DE LA CAPACITE DES EXPEDITIONS DE PHOSPHATES DE BENI-IDIR</v>
          </cell>
          <cell r="D818">
            <v>9000000</v>
          </cell>
          <cell r="E818" t="str">
            <v>(18479000)</v>
          </cell>
          <cell r="F818">
            <v>0</v>
          </cell>
          <cell r="I818" t="str">
            <v>NOTE</v>
          </cell>
          <cell r="J818" t="str">
            <v>CEB</v>
          </cell>
          <cell r="K818" t="str">
            <v xml:space="preserve">DAL &amp; DAC approuvées par DG. Lettre PMK/IE/E-D 36 du 30/01/2007 de maintien du crédit de 9 MDH pour 2007 </v>
          </cell>
          <cell r="L818">
            <v>36</v>
          </cell>
          <cell r="M818">
            <v>39112</v>
          </cell>
          <cell r="S818" t="str">
            <v>BENCHEKROUN</v>
          </cell>
          <cell r="T818" t="str">
            <v>R1</v>
          </cell>
          <cell r="U818" t="str">
            <v>ORD</v>
          </cell>
          <cell r="V818" t="str">
            <v>DN</v>
          </cell>
          <cell r="W818" t="str">
            <v>T</v>
          </cell>
          <cell r="X818" t="str">
            <v>R</v>
          </cell>
        </row>
        <row r="819">
          <cell r="B819">
            <v>2887</v>
          </cell>
          <cell r="C819" t="str">
            <v>25 moteurs électriques</v>
          </cell>
          <cell r="F819">
            <v>0</v>
          </cell>
          <cell r="I819" t="str">
            <v>CHT</v>
          </cell>
          <cell r="J819" t="str">
            <v>PLM</v>
          </cell>
          <cell r="K819" t="str">
            <v>CHT envoyer pour attribution</v>
          </cell>
          <cell r="L819">
            <v>336</v>
          </cell>
          <cell r="M819">
            <v>39302</v>
          </cell>
          <cell r="N819" t="str">
            <v>DAM-162/06</v>
          </cell>
          <cell r="P819" t="str">
            <v>DP CAE 864E6042/60</v>
          </cell>
          <cell r="S819" t="str">
            <v>BENCHEKROUN</v>
          </cell>
          <cell r="T819" t="str">
            <v>R1</v>
          </cell>
          <cell r="U819" t="str">
            <v>ORD</v>
          </cell>
          <cell r="V819" t="str">
            <v>DN</v>
          </cell>
          <cell r="W819" t="str">
            <v>T</v>
          </cell>
          <cell r="X819" t="str">
            <v>R</v>
          </cell>
        </row>
        <row r="820">
          <cell r="B820">
            <v>2887</v>
          </cell>
          <cell r="C820" t="str">
            <v>10 moteurs électriques</v>
          </cell>
          <cell r="F820">
            <v>0</v>
          </cell>
          <cell r="I820" t="str">
            <v>CHT</v>
          </cell>
          <cell r="J820" t="str">
            <v>PLM</v>
          </cell>
          <cell r="K820" t="str">
            <v>CHT envoyer pour attribution</v>
          </cell>
          <cell r="L820">
            <v>337</v>
          </cell>
          <cell r="M820" t="str">
            <v>,</v>
          </cell>
          <cell r="N820" t="str">
            <v>DAM-162/06</v>
          </cell>
          <cell r="P820" t="str">
            <v>DP CAE 864E6042/60</v>
          </cell>
          <cell r="S820" t="str">
            <v>BENCHEKROUN</v>
          </cell>
          <cell r="T820" t="str">
            <v>R1</v>
          </cell>
          <cell r="U820" t="str">
            <v>ORD</v>
          </cell>
          <cell r="V820" t="str">
            <v>DN</v>
          </cell>
          <cell r="W820" t="str">
            <v>T</v>
          </cell>
          <cell r="X820" t="str">
            <v>R</v>
          </cell>
        </row>
        <row r="821">
          <cell r="B821">
            <v>4905</v>
          </cell>
          <cell r="C821" t="str">
            <v>Achat de 02 caméras infrarouge</v>
          </cell>
          <cell r="D821">
            <v>0</v>
          </cell>
          <cell r="E821">
            <v>0</v>
          </cell>
          <cell r="I821" t="str">
            <v>CONSUL</v>
          </cell>
          <cell r="J821" t="str">
            <v>PLM</v>
          </cell>
          <cell r="K821" t="str">
            <v>DAM pour attribution</v>
          </cell>
          <cell r="L821">
            <v>261</v>
          </cell>
          <cell r="M821">
            <v>39253</v>
          </cell>
          <cell r="N821" t="str">
            <v>DAM-7062/07</v>
          </cell>
          <cell r="O821">
            <v>2432</v>
          </cell>
          <cell r="S821" t="str">
            <v>MAGHRAOUI</v>
          </cell>
          <cell r="T821" t="str">
            <v>R2</v>
          </cell>
          <cell r="U821" t="str">
            <v>ORD</v>
          </cell>
          <cell r="V821" t="str">
            <v>DN</v>
          </cell>
          <cell r="W821" t="str">
            <v>P</v>
          </cell>
          <cell r="X821" t="str">
            <v>P</v>
          </cell>
        </row>
      </sheetData>
      <sheetData sheetId="3">
        <row r="4">
          <cell r="B4">
            <v>2594</v>
          </cell>
          <cell r="C4" t="str">
            <v>REMISE EN CONFORMITÉ DU STOCK ( A) DU COZ.</v>
          </cell>
          <cell r="D4">
            <v>12500000</v>
          </cell>
          <cell r="E4">
            <v>8000000</v>
          </cell>
          <cell r="H4" t="str">
            <v>CHC AVIS</v>
          </cell>
          <cell r="I4" t="str">
            <v>DAC -SDG</v>
          </cell>
          <cell r="J4" t="str">
            <v>DAC pour approbation par DG
CHC transmis à DAC pour CT</v>
          </cell>
          <cell r="K4">
            <v>274</v>
          </cell>
          <cell r="L4">
            <v>39261</v>
          </cell>
          <cell r="M4" t="str">
            <v>DPM-19/03</v>
          </cell>
          <cell r="N4" t="str">
            <v>AO-9411/03</v>
          </cell>
          <cell r="O4" t="str">
            <v>CHNANI</v>
          </cell>
          <cell r="P4" t="str">
            <v>ORD</v>
          </cell>
          <cell r="Q4" t="str">
            <v>T</v>
          </cell>
          <cell r="R4" t="str">
            <v>K04309</v>
          </cell>
          <cell r="S4" t="str">
            <v>R</v>
          </cell>
        </row>
        <row r="5">
          <cell r="B5">
            <v>2599</v>
          </cell>
          <cell r="C5" t="str">
            <v>LOCATION LONGUE DUREE DES VEHICULES - REPORT</v>
          </cell>
          <cell r="D5">
            <v>14000000</v>
          </cell>
          <cell r="E5">
            <v>14000000</v>
          </cell>
          <cell r="G5">
            <v>1346400</v>
          </cell>
          <cell r="H5" t="str">
            <v>ENG</v>
          </cell>
          <cell r="I5" t="str">
            <v>CP</v>
          </cell>
          <cell r="J5" t="str">
            <v>AE N°2599_3 de 933 600 dh et AE N°2599_4 de 412 800 dh
lettre d'accord transmise a PM PMK/LM/X-D n°06/07 du 15/10/07</v>
          </cell>
          <cell r="K5" t="str">
            <v>PFF 435
PFF 448</v>
          </cell>
          <cell r="L5" t="str">
            <v>29/05/2007
31/05/2007</v>
          </cell>
          <cell r="O5" t="str">
            <v>EL BAGHATI</v>
          </cell>
          <cell r="P5" t="str">
            <v>LOC</v>
          </cell>
          <cell r="Q5" t="str">
            <v>L</v>
          </cell>
          <cell r="R5" t="str">
            <v>K11636</v>
          </cell>
          <cell r="S5" t="str">
            <v>R</v>
          </cell>
        </row>
        <row r="6">
          <cell r="B6">
            <v>2601</v>
          </cell>
          <cell r="C6" t="str">
            <v>PROJETS MUSÉOLOGIQUES   GÉNÉRALITÉS</v>
          </cell>
          <cell r="D6">
            <v>7503260.7999999998</v>
          </cell>
          <cell r="E6">
            <v>7503260.7999999998</v>
          </cell>
          <cell r="H6" t="str">
            <v>DAC</v>
          </cell>
          <cell r="I6" t="str">
            <v>CP</v>
          </cell>
          <cell r="J6" t="str">
            <v>DAC/GT/PMK/054/2004 de 4300000 approuvée DG (2AE de 1770739 dh le 10/09/2004)</v>
          </cell>
          <cell r="O6" t="str">
            <v>ZAHRI</v>
          </cell>
          <cell r="P6" t="str">
            <v>ORD</v>
          </cell>
          <cell r="Q6" t="str">
            <v>L</v>
          </cell>
          <cell r="R6" t="str">
            <v>K11010</v>
          </cell>
          <cell r="S6" t="str">
            <v>R</v>
          </cell>
        </row>
        <row r="7">
          <cell r="B7">
            <v>2601</v>
          </cell>
          <cell r="C7" t="str">
            <v>REAMENAGEMENT DU MUSEE</v>
          </cell>
          <cell r="H7" t="str">
            <v>CHC</v>
          </cell>
          <cell r="I7" t="str">
            <v>AD</v>
          </cell>
          <cell r="J7" t="str">
            <v>CHC transmis à AD</v>
          </cell>
          <cell r="K7">
            <v>119</v>
          </cell>
          <cell r="L7">
            <v>39149</v>
          </cell>
          <cell r="M7" t="str">
            <v>DPM-03/06</v>
          </cell>
          <cell r="N7" t="str">
            <v>AO2137M71/06</v>
          </cell>
          <cell r="O7" t="str">
            <v>ZAHRI</v>
          </cell>
          <cell r="P7" t="str">
            <v>ORD</v>
          </cell>
          <cell r="Q7" t="str">
            <v>L</v>
          </cell>
          <cell r="R7" t="str">
            <v>K11010</v>
          </cell>
          <cell r="S7" t="str">
            <v>R</v>
          </cell>
        </row>
        <row r="8">
          <cell r="B8">
            <v>2601</v>
          </cell>
          <cell r="C8" t="str">
            <v xml:space="preserve">PROJTS MUSEOLOGIQUES ( CONFECTION DE PRÉSENTOIRS EN ALUMINIUM VITRÉS POUR L'EXPOSITION PALÉOTOLOGIQUE </v>
          </cell>
          <cell r="H8" t="str">
            <v>CHC</v>
          </cell>
          <cell r="I8" t="str">
            <v>AD</v>
          </cell>
          <cell r="J8" t="str">
            <v>CHC transmis à AD</v>
          </cell>
          <cell r="K8">
            <v>330</v>
          </cell>
          <cell r="L8">
            <v>39217</v>
          </cell>
          <cell r="M8" t="str">
            <v>DPM-04/04</v>
          </cell>
          <cell r="N8" t="str">
            <v>AO-1544/06</v>
          </cell>
          <cell r="O8" t="str">
            <v>ZAHRI</v>
          </cell>
          <cell r="P8" t="str">
            <v>ORD</v>
          </cell>
          <cell r="Q8" t="str">
            <v>L</v>
          </cell>
          <cell r="R8" t="str">
            <v>K11010</v>
          </cell>
          <cell r="S8" t="str">
            <v>R</v>
          </cell>
        </row>
        <row r="9">
          <cell r="B9">
            <v>2601</v>
          </cell>
          <cell r="C9" t="str">
            <v>REMISE EN ÉTAT DE LA TOITURE DU MUSÉE OCP À KHOURIBGA =810 000DH</v>
          </cell>
          <cell r="H9" t="str">
            <v>CONSUL</v>
          </cell>
          <cell r="I9" t="str">
            <v>AD</v>
          </cell>
          <cell r="J9" t="str">
            <v>DPM envoyée le 31/08/04</v>
          </cell>
          <cell r="M9" t="str">
            <v>DPM-06/04</v>
          </cell>
          <cell r="O9" t="str">
            <v>ZAHRI</v>
          </cell>
          <cell r="P9" t="str">
            <v>ORD</v>
          </cell>
          <cell r="Q9" t="str">
            <v>L</v>
          </cell>
          <cell r="R9" t="str">
            <v>K11010</v>
          </cell>
          <cell r="S9" t="str">
            <v>R</v>
          </cell>
        </row>
        <row r="10">
          <cell r="B10">
            <v>2601</v>
          </cell>
          <cell r="C10" t="str">
            <v>AMÉNAGEMENT DU DALLAGE AU SOL DU MUSÉE =240 000 DH</v>
          </cell>
          <cell r="H10" t="str">
            <v>CONSUL</v>
          </cell>
          <cell r="I10" t="str">
            <v>AD</v>
          </cell>
          <cell r="J10" t="str">
            <v>DPM envoyée le 10/09/04</v>
          </cell>
          <cell r="M10" t="str">
            <v>DPM-08/04</v>
          </cell>
          <cell r="O10" t="str">
            <v>ZAHRI</v>
          </cell>
          <cell r="P10" t="str">
            <v>ORD</v>
          </cell>
          <cell r="Q10" t="str">
            <v>L</v>
          </cell>
          <cell r="R10" t="str">
            <v>K11010</v>
          </cell>
          <cell r="S10" t="str">
            <v>R</v>
          </cell>
        </row>
        <row r="11">
          <cell r="B11">
            <v>2601</v>
          </cell>
          <cell r="C11" t="str">
            <v>AMÉNAGEMENT DE L'ENTRÉE PRINCIPALE DU MUSÉE =245 000 DH</v>
          </cell>
          <cell r="H11" t="str">
            <v>CONSUL</v>
          </cell>
          <cell r="I11" t="str">
            <v>AD</v>
          </cell>
          <cell r="J11" t="str">
            <v>DPM envoyée le 10/09/04</v>
          </cell>
          <cell r="M11" t="str">
            <v>DPM-09/04</v>
          </cell>
          <cell r="O11" t="str">
            <v>ZAHRI</v>
          </cell>
          <cell r="P11" t="str">
            <v>ORD</v>
          </cell>
          <cell r="Q11" t="str">
            <v>L</v>
          </cell>
          <cell r="R11" t="str">
            <v>K11010</v>
          </cell>
          <cell r="S11" t="str">
            <v>R</v>
          </cell>
        </row>
        <row r="12">
          <cell r="B12">
            <v>2601</v>
          </cell>
          <cell r="C12" t="str">
            <v>AMÉNAGEMENT DU BLOC SANITAIRE DU MUSÉE =245 000 DH</v>
          </cell>
          <cell r="H12" t="str">
            <v>CONSUL</v>
          </cell>
          <cell r="I12" t="str">
            <v>AD</v>
          </cell>
          <cell r="J12" t="str">
            <v>DPM envoyée le 10/09/04</v>
          </cell>
          <cell r="M12" t="str">
            <v>DPM-10/04</v>
          </cell>
          <cell r="O12" t="str">
            <v>ZAHRI</v>
          </cell>
          <cell r="P12" t="str">
            <v>ORD</v>
          </cell>
          <cell r="Q12" t="str">
            <v>L</v>
          </cell>
          <cell r="R12" t="str">
            <v>K11010</v>
          </cell>
          <cell r="S12" t="str">
            <v>R</v>
          </cell>
        </row>
        <row r="13">
          <cell r="B13">
            <v>2601</v>
          </cell>
          <cell r="C13" t="str">
            <v>RÉFECTION DE LA PEINTURE INTERIEURE ET EXTERIEUR DU MUSÉE = 250 000 DH</v>
          </cell>
          <cell r="H13" t="str">
            <v>CONSUL</v>
          </cell>
          <cell r="I13" t="str">
            <v>AD</v>
          </cell>
          <cell r="J13" t="str">
            <v>DPM envoyée le 10/09/04</v>
          </cell>
          <cell r="M13" t="str">
            <v>DPM-11/04</v>
          </cell>
          <cell r="O13" t="str">
            <v>ZAHRI</v>
          </cell>
          <cell r="P13" t="str">
            <v>ORD</v>
          </cell>
          <cell r="Q13" t="str">
            <v>L</v>
          </cell>
          <cell r="R13" t="str">
            <v>K11010</v>
          </cell>
          <cell r="S13" t="str">
            <v>R</v>
          </cell>
        </row>
        <row r="14">
          <cell r="B14">
            <v>2601</v>
          </cell>
          <cell r="C14" t="str">
            <v>AMÉNAGEMENT DU DALLAGE AU SOL L'ENTRÉE PRINCIPALE MUSÉE =248 000 DH</v>
          </cell>
          <cell r="H14" t="str">
            <v>CONSUL</v>
          </cell>
          <cell r="I14" t="str">
            <v>AD</v>
          </cell>
          <cell r="J14" t="str">
            <v>DPM envoyée le 10/09/04</v>
          </cell>
          <cell r="M14" t="str">
            <v>DPM-12/04</v>
          </cell>
          <cell r="O14" t="str">
            <v>ZAHRI</v>
          </cell>
          <cell r="P14" t="str">
            <v>ORD</v>
          </cell>
          <cell r="Q14" t="str">
            <v>L</v>
          </cell>
          <cell r="R14" t="str">
            <v>K11010</v>
          </cell>
          <cell r="S14" t="str">
            <v>R</v>
          </cell>
        </row>
        <row r="15">
          <cell r="B15">
            <v>2601</v>
          </cell>
          <cell r="C15" t="str">
            <v>REMISE EN ÉTAT ,FOURNI ET POSE 1 FAUX PLAFOND EN BOIS MUSÉE=250 000DH</v>
          </cell>
          <cell r="J15" t="str">
            <v xml:space="preserve">AE N°-21016-1 </v>
          </cell>
          <cell r="L15">
            <v>38352</v>
          </cell>
          <cell r="M15" t="str">
            <v>DPM-13/04</v>
          </cell>
          <cell r="O15" t="str">
            <v>ZAHRI</v>
          </cell>
          <cell r="P15" t="str">
            <v>ORD</v>
          </cell>
          <cell r="Q15" t="str">
            <v>L</v>
          </cell>
          <cell r="R15" t="str">
            <v>K11010</v>
          </cell>
          <cell r="S15" t="str">
            <v>R</v>
          </cell>
        </row>
        <row r="16">
          <cell r="B16">
            <v>2601</v>
          </cell>
          <cell r="C16" t="str">
            <v>REMISE EN ÉTAT DES CHASSIS VITRÈS METALLIQUES DES FAÇADES EST &amp; OUEST</v>
          </cell>
          <cell r="H16" t="str">
            <v>CONSUL</v>
          </cell>
          <cell r="I16" t="str">
            <v>AD</v>
          </cell>
          <cell r="J16" t="str">
            <v>DPM envoyée pour consultation</v>
          </cell>
          <cell r="L16">
            <v>38251</v>
          </cell>
          <cell r="M16" t="str">
            <v>DPM-14/04</v>
          </cell>
          <cell r="O16" t="str">
            <v>ZAHRI</v>
          </cell>
          <cell r="P16" t="str">
            <v>ORD</v>
          </cell>
          <cell r="Q16" t="str">
            <v>L</v>
          </cell>
          <cell r="R16" t="str">
            <v>K11010</v>
          </cell>
          <cell r="S16" t="str">
            <v>R</v>
          </cell>
        </row>
        <row r="17">
          <cell r="B17">
            <v>2601</v>
          </cell>
          <cell r="C17" t="str">
            <v>REMISE EN ÉTAT DES CHASSIS VITRÈS METALLIQUES DES FAÇADES NORD &amp; SUD</v>
          </cell>
          <cell r="H17" t="str">
            <v>CONSUL</v>
          </cell>
          <cell r="I17" t="str">
            <v>AD</v>
          </cell>
          <cell r="J17" t="str">
            <v>DPM envoyée pour consultation</v>
          </cell>
          <cell r="L17">
            <v>38251</v>
          </cell>
          <cell r="M17" t="str">
            <v>DPM-16/04</v>
          </cell>
          <cell r="O17" t="str">
            <v>ZAHRI</v>
          </cell>
          <cell r="P17" t="str">
            <v>ORD</v>
          </cell>
          <cell r="Q17" t="str">
            <v>L</v>
          </cell>
          <cell r="R17" t="str">
            <v>K11010</v>
          </cell>
          <cell r="S17" t="str">
            <v>R</v>
          </cell>
        </row>
        <row r="18">
          <cell r="B18">
            <v>2601</v>
          </cell>
          <cell r="C18" t="str">
            <v>CONSTRUCTION DES LOCAUX A USAGE COLLECTIF</v>
          </cell>
          <cell r="G18">
            <v>747341.82</v>
          </cell>
          <cell r="H18" t="str">
            <v>ENG</v>
          </cell>
          <cell r="I18" t="str">
            <v>CP</v>
          </cell>
          <cell r="J18" t="str">
            <v>AE n° 2601_2</v>
          </cell>
          <cell r="K18" t="str">
            <v>PFF 545</v>
          </cell>
          <cell r="L18">
            <v>39279</v>
          </cell>
          <cell r="M18" t="str">
            <v>DPM-04/06</v>
          </cell>
          <cell r="O18" t="str">
            <v>ZAHRI</v>
          </cell>
          <cell r="P18" t="str">
            <v>ORD</v>
          </cell>
          <cell r="Q18" t="str">
            <v>L</v>
          </cell>
          <cell r="R18" t="str">
            <v>K11010</v>
          </cell>
          <cell r="S18" t="str">
            <v>R</v>
          </cell>
        </row>
        <row r="19">
          <cell r="B19">
            <v>2601</v>
          </cell>
          <cell r="C19" t="str">
            <v>1 COLIMACON, PASSERELLE, ASCENSEUR ET MONTE HANDICAPE</v>
          </cell>
          <cell r="H19" t="str">
            <v>CHC</v>
          </cell>
          <cell r="I19" t="str">
            <v>AD</v>
          </cell>
          <cell r="J19" t="str">
            <v>CHC transmis à AD</v>
          </cell>
          <cell r="K19" t="str">
            <v>LV-431/07</v>
          </cell>
          <cell r="L19">
            <v>39338</v>
          </cell>
          <cell r="M19" t="str">
            <v>DPM-5405/06</v>
          </cell>
          <cell r="N19" t="str">
            <v>DKM02103/06</v>
          </cell>
          <cell r="O19" t="str">
            <v>ZAHRI</v>
          </cell>
          <cell r="P19" t="str">
            <v>ORD</v>
          </cell>
          <cell r="Q19" t="str">
            <v>L</v>
          </cell>
          <cell r="R19" t="str">
            <v>K11010</v>
          </cell>
          <cell r="S19" t="str">
            <v>R</v>
          </cell>
        </row>
        <row r="20">
          <cell r="B20">
            <v>2603</v>
          </cell>
          <cell r="C20" t="str">
            <v>LOCATION LONGUE DUREE DES VEHICULES</v>
          </cell>
          <cell r="D20">
            <v>3000000</v>
          </cell>
          <cell r="E20">
            <v>3000000</v>
          </cell>
          <cell r="H20" t="str">
            <v>DAC</v>
          </cell>
          <cell r="I20" t="str">
            <v>CP</v>
          </cell>
          <cell r="J20" t="str">
            <v>DAC/GT approuvée DG et transmise au CP</v>
          </cell>
          <cell r="K20">
            <v>352</v>
          </cell>
          <cell r="L20">
            <v>38901</v>
          </cell>
          <cell r="N20" t="str">
            <v>AO-9381</v>
          </cell>
          <cell r="O20" t="str">
            <v>EL BAGHATI</v>
          </cell>
          <cell r="P20" t="str">
            <v>LOC</v>
          </cell>
          <cell r="Q20" t="str">
            <v>L</v>
          </cell>
          <cell r="R20" t="str">
            <v>K11636</v>
          </cell>
          <cell r="S20" t="str">
            <v>R</v>
          </cell>
        </row>
        <row r="21">
          <cell r="B21">
            <v>2609</v>
          </cell>
          <cell r="C21" t="str">
            <v>LOCATION 2 VÉHICULES DE SERVITUDE POUR PMK/LV</v>
          </cell>
          <cell r="D21">
            <v>470000</v>
          </cell>
          <cell r="E21">
            <v>470000</v>
          </cell>
          <cell r="J21" t="str">
            <v>AE N° - 21034-1 de 94336 dh</v>
          </cell>
          <cell r="L21">
            <v>38484</v>
          </cell>
          <cell r="N21" t="str">
            <v>AO-9381</v>
          </cell>
          <cell r="O21" t="str">
            <v>ZAHRI</v>
          </cell>
          <cell r="P21" t="str">
            <v>LOC</v>
          </cell>
          <cell r="Q21" t="str">
            <v>L</v>
          </cell>
          <cell r="R21" t="str">
            <v>K11300</v>
          </cell>
          <cell r="S21" t="str">
            <v>R</v>
          </cell>
        </row>
        <row r="22">
          <cell r="B22">
            <v>2611</v>
          </cell>
          <cell r="C22" t="str">
            <v>LOCATION DE 8 VEHICULES LEGERS, 1 PICK-UP SIMPLE CABINE ET 1 PICK-UP DOUBLE CABINE POUR PMK / AK / S</v>
          </cell>
          <cell r="D22">
            <v>1318153.1000000001</v>
          </cell>
          <cell r="E22">
            <v>1318153.1000000001</v>
          </cell>
          <cell r="J22" t="str">
            <v>AE N° - 21038-1 de 471679 dh</v>
          </cell>
          <cell r="L22">
            <v>38484</v>
          </cell>
          <cell r="N22" t="str">
            <v>AO-9381</v>
          </cell>
          <cell r="O22" t="str">
            <v>DERDAKI</v>
          </cell>
          <cell r="P22" t="str">
            <v>LOC</v>
          </cell>
          <cell r="Q22" t="str">
            <v>AK</v>
          </cell>
          <cell r="R22" t="str">
            <v>K01049</v>
          </cell>
          <cell r="S22" t="str">
            <v>R</v>
          </cell>
        </row>
        <row r="23">
          <cell r="B23">
            <v>2613</v>
          </cell>
          <cell r="C23" t="str">
            <v>REPARATIONS, SOUS TRAITANCE ET ASSISTANCE TECHNIQUE</v>
          </cell>
          <cell r="D23">
            <v>10000000</v>
          </cell>
          <cell r="E23">
            <v>10000000</v>
          </cell>
          <cell r="H23" t="str">
            <v>AVIS</v>
          </cell>
          <cell r="I23" t="str">
            <v>PFF</v>
          </cell>
          <cell r="J23" t="str">
            <v>Pour avis en vue d'établir la DAC</v>
          </cell>
          <cell r="K23">
            <v>283</v>
          </cell>
          <cell r="L23">
            <v>39269</v>
          </cell>
          <cell r="O23" t="str">
            <v>CHARKI</v>
          </cell>
          <cell r="P23" t="str">
            <v>ORD</v>
          </cell>
          <cell r="Q23" t="str">
            <v>P</v>
          </cell>
          <cell r="R23" t="str">
            <v>K03500</v>
          </cell>
          <cell r="S23" t="str">
            <v>R</v>
          </cell>
        </row>
        <row r="24">
          <cell r="B24">
            <v>2613</v>
          </cell>
          <cell r="C24" t="str">
            <v>Chargement et transport des délais à la digue des boues de la laveries DAOUI</v>
          </cell>
          <cell r="G24">
            <v>393240.07</v>
          </cell>
          <cell r="H24" t="str">
            <v>ENG</v>
          </cell>
          <cell r="I24" t="str">
            <v>CP</v>
          </cell>
          <cell r="J24" t="str">
            <v>AE N° 2613 -11 du 26/07/2007</v>
          </cell>
          <cell r="K24" t="str">
            <v>PFF-571</v>
          </cell>
          <cell r="L24">
            <v>39260</v>
          </cell>
          <cell r="N24" t="str">
            <v>AO-3125/6</v>
          </cell>
          <cell r="O24" t="str">
            <v>CHARKI</v>
          </cell>
          <cell r="P24" t="str">
            <v>ORD</v>
          </cell>
          <cell r="Q24" t="str">
            <v>P</v>
          </cell>
          <cell r="R24" t="str">
            <v>K03500</v>
          </cell>
          <cell r="S24" t="str">
            <v>R</v>
          </cell>
        </row>
        <row r="25">
          <cell r="B25">
            <v>2613</v>
          </cell>
          <cell r="C25" t="str">
            <v>REPARATIONS, SOUS TRAITANCE ET ASSISTANCE TECHNIQUE</v>
          </cell>
          <cell r="G25">
            <v>414000</v>
          </cell>
          <cell r="H25" t="str">
            <v>ENG</v>
          </cell>
          <cell r="I25" t="str">
            <v>CP</v>
          </cell>
          <cell r="J25" t="str">
            <v>AE N°-2613-9</v>
          </cell>
          <cell r="L25">
            <v>39216</v>
          </cell>
          <cell r="O25" t="str">
            <v>CHARKI</v>
          </cell>
          <cell r="P25" t="str">
            <v>ORD</v>
          </cell>
          <cell r="Q25" t="str">
            <v>P</v>
          </cell>
          <cell r="R25" t="str">
            <v>K03500</v>
          </cell>
          <cell r="S25" t="str">
            <v>R</v>
          </cell>
        </row>
        <row r="26">
          <cell r="B26">
            <v>2613</v>
          </cell>
          <cell r="C26" t="str">
            <v>ECHANGE STANDARD 2 BOITES DE VITESSE ALLISSON</v>
          </cell>
          <cell r="H26" t="str">
            <v>ENG</v>
          </cell>
          <cell r="I26" t="str">
            <v>CP</v>
          </cell>
          <cell r="J26" t="str">
            <v>AE N°2613-2</v>
          </cell>
          <cell r="L26">
            <v>38880</v>
          </cell>
          <cell r="O26" t="str">
            <v>CHARKI</v>
          </cell>
          <cell r="P26" t="str">
            <v>ORD</v>
          </cell>
          <cell r="Q26" t="str">
            <v>P</v>
          </cell>
          <cell r="R26" t="str">
            <v>K03500</v>
          </cell>
          <cell r="S26" t="str">
            <v>R</v>
          </cell>
        </row>
        <row r="27">
          <cell r="B27">
            <v>2613</v>
          </cell>
          <cell r="C27" t="str">
            <v>ECHANGE STANDARD 2 INDUITS GR255HP</v>
          </cell>
          <cell r="H27" t="str">
            <v>ENG</v>
          </cell>
          <cell r="I27" t="str">
            <v>CP</v>
          </cell>
          <cell r="J27" t="str">
            <v>AE N°2613-4</v>
          </cell>
          <cell r="L27">
            <v>39038</v>
          </cell>
          <cell r="O27" t="str">
            <v>CHARKI</v>
          </cell>
          <cell r="P27" t="str">
            <v>ORD</v>
          </cell>
          <cell r="Q27" t="str">
            <v>P</v>
          </cell>
          <cell r="R27" t="str">
            <v>K03500</v>
          </cell>
          <cell r="S27" t="str">
            <v>R</v>
          </cell>
        </row>
        <row r="28">
          <cell r="B28">
            <v>2613</v>
          </cell>
          <cell r="C28" t="str">
            <v>Reparation godet et 3 barbotins</v>
          </cell>
          <cell r="G28">
            <v>317520</v>
          </cell>
          <cell r="H28" t="str">
            <v>ENG</v>
          </cell>
          <cell r="I28" t="str">
            <v>CP</v>
          </cell>
          <cell r="J28" t="str">
            <v>AE N°2613-8</v>
          </cell>
          <cell r="K28" t="str">
            <v>PFF 493</v>
          </cell>
          <cell r="L28">
            <v>39252</v>
          </cell>
          <cell r="N28" t="str">
            <v xml:space="preserve">AO-DKM-2095/6 </v>
          </cell>
          <cell r="O28" t="str">
            <v>CHARKI</v>
          </cell>
          <cell r="P28" t="str">
            <v>ORD</v>
          </cell>
          <cell r="Q28" t="str">
            <v>P</v>
          </cell>
          <cell r="R28" t="str">
            <v>K03500</v>
          </cell>
          <cell r="S28" t="str">
            <v>R</v>
          </cell>
        </row>
        <row r="29">
          <cell r="B29">
            <v>2613</v>
          </cell>
          <cell r="C29" t="str">
            <v>Echange standard induit moteur de drague 8400 M</v>
          </cell>
          <cell r="G29">
            <v>313220.59999999998</v>
          </cell>
          <cell r="H29" t="str">
            <v>ENG</v>
          </cell>
          <cell r="I29" t="str">
            <v>CP</v>
          </cell>
          <cell r="J29" t="str">
            <v>AE N°2613-6</v>
          </cell>
          <cell r="K29" t="str">
            <v xml:space="preserve">PFF </v>
          </cell>
          <cell r="L29">
            <v>39126</v>
          </cell>
          <cell r="N29" t="str">
            <v>AO-DKR-853R7159/060</v>
          </cell>
          <cell r="O29" t="str">
            <v>CHARKI</v>
          </cell>
          <cell r="P29" t="str">
            <v>ORD</v>
          </cell>
          <cell r="Q29" t="str">
            <v>P</v>
          </cell>
          <cell r="R29" t="str">
            <v>K03500</v>
          </cell>
          <cell r="S29" t="str">
            <v>R</v>
          </cell>
        </row>
        <row r="30">
          <cell r="B30">
            <v>2613</v>
          </cell>
          <cell r="C30" t="str">
            <v>Reparation, sous traitance et assistance technique</v>
          </cell>
          <cell r="G30">
            <v>261360</v>
          </cell>
          <cell r="H30" t="str">
            <v>ENG</v>
          </cell>
          <cell r="I30" t="str">
            <v>CP</v>
          </cell>
          <cell r="J30" t="str">
            <v>AE N°2613-10</v>
          </cell>
          <cell r="K30" t="str">
            <v>PFF 482</v>
          </cell>
          <cell r="L30">
            <v>39246</v>
          </cell>
          <cell r="N30" t="str">
            <v xml:space="preserve">AO-DKM-2095/6 </v>
          </cell>
          <cell r="O30" t="str">
            <v>CHARKI</v>
          </cell>
          <cell r="P30" t="str">
            <v>ORD</v>
          </cell>
          <cell r="Q30" t="str">
            <v>P</v>
          </cell>
          <cell r="R30" t="str">
            <v>K03500</v>
          </cell>
          <cell r="S30" t="str">
            <v>R</v>
          </cell>
        </row>
        <row r="31">
          <cell r="B31">
            <v>2613</v>
          </cell>
          <cell r="C31" t="str">
            <v>Externalisation de l'activité des pneus GC de PMK/P</v>
          </cell>
          <cell r="H31" t="str">
            <v>CONSUL</v>
          </cell>
          <cell r="I31" t="str">
            <v>AD</v>
          </cell>
          <cell r="J31" t="str">
            <v>DPM transmise pour consultation</v>
          </cell>
          <cell r="K31">
            <v>550</v>
          </cell>
          <cell r="L31">
            <v>39337</v>
          </cell>
          <cell r="O31" t="str">
            <v>CHARKI</v>
          </cell>
          <cell r="P31" t="str">
            <v>ORD</v>
          </cell>
          <cell r="Q31" t="str">
            <v>P</v>
          </cell>
          <cell r="R31" t="str">
            <v>K03500</v>
          </cell>
          <cell r="S31" t="str">
            <v>R</v>
          </cell>
        </row>
        <row r="32">
          <cell r="B32">
            <v>2616</v>
          </cell>
          <cell r="C32" t="str">
            <v>Location longue durée du parc vehicules de PMK/T</v>
          </cell>
          <cell r="D32">
            <v>6000000</v>
          </cell>
          <cell r="E32">
            <v>12000000</v>
          </cell>
          <cell r="G32">
            <v>8036557.0599999996</v>
          </cell>
          <cell r="H32" t="str">
            <v>ENG</v>
          </cell>
          <cell r="I32" t="str">
            <v>CP</v>
          </cell>
          <cell r="J32" t="str">
            <v>AE N°2616_2
lettre d'accord transmise a PM PMK/LM/X-D n°06/07 du 15/10/07</v>
          </cell>
          <cell r="K32" t="str">
            <v>PFF 435</v>
          </cell>
          <cell r="L32">
            <v>39231</v>
          </cell>
          <cell r="O32" t="str">
            <v>KARMOUNI</v>
          </cell>
          <cell r="P32" t="str">
            <v>LOC</v>
          </cell>
          <cell r="Q32" t="str">
            <v>T</v>
          </cell>
          <cell r="S32" t="str">
            <v>R</v>
          </cell>
        </row>
        <row r="33">
          <cell r="B33">
            <v>2617</v>
          </cell>
          <cell r="C33" t="str">
            <v>REMISE EN CONFORMITE DU STOCK B DU COZ</v>
          </cell>
          <cell r="D33">
            <v>12500000</v>
          </cell>
          <cell r="E33">
            <v>8000000</v>
          </cell>
          <cell r="H33" t="str">
            <v>CHC AVIS</v>
          </cell>
          <cell r="I33" t="str">
            <v>DAC - SDG</v>
          </cell>
          <cell r="J33" t="str">
            <v>DAC pour approbation par DG
CHC transmis à DAC pour CT</v>
          </cell>
          <cell r="K33">
            <v>274</v>
          </cell>
          <cell r="L33">
            <v>39261</v>
          </cell>
          <cell r="M33" t="str">
            <v>DPM-19/03</v>
          </cell>
          <cell r="O33" t="str">
            <v>CHNANI</v>
          </cell>
          <cell r="P33" t="str">
            <v>ORD</v>
          </cell>
          <cell r="Q33" t="str">
            <v>T</v>
          </cell>
          <cell r="S33" t="str">
            <v>R</v>
          </cell>
        </row>
        <row r="34">
          <cell r="B34">
            <v>2625</v>
          </cell>
          <cell r="C34" t="str">
            <v>ENTRETIEN ET REPARATION DES ENGINS DE PMK/TC</v>
          </cell>
          <cell r="D34">
            <v>0</v>
          </cell>
          <cell r="E34">
            <v>400000</v>
          </cell>
          <cell r="O34" t="str">
            <v>RAOUIA</v>
          </cell>
          <cell r="P34" t="str">
            <v>ORD</v>
          </cell>
          <cell r="Q34" t="str">
            <v>TC</v>
          </cell>
          <cell r="S34" t="str">
            <v>R</v>
          </cell>
        </row>
        <row r="35">
          <cell r="B35">
            <v>2626</v>
          </cell>
          <cell r="C35" t="str">
            <v>REPARATION EVENTUELLE DES MOTEURS ELECTRIQUES</v>
          </cell>
          <cell r="D35">
            <v>0</v>
          </cell>
          <cell r="E35">
            <v>400000</v>
          </cell>
          <cell r="O35" t="str">
            <v>RAOUIA</v>
          </cell>
          <cell r="P35" t="str">
            <v>ORD</v>
          </cell>
          <cell r="Q35" t="str">
            <v>TC</v>
          </cell>
          <cell r="S35" t="str">
            <v>R</v>
          </cell>
        </row>
        <row r="36">
          <cell r="B36">
            <v>2636</v>
          </cell>
          <cell r="C36" t="str">
            <v>TRANSFERT D'UN HANGAR POUR LE COMPTE DE L'ATELIER MECANIQUE - MEA</v>
          </cell>
          <cell r="D36">
            <v>0</v>
          </cell>
          <cell r="E36">
            <v>12000000</v>
          </cell>
          <cell r="H36" t="str">
            <v>ENG</v>
          </cell>
          <cell r="I36" t="str">
            <v>CP</v>
          </cell>
          <cell r="J36" t="str">
            <v>DAL approuvéeMt =12MDH)-CHC  transmis à PFM; AE N° GT 2636-1 de 12 MDH</v>
          </cell>
          <cell r="K36">
            <v>586</v>
          </cell>
          <cell r="L36">
            <v>39007</v>
          </cell>
          <cell r="M36" t="str">
            <v>DPM-3063/05</v>
          </cell>
          <cell r="N36" t="str">
            <v>AO-9321/6</v>
          </cell>
          <cell r="O36" t="str">
            <v>RAMZI</v>
          </cell>
          <cell r="P36" t="str">
            <v>ORD</v>
          </cell>
          <cell r="Q36" t="str">
            <v>P</v>
          </cell>
          <cell r="S36" t="str">
            <v>R</v>
          </cell>
        </row>
        <row r="37">
          <cell r="B37">
            <v>2637</v>
          </cell>
          <cell r="C37" t="str">
            <v>EXPLOITATION DE KHOURIBGA SUD</v>
          </cell>
          <cell r="D37">
            <v>20100000</v>
          </cell>
          <cell r="E37">
            <v>52000000</v>
          </cell>
          <cell r="H37" t="str">
            <v>CONSUL</v>
          </cell>
          <cell r="I37" t="str">
            <v>PFM</v>
          </cell>
          <cell r="J37" t="str">
            <v>DAC approuvée DG  de 9mdh</v>
          </cell>
          <cell r="K37">
            <v>373</v>
          </cell>
          <cell r="L37">
            <v>38901</v>
          </cell>
          <cell r="O37" t="str">
            <v>SMIDI</v>
          </cell>
          <cell r="P37" t="str">
            <v>ORD</v>
          </cell>
          <cell r="Q37" t="str">
            <v>P</v>
          </cell>
          <cell r="S37" t="str">
            <v>R</v>
          </cell>
        </row>
        <row r="38">
          <cell r="B38">
            <v>2637</v>
          </cell>
          <cell r="C38" t="str">
            <v>ETUDE DE CONSTRUCTION D'UN PONT RN 11- KHGA &amp; FBS</v>
          </cell>
          <cell r="H38" t="str">
            <v>ENG</v>
          </cell>
          <cell r="I38" t="str">
            <v>CP</v>
          </cell>
          <cell r="J38" t="str">
            <v>AE N°-2637-2</v>
          </cell>
          <cell r="L38">
            <v>39002</v>
          </cell>
          <cell r="M38" t="str">
            <v>DPM-3085</v>
          </cell>
          <cell r="N38" t="str">
            <v>AO-DKM559/06</v>
          </cell>
          <cell r="O38" t="str">
            <v>SMIDI</v>
          </cell>
          <cell r="P38" t="str">
            <v>ORD</v>
          </cell>
          <cell r="Q38" t="str">
            <v>P</v>
          </cell>
          <cell r="S38" t="str">
            <v>R</v>
          </cell>
        </row>
        <row r="39">
          <cell r="B39">
            <v>2637</v>
          </cell>
          <cell r="C39" t="str">
            <v>CHARGEMENT ET TRANSPORT DE PHOSPHATE KHGA SUD</v>
          </cell>
          <cell r="H39" t="str">
            <v>CONSUL</v>
          </cell>
          <cell r="I39" t="str">
            <v>AD</v>
          </cell>
          <cell r="J39" t="str">
            <v>DPM + JUST+ cahier de charge</v>
          </cell>
          <cell r="K39">
            <v>335</v>
          </cell>
          <cell r="L39">
            <v>38880</v>
          </cell>
          <cell r="M39" t="str">
            <v>DPM-3098</v>
          </cell>
          <cell r="O39" t="str">
            <v>SMIDI</v>
          </cell>
          <cell r="P39" t="str">
            <v>ORD</v>
          </cell>
          <cell r="Q39" t="str">
            <v>P</v>
          </cell>
          <cell r="S39" t="str">
            <v>R</v>
          </cell>
        </row>
        <row r="40">
          <cell r="B40">
            <v>2637</v>
          </cell>
          <cell r="C40" t="str">
            <v>ELABORATION ET MISE EN ŒUVRE DE SOLUTION DE TIRS DE MINES AU GISSEMENT KHGA SUD</v>
          </cell>
          <cell r="H40" t="str">
            <v>ENG</v>
          </cell>
          <cell r="I40" t="str">
            <v>CP</v>
          </cell>
          <cell r="J40" t="str">
            <v>NOTE DE CHOIX adréssée à PFM/M pour passation marché. AE N° 2637-1</v>
          </cell>
          <cell r="K40">
            <v>413</v>
          </cell>
          <cell r="L40">
            <v>38940</v>
          </cell>
          <cell r="M40" t="str">
            <v>DPM-3098</v>
          </cell>
          <cell r="N40" t="str">
            <v>AO-9338/5</v>
          </cell>
          <cell r="O40" t="str">
            <v>SMIDI</v>
          </cell>
          <cell r="P40" t="str">
            <v>ORD</v>
          </cell>
          <cell r="Q40" t="str">
            <v>P</v>
          </cell>
          <cell r="S40" t="str">
            <v>R</v>
          </cell>
        </row>
        <row r="41">
          <cell r="B41">
            <v>2637</v>
          </cell>
          <cell r="C41" t="str">
            <v>CHARGEMENT ET TRANSPORT DE PHOSPHATE KHGA SUD</v>
          </cell>
          <cell r="H41" t="str">
            <v>CONSUL</v>
          </cell>
          <cell r="I41" t="str">
            <v>AD</v>
          </cell>
          <cell r="J41" t="str">
            <v>DPM + JUST+ cahier de charge</v>
          </cell>
          <cell r="K41">
            <v>335</v>
          </cell>
          <cell r="L41">
            <v>38880</v>
          </cell>
          <cell r="M41" t="str">
            <v>DPM-3097</v>
          </cell>
          <cell r="O41" t="str">
            <v>SMIDI</v>
          </cell>
          <cell r="P41" t="str">
            <v>ORD</v>
          </cell>
          <cell r="Q41" t="str">
            <v>P</v>
          </cell>
          <cell r="S41" t="str">
            <v>R</v>
          </cell>
        </row>
        <row r="42">
          <cell r="B42">
            <v>2639</v>
          </cell>
          <cell r="C42" t="str">
            <v>TRAVAUX D'ENTRETIEN DES ETABLISSEMENTS SOCIAUX</v>
          </cell>
          <cell r="D42">
            <v>2200000</v>
          </cell>
          <cell r="E42">
            <v>2200000</v>
          </cell>
          <cell r="H42" t="str">
            <v>ENG</v>
          </cell>
          <cell r="I42" t="str">
            <v>CP-AD</v>
          </cell>
          <cell r="J42" t="str">
            <v>AE N°-2639-1-2-3-4 + CHC 
DPM au niveau AD</v>
          </cell>
          <cell r="L42">
            <v>417</v>
          </cell>
          <cell r="M42" t="str">
            <v>DPM-38933</v>
          </cell>
          <cell r="N42" t="str">
            <v>AO-N°355K/05</v>
          </cell>
          <cell r="O42" t="str">
            <v>DERDAKI</v>
          </cell>
          <cell r="P42" t="str">
            <v>ORD</v>
          </cell>
          <cell r="Q42" t="str">
            <v>AK</v>
          </cell>
          <cell r="S42" t="str">
            <v>R</v>
          </cell>
        </row>
        <row r="43">
          <cell r="B43">
            <v>2639</v>
          </cell>
          <cell r="C43" t="str">
            <v>AMENAGEMENT DES VESTIAIRES AU TERRAIN DE SPORT A BOULANOIR</v>
          </cell>
          <cell r="H43" t="str">
            <v>CONSUL</v>
          </cell>
          <cell r="I43" t="str">
            <v>AD</v>
          </cell>
          <cell r="J43" t="str">
            <v>DPM transmise pour consultation</v>
          </cell>
          <cell r="K43">
            <v>570</v>
          </cell>
          <cell r="L43">
            <v>39021</v>
          </cell>
          <cell r="M43" t="str">
            <v>DPM-1283</v>
          </cell>
          <cell r="O43" t="str">
            <v>DERDAKI</v>
          </cell>
          <cell r="P43" t="str">
            <v>ORD</v>
          </cell>
          <cell r="Q43" t="str">
            <v>AK</v>
          </cell>
          <cell r="S43" t="str">
            <v>R</v>
          </cell>
        </row>
        <row r="44">
          <cell r="B44">
            <v>2639</v>
          </cell>
          <cell r="C44" t="str">
            <v>Travaux de refection des plates formes au plafonds au plâtres des villas d'accueil</v>
          </cell>
          <cell r="H44" t="str">
            <v>CONSUL</v>
          </cell>
          <cell r="I44" t="str">
            <v>AD</v>
          </cell>
          <cell r="J44" t="str">
            <v>DPM transmise pour consultation</v>
          </cell>
          <cell r="K44">
            <v>149</v>
          </cell>
          <cell r="L44">
            <v>39146</v>
          </cell>
          <cell r="M44" t="str">
            <v>DPM-1287</v>
          </cell>
          <cell r="O44" t="str">
            <v>DERDAKI</v>
          </cell>
          <cell r="P44" t="str">
            <v>ORD</v>
          </cell>
          <cell r="Q44" t="str">
            <v>AK</v>
          </cell>
          <cell r="S44" t="str">
            <v>R</v>
          </cell>
        </row>
        <row r="45">
          <cell r="B45">
            <v>2639</v>
          </cell>
          <cell r="C45" t="str">
            <v>Fourniture et installation d'un ensemble de sonorisation au club des ingénieurs OCP</v>
          </cell>
          <cell r="H45" t="str">
            <v>CONSUL</v>
          </cell>
          <cell r="I45" t="str">
            <v>AD</v>
          </cell>
          <cell r="J45" t="str">
            <v>DPM transmise pour consultation</v>
          </cell>
          <cell r="K45">
            <v>255</v>
          </cell>
          <cell r="L45">
            <v>39195</v>
          </cell>
          <cell r="M45" t="str">
            <v>DPM-1288</v>
          </cell>
          <cell r="O45" t="str">
            <v>DERDAKI</v>
          </cell>
          <cell r="P45" t="str">
            <v>ORD</v>
          </cell>
          <cell r="Q45" t="str">
            <v>AK</v>
          </cell>
          <cell r="S45" t="str">
            <v>R</v>
          </cell>
        </row>
        <row r="46">
          <cell r="B46">
            <v>2639</v>
          </cell>
          <cell r="C46" t="str">
            <v>Aménagement d'un abri pour un groupe electrogéne</v>
          </cell>
          <cell r="H46" t="str">
            <v>CONSUL</v>
          </cell>
          <cell r="I46" t="str">
            <v>AD</v>
          </cell>
          <cell r="J46" t="str">
            <v>DPM transmise pour consultation</v>
          </cell>
          <cell r="K46">
            <v>478</v>
          </cell>
          <cell r="L46">
            <v>39310</v>
          </cell>
          <cell r="M46" t="str">
            <v>DPM-1303</v>
          </cell>
          <cell r="O46" t="str">
            <v>DERDAKI</v>
          </cell>
          <cell r="P46" t="str">
            <v>ORD</v>
          </cell>
          <cell r="Q46" t="str">
            <v>AK</v>
          </cell>
          <cell r="S46" t="str">
            <v>R</v>
          </cell>
        </row>
        <row r="47">
          <cell r="B47">
            <v>2640</v>
          </cell>
          <cell r="C47" t="str">
            <v>TRAVAUX D'ENTRETIEN DES LOGEMENTS DES HORS CADRES</v>
          </cell>
          <cell r="D47">
            <v>1100000</v>
          </cell>
          <cell r="E47">
            <v>1100000</v>
          </cell>
          <cell r="H47" t="str">
            <v>DAC</v>
          </cell>
          <cell r="I47" t="str">
            <v>CP</v>
          </cell>
          <cell r="J47" t="str">
            <v>DAC approuvée par DG -chc adressé au Cppour CT</v>
          </cell>
          <cell r="K47">
            <v>154</v>
          </cell>
          <cell r="L47">
            <v>39156</v>
          </cell>
          <cell r="N47" t="str">
            <v>AO-DKM-1722/6</v>
          </cell>
          <cell r="O47" t="str">
            <v>DERDAKI</v>
          </cell>
          <cell r="P47" t="str">
            <v>ORD</v>
          </cell>
          <cell r="Q47" t="str">
            <v>AK</v>
          </cell>
          <cell r="S47" t="str">
            <v>R</v>
          </cell>
        </row>
        <row r="48">
          <cell r="B48">
            <v>2640</v>
          </cell>
          <cell r="C48" t="str">
            <v>TRAVAUX DE REFECTION DE LA TOITURE EN TUILES DES LOGEMENTS DU SECTEUR EST NON CESSIBLE OCP A KHOURIBGA</v>
          </cell>
          <cell r="H48" t="str">
            <v>AVIS</v>
          </cell>
          <cell r="I48" t="str">
            <v>CT</v>
          </cell>
          <cell r="J48" t="str">
            <v>DPM transmise pour CT (transmis directement)</v>
          </cell>
          <cell r="K48">
            <v>4</v>
          </cell>
          <cell r="L48">
            <v>39240</v>
          </cell>
          <cell r="M48" t="str">
            <v>DPM- 1290/07</v>
          </cell>
          <cell r="O48" t="str">
            <v>DERDAKI</v>
          </cell>
          <cell r="P48" t="str">
            <v>ORD</v>
          </cell>
          <cell r="Q48" t="str">
            <v>AK</v>
          </cell>
          <cell r="S48" t="str">
            <v>R</v>
          </cell>
        </row>
        <row r="49">
          <cell r="B49">
            <v>2640</v>
          </cell>
          <cell r="C49" t="str">
            <v>Travaux de maçonnerie et assainissement des logements du secteur EST non cessible à Khouribga</v>
          </cell>
          <cell r="H49" t="str">
            <v>AVIS</v>
          </cell>
          <cell r="I49" t="str">
            <v>CT</v>
          </cell>
          <cell r="J49" t="str">
            <v>DPM transmise pour CT (transmis directement)</v>
          </cell>
          <cell r="K49">
            <v>5</v>
          </cell>
          <cell r="L49">
            <v>39251</v>
          </cell>
          <cell r="M49" t="str">
            <v>DPM- 1289/07</v>
          </cell>
          <cell r="O49" t="str">
            <v>DERDAKI</v>
          </cell>
          <cell r="P49" t="str">
            <v>ORD</v>
          </cell>
          <cell r="Q49" t="str">
            <v>AK</v>
          </cell>
          <cell r="S49" t="str">
            <v>R</v>
          </cell>
        </row>
        <row r="50">
          <cell r="B50">
            <v>2641</v>
          </cell>
          <cell r="C50" t="str">
            <v>TRAVAUX D'ENTRETIEN DES LOGEMENTS DES CADRES</v>
          </cell>
          <cell r="D50">
            <v>1100000</v>
          </cell>
          <cell r="E50">
            <v>1100000</v>
          </cell>
          <cell r="H50" t="str">
            <v>AT.AE</v>
          </cell>
          <cell r="I50" t="str">
            <v>AD</v>
          </cell>
          <cell r="J50" t="str">
            <v>DAC approuvée 2005 de 4MDH -CHOIX adressé à AD</v>
          </cell>
          <cell r="K50">
            <v>657</v>
          </cell>
          <cell r="L50">
            <v>39073</v>
          </cell>
          <cell r="O50" t="str">
            <v>DERDAKI</v>
          </cell>
          <cell r="P50" t="str">
            <v>ORD</v>
          </cell>
          <cell r="Q50" t="str">
            <v>AK</v>
          </cell>
          <cell r="S50" t="str">
            <v>R</v>
          </cell>
        </row>
        <row r="51">
          <cell r="B51">
            <v>2641</v>
          </cell>
          <cell r="C51" t="str">
            <v xml:space="preserve">TRAVAUX DE PEINTURE ET VITRERIE </v>
          </cell>
          <cell r="H51" t="str">
            <v>ENG</v>
          </cell>
          <cell r="I51" t="str">
            <v>CP</v>
          </cell>
          <cell r="J51" t="str">
            <v>AE N°-2641-2</v>
          </cell>
          <cell r="L51">
            <v>38982</v>
          </cell>
          <cell r="O51" t="str">
            <v>DERDAKI</v>
          </cell>
          <cell r="P51" t="str">
            <v>ORD</v>
          </cell>
          <cell r="Q51" t="str">
            <v>AK</v>
          </cell>
          <cell r="S51" t="str">
            <v>R</v>
          </cell>
        </row>
        <row r="52">
          <cell r="B52">
            <v>2641</v>
          </cell>
          <cell r="C52" t="str">
            <v>REMISE EN ETAT DE L'INSTALLATION ELECTRIQUES DES LOGEMENTS CADRES</v>
          </cell>
          <cell r="H52" t="str">
            <v>ENG</v>
          </cell>
          <cell r="I52" t="str">
            <v>CP</v>
          </cell>
          <cell r="J52" t="str">
            <v>AE N°-2641-1</v>
          </cell>
          <cell r="L52">
            <v>38982</v>
          </cell>
          <cell r="O52" t="str">
            <v>DERDAKI</v>
          </cell>
          <cell r="P52" t="str">
            <v>ORD</v>
          </cell>
          <cell r="Q52" t="str">
            <v>AK</v>
          </cell>
          <cell r="S52" t="str">
            <v>R</v>
          </cell>
        </row>
        <row r="53">
          <cell r="B53">
            <v>2641</v>
          </cell>
          <cell r="C53" t="str">
            <v xml:space="preserve">Travaux de remise en état des instalations électriques des logements du secteurs EST non cessible </v>
          </cell>
          <cell r="H53" t="str">
            <v>AVIS</v>
          </cell>
          <cell r="I53" t="str">
            <v>CT</v>
          </cell>
          <cell r="J53" t="str">
            <v>DPM transmise pour CT (transmis directement)</v>
          </cell>
          <cell r="K53" t="str">
            <v>AK/S 03/07</v>
          </cell>
          <cell r="L53">
            <v>39238</v>
          </cell>
          <cell r="M53" t="str">
            <v>DPM-1291</v>
          </cell>
          <cell r="O53" t="str">
            <v>DERDAKI</v>
          </cell>
          <cell r="P53" t="str">
            <v>ORD</v>
          </cell>
          <cell r="Q53" t="str">
            <v>AK</v>
          </cell>
          <cell r="S53" t="str">
            <v>R</v>
          </cell>
        </row>
        <row r="54">
          <cell r="B54">
            <v>2641</v>
          </cell>
          <cell r="C54" t="str">
            <v>Travaux d'amélioration du réseau d'assainissement des logements du secteur ESTcessible</v>
          </cell>
          <cell r="H54" t="str">
            <v>AVIS</v>
          </cell>
          <cell r="I54" t="str">
            <v>CT</v>
          </cell>
          <cell r="J54" t="str">
            <v>DPM transmise pour CT (transmis directement)</v>
          </cell>
          <cell r="K54" t="str">
            <v>AK/S 02/07</v>
          </cell>
          <cell r="L54">
            <v>39238</v>
          </cell>
          <cell r="M54" t="str">
            <v>DPM-1292</v>
          </cell>
          <cell r="O54" t="str">
            <v>DERDAKI</v>
          </cell>
          <cell r="P54" t="str">
            <v>ORD</v>
          </cell>
          <cell r="Q54" t="str">
            <v>AK</v>
          </cell>
          <cell r="S54" t="str">
            <v>R</v>
          </cell>
        </row>
        <row r="55">
          <cell r="B55">
            <v>2642</v>
          </cell>
          <cell r="C55" t="str">
            <v>PRESTATIONS DU PERSONNEL EN REGIE ( TRAVAUX D'ENTRETIEN DIVERS AUX ETABLISSEMENTS SOCIAUX )</v>
          </cell>
          <cell r="D55">
            <v>0</v>
          </cell>
          <cell r="E55">
            <v>3300000</v>
          </cell>
          <cell r="H55" t="str">
            <v>CONSUL</v>
          </cell>
          <cell r="I55" t="str">
            <v>AD</v>
          </cell>
          <cell r="J55" t="str">
            <v>DPM transmise pour consultation</v>
          </cell>
          <cell r="K55">
            <v>148</v>
          </cell>
          <cell r="L55">
            <v>39156</v>
          </cell>
          <cell r="M55" t="str">
            <v>DPM - 1047</v>
          </cell>
          <cell r="O55" t="str">
            <v>DERDAKI</v>
          </cell>
          <cell r="P55" t="str">
            <v>REGIE</v>
          </cell>
          <cell r="Q55" t="str">
            <v>AK</v>
          </cell>
          <cell r="S55" t="str">
            <v>R</v>
          </cell>
        </row>
        <row r="56">
          <cell r="B56">
            <v>2643</v>
          </cell>
          <cell r="C56" t="str">
            <v>PRESTATIONS DU PERSONNEL EN REGIE ( TRAVAUX DE GARDIENNAGE  DES ETABLISSEMENTS SOCIAUX)</v>
          </cell>
          <cell r="D56">
            <v>0</v>
          </cell>
          <cell r="E56">
            <v>3300000</v>
          </cell>
          <cell r="H56" t="str">
            <v>AVIS</v>
          </cell>
          <cell r="I56" t="str">
            <v>PFF-DSD</v>
          </cell>
          <cell r="J56" t="str">
            <v>Justification envoyée pour avis en vue d'etablir la DAC -JUS retournée au CP pour remarques DSD le 28/06/2006</v>
          </cell>
          <cell r="K56">
            <v>321</v>
          </cell>
          <cell r="L56">
            <v>38873</v>
          </cell>
          <cell r="M56" t="str">
            <v>DPM-76</v>
          </cell>
          <cell r="N56" t="str">
            <v>AO-9305/05</v>
          </cell>
          <cell r="O56" t="str">
            <v>DERDAKI</v>
          </cell>
          <cell r="P56" t="str">
            <v>REGIE</v>
          </cell>
          <cell r="Q56" t="str">
            <v>AK</v>
          </cell>
          <cell r="S56" t="str">
            <v>R</v>
          </cell>
        </row>
        <row r="57">
          <cell r="B57">
            <v>2647</v>
          </cell>
          <cell r="C57" t="str">
            <v>MAINTENANCE DES JARDINS, ESPACES VERTS, INSTALLATIONS COLLECTIVES ET SPORTIVES EN VILLE OCP A KHOURIBGA;
Travaux des installations sportives ville OCP</v>
          </cell>
          <cell r="D57">
            <v>1000000</v>
          </cell>
          <cell r="E57">
            <v>2200000</v>
          </cell>
          <cell r="H57" t="str">
            <v>AVIS</v>
          </cell>
          <cell r="I57" t="str">
            <v>PFF - AD</v>
          </cell>
          <cell r="J57" t="str">
            <v>DAC approvée de 2 MDH (DAC/GT/PMK/026/2005)
DPM transmise pour consultation</v>
          </cell>
          <cell r="K57">
            <v>148</v>
          </cell>
          <cell r="L57">
            <v>39146</v>
          </cell>
          <cell r="M57" t="str">
            <v>DPM-1046/07</v>
          </cell>
          <cell r="N57" t="str">
            <v>AO-2002/5</v>
          </cell>
          <cell r="O57" t="str">
            <v>DERDAKI</v>
          </cell>
          <cell r="P57" t="str">
            <v>ORD</v>
          </cell>
          <cell r="Q57" t="str">
            <v>AK</v>
          </cell>
          <cell r="S57" t="str">
            <v>R</v>
          </cell>
        </row>
        <row r="58">
          <cell r="B58">
            <v>2647</v>
          </cell>
          <cell r="C58" t="str">
            <v>Travaux de maintenace des jardins des villes HC</v>
          </cell>
          <cell r="H58" t="str">
            <v>CONSUL</v>
          </cell>
          <cell r="I58" t="str">
            <v>AD</v>
          </cell>
          <cell r="J58" t="str">
            <v>DPM transmise pour consultation</v>
          </cell>
          <cell r="K58">
            <v>362</v>
          </cell>
          <cell r="L58">
            <v>39233</v>
          </cell>
          <cell r="M58" t="str">
            <v>DPM-1048</v>
          </cell>
          <cell r="O58" t="str">
            <v>DERDAKI</v>
          </cell>
          <cell r="P58" t="str">
            <v>ORD</v>
          </cell>
          <cell r="Q58" t="str">
            <v>AK</v>
          </cell>
          <cell r="S58" t="str">
            <v>R</v>
          </cell>
        </row>
        <row r="59">
          <cell r="B59">
            <v>2647</v>
          </cell>
          <cell r="C59" t="str">
            <v>Travaux de maintenace des jardins collectives et sportives ville OCP</v>
          </cell>
          <cell r="H59" t="str">
            <v>CONSUL</v>
          </cell>
          <cell r="I59" t="str">
            <v>AD</v>
          </cell>
          <cell r="J59" t="str">
            <v>DPM transmise pour consultation</v>
          </cell>
          <cell r="K59">
            <v>547</v>
          </cell>
          <cell r="L59">
            <v>39360</v>
          </cell>
          <cell r="M59" t="str">
            <v>DPM-1051</v>
          </cell>
          <cell r="O59" t="str">
            <v>DERDAKI</v>
          </cell>
          <cell r="P59" t="str">
            <v>ORD</v>
          </cell>
          <cell r="Q59" t="str">
            <v>AK</v>
          </cell>
          <cell r="S59" t="str">
            <v>R</v>
          </cell>
        </row>
        <row r="60">
          <cell r="B60">
            <v>2648</v>
          </cell>
          <cell r="C60" t="str">
            <v>MAINTENANCE DES JARDINS DES VILLAS HORS CADRE OCP KHOURIBGA</v>
          </cell>
          <cell r="D60">
            <v>1500000</v>
          </cell>
          <cell r="E60">
            <v>2200000</v>
          </cell>
          <cell r="H60" t="str">
            <v>CONSUL</v>
          </cell>
          <cell r="I60" t="str">
            <v>AD</v>
          </cell>
          <cell r="J60" t="str">
            <v>Pour avis en vue d'etablir la DAC
DPM transmise pour consultation</v>
          </cell>
          <cell r="K60" t="str">
            <v>362
148</v>
          </cell>
          <cell r="L60" t="str">
            <v>31/05/2007
15/03/2007</v>
          </cell>
          <cell r="M60" t="str">
            <v>DPM-1049/07
DPM-1047/07</v>
          </cell>
          <cell r="N60" t="str">
            <v>AO-6003/5</v>
          </cell>
          <cell r="O60" t="str">
            <v>DERDAKI</v>
          </cell>
          <cell r="P60" t="str">
            <v>ORD</v>
          </cell>
          <cell r="Q60" t="str">
            <v>AK</v>
          </cell>
          <cell r="S60" t="str">
            <v>R</v>
          </cell>
        </row>
        <row r="61">
          <cell r="B61">
            <v>2652</v>
          </cell>
          <cell r="C61" t="str">
            <v>DESINSECTISATION, DERATISATION ET DEREPTILISATION DES LOGEMENTS ET ETABLISSEMENTS SOCIAUX EN VILLE OCP KHOURIBGA</v>
          </cell>
          <cell r="D61">
            <v>0</v>
          </cell>
          <cell r="E61">
            <v>2200000</v>
          </cell>
          <cell r="G61">
            <v>240960</v>
          </cell>
          <cell r="H61" t="str">
            <v>ENG</v>
          </cell>
          <cell r="I61" t="str">
            <v>CP</v>
          </cell>
          <cell r="J61" t="str">
            <v>AE N° 2652_1
AE N° 2652_2</v>
          </cell>
          <cell r="L61" t="str">
            <v>05/02/2007
13/02/2007</v>
          </cell>
          <cell r="M61" t="str">
            <v xml:space="preserve">DPM-1021 </v>
          </cell>
          <cell r="N61" t="str">
            <v>DPM-1046/07</v>
          </cell>
          <cell r="O61" t="str">
            <v>DERDAKI</v>
          </cell>
          <cell r="P61" t="str">
            <v>ORD</v>
          </cell>
          <cell r="Q61" t="str">
            <v>AK</v>
          </cell>
          <cell r="S61" t="str">
            <v>R</v>
          </cell>
        </row>
        <row r="62">
          <cell r="B62">
            <v>2652</v>
          </cell>
          <cell r="C62" t="str">
            <v xml:space="preserve">TRAVAUX D'ENTRETIEN DES ARBRES FORESTIERS </v>
          </cell>
          <cell r="H62" t="str">
            <v>AVIS</v>
          </cell>
          <cell r="I62" t="str">
            <v>CP</v>
          </cell>
          <cell r="J62" t="str">
            <v xml:space="preserve">Note PMK/IE/E -37 ( justification bien fondée du besoin du CP pour permettre à PFF d'émettre son avis)  </v>
          </cell>
          <cell r="K62">
            <v>37</v>
          </cell>
          <cell r="L62">
            <v>39121</v>
          </cell>
          <cell r="M62" t="str">
            <v>DPM-1022/06</v>
          </cell>
          <cell r="O62" t="str">
            <v>DERDAKI</v>
          </cell>
          <cell r="P62" t="str">
            <v>ORD</v>
          </cell>
          <cell r="Q62" t="str">
            <v>AK</v>
          </cell>
          <cell r="S62" t="str">
            <v>R</v>
          </cell>
        </row>
        <row r="63">
          <cell r="B63">
            <v>2654</v>
          </cell>
          <cell r="C63" t="str">
            <v>VULCANISATION DES BANDES TEXTILES ET METALLIQUES</v>
          </cell>
          <cell r="D63">
            <v>0</v>
          </cell>
          <cell r="E63">
            <v>3000000</v>
          </cell>
          <cell r="H63" t="str">
            <v>CONSUL</v>
          </cell>
          <cell r="I63" t="str">
            <v>AD</v>
          </cell>
          <cell r="J63" t="str">
            <v>DPM en consultation</v>
          </cell>
          <cell r="K63" t="str">
            <v>346-146</v>
          </cell>
          <cell r="L63" t="str">
            <v>28/06-01/08/6</v>
          </cell>
          <cell r="M63" t="str">
            <v>DPM- 4031/06-4032</v>
          </cell>
          <cell r="N63" t="str">
            <v>AO-9347/05</v>
          </cell>
          <cell r="O63" t="str">
            <v>OUAMALICH</v>
          </cell>
          <cell r="P63" t="str">
            <v>ORD</v>
          </cell>
          <cell r="Q63" t="str">
            <v>T</v>
          </cell>
          <cell r="S63" t="str">
            <v>R</v>
          </cell>
        </row>
        <row r="64">
          <cell r="B64">
            <v>2654</v>
          </cell>
          <cell r="C64" t="str">
            <v>JONCTIONNEMENT DES BANDES METAL. 1200 &amp; 1400</v>
          </cell>
          <cell r="H64" t="str">
            <v>CONSUL</v>
          </cell>
          <cell r="I64" t="str">
            <v>AD</v>
          </cell>
          <cell r="J64" t="str">
            <v>DPM- en consultation</v>
          </cell>
          <cell r="K64">
            <v>456</v>
          </cell>
          <cell r="L64">
            <v>38953</v>
          </cell>
          <cell r="M64" t="str">
            <v>DPM-4036/06</v>
          </cell>
          <cell r="N64" t="str">
            <v>MC-00450-3186/9</v>
          </cell>
          <cell r="O64" t="str">
            <v>OUAMALICH</v>
          </cell>
          <cell r="P64" t="str">
            <v>ORD</v>
          </cell>
          <cell r="Q64" t="str">
            <v>T</v>
          </cell>
          <cell r="S64" t="str">
            <v>R</v>
          </cell>
        </row>
        <row r="65">
          <cell r="B65">
            <v>2654</v>
          </cell>
          <cell r="C65" t="str">
            <v>REALISATION DE 60 VULCANISATIONS A CHAUD POUR TRAVAUX DE JONCTIONNEMENT DE LA BANDE</v>
          </cell>
          <cell r="H65" t="str">
            <v>CONSUL</v>
          </cell>
          <cell r="I65" t="str">
            <v>AD</v>
          </cell>
          <cell r="J65" t="str">
            <v>DPM- en consultation</v>
          </cell>
          <cell r="K65">
            <v>23</v>
          </cell>
          <cell r="L65">
            <v>39111</v>
          </cell>
          <cell r="M65" t="str">
            <v>DPM-4002/07</v>
          </cell>
          <cell r="N65" t="str">
            <v>MC-00450-3186/9</v>
          </cell>
          <cell r="O65" t="str">
            <v>OUAMALICH</v>
          </cell>
          <cell r="P65" t="str">
            <v>ORD</v>
          </cell>
          <cell r="Q65" t="str">
            <v>T</v>
          </cell>
          <cell r="S65" t="str">
            <v>R</v>
          </cell>
        </row>
        <row r="66">
          <cell r="B66">
            <v>2654</v>
          </cell>
          <cell r="C66" t="str">
            <v>REALISATION DES TRAVAUX DE VULCANISATION SUR LES CONVOYEURS T et P</v>
          </cell>
          <cell r="H66" t="str">
            <v>AVIS</v>
          </cell>
          <cell r="I66" t="str">
            <v>CP</v>
          </cell>
          <cell r="J66" t="str">
            <v>DPM- Avis en retour suite au remarque du CP</v>
          </cell>
          <cell r="K66">
            <v>538</v>
          </cell>
          <cell r="L66">
            <v>39326</v>
          </cell>
          <cell r="M66" t="str">
            <v>DPM-4533/07</v>
          </cell>
          <cell r="O66" t="str">
            <v>OUAMALICH</v>
          </cell>
          <cell r="P66" t="str">
            <v>ORD</v>
          </cell>
          <cell r="Q66" t="str">
            <v>T</v>
          </cell>
          <cell r="S66" t="str">
            <v>R</v>
          </cell>
        </row>
        <row r="67">
          <cell r="B67">
            <v>2655</v>
          </cell>
          <cell r="C67" t="str">
            <v>FUMISTERIE DES FOURS SECHEURS DE PMK/T</v>
          </cell>
          <cell r="D67">
            <v>0</v>
          </cell>
          <cell r="E67">
            <v>2000000</v>
          </cell>
          <cell r="H67" t="str">
            <v>ENG</v>
          </cell>
          <cell r="I67" t="str">
            <v>CP</v>
          </cell>
          <cell r="J67" t="str">
            <v>AE N°-2655-1</v>
          </cell>
          <cell r="L67">
            <v>38778</v>
          </cell>
          <cell r="M67" t="str">
            <v>DPM- 01/5</v>
          </cell>
          <cell r="N67" t="str">
            <v>AO-6007/5</v>
          </cell>
          <cell r="O67" t="str">
            <v>OUAMALICH</v>
          </cell>
          <cell r="P67" t="str">
            <v>ORD</v>
          </cell>
          <cell r="Q67" t="str">
            <v>T</v>
          </cell>
          <cell r="S67" t="str">
            <v>R</v>
          </cell>
        </row>
        <row r="68">
          <cell r="B68">
            <v>2657</v>
          </cell>
          <cell r="C68" t="str">
            <v>SABLAGE ET PEINTURE INDUSTRIELLE</v>
          </cell>
          <cell r="D68">
            <v>0</v>
          </cell>
          <cell r="E68">
            <v>4000000</v>
          </cell>
          <cell r="H68" t="str">
            <v>CHT</v>
          </cell>
          <cell r="I68" t="str">
            <v>CP</v>
          </cell>
          <cell r="J68" t="str">
            <v>DIB Annulé</v>
          </cell>
          <cell r="K68">
            <v>980</v>
          </cell>
          <cell r="L68">
            <v>39231</v>
          </cell>
          <cell r="M68" t="str">
            <v>DPM-15</v>
          </cell>
          <cell r="N68" t="str">
            <v>AO-9306/06</v>
          </cell>
          <cell r="O68" t="str">
            <v>OUAMALICH</v>
          </cell>
          <cell r="P68" t="str">
            <v>ORD</v>
          </cell>
          <cell r="Q68" t="str">
            <v>T</v>
          </cell>
          <cell r="S68" t="str">
            <v>R</v>
          </cell>
        </row>
        <row r="69">
          <cell r="B69">
            <v>2657</v>
          </cell>
          <cell r="C69" t="str">
            <v>SABLAGE ET PEINTURE INDUSTRIELLE</v>
          </cell>
          <cell r="H69" t="str">
            <v>CONSUL</v>
          </cell>
          <cell r="I69" t="str">
            <v>DSD/TM</v>
          </cell>
          <cell r="J69" t="str">
            <v>DPM transmise pour CT</v>
          </cell>
          <cell r="K69">
            <v>628</v>
          </cell>
          <cell r="L69">
            <v>39030</v>
          </cell>
          <cell r="M69" t="str">
            <v>DPM-4521/06</v>
          </cell>
          <cell r="O69" t="str">
            <v>OUAMALICH</v>
          </cell>
          <cell r="P69" t="str">
            <v>ORD</v>
          </cell>
          <cell r="Q69" t="str">
            <v>T</v>
          </cell>
          <cell r="S69" t="str">
            <v>R</v>
          </cell>
        </row>
        <row r="70">
          <cell r="B70">
            <v>2658</v>
          </cell>
          <cell r="C70" t="str">
            <v>TRAVAUX DE CHAUDRONNERIES ET MECANIQUES</v>
          </cell>
          <cell r="D70">
            <v>0</v>
          </cell>
          <cell r="E70">
            <v>6000000</v>
          </cell>
          <cell r="H70" t="str">
            <v>AVIS</v>
          </cell>
          <cell r="I70" t="str">
            <v>CP</v>
          </cell>
          <cell r="J70" t="str">
            <v>Retourné au CP sans avis du DAC</v>
          </cell>
          <cell r="K70">
            <v>79</v>
          </cell>
          <cell r="L70">
            <v>39135</v>
          </cell>
          <cell r="M70" t="str">
            <v>DPM 4503</v>
          </cell>
          <cell r="O70" t="str">
            <v>OUAMALICH</v>
          </cell>
          <cell r="P70" t="str">
            <v>ORD</v>
          </cell>
          <cell r="Q70" t="str">
            <v>T</v>
          </cell>
          <cell r="S70" t="str">
            <v>R</v>
          </cell>
        </row>
        <row r="71">
          <cell r="B71">
            <v>2658</v>
          </cell>
          <cell r="C71" t="str">
            <v>REALISATION DE 3 CLOTURES METALLIQUES DES PARCS</v>
          </cell>
          <cell r="H71" t="str">
            <v>CONSUL</v>
          </cell>
          <cell r="I71" t="str">
            <v>AD</v>
          </cell>
          <cell r="J71" t="str">
            <v>DPM + DT envoyés pour consultation</v>
          </cell>
          <cell r="K71">
            <v>428</v>
          </cell>
          <cell r="L71">
            <v>38940</v>
          </cell>
          <cell r="M71" t="str">
            <v>DPM-4512/06</v>
          </cell>
          <cell r="O71" t="str">
            <v>BAHI</v>
          </cell>
          <cell r="P71" t="str">
            <v>ORD</v>
          </cell>
          <cell r="Q71" t="str">
            <v>T</v>
          </cell>
          <cell r="S71" t="str">
            <v>R</v>
          </cell>
        </row>
        <row r="72">
          <cell r="B72">
            <v>2659</v>
          </cell>
          <cell r="C72" t="str">
            <v>OPERATION DE REBOISEMENT</v>
          </cell>
          <cell r="D72">
            <v>0</v>
          </cell>
          <cell r="E72">
            <v>2330000</v>
          </cell>
          <cell r="H72" t="str">
            <v>CONSUL</v>
          </cell>
          <cell r="I72" t="str">
            <v>AD</v>
          </cell>
          <cell r="J72" t="str">
            <v>DPM + DT envoyés pour consultation directement a AD</v>
          </cell>
          <cell r="K72">
            <v>235</v>
          </cell>
          <cell r="L72">
            <v>39212</v>
          </cell>
          <cell r="M72" t="str">
            <v>DPM-4511/06</v>
          </cell>
          <cell r="O72" t="str">
            <v>ZAHRI</v>
          </cell>
          <cell r="P72" t="str">
            <v>ORD</v>
          </cell>
          <cell r="Q72" t="str">
            <v>P</v>
          </cell>
          <cell r="S72" t="str">
            <v>P</v>
          </cell>
        </row>
        <row r="73">
          <cell r="B73">
            <v>2661</v>
          </cell>
          <cell r="C73" t="str">
            <v>REPARATION DU MATERIEL ELECTRIQUE ET DE TELECOMMUNICATION</v>
          </cell>
          <cell r="D73">
            <v>2500000</v>
          </cell>
          <cell r="E73">
            <v>2500000</v>
          </cell>
          <cell r="O73" t="str">
            <v>SAOUD</v>
          </cell>
          <cell r="P73" t="str">
            <v>ORD</v>
          </cell>
          <cell r="Q73" t="str">
            <v>L</v>
          </cell>
          <cell r="S73" t="str">
            <v>P</v>
          </cell>
        </row>
        <row r="74">
          <cell r="B74">
            <v>2667</v>
          </cell>
          <cell r="C74" t="str">
            <v>SOUS TRAITANCE DES ACTIVITES DE MAINTENANCE DE CONDUITE ET DE NETTOYAGE</v>
          </cell>
          <cell r="D74">
            <v>800000</v>
          </cell>
          <cell r="E74">
            <v>800000</v>
          </cell>
          <cell r="I74" t="str">
            <v>CP</v>
          </cell>
          <cell r="J74" t="str">
            <v xml:space="preserve"> - DAC N°007 DE 90 MDH approuvée par DG
</v>
          </cell>
          <cell r="L74">
            <v>38839</v>
          </cell>
          <cell r="O74" t="str">
            <v>YOUSFI</v>
          </cell>
          <cell r="P74" t="str">
            <v>REGIE</v>
          </cell>
          <cell r="Q74" t="str">
            <v>P</v>
          </cell>
          <cell r="S74" t="str">
            <v>P</v>
          </cell>
        </row>
        <row r="75">
          <cell r="B75">
            <v>2667</v>
          </cell>
          <cell r="C75" t="str">
            <v>TRAVAUX DE NETTOYAGE DES INSTALLATIONS FIXES A SC</v>
          </cell>
          <cell r="H75" t="str">
            <v>ENG</v>
          </cell>
          <cell r="I75" t="str">
            <v>AD</v>
          </cell>
          <cell r="J75" t="str">
            <v>AE N°2667-1-2-3-4-5-6-7-8; CHC adressé à AD pour ATT</v>
          </cell>
          <cell r="K75">
            <v>625</v>
          </cell>
          <cell r="L75">
            <v>39055</v>
          </cell>
          <cell r="M75" t="str">
            <v>DPM- 3093/06</v>
          </cell>
          <cell r="N75" t="str">
            <v>AO-DKM-01190</v>
          </cell>
          <cell r="O75" t="str">
            <v>YOUSFI</v>
          </cell>
          <cell r="P75" t="str">
            <v>REGIE</v>
          </cell>
          <cell r="Q75" t="str">
            <v>P</v>
          </cell>
          <cell r="S75" t="str">
            <v>P</v>
          </cell>
        </row>
        <row r="76">
          <cell r="B76">
            <v>2667</v>
          </cell>
          <cell r="C76" t="str">
            <v>TRAVAUX DE NETTOYAGE DES INSTALLATIONS FIXES A MEA</v>
          </cell>
          <cell r="H76" t="str">
            <v>ENG</v>
          </cell>
          <cell r="I76" t="str">
            <v>CP</v>
          </cell>
          <cell r="J76" t="str">
            <v>CHT pour consultation AD
AE N°-2667-9</v>
          </cell>
          <cell r="K76">
            <v>448</v>
          </cell>
          <cell r="L76">
            <v>39286</v>
          </cell>
          <cell r="M76" t="str">
            <v>DPM- 3090/06</v>
          </cell>
          <cell r="O76" t="str">
            <v>YOUSFI</v>
          </cell>
          <cell r="P76" t="str">
            <v>REGIE</v>
          </cell>
          <cell r="Q76" t="str">
            <v>P</v>
          </cell>
          <cell r="S76" t="str">
            <v>P</v>
          </cell>
        </row>
        <row r="77">
          <cell r="B77">
            <v>2667</v>
          </cell>
          <cell r="C77" t="str">
            <v>Sous traitance des activités de maintenance, de conduite et de nettoyage.</v>
          </cell>
          <cell r="G77">
            <v>230016</v>
          </cell>
          <cell r="H77" t="str">
            <v>ENG</v>
          </cell>
          <cell r="I77" t="str">
            <v>CP</v>
          </cell>
          <cell r="J77" t="str">
            <v>AE N°-2667-10</v>
          </cell>
          <cell r="K77" t="str">
            <v>PFF 545</v>
          </cell>
          <cell r="L77">
            <v>39279</v>
          </cell>
          <cell r="M77" t="str">
            <v>DPM- 3090/06</v>
          </cell>
          <cell r="O77" t="str">
            <v>YOUSFI</v>
          </cell>
          <cell r="P77" t="str">
            <v>REGIE</v>
          </cell>
          <cell r="Q77" t="str">
            <v>P</v>
          </cell>
          <cell r="S77" t="str">
            <v>P</v>
          </cell>
        </row>
        <row r="78">
          <cell r="B78">
            <v>2668</v>
          </cell>
          <cell r="C78" t="str">
            <v>LOCATION DE VÉHICULES</v>
          </cell>
          <cell r="D78">
            <v>0</v>
          </cell>
          <cell r="E78">
            <v>14700000</v>
          </cell>
          <cell r="G78">
            <v>5182769.66</v>
          </cell>
          <cell r="H78" t="str">
            <v>ENG</v>
          </cell>
          <cell r="I78" t="str">
            <v>CP</v>
          </cell>
          <cell r="J78" t="str">
            <v>AE N°2668_2</v>
          </cell>
          <cell r="K78" t="str">
            <v>PFF 448</v>
          </cell>
          <cell r="L78">
            <v>39233</v>
          </cell>
          <cell r="O78" t="str">
            <v>CHARKI</v>
          </cell>
          <cell r="P78" t="str">
            <v>LOC</v>
          </cell>
          <cell r="Q78" t="str">
            <v>P</v>
          </cell>
          <cell r="S78" t="str">
            <v>P</v>
          </cell>
        </row>
        <row r="79">
          <cell r="B79">
            <v>2669</v>
          </cell>
          <cell r="C79" t="str">
            <v>LOCATION  DE  VEHICULES  LONGUE  DUREE  POUR  PMK / AK / M  ( 9 VOITURES  LEGERES ET 1 PICK-UP )</v>
          </cell>
          <cell r="D79">
            <v>0</v>
          </cell>
          <cell r="E79">
            <v>550000</v>
          </cell>
          <cell r="O79" t="str">
            <v>SEMMACH</v>
          </cell>
          <cell r="P79" t="str">
            <v>LOC</v>
          </cell>
          <cell r="Q79" t="str">
            <v>AK</v>
          </cell>
          <cell r="S79" t="str">
            <v>P</v>
          </cell>
        </row>
        <row r="80">
          <cell r="B80">
            <v>2670</v>
          </cell>
          <cell r="C80" t="str">
            <v>ETUDE ET INSTALLATION DES DEFENSES AU QUAI DE CHARGEMENT DES NAVIRES A PMK/TC</v>
          </cell>
          <cell r="D80">
            <v>0</v>
          </cell>
          <cell r="E80">
            <v>18000000</v>
          </cell>
          <cell r="O80" t="str">
            <v>EL FATTAHI</v>
          </cell>
          <cell r="P80" t="str">
            <v>ORD</v>
          </cell>
          <cell r="Q80" t="str">
            <v>TC</v>
          </cell>
          <cell r="S80" t="str">
            <v>P</v>
          </cell>
        </row>
        <row r="81">
          <cell r="B81">
            <v>2673</v>
          </cell>
          <cell r="C81" t="str">
            <v>REMISE EN ETAT DE LA STRUCTURE EN BETON ARME DES PAROIS DU QUAI DE CHARGEMENT DE PMK/TC</v>
          </cell>
          <cell r="D81">
            <v>0</v>
          </cell>
          <cell r="E81">
            <v>1400000</v>
          </cell>
          <cell r="H81" t="str">
            <v>CONSUL</v>
          </cell>
          <cell r="I81" t="str">
            <v>AD</v>
          </cell>
          <cell r="J81" t="str">
            <v>DPM + DT transmis</v>
          </cell>
          <cell r="K81">
            <v>476</v>
          </cell>
          <cell r="L81">
            <v>38972</v>
          </cell>
          <cell r="M81" t="str">
            <v>DPM-02/06</v>
          </cell>
          <cell r="O81" t="str">
            <v>EL FATTAHI</v>
          </cell>
          <cell r="P81" t="str">
            <v>ORD</v>
          </cell>
          <cell r="Q81" t="str">
            <v>TC</v>
          </cell>
          <cell r="S81" t="str">
            <v>P</v>
          </cell>
        </row>
        <row r="82">
          <cell r="B82">
            <v>2857</v>
          </cell>
          <cell r="C82" t="str">
            <v>ENTRETIEN DES MANCHES ANTI POUSSIERE A,B &amp;C</v>
          </cell>
          <cell r="D82">
            <v>0</v>
          </cell>
          <cell r="E82">
            <v>800000</v>
          </cell>
          <cell r="O82" t="str">
            <v>RAOUIA</v>
          </cell>
          <cell r="P82" t="str">
            <v>ORD</v>
          </cell>
          <cell r="Q82" t="str">
            <v>TC</v>
          </cell>
          <cell r="S82" t="str">
            <v>P</v>
          </cell>
        </row>
        <row r="83">
          <cell r="B83">
            <v>2677</v>
          </cell>
          <cell r="C83" t="str">
            <v>ETUDE, FOURNITURE ET INSTALLATION D'UN SYSTEME VIDEO-SURVEILLANCE A PMK/TC</v>
          </cell>
          <cell r="D83">
            <v>800000</v>
          </cell>
          <cell r="E83">
            <v>800000</v>
          </cell>
          <cell r="H83" t="str">
            <v>CONSUL</v>
          </cell>
          <cell r="I83" t="str">
            <v>AD</v>
          </cell>
          <cell r="J83" t="str">
            <v>DPM + DT transmis</v>
          </cell>
          <cell r="K83">
            <v>468</v>
          </cell>
          <cell r="L83">
            <v>39301</v>
          </cell>
          <cell r="M83" t="str">
            <v>DPM-4803/07</v>
          </cell>
          <cell r="O83" t="str">
            <v>RAOUIA</v>
          </cell>
          <cell r="P83" t="str">
            <v>ORD</v>
          </cell>
          <cell r="Q83" t="str">
            <v>TC</v>
          </cell>
          <cell r="S83" t="str">
            <v>P</v>
          </cell>
        </row>
        <row r="84">
          <cell r="B84">
            <v>2680</v>
          </cell>
          <cell r="C84" t="str">
            <v>TRAVAUX DE GENIE-CIVIL À PMK/TC</v>
          </cell>
          <cell r="D84">
            <v>0</v>
          </cell>
          <cell r="E84">
            <v>400000</v>
          </cell>
          <cell r="O84" t="str">
            <v>RAOUIA</v>
          </cell>
          <cell r="P84" t="str">
            <v>ORD</v>
          </cell>
          <cell r="Q84" t="str">
            <v>TC</v>
          </cell>
          <cell r="S84" t="str">
            <v>P</v>
          </cell>
        </row>
        <row r="85">
          <cell r="B85">
            <v>2683</v>
          </cell>
          <cell r="C85" t="str">
            <v>PRESTATION  DU  PERSONNEL  EN  REGIE - INFIRMIERS</v>
          </cell>
          <cell r="D85">
            <v>2500000</v>
          </cell>
          <cell r="E85">
            <v>2500000</v>
          </cell>
          <cell r="H85" t="str">
            <v>DAC</v>
          </cell>
          <cell r="I85" t="str">
            <v>CP</v>
          </cell>
          <cell r="J85" t="str">
            <v>DAC N°009 de 2500000 DH approuvée par DG</v>
          </cell>
          <cell r="O85" t="str">
            <v>SEMMACH</v>
          </cell>
          <cell r="P85" t="str">
            <v>REGIE</v>
          </cell>
          <cell r="Q85" t="str">
            <v>AK</v>
          </cell>
          <cell r="S85" t="str">
            <v>P</v>
          </cell>
        </row>
        <row r="86">
          <cell r="B86">
            <v>2684</v>
          </cell>
          <cell r="C86" t="str">
            <v>PRESTATION  DU  PERSONNEL  EN  REGIE  TRAVAUX  DIVERS</v>
          </cell>
          <cell r="D86">
            <v>0</v>
          </cell>
          <cell r="E86">
            <v>1300000</v>
          </cell>
          <cell r="H86" t="str">
            <v>ENG</v>
          </cell>
          <cell r="I86" t="str">
            <v>CP</v>
          </cell>
          <cell r="J86" t="str">
            <v>DAC N°009 de 1 300 000 AE N°-2684-1-2</v>
          </cell>
          <cell r="O86" t="str">
            <v>SEMMACH</v>
          </cell>
          <cell r="P86" t="str">
            <v>REGIE</v>
          </cell>
          <cell r="Q86" t="str">
            <v>AK</v>
          </cell>
          <cell r="S86" t="str">
            <v>P</v>
          </cell>
        </row>
        <row r="87">
          <cell r="B87">
            <v>2685</v>
          </cell>
          <cell r="C87" t="str">
            <v>SOUS-TRAITANCE  DES  TRAVAUX  DE  MENAGE  ET  DE  NETTOYAGE  POUR  PMK / AK / M</v>
          </cell>
          <cell r="D87">
            <v>2000000</v>
          </cell>
          <cell r="E87">
            <v>3000000</v>
          </cell>
          <cell r="G87">
            <v>44640</v>
          </cell>
          <cell r="H87" t="str">
            <v>ENG</v>
          </cell>
          <cell r="I87" t="str">
            <v>CP</v>
          </cell>
          <cell r="J87" t="str">
            <v>AE N°2685_2 de 44 640,00dh
DAC N°009 de 3 MDH approuvée par DG-AE N°2685-1</v>
          </cell>
          <cell r="K87" t="str">
            <v>169
PFF - 588</v>
          </cell>
          <cell r="L87" t="str">
            <v>16/03/2007
15/08/2007</v>
          </cell>
          <cell r="O87" t="str">
            <v>SEMMACH</v>
          </cell>
          <cell r="P87" t="str">
            <v>REGIE</v>
          </cell>
          <cell r="Q87" t="str">
            <v>AK</v>
          </cell>
          <cell r="S87" t="str">
            <v>P</v>
          </cell>
        </row>
        <row r="88">
          <cell r="B88">
            <v>2686</v>
          </cell>
          <cell r="C88" t="str">
            <v>SOUS-TRAITANCE  DE  TRAVAUX  DE  JARDINAGE  ET  DE  GARDIENNAGE  POUR  PMK / AK / M.</v>
          </cell>
          <cell r="D88">
            <v>0</v>
          </cell>
          <cell r="E88">
            <v>1200000</v>
          </cell>
          <cell r="H88" t="str">
            <v>DAC</v>
          </cell>
          <cell r="I88" t="str">
            <v>CP</v>
          </cell>
          <cell r="J88" t="str">
            <v>DAC N°009 de 1 200 000 DH approuvée par DG</v>
          </cell>
          <cell r="O88" t="str">
            <v>SEMMACH</v>
          </cell>
          <cell r="P88" t="str">
            <v>REGIE</v>
          </cell>
          <cell r="Q88" t="str">
            <v>AK</v>
          </cell>
          <cell r="S88" t="str">
            <v>P</v>
          </cell>
        </row>
        <row r="89">
          <cell r="B89">
            <v>2691</v>
          </cell>
          <cell r="C89" t="str">
            <v>TRAVAUX  D'ENTRETIEN  DES  LOGEMENTS  HORS  CADRES  OCP  KHOURIBGA</v>
          </cell>
          <cell r="D89">
            <v>0</v>
          </cell>
          <cell r="E89">
            <v>1100000</v>
          </cell>
          <cell r="O89" t="str">
            <v>DERDAKI</v>
          </cell>
          <cell r="P89" t="str">
            <v>ORD</v>
          </cell>
          <cell r="Q89" t="str">
            <v>AK</v>
          </cell>
          <cell r="S89" t="str">
            <v>P</v>
          </cell>
        </row>
        <row r="90">
          <cell r="B90">
            <v>2692</v>
          </cell>
          <cell r="C90" t="str">
            <v>TRAVAUX  D'ENTRETIEN  DES  LOGEMENTS  CADRES  OCP  KHOURIBGA</v>
          </cell>
          <cell r="D90">
            <v>0</v>
          </cell>
          <cell r="E90">
            <v>1100000</v>
          </cell>
          <cell r="O90" t="str">
            <v>DERDAKI</v>
          </cell>
          <cell r="P90" t="str">
            <v>ORD</v>
          </cell>
          <cell r="Q90" t="str">
            <v>AK</v>
          </cell>
          <cell r="S90" t="str">
            <v>P</v>
          </cell>
        </row>
        <row r="91">
          <cell r="B91">
            <v>2693</v>
          </cell>
          <cell r="C91" t="str">
            <v>TRAVAUX  D'ENTRETIEN  DES  ETABLISSEMENTS  SOCIAUX  OCP  KHOURIBGA</v>
          </cell>
          <cell r="D91">
            <v>0</v>
          </cell>
          <cell r="E91">
            <v>1320000</v>
          </cell>
          <cell r="H91" t="str">
            <v>CONSUL</v>
          </cell>
          <cell r="I91" t="str">
            <v>AD</v>
          </cell>
          <cell r="J91" t="str">
            <v>DPM en consultation</v>
          </cell>
          <cell r="K91">
            <v>509</v>
          </cell>
          <cell r="L91">
            <v>39329</v>
          </cell>
          <cell r="M91" t="str">
            <v>DPM-1311/7</v>
          </cell>
          <cell r="O91" t="str">
            <v>DERDAKI</v>
          </cell>
          <cell r="P91" t="str">
            <v>ORD</v>
          </cell>
          <cell r="Q91" t="str">
            <v>AK</v>
          </cell>
          <cell r="S91" t="str">
            <v>P</v>
          </cell>
        </row>
        <row r="92">
          <cell r="B92">
            <v>2694</v>
          </cell>
          <cell r="C92" t="str">
            <v>TRAVAUX  DE  GARDIENNAGE  DES  ETABLISSEMENTS  OCP  KHOURIBGA</v>
          </cell>
          <cell r="D92">
            <v>2200000</v>
          </cell>
          <cell r="E92">
            <v>2200000</v>
          </cell>
          <cell r="G92">
            <v>598482.69999999995</v>
          </cell>
          <cell r="H92" t="str">
            <v>ENG</v>
          </cell>
          <cell r="I92" t="str">
            <v>CP</v>
          </cell>
          <cell r="J92" t="str">
            <v>AE N° GT 2694-1 et 2694-2 de 116 889,10 et 481 593,60
DAC n°02 aprouver DG de 2 000 000 dh</v>
          </cell>
          <cell r="K92" t="str">
            <v>PFF - 493</v>
          </cell>
          <cell r="L92">
            <v>39252</v>
          </cell>
          <cell r="M92" t="str">
            <v>DPM-1037/6</v>
          </cell>
          <cell r="O92" t="str">
            <v>DERDAKI</v>
          </cell>
          <cell r="P92" t="str">
            <v>REGIE</v>
          </cell>
          <cell r="Q92" t="str">
            <v>AK</v>
          </cell>
          <cell r="S92" t="str">
            <v>P</v>
          </cell>
        </row>
        <row r="93">
          <cell r="B93">
            <v>2695</v>
          </cell>
          <cell r="C93" t="str">
            <v>EXTERNALISATION  DES  TRAVAUX  DIVERS  DES  ETABLISSEMENTS  SOCIAUX  -  PERSONNEL  EN  REGIE  -</v>
          </cell>
          <cell r="D93">
            <v>2200000</v>
          </cell>
          <cell r="E93">
            <v>2200000</v>
          </cell>
          <cell r="H93" t="str">
            <v>DAC</v>
          </cell>
          <cell r="I93" t="str">
            <v>CP</v>
          </cell>
          <cell r="J93" t="str">
            <v>DAC N°008 de 2000000 DH approuvée par DG</v>
          </cell>
          <cell r="O93" t="str">
            <v>DERDAKI</v>
          </cell>
          <cell r="P93" t="str">
            <v>REGIE</v>
          </cell>
          <cell r="Q93" t="str">
            <v>AK</v>
          </cell>
          <cell r="S93" t="str">
            <v>P</v>
          </cell>
        </row>
        <row r="94">
          <cell r="B94">
            <v>2696</v>
          </cell>
          <cell r="C94" t="str">
            <v>EXTERNALISATION  DE  LA  CUISINE  DE  LA  CLINIQUE  OCP  KHOURIBGA</v>
          </cell>
          <cell r="D94">
            <v>0</v>
          </cell>
          <cell r="E94">
            <v>6600000.0000000009</v>
          </cell>
          <cell r="H94" t="str">
            <v>ENG</v>
          </cell>
          <cell r="I94" t="str">
            <v>CP</v>
          </cell>
          <cell r="J94" t="str">
            <v>AE N° GT 2695-1</v>
          </cell>
          <cell r="L94">
            <v>38957</v>
          </cell>
          <cell r="M94" t="str">
            <v>DPM 1020/5</v>
          </cell>
          <cell r="O94" t="str">
            <v>DERDAKI</v>
          </cell>
          <cell r="P94" t="str">
            <v>REGIE</v>
          </cell>
          <cell r="Q94" t="str">
            <v>AK</v>
          </cell>
          <cell r="S94" t="str">
            <v>P</v>
          </cell>
        </row>
        <row r="95">
          <cell r="B95">
            <v>2700</v>
          </cell>
          <cell r="C95" t="str">
            <v>REMISE EN CONFORMITE DU SYSTEME D'ENTRAINEMENT ET BRAS DU DECANTEUR D2 DE LA LAVERIE DAOUI</v>
          </cell>
          <cell r="D95">
            <v>5000000</v>
          </cell>
          <cell r="E95">
            <v>10000000</v>
          </cell>
          <cell r="H95" t="str">
            <v>CHT</v>
          </cell>
          <cell r="I95" t="str">
            <v>CP</v>
          </cell>
          <cell r="J95" t="str">
            <v>CHT en retour suite au remarque du CT</v>
          </cell>
          <cell r="K95">
            <v>472</v>
          </cell>
          <cell r="L95">
            <v>39302</v>
          </cell>
          <cell r="M95" t="str">
            <v>DPM-18/06</v>
          </cell>
          <cell r="O95" t="str">
            <v>BENMAKHLOUF</v>
          </cell>
          <cell r="P95" t="str">
            <v>ORD</v>
          </cell>
          <cell r="Q95" t="str">
            <v>T</v>
          </cell>
          <cell r="S95" t="str">
            <v>P</v>
          </cell>
        </row>
        <row r="96">
          <cell r="B96">
            <v>2700</v>
          </cell>
          <cell r="C96" t="str">
            <v>Réparation de la partie génie civil du décanteur n°2 de la laverie</v>
          </cell>
          <cell r="H96" t="str">
            <v>CONSUL</v>
          </cell>
          <cell r="I96" t="str">
            <v>CP</v>
          </cell>
          <cell r="J96" t="str">
            <v>DPM en consultation</v>
          </cell>
          <cell r="K96">
            <v>277</v>
          </cell>
          <cell r="L96">
            <v>39202</v>
          </cell>
          <cell r="M96" t="str">
            <v>DPM-4512</v>
          </cell>
          <cell r="O96" t="str">
            <v>BENMAKHLOUF</v>
          </cell>
          <cell r="P96" t="str">
            <v>ORD</v>
          </cell>
          <cell r="Q96" t="str">
            <v>T</v>
          </cell>
          <cell r="S96" t="str">
            <v>P</v>
          </cell>
        </row>
        <row r="97">
          <cell r="B97">
            <v>2701</v>
          </cell>
          <cell r="C97" t="str">
            <v>REMISE EN CONFORMITE DES ROUES-PELLES DE PMK/TD</v>
          </cell>
          <cell r="D97">
            <v>0</v>
          </cell>
          <cell r="E97">
            <v>10000000</v>
          </cell>
          <cell r="O97" t="str">
            <v>CHNANI</v>
          </cell>
          <cell r="P97" t="str">
            <v>ORD</v>
          </cell>
          <cell r="Q97" t="str">
            <v>T</v>
          </cell>
          <cell r="S97" t="str">
            <v>P</v>
          </cell>
        </row>
        <row r="98">
          <cell r="B98">
            <v>2703</v>
          </cell>
          <cell r="C98" t="str">
            <v>REAMENAGEMENT DE NOUVEAUX LOCAUX ET ATELIER POUR LE COMPTE DU SERVICE INSTALLATION A LA LAVERIE DAOUI</v>
          </cell>
          <cell r="D98">
            <v>1000000</v>
          </cell>
          <cell r="E98">
            <v>2000000</v>
          </cell>
          <cell r="H98" t="str">
            <v>CONSUL</v>
          </cell>
          <cell r="I98" t="str">
            <v>AD</v>
          </cell>
          <cell r="J98" t="str">
            <v>DPM en consultation</v>
          </cell>
          <cell r="K98">
            <v>13</v>
          </cell>
          <cell r="L98">
            <v>39107</v>
          </cell>
          <cell r="M98" t="str">
            <v>dpm-4524-4525/6</v>
          </cell>
          <cell r="O98" t="str">
            <v>BENMAKHLOUF</v>
          </cell>
          <cell r="P98" t="str">
            <v>ORD</v>
          </cell>
          <cell r="Q98" t="str">
            <v>T</v>
          </cell>
          <cell r="S98" t="str">
            <v>P</v>
          </cell>
        </row>
        <row r="99">
          <cell r="B99">
            <v>2707</v>
          </cell>
          <cell r="C99" t="str">
            <v>GOUDRONNAGE DE LA LAVERIE DAOUI</v>
          </cell>
          <cell r="D99">
            <v>0</v>
          </cell>
          <cell r="E99">
            <v>3500000</v>
          </cell>
          <cell r="H99" t="str">
            <v>CT</v>
          </cell>
          <cell r="I99" t="str">
            <v>CP</v>
          </cell>
          <cell r="J99" t="str">
            <v>DPM retourné suite au remarque de DAC
AE N°-2704-1-2-3-4 &amp;5</v>
          </cell>
          <cell r="K99">
            <v>60</v>
          </cell>
          <cell r="L99">
            <v>39122</v>
          </cell>
          <cell r="O99" t="str">
            <v>BENAMEUR</v>
          </cell>
          <cell r="P99" t="str">
            <v>ORD</v>
          </cell>
          <cell r="Q99" t="str">
            <v>T</v>
          </cell>
          <cell r="S99" t="str">
            <v>P</v>
          </cell>
        </row>
        <row r="100">
          <cell r="B100">
            <v>2708</v>
          </cell>
          <cell r="C100" t="str">
            <v>TRANSFERT DE LA STATION SERVICE PMK/LM/X VERS UK</v>
          </cell>
          <cell r="D100">
            <v>0</v>
          </cell>
          <cell r="E100">
            <v>2500000</v>
          </cell>
          <cell r="O100" t="str">
            <v>BOUZZIT</v>
          </cell>
          <cell r="P100" t="str">
            <v>ORD</v>
          </cell>
          <cell r="Q100" t="str">
            <v>L</v>
          </cell>
          <cell r="S100" t="str">
            <v>P</v>
          </cell>
        </row>
        <row r="101">
          <cell r="B101">
            <v>2709</v>
          </cell>
          <cell r="C101" t="str">
            <v>SURELEVATION DU TOIT DE L'ATELIER AJUSTAGE DE PMK/LM/X</v>
          </cell>
          <cell r="D101">
            <v>2000000</v>
          </cell>
          <cell r="E101">
            <v>2000000</v>
          </cell>
          <cell r="H101" t="str">
            <v>CHC</v>
          </cell>
          <cell r="I101" t="str">
            <v>AD</v>
          </cell>
          <cell r="J101" t="str">
            <v>CHC transmis à AD</v>
          </cell>
          <cell r="K101">
            <v>114</v>
          </cell>
          <cell r="L101">
            <v>39114</v>
          </cell>
          <cell r="M101" t="str">
            <v>DPM-5048/6</v>
          </cell>
          <cell r="O101" t="str">
            <v>BOUZZIT</v>
          </cell>
          <cell r="P101" t="str">
            <v>ORD</v>
          </cell>
          <cell r="Q101" t="str">
            <v>L</v>
          </cell>
          <cell r="S101" t="str">
            <v>P</v>
          </cell>
        </row>
        <row r="102">
          <cell r="B102">
            <v>2710</v>
          </cell>
          <cell r="C102" t="str">
            <v>RENOVATION DU RESEAU D'EAU D'INCENDIE DE PMK/TC AU PORT DE CASABLANCA</v>
          </cell>
          <cell r="D102">
            <v>1300000</v>
          </cell>
          <cell r="E102">
            <v>1300000</v>
          </cell>
          <cell r="H102" t="str">
            <v>CONSUL</v>
          </cell>
          <cell r="I102" t="str">
            <v>AD</v>
          </cell>
          <cell r="J102" t="str">
            <v>DPM/TC- 4801 + DT envoyé pour consultation</v>
          </cell>
          <cell r="K102">
            <v>327</v>
          </cell>
          <cell r="L102">
            <v>38895</v>
          </cell>
          <cell r="O102" t="str">
            <v>RAOUIA</v>
          </cell>
          <cell r="P102" t="str">
            <v>ORD</v>
          </cell>
          <cell r="Q102" t="str">
            <v>TC</v>
          </cell>
          <cell r="S102" t="str">
            <v>P</v>
          </cell>
        </row>
        <row r="103">
          <cell r="B103">
            <v>2713</v>
          </cell>
          <cell r="C103" t="str">
            <v>TRAVAUX DIVERS</v>
          </cell>
          <cell r="D103">
            <v>1500000</v>
          </cell>
          <cell r="E103">
            <v>1500000</v>
          </cell>
          <cell r="H103" t="str">
            <v>CONSUL</v>
          </cell>
          <cell r="I103" t="str">
            <v>AD</v>
          </cell>
          <cell r="J103" t="str">
            <v>DPM en consultation
(AE N°-2713-1-2+3  2006)</v>
          </cell>
          <cell r="K103">
            <v>194</v>
          </cell>
          <cell r="L103">
            <v>39171</v>
          </cell>
          <cell r="M103" t="str">
            <v>DPM-5053/06</v>
          </cell>
          <cell r="O103" t="str">
            <v>ZEGGUIR</v>
          </cell>
          <cell r="P103" t="str">
            <v>ORD</v>
          </cell>
          <cell r="Q103" t="str">
            <v>L</v>
          </cell>
          <cell r="S103" t="str">
            <v>P</v>
          </cell>
        </row>
        <row r="104">
          <cell r="B104">
            <v>2715</v>
          </cell>
          <cell r="C104" t="str">
            <v>TRAVAUX  AU  SEIN  DE  LA  CLINIQUE  OCP  DE  KHOURIBGA : 1 - ENTRETIEN  D'UN  ENSEMBLE  RADIOLOGIE; 2 - DERATISATION, DESINSECTISATION ET DESINFECTION; 3 - AMENAGEMENT D'UN PAVILLON DE STOMATOLOGIE.</v>
          </cell>
          <cell r="D104">
            <v>0</v>
          </cell>
          <cell r="E104">
            <v>49000</v>
          </cell>
          <cell r="H104" t="str">
            <v>ENG</v>
          </cell>
          <cell r="I104" t="str">
            <v>CP</v>
          </cell>
          <cell r="J104" t="str">
            <v xml:space="preserve">DAC /GT/013/2006 DE 177 580 ,00 -DAE N°-2715-1 &amp; 2 de 130 080 et 47 500 dh </v>
          </cell>
          <cell r="L104">
            <v>2007</v>
          </cell>
          <cell r="M104" t="str">
            <v>DPM 1512-1511</v>
          </cell>
          <cell r="N104" t="str">
            <v>DKM-00845 ET 00844/6</v>
          </cell>
          <cell r="O104" t="str">
            <v>SEMMACH</v>
          </cell>
          <cell r="P104" t="str">
            <v>ORD</v>
          </cell>
          <cell r="Q104" t="str">
            <v>AK</v>
          </cell>
          <cell r="S104" t="str">
            <v>P</v>
          </cell>
        </row>
        <row r="105">
          <cell r="B105">
            <v>2716</v>
          </cell>
          <cell r="C105" t="str">
            <v>TRAVAUX DE REMISE EN ETAT DE LA STRUCTURE EN BETON ARME DE LA NEF DE DECHARGEMENT DES TRAINS DE PHOSPHATES A PMK/TC</v>
          </cell>
          <cell r="D105">
            <v>2500000</v>
          </cell>
          <cell r="E105">
            <v>2500000</v>
          </cell>
          <cell r="H105" t="str">
            <v>CONSUL</v>
          </cell>
          <cell r="I105" t="str">
            <v>AD</v>
          </cell>
          <cell r="J105" t="str">
            <v>DAC/GT approuvée DG et envoyée au CP
DPM en consultation</v>
          </cell>
          <cell r="K105">
            <v>129</v>
          </cell>
          <cell r="L105">
            <v>39146</v>
          </cell>
          <cell r="M105" t="str">
            <v>DPM - 07/06</v>
          </cell>
          <cell r="O105" t="str">
            <v>ZAID</v>
          </cell>
          <cell r="P105" t="str">
            <v>ORD</v>
          </cell>
          <cell r="Q105" t="str">
            <v>TC</v>
          </cell>
          <cell r="S105" t="str">
            <v>P</v>
          </cell>
        </row>
        <row r="106">
          <cell r="B106">
            <v>2720</v>
          </cell>
          <cell r="C106" t="str">
            <v>AMENAGEMENT  DE  L'ENCEINTE  DU  SERVICE GEOLOGIE  A  KHOURIBGA</v>
          </cell>
          <cell r="D106">
            <v>0</v>
          </cell>
          <cell r="E106">
            <v>600000</v>
          </cell>
          <cell r="O106" t="str">
            <v>BOUYA</v>
          </cell>
          <cell r="P106" t="str">
            <v>ORD</v>
          </cell>
          <cell r="Q106" t="str">
            <v>AK</v>
          </cell>
          <cell r="S106" t="str">
            <v>P</v>
          </cell>
        </row>
        <row r="107">
          <cell r="B107">
            <v>2721</v>
          </cell>
          <cell r="C107" t="str">
            <v>RENOVATION DE LA BASE ET DU SYSTEME ELECTRIQUE DE REGULATION DE LA DRAGLINE 8400 M</v>
          </cell>
          <cell r="D107">
            <v>15000000</v>
          </cell>
          <cell r="E107">
            <v>15000000</v>
          </cell>
          <cell r="H107" t="str">
            <v>DAC</v>
          </cell>
          <cell r="I107" t="str">
            <v>PFM &amp; AD</v>
          </cell>
          <cell r="J107" t="str">
            <v>DAC/PMK/GT/014/06  de 10 MDH  approvée par M le DG et transmise à PFM et AD</v>
          </cell>
          <cell r="K107">
            <v>17</v>
          </cell>
          <cell r="L107">
            <v>39106</v>
          </cell>
          <cell r="M107" t="str">
            <v>DPM-3101/06</v>
          </cell>
          <cell r="O107" t="str">
            <v>EL BOUCHRIFI</v>
          </cell>
          <cell r="P107" t="str">
            <v>ORD</v>
          </cell>
          <cell r="Q107" t="str">
            <v>P</v>
          </cell>
          <cell r="S107" t="str">
            <v>P</v>
          </cell>
        </row>
        <row r="108">
          <cell r="B108">
            <v>2721</v>
          </cell>
          <cell r="C108" t="str">
            <v>LOCATION DES MOYENS MATERIELS POUR LE CHANGEMENT DU CAMEMBERT DE LA 8400</v>
          </cell>
          <cell r="H108" t="str">
            <v>CONSUL</v>
          </cell>
          <cell r="I108" t="str">
            <v>AD-PFM/M</v>
          </cell>
          <cell r="J108" t="str">
            <v>DPM-3102,3105,3113,3115 &amp; 3116 envoyées pour CT</v>
          </cell>
          <cell r="L108">
            <v>39078</v>
          </cell>
          <cell r="M108" t="str">
            <v>DPM-3105, 3113, 3115 ,3116</v>
          </cell>
          <cell r="O108" t="str">
            <v>EL BOUCHRIFI</v>
          </cell>
          <cell r="P108" t="str">
            <v>ORD</v>
          </cell>
          <cell r="Q108" t="str">
            <v>P</v>
          </cell>
          <cell r="S108" t="str">
            <v>P</v>
          </cell>
        </row>
        <row r="109">
          <cell r="B109">
            <v>2721</v>
          </cell>
          <cell r="C109" t="str">
            <v xml:space="preserve">REFECTION DE LA PEINTURE </v>
          </cell>
          <cell r="H109" t="str">
            <v>CHT</v>
          </cell>
          <cell r="I109" t="str">
            <v>CP</v>
          </cell>
          <cell r="J109" t="str">
            <v>CHT en retour suite au remarque du CT</v>
          </cell>
          <cell r="K109">
            <v>443</v>
          </cell>
          <cell r="L109">
            <v>39283</v>
          </cell>
          <cell r="M109" t="str">
            <v>DPM-3102/06</v>
          </cell>
          <cell r="N109" t="str">
            <v>DKM 277</v>
          </cell>
          <cell r="O109" t="str">
            <v>EL BOUCHRIFI</v>
          </cell>
          <cell r="P109" t="str">
            <v>ORD</v>
          </cell>
          <cell r="Q109" t="str">
            <v>P</v>
          </cell>
          <cell r="S109" t="str">
            <v>P</v>
          </cell>
        </row>
        <row r="110">
          <cell r="B110">
            <v>2721</v>
          </cell>
          <cell r="C110" t="str">
            <v>SYSTEME DE PRESSURISATION, DE REFROIDISSEMENT ET D'EXTRACTION D'AIR CHAUD</v>
          </cell>
          <cell r="H110" t="str">
            <v>CT</v>
          </cell>
          <cell r="I110" t="str">
            <v>CP</v>
          </cell>
          <cell r="J110" t="str">
            <v>En retour suite aux remarques du DSD-483 du 04/10/2006</v>
          </cell>
          <cell r="K110">
            <v>536</v>
          </cell>
          <cell r="L110">
            <v>39001</v>
          </cell>
          <cell r="M110" t="str">
            <v>DPM-3105/06</v>
          </cell>
          <cell r="O110" t="str">
            <v>EL BOUCHRIFI</v>
          </cell>
          <cell r="P110" t="str">
            <v>ORD</v>
          </cell>
          <cell r="Q110" t="str">
            <v>P</v>
          </cell>
          <cell r="S110" t="str">
            <v>P</v>
          </cell>
        </row>
        <row r="111">
          <cell r="B111">
            <v>2721</v>
          </cell>
          <cell r="C111" t="str">
            <v>MOYENS HUMAIS POUR LE CHANGEMENT DU CAMEMBERT DE LA 8400</v>
          </cell>
          <cell r="H111" t="str">
            <v>ENG</v>
          </cell>
          <cell r="I111" t="str">
            <v>CP</v>
          </cell>
          <cell r="J111" t="str">
            <v>AE n° 2721_1 de 3 009 680,00 dh</v>
          </cell>
          <cell r="K111" t="str">
            <v>PFF 552</v>
          </cell>
          <cell r="L111">
            <v>39280</v>
          </cell>
          <cell r="M111" t="str">
            <v>DPM-64</v>
          </cell>
          <cell r="O111" t="str">
            <v>EL BOUCHRIFI</v>
          </cell>
          <cell r="P111" t="str">
            <v>ORD</v>
          </cell>
          <cell r="Q111" t="str">
            <v>P</v>
          </cell>
          <cell r="S111" t="str">
            <v>P</v>
          </cell>
        </row>
        <row r="112">
          <cell r="B112">
            <v>3560</v>
          </cell>
          <cell r="C112" t="str">
            <v>LOCATION VEHICULES</v>
          </cell>
          <cell r="D112">
            <v>9600000</v>
          </cell>
          <cell r="E112">
            <v>9600000</v>
          </cell>
          <cell r="F112">
            <v>0</v>
          </cell>
          <cell r="H112" t="str">
            <v>avis</v>
          </cell>
          <cell r="I112" t="str">
            <v>CP</v>
          </cell>
          <cell r="J112" t="str">
            <v>En retour suite aux remarques du DAC-198 du 19/03/07
lettre d'accord transmise a PM PMK/LM/X-D n°06/07 du 15/10/07</v>
          </cell>
          <cell r="K112">
            <v>233</v>
          </cell>
          <cell r="L112">
            <v>39185</v>
          </cell>
          <cell r="O112" t="str">
            <v>BOUZZIT</v>
          </cell>
          <cell r="P112" t="str">
            <v>LOC</v>
          </cell>
          <cell r="Q112" t="str">
            <v>L</v>
          </cell>
          <cell r="R112" t="str">
            <v>K11632</v>
          </cell>
          <cell r="S112" t="str">
            <v>P</v>
          </cell>
        </row>
        <row r="113">
          <cell r="B113">
            <v>3572</v>
          </cell>
          <cell r="C113" t="str">
            <v>Location des moteurs thermiques pour les locotracteurs et engins de PMK/T</v>
          </cell>
          <cell r="D113">
            <v>2000000</v>
          </cell>
          <cell r="E113">
            <v>2000000</v>
          </cell>
          <cell r="F113">
            <v>0</v>
          </cell>
          <cell r="O113" t="str">
            <v>OUAMALICH</v>
          </cell>
          <cell r="P113" t="str">
            <v>ORD</v>
          </cell>
          <cell r="Q113" t="str">
            <v>T</v>
          </cell>
          <cell r="R113" t="str">
            <v>K04520</v>
          </cell>
          <cell r="S113" t="str">
            <v>P</v>
          </cell>
        </row>
        <row r="114">
          <cell r="B114">
            <v>3572</v>
          </cell>
          <cell r="C114" t="str">
            <v>Lot1 : Location de 02 moteurs thermiques pour les locotracteurs CFD Mles 13748 et 13749</v>
          </cell>
          <cell r="G114">
            <v>590400</v>
          </cell>
          <cell r="H114" t="str">
            <v>ENG</v>
          </cell>
          <cell r="I114" t="str">
            <v>CP</v>
          </cell>
          <cell r="J114" t="str">
            <v>AE N° 3572_1 de 590 400,00 dh
CHC transmis à AD</v>
          </cell>
          <cell r="K114">
            <v>456</v>
          </cell>
          <cell r="L114">
            <v>39290</v>
          </cell>
          <cell r="M114" t="str">
            <v>DPM-4502/07</v>
          </cell>
          <cell r="O114" t="str">
            <v>OUAMALICH</v>
          </cell>
          <cell r="P114" t="str">
            <v>ORD</v>
          </cell>
          <cell r="Q114" t="str">
            <v>T</v>
          </cell>
          <cell r="R114" t="str">
            <v>K04520</v>
          </cell>
          <cell r="S114" t="str">
            <v>P</v>
          </cell>
        </row>
        <row r="115">
          <cell r="B115">
            <v>3572</v>
          </cell>
          <cell r="C115" t="str">
            <v>Lot2: Location de 02 moteurs thermiques pour la chargeuse CATERPILLAR et la grue PPM de PMK/T</v>
          </cell>
          <cell r="H115" t="str">
            <v>CONSUL</v>
          </cell>
          <cell r="I115" t="str">
            <v>AD</v>
          </cell>
          <cell r="J115" t="str">
            <v>DPM en consultation</v>
          </cell>
          <cell r="K115">
            <v>213</v>
          </cell>
          <cell r="L115">
            <v>39177</v>
          </cell>
          <cell r="M115" t="str">
            <v>DPM-4513/07</v>
          </cell>
          <cell r="O115" t="str">
            <v>OUAMALICH</v>
          </cell>
          <cell r="P115" t="str">
            <v>ORD</v>
          </cell>
          <cell r="Q115" t="str">
            <v>T</v>
          </cell>
          <cell r="R115" t="str">
            <v>K04520</v>
          </cell>
          <cell r="S115" t="str">
            <v>P</v>
          </cell>
        </row>
        <row r="116">
          <cell r="B116">
            <v>3587</v>
          </cell>
          <cell r="C116" t="str">
            <v>INTERVENTION SUR LES CONDUITES</v>
          </cell>
          <cell r="D116">
            <v>1400000</v>
          </cell>
          <cell r="E116">
            <v>1400000</v>
          </cell>
          <cell r="F116">
            <v>0</v>
          </cell>
          <cell r="G116">
            <v>1400000</v>
          </cell>
          <cell r="H116" t="str">
            <v>ENG</v>
          </cell>
          <cell r="I116" t="str">
            <v>CP</v>
          </cell>
          <cell r="J116" t="str">
            <v>AE N° 3587_1 de 1 000 000 dh et AE N° 3587_2 de 400 000 dh</v>
          </cell>
          <cell r="K116" t="str">
            <v>PFF - 406</v>
          </cell>
          <cell r="L116">
            <v>39216</v>
          </cell>
          <cell r="O116" t="str">
            <v>SAOUD</v>
          </cell>
          <cell r="P116" t="str">
            <v>ORD</v>
          </cell>
          <cell r="Q116" t="str">
            <v>L</v>
          </cell>
          <cell r="R116" t="str">
            <v>K11701</v>
          </cell>
          <cell r="S116" t="str">
            <v>P</v>
          </cell>
        </row>
        <row r="117">
          <cell r="B117">
            <v>3595</v>
          </cell>
          <cell r="C117" t="str">
            <v>PRESTATION EN PERSONNEL</v>
          </cell>
          <cell r="D117">
            <v>4873571</v>
          </cell>
          <cell r="E117">
            <v>6239000</v>
          </cell>
          <cell r="F117">
            <v>0</v>
          </cell>
          <cell r="G117">
            <v>3393942.24</v>
          </cell>
          <cell r="H117" t="str">
            <v xml:space="preserve">ENG
</v>
          </cell>
          <cell r="I117" t="str">
            <v xml:space="preserve">CP </v>
          </cell>
          <cell r="J117" t="str">
            <v xml:space="preserve">AE N° 3595_1 de 204 480 &amp; AE N° 3595_5 de 489 462,24 
AE N° 3595_3 de 2  700 000,00dh &amp; AE N° 3595_4 de       </v>
          </cell>
          <cell r="K117" t="str">
            <v>PFF - 482
420 - 485 - 635</v>
          </cell>
          <cell r="L117" t="str">
            <v>13/06/2007
22/08/2007
26/09/2007</v>
          </cell>
          <cell r="M117" t="str">
            <v>DPM-5055/07
DPM 5264/07</v>
          </cell>
          <cell r="O117" t="str">
            <v>FIKRI</v>
          </cell>
          <cell r="P117" t="str">
            <v>REGIE</v>
          </cell>
          <cell r="Q117" t="str">
            <v>L</v>
          </cell>
          <cell r="R117" t="str">
            <v>K11608</v>
          </cell>
          <cell r="S117" t="str">
            <v>P</v>
          </cell>
        </row>
        <row r="118">
          <cell r="B118">
            <v>3595</v>
          </cell>
          <cell r="C118" t="str">
            <v>07 maitres chiens</v>
          </cell>
          <cell r="G118">
            <v>578880</v>
          </cell>
          <cell r="H118" t="str">
            <v>ENG</v>
          </cell>
          <cell r="I118" t="str">
            <v>CP</v>
          </cell>
          <cell r="J118" t="str">
            <v>AE N°-3595-4</v>
          </cell>
          <cell r="K118">
            <v>485</v>
          </cell>
          <cell r="L118">
            <v>39345</v>
          </cell>
          <cell r="M118" t="str">
            <v xml:space="preserve">DPM-5055/07
</v>
          </cell>
          <cell r="N118" t="str">
            <v>AO-DKM-4317/07</v>
          </cell>
          <cell r="O118" t="str">
            <v>SAOUD</v>
          </cell>
          <cell r="P118" t="str">
            <v>REGIE</v>
          </cell>
          <cell r="Q118" t="str">
            <v>L</v>
          </cell>
          <cell r="S118" t="str">
            <v>P</v>
          </cell>
        </row>
        <row r="119">
          <cell r="B119">
            <v>3595</v>
          </cell>
          <cell r="C119" t="str">
            <v>ENTRETIEN DES ECPACES VERTS DES DIFFERENTS INSTALLATIONS PMK/LM/E</v>
          </cell>
          <cell r="G119">
            <v>339670</v>
          </cell>
          <cell r="H119" t="str">
            <v>ENG</v>
          </cell>
          <cell r="I119" t="str">
            <v>CP</v>
          </cell>
          <cell r="J119" t="str">
            <v>AE N°-3595-6</v>
          </cell>
          <cell r="K119" t="str">
            <v>PFF-666</v>
          </cell>
          <cell r="L119">
            <v>39371</v>
          </cell>
          <cell r="M119" t="str">
            <v>DPM-5264</v>
          </cell>
          <cell r="N119" t="str">
            <v>AO-DKM-02769</v>
          </cell>
          <cell r="O119" t="str">
            <v>SAOUD</v>
          </cell>
          <cell r="P119" t="str">
            <v>REGIE</v>
          </cell>
          <cell r="Q119" t="str">
            <v>L</v>
          </cell>
          <cell r="S119" t="str">
            <v>P</v>
          </cell>
        </row>
        <row r="120">
          <cell r="B120">
            <v>3646</v>
          </cell>
          <cell r="C120" t="str">
            <v>COMPLEMENT DES TRAVAUX DE REVISION GENERALE DE LA 8400M</v>
          </cell>
          <cell r="D120">
            <v>0</v>
          </cell>
          <cell r="E120">
            <v>20000000</v>
          </cell>
          <cell r="F120">
            <v>0</v>
          </cell>
          <cell r="O120" t="str">
            <v>EL BOUCHRIFI</v>
          </cell>
          <cell r="P120" t="str">
            <v>ORD</v>
          </cell>
          <cell r="Q120" t="str">
            <v>P</v>
          </cell>
          <cell r="R120" t="str">
            <v>K03840</v>
          </cell>
          <cell r="S120" t="str">
            <v>P</v>
          </cell>
        </row>
        <row r="121">
          <cell r="B121">
            <v>3647</v>
          </cell>
          <cell r="C121" t="str">
            <v>PRESTATIONS DIVERSES PETITS MARCHES</v>
          </cell>
          <cell r="D121">
            <v>0</v>
          </cell>
          <cell r="E121">
            <v>10000000</v>
          </cell>
          <cell r="F121">
            <v>0</v>
          </cell>
          <cell r="H121" t="str">
            <v>AVIS</v>
          </cell>
          <cell r="I121" t="str">
            <v>DAC/TM</v>
          </cell>
          <cell r="J121" t="str">
            <v xml:space="preserve">En retour  réponse au remarque de DAC (transmis directement) </v>
          </cell>
          <cell r="K121" t="str">
            <v>PM - 78</v>
          </cell>
          <cell r="L121">
            <v>39230</v>
          </cell>
          <cell r="O121" t="str">
            <v>CHARKI</v>
          </cell>
          <cell r="P121" t="str">
            <v>ORD</v>
          </cell>
          <cell r="Q121" t="str">
            <v>P</v>
          </cell>
          <cell r="R121" t="str">
            <v>K03500</v>
          </cell>
          <cell r="S121" t="str">
            <v>P</v>
          </cell>
        </row>
        <row r="122">
          <cell r="B122">
            <v>3648</v>
          </cell>
          <cell r="C122" t="str">
            <v>LOCATION LONGUE DUREE DES VEHICULES PMK/P</v>
          </cell>
          <cell r="D122">
            <v>14700000</v>
          </cell>
          <cell r="E122">
            <v>14700000</v>
          </cell>
          <cell r="F122">
            <v>0</v>
          </cell>
          <cell r="H122" t="str">
            <v>AVIS</v>
          </cell>
          <cell r="I122" t="str">
            <v>PM</v>
          </cell>
          <cell r="J122" t="str">
            <v>lettre d'accord transmise a PM PMK/LM/X-D n°06/07 du 15/10/07)</v>
          </cell>
          <cell r="O122" t="str">
            <v>CHARKI</v>
          </cell>
          <cell r="P122" t="str">
            <v>LOC</v>
          </cell>
          <cell r="Q122" t="str">
            <v>P</v>
          </cell>
          <cell r="R122" t="str">
            <v>K03500</v>
          </cell>
          <cell r="S122" t="str">
            <v>P</v>
          </cell>
        </row>
        <row r="123">
          <cell r="B123">
            <v>3649</v>
          </cell>
          <cell r="C123" t="str">
            <v>Externalisation de l'activité du gardiennage</v>
          </cell>
          <cell r="D123">
            <v>3111500</v>
          </cell>
          <cell r="E123">
            <v>3111500</v>
          </cell>
          <cell r="F123">
            <v>0</v>
          </cell>
          <cell r="H123" t="str">
            <v>AVIS</v>
          </cell>
          <cell r="I123" t="str">
            <v>DAC/TM</v>
          </cell>
          <cell r="J123" t="str">
            <v>Pour avis en vue d'établir la DAC</v>
          </cell>
          <cell r="K123">
            <v>58</v>
          </cell>
          <cell r="L123">
            <v>39125</v>
          </cell>
          <cell r="M123" t="str">
            <v>DPM-3127
3128/07</v>
          </cell>
          <cell r="O123" t="str">
            <v>SAAD</v>
          </cell>
          <cell r="P123" t="str">
            <v>ORD</v>
          </cell>
          <cell r="Q123" t="str">
            <v>P</v>
          </cell>
          <cell r="R123" t="str">
            <v>K03052</v>
          </cell>
          <cell r="S123" t="str">
            <v>P</v>
          </cell>
        </row>
        <row r="124">
          <cell r="B124">
            <v>3684</v>
          </cell>
          <cell r="C124" t="str">
            <v>TRAVAUX DE REMPLACEMENT DES TOLES DE TOITURES ET DE BARDAGE AUX ENCEINTES PMK/TC</v>
          </cell>
          <cell r="D124">
            <v>1200000</v>
          </cell>
          <cell r="E124">
            <v>1200000</v>
          </cell>
          <cell r="F124">
            <v>0</v>
          </cell>
          <cell r="O124" t="str">
            <v>RAOUIA</v>
          </cell>
          <cell r="P124" t="str">
            <v>ORD</v>
          </cell>
          <cell r="Q124" t="str">
            <v>TC</v>
          </cell>
          <cell r="R124" t="str">
            <v>K07019</v>
          </cell>
          <cell r="S124" t="str">
            <v>P</v>
          </cell>
        </row>
        <row r="125">
          <cell r="B125">
            <v>3685</v>
          </cell>
          <cell r="C125" t="str">
            <v>GARDIENNAGE DES ENCEINTES DE LA DIVISION EMBARQUEMENTS CASABLANCA PAR DES MAITRES CHIENS</v>
          </cell>
          <cell r="D125">
            <v>1000000</v>
          </cell>
          <cell r="E125">
            <v>1000000</v>
          </cell>
          <cell r="F125">
            <v>0</v>
          </cell>
          <cell r="H125" t="str">
            <v>CONSUL</v>
          </cell>
          <cell r="I125" t="str">
            <v>AD</v>
          </cell>
          <cell r="J125" t="str">
            <v>Crédit passé sur GT Personnel régie n° 3878</v>
          </cell>
          <cell r="K125">
            <v>238</v>
          </cell>
          <cell r="L125">
            <v>39185</v>
          </cell>
          <cell r="M125" t="str">
            <v>DPM-4804/07</v>
          </cell>
          <cell r="O125" t="str">
            <v xml:space="preserve">RAOUIA </v>
          </cell>
          <cell r="P125" t="str">
            <v>ORD</v>
          </cell>
          <cell r="Q125" t="str">
            <v>TC</v>
          </cell>
          <cell r="R125" t="str">
            <v>K07019</v>
          </cell>
          <cell r="S125" t="str">
            <v>P</v>
          </cell>
        </row>
        <row r="126">
          <cell r="B126">
            <v>3811</v>
          </cell>
          <cell r="C126" t="str">
            <v>Sous traitance des activités de maintenance, de conduite et de nettoyage.</v>
          </cell>
          <cell r="D126">
            <v>132910000</v>
          </cell>
          <cell r="E126">
            <v>154025000</v>
          </cell>
          <cell r="F126">
            <v>0</v>
          </cell>
          <cell r="G126">
            <v>65831270.399999999</v>
          </cell>
          <cell r="H126" t="str">
            <v>ENG</v>
          </cell>
          <cell r="I126" t="str">
            <v>CP</v>
          </cell>
          <cell r="J126" t="str">
            <v>AE N° 3811_1</v>
          </cell>
          <cell r="K126" t="str">
            <v>PFF - 406</v>
          </cell>
          <cell r="L126">
            <v>39216</v>
          </cell>
          <cell r="O126" t="str">
            <v>SAAD</v>
          </cell>
          <cell r="P126" t="str">
            <v>REGIE</v>
          </cell>
          <cell r="Q126" t="str">
            <v>P</v>
          </cell>
          <cell r="R126" t="str">
            <v>K03011</v>
          </cell>
          <cell r="S126" t="str">
            <v>P</v>
          </cell>
        </row>
        <row r="127">
          <cell r="B127">
            <v>3816</v>
          </cell>
          <cell r="C127" t="str">
            <v>TRANSPORT DU PERSONNEL DE LA DIVISION EMBARQUEMENTS CASABLANCA</v>
          </cell>
          <cell r="D127">
            <v>4500000</v>
          </cell>
          <cell r="E127">
            <v>4500000</v>
          </cell>
          <cell r="F127">
            <v>0</v>
          </cell>
          <cell r="G127">
            <v>4500000</v>
          </cell>
          <cell r="H127" t="str">
            <v>ENG</v>
          </cell>
          <cell r="I127" t="str">
            <v>CP</v>
          </cell>
          <cell r="J127" t="str">
            <v>AE N° 3816_1</v>
          </cell>
          <cell r="K127" t="str">
            <v>PFF - 406</v>
          </cell>
          <cell r="L127">
            <v>39216</v>
          </cell>
          <cell r="O127" t="str">
            <v>AFARID</v>
          </cell>
          <cell r="P127" t="str">
            <v>ORD</v>
          </cell>
          <cell r="Q127" t="str">
            <v>TC</v>
          </cell>
          <cell r="R127" t="str">
            <v>K07019</v>
          </cell>
          <cell r="S127" t="str">
            <v>P</v>
          </cell>
        </row>
        <row r="128">
          <cell r="B128">
            <v>3817</v>
          </cell>
          <cell r="C128" t="str">
            <v>TRAVAUX DE VIDANGE, GRATTAGE DES WAGONS ET NETTOYAGE DES INSTALLATIONS DE pmk/tc</v>
          </cell>
          <cell r="D128">
            <v>1700000</v>
          </cell>
          <cell r="E128">
            <v>1700000</v>
          </cell>
          <cell r="F128">
            <v>0</v>
          </cell>
          <cell r="G128">
            <v>1700000</v>
          </cell>
          <cell r="H128" t="str">
            <v>ENG</v>
          </cell>
          <cell r="I128" t="str">
            <v>CP</v>
          </cell>
          <cell r="J128" t="str">
            <v xml:space="preserve"> </v>
          </cell>
          <cell r="K128" t="str">
            <v>PFF - 406</v>
          </cell>
          <cell r="L128">
            <v>39216</v>
          </cell>
          <cell r="O128" t="str">
            <v>EL FATTAHI</v>
          </cell>
          <cell r="P128" t="str">
            <v>ORD</v>
          </cell>
          <cell r="Q128" t="str">
            <v>TC</v>
          </cell>
          <cell r="R128" t="str">
            <v>K07019</v>
          </cell>
          <cell r="S128" t="str">
            <v>P</v>
          </cell>
        </row>
        <row r="129">
          <cell r="B129">
            <v>3818</v>
          </cell>
          <cell r="C129" t="str">
            <v>ENTRETIEN DES VOIES FERREES PAR L'O.N.C.F</v>
          </cell>
          <cell r="D129">
            <v>400000</v>
          </cell>
          <cell r="E129">
            <v>400000</v>
          </cell>
          <cell r="F129">
            <v>0</v>
          </cell>
          <cell r="G129">
            <v>400000</v>
          </cell>
          <cell r="H129" t="str">
            <v>ENG</v>
          </cell>
          <cell r="I129" t="str">
            <v>CP</v>
          </cell>
          <cell r="J129" t="str">
            <v>AE N° 3818_1</v>
          </cell>
          <cell r="K129" t="str">
            <v>PFF - 406</v>
          </cell>
          <cell r="L129">
            <v>39216</v>
          </cell>
          <cell r="O129" t="str">
            <v>EL FATTAHI</v>
          </cell>
          <cell r="P129" t="str">
            <v>ORD</v>
          </cell>
          <cell r="Q129" t="str">
            <v>TC</v>
          </cell>
          <cell r="R129" t="str">
            <v>K07209</v>
          </cell>
          <cell r="S129" t="str">
            <v>P</v>
          </cell>
        </row>
        <row r="130">
          <cell r="B130">
            <v>3876</v>
          </cell>
          <cell r="C130" t="str">
            <v>LOCATION DE VOITURES UTILITAIRES</v>
          </cell>
          <cell r="D130">
            <v>500000</v>
          </cell>
          <cell r="E130">
            <v>500000</v>
          </cell>
          <cell r="F130">
            <v>0</v>
          </cell>
          <cell r="O130" t="str">
            <v>RAOUIA</v>
          </cell>
          <cell r="P130" t="str">
            <v>LOC</v>
          </cell>
          <cell r="Q130" t="str">
            <v>TC</v>
          </cell>
          <cell r="R130" t="str">
            <v>K07141</v>
          </cell>
          <cell r="S130" t="str">
            <v>P</v>
          </cell>
        </row>
        <row r="131">
          <cell r="B131">
            <v>3878</v>
          </cell>
          <cell r="C131" t="str">
            <v>TRAVAUX DE SOUS TRAITANCE ET PERSONNEL EN REGIE POUR LA DIVISION EMBARQUEMENTS CASABLANCA</v>
          </cell>
          <cell r="D131">
            <v>15000000</v>
          </cell>
          <cell r="E131">
            <v>15000000</v>
          </cell>
          <cell r="F131">
            <v>0</v>
          </cell>
          <cell r="G131">
            <v>7993621.0799999991</v>
          </cell>
          <cell r="H131" t="str">
            <v>ENG</v>
          </cell>
          <cell r="I131" t="str">
            <v>CP</v>
          </cell>
          <cell r="J131" t="str">
            <v>DAC/GT/PMK/001/2007 de 227 360 000,00dh
AE N° 3878_2 de 2 918 647,62 dh et AE N° 3878_1 de 995 867,46 dh, AE N° 3878_4 de 1 308 510,72dh</v>
          </cell>
          <cell r="K131" t="str">
            <v>PFF - 406</v>
          </cell>
          <cell r="L131">
            <v>39216</v>
          </cell>
          <cell r="O131" t="str">
            <v>AFARID</v>
          </cell>
          <cell r="P131" t="str">
            <v>REGIE</v>
          </cell>
          <cell r="Q131" t="str">
            <v>TC</v>
          </cell>
          <cell r="R131" t="str">
            <v>K07019</v>
          </cell>
          <cell r="S131" t="str">
            <v>P</v>
          </cell>
        </row>
        <row r="132">
          <cell r="B132">
            <v>3878</v>
          </cell>
          <cell r="C132" t="str">
            <v>GARDIENNAGE DES ENCEINTES DE LA DIVISION EMBARQUEMENTS CASABLANCA PAR DES MAITRES CHIENS</v>
          </cell>
          <cell r="F132">
            <v>0</v>
          </cell>
          <cell r="H132" t="str">
            <v>CHC</v>
          </cell>
          <cell r="I132" t="str">
            <v>AD</v>
          </cell>
          <cell r="J132" t="str">
            <v>CHC transmis à AD pour passation de cde</v>
          </cell>
          <cell r="K132">
            <v>548</v>
          </cell>
          <cell r="L132">
            <v>39360</v>
          </cell>
          <cell r="M132" t="str">
            <v>DPM-4804/07</v>
          </cell>
          <cell r="O132" t="str">
            <v>AFARID</v>
          </cell>
          <cell r="P132" t="str">
            <v>REGIE</v>
          </cell>
          <cell r="Q132" t="str">
            <v>TC</v>
          </cell>
          <cell r="R132" t="str">
            <v>K07019</v>
          </cell>
          <cell r="S132" t="str">
            <v>P</v>
          </cell>
        </row>
        <row r="133">
          <cell r="B133">
            <v>3919</v>
          </cell>
          <cell r="C133" t="str">
            <v>Chargement et transport des stériles à khouribga</v>
          </cell>
          <cell r="D133">
            <v>18000000</v>
          </cell>
          <cell r="E133">
            <v>18000000</v>
          </cell>
          <cell r="F133">
            <v>0</v>
          </cell>
          <cell r="H133" t="str">
            <v>CHT</v>
          </cell>
          <cell r="I133" t="str">
            <v>PLM/MG</v>
          </cell>
          <cell r="J133" t="str">
            <v>Avis favorable sur CHT</v>
          </cell>
          <cell r="K133">
            <v>450</v>
          </cell>
          <cell r="L133">
            <v>39272</v>
          </cell>
          <cell r="O133" t="str">
            <v>EL KASSI</v>
          </cell>
          <cell r="P133" t="str">
            <v>ORD</v>
          </cell>
          <cell r="Q133" t="str">
            <v>P</v>
          </cell>
          <cell r="R133" t="str">
            <v>K03358</v>
          </cell>
          <cell r="S133" t="str">
            <v>P</v>
          </cell>
        </row>
        <row r="134">
          <cell r="B134">
            <v>3933</v>
          </cell>
          <cell r="C134" t="str">
            <v>MAINTENANCE DES SOUS ENSEMBLES MECANIQUE</v>
          </cell>
          <cell r="D134">
            <v>2700000</v>
          </cell>
          <cell r="E134">
            <v>2700000</v>
          </cell>
          <cell r="F134">
            <v>0</v>
          </cell>
          <cell r="H134" t="str">
            <v>avis</v>
          </cell>
          <cell r="I134" t="str">
            <v>CP</v>
          </cell>
          <cell r="J134" t="str">
            <v>En retour suite aux remarques du DAC-198 du 19/03/07</v>
          </cell>
          <cell r="K134">
            <v>233</v>
          </cell>
          <cell r="L134">
            <v>39185</v>
          </cell>
          <cell r="O134" t="str">
            <v>AIT ICHOU</v>
          </cell>
          <cell r="P134" t="str">
            <v>ORD</v>
          </cell>
          <cell r="Q134" t="str">
            <v>L</v>
          </cell>
          <cell r="R134" t="str">
            <v>K11706</v>
          </cell>
          <cell r="S134" t="str">
            <v>P</v>
          </cell>
        </row>
        <row r="135">
          <cell r="B135">
            <v>3963</v>
          </cell>
          <cell r="C135" t="str">
            <v>MAINTENANCE DES SOUS ENSEMBLES ELECTRIQUES
Rebobinage des transformateurs et moteurs électriques gamme de puissance &lt; 40cv</v>
          </cell>
          <cell r="D135">
            <v>2000000</v>
          </cell>
          <cell r="E135">
            <v>2500000</v>
          </cell>
          <cell r="F135">
            <v>0</v>
          </cell>
          <cell r="H135" t="str">
            <v>CHC</v>
          </cell>
          <cell r="I135" t="str">
            <v>AD</v>
          </cell>
          <cell r="J135" t="str">
            <v>CHC transmis à AD pour passation de cde</v>
          </cell>
          <cell r="K135">
            <v>582</v>
          </cell>
          <cell r="L135">
            <v>39374</v>
          </cell>
          <cell r="M135" t="str">
            <v>DPM-5228/06</v>
          </cell>
          <cell r="O135" t="str">
            <v>AIT ICHOU</v>
          </cell>
          <cell r="P135" t="str">
            <v>ORD</v>
          </cell>
          <cell r="Q135" t="str">
            <v>L</v>
          </cell>
          <cell r="R135" t="str">
            <v>K11706</v>
          </cell>
          <cell r="S135" t="str">
            <v>P</v>
          </cell>
        </row>
        <row r="136">
          <cell r="B136">
            <v>3963</v>
          </cell>
          <cell r="C136" t="str">
            <v>MAINTENANCE DES SOUS ENSEMBLES ELECTRIQUES
Destruction de 28 condensteurs en pyraléne</v>
          </cell>
          <cell r="F136">
            <v>0</v>
          </cell>
          <cell r="H136" t="str">
            <v>CONSUL</v>
          </cell>
          <cell r="I136" t="str">
            <v>AD</v>
          </cell>
          <cell r="J136" t="str">
            <v>DPM en consultation</v>
          </cell>
          <cell r="K136">
            <v>507</v>
          </cell>
          <cell r="L136">
            <v>39329</v>
          </cell>
          <cell r="M136" t="str">
            <v>DPM-5261/07</v>
          </cell>
          <cell r="O136" t="str">
            <v>AIT ICHOU</v>
          </cell>
          <cell r="P136" t="str">
            <v>ORD</v>
          </cell>
          <cell r="Q136" t="str">
            <v>L</v>
          </cell>
          <cell r="R136" t="str">
            <v>K11706</v>
          </cell>
          <cell r="S136" t="str">
            <v>P</v>
          </cell>
        </row>
        <row r="137">
          <cell r="B137">
            <v>3967</v>
          </cell>
          <cell r="C137" t="str">
            <v>EXTERNALISATION DIVERS TRAVAUX DE MAINTENANCE ET REPARATION</v>
          </cell>
          <cell r="D137">
            <v>0</v>
          </cell>
          <cell r="E137">
            <v>7700000</v>
          </cell>
          <cell r="F137">
            <v>0</v>
          </cell>
          <cell r="H137" t="str">
            <v>CONSUL</v>
          </cell>
          <cell r="I137" t="str">
            <v>CP</v>
          </cell>
          <cell r="J137" t="str">
            <v>En retour suite aux remarques du DAC-198 du 19/03/07</v>
          </cell>
          <cell r="K137">
            <v>233</v>
          </cell>
          <cell r="L137">
            <v>39185</v>
          </cell>
          <cell r="O137" t="str">
            <v>ZEGGUIR</v>
          </cell>
          <cell r="P137" t="str">
            <v>ORD</v>
          </cell>
          <cell r="Q137" t="str">
            <v>L</v>
          </cell>
          <cell r="R137" t="str">
            <v>K11718</v>
          </cell>
          <cell r="S137" t="str">
            <v>P</v>
          </cell>
        </row>
        <row r="138">
          <cell r="B138">
            <v>4048</v>
          </cell>
          <cell r="C138" t="str">
            <v>Travaux de maintenance des équipements des laboratoires de PMK/TF/C</v>
          </cell>
          <cell r="D138">
            <v>0</v>
          </cell>
          <cell r="E138">
            <v>400000</v>
          </cell>
          <cell r="F138">
            <v>0</v>
          </cell>
          <cell r="O138" t="str">
            <v>KABBAGE</v>
          </cell>
          <cell r="P138" t="str">
            <v>ORD</v>
          </cell>
          <cell r="Q138" t="str">
            <v>T</v>
          </cell>
          <cell r="R138" t="str">
            <v>K04022</v>
          </cell>
          <cell r="S138" t="str">
            <v>P</v>
          </cell>
        </row>
        <row r="139">
          <cell r="B139">
            <v>4051</v>
          </cell>
          <cell r="C139" t="str">
            <v>Sous-traitance des travaux de chaudronnerie de PMK/TB</v>
          </cell>
          <cell r="D139">
            <v>0</v>
          </cell>
          <cell r="E139">
            <v>1950000</v>
          </cell>
          <cell r="F139">
            <v>0</v>
          </cell>
          <cell r="O139" t="str">
            <v>JERRAR</v>
          </cell>
          <cell r="P139" t="str">
            <v>ORD</v>
          </cell>
          <cell r="Q139" t="str">
            <v>T</v>
          </cell>
          <cell r="R139" t="str">
            <v>K04118</v>
          </cell>
          <cell r="S139" t="str">
            <v>P</v>
          </cell>
        </row>
        <row r="140">
          <cell r="B140">
            <v>4052</v>
          </cell>
          <cell r="C140" t="str">
            <v>Entretien du réseau voie normale de Béni-Idir</v>
          </cell>
          <cell r="D140">
            <v>620000</v>
          </cell>
          <cell r="E140">
            <v>620000</v>
          </cell>
          <cell r="F140">
            <v>0</v>
          </cell>
          <cell r="G140">
            <v>620000</v>
          </cell>
          <cell r="H140" t="str">
            <v>ENG</v>
          </cell>
          <cell r="I140" t="str">
            <v>CP</v>
          </cell>
          <cell r="J140" t="str">
            <v>AE N° 4052_1</v>
          </cell>
          <cell r="K140" t="str">
            <v>PFF - 406</v>
          </cell>
          <cell r="L140">
            <v>39216</v>
          </cell>
          <cell r="O140" t="str">
            <v>BENCHEKROUN</v>
          </cell>
          <cell r="P140" t="str">
            <v>ORD</v>
          </cell>
          <cell r="Q140" t="str">
            <v>T</v>
          </cell>
          <cell r="R140" t="str">
            <v>K04311</v>
          </cell>
          <cell r="S140" t="str">
            <v>P</v>
          </cell>
        </row>
        <row r="141">
          <cell r="B141">
            <v>4054</v>
          </cell>
          <cell r="C141" t="str">
            <v>Travaux de peinture des installations et des bâtiments de PMK/TD</v>
          </cell>
          <cell r="D141">
            <v>600000</v>
          </cell>
          <cell r="E141">
            <v>1800000</v>
          </cell>
          <cell r="F141">
            <v>0</v>
          </cell>
          <cell r="H141" t="str">
            <v>CT</v>
          </cell>
          <cell r="I141" t="str">
            <v>PMK/LV</v>
          </cell>
          <cell r="J141" t="str">
            <v>DPM tramsmis directement à LV pour CT (répense)</v>
          </cell>
          <cell r="K141">
            <v>333</v>
          </cell>
          <cell r="L141">
            <v>39217</v>
          </cell>
          <cell r="M141" t="str">
            <v>DPM-4519/07</v>
          </cell>
          <cell r="O141" t="str">
            <v>CHNANI</v>
          </cell>
          <cell r="P141" t="str">
            <v>ORD</v>
          </cell>
          <cell r="Q141" t="str">
            <v>T</v>
          </cell>
          <cell r="R141" t="str">
            <v>K04302</v>
          </cell>
          <cell r="S141" t="str">
            <v>P</v>
          </cell>
        </row>
        <row r="142">
          <cell r="B142">
            <v>4055</v>
          </cell>
          <cell r="C142" t="str">
            <v>Maintenance des installations et des engins et réparation à l'extérieur des modules de PMK/T</v>
          </cell>
          <cell r="D142">
            <v>0</v>
          </cell>
          <cell r="E142">
            <v>3900000</v>
          </cell>
          <cell r="F142">
            <v>0</v>
          </cell>
          <cell r="H142" t="str">
            <v>CONSUL</v>
          </cell>
          <cell r="I142" t="str">
            <v>AD</v>
          </cell>
          <cell r="J142" t="str">
            <v>DPM tramsmis a AD</v>
          </cell>
          <cell r="K142">
            <v>562</v>
          </cell>
          <cell r="L142">
            <v>39365</v>
          </cell>
          <cell r="M142" t="str">
            <v>DPM-4525/07</v>
          </cell>
          <cell r="N142">
            <v>8594</v>
          </cell>
          <cell r="O142" t="str">
            <v>LAHMIDI</v>
          </cell>
          <cell r="P142" t="str">
            <v>ORD</v>
          </cell>
          <cell r="Q142" t="str">
            <v>T</v>
          </cell>
          <cell r="R142" t="str">
            <v>K04530</v>
          </cell>
          <cell r="S142" t="str">
            <v>P</v>
          </cell>
        </row>
        <row r="143">
          <cell r="B143">
            <v>4057</v>
          </cell>
          <cell r="C143" t="str">
            <v>Sous-traitance des travaux électriques au COZ</v>
          </cell>
          <cell r="D143">
            <v>0</v>
          </cell>
          <cell r="E143">
            <v>4700000</v>
          </cell>
          <cell r="F143">
            <v>0</v>
          </cell>
          <cell r="H143" t="str">
            <v>AVIS</v>
          </cell>
          <cell r="I143" t="str">
            <v xml:space="preserve"> PFF</v>
          </cell>
          <cell r="J143" t="str">
            <v>Pour avis en vue d'etablir la DAC</v>
          </cell>
          <cell r="K143">
            <v>305</v>
          </cell>
          <cell r="L143">
            <v>39321</v>
          </cell>
          <cell r="O143" t="str">
            <v>BERRADA</v>
          </cell>
          <cell r="P143" t="str">
            <v>ORD</v>
          </cell>
          <cell r="Q143" t="str">
            <v>T</v>
          </cell>
          <cell r="R143" t="str">
            <v>K04315</v>
          </cell>
          <cell r="S143" t="str">
            <v>P</v>
          </cell>
        </row>
        <row r="144">
          <cell r="B144">
            <v>4057</v>
          </cell>
          <cell r="C144" t="str">
            <v>Lot 4 : Etude, Fourniture,  installation et mise en service des ...
Lot 5 : Fourniture et installation des câbles avec chemins ...</v>
          </cell>
          <cell r="F144">
            <v>0</v>
          </cell>
          <cell r="H144" t="str">
            <v>CT</v>
          </cell>
          <cell r="I144" t="str">
            <v>DAC/TM</v>
          </cell>
          <cell r="J144" t="str">
            <v>DPM élement de reponse aux remarques du CT</v>
          </cell>
          <cell r="K144">
            <v>384</v>
          </cell>
          <cell r="L144">
            <v>39346</v>
          </cell>
          <cell r="M144" t="str">
            <v>DPM-4530/07
DPM-4531/07</v>
          </cell>
          <cell r="O144" t="str">
            <v>BERRADA</v>
          </cell>
          <cell r="P144" t="str">
            <v>ORD</v>
          </cell>
          <cell r="Q144" t="str">
            <v>T</v>
          </cell>
          <cell r="R144" t="str">
            <v>K04315</v>
          </cell>
          <cell r="S144" t="str">
            <v>P</v>
          </cell>
        </row>
        <row r="145">
          <cell r="B145">
            <v>4057</v>
          </cell>
          <cell r="C145" t="str">
            <v>Lot 3 : Rénovation des chemine des câbles électriques</v>
          </cell>
          <cell r="F145">
            <v>0</v>
          </cell>
          <cell r="H145" t="str">
            <v>CT</v>
          </cell>
          <cell r="I145" t="str">
            <v>DAC/TM</v>
          </cell>
          <cell r="J145" t="str">
            <v>DPM tramsmis pour CT</v>
          </cell>
          <cell r="K145">
            <v>397</v>
          </cell>
          <cell r="L145">
            <v>39356</v>
          </cell>
          <cell r="M145" t="str">
            <v>DPM-4537/07</v>
          </cell>
          <cell r="O145" t="str">
            <v>BERRADA</v>
          </cell>
          <cell r="P145" t="str">
            <v>ORD</v>
          </cell>
          <cell r="Q145" t="str">
            <v>T</v>
          </cell>
          <cell r="R145" t="str">
            <v>K04315</v>
          </cell>
          <cell r="S145" t="str">
            <v>P</v>
          </cell>
        </row>
        <row r="146">
          <cell r="B146">
            <v>4057</v>
          </cell>
          <cell r="C146" t="str">
            <v>Lot 1 : Fourniture, installation et mise en service des cellules MT des machines roue pelle 2 , 3 et stockeuse</v>
          </cell>
          <cell r="F146">
            <v>0</v>
          </cell>
          <cell r="H146" t="str">
            <v>CT</v>
          </cell>
          <cell r="I146" t="str">
            <v>CP</v>
          </cell>
          <cell r="J146" t="str">
            <v>DPM en retour suite aux remarques du  CT</v>
          </cell>
          <cell r="K146">
            <v>521</v>
          </cell>
          <cell r="L146">
            <v>39345</v>
          </cell>
          <cell r="M146" t="str">
            <v>DPM-4534/07</v>
          </cell>
          <cell r="O146" t="str">
            <v>BERRADA</v>
          </cell>
          <cell r="P146" t="str">
            <v>ORD</v>
          </cell>
          <cell r="Q146" t="str">
            <v>T</v>
          </cell>
          <cell r="R146" t="str">
            <v>K04315</v>
          </cell>
          <cell r="S146" t="str">
            <v>P</v>
          </cell>
        </row>
        <row r="147">
          <cell r="B147">
            <v>4058</v>
          </cell>
          <cell r="C147" t="str">
            <v>Travaux de mécanique et de chaudronnerie pour PMK/TD
(Remise en conformité de la toiture de l'atelier de maintenance)</v>
          </cell>
          <cell r="D147">
            <v>0</v>
          </cell>
          <cell r="E147">
            <v>1900000</v>
          </cell>
          <cell r="F147">
            <v>0</v>
          </cell>
          <cell r="H147" t="str">
            <v>CONSUL</v>
          </cell>
          <cell r="I147" t="str">
            <v>AD</v>
          </cell>
          <cell r="J147" t="str">
            <v>DPM en consultation</v>
          </cell>
          <cell r="K147">
            <v>518</v>
          </cell>
          <cell r="L147">
            <v>39343</v>
          </cell>
          <cell r="M147" t="str">
            <v>DPM-4515/07</v>
          </cell>
          <cell r="O147" t="str">
            <v>CHNANI</v>
          </cell>
          <cell r="P147" t="str">
            <v>ORD</v>
          </cell>
          <cell r="Q147" t="str">
            <v>T</v>
          </cell>
          <cell r="R147" t="str">
            <v>K04311</v>
          </cell>
          <cell r="S147" t="str">
            <v>P</v>
          </cell>
        </row>
        <row r="148">
          <cell r="B148">
            <v>4058</v>
          </cell>
          <cell r="C148" t="str">
            <v>Travaux de mécanique et de chaudronnerie pour PMK/TD
(Rénovation des gaines et volutes des ventilateurs de tirage des fours n 2 et 4 au COZ)</v>
          </cell>
          <cell r="F148">
            <v>0</v>
          </cell>
          <cell r="H148" t="str">
            <v>CT</v>
          </cell>
          <cell r="I148" t="str">
            <v>PMK/LV</v>
          </cell>
          <cell r="J148" t="str">
            <v>DPM tramsmis directement à LV pour CT</v>
          </cell>
          <cell r="K148" t="str">
            <v>TG-1444/B</v>
          </cell>
          <cell r="L148">
            <v>39338</v>
          </cell>
          <cell r="M148" t="str">
            <v>DPM-4517/07</v>
          </cell>
          <cell r="O148" t="str">
            <v>CHNANI</v>
          </cell>
          <cell r="P148" t="str">
            <v>ORD</v>
          </cell>
          <cell r="Q148" t="str">
            <v>T</v>
          </cell>
          <cell r="R148" t="str">
            <v>K04311</v>
          </cell>
          <cell r="S148" t="str">
            <v>P</v>
          </cell>
        </row>
        <row r="149">
          <cell r="B149">
            <v>4059</v>
          </cell>
          <cell r="C149" t="str">
            <v>Désinsectisation, désinfection et dératisation dans les locaux, ateliers et les installations de PMK/T à Khouribga</v>
          </cell>
          <cell r="D149">
            <v>380000</v>
          </cell>
          <cell r="E149">
            <v>380000</v>
          </cell>
          <cell r="F149">
            <v>0</v>
          </cell>
          <cell r="H149" t="str">
            <v>CHC</v>
          </cell>
          <cell r="I149" t="str">
            <v>AD</v>
          </cell>
          <cell r="J149" t="str">
            <v>DPM transmis a AD</v>
          </cell>
          <cell r="K149">
            <v>578</v>
          </cell>
          <cell r="L149">
            <v>39373</v>
          </cell>
          <cell r="M149" t="str">
            <v>DPM-4501/07</v>
          </cell>
          <cell r="N149" t="str">
            <v>DKM-04686/07</v>
          </cell>
          <cell r="O149" t="str">
            <v>ASSOUD</v>
          </cell>
          <cell r="P149" t="str">
            <v>ORD</v>
          </cell>
          <cell r="Q149" t="str">
            <v>T</v>
          </cell>
          <cell r="R149" t="str">
            <v>K04012</v>
          </cell>
          <cell r="S149" t="str">
            <v>P</v>
          </cell>
        </row>
        <row r="150">
          <cell r="B150">
            <v>4062</v>
          </cell>
          <cell r="C150" t="str">
            <v>Travaux de réaménagement du batiment N°92072 de PMK/TA</v>
          </cell>
          <cell r="D150">
            <v>0</v>
          </cell>
          <cell r="E150">
            <v>260000</v>
          </cell>
          <cell r="F150">
            <v>0</v>
          </cell>
          <cell r="O150" t="str">
            <v>JAAFAR</v>
          </cell>
          <cell r="P150" t="str">
            <v>ORD</v>
          </cell>
          <cell r="Q150" t="str">
            <v>T</v>
          </cell>
          <cell r="R150" t="str">
            <v>K04004</v>
          </cell>
          <cell r="S150" t="str">
            <v>P</v>
          </cell>
        </row>
        <row r="151">
          <cell r="B151">
            <v>4069</v>
          </cell>
          <cell r="C151" t="str">
            <v>Sous-traitance des travaux mécaniques de PMK/TB</v>
          </cell>
          <cell r="D151">
            <v>0</v>
          </cell>
          <cell r="E151">
            <v>1900000</v>
          </cell>
          <cell r="F151">
            <v>0</v>
          </cell>
          <cell r="O151" t="str">
            <v>JERRAR</v>
          </cell>
          <cell r="P151" t="str">
            <v>ORD</v>
          </cell>
          <cell r="Q151" t="str">
            <v>T</v>
          </cell>
          <cell r="R151" t="str">
            <v>K04100</v>
          </cell>
          <cell r="S151" t="str">
            <v>P</v>
          </cell>
        </row>
        <row r="152">
          <cell r="B152">
            <v>4109</v>
          </cell>
          <cell r="C152" t="str">
            <v>Clôture du secteur Parc El Wafi et des têtes motrices de la liaison Sidi Chennane</v>
          </cell>
          <cell r="D152">
            <v>0</v>
          </cell>
          <cell r="E152">
            <v>6000000</v>
          </cell>
          <cell r="F152">
            <v>0</v>
          </cell>
          <cell r="O152" t="str">
            <v>BENAMEUR</v>
          </cell>
          <cell r="P152" t="str">
            <v>ORD</v>
          </cell>
          <cell r="Q152" t="str">
            <v>T</v>
          </cell>
          <cell r="R152" t="str">
            <v>K04230</v>
          </cell>
          <cell r="S152" t="str">
            <v>P</v>
          </cell>
        </row>
        <row r="153">
          <cell r="B153">
            <v>4116</v>
          </cell>
          <cell r="C153" t="str">
            <v>Aménagement du bâtiment de l'ancienne centrale électrique en musée</v>
          </cell>
          <cell r="D153">
            <v>0</v>
          </cell>
          <cell r="E153">
            <v>30000000</v>
          </cell>
          <cell r="F153">
            <v>0</v>
          </cell>
          <cell r="H153" t="str">
            <v>CT</v>
          </cell>
          <cell r="I153" t="str">
            <v>PMK/LV</v>
          </cell>
          <cell r="J153" t="str">
            <v>DPM tramsmis  à LV pour CT</v>
          </cell>
          <cell r="K153">
            <v>312</v>
          </cell>
          <cell r="L153">
            <v>39210</v>
          </cell>
          <cell r="M153" t="str">
            <v>DPM-4006</v>
          </cell>
          <cell r="O153" t="str">
            <v>ZAHRI</v>
          </cell>
          <cell r="P153" t="str">
            <v>ORD</v>
          </cell>
          <cell r="Q153" t="str">
            <v>L</v>
          </cell>
          <cell r="R153" t="str">
            <v>K11063</v>
          </cell>
          <cell r="S153" t="str">
            <v>P</v>
          </cell>
        </row>
        <row r="154">
          <cell r="B154">
            <v>4127</v>
          </cell>
          <cell r="C154" t="str">
            <v>PRESTATION PERSONNEL EN REGIE ( INFIRMIERS ) POUR PMK / AK / M</v>
          </cell>
          <cell r="D154">
            <v>1000000</v>
          </cell>
          <cell r="E154">
            <v>1000000</v>
          </cell>
          <cell r="F154">
            <v>0</v>
          </cell>
          <cell r="G154">
            <v>495956.16</v>
          </cell>
          <cell r="H154" t="str">
            <v>ENG</v>
          </cell>
          <cell r="I154" t="str">
            <v>CP</v>
          </cell>
          <cell r="J154" t="str">
            <v>AE n° 4127_1 de 495 956,19 dh</v>
          </cell>
          <cell r="K154" t="str">
            <v>PFF-666</v>
          </cell>
          <cell r="L154">
            <v>39371</v>
          </cell>
          <cell r="M154" t="str">
            <v>DPM-1518</v>
          </cell>
          <cell r="O154" t="str">
            <v>LAGHRIB</v>
          </cell>
          <cell r="P154" t="str">
            <v>REGIE</v>
          </cell>
          <cell r="Q154" t="str">
            <v>AK</v>
          </cell>
          <cell r="R154" t="str">
            <v>K01419</v>
          </cell>
          <cell r="S154" t="str">
            <v>P</v>
          </cell>
        </row>
        <row r="155">
          <cell r="B155">
            <v>4131</v>
          </cell>
          <cell r="C155" t="str">
            <v>TRAVAUX DIVERS POUR AK / M</v>
          </cell>
          <cell r="D155">
            <v>3500000</v>
          </cell>
          <cell r="E155">
            <v>4400000</v>
          </cell>
          <cell r="F155">
            <v>0</v>
          </cell>
          <cell r="H155" t="str">
            <v>AVIS</v>
          </cell>
          <cell r="I155" t="str">
            <v>PFF/CI - AD</v>
          </cell>
          <cell r="J155" t="str">
            <v>Pour avis en vue d'établir  la DAC (Message de relance le 15/10/2007)
DPM en consultaion</v>
          </cell>
          <cell r="K155" t="str">
            <v>329
340</v>
          </cell>
          <cell r="L155" t="str">
            <v>15/05/2007
17/05/2007</v>
          </cell>
          <cell r="M155" t="str">
            <v>DPM - 1044 - 1045
1516/07</v>
          </cell>
          <cell r="O155" t="str">
            <v>SEMMACH</v>
          </cell>
          <cell r="P155" t="str">
            <v>ORD</v>
          </cell>
          <cell r="Q155" t="str">
            <v>AK</v>
          </cell>
          <cell r="R155" t="str">
            <v>K01419</v>
          </cell>
          <cell r="S155" t="str">
            <v>P</v>
          </cell>
        </row>
        <row r="156">
          <cell r="B156">
            <v>4147</v>
          </cell>
          <cell r="C156" t="str">
            <v>TRAVAUX DIVERS POUR PMK / AK / M</v>
          </cell>
          <cell r="D156">
            <v>1000000</v>
          </cell>
          <cell r="E156">
            <v>1000000</v>
          </cell>
          <cell r="F156">
            <v>0</v>
          </cell>
          <cell r="O156" t="str">
            <v>SEMMACH</v>
          </cell>
          <cell r="P156" t="str">
            <v>ORD</v>
          </cell>
          <cell r="Q156" t="str">
            <v>AK</v>
          </cell>
          <cell r="R156" t="str">
            <v>K01425</v>
          </cell>
          <cell r="S156" t="str">
            <v>P</v>
          </cell>
        </row>
        <row r="157">
          <cell r="B157">
            <v>4149</v>
          </cell>
          <cell r="C157" t="str">
            <v>TRAVAUX DIVERS POUR PMK / AK / M</v>
          </cell>
          <cell r="D157">
            <v>1000000</v>
          </cell>
          <cell r="E157">
            <v>1000000</v>
          </cell>
          <cell r="F157">
            <v>0</v>
          </cell>
          <cell r="H157" t="str">
            <v>CONSUL</v>
          </cell>
          <cell r="I157" t="str">
            <v>AD</v>
          </cell>
          <cell r="J157" t="str">
            <v xml:space="preserve">DPM tramsmis directement </v>
          </cell>
          <cell r="K157" t="str">
            <v>AK 372</v>
          </cell>
          <cell r="L157">
            <v>39325</v>
          </cell>
          <cell r="M157" t="str">
            <v>DPM 
1520-1521-1522</v>
          </cell>
          <cell r="O157" t="str">
            <v>SEMMACH</v>
          </cell>
          <cell r="P157" t="str">
            <v>ORD</v>
          </cell>
          <cell r="Q157" t="str">
            <v>AK</v>
          </cell>
          <cell r="R157" t="str">
            <v>K01420</v>
          </cell>
          <cell r="S157" t="str">
            <v>P</v>
          </cell>
        </row>
        <row r="158">
          <cell r="B158">
            <v>4150</v>
          </cell>
          <cell r="C158" t="str">
            <v>TRAVAUX DIVERS AK/M</v>
          </cell>
          <cell r="D158">
            <v>300000</v>
          </cell>
          <cell r="E158">
            <v>300000</v>
          </cell>
          <cell r="F158">
            <v>0</v>
          </cell>
          <cell r="O158" t="str">
            <v>SEMMACH</v>
          </cell>
          <cell r="P158" t="str">
            <v>ORD</v>
          </cell>
          <cell r="Q158" t="str">
            <v>AK</v>
          </cell>
          <cell r="R158" t="str">
            <v>K01419</v>
          </cell>
          <cell r="S158" t="str">
            <v>P</v>
          </cell>
        </row>
        <row r="159">
          <cell r="B159">
            <v>4151</v>
          </cell>
          <cell r="C159" t="str">
            <v>TRAVAUX POUR AK/M</v>
          </cell>
          <cell r="D159">
            <v>600000</v>
          </cell>
          <cell r="E159">
            <v>600000</v>
          </cell>
          <cell r="F159">
            <v>0</v>
          </cell>
          <cell r="O159" t="str">
            <v>SEMMACH</v>
          </cell>
          <cell r="P159" t="str">
            <v>ORD</v>
          </cell>
          <cell r="Q159" t="str">
            <v>AK</v>
          </cell>
          <cell r="R159" t="str">
            <v>K01419</v>
          </cell>
          <cell r="S159" t="str">
            <v>P</v>
          </cell>
        </row>
        <row r="160">
          <cell r="B160">
            <v>4153</v>
          </cell>
          <cell r="C160" t="str">
            <v>LOCATION VEHICULES POUR AK / M</v>
          </cell>
          <cell r="D160">
            <v>500000</v>
          </cell>
          <cell r="E160">
            <v>500000</v>
          </cell>
          <cell r="F160">
            <v>0</v>
          </cell>
          <cell r="H160" t="str">
            <v>AVIS</v>
          </cell>
          <cell r="I160" t="str">
            <v>PM</v>
          </cell>
          <cell r="J160" t="str">
            <v>lettre d'accord transmise a PM PMK/LM/X-D n°06/07 du 15/10/07</v>
          </cell>
          <cell r="O160" t="str">
            <v>SEMMACH</v>
          </cell>
          <cell r="P160" t="str">
            <v>LOC</v>
          </cell>
          <cell r="Q160" t="str">
            <v>AK</v>
          </cell>
          <cell r="R160" t="str">
            <v>K01470</v>
          </cell>
          <cell r="S160" t="str">
            <v>P</v>
          </cell>
        </row>
        <row r="161">
          <cell r="B161">
            <v>4157</v>
          </cell>
          <cell r="C161" t="str">
            <v>PERSONNEL REGIE AK / S</v>
          </cell>
          <cell r="D161">
            <v>10000000</v>
          </cell>
          <cell r="E161">
            <v>10000000</v>
          </cell>
          <cell r="F161">
            <v>0</v>
          </cell>
          <cell r="G161">
            <v>3000000</v>
          </cell>
          <cell r="H161" t="str">
            <v>ENG</v>
          </cell>
          <cell r="I161" t="str">
            <v>CP</v>
          </cell>
          <cell r="J161" t="str">
            <v xml:space="preserve"> AE N° 4157_3 de 3 000 000,00</v>
          </cell>
          <cell r="K161" t="str">
            <v>PFF - 588</v>
          </cell>
          <cell r="L161">
            <v>39309</v>
          </cell>
          <cell r="M161" t="str">
            <v>DPM-1039/07</v>
          </cell>
          <cell r="N161" t="str">
            <v>DKM3576/07</v>
          </cell>
          <cell r="O161" t="str">
            <v>DERDAKI</v>
          </cell>
          <cell r="P161" t="str">
            <v>REGIE</v>
          </cell>
          <cell r="Q161" t="str">
            <v>AK</v>
          </cell>
          <cell r="R161" t="str">
            <v>K01049</v>
          </cell>
          <cell r="S161" t="str">
            <v>P</v>
          </cell>
        </row>
        <row r="162">
          <cell r="B162">
            <v>4157</v>
          </cell>
          <cell r="C162" t="str">
            <v>Gardiennage du patrimoine OCP</v>
          </cell>
          <cell r="F162">
            <v>0</v>
          </cell>
          <cell r="G162">
            <v>1701665.28</v>
          </cell>
          <cell r="H162" t="str">
            <v>ENG
CHC</v>
          </cell>
          <cell r="I162" t="str">
            <v>CP
AD</v>
          </cell>
          <cell r="J162" t="str">
            <v xml:space="preserve">AE N° 4157_1 de 1701665,28 
CHC pour attribution </v>
          </cell>
          <cell r="K162" t="str">
            <v>PFF - 406
545</v>
          </cell>
          <cell r="L162" t="str">
            <v>14/05/2007
05/10/2007</v>
          </cell>
          <cell r="M162" t="str">
            <v>DPM-1039/07</v>
          </cell>
          <cell r="N162" t="str">
            <v>DKM3576/07</v>
          </cell>
          <cell r="O162" t="str">
            <v>DERDAKI</v>
          </cell>
          <cell r="P162" t="str">
            <v>REGIE</v>
          </cell>
          <cell r="Q162" t="str">
            <v>AK</v>
          </cell>
          <cell r="R162" t="str">
            <v>K01049</v>
          </cell>
          <cell r="S162" t="str">
            <v>P</v>
          </cell>
        </row>
        <row r="163">
          <cell r="B163">
            <v>4157</v>
          </cell>
          <cell r="C163" t="str">
            <v>Personnel régie pour travaux d'entretien des piscines OCP</v>
          </cell>
          <cell r="F163">
            <v>0</v>
          </cell>
          <cell r="G163">
            <v>205056.36</v>
          </cell>
          <cell r="H163" t="str">
            <v>ENG
CHC</v>
          </cell>
          <cell r="I163" t="str">
            <v>CP
AD</v>
          </cell>
          <cell r="J163" t="str">
            <v xml:space="preserve">AE N° 4157_2 de 205 056,36 
CHC pour attribution </v>
          </cell>
          <cell r="K163" t="str">
            <v xml:space="preserve">PFF - 406
405  </v>
          </cell>
          <cell r="L163" t="str">
            <v>14/05/2007
25/06/2007</v>
          </cell>
          <cell r="M163" t="str">
            <v>DPM-1039/07</v>
          </cell>
          <cell r="N163" t="str">
            <v>DKM3576/07</v>
          </cell>
          <cell r="O163" t="str">
            <v>DERDAKI</v>
          </cell>
          <cell r="P163" t="str">
            <v>REGIE</v>
          </cell>
          <cell r="Q163" t="str">
            <v>AK</v>
          </cell>
          <cell r="R163" t="str">
            <v>K01049</v>
          </cell>
          <cell r="S163" t="str">
            <v>P</v>
          </cell>
        </row>
        <row r="164">
          <cell r="B164">
            <v>4161</v>
          </cell>
          <cell r="C164" t="str">
            <v>RESTAURATION CLINIQUE AK</v>
          </cell>
          <cell r="D164">
            <v>0</v>
          </cell>
          <cell r="E164">
            <v>8000000</v>
          </cell>
          <cell r="F164">
            <v>0</v>
          </cell>
          <cell r="O164" t="str">
            <v>DERDAKI</v>
          </cell>
          <cell r="P164" t="str">
            <v>ORD</v>
          </cell>
          <cell r="Q164" t="str">
            <v>AK</v>
          </cell>
          <cell r="R164" t="str">
            <v>K01440</v>
          </cell>
          <cell r="S164" t="str">
            <v>P</v>
          </cell>
        </row>
        <row r="165">
          <cell r="B165">
            <v>4164</v>
          </cell>
          <cell r="C165" t="str">
            <v>LOCATION VEHICULES POUR AK</v>
          </cell>
          <cell r="D165">
            <v>2000000</v>
          </cell>
          <cell r="E165">
            <v>2000000</v>
          </cell>
          <cell r="F165">
            <v>0</v>
          </cell>
          <cell r="H165" t="str">
            <v xml:space="preserve">AVIS  </v>
          </cell>
          <cell r="I165" t="str">
            <v>PM</v>
          </cell>
          <cell r="J165" t="str">
            <v>lettre d'accord transmise a PM PMK/LM/X-D n°06/07 du 15/10/07)</v>
          </cell>
          <cell r="O165" t="str">
            <v>DERDAKI</v>
          </cell>
          <cell r="P165" t="str">
            <v>LOC</v>
          </cell>
          <cell r="Q165" t="str">
            <v>AK</v>
          </cell>
          <cell r="R165" t="str">
            <v>K01570</v>
          </cell>
          <cell r="S165" t="str">
            <v>P</v>
          </cell>
        </row>
        <row r="166">
          <cell r="B166">
            <v>4174</v>
          </cell>
          <cell r="C166" t="str">
            <v>Travaux d'aménagement des locaux du service juridique à Khouribga</v>
          </cell>
          <cell r="D166">
            <v>235000</v>
          </cell>
          <cell r="E166">
            <v>235000</v>
          </cell>
          <cell r="H166" t="str">
            <v>AVIS - CONS</v>
          </cell>
          <cell r="I166" t="str">
            <v>AD
CT</v>
          </cell>
          <cell r="J166" t="str">
            <v>DPM pour attribution (transmis directement)+ CT pour établir la DAC</v>
          </cell>
          <cell r="K166" t="str">
            <v>380
111/07</v>
          </cell>
          <cell r="L166">
            <v>39244</v>
          </cell>
          <cell r="M166" t="str">
            <v>DPM-01/07</v>
          </cell>
          <cell r="O166" t="str">
            <v>BENYESSEF</v>
          </cell>
          <cell r="P166" t="str">
            <v>ORD</v>
          </cell>
          <cell r="Q166" t="str">
            <v>AK</v>
          </cell>
          <cell r="S166" t="str">
            <v>P</v>
          </cell>
        </row>
        <row r="167">
          <cell r="B167">
            <v>4203</v>
          </cell>
          <cell r="C167" t="str">
            <v>Peinture des ateliers de maintenance mécanique de Béni-Idir</v>
          </cell>
          <cell r="D167">
            <v>0</v>
          </cell>
          <cell r="E167">
            <v>490000</v>
          </cell>
          <cell r="F167">
            <v>0</v>
          </cell>
          <cell r="O167" t="str">
            <v>JERRAR</v>
          </cell>
          <cell r="P167" t="str">
            <v>ORD</v>
          </cell>
          <cell r="Q167" t="str">
            <v>T</v>
          </cell>
          <cell r="R167" t="str">
            <v>K04603</v>
          </cell>
          <cell r="S167" t="str">
            <v>P</v>
          </cell>
        </row>
        <row r="168">
          <cell r="B168">
            <v>4205</v>
          </cell>
          <cell r="C168" t="str">
            <v>Réparation à l'extérieur du matériel électrique et électronique de PMK/TB</v>
          </cell>
          <cell r="D168">
            <v>0</v>
          </cell>
          <cell r="E168">
            <v>490000</v>
          </cell>
          <cell r="F168">
            <v>0</v>
          </cell>
          <cell r="O168" t="str">
            <v>HADINI</v>
          </cell>
          <cell r="P168" t="str">
            <v>ORD</v>
          </cell>
          <cell r="Q168" t="str">
            <v>T</v>
          </cell>
          <cell r="R168" t="str">
            <v>K04605</v>
          </cell>
          <cell r="S168" t="str">
            <v>P</v>
          </cell>
        </row>
        <row r="169">
          <cell r="B169">
            <v>4210</v>
          </cell>
          <cell r="C169" t="str">
            <v>AMENAGEMENT DES LOCAUX POUR DEPOTS DES PIECES FOSSILES ET SACS D'ECHANTILLONS (MAISON BLANCHE)</v>
          </cell>
          <cell r="D169">
            <v>300000</v>
          </cell>
          <cell r="E169">
            <v>300000</v>
          </cell>
          <cell r="F169">
            <v>0</v>
          </cell>
          <cell r="O169" t="str">
            <v>BOUYA</v>
          </cell>
          <cell r="P169" t="str">
            <v>ORD</v>
          </cell>
          <cell r="Q169" t="str">
            <v>AK</v>
          </cell>
          <cell r="R169" t="str">
            <v>K01362</v>
          </cell>
          <cell r="S169" t="str">
            <v>P</v>
          </cell>
        </row>
        <row r="170">
          <cell r="B170">
            <v>4216</v>
          </cell>
          <cell r="C170" t="str">
            <v>Entretien et aménagement des espaces verts de PMK/TB</v>
          </cell>
          <cell r="D170">
            <v>0</v>
          </cell>
          <cell r="E170">
            <v>860000</v>
          </cell>
          <cell r="F170">
            <v>0</v>
          </cell>
          <cell r="H170" t="str">
            <v>CT</v>
          </cell>
          <cell r="I170" t="str">
            <v>CP</v>
          </cell>
          <cell r="J170" t="str">
            <v>DPM en retour suite aue remarque CT</v>
          </cell>
          <cell r="K170">
            <v>331</v>
          </cell>
          <cell r="L170">
            <v>39217</v>
          </cell>
          <cell r="O170" t="str">
            <v>BENCHEKROUN</v>
          </cell>
          <cell r="P170" t="str">
            <v>ORD</v>
          </cell>
          <cell r="Q170" t="str">
            <v>T</v>
          </cell>
          <cell r="R170" t="str">
            <v>K04131</v>
          </cell>
          <cell r="S170" t="str">
            <v>P</v>
          </cell>
        </row>
        <row r="171">
          <cell r="B171">
            <v>4339</v>
          </cell>
          <cell r="C171" t="str">
            <v>Fourniture et installation d'une nouvelle flèche pour la pelle 191M2</v>
          </cell>
          <cell r="D171">
            <v>0</v>
          </cell>
          <cell r="E171">
            <v>10000000</v>
          </cell>
          <cell r="F171">
            <v>0</v>
          </cell>
          <cell r="O171" t="str">
            <v>SABRI</v>
          </cell>
          <cell r="P171" t="str">
            <v>ORD</v>
          </cell>
          <cell r="Q171" t="str">
            <v>P</v>
          </cell>
          <cell r="R171" t="str">
            <v>K03740</v>
          </cell>
          <cell r="S171" t="str">
            <v>P</v>
          </cell>
        </row>
        <row r="172">
          <cell r="B172">
            <v>4346</v>
          </cell>
          <cell r="C172" t="str">
            <v>TRAVAUX D'ENTRETIEN DES LOGEMENTS, DES ETS SOCIAUX ET BATIMENTS ADMINISTRATIFS.</v>
          </cell>
          <cell r="D172">
            <v>9500000</v>
          </cell>
          <cell r="E172">
            <v>9500000</v>
          </cell>
          <cell r="F172">
            <v>0</v>
          </cell>
          <cell r="H172" t="str">
            <v>AVIS</v>
          </cell>
          <cell r="I172" t="str">
            <v>PFF - SDG</v>
          </cell>
          <cell r="J172" t="str">
            <v>Pour avis sur le projet en vue d'établir la DAC
Note pour accord de M. DG</v>
          </cell>
          <cell r="K172" t="str">
            <v>284
324</v>
          </cell>
          <cell r="L172" t="str">
            <v>06/07/2007
02/08/2007</v>
          </cell>
          <cell r="O172" t="str">
            <v>DERDAKI</v>
          </cell>
          <cell r="P172" t="str">
            <v>ORD</v>
          </cell>
          <cell r="Q172" t="str">
            <v>AK</v>
          </cell>
          <cell r="R172" t="str">
            <v>K01049</v>
          </cell>
          <cell r="S172" t="str">
            <v>P</v>
          </cell>
        </row>
        <row r="173">
          <cell r="B173">
            <v>4346</v>
          </cell>
          <cell r="C173" t="str">
            <v>Travaux d'entretien des logements cadres</v>
          </cell>
          <cell r="F173">
            <v>0</v>
          </cell>
          <cell r="G173">
            <v>391065.59999999998</v>
          </cell>
          <cell r="H173" t="str">
            <v>ENG</v>
          </cell>
          <cell r="I173" t="str">
            <v>CP</v>
          </cell>
          <cell r="J173" t="str">
            <v xml:space="preserve">AE n° 4346_1 de 391 065,60 dh </v>
          </cell>
          <cell r="K173" t="str">
            <v>PFF - 656</v>
          </cell>
          <cell r="L173">
            <v>39364</v>
          </cell>
          <cell r="N173" t="str">
            <v>AO DKM1188M0071/06</v>
          </cell>
          <cell r="O173" t="str">
            <v>DERDAKI</v>
          </cell>
          <cell r="P173" t="str">
            <v>ORD</v>
          </cell>
          <cell r="Q173" t="str">
            <v>AK</v>
          </cell>
          <cell r="R173" t="str">
            <v>K01049</v>
          </cell>
          <cell r="S173" t="str">
            <v>P</v>
          </cell>
        </row>
        <row r="174">
          <cell r="B174">
            <v>4346</v>
          </cell>
          <cell r="C174" t="str">
            <v>Travaux d'entretien des logements cadres</v>
          </cell>
          <cell r="F174">
            <v>0</v>
          </cell>
          <cell r="G174">
            <v>373245.12</v>
          </cell>
          <cell r="H174" t="str">
            <v>ENG</v>
          </cell>
          <cell r="I174" t="str">
            <v>CP</v>
          </cell>
          <cell r="J174" t="str">
            <v xml:space="preserve">AE n° 4346_2 de 373 245,12 dh </v>
          </cell>
          <cell r="K174" t="str">
            <v>PFF - 656</v>
          </cell>
          <cell r="L174">
            <v>39364</v>
          </cell>
          <cell r="N174" t="str">
            <v>AO DKM- 1722/06</v>
          </cell>
          <cell r="O174" t="str">
            <v>DERDAKI</v>
          </cell>
          <cell r="P174" t="str">
            <v>ORD</v>
          </cell>
          <cell r="Q174" t="str">
            <v>AK</v>
          </cell>
          <cell r="R174" t="str">
            <v>K01049</v>
          </cell>
          <cell r="S174" t="str">
            <v>P</v>
          </cell>
        </row>
        <row r="175">
          <cell r="B175">
            <v>4346</v>
          </cell>
          <cell r="C175" t="str">
            <v>Travaux d'entretien des logements cadres</v>
          </cell>
          <cell r="F175">
            <v>0</v>
          </cell>
          <cell r="G175">
            <v>231596.7</v>
          </cell>
          <cell r="H175" t="str">
            <v>ENG</v>
          </cell>
          <cell r="I175" t="str">
            <v>CP</v>
          </cell>
          <cell r="J175" t="str">
            <v xml:space="preserve">AE n° 4346_3 de 231 596,70 dh </v>
          </cell>
          <cell r="K175" t="str">
            <v>PFF - 656</v>
          </cell>
          <cell r="L175">
            <v>39364</v>
          </cell>
          <cell r="N175" t="str">
            <v>AO DKM- 1721/06</v>
          </cell>
          <cell r="O175" t="str">
            <v>DERDAKI</v>
          </cell>
          <cell r="P175" t="str">
            <v>ORD</v>
          </cell>
          <cell r="Q175" t="str">
            <v>AK</v>
          </cell>
          <cell r="R175" t="str">
            <v>K01049</v>
          </cell>
          <cell r="S175" t="str">
            <v>P</v>
          </cell>
        </row>
        <row r="176">
          <cell r="B176">
            <v>4346</v>
          </cell>
          <cell r="C176" t="str">
            <v>Amélioration du réseau d'assainissement des logements de la ville OCP Khouribga</v>
          </cell>
          <cell r="F176">
            <v>0</v>
          </cell>
          <cell r="H176" t="str">
            <v>CHC</v>
          </cell>
          <cell r="I176" t="str">
            <v>AD</v>
          </cell>
          <cell r="J176" t="str">
            <v>CHC transmis a AD</v>
          </cell>
          <cell r="K176">
            <v>541</v>
          </cell>
          <cell r="L176">
            <v>39358</v>
          </cell>
          <cell r="N176" t="str">
            <v>AO DKM- 1370/06</v>
          </cell>
          <cell r="O176" t="str">
            <v>DERDAKI</v>
          </cell>
          <cell r="P176" t="str">
            <v>ORD</v>
          </cell>
          <cell r="Q176" t="str">
            <v>AK</v>
          </cell>
          <cell r="R176" t="str">
            <v>K01049</v>
          </cell>
          <cell r="S176" t="str">
            <v>P</v>
          </cell>
        </row>
        <row r="177">
          <cell r="B177">
            <v>4348</v>
          </cell>
          <cell r="C177" t="str">
            <v>TRAVAUX DE MAINTENANCE DES JARDINS ET ESPACES VERTS DE LA VILLE OCP KHOURIBGA</v>
          </cell>
          <cell r="D177">
            <v>6200000</v>
          </cell>
          <cell r="E177">
            <v>7000000</v>
          </cell>
          <cell r="F177">
            <v>0</v>
          </cell>
          <cell r="H177" t="str">
            <v>AVIS</v>
          </cell>
          <cell r="I177" t="str">
            <v>PFF - SDG</v>
          </cell>
          <cell r="J177" t="str">
            <v>Pour avis sur le projet en vue d'établir la DAC 
Note pour accord de M. DG</v>
          </cell>
          <cell r="K177" t="str">
            <v>293
324</v>
          </cell>
          <cell r="L177" t="str">
            <v>11/07/2007
02/08/2007</v>
          </cell>
          <cell r="O177" t="str">
            <v>DERDAKI</v>
          </cell>
          <cell r="P177" t="str">
            <v>ORD</v>
          </cell>
          <cell r="Q177" t="str">
            <v>AK</v>
          </cell>
          <cell r="R177" t="str">
            <v>K01049</v>
          </cell>
          <cell r="S177" t="str">
            <v>P</v>
          </cell>
        </row>
        <row r="178">
          <cell r="B178">
            <v>4348</v>
          </cell>
          <cell r="C178" t="str">
            <v>Travaux d'aménagement d'un abri pour groupe électrogéne au terrain d'honneur</v>
          </cell>
          <cell r="G178">
            <v>281466</v>
          </cell>
          <cell r="H178" t="str">
            <v>ENG</v>
          </cell>
          <cell r="I178" t="str">
            <v>CP</v>
          </cell>
          <cell r="J178" t="str">
            <v>AE n° 4348_1 de 281 466,00 dh</v>
          </cell>
          <cell r="K178" t="str">
            <v>PFF - 656</v>
          </cell>
          <cell r="L178">
            <v>39364</v>
          </cell>
          <cell r="N178" t="str">
            <v>DKM05172/07</v>
          </cell>
          <cell r="O178" t="str">
            <v>DERDAKI</v>
          </cell>
          <cell r="P178" t="str">
            <v>ORD</v>
          </cell>
          <cell r="Q178" t="str">
            <v>AK</v>
          </cell>
          <cell r="R178" t="str">
            <v>K01049</v>
          </cell>
          <cell r="S178" t="str">
            <v>P</v>
          </cell>
        </row>
        <row r="179">
          <cell r="B179">
            <v>4348</v>
          </cell>
          <cell r="C179" t="str">
            <v>Maintenance des espaces verts, installations sportives et collectives Ville OCP</v>
          </cell>
          <cell r="H179" t="str">
            <v>CHC</v>
          </cell>
          <cell r="I179" t="str">
            <v>AD</v>
          </cell>
          <cell r="J179" t="str">
            <v>CHC transmis à AD</v>
          </cell>
          <cell r="K179">
            <v>511</v>
          </cell>
          <cell r="L179">
            <v>39332</v>
          </cell>
          <cell r="M179" t="str">
            <v>DPM-1042/07</v>
          </cell>
          <cell r="N179" t="str">
            <v>DKM03595/07</v>
          </cell>
          <cell r="O179" t="str">
            <v>DERDAKI</v>
          </cell>
          <cell r="P179" t="str">
            <v>ORD</v>
          </cell>
          <cell r="Q179" t="str">
            <v>AK</v>
          </cell>
          <cell r="R179" t="str">
            <v>K01049</v>
          </cell>
          <cell r="S179" t="str">
            <v>P</v>
          </cell>
        </row>
        <row r="180">
          <cell r="B180">
            <v>4348</v>
          </cell>
          <cell r="C180" t="str">
            <v>Travaux de maitenance des jardins des villas HC en ville OCP</v>
          </cell>
          <cell r="H180" t="str">
            <v>CHC</v>
          </cell>
          <cell r="I180" t="str">
            <v>AD</v>
          </cell>
          <cell r="J180" t="str">
            <v>CHC transmis à AD</v>
          </cell>
          <cell r="K180">
            <v>546</v>
          </cell>
          <cell r="L180">
            <v>39360</v>
          </cell>
          <cell r="M180" t="str">
            <v>DPM-1043/07</v>
          </cell>
          <cell r="N180" t="str">
            <v>DKM03594/07</v>
          </cell>
          <cell r="O180" t="str">
            <v>DERDAKI</v>
          </cell>
          <cell r="P180" t="str">
            <v>ORD</v>
          </cell>
          <cell r="Q180" t="str">
            <v>AK</v>
          </cell>
          <cell r="R180" t="str">
            <v>K01049</v>
          </cell>
          <cell r="S180" t="str">
            <v>P</v>
          </cell>
        </row>
        <row r="181">
          <cell r="B181">
            <v>4348</v>
          </cell>
          <cell r="C181" t="str">
            <v>Travaux d'entretien des arbres forestiers plantés en ville OCP</v>
          </cell>
          <cell r="H181" t="str">
            <v>CONSUL</v>
          </cell>
          <cell r="I181" t="str">
            <v>AD</v>
          </cell>
          <cell r="J181" t="str">
            <v>DPM en consultation</v>
          </cell>
          <cell r="K181">
            <v>503</v>
          </cell>
          <cell r="L181">
            <v>39325</v>
          </cell>
          <cell r="M181" t="str">
            <v>DPM-1050/07</v>
          </cell>
          <cell r="O181" t="str">
            <v>DERDAKI</v>
          </cell>
          <cell r="P181" t="str">
            <v>ORD</v>
          </cell>
          <cell r="Q181" t="str">
            <v>AK</v>
          </cell>
          <cell r="R181" t="str">
            <v>K01049</v>
          </cell>
          <cell r="S181" t="str">
            <v>P</v>
          </cell>
        </row>
        <row r="182">
          <cell r="B182">
            <v>4348</v>
          </cell>
          <cell r="C182" t="str">
            <v>Travaux de maitenance des jardins des villas HC en ville OCP</v>
          </cell>
          <cell r="G182">
            <v>1046470</v>
          </cell>
          <cell r="H182" t="str">
            <v>ENG</v>
          </cell>
          <cell r="I182" t="str">
            <v>CP</v>
          </cell>
          <cell r="J182" t="str">
            <v>AE n° 4348_2 de 1 046 470,00 dh</v>
          </cell>
          <cell r="K182" t="str">
            <v>PFF - 652</v>
          </cell>
          <cell r="L182">
            <v>39363</v>
          </cell>
          <cell r="N182">
            <v>45064059</v>
          </cell>
          <cell r="O182" t="str">
            <v>DERDAKI</v>
          </cell>
          <cell r="P182" t="str">
            <v>ORD</v>
          </cell>
          <cell r="Q182" t="str">
            <v>AK</v>
          </cell>
          <cell r="R182" t="str">
            <v>K01049</v>
          </cell>
          <cell r="S182" t="str">
            <v>P</v>
          </cell>
        </row>
        <row r="183">
          <cell r="B183">
            <v>4348</v>
          </cell>
          <cell r="C183" t="str">
            <v>Travaux de maitenance des jardins des villas HC en ville OCP</v>
          </cell>
          <cell r="G183">
            <v>687384.76</v>
          </cell>
          <cell r="H183" t="str">
            <v>ENG</v>
          </cell>
          <cell r="I183" t="str">
            <v>CP</v>
          </cell>
          <cell r="J183" t="str">
            <v>AE n° 4348_3 de 687 384,76 dh</v>
          </cell>
          <cell r="K183" t="str">
            <v>PFF - 652</v>
          </cell>
          <cell r="L183">
            <v>39363</v>
          </cell>
          <cell r="N183">
            <v>45063759</v>
          </cell>
          <cell r="O183" t="str">
            <v>DERDAKI</v>
          </cell>
          <cell r="P183" t="str">
            <v>ORD</v>
          </cell>
          <cell r="Q183" t="str">
            <v>AK</v>
          </cell>
          <cell r="R183" t="str">
            <v>K01049</v>
          </cell>
          <cell r="S183" t="str">
            <v>P</v>
          </cell>
        </row>
        <row r="184">
          <cell r="B184">
            <v>4348</v>
          </cell>
          <cell r="C184" t="str">
            <v>Travaux de maitenance des jardins des villas HC en ville OCP</v>
          </cell>
          <cell r="G184">
            <v>281466</v>
          </cell>
          <cell r="H184" t="str">
            <v>ENG</v>
          </cell>
          <cell r="I184" t="str">
            <v>CP</v>
          </cell>
          <cell r="J184" t="str">
            <v>AE n° 4348_4 de 281 466,00 dh</v>
          </cell>
          <cell r="K184" t="str">
            <v>PFF - 652</v>
          </cell>
          <cell r="L184">
            <v>39363</v>
          </cell>
          <cell r="N184" t="str">
            <v>DKM 3595/07</v>
          </cell>
          <cell r="O184" t="str">
            <v>DERDAKI</v>
          </cell>
          <cell r="P184" t="str">
            <v>ORD</v>
          </cell>
          <cell r="Q184" t="str">
            <v>AK</v>
          </cell>
          <cell r="R184" t="str">
            <v>K01049</v>
          </cell>
          <cell r="S184" t="str">
            <v>P</v>
          </cell>
        </row>
        <row r="185">
          <cell r="B185">
            <v>4365</v>
          </cell>
          <cell r="C185" t="str">
            <v>Mise à disposition du personnel en régie</v>
          </cell>
          <cell r="D185">
            <v>60509400</v>
          </cell>
          <cell r="E185">
            <v>60509400</v>
          </cell>
          <cell r="F185">
            <v>0</v>
          </cell>
          <cell r="G185">
            <v>45196480.789999999</v>
          </cell>
          <cell r="H185" t="str">
            <v>ENG - CHC</v>
          </cell>
          <cell r="I185" t="str">
            <v>CP - AD</v>
          </cell>
          <cell r="J185" t="str">
            <v>AE N° 4365_6 de 1 617 446,40 dh, AE N° 4365_5 de 40 905 263 dh,AE N° 4365_3 de 823 935 dh, AE N° 4365_2 de 1 413 381,87 dh et AE N° 4365_1 de 436 453,92 dh (DPM en consultation)   CHC pour attrubition</v>
          </cell>
          <cell r="K185" t="str">
            <v>PFF - 406
384 - 381 - 609</v>
          </cell>
          <cell r="L185" t="str">
            <v>14/05/2007
12/06/2007
13/09/2007</v>
          </cell>
          <cell r="M185" t="str">
            <v>DPM-4017/07</v>
          </cell>
          <cell r="O185" t="str">
            <v>MESFIOUI</v>
          </cell>
          <cell r="P185" t="str">
            <v>REGIE</v>
          </cell>
          <cell r="Q185" t="str">
            <v>T</v>
          </cell>
          <cell r="R185" t="str">
            <v>K04001</v>
          </cell>
          <cell r="S185" t="str">
            <v>P</v>
          </cell>
        </row>
        <row r="186">
          <cell r="B186">
            <v>4638</v>
          </cell>
          <cell r="C186" t="str">
            <v>MISE A DISPOSITION DU PERSONNEL REGIE POUR LE SERVICE DE LA COMPTABILITE.</v>
          </cell>
          <cell r="D186">
            <v>1340000</v>
          </cell>
          <cell r="E186">
            <v>1340000</v>
          </cell>
          <cell r="F186">
            <v>0</v>
          </cell>
          <cell r="O186" t="str">
            <v>EL HOUSANI</v>
          </cell>
          <cell r="P186" t="str">
            <v>REGIE</v>
          </cell>
          <cell r="Q186" t="str">
            <v>AK</v>
          </cell>
          <cell r="R186" t="str">
            <v>K01001</v>
          </cell>
          <cell r="S186" t="str">
            <v>P</v>
          </cell>
        </row>
        <row r="187">
          <cell r="B187">
            <v>4907</v>
          </cell>
          <cell r="C187" t="str">
            <v>Travaux de peinture des installations et des bâtiments de PMK/TB</v>
          </cell>
          <cell r="D187">
            <v>800000</v>
          </cell>
          <cell r="E187">
            <v>1900000</v>
          </cell>
          <cell r="F187">
            <v>0</v>
          </cell>
          <cell r="O187" t="str">
            <v>JERRAR</v>
          </cell>
          <cell r="P187" t="str">
            <v>ORD</v>
          </cell>
          <cell r="Q187" t="str">
            <v>T</v>
          </cell>
          <cell r="R187" t="str">
            <v>K04107</v>
          </cell>
          <cell r="S187" t="str">
            <v>P</v>
          </cell>
        </row>
        <row r="188">
          <cell r="B188">
            <v>4968</v>
          </cell>
          <cell r="C188" t="str">
            <v>DRAGAGE ET DEVASAGE DU BASSIN DU QUAI DE CHARGEMENT DU PHOSPHATE AUX EMBARQUEMENTS CASABLANCA</v>
          </cell>
          <cell r="D188">
            <v>0</v>
          </cell>
          <cell r="E188">
            <v>1000000</v>
          </cell>
          <cell r="F188">
            <v>0</v>
          </cell>
          <cell r="O188" t="str">
            <v>EL FATTAHI</v>
          </cell>
          <cell r="P188" t="str">
            <v>ORD</v>
          </cell>
          <cell r="Q188" t="str">
            <v>TC</v>
          </cell>
          <cell r="R188" t="str">
            <v>K07214</v>
          </cell>
          <cell r="S188" t="str">
            <v>P</v>
          </cell>
        </row>
        <row r="189">
          <cell r="B189">
            <v>5200</v>
          </cell>
          <cell r="C189" t="str">
            <v>ENTRETIEN ET REPARATION DES COMPTEURS D'EAU ET D'ELECTICITE DES LOGEMENTS ET DES SERVICES.</v>
          </cell>
          <cell r="D189">
            <v>250000</v>
          </cell>
          <cell r="E189">
            <v>250000</v>
          </cell>
          <cell r="F189">
            <v>0</v>
          </cell>
          <cell r="O189" t="str">
            <v>DERDAKI</v>
          </cell>
          <cell r="P189" t="str">
            <v>ORD</v>
          </cell>
          <cell r="Q189" t="str">
            <v>AK</v>
          </cell>
          <cell r="R189" t="str">
            <v>K01013</v>
          </cell>
          <cell r="S189" t="str">
            <v>P</v>
          </cell>
        </row>
        <row r="190">
          <cell r="B190">
            <v>5352</v>
          </cell>
          <cell r="C190" t="str">
            <v>Externalisation de l'activité de tirs de mines</v>
          </cell>
          <cell r="D190">
            <v>6000000</v>
          </cell>
          <cell r="E190">
            <v>6000000</v>
          </cell>
          <cell r="F190">
            <v>0</v>
          </cell>
          <cell r="G190">
            <v>6000000</v>
          </cell>
          <cell r="H190" t="str">
            <v>ENG</v>
          </cell>
          <cell r="I190" t="str">
            <v>CP</v>
          </cell>
          <cell r="J190" t="str">
            <v xml:space="preserve">Lettre approuvée par DG d'un montant de 6 MDH 
AE n°5352_1 de 6 MDH </v>
          </cell>
          <cell r="K190" t="str">
            <v>PFF 516</v>
          </cell>
          <cell r="L190">
            <v>39267</v>
          </cell>
          <cell r="O190" t="str">
            <v>KARROUACHE</v>
          </cell>
          <cell r="P190" t="str">
            <v>ORD</v>
          </cell>
          <cell r="Q190" t="str">
            <v>P</v>
          </cell>
          <cell r="R190" t="str">
            <v>K03271</v>
          </cell>
          <cell r="S190" t="str">
            <v>P</v>
          </cell>
        </row>
        <row r="191">
          <cell r="B191">
            <v>5381</v>
          </cell>
          <cell r="C191" t="str">
            <v>Transfert d'un hangar pour le compte des services électriques et Draglines de MEA</v>
          </cell>
          <cell r="D191">
            <v>0</v>
          </cell>
          <cell r="E191">
            <v>10000000</v>
          </cell>
          <cell r="F191">
            <v>0</v>
          </cell>
          <cell r="O191" t="str">
            <v>HALMI</v>
          </cell>
          <cell r="P191" t="str">
            <v>ORD</v>
          </cell>
          <cell r="Q191" t="str">
            <v>P</v>
          </cell>
          <cell r="R191" t="str">
            <v>K03710</v>
          </cell>
          <cell r="S191" t="str">
            <v>P</v>
          </cell>
        </row>
        <row r="192">
          <cell r="B192">
            <v>5487</v>
          </cell>
          <cell r="C192" t="str">
            <v>RECONNAISSANCE  MINERALURGIQUE  GISEMENT  SUD  EST  OULED  FARES</v>
          </cell>
          <cell r="D192">
            <v>6069018</v>
          </cell>
          <cell r="E192">
            <v>6069018</v>
          </cell>
          <cell r="F192">
            <v>1938900</v>
          </cell>
          <cell r="O192" t="str">
            <v>BOUYA</v>
          </cell>
          <cell r="P192" t="str">
            <v>ORD</v>
          </cell>
          <cell r="Q192" t="str">
            <v>AK</v>
          </cell>
          <cell r="R192" t="str">
            <v>K01369</v>
          </cell>
          <cell r="S192" t="str">
            <v>P</v>
          </cell>
        </row>
        <row r="193">
          <cell r="B193">
            <v>5541</v>
          </cell>
          <cell r="C193" t="str">
            <v>PERSONNEL  EN REGIE PMK/L</v>
          </cell>
          <cell r="D193">
            <v>1761429</v>
          </cell>
          <cell r="E193">
            <v>1925000</v>
          </cell>
          <cell r="F193">
            <v>0</v>
          </cell>
          <cell r="G193">
            <v>1109000</v>
          </cell>
          <cell r="H193" t="str">
            <v>ENG</v>
          </cell>
          <cell r="I193" t="str">
            <v>CP</v>
          </cell>
          <cell r="J193" t="str">
            <v xml:space="preserve">AE N° 5541_1 </v>
          </cell>
          <cell r="K193" t="str">
            <v>PFF - 406</v>
          </cell>
          <cell r="L193">
            <v>39216</v>
          </cell>
          <cell r="O193" t="str">
            <v>BOUALAM</v>
          </cell>
          <cell r="P193" t="str">
            <v>REGIE</v>
          </cell>
          <cell r="Q193" t="str">
            <v>L</v>
          </cell>
          <cell r="R193" t="str">
            <v>K11050</v>
          </cell>
          <cell r="S193" t="str">
            <v>P</v>
          </cell>
        </row>
        <row r="194">
          <cell r="B194">
            <v>3594</v>
          </cell>
          <cell r="C194" t="str">
            <v>TRAVAUX DE GENIE CIVIL POUR L'AMENAGEMENT DES STATIONS DE POMPAGE, POSTES ELECTRIQUES, ATELIERS, MAGASINS ET LOCAUX DE PMK/LM/E n°1</v>
          </cell>
          <cell r="D194">
            <v>2000000</v>
          </cell>
          <cell r="E194">
            <v>4000000</v>
          </cell>
          <cell r="H194" t="str">
            <v>CONSUL</v>
          </cell>
          <cell r="I194" t="str">
            <v>AD</v>
          </cell>
          <cell r="J194" t="str">
            <v>DPM en consultation</v>
          </cell>
          <cell r="K194">
            <v>558</v>
          </cell>
          <cell r="L194">
            <v>39365</v>
          </cell>
          <cell r="M194" t="str">
            <v>DPM - 5257/07</v>
          </cell>
          <cell r="O194" t="str">
            <v>SAOUD</v>
          </cell>
          <cell r="P194" t="str">
            <v>ORD</v>
          </cell>
          <cell r="Q194" t="str">
            <v>L</v>
          </cell>
          <cell r="S194" t="str">
            <v>P</v>
          </cell>
        </row>
        <row r="195">
          <cell r="B195">
            <v>3594</v>
          </cell>
          <cell r="C195" t="str">
            <v>TRAVAUX DE GENIE CIVIL POUR L'AMENAGEMENT DES STATIONS DE POMPAGE, POSTES ELECTRIQUES, ATELIERS, MAGASINS ET LOCAUX DE PMK/LM/E n°2</v>
          </cell>
          <cell r="H195" t="str">
            <v>CONSUL</v>
          </cell>
          <cell r="I195" t="str">
            <v>AD</v>
          </cell>
          <cell r="J195" t="str">
            <v>DPM en consultation</v>
          </cell>
          <cell r="K195">
            <v>558</v>
          </cell>
          <cell r="L195">
            <v>39365</v>
          </cell>
          <cell r="M195" t="str">
            <v>DPM - 5258/07</v>
          </cell>
          <cell r="O195" t="str">
            <v>SAOUD</v>
          </cell>
          <cell r="P195" t="str">
            <v>ORD</v>
          </cell>
          <cell r="Q195" t="str">
            <v>L</v>
          </cell>
          <cell r="S195" t="str">
            <v>P</v>
          </cell>
        </row>
        <row r="196">
          <cell r="B196">
            <v>3965</v>
          </cell>
          <cell r="C196" t="str">
            <v>RENOVATION DE LA PROTECTION CATHODIQUE DE LA CONDUITE DE DIAMETRE 800 MM RELIANT FKIH BEN SALEH A BOUJNIBA</v>
          </cell>
          <cell r="D196">
            <v>700000</v>
          </cell>
          <cell r="E196">
            <v>700000</v>
          </cell>
          <cell r="O196" t="str">
            <v>SAOUD</v>
          </cell>
          <cell r="P196" t="str">
            <v>ORD</v>
          </cell>
          <cell r="Q196" t="str">
            <v>L</v>
          </cell>
          <cell r="S196" t="str">
            <v>P</v>
          </cell>
        </row>
        <row r="197">
          <cell r="B197">
            <v>5680</v>
          </cell>
          <cell r="C197" t="str">
            <v xml:space="preserve">REFECTION DE TRONCON DE ROUTE RELIANT L'USINE DE BENI-IDIR AVEC LA RECETTE 6, LE TRONCON RELIANT LA RECTTE 6 AVEC LA ROUTE NATIONNALE N° 13 ET AMENAGEMENT DU CIRCUIT INTERNE DE LA RECETTE 6 </v>
          </cell>
          <cell r="D197">
            <v>0</v>
          </cell>
          <cell r="E197">
            <v>800000</v>
          </cell>
          <cell r="O197" t="str">
            <v>LATRACH</v>
          </cell>
          <cell r="P197" t="str">
            <v>ORD</v>
          </cell>
          <cell r="Q197" t="str">
            <v>T</v>
          </cell>
          <cell r="S197" t="str">
            <v>P</v>
          </cell>
        </row>
        <row r="198">
          <cell r="B198">
            <v>5738</v>
          </cell>
          <cell r="C198" t="str">
            <v>ENTRETIEN ET CONTRÔLE DES VOIES ET CANTENAIRES A SIDI DAOUI</v>
          </cell>
          <cell r="D198">
            <v>700000</v>
          </cell>
          <cell r="E198">
            <v>700000</v>
          </cell>
          <cell r="G198">
            <v>700000</v>
          </cell>
          <cell r="H198" t="str">
            <v>ENG</v>
          </cell>
          <cell r="I198" t="str">
            <v>CP</v>
          </cell>
          <cell r="J198" t="str">
            <v>AE N° 5738_1</v>
          </cell>
          <cell r="K198" t="str">
            <v>PFF - 406</v>
          </cell>
          <cell r="L198">
            <v>39216</v>
          </cell>
          <cell r="O198" t="str">
            <v>LEBBARDI</v>
          </cell>
          <cell r="P198" t="str">
            <v>ORD</v>
          </cell>
          <cell r="Q198" t="str">
            <v>T</v>
          </cell>
          <cell r="S198" t="str">
            <v>P</v>
          </cell>
        </row>
        <row r="199">
          <cell r="B199">
            <v>6070</v>
          </cell>
          <cell r="C199" t="str">
            <v>Gardiennage des installations et locaux, PMK/T Fourniture et installation et mise en service des automates programables</v>
          </cell>
          <cell r="D199">
            <v>2450000</v>
          </cell>
          <cell r="H199" t="str">
            <v>CONSUL</v>
          </cell>
          <cell r="I199" t="str">
            <v>AD</v>
          </cell>
          <cell r="J199" t="str">
            <v>DAM pour attribution
en reponses au remarque AD</v>
          </cell>
          <cell r="K199" t="str">
            <v>389
417</v>
          </cell>
          <cell r="L199" t="str">
            <v>15/06/2007
06/07/2007</v>
          </cell>
          <cell r="M199" t="str">
            <v>DPM-4511/07
DPM-4524/07</v>
          </cell>
          <cell r="O199" t="str">
            <v>ASSOUD</v>
          </cell>
          <cell r="P199" t="str">
            <v>ORD</v>
          </cell>
          <cell r="Q199" t="str">
            <v>T</v>
          </cell>
          <cell r="R199" t="str">
            <v>K04012</v>
          </cell>
          <cell r="S199" t="str">
            <v>P</v>
          </cell>
        </row>
        <row r="200">
          <cell r="B200">
            <v>6071</v>
          </cell>
          <cell r="C200" t="str">
            <v>Aménagement du bloc sanitaire de PMK/TP</v>
          </cell>
          <cell r="D200">
            <v>0</v>
          </cell>
          <cell r="H200" t="str">
            <v>CT</v>
          </cell>
          <cell r="I200" t="str">
            <v>CP</v>
          </cell>
          <cell r="J200" t="str">
            <v>Montant inféieur à 250 000,00 dh disponsé de l'inscription sur crédit</v>
          </cell>
          <cell r="K200">
            <v>529</v>
          </cell>
          <cell r="L200">
            <v>39351</v>
          </cell>
          <cell r="M200" t="str">
            <v>DPM-4527</v>
          </cell>
          <cell r="O200" t="str">
            <v>CHACOUR</v>
          </cell>
          <cell r="P200" t="str">
            <v>ORD</v>
          </cell>
          <cell r="Q200" t="str">
            <v>T</v>
          </cell>
          <cell r="S200" t="str">
            <v>P</v>
          </cell>
        </row>
        <row r="201">
          <cell r="B201">
            <v>6096</v>
          </cell>
          <cell r="C201" t="str">
            <v>Travaux de soutènement et de remise en service de la première partie du stock KP du phosphate sec à l'usine de Béni-Idir</v>
          </cell>
          <cell r="D201">
            <v>0</v>
          </cell>
          <cell r="O201" t="str">
            <v>LEBBARDI</v>
          </cell>
          <cell r="P201" t="str">
            <v>ORD</v>
          </cell>
          <cell r="Q201" t="str">
            <v>T</v>
          </cell>
          <cell r="S201" t="str">
            <v>P</v>
          </cell>
        </row>
        <row r="202">
          <cell r="B202">
            <v>5442</v>
          </cell>
          <cell r="C202" t="str">
            <v>COLLECTE, TRANSPORT ET ELIMINATION DES DECHETS AUX EMBARQUEMENTS CASABLANCA</v>
          </cell>
          <cell r="D202">
            <v>500000</v>
          </cell>
          <cell r="O202" t="str">
            <v>HALMI</v>
          </cell>
          <cell r="P202" t="str">
            <v>ORD</v>
          </cell>
          <cell r="Q202" t="str">
            <v>TC</v>
          </cell>
          <cell r="S202" t="str">
            <v>P</v>
          </cell>
        </row>
        <row r="203">
          <cell r="B203">
            <v>4134</v>
          </cell>
          <cell r="C203" t="str">
            <v>ENTRTIEN DU MATERIEL MEDICAL</v>
          </cell>
          <cell r="D203">
            <v>200000</v>
          </cell>
          <cell r="O203" t="str">
            <v>DERDAKI</v>
          </cell>
          <cell r="P203" t="str">
            <v>ORD</v>
          </cell>
          <cell r="Q203" t="str">
            <v>AK</v>
          </cell>
          <cell r="S203" t="str">
            <v>P</v>
          </cell>
        </row>
        <row r="204">
          <cell r="B204">
            <v>4145</v>
          </cell>
          <cell r="C204" t="str">
            <v>REFECTION DU RESEAU D'ASSAINISSEMENT DE PMK/AK/M</v>
          </cell>
          <cell r="D204">
            <v>200000</v>
          </cell>
          <cell r="O204" t="str">
            <v>DERDAKI</v>
          </cell>
          <cell r="P204" t="str">
            <v>ORD</v>
          </cell>
          <cell r="Q204" t="str">
            <v>AK</v>
          </cell>
          <cell r="S204" t="str">
            <v>P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A-06"/>
      <sheetName val="A-05"/>
      <sheetName val=" PRODU"/>
      <sheetName val="STOCK"/>
      <sheetName val="P-06"/>
      <sheetName val="synthese"/>
      <sheetName val="CRR"/>
      <sheetName val="MVTGEN05"/>
      <sheetName val="_PRODU"/>
      <sheetName val="_PRODU1"/>
      <sheetName val="PR1-2"/>
      <sheetName val="Tableau de bord"/>
      <sheetName val="MOB"/>
      <sheetName val="GASOIL"/>
    </sheetNames>
    <sheetDataSet>
      <sheetData sheetId="0">
        <row r="1">
          <cell r="A1">
            <v>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MP971"/>
      <sheetName val="CAMP972"/>
      <sheetName val="CAMP973 "/>
      <sheetName val="DONGRAPH"/>
      <sheetName val="don_clot"/>
      <sheetName val="GRAPH"/>
      <sheetName val="tresorerie97-98"/>
      <sheetName val="BG3"/>
      <sheetName val="PA3"/>
      <sheetName val="CAMP973_"/>
    </sheetNames>
    <sheetDataSet>
      <sheetData sheetId="0" refreshError="1"/>
      <sheetData sheetId="1" refreshError="1">
        <row r="1">
          <cell r="P1" t="str">
            <v>Annexe 40</v>
          </cell>
          <cell r="AC1" t="str">
            <v>Annexe 41</v>
          </cell>
          <cell r="BA1" t="str">
            <v>Annexe 43</v>
          </cell>
        </row>
        <row r="5">
          <cell r="B5" t="str">
            <v>LIBELLES</v>
          </cell>
          <cell r="C5" t="str">
            <v>EXERCICE 1999</v>
          </cell>
          <cell r="P5" t="str">
            <v>(Valeur = 1 000 DH)</v>
          </cell>
          <cell r="BA5" t="str">
            <v>UNITÉ  : 1 000 DH</v>
          </cell>
        </row>
        <row r="6">
          <cell r="C6" t="str">
            <v>PRÉVU</v>
          </cell>
          <cell r="G6" t="str">
            <v>A FIN SEPTEMBRE 1999</v>
          </cell>
          <cell r="L6" t="str">
            <v>EXERCICE 1999</v>
          </cell>
          <cell r="O6" t="str">
            <v>EXERCICE 2000</v>
          </cell>
          <cell r="AC6" t="str">
            <v>(Valeur = 1 000 DH)</v>
          </cell>
          <cell r="AS6" t="str">
            <v>A FIN SEPTEMBRE 1999</v>
          </cell>
          <cell r="AW6" t="str">
            <v>EXERCICE 1999</v>
          </cell>
          <cell r="AZ6" t="str">
            <v>EXERCICE 2000</v>
          </cell>
        </row>
        <row r="7">
          <cell r="B7" t="str">
            <v>1 - PARITE DU DOLLAR US</v>
          </cell>
          <cell r="C7">
            <v>9</v>
          </cell>
          <cell r="G7" t="str">
            <v>RÉALISE</v>
          </cell>
          <cell r="H7" t="str">
            <v>PRÉVU</v>
          </cell>
          <cell r="I7" t="str">
            <v>INDICE</v>
          </cell>
          <cell r="J7" t="str">
            <v>LIBELLES</v>
          </cell>
          <cell r="L7" t="str">
            <v>CLÔTURE</v>
          </cell>
          <cell r="M7" t="str">
            <v>PRÉVU</v>
          </cell>
          <cell r="N7" t="str">
            <v>INDICE</v>
          </cell>
          <cell r="O7" t="str">
            <v>PRÉVU</v>
          </cell>
          <cell r="P7" t="str">
            <v>INDICE</v>
          </cell>
          <cell r="S7" t="str">
            <v>A FIN SEPTEMBRE 1999</v>
          </cell>
          <cell r="Y7" t="str">
            <v>EXERCICE 1999</v>
          </cell>
          <cell r="AB7" t="str">
            <v>EXERCICE 2000</v>
          </cell>
          <cell r="AS7" t="str">
            <v>RÉALISE</v>
          </cell>
          <cell r="AT7" t="str">
            <v>PRÉVU</v>
          </cell>
          <cell r="AU7" t="str">
            <v>INDICE</v>
          </cell>
          <cell r="AV7" t="str">
            <v>LIBELLES</v>
          </cell>
          <cell r="AW7" t="str">
            <v>CLÔTURE</v>
          </cell>
          <cell r="AX7" t="str">
            <v>PRÉVU</v>
          </cell>
          <cell r="AY7" t="str">
            <v>INDICE</v>
          </cell>
          <cell r="AZ7" t="str">
            <v>PRÉVU</v>
          </cell>
          <cell r="BA7" t="str">
            <v>INDICE</v>
          </cell>
        </row>
        <row r="8">
          <cell r="B8" t="str">
            <v>2 - PRIX D'ACHAT DES MATIÈRES</v>
          </cell>
          <cell r="G8" t="str">
            <v>(a)</v>
          </cell>
          <cell r="H8" t="str">
            <v>(b)</v>
          </cell>
          <cell r="I8" t="str">
            <v>(a/b)</v>
          </cell>
          <cell r="L8" t="str">
            <v>(c)</v>
          </cell>
          <cell r="M8" t="str">
            <v>(d)</v>
          </cell>
          <cell r="N8" t="str">
            <v>(c/d)</v>
          </cell>
          <cell r="O8" t="str">
            <v>(e)</v>
          </cell>
          <cell r="P8" t="str">
            <v>(e/c)</v>
          </cell>
          <cell r="S8" t="str">
            <v>RÉALISE</v>
          </cell>
          <cell r="T8" t="str">
            <v>PRÉVU</v>
          </cell>
          <cell r="U8" t="str">
            <v>INDICE</v>
          </cell>
          <cell r="V8" t="str">
            <v>LIBELLES</v>
          </cell>
          <cell r="Y8" t="str">
            <v>CLÔTURE</v>
          </cell>
          <cell r="Z8" t="str">
            <v>PRÉVU</v>
          </cell>
          <cell r="AA8" t="str">
            <v>INDICE</v>
          </cell>
          <cell r="AB8" t="str">
            <v>PRÉVU</v>
          </cell>
          <cell r="AC8" t="str">
            <v>INDICE</v>
          </cell>
          <cell r="AS8" t="str">
            <v>(a)</v>
          </cell>
          <cell r="AT8" t="str">
            <v>(b)</v>
          </cell>
          <cell r="AU8" t="str">
            <v>(a/b)</v>
          </cell>
          <cell r="AW8" t="str">
            <v>(c)</v>
          </cell>
          <cell r="AX8" t="str">
            <v>(d)</v>
          </cell>
          <cell r="AY8" t="str">
            <v>(c/d)</v>
          </cell>
          <cell r="AZ8" t="str">
            <v>(e)</v>
          </cell>
          <cell r="BA8" t="str">
            <v>(e/c)</v>
          </cell>
        </row>
        <row r="9">
          <cell r="B9" t="str">
            <v xml:space="preserve">     PREMIÈRES ( US$/T C&amp;F)</v>
          </cell>
          <cell r="G9">
            <v>705273</v>
          </cell>
          <cell r="H9">
            <v>794887.85600000003</v>
          </cell>
          <cell r="I9">
            <v>0.8872610075451951</v>
          </cell>
          <cell r="J9" t="str">
            <v>PHOSPHATE</v>
          </cell>
          <cell r="K9" t="str">
            <v>QUANTITÉ</v>
          </cell>
          <cell r="L9">
            <v>885487.7</v>
          </cell>
          <cell r="M9">
            <v>1004160</v>
          </cell>
          <cell r="N9">
            <v>0.88181933158062453</v>
          </cell>
          <cell r="O9">
            <v>1294380</v>
          </cell>
          <cell r="P9">
            <v>1.4617707281535361</v>
          </cell>
          <cell r="S9" t="str">
            <v>(a)</v>
          </cell>
          <cell r="T9" t="str">
            <v>(b)</v>
          </cell>
          <cell r="U9" t="str">
            <v>(a/b)</v>
          </cell>
          <cell r="Y9" t="str">
            <v>(c)</v>
          </cell>
          <cell r="Z9" t="str">
            <v>(d)</v>
          </cell>
          <cell r="AA9" t="str">
            <v>(c/d)</v>
          </cell>
          <cell r="AB9" t="str">
            <v>(e)</v>
          </cell>
          <cell r="AC9" t="str">
            <v>(e/c)</v>
          </cell>
        </row>
        <row r="10">
          <cell r="B10" t="str">
            <v xml:space="preserve">         - Soufre solide</v>
          </cell>
          <cell r="C10">
            <v>50</v>
          </cell>
          <cell r="G10">
            <v>299.87</v>
          </cell>
          <cell r="H10">
            <v>292.02999999999997</v>
          </cell>
          <cell r="I10">
            <v>1.0268465568605967</v>
          </cell>
          <cell r="J10" t="str">
            <v>Y12</v>
          </cell>
          <cell r="K10" t="str">
            <v>P.U</v>
          </cell>
          <cell r="L10">
            <v>298.48540000000003</v>
          </cell>
          <cell r="M10">
            <v>292.02999999999997</v>
          </cell>
          <cell r="N10">
            <v>1.0221052631578948</v>
          </cell>
          <cell r="O10">
            <v>292.02999999999997</v>
          </cell>
          <cell r="P10">
            <v>0.97837281153450029</v>
          </cell>
          <cell r="S10">
            <v>19278</v>
          </cell>
          <cell r="T10">
            <v>22011</v>
          </cell>
          <cell r="U10">
            <v>0.87583480986779338</v>
          </cell>
          <cell r="V10" t="str">
            <v xml:space="preserve"> </v>
          </cell>
          <cell r="X10" t="str">
            <v>QUANTITÉ</v>
          </cell>
          <cell r="Y10">
            <v>25507</v>
          </cell>
          <cell r="Z10">
            <v>29348</v>
          </cell>
          <cell r="AA10">
            <v>0.86912225705329149</v>
          </cell>
          <cell r="AB10">
            <v>20000</v>
          </cell>
          <cell r="AC10">
            <v>0.78409848276943583</v>
          </cell>
          <cell r="AV10" t="str">
            <v xml:space="preserve"> - INTERETS SUR EMPRUNTS :</v>
          </cell>
        </row>
        <row r="11">
          <cell r="B11" t="str">
            <v xml:space="preserve">         - Soufre liquide (DIS DIJ)</v>
          </cell>
          <cell r="C11">
            <v>50</v>
          </cell>
          <cell r="G11">
            <v>211490.21450999999</v>
          </cell>
          <cell r="H11">
            <v>232131.10058767998</v>
          </cell>
          <cell r="I11">
            <v>0.91108091063444741</v>
          </cell>
          <cell r="J11" t="str">
            <v>(MC)</v>
          </cell>
          <cell r="K11" t="str">
            <v>VALEUR</v>
          </cell>
          <cell r="L11">
            <v>264305.15032958001</v>
          </cell>
          <cell r="M11">
            <v>293244.84479999996</v>
          </cell>
          <cell r="N11">
            <v>0.90131217996293334</v>
          </cell>
          <cell r="O11">
            <v>377997.79139999999</v>
          </cell>
          <cell r="P11">
            <v>1.4301567371224091</v>
          </cell>
          <cell r="S11">
            <v>1443.5829340277535</v>
          </cell>
          <cell r="T11">
            <v>1433.56</v>
          </cell>
          <cell r="U11">
            <v>1.0069916390159837</v>
          </cell>
          <cell r="V11" t="str">
            <v>F</v>
          </cell>
          <cell r="W11" t="str">
            <v>MC</v>
          </cell>
          <cell r="X11" t="str">
            <v>P.U</v>
          </cell>
          <cell r="Y11">
            <v>1441.0614457208781</v>
          </cell>
          <cell r="Z11">
            <v>1433.56</v>
          </cell>
          <cell r="AA11">
            <v>1.0052327392790523</v>
          </cell>
          <cell r="AB11">
            <v>1486.8904220485861</v>
          </cell>
          <cell r="AC11">
            <v>1.0318022360974222</v>
          </cell>
          <cell r="AS11" t="str">
            <v>-</v>
          </cell>
          <cell r="AT11" t="str">
            <v>-</v>
          </cell>
          <cell r="AU11" t="str">
            <v>-</v>
          </cell>
          <cell r="AV11" t="str">
            <v xml:space="preserve">         . MC</v>
          </cell>
          <cell r="AW11" t="str">
            <v>-</v>
          </cell>
          <cell r="AX11" t="str">
            <v>-</v>
          </cell>
          <cell r="AY11" t="str">
            <v>-</v>
          </cell>
          <cell r="AZ11" t="str">
            <v>-</v>
          </cell>
          <cell r="BA11" t="str">
            <v>-</v>
          </cell>
        </row>
        <row r="12">
          <cell r="B12" t="str">
            <v xml:space="preserve">         - Soufre liquide (GP )</v>
          </cell>
          <cell r="C12">
            <v>70</v>
          </cell>
          <cell r="G12">
            <v>1339645</v>
          </cell>
          <cell r="H12">
            <v>1516586.8292682925</v>
          </cell>
          <cell r="I12">
            <v>0.88332891605443942</v>
          </cell>
          <cell r="J12" t="str">
            <v>PHOSPHATE</v>
          </cell>
          <cell r="K12" t="str">
            <v>QUANTITÉ</v>
          </cell>
          <cell r="L12">
            <v>1836575.6</v>
          </cell>
          <cell r="M12">
            <v>2044500</v>
          </cell>
          <cell r="N12">
            <v>0.89830061139642947</v>
          </cell>
          <cell r="O12">
            <v>1928850</v>
          </cell>
          <cell r="P12">
            <v>1.0502426363499546</v>
          </cell>
          <cell r="S12">
            <v>27829.391802187034</v>
          </cell>
          <cell r="T12">
            <v>31554.08916</v>
          </cell>
          <cell r="U12">
            <v>0.8819583306960217</v>
          </cell>
          <cell r="X12" t="str">
            <v>VALEUR</v>
          </cell>
          <cell r="Y12">
            <v>36757.154296002438</v>
          </cell>
          <cell r="Z12">
            <v>42072.118879999995</v>
          </cell>
          <cell r="AA12">
            <v>0.87367014722607295</v>
          </cell>
          <cell r="AB12">
            <v>29737.808440971719</v>
          </cell>
          <cell r="AC12">
            <v>0.80903456784209993</v>
          </cell>
          <cell r="AS12">
            <v>1995.6147963603125</v>
          </cell>
          <cell r="AT12">
            <v>4756.5</v>
          </cell>
          <cell r="AU12">
            <v>0.41955530250400769</v>
          </cell>
          <cell r="AV12" t="str">
            <v xml:space="preserve">         . MP I</v>
          </cell>
          <cell r="AW12">
            <v>6218</v>
          </cell>
          <cell r="AX12">
            <v>6342</v>
          </cell>
          <cell r="AY12">
            <v>0.98044780826237776</v>
          </cell>
          <cell r="AZ12">
            <v>5602</v>
          </cell>
          <cell r="BA12">
            <v>0.90093277581215825</v>
          </cell>
        </row>
        <row r="13">
          <cell r="B13" t="str">
            <v xml:space="preserve">         - Acide sulfurique</v>
          </cell>
          <cell r="C13">
            <v>14</v>
          </cell>
          <cell r="G13">
            <v>310.31</v>
          </cell>
          <cell r="H13">
            <v>306.66000000000003</v>
          </cell>
          <cell r="I13">
            <v>1.0119024326615795</v>
          </cell>
          <cell r="J13" t="str">
            <v>Y23</v>
          </cell>
          <cell r="K13" t="str">
            <v>P.U</v>
          </cell>
          <cell r="L13">
            <v>313.43880000000001</v>
          </cell>
          <cell r="M13">
            <v>306.66000000000003</v>
          </cell>
          <cell r="N13">
            <v>1.0221052631578946</v>
          </cell>
          <cell r="O13">
            <v>306.66000000000003</v>
          </cell>
          <cell r="P13">
            <v>0.97837281153450051</v>
          </cell>
          <cell r="S13">
            <v>26039</v>
          </cell>
          <cell r="T13">
            <v>18225</v>
          </cell>
          <cell r="U13">
            <v>1.4287517146776405</v>
          </cell>
          <cell r="V13" t="str">
            <v>U</v>
          </cell>
          <cell r="X13" t="str">
            <v>QUANTITÉ</v>
          </cell>
          <cell r="Y13">
            <v>32114</v>
          </cell>
          <cell r="Z13">
            <v>24300</v>
          </cell>
          <cell r="AA13">
            <v>1.3215637860082305</v>
          </cell>
          <cell r="AB13">
            <v>24300</v>
          </cell>
          <cell r="AC13">
            <v>0.7566793298872766</v>
          </cell>
          <cell r="AS13">
            <v>82472.049079523204</v>
          </cell>
          <cell r="AT13">
            <v>79614.75</v>
          </cell>
          <cell r="AU13">
            <v>1.0358890667812586</v>
          </cell>
          <cell r="AV13" t="str">
            <v xml:space="preserve">         . MP II</v>
          </cell>
          <cell r="AW13">
            <v>104824</v>
          </cell>
          <cell r="AX13">
            <v>106153</v>
          </cell>
          <cell r="AY13">
            <v>0.98748033498817744</v>
          </cell>
          <cell r="AZ13">
            <v>84191</v>
          </cell>
          <cell r="BA13">
            <v>0.80316530565519351</v>
          </cell>
        </row>
        <row r="14">
          <cell r="B14" t="str">
            <v xml:space="preserve">         - Acide sulfurique chez GP (FF/T C&amp;F)</v>
          </cell>
          <cell r="C14">
            <v>60</v>
          </cell>
          <cell r="G14">
            <v>415705.23994999996</v>
          </cell>
          <cell r="H14">
            <v>465076.51706341462</v>
          </cell>
          <cell r="I14">
            <v>0.89384267899580327</v>
          </cell>
          <cell r="J14" t="str">
            <v>(MP I)</v>
          </cell>
          <cell r="K14" t="str">
            <v>VALEUR</v>
          </cell>
          <cell r="L14">
            <v>575654.05217328004</v>
          </cell>
          <cell r="M14">
            <v>626966.37</v>
          </cell>
          <cell r="N14">
            <v>0.91815778280624527</v>
          </cell>
          <cell r="O14">
            <v>591501.14099999995</v>
          </cell>
          <cell r="P14">
            <v>1.027528840919111</v>
          </cell>
          <cell r="S14">
            <v>1443.5829340277535</v>
          </cell>
          <cell r="T14">
            <v>1433.56</v>
          </cell>
          <cell r="U14">
            <v>1.0069916390159837</v>
          </cell>
          <cell r="V14" t="str">
            <v xml:space="preserve">     </v>
          </cell>
          <cell r="W14" t="str">
            <v>MP I</v>
          </cell>
          <cell r="X14" t="str">
            <v>P.U</v>
          </cell>
          <cell r="Y14">
            <v>1441.0614457208781</v>
          </cell>
          <cell r="Z14">
            <v>1433.56</v>
          </cell>
          <cell r="AA14">
            <v>1.0052327392790523</v>
          </cell>
          <cell r="AB14">
            <v>1486.8904220485861</v>
          </cell>
          <cell r="AC14">
            <v>1.0318022360974222</v>
          </cell>
          <cell r="AS14">
            <v>33631.376124116468</v>
          </cell>
          <cell r="AT14">
            <v>37451.25</v>
          </cell>
          <cell r="AU14">
            <v>0.89800410197567415</v>
          </cell>
          <cell r="AV14" t="str">
            <v xml:space="preserve">         . MP III &amp; IV</v>
          </cell>
          <cell r="AW14">
            <v>50595</v>
          </cell>
          <cell r="AX14">
            <v>49935</v>
          </cell>
          <cell r="AY14">
            <v>1.0132171823370382</v>
          </cell>
          <cell r="AZ14">
            <v>51882</v>
          </cell>
          <cell r="BA14">
            <v>1.0254372961755114</v>
          </cell>
        </row>
        <row r="15">
          <cell r="B15" t="str">
            <v xml:space="preserve">         - Acide sulfurique Swap (FF/T C&amp;F)</v>
          </cell>
          <cell r="C15" t="str">
            <v>-</v>
          </cell>
          <cell r="G15">
            <v>1927594</v>
          </cell>
          <cell r="H15">
            <v>2222403</v>
          </cell>
          <cell r="I15">
            <v>0.86734674134259182</v>
          </cell>
          <cell r="J15" t="str">
            <v>PHOSPHATE</v>
          </cell>
          <cell r="K15" t="str">
            <v>QUANTITÉ</v>
          </cell>
          <cell r="L15">
            <v>2664000.260119</v>
          </cell>
          <cell r="M15">
            <v>2970600</v>
          </cell>
          <cell r="N15">
            <v>0.89678861513465291</v>
          </cell>
          <cell r="O15">
            <v>2716535.4330708659</v>
          </cell>
          <cell r="P15">
            <v>1.0197204083416715</v>
          </cell>
          <cell r="S15">
            <v>37589.456019148667</v>
          </cell>
          <cell r="T15">
            <v>26126.631000000001</v>
          </cell>
          <cell r="U15">
            <v>1.4387410309101341</v>
          </cell>
          <cell r="V15" t="str">
            <v>E</v>
          </cell>
          <cell r="X15" t="str">
            <v>VALEUR</v>
          </cell>
          <cell r="Y15">
            <v>46278.247267880273</v>
          </cell>
          <cell r="Z15">
            <v>34835.508000000002</v>
          </cell>
          <cell r="AA15">
            <v>1.3284791847410484</v>
          </cell>
          <cell r="AB15">
            <v>36131.437255780642</v>
          </cell>
          <cell r="AC15">
            <v>0.78074342458639112</v>
          </cell>
          <cell r="AS15">
            <v>118099.03999999998</v>
          </cell>
          <cell r="AT15">
            <v>121822.5</v>
          </cell>
          <cell r="AU15">
            <v>0.96943536702989985</v>
          </cell>
          <cell r="AV15" t="str">
            <v>S / TOTAL</v>
          </cell>
          <cell r="AW15">
            <v>161637</v>
          </cell>
          <cell r="AX15">
            <v>162430</v>
          </cell>
          <cell r="AY15">
            <v>0.99511789694022035</v>
          </cell>
          <cell r="AZ15">
            <v>141675</v>
          </cell>
          <cell r="BA15">
            <v>0.87650104864604017</v>
          </cell>
        </row>
        <row r="16">
          <cell r="B16" t="str">
            <v xml:space="preserve">         - Acide sulfurique Swap (DH/T C&amp;F)</v>
          </cell>
          <cell r="C16" t="str">
            <v>-</v>
          </cell>
          <cell r="G16">
            <v>124.24</v>
          </cell>
          <cell r="H16">
            <v>121.22</v>
          </cell>
          <cell r="I16">
            <v>1.0249133806302591</v>
          </cell>
          <cell r="J16" t="str">
            <v>BG</v>
          </cell>
          <cell r="K16" t="str">
            <v>P.U</v>
          </cell>
          <cell r="L16">
            <v>123.89960000000001</v>
          </cell>
          <cell r="M16">
            <v>121.22</v>
          </cell>
          <cell r="N16">
            <v>1.0221052631578948</v>
          </cell>
          <cell r="O16">
            <v>121.22</v>
          </cell>
          <cell r="P16">
            <v>0.97837281153450051</v>
          </cell>
          <cell r="S16">
            <v>10351</v>
          </cell>
          <cell r="T16">
            <v>6990</v>
          </cell>
          <cell r="U16">
            <v>1.4808297567954221</v>
          </cell>
          <cell r="V16" t="str">
            <v xml:space="preserve"> </v>
          </cell>
          <cell r="X16" t="str">
            <v>QUANTITÉ</v>
          </cell>
          <cell r="Y16">
            <v>12681</v>
          </cell>
          <cell r="Z16">
            <v>9320</v>
          </cell>
          <cell r="AA16">
            <v>1.3606223175965666</v>
          </cell>
          <cell r="AB16">
            <v>9300</v>
          </cell>
          <cell r="AC16">
            <v>0.73338064821386328</v>
          </cell>
        </row>
        <row r="17">
          <cell r="B17" t="str">
            <v xml:space="preserve">         - Ammoniac</v>
          </cell>
          <cell r="C17">
            <v>150</v>
          </cell>
          <cell r="G17">
            <v>239484.27856000001</v>
          </cell>
          <cell r="H17">
            <v>269399.69166000001</v>
          </cell>
          <cell r="I17">
            <v>0.88895528084807462</v>
          </cell>
          <cell r="J17" t="str">
            <v>(MP II)</v>
          </cell>
          <cell r="K17" t="str">
            <v>VALEUR</v>
          </cell>
          <cell r="L17">
            <v>330068.56662864005</v>
          </cell>
          <cell r="M17">
            <v>360096.13199999998</v>
          </cell>
          <cell r="N17">
            <v>0.91661236346920849</v>
          </cell>
          <cell r="O17">
            <v>329298.42519685038</v>
          </cell>
          <cell r="P17">
            <v>0.99766672288835012</v>
          </cell>
          <cell r="S17">
            <v>1443.5829340277535</v>
          </cell>
          <cell r="T17">
            <v>1433.56</v>
          </cell>
          <cell r="U17">
            <v>1.0069916390159837</v>
          </cell>
          <cell r="V17" t="str">
            <v>L</v>
          </cell>
          <cell r="W17" t="str">
            <v>MP II</v>
          </cell>
          <cell r="X17" t="str">
            <v>P.U</v>
          </cell>
          <cell r="Y17">
            <v>1441.0614457208781</v>
          </cell>
          <cell r="Z17">
            <v>1433.56</v>
          </cell>
          <cell r="AA17">
            <v>1.0052327392790523</v>
          </cell>
          <cell r="AB17">
            <v>1486.8904220485861</v>
          </cell>
          <cell r="AC17">
            <v>1.0318022360974222</v>
          </cell>
          <cell r="AS17">
            <v>4267.8999999999996</v>
          </cell>
          <cell r="AT17">
            <v>22500</v>
          </cell>
          <cell r="AU17">
            <v>0.18968444444444443</v>
          </cell>
          <cell r="AV17" t="str">
            <v xml:space="preserve"> - AGIOS SUR DECOUVERTS ET</v>
          </cell>
          <cell r="AW17">
            <v>30000</v>
          </cell>
          <cell r="AX17">
            <v>30000</v>
          </cell>
          <cell r="AY17">
            <v>1</v>
          </cell>
          <cell r="AZ17">
            <v>30000</v>
          </cell>
          <cell r="BA17">
            <v>1</v>
          </cell>
        </row>
        <row r="18">
          <cell r="B18" t="str">
            <v xml:space="preserve">         - KCL</v>
          </cell>
          <cell r="C18">
            <v>125</v>
          </cell>
          <cell r="G18">
            <v>4074785</v>
          </cell>
          <cell r="H18">
            <v>4082071.55</v>
          </cell>
          <cell r="I18">
            <v>0.99821498719198098</v>
          </cell>
          <cell r="J18" t="str">
            <v>PHOSPHATE</v>
          </cell>
          <cell r="K18" t="str">
            <v>QUANTITÉ</v>
          </cell>
          <cell r="L18">
            <v>5439000</v>
          </cell>
          <cell r="M18">
            <v>5472000</v>
          </cell>
          <cell r="N18">
            <v>0.99396929824561409</v>
          </cell>
          <cell r="O18">
            <v>5756400</v>
          </cell>
          <cell r="P18">
            <v>1.0583563154991726</v>
          </cell>
          <cell r="S18">
            <v>14942.526950121277</v>
          </cell>
          <cell r="T18">
            <v>10020.5844</v>
          </cell>
          <cell r="U18">
            <v>1.4911831838990626</v>
          </cell>
          <cell r="X18" t="str">
            <v>VALEUR</v>
          </cell>
          <cell r="Y18">
            <v>18274.100193186456</v>
          </cell>
          <cell r="Z18">
            <v>13360.779199999999</v>
          </cell>
          <cell r="AA18">
            <v>1.3677420994418092</v>
          </cell>
          <cell r="AB18">
            <v>13828.08092505185</v>
          </cell>
          <cell r="AC18">
            <v>0.7567037927376411</v>
          </cell>
          <cell r="AV18" t="str">
            <v xml:space="preserve">   AUTRES FRAIS FINANCIERS</v>
          </cell>
        </row>
        <row r="19">
          <cell r="B19" t="str">
            <v xml:space="preserve">         - K2SO4  (DH/T)</v>
          </cell>
          <cell r="C19" t="str">
            <v>-</v>
          </cell>
          <cell r="G19">
            <v>300.10256411431862</v>
          </cell>
          <cell r="H19">
            <v>292.315</v>
          </cell>
          <cell r="I19">
            <v>1.0266410006818625</v>
          </cell>
          <cell r="J19" t="str">
            <v>K09</v>
          </cell>
          <cell r="K19" t="str">
            <v>P.U</v>
          </cell>
          <cell r="L19">
            <v>298.77670000000001</v>
          </cell>
          <cell r="M19">
            <v>292.315</v>
          </cell>
          <cell r="N19">
            <v>1.0221052631578948</v>
          </cell>
          <cell r="O19">
            <v>292.315</v>
          </cell>
          <cell r="P19">
            <v>0.97837281153450051</v>
          </cell>
          <cell r="S19">
            <v>11540.390999999998</v>
          </cell>
          <cell r="T19">
            <v>8909.1779999999981</v>
          </cell>
          <cell r="U19">
            <v>1.2953373476206222</v>
          </cell>
          <cell r="V19" t="str">
            <v>( T )</v>
          </cell>
          <cell r="X19" t="str">
            <v>QUANTITÉ</v>
          </cell>
          <cell r="Y19">
            <v>15419.5047130114</v>
          </cell>
          <cell r="Z19">
            <v>29828</v>
          </cell>
          <cell r="AA19">
            <v>0.51694732174505165</v>
          </cell>
          <cell r="AB19">
            <v>16500.024999999998</v>
          </cell>
          <cell r="AC19">
            <v>1.0700749023460414</v>
          </cell>
          <cell r="AS19">
            <v>416760.02</v>
          </cell>
          <cell r="AT19">
            <v>30831.75</v>
          </cell>
          <cell r="AU19">
            <v>13.517235317489277</v>
          </cell>
          <cell r="AV19" t="str">
            <v xml:space="preserve"> - DOTATIONS FINANCIERES</v>
          </cell>
          <cell r="AW19">
            <v>416760.02</v>
          </cell>
          <cell r="AX19">
            <v>41109</v>
          </cell>
          <cell r="AY19">
            <v>10.137926488116959</v>
          </cell>
          <cell r="AZ19">
            <v>53760.020000000019</v>
          </cell>
          <cell r="BA19">
            <v>0.12899514689532843</v>
          </cell>
        </row>
        <row r="20">
          <cell r="B20" t="str">
            <v xml:space="preserve">         - NH4NO3  (DH/T)</v>
          </cell>
          <cell r="C20" t="str">
            <v>-</v>
          </cell>
          <cell r="G20">
            <v>1222853.4267145637</v>
          </cell>
          <cell r="H20">
            <v>1193250.7451382498</v>
          </cell>
          <cell r="I20">
            <v>1.024808433346408</v>
          </cell>
          <cell r="J20" t="str">
            <v>(MP III &amp; IV)</v>
          </cell>
          <cell r="K20" t="str">
            <v>VALEUR</v>
          </cell>
          <cell r="L20">
            <v>1625046.4712999999</v>
          </cell>
          <cell r="M20">
            <v>1599547.68</v>
          </cell>
          <cell r="N20">
            <v>1.0159412511542012</v>
          </cell>
          <cell r="O20">
            <v>1682682.0660000001</v>
          </cell>
          <cell r="P20">
            <v>1.0354670440002205</v>
          </cell>
          <cell r="S20">
            <v>1443.5829340277535</v>
          </cell>
          <cell r="T20">
            <v>1433.56</v>
          </cell>
          <cell r="U20">
            <v>1.0069916390159837</v>
          </cell>
          <cell r="V20" t="str">
            <v xml:space="preserve">     </v>
          </cell>
          <cell r="W20" t="str">
            <v>MP III &amp; IV</v>
          </cell>
          <cell r="X20" t="str">
            <v>P.U</v>
          </cell>
          <cell r="Y20">
            <v>1441.0614457208781</v>
          </cell>
          <cell r="Z20">
            <v>1433.56</v>
          </cell>
          <cell r="AA20">
            <v>1.0052327392790523</v>
          </cell>
          <cell r="AB20">
            <v>1486.8904220485861</v>
          </cell>
          <cell r="AC20">
            <v>1.0318022360974222</v>
          </cell>
          <cell r="AS20">
            <v>54935.823910000006</v>
          </cell>
          <cell r="AT20">
            <v>44141.149769152958</v>
          </cell>
          <cell r="AU20">
            <v>1.244549002400265</v>
          </cell>
          <cell r="AV20" t="str">
            <v xml:space="preserve"> - PERTES DE CHANGE</v>
          </cell>
          <cell r="AW20">
            <v>54935.823910000006</v>
          </cell>
          <cell r="AX20">
            <v>58854.866358870611</v>
          </cell>
          <cell r="AY20">
            <v>0.93341175180019886</v>
          </cell>
          <cell r="AZ20">
            <v>15228</v>
          </cell>
          <cell r="BA20">
            <v>0.27719617029768506</v>
          </cell>
        </row>
        <row r="21">
          <cell r="B21" t="str">
            <v xml:space="preserve">3 - PRIX D'ACHAT DU PHOSPHATE </v>
          </cell>
          <cell r="G21">
            <v>446072</v>
          </cell>
          <cell r="H21">
            <v>456750</v>
          </cell>
          <cell r="I21">
            <v>0.97662178434592228</v>
          </cell>
          <cell r="J21" t="str">
            <v>PHOSPHATE</v>
          </cell>
          <cell r="K21" t="str">
            <v>QUANTITÉ</v>
          </cell>
          <cell r="L21">
            <v>609000</v>
          </cell>
          <cell r="M21">
            <v>609000</v>
          </cell>
          <cell r="N21">
            <v>1</v>
          </cell>
          <cell r="O21">
            <v>609455</v>
          </cell>
          <cell r="P21">
            <v>1.0007471264367815</v>
          </cell>
          <cell r="S21">
            <v>16659.511499607477</v>
          </cell>
          <cell r="T21">
            <v>12771.841213679998</v>
          </cell>
          <cell r="U21">
            <v>1.3043938787591074</v>
          </cell>
          <cell r="X21" t="str">
            <v>VALEUR</v>
          </cell>
          <cell r="Y21">
            <v>22220.4537540321</v>
          </cell>
          <cell r="Z21">
            <v>42760.227679999996</v>
          </cell>
          <cell r="AA21">
            <v>0.51965237230074779</v>
          </cell>
          <cell r="AB21">
            <v>24533.729136062218</v>
          </cell>
          <cell r="AC21">
            <v>1.1041056770323763</v>
          </cell>
          <cell r="AV21" t="str">
            <v xml:space="preserve"> - CHARGES FINANCIÈRES SUR</v>
          </cell>
        </row>
        <row r="22">
          <cell r="B22" t="str">
            <v xml:space="preserve">     (Départ mines)</v>
          </cell>
          <cell r="G22">
            <v>370.62</v>
          </cell>
          <cell r="H22">
            <v>366.13</v>
          </cell>
          <cell r="I22">
            <v>1.0122634037090652</v>
          </cell>
          <cell r="J22" t="str">
            <v>K20 + PB</v>
          </cell>
          <cell r="K22" t="str">
            <v>P.U</v>
          </cell>
          <cell r="L22">
            <v>374.22340000000003</v>
          </cell>
          <cell r="M22">
            <v>366.13</v>
          </cell>
          <cell r="N22">
            <v>1.0221052631578948</v>
          </cell>
          <cell r="O22">
            <v>366.13</v>
          </cell>
          <cell r="P22">
            <v>0.9783728115345004</v>
          </cell>
          <cell r="S22">
            <v>3414694</v>
          </cell>
          <cell r="T22">
            <v>3003675</v>
          </cell>
          <cell r="U22">
            <v>1.1368387059185832</v>
          </cell>
          <cell r="V22" t="str">
            <v xml:space="preserve"> </v>
          </cell>
          <cell r="X22" t="str">
            <v>QUANTITÉ</v>
          </cell>
          <cell r="Y22">
            <v>4415920</v>
          </cell>
          <cell r="Z22">
            <v>4004900</v>
          </cell>
          <cell r="AA22">
            <v>1.1026292791330621</v>
          </cell>
          <cell r="AB22">
            <v>4000000</v>
          </cell>
          <cell r="AC22">
            <v>0.90581351111433173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 xml:space="preserve">   EXERCICES ANTÉRIEURS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</row>
        <row r="23">
          <cell r="B23" t="str">
            <v xml:space="preserve">         * K10</v>
          </cell>
          <cell r="C23" t="str">
            <v>-</v>
          </cell>
          <cell r="G23">
            <v>165323.20464000001</v>
          </cell>
          <cell r="H23">
            <v>167229.8775</v>
          </cell>
          <cell r="I23">
            <v>0.98859849155842383</v>
          </cell>
          <cell r="J23" t="str">
            <v>(MP/GP)</v>
          </cell>
          <cell r="K23" t="str">
            <v>VALEUR</v>
          </cell>
          <cell r="L23">
            <v>227902.05060000002</v>
          </cell>
          <cell r="M23">
            <v>222973.17</v>
          </cell>
          <cell r="N23">
            <v>1.0221052631578948</v>
          </cell>
          <cell r="O23">
            <v>223139.75915</v>
          </cell>
          <cell r="P23">
            <v>0.97910377972702622</v>
          </cell>
          <cell r="S23">
            <v>0.19</v>
          </cell>
          <cell r="T23">
            <v>0.19400000000000001</v>
          </cell>
          <cell r="U23">
            <v>0.97938144329896903</v>
          </cell>
          <cell r="W23" t="str">
            <v>MC</v>
          </cell>
          <cell r="X23" t="str">
            <v>P.U</v>
          </cell>
          <cell r="Y23">
            <v>0.19400000000000001</v>
          </cell>
          <cell r="Z23">
            <v>0.19400000000000001</v>
          </cell>
          <cell r="AA23">
            <v>1</v>
          </cell>
          <cell r="AB23">
            <v>0.19500000000000001</v>
          </cell>
          <cell r="AC23">
            <v>1.0051546391752577</v>
          </cell>
        </row>
        <row r="24">
          <cell r="B24" t="str">
            <v xml:space="preserve">         * Y1 </v>
          </cell>
          <cell r="C24">
            <v>30.74</v>
          </cell>
          <cell r="G24">
            <v>2032808.243</v>
          </cell>
          <cell r="H24">
            <v>2039674</v>
          </cell>
          <cell r="I24">
            <v>0.99663389492634613</v>
          </cell>
          <cell r="J24">
            <v>0</v>
          </cell>
          <cell r="K24" t="str">
            <v>QUANTITÉ</v>
          </cell>
          <cell r="L24">
            <v>2855878.826481096</v>
          </cell>
          <cell r="M24">
            <v>2915930.42</v>
          </cell>
          <cell r="N24">
            <v>0.97940568365177105</v>
          </cell>
          <cell r="O24">
            <v>3332876.4263005736</v>
          </cell>
          <cell r="P24">
            <v>1.1670230527277712</v>
          </cell>
          <cell r="S24">
            <v>648.79186000000004</v>
          </cell>
          <cell r="T24">
            <v>582.71295000000009</v>
          </cell>
          <cell r="U24">
            <v>1.113398732600674</v>
          </cell>
          <cell r="X24" t="str">
            <v>VALEUR</v>
          </cell>
          <cell r="Y24">
            <v>856.68848000000003</v>
          </cell>
          <cell r="Z24">
            <v>776.95060000000001</v>
          </cell>
          <cell r="AA24">
            <v>1.1026292791330621</v>
          </cell>
          <cell r="AB24">
            <v>780</v>
          </cell>
          <cell r="AC24">
            <v>0.91048265292419939</v>
          </cell>
        </row>
        <row r="25">
          <cell r="B25" t="str">
            <v xml:space="preserve">         * Y12</v>
          </cell>
          <cell r="C25">
            <v>30.74</v>
          </cell>
          <cell r="G25">
            <v>330.76639999999998</v>
          </cell>
          <cell r="H25">
            <v>475</v>
          </cell>
          <cell r="I25">
            <v>0.6963503157894736</v>
          </cell>
          <cell r="J25" t="str">
            <v>SOUFRE</v>
          </cell>
          <cell r="K25" t="str">
            <v>P.U</v>
          </cell>
          <cell r="L25">
            <v>398.11</v>
          </cell>
          <cell r="M25">
            <v>475</v>
          </cell>
          <cell r="N25">
            <v>0.83812631578947372</v>
          </cell>
          <cell r="O25">
            <v>522.5</v>
          </cell>
          <cell r="P25">
            <v>1.3124513325462812</v>
          </cell>
          <cell r="S25">
            <v>7570943</v>
          </cell>
          <cell r="T25">
            <v>7125000</v>
          </cell>
          <cell r="U25">
            <v>1.0625884912280701</v>
          </cell>
          <cell r="V25" t="str">
            <v>EAU</v>
          </cell>
          <cell r="X25" t="str">
            <v>QUANTITÉ</v>
          </cell>
          <cell r="Y25">
            <v>9945940</v>
          </cell>
          <cell r="Z25">
            <v>9500000</v>
          </cell>
          <cell r="AA25">
            <v>1.046941052631579</v>
          </cell>
          <cell r="AB25">
            <v>9500000</v>
          </cell>
          <cell r="AC25">
            <v>0.95516361449998688</v>
          </cell>
          <cell r="AS25">
            <v>594062.78391</v>
          </cell>
          <cell r="AT25">
            <v>219295.39976915295</v>
          </cell>
          <cell r="AU25">
            <v>2.7089614489649838</v>
          </cell>
          <cell r="AV25" t="str">
            <v>TOTAL</v>
          </cell>
          <cell r="AW25">
            <v>663332.84391000005</v>
          </cell>
          <cell r="AX25">
            <v>292393.86635887064</v>
          </cell>
          <cell r="AY25">
            <v>2.2686277662741947</v>
          </cell>
          <cell r="AZ25">
            <v>240663.02000000002</v>
          </cell>
          <cell r="BA25">
            <v>0.36280884055343532</v>
          </cell>
        </row>
        <row r="26">
          <cell r="B26" t="str">
            <v xml:space="preserve">         * Y2 </v>
          </cell>
          <cell r="C26">
            <v>32.28</v>
          </cell>
          <cell r="G26">
            <v>672384.66442743514</v>
          </cell>
          <cell r="H26">
            <v>968845.15</v>
          </cell>
          <cell r="I26">
            <v>0.69400632745845414</v>
          </cell>
          <cell r="K26" t="str">
            <v>VALEUR</v>
          </cell>
          <cell r="L26">
            <v>1136953.9196103893</v>
          </cell>
          <cell r="M26">
            <v>1385066.9495000001</v>
          </cell>
          <cell r="N26">
            <v>0.82086567730232973</v>
          </cell>
          <cell r="O26">
            <v>1741427.9327420497</v>
          </cell>
          <cell r="P26">
            <v>1.5316609606647922</v>
          </cell>
          <cell r="S26">
            <v>0.19</v>
          </cell>
          <cell r="T26">
            <v>0.19400000000000001</v>
          </cell>
          <cell r="U26">
            <v>0.97938144329896903</v>
          </cell>
          <cell r="W26" t="str">
            <v>MP I</v>
          </cell>
          <cell r="X26" t="str">
            <v>P.U</v>
          </cell>
          <cell r="Y26">
            <v>0.19400000000000001</v>
          </cell>
          <cell r="Z26">
            <v>0.19400000000000001</v>
          </cell>
          <cell r="AA26">
            <v>1</v>
          </cell>
          <cell r="AB26">
            <v>0.19500000000000001</v>
          </cell>
          <cell r="AC26">
            <v>1.0051546391752577</v>
          </cell>
        </row>
        <row r="27">
          <cell r="B27" t="str">
            <v xml:space="preserve">         * Y23</v>
          </cell>
          <cell r="C27">
            <v>32.28</v>
          </cell>
          <cell r="G27">
            <v>112232</v>
          </cell>
          <cell r="H27">
            <v>120000</v>
          </cell>
          <cell r="I27">
            <v>0.93526666666666669</v>
          </cell>
          <cell r="J27">
            <v>0</v>
          </cell>
          <cell r="K27" t="str">
            <v>QUANTITÉ</v>
          </cell>
          <cell r="L27">
            <v>157000</v>
          </cell>
          <cell r="M27">
            <v>160000</v>
          </cell>
          <cell r="N27">
            <v>0.98124999999999996</v>
          </cell>
          <cell r="O27">
            <v>167124</v>
          </cell>
          <cell r="P27">
            <v>1.0644840764331209</v>
          </cell>
          <cell r="S27">
            <v>1438.4791699999998</v>
          </cell>
          <cell r="T27">
            <v>1382.25</v>
          </cell>
          <cell r="U27">
            <v>1.0406794501718213</v>
          </cell>
          <cell r="V27" t="str">
            <v>BRUTE</v>
          </cell>
          <cell r="X27" t="str">
            <v>VALEUR</v>
          </cell>
          <cell r="Y27">
            <v>1929.5123600000002</v>
          </cell>
          <cell r="Z27">
            <v>1843</v>
          </cell>
          <cell r="AA27">
            <v>1.046941052631579</v>
          </cell>
          <cell r="AB27">
            <v>1852.5</v>
          </cell>
          <cell r="AC27">
            <v>0.96008713828606929</v>
          </cell>
        </row>
        <row r="28">
          <cell r="B28" t="str">
            <v xml:space="preserve">         * Y29</v>
          </cell>
          <cell r="C28">
            <v>31.88</v>
          </cell>
          <cell r="G28">
            <v>591.47266376790935</v>
          </cell>
          <cell r="H28">
            <v>665</v>
          </cell>
          <cell r="I28">
            <v>0.88943257709460055</v>
          </cell>
          <cell r="J28" t="str">
            <v>SOUFRE (MP/GP)</v>
          </cell>
          <cell r="K28" t="str">
            <v>P.U</v>
          </cell>
          <cell r="L28">
            <v>576.96820000000002</v>
          </cell>
          <cell r="M28">
            <v>665</v>
          </cell>
          <cell r="N28">
            <v>0.86762135338345869</v>
          </cell>
          <cell r="O28">
            <v>712.5</v>
          </cell>
          <cell r="P28">
            <v>1.2349034140876394</v>
          </cell>
          <cell r="S28">
            <v>5824577</v>
          </cell>
          <cell r="T28">
            <v>5937675</v>
          </cell>
          <cell r="U28">
            <v>0.980952477190146</v>
          </cell>
          <cell r="X28" t="str">
            <v>QUANTITÉ</v>
          </cell>
          <cell r="Y28">
            <v>7803800</v>
          </cell>
          <cell r="Z28">
            <v>7916900</v>
          </cell>
          <cell r="AA28">
            <v>0.98571410526847625</v>
          </cell>
          <cell r="AB28">
            <v>7800000</v>
          </cell>
          <cell r="AC28">
            <v>0.99951305774110044</v>
          </cell>
        </row>
        <row r="29">
          <cell r="B29" t="str">
            <v xml:space="preserve">         * K09</v>
          </cell>
          <cell r="C29">
            <v>30.77</v>
          </cell>
          <cell r="G29">
            <v>66382.16</v>
          </cell>
          <cell r="H29">
            <v>79800</v>
          </cell>
          <cell r="I29">
            <v>0.83185664160401007</v>
          </cell>
          <cell r="K29" t="str">
            <v>VALEUR</v>
          </cell>
          <cell r="L29">
            <v>90584.007400000002</v>
          </cell>
          <cell r="M29">
            <v>106400</v>
          </cell>
          <cell r="N29">
            <v>0.85135345300751886</v>
          </cell>
          <cell r="O29">
            <v>119075.85</v>
          </cell>
          <cell r="P29">
            <v>1.314535020229189</v>
          </cell>
          <cell r="S29">
            <v>0.19</v>
          </cell>
          <cell r="T29">
            <v>0.19400000000000001</v>
          </cell>
          <cell r="U29">
            <v>0.97938144329896903</v>
          </cell>
          <cell r="V29" t="str">
            <v>( m3 )</v>
          </cell>
          <cell r="W29" t="str">
            <v>MP II</v>
          </cell>
          <cell r="X29" t="str">
            <v>P.U</v>
          </cell>
          <cell r="Y29">
            <v>0.19400000000000001</v>
          </cell>
          <cell r="Z29">
            <v>0.19400000000000001</v>
          </cell>
          <cell r="AA29">
            <v>1</v>
          </cell>
          <cell r="AB29">
            <v>0.19500000000000001</v>
          </cell>
          <cell r="AC29">
            <v>1.0051546391752577</v>
          </cell>
        </row>
        <row r="30">
          <cell r="B30" t="str">
            <v xml:space="preserve">         * BG</v>
          </cell>
          <cell r="C30">
            <v>12.76</v>
          </cell>
          <cell r="G30">
            <v>175850.701</v>
          </cell>
          <cell r="H30">
            <v>60000</v>
          </cell>
          <cell r="I30">
            <v>2.9308450166666669</v>
          </cell>
          <cell r="J30">
            <v>0</v>
          </cell>
          <cell r="K30" t="str">
            <v>QUANTITÉ</v>
          </cell>
          <cell r="L30">
            <v>204303</v>
          </cell>
          <cell r="M30">
            <v>60000</v>
          </cell>
          <cell r="N30">
            <v>3.4050500000000001</v>
          </cell>
          <cell r="O30" t="str">
            <v>-</v>
          </cell>
          <cell r="P30" t="str">
            <v>-</v>
          </cell>
          <cell r="S30">
            <v>1106.6696300000001</v>
          </cell>
          <cell r="T30">
            <v>1151.90895</v>
          </cell>
          <cell r="U30">
            <v>0.96072665291818427</v>
          </cell>
          <cell r="X30" t="str">
            <v>VALEUR</v>
          </cell>
          <cell r="Y30">
            <v>1513.9371999999998</v>
          </cell>
          <cell r="Z30">
            <v>1535.8786</v>
          </cell>
          <cell r="AA30">
            <v>0.98571410526847625</v>
          </cell>
          <cell r="AB30">
            <v>1521</v>
          </cell>
          <cell r="AC30">
            <v>1.0046651869047145</v>
          </cell>
        </row>
        <row r="31">
          <cell r="B31" t="str">
            <v xml:space="preserve">         * K20 (G P)</v>
          </cell>
          <cell r="C31">
            <v>38.54</v>
          </cell>
          <cell r="G31">
            <v>133.70103762703451</v>
          </cell>
          <cell r="H31">
            <v>133</v>
          </cell>
          <cell r="I31">
            <v>1.0052709596017633</v>
          </cell>
          <cell r="J31" t="str">
            <v>ACIDE SULFURIQUE</v>
          </cell>
          <cell r="K31" t="str">
            <v>P.U</v>
          </cell>
          <cell r="L31">
            <v>135.94</v>
          </cell>
          <cell r="M31">
            <v>133</v>
          </cell>
          <cell r="N31">
            <v>1.0221052631578946</v>
          </cell>
          <cell r="O31" t="str">
            <v>-</v>
          </cell>
          <cell r="P31" t="str">
            <v>-</v>
          </cell>
          <cell r="S31">
            <v>14167363</v>
          </cell>
          <cell r="T31">
            <v>14281550</v>
          </cell>
          <cell r="U31">
            <v>0.99200457933487607</v>
          </cell>
          <cell r="X31" t="str">
            <v>QUANTITÉ</v>
          </cell>
          <cell r="Y31">
            <v>19643000</v>
          </cell>
          <cell r="Z31">
            <v>19094378</v>
          </cell>
          <cell r="AA31">
            <v>1.0287321220937389</v>
          </cell>
          <cell r="AB31">
            <v>23128000.000000004</v>
          </cell>
          <cell r="AC31">
            <v>1.1774168915135164</v>
          </cell>
          <cell r="BA31" t="str">
            <v>UNITÉ  : 1 000 DH</v>
          </cell>
        </row>
        <row r="32">
          <cell r="B32" t="str">
            <v>4 - PRIX DE VENTE A L'EXPORT (US$/T)</v>
          </cell>
          <cell r="G32">
            <v>23511.421191141395</v>
          </cell>
          <cell r="H32">
            <v>7980</v>
          </cell>
          <cell r="I32">
            <v>2.9462933823485455</v>
          </cell>
          <cell r="K32" t="str">
            <v>VALEUR</v>
          </cell>
          <cell r="L32">
            <v>27772.949820000002</v>
          </cell>
          <cell r="M32">
            <v>7980</v>
          </cell>
          <cell r="N32">
            <v>3.4803195263157898</v>
          </cell>
          <cell r="O32" t="str">
            <v>-</v>
          </cell>
          <cell r="P32" t="str">
            <v>-</v>
          </cell>
          <cell r="S32">
            <v>3.5015475720666851</v>
          </cell>
          <cell r="T32">
            <v>3.4206499999999997</v>
          </cell>
          <cell r="U32">
            <v>1.0236497659996449</v>
          </cell>
          <cell r="V32" t="str">
            <v xml:space="preserve">     </v>
          </cell>
          <cell r="W32" t="str">
            <v>MP III &amp; IV</v>
          </cell>
          <cell r="X32" t="str">
            <v>P.U</v>
          </cell>
          <cell r="Y32">
            <v>3.589905052869717</v>
          </cell>
          <cell r="Z32">
            <v>3.4206499999999997</v>
          </cell>
          <cell r="AA32">
            <v>1.0494803773755623</v>
          </cell>
          <cell r="AB32">
            <v>3.9274766355140187</v>
          </cell>
          <cell r="AC32">
            <v>1.0940335684851754</v>
          </cell>
          <cell r="AS32" t="str">
            <v>A FIN SEPTEMBRE 1999</v>
          </cell>
          <cell r="AW32" t="str">
            <v>EXERCICE 1999</v>
          </cell>
          <cell r="AZ32" t="str">
            <v>EXERCICE 2000</v>
          </cell>
        </row>
        <row r="33">
          <cell r="B33" t="str">
            <v xml:space="preserve">         * P2O5 (FOB)   -    DIS</v>
          </cell>
          <cell r="C33">
            <v>320</v>
          </cell>
          <cell r="G33">
            <v>19460</v>
          </cell>
          <cell r="H33">
            <v>18720.596669999999</v>
          </cell>
          <cell r="I33">
            <v>1.039496782235841</v>
          </cell>
          <cell r="J33" t="str">
            <v xml:space="preserve">ACIDE DE RETOUR </v>
          </cell>
          <cell r="K33" t="str">
            <v>QUANTITÉ</v>
          </cell>
          <cell r="L33">
            <v>24333</v>
          </cell>
          <cell r="M33">
            <v>25000.1659</v>
          </cell>
          <cell r="N33">
            <v>0.97331354109134127</v>
          </cell>
          <cell r="O33">
            <v>26000</v>
          </cell>
          <cell r="P33">
            <v>1.0685077877779148</v>
          </cell>
          <cell r="S33">
            <v>49607.695515237385</v>
          </cell>
          <cell r="T33">
            <v>48852.184007499993</v>
          </cell>
          <cell r="U33">
            <v>1.0154652555067221</v>
          </cell>
          <cell r="X33" t="str">
            <v>VALEUR</v>
          </cell>
          <cell r="Y33">
            <v>70516.504953519849</v>
          </cell>
          <cell r="Z33">
            <v>65315.184105699991</v>
          </cell>
          <cell r="AA33">
            <v>1.0796341757133001</v>
          </cell>
          <cell r="AB33">
            <v>90834.679626168232</v>
          </cell>
          <cell r="AC33">
            <v>1.288133603417255</v>
          </cell>
          <cell r="AS33" t="str">
            <v>RÉALISE</v>
          </cell>
          <cell r="AT33" t="str">
            <v>PRÉVU</v>
          </cell>
          <cell r="AU33" t="str">
            <v>INDICE</v>
          </cell>
          <cell r="AV33" t="str">
            <v>LIBELLES</v>
          </cell>
          <cell r="AW33" t="str">
            <v>CLÔTURE</v>
          </cell>
          <cell r="AX33" t="str">
            <v>PRÉVU</v>
          </cell>
          <cell r="AY33" t="str">
            <v>INDICE</v>
          </cell>
          <cell r="AZ33" t="str">
            <v>PRÉVU</v>
          </cell>
          <cell r="BA33" t="str">
            <v>INDICE</v>
          </cell>
        </row>
        <row r="34">
          <cell r="B34" t="str">
            <v xml:space="preserve">         * P2O5 (FOB)   -    DIJ</v>
          </cell>
          <cell r="C34">
            <v>320</v>
          </cell>
          <cell r="G34">
            <v>3193.62</v>
          </cell>
          <cell r="H34">
            <v>3400</v>
          </cell>
          <cell r="I34">
            <v>0.93929999999999991</v>
          </cell>
          <cell r="J34" t="str">
            <v>EMAPHOS</v>
          </cell>
          <cell r="K34" t="str">
            <v>P.U</v>
          </cell>
          <cell r="L34">
            <v>3178.21</v>
          </cell>
          <cell r="M34">
            <v>3400</v>
          </cell>
          <cell r="N34">
            <v>0.93476764705882354</v>
          </cell>
          <cell r="O34">
            <v>2755</v>
          </cell>
          <cell r="P34">
            <v>0.86684013957542139</v>
          </cell>
          <cell r="S34">
            <v>40730</v>
          </cell>
          <cell r="T34">
            <v>37723.5</v>
          </cell>
          <cell r="U34">
            <v>1.079698331278911</v>
          </cell>
          <cell r="V34" t="str">
            <v xml:space="preserve">PIÈCES DE </v>
          </cell>
          <cell r="W34" t="str">
            <v>MC</v>
          </cell>
          <cell r="X34" t="str">
            <v>VALEUR</v>
          </cell>
          <cell r="Y34">
            <v>53086</v>
          </cell>
          <cell r="Z34">
            <v>50298</v>
          </cell>
          <cell r="AA34">
            <v>1.0554296393494771</v>
          </cell>
          <cell r="AB34">
            <v>51475</v>
          </cell>
          <cell r="AC34">
            <v>0.96965301586105568</v>
          </cell>
          <cell r="AS34" t="str">
            <v>(a)</v>
          </cell>
          <cell r="AT34" t="str">
            <v>(b)</v>
          </cell>
          <cell r="AU34" t="str">
            <v>(a/b)</v>
          </cell>
          <cell r="AW34" t="str">
            <v>(c)</v>
          </cell>
          <cell r="AX34" t="str">
            <v>(d)</v>
          </cell>
          <cell r="AY34" t="str">
            <v>(c/d)</v>
          </cell>
          <cell r="AZ34" t="str">
            <v>(e)</v>
          </cell>
          <cell r="BA34" t="str">
            <v>(e/c)</v>
          </cell>
        </row>
        <row r="35">
          <cell r="B35" t="str">
            <v xml:space="preserve">         * P2O5 (CF)</v>
          </cell>
          <cell r="C35">
            <v>405</v>
          </cell>
          <cell r="G35">
            <v>62147.845199999996</v>
          </cell>
          <cell r="H35">
            <v>63650.028677999995</v>
          </cell>
          <cell r="I35">
            <v>0.97639932755412551</v>
          </cell>
          <cell r="K35" t="str">
            <v>VALEUR</v>
          </cell>
          <cell r="L35">
            <v>77335.383930000011</v>
          </cell>
          <cell r="M35">
            <v>85000.564060000004</v>
          </cell>
          <cell r="N35">
            <v>0.9098220086564448</v>
          </cell>
          <cell r="O35">
            <v>71630</v>
          </cell>
          <cell r="P35">
            <v>0.92622543989483219</v>
          </cell>
          <cell r="S35">
            <v>49373</v>
          </cell>
          <cell r="T35">
            <v>92034</v>
          </cell>
          <cell r="U35">
            <v>0.53646478475346071</v>
          </cell>
          <cell r="V35" t="str">
            <v>RECHANGE</v>
          </cell>
          <cell r="W35" t="str">
            <v>MP I</v>
          </cell>
          <cell r="X35" t="str">
            <v>VALEUR</v>
          </cell>
          <cell r="Y35">
            <v>80051</v>
          </cell>
          <cell r="Z35">
            <v>122712</v>
          </cell>
          <cell r="AA35">
            <v>0.65234858856509548</v>
          </cell>
          <cell r="AB35">
            <v>72126</v>
          </cell>
          <cell r="AC35">
            <v>0.90100061210978</v>
          </cell>
        </row>
        <row r="36">
          <cell r="B36" t="str">
            <v xml:space="preserve">         * P2O5 CF -  PAKTANK</v>
          </cell>
          <cell r="C36" t="str">
            <v>-</v>
          </cell>
          <cell r="G36">
            <v>232584</v>
          </cell>
          <cell r="H36">
            <v>283197</v>
          </cell>
          <cell r="I36">
            <v>0.82127988643947503</v>
          </cell>
          <cell r="K36" t="str">
            <v>QUANTITÉ</v>
          </cell>
          <cell r="L36">
            <v>363455.06899999996</v>
          </cell>
          <cell r="M36">
            <v>408537</v>
          </cell>
          <cell r="N36">
            <v>0.88965031074296808</v>
          </cell>
          <cell r="O36">
            <v>437848</v>
          </cell>
          <cell r="P36">
            <v>1.2046826068616476</v>
          </cell>
          <cell r="S36">
            <v>37497</v>
          </cell>
          <cell r="T36">
            <v>81308.25</v>
          </cell>
          <cell r="U36">
            <v>0.46117091439060615</v>
          </cell>
          <cell r="V36" t="str">
            <v xml:space="preserve">ET AUTRES </v>
          </cell>
          <cell r="W36" t="str">
            <v>MP II</v>
          </cell>
          <cell r="X36" t="str">
            <v>VALEUR</v>
          </cell>
          <cell r="Y36">
            <v>64599</v>
          </cell>
          <cell r="Z36">
            <v>108411</v>
          </cell>
          <cell r="AA36">
            <v>0.59587126767578935</v>
          </cell>
          <cell r="AB36">
            <v>56168</v>
          </cell>
          <cell r="AC36">
            <v>0.8694871437638354</v>
          </cell>
          <cell r="AS36">
            <v>12647</v>
          </cell>
          <cell r="AT36">
            <v>24033.21875</v>
          </cell>
          <cell r="AU36">
            <v>0.52622997075662203</v>
          </cell>
          <cell r="AV36" t="str">
            <v xml:space="preserve"> MAROC CHIMIE</v>
          </cell>
          <cell r="AW36">
            <v>18630</v>
          </cell>
          <cell r="AX36">
            <v>32044.291666666664</v>
          </cell>
          <cell r="AY36">
            <v>0.58138279958859029</v>
          </cell>
          <cell r="AZ36">
            <v>45279</v>
          </cell>
          <cell r="BA36">
            <v>2.4304347826086956</v>
          </cell>
        </row>
        <row r="37">
          <cell r="B37" t="str">
            <v xml:space="preserve">         * P2O5 GP (CF)</v>
          </cell>
          <cell r="C37">
            <v>390</v>
          </cell>
          <cell r="G37">
            <v>985.79300000000001</v>
          </cell>
          <cell r="H37">
            <v>1425</v>
          </cell>
          <cell r="I37">
            <v>0.69178456140350875</v>
          </cell>
          <cell r="J37" t="str">
            <v>AMMONIAC CF</v>
          </cell>
          <cell r="K37" t="str">
            <v>P.U</v>
          </cell>
          <cell r="L37">
            <v>1068.1000000000001</v>
          </cell>
          <cell r="M37">
            <v>1425</v>
          </cell>
          <cell r="N37">
            <v>0.74954385964912296</v>
          </cell>
          <cell r="O37">
            <v>1140</v>
          </cell>
          <cell r="P37">
            <v>1.0673157944012732</v>
          </cell>
          <cell r="S37">
            <v>4650</v>
          </cell>
          <cell r="T37">
            <v>4875.75</v>
          </cell>
          <cell r="U37">
            <v>0.95369943085679121</v>
          </cell>
          <cell r="V37" t="str">
            <v>MATIÈRES</v>
          </cell>
          <cell r="W37" t="str">
            <v>IS</v>
          </cell>
          <cell r="X37" t="str">
            <v>VALEUR</v>
          </cell>
          <cell r="Y37">
            <v>6275</v>
          </cell>
          <cell r="Z37">
            <v>6501</v>
          </cell>
          <cell r="AA37">
            <v>0.96523611752038152</v>
          </cell>
          <cell r="AB37">
            <v>5848</v>
          </cell>
          <cell r="AC37">
            <v>0.93195219123505979</v>
          </cell>
          <cell r="AS37">
            <v>26609</v>
          </cell>
          <cell r="AT37">
            <v>24215.750000000004</v>
          </cell>
          <cell r="AU37">
            <v>1.0988303067218648</v>
          </cell>
          <cell r="AV37" t="str">
            <v xml:space="preserve"> MAROC PHOSPHORE I</v>
          </cell>
          <cell r="AW37">
            <v>37168.666666666664</v>
          </cell>
          <cell r="AX37">
            <v>32287.666666666668</v>
          </cell>
          <cell r="AY37">
            <v>1.1511722742430028</v>
          </cell>
          <cell r="AZ37">
            <v>39292</v>
          </cell>
          <cell r="BA37">
            <v>1.057126970745969</v>
          </cell>
        </row>
        <row r="38">
          <cell r="B38" t="str">
            <v xml:space="preserve">         * P2O5 GP (CF)    DH/T</v>
          </cell>
          <cell r="C38" t="str">
            <v>-</v>
          </cell>
          <cell r="G38">
            <v>229279.67911199998</v>
          </cell>
          <cell r="H38">
            <v>403555.72499999998</v>
          </cell>
          <cell r="I38">
            <v>0.56814874603005572</v>
          </cell>
          <cell r="K38" t="str">
            <v>VALEUR</v>
          </cell>
          <cell r="L38">
            <v>388206.3591989</v>
          </cell>
          <cell r="M38">
            <v>582165.22499999998</v>
          </cell>
          <cell r="N38">
            <v>0.66683192765232591</v>
          </cell>
          <cell r="O38">
            <v>499146.72</v>
          </cell>
          <cell r="P38">
            <v>1.285776773543936</v>
          </cell>
          <cell r="S38">
            <v>186201.77950616577</v>
          </cell>
          <cell r="T38">
            <v>150191.43599999999</v>
          </cell>
          <cell r="U38">
            <v>1.2397629616256267</v>
          </cell>
          <cell r="V38" t="str">
            <v>CONSOMMABLES</v>
          </cell>
          <cell r="W38" t="str">
            <v>MP III &amp; IV</v>
          </cell>
          <cell r="X38" t="str">
            <v>VALEUR</v>
          </cell>
          <cell r="Y38">
            <v>236265.59150616586</v>
          </cell>
          <cell r="Z38">
            <v>200255.24799999999</v>
          </cell>
          <cell r="AA38">
            <v>1.1798222212192204</v>
          </cell>
          <cell r="AB38">
            <v>260684.42678599997</v>
          </cell>
          <cell r="AC38">
            <v>1.1033533284477306</v>
          </cell>
          <cell r="AS38">
            <v>20669</v>
          </cell>
          <cell r="AT38">
            <v>21541.21875</v>
          </cell>
          <cell r="AU38">
            <v>0.95950931281453145</v>
          </cell>
          <cell r="AV38" t="str">
            <v xml:space="preserve"> MAROC PHOSPHORE II</v>
          </cell>
          <cell r="AW38">
            <v>29101.333333333332</v>
          </cell>
          <cell r="AX38">
            <v>28721.625</v>
          </cell>
          <cell r="AY38">
            <v>1.0132202942324235</v>
          </cell>
          <cell r="AZ38">
            <v>28711</v>
          </cell>
          <cell r="BA38">
            <v>0.98658709795656563</v>
          </cell>
        </row>
        <row r="39">
          <cell r="B39" t="str">
            <v xml:space="preserve">         * DAP (FOB)    -    DIS</v>
          </cell>
          <cell r="C39">
            <v>204</v>
          </cell>
          <cell r="G39">
            <v>7889.6</v>
          </cell>
          <cell r="H39">
            <v>7891</v>
          </cell>
          <cell r="I39">
            <v>0.99982258268913959</v>
          </cell>
          <cell r="K39" t="str">
            <v>QUANTITÉ</v>
          </cell>
          <cell r="L39">
            <v>7890</v>
          </cell>
          <cell r="M39">
            <v>7891</v>
          </cell>
          <cell r="N39">
            <v>0.99987327334938536</v>
          </cell>
          <cell r="O39">
            <v>7800</v>
          </cell>
          <cell r="P39">
            <v>0.98859315589353614</v>
          </cell>
          <cell r="AS39">
            <v>1410</v>
          </cell>
          <cell r="AT39">
            <v>2155.75</v>
          </cell>
          <cell r="AU39">
            <v>0.65406471065754379</v>
          </cell>
          <cell r="AV39" t="str">
            <v xml:space="preserve"> INFRASTRUCTURES SAFI</v>
          </cell>
          <cell r="AW39">
            <v>2630</v>
          </cell>
          <cell r="AX39">
            <v>2874.3333333333335</v>
          </cell>
          <cell r="AY39">
            <v>0.91499478139858514</v>
          </cell>
          <cell r="AZ39">
            <v>3128</v>
          </cell>
          <cell r="BA39">
            <v>1.1893536121673003</v>
          </cell>
        </row>
        <row r="40">
          <cell r="B40" t="str">
            <v xml:space="preserve">         * DAP (FOB)    -    DIJ</v>
          </cell>
          <cell r="C40">
            <v>204</v>
          </cell>
          <cell r="G40">
            <v>2350.48</v>
          </cell>
          <cell r="H40">
            <v>2351</v>
          </cell>
          <cell r="I40">
            <v>0.99977881752445763</v>
          </cell>
          <cell r="J40" t="str">
            <v>K2SO4</v>
          </cell>
          <cell r="K40" t="str">
            <v>P.U</v>
          </cell>
          <cell r="L40">
            <v>2350.48</v>
          </cell>
          <cell r="M40">
            <v>2351</v>
          </cell>
          <cell r="N40">
            <v>0.99977881752445763</v>
          </cell>
          <cell r="O40">
            <v>2351</v>
          </cell>
          <cell r="P40">
            <v>1.0002212314080527</v>
          </cell>
          <cell r="S40">
            <v>468274.30195246765</v>
          </cell>
          <cell r="T40">
            <v>498575.13768117997</v>
          </cell>
          <cell r="U40">
            <v>0.9392251369179011</v>
          </cell>
          <cell r="V40" t="str">
            <v>TOTAL</v>
          </cell>
          <cell r="X40" t="str">
            <v>VALEUR</v>
          </cell>
          <cell r="Y40">
            <v>638623.19001078699</v>
          </cell>
          <cell r="Z40">
            <v>690676.89506569994</v>
          </cell>
          <cell r="AA40">
            <v>0.92463378255912065</v>
          </cell>
          <cell r="AB40">
            <v>645520.6621700346</v>
          </cell>
          <cell r="AC40">
            <v>1.0108005350684668</v>
          </cell>
          <cell r="AS40">
            <v>147903</v>
          </cell>
          <cell r="AT40">
            <v>71945.9375</v>
          </cell>
          <cell r="AU40">
            <v>2.0557519317890605</v>
          </cell>
          <cell r="AV40" t="str">
            <v xml:space="preserve"> MAROC PHOSPHORE III-IV</v>
          </cell>
          <cell r="AW40">
            <v>211880.66666666666</v>
          </cell>
          <cell r="AX40">
            <v>218145.58333333334</v>
          </cell>
          <cell r="AY40">
            <v>0.97128102906812608</v>
          </cell>
          <cell r="AZ40">
            <v>186052</v>
          </cell>
          <cell r="BA40">
            <v>0.87809804890174037</v>
          </cell>
        </row>
        <row r="41">
          <cell r="B41" t="str">
            <v xml:space="preserve">         * TSP (FOB) </v>
          </cell>
          <cell r="C41">
            <v>159</v>
          </cell>
          <cell r="G41">
            <v>18544.347008000001</v>
          </cell>
          <cell r="H41">
            <v>18551.741000000002</v>
          </cell>
          <cell r="I41">
            <v>0.99960143945519719</v>
          </cell>
          <cell r="K41" t="str">
            <v>VALEUR</v>
          </cell>
          <cell r="L41">
            <v>18545.287199999999</v>
          </cell>
          <cell r="M41">
            <v>18551.741000000002</v>
          </cell>
          <cell r="N41">
            <v>0.99965211890355721</v>
          </cell>
          <cell r="O41">
            <v>18337.8</v>
          </cell>
          <cell r="P41">
            <v>0.98881186374940588</v>
          </cell>
          <cell r="AV41" t="str">
            <v xml:space="preserve">PROVISIONS POUR DÉPRÉCIATION </v>
          </cell>
        </row>
        <row r="42">
          <cell r="B42" t="str">
            <v xml:space="preserve">         * TSP (CF) </v>
          </cell>
          <cell r="C42" t="str">
            <v>-</v>
          </cell>
          <cell r="G42">
            <v>1419.1</v>
          </cell>
          <cell r="H42">
            <v>1420.8999999999999</v>
          </cell>
          <cell r="I42">
            <v>0.9987331972693364</v>
          </cell>
          <cell r="K42" t="str">
            <v>QUANTITÉ</v>
          </cell>
          <cell r="L42">
            <v>1419</v>
          </cell>
          <cell r="M42">
            <v>1419.6000000000001</v>
          </cell>
          <cell r="N42">
            <v>0.99957734573119184</v>
          </cell>
          <cell r="O42">
            <v>1430</v>
          </cell>
          <cell r="P42">
            <v>1.0077519379844961</v>
          </cell>
          <cell r="AV42" t="str">
            <v>DES STOCKS</v>
          </cell>
        </row>
        <row r="43">
          <cell r="B43" t="str">
            <v xml:space="preserve">         * MAP (FOB)    -    DIJ</v>
          </cell>
          <cell r="C43">
            <v>216</v>
          </cell>
          <cell r="G43">
            <v>794.26</v>
          </cell>
          <cell r="H43">
            <v>1048</v>
          </cell>
          <cell r="I43">
            <v>0.75788167938931295</v>
          </cell>
          <cell r="J43" t="str">
            <v>NH4NO3</v>
          </cell>
          <cell r="K43" t="str">
            <v>P.U</v>
          </cell>
          <cell r="L43">
            <v>794.26</v>
          </cell>
          <cell r="M43">
            <v>1048</v>
          </cell>
          <cell r="N43">
            <v>0.75788167938931295</v>
          </cell>
          <cell r="O43">
            <v>1048</v>
          </cell>
          <cell r="P43">
            <v>1.3194671769949387</v>
          </cell>
          <cell r="AS43">
            <v>526562</v>
          </cell>
          <cell r="AT43" t="str">
            <v>-</v>
          </cell>
          <cell r="AU43" t="str">
            <v>-</v>
          </cell>
          <cell r="AV43" t="str">
            <v>- ARTICLES CODIFIES</v>
          </cell>
          <cell r="AW43">
            <v>569562</v>
          </cell>
          <cell r="AX43" t="str">
            <v>-</v>
          </cell>
          <cell r="AY43" t="str">
            <v>-</v>
          </cell>
          <cell r="AZ43" t="str">
            <v>-</v>
          </cell>
          <cell r="BA43" t="str">
            <v>-</v>
          </cell>
        </row>
        <row r="44">
          <cell r="B44" t="str">
            <v xml:space="preserve">         * MAP (FOB)    -    DIS</v>
          </cell>
          <cell r="C44">
            <v>216</v>
          </cell>
          <cell r="G44">
            <v>1127.134366</v>
          </cell>
          <cell r="H44">
            <v>1489.1032</v>
          </cell>
          <cell r="I44">
            <v>0.75692159280834259</v>
          </cell>
          <cell r="K44" t="str">
            <v>VALEUR</v>
          </cell>
          <cell r="L44">
            <v>1127.05494</v>
          </cell>
          <cell r="M44">
            <v>1487.7408</v>
          </cell>
          <cell r="N44">
            <v>0.7575613574622676</v>
          </cell>
          <cell r="O44">
            <v>1498.64</v>
          </cell>
          <cell r="P44">
            <v>1.3296956047235817</v>
          </cell>
          <cell r="AS44">
            <v>23322.95</v>
          </cell>
          <cell r="AT44" t="str">
            <v>-</v>
          </cell>
          <cell r="AU44" t="str">
            <v>-</v>
          </cell>
          <cell r="AV44" t="str">
            <v>- PRODUITS INTERMEDIAIRES &amp; FINIS</v>
          </cell>
          <cell r="AW44">
            <v>23322.95</v>
          </cell>
          <cell r="AX44">
            <v>30000</v>
          </cell>
          <cell r="AY44" t="str">
            <v>-</v>
          </cell>
          <cell r="AZ44" t="str">
            <v>-</v>
          </cell>
          <cell r="BA44" t="str">
            <v>-</v>
          </cell>
        </row>
        <row r="45">
          <cell r="G45">
            <v>28515</v>
          </cell>
          <cell r="H45">
            <v>38352</v>
          </cell>
          <cell r="I45">
            <v>0.74350750938673338</v>
          </cell>
          <cell r="K45" t="str">
            <v>QUANTITÉ</v>
          </cell>
          <cell r="L45">
            <v>42676</v>
          </cell>
          <cell r="M45">
            <v>57232</v>
          </cell>
          <cell r="N45">
            <v>0.74566675985462683</v>
          </cell>
          <cell r="O45">
            <v>52800</v>
          </cell>
          <cell r="P45">
            <v>1.2372293560783578</v>
          </cell>
        </row>
        <row r="46">
          <cell r="G46">
            <v>1275.56</v>
          </cell>
          <cell r="H46">
            <v>1187.5</v>
          </cell>
          <cell r="I46">
            <v>1.0741557894736842</v>
          </cell>
          <cell r="J46" t="str">
            <v>KCL  CF</v>
          </cell>
          <cell r="K46" t="str">
            <v>P.U</v>
          </cell>
          <cell r="L46">
            <v>1165.2</v>
          </cell>
          <cell r="M46">
            <v>1187.5</v>
          </cell>
          <cell r="N46">
            <v>0.98122105263157899</v>
          </cell>
          <cell r="O46">
            <v>1187.5</v>
          </cell>
          <cell r="P46">
            <v>1.0191383453484379</v>
          </cell>
          <cell r="AS46">
            <v>759122.95</v>
          </cell>
          <cell r="AT46">
            <v>143891.875</v>
          </cell>
          <cell r="AU46">
            <v>5.2756484686852536</v>
          </cell>
          <cell r="AV46" t="str">
            <v>TOTAL</v>
          </cell>
          <cell r="AW46">
            <v>892295.61666666658</v>
          </cell>
          <cell r="AX46">
            <v>344073.5</v>
          </cell>
          <cell r="AY46">
            <v>2.5933285087827649</v>
          </cell>
          <cell r="AZ46">
            <v>302462</v>
          </cell>
          <cell r="BA46">
            <v>0.33897062178776816</v>
          </cell>
        </row>
        <row r="47">
          <cell r="G47">
            <v>36372.593399999998</v>
          </cell>
          <cell r="H47">
            <v>45543</v>
          </cell>
          <cell r="I47">
            <v>0.79864289572491931</v>
          </cell>
          <cell r="K47" t="str">
            <v>VALEUR</v>
          </cell>
          <cell r="L47">
            <v>49726.075200000007</v>
          </cell>
          <cell r="M47">
            <v>67963</v>
          </cell>
          <cell r="N47">
            <v>0.73166392301693584</v>
          </cell>
          <cell r="O47">
            <v>62700</v>
          </cell>
          <cell r="P47">
            <v>1.2609078787702108</v>
          </cell>
        </row>
        <row r="48">
          <cell r="G48">
            <v>3364606.2090791403</v>
          </cell>
          <cell r="H48">
            <v>3916502.6798273441</v>
          </cell>
          <cell r="I48">
            <v>0.85908436279366118</v>
          </cell>
          <cell r="J48" t="str">
            <v>TOTAL</v>
          </cell>
          <cell r="K48" t="str">
            <v>VALEUR</v>
          </cell>
          <cell r="L48">
            <v>4813227.3283307897</v>
          </cell>
          <cell r="M48">
            <v>5357443.4171599997</v>
          </cell>
          <cell r="N48">
            <v>0.89841869592386647</v>
          </cell>
          <cell r="O48">
            <v>5718436.1254888987</v>
          </cell>
          <cell r="P48">
            <v>1.1880669113278788</v>
          </cell>
        </row>
        <row r="53">
          <cell r="B53" t="str">
            <v>LIBELLES</v>
          </cell>
          <cell r="C53" t="str">
            <v>EXERCICE 1999</v>
          </cell>
        </row>
        <row r="54">
          <cell r="C54" t="str">
            <v>PRÉVU</v>
          </cell>
        </row>
        <row r="55">
          <cell r="B55" t="str">
            <v>5 - PRIX DE VENTE AU MARCHE LOCAL (DH/T)</v>
          </cell>
        </row>
        <row r="56">
          <cell r="B56" t="str">
            <v xml:space="preserve">         * P2O5</v>
          </cell>
          <cell r="C56">
            <v>4300</v>
          </cell>
        </row>
        <row r="57">
          <cell r="B57" t="str">
            <v xml:space="preserve">         * DAP </v>
          </cell>
          <cell r="C57">
            <v>1850</v>
          </cell>
        </row>
        <row r="58">
          <cell r="B58" t="str">
            <v xml:space="preserve">         * TSP</v>
          </cell>
          <cell r="C58">
            <v>1430</v>
          </cell>
        </row>
        <row r="59">
          <cell r="B59" t="str">
            <v xml:space="preserve">         * MAP</v>
          </cell>
          <cell r="C59">
            <v>1920</v>
          </cell>
        </row>
        <row r="60">
          <cell r="B60" t="str">
            <v xml:space="preserve">         * NPK (14-28-14)     -    DIS</v>
          </cell>
          <cell r="C60">
            <v>1750</v>
          </cell>
        </row>
        <row r="61">
          <cell r="B61" t="str">
            <v xml:space="preserve">         * NPK (14-28-14)     -    DIJ</v>
          </cell>
          <cell r="C61" t="str">
            <v>-</v>
          </cell>
        </row>
        <row r="62">
          <cell r="B62" t="str">
            <v xml:space="preserve">         * NPK (10-14-16C)</v>
          </cell>
          <cell r="C62">
            <v>1410</v>
          </cell>
        </row>
        <row r="63">
          <cell r="B63" t="str">
            <v xml:space="preserve">         * NPK (8,75-10-30S)</v>
          </cell>
          <cell r="C63">
            <v>2046</v>
          </cell>
        </row>
        <row r="64">
          <cell r="B64" t="str">
            <v xml:space="preserve">         * ASP</v>
          </cell>
          <cell r="C64">
            <v>1980</v>
          </cell>
        </row>
        <row r="65">
          <cell r="B65" t="str">
            <v xml:space="preserve">         * Acide prétraité (DH/T)</v>
          </cell>
          <cell r="C65">
            <v>3482.7000000000003</v>
          </cell>
        </row>
        <row r="66">
          <cell r="B66" t="str">
            <v xml:space="preserve">         * H2SO4       -    DIS</v>
          </cell>
          <cell r="C66">
            <v>500</v>
          </cell>
        </row>
        <row r="67">
          <cell r="B67" t="str">
            <v xml:space="preserve">         * H2SO4       -    DIJ</v>
          </cell>
          <cell r="C67">
            <v>500</v>
          </cell>
        </row>
        <row r="68">
          <cell r="B68" t="str">
            <v xml:space="preserve">         * NH3 Normal     -    DIS</v>
          </cell>
          <cell r="C68">
            <v>3000</v>
          </cell>
        </row>
        <row r="69">
          <cell r="B69" t="str">
            <v xml:space="preserve">         * NH3 en AT       -    DIS</v>
          </cell>
          <cell r="C69">
            <v>2700</v>
          </cell>
        </row>
        <row r="70">
          <cell r="B70" t="str">
            <v xml:space="preserve">         * NH3 Normal     -    DIJ</v>
          </cell>
          <cell r="C70">
            <v>3000</v>
          </cell>
        </row>
        <row r="71">
          <cell r="B71" t="str">
            <v xml:space="preserve">         * NH3 en AT       -    DIJ</v>
          </cell>
          <cell r="C71">
            <v>2700</v>
          </cell>
        </row>
        <row r="72">
          <cell r="B72" t="str">
            <v xml:space="preserve">         * Soufre</v>
          </cell>
          <cell r="C72" t="str">
            <v>-</v>
          </cell>
        </row>
        <row r="73">
          <cell r="B73" t="str">
            <v xml:space="preserve">         * Soufre Liquide à IMACID</v>
          </cell>
          <cell r="C73" t="str">
            <v>-</v>
          </cell>
        </row>
        <row r="74">
          <cell r="B74" t="str">
            <v xml:space="preserve">         * Eau désilicée  ( En m3)</v>
          </cell>
          <cell r="C74" t="str">
            <v>-</v>
          </cell>
        </row>
        <row r="75">
          <cell r="B75" t="str">
            <v xml:space="preserve">         * Cendres de pyrrhotine</v>
          </cell>
          <cell r="C75">
            <v>70</v>
          </cell>
        </row>
        <row r="76">
          <cell r="B76" t="str">
            <v>6 - FRET MOYEN DU P2O5</v>
          </cell>
        </row>
        <row r="77">
          <cell r="B77" t="str">
            <v xml:space="preserve">         * MARPHOCEAN (US$/T P2O5)</v>
          </cell>
        </row>
        <row r="78">
          <cell r="B78" t="str">
            <v xml:space="preserve">                - INDE </v>
          </cell>
          <cell r="C78">
            <v>68.52</v>
          </cell>
        </row>
        <row r="79">
          <cell r="B79" t="str">
            <v xml:space="preserve">                - Autres  -  DIS</v>
          </cell>
          <cell r="C79">
            <v>31.48</v>
          </cell>
        </row>
        <row r="80">
          <cell r="B80" t="str">
            <v xml:space="preserve">                - Autres  -  DIJ</v>
          </cell>
          <cell r="C80">
            <v>31.48</v>
          </cell>
        </row>
        <row r="81">
          <cell r="B81" t="str">
            <v xml:space="preserve">         * AUTRES NAVIRES (US$/T P2O5)</v>
          </cell>
        </row>
        <row r="82">
          <cell r="B82" t="str">
            <v xml:space="preserve">                - INDE </v>
          </cell>
          <cell r="C82">
            <v>68.52</v>
          </cell>
        </row>
        <row r="83">
          <cell r="B83" t="str">
            <v xml:space="preserve">                - Autres</v>
          </cell>
          <cell r="C83">
            <v>31.48</v>
          </cell>
        </row>
        <row r="84">
          <cell r="B84" t="str">
            <v>7 - PRIX D'ACHAT D'ACIDE DE RETOUR (DH/T)</v>
          </cell>
          <cell r="C84">
            <v>3180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iffre d'affaires"/>
      <sheetName val="Eléments financiers"/>
      <sheetName val="FAX DEG"/>
      <sheetName val="Impôts et taxes"/>
      <sheetName val="Reprises"/>
      <sheetName val="Synthèse dot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A3_O"/>
      <sheetName val="SIA3_O.XLS"/>
      <sheetName val="Pricing 1B BSS"/>
      <sheetName val="Plan Comptable"/>
      <sheetName val="TAUX PAP"/>
      <sheetName val="MSOD"/>
      <sheetName val="Loan Data"/>
      <sheetName val="Données de base-RH"/>
      <sheetName val="Données de Base Prod"/>
      <sheetName val="31.10.05"/>
      <sheetName val="Lists"/>
      <sheetName val="Hypothèses"/>
    </sheetNames>
    <definedNames>
      <definedName name="pcis"/>
      <definedName name="pst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CP (14)"/>
      <sheetName val="OCP (13)"/>
      <sheetName val="TAB CPC CP"/>
      <sheetName val="TAB CPC CG"/>
      <sheetName val="données CPC PMK"/>
      <sheetName val="données CPC CP"/>
      <sheetName val="CPC CP1"/>
      <sheetName val="CPC CP2"/>
      <sheetName val="PB écarts"/>
      <sheetName val="OCP écarts"/>
      <sheetName val="ecarts sem 2003"/>
      <sheetName val="Synt-PB-clot"/>
      <sheetName val="Synt-PB-Real"/>
      <sheetName val="Rés fi-PB-clot"/>
      <sheetName val="Rés fi-PB-Real"/>
      <sheetName val="Rés d'ex-PB-Real"/>
      <sheetName val="Rés d'ex-PB-clot"/>
      <sheetName val="Ecart CPC-PB-Real"/>
      <sheetName val="Ecart CPC-PB-clot"/>
      <sheetName val="Hyp_PB-Real"/>
      <sheetName val="Hyp_PB-clot"/>
      <sheetName val="Annexe DRH-DB"/>
      <sheetName val=" PRODU_PB"/>
      <sheetName val="Analyse CA_PB"/>
      <sheetName val="DC"/>
      <sheetName val="Bal_2004"/>
      <sheetName val="CPC-DB (2)"/>
      <sheetName val="CPC-DB"/>
      <sheetName val="CPC_PB"/>
      <sheetName val="CPC-PMB"/>
      <sheetName val="DB-PROD"/>
      <sheetName val="DB-Pr"/>
      <sheetName val="OCP (Ecarts)"/>
      <sheetName val="DC-REEL"/>
      <sheetName val="DC-CLOT"/>
      <sheetName val="VGA"/>
      <sheetName val="Synthèse dot (2)"/>
      <sheetName val="K10 DEG"/>
      <sheetName val="impôts et taxes2003"/>
      <sheetName val="Dot&amp;Rep d'exploit"/>
      <sheetName val="Dot&amp;Rep d'expl2003"/>
      <sheetName val="impôts et taxes"/>
      <sheetName val="Redevance"/>
      <sheetName val="Eléments fin"/>
      <sheetName val="FF"/>
      <sheetName val="Hyp OCP Real"/>
      <sheetName val="Hyp OCP clot"/>
      <sheetName val="FF2003"/>
      <sheetName val="Personnel Bal"/>
      <sheetName val="Charges de personnel"/>
      <sheetName val="Cons_2004"/>
      <sheetName val="ch ext"/>
      <sheetName val="IMPACT_RESU"/>
      <sheetName val="OCP"/>
      <sheetName val="Charges externes"/>
      <sheetName val="IS"/>
      <sheetName val="OCP (12)"/>
      <sheetName val="OCP (11)"/>
      <sheetName val="DEG (12)"/>
      <sheetName val="DEK (13)"/>
      <sheetName val="retraitements"/>
      <sheetName val="Analyse CA (2)"/>
      <sheetName val="DC (2)"/>
      <sheetName val="ventes"/>
      <sheetName val="Chiffre d'affaires"/>
      <sheetName val="Analyse CA"/>
      <sheetName val="Ch Ext 2003"/>
      <sheetName val="Produits d'expl2003"/>
      <sheetName val="Frais de personnel 2003"/>
      <sheetName val="Cons2003"/>
      <sheetName val="CA"/>
      <sheetName val="Synthèse OCP 2002"/>
      <sheetName val="Synthèse OCP2003"/>
      <sheetName val=" PRODU"/>
      <sheetName val=" PRODU_clot"/>
      <sheetName val="DEK-PR(ecart)"/>
      <sheetName val="DEG-PR(Ecart)"/>
      <sheetName val="OCP-PR(24)"/>
      <sheetName val="DEP.FONC (25)"/>
      <sheetName val="DEK-PR(36)"/>
      <sheetName val="DEG-PR(29)"/>
      <sheetName val="Caisse Retraite"/>
      <sheetName val="FP"/>
      <sheetName val="Ecart CPC-OCP-Real"/>
      <sheetName val="Synt-OCP-Real"/>
      <sheetName val="Rés fi-OCP-Real"/>
      <sheetName val="F d'ex-OCP-Real"/>
      <sheetName val="Rés fi-OCP-clot"/>
      <sheetName val="F d'ex-OCP-clot"/>
      <sheetName val="Synt-OCP-clot"/>
      <sheetName val="Ecart CPC-OCP-clot"/>
      <sheetName val="SynthèseCP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1">
          <cell r="F1" t="str">
            <v>SEPTEMBRE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ATS"/>
      <sheetName val="invest."/>
      <sheetName val="VENTES DH-$"/>
      <sheetName val="VENTES EN KT"/>
      <sheetName val="PRODUCTION (2)"/>
      <sheetName val="Feuil1"/>
      <sheetName val="CACONSOLIDE"/>
      <sheetName val="PRODUCTION"/>
      <sheetName val="POZOR"/>
      <sheetName val="Redevance"/>
      <sheetName val="O&amp;M PLANT YTD tt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"/>
      <sheetName val="Prod (2)"/>
      <sheetName val="Feuil1 (2)"/>
      <sheetName val="Feuil5"/>
      <sheetName val="Feuil2"/>
      <sheetName val="Stérile"/>
      <sheetName val="Phos"/>
      <sheetName val="Sté &amp; Phos"/>
      <sheetName val="Production"/>
      <sheetName val="HM (2)"/>
      <sheetName val="HM (3)"/>
      <sheetName val="HM"/>
      <sheetName val="Teneurs"/>
      <sheetName val="Ten"/>
      <sheetName val="PA3"/>
      <sheetName val="Prévision 2005 Sept 04"/>
      <sheetName val="Portefeuille 2003"/>
      <sheetName val="STOCK PROV DEC 02"/>
      <sheetName val="Données de Base Prod"/>
      <sheetName val="Redevance"/>
      <sheetName val="liste"/>
      <sheetName val="TB C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2">
          <cell r="H2" t="str">
            <v>Novembre 2004</v>
          </cell>
        </row>
        <row r="3">
          <cell r="D3" t="str">
            <v>Panneau 1</v>
          </cell>
          <cell r="E3" t="str">
            <v>Panneau 2</v>
          </cell>
          <cell r="F3" t="str">
            <v>Panneau 3</v>
          </cell>
          <cell r="G3" t="str">
            <v>Panneau 4</v>
          </cell>
          <cell r="H3" t="str">
            <v>TOTAL</v>
          </cell>
        </row>
        <row r="4">
          <cell r="B4" t="str">
            <v>Rt  SA2</v>
          </cell>
          <cell r="C4" t="str">
            <v>Volume</v>
          </cell>
          <cell r="D4">
            <v>0</v>
          </cell>
          <cell r="E4">
            <v>1080275</v>
          </cell>
          <cell r="F4">
            <v>0</v>
          </cell>
          <cell r="G4">
            <v>216020</v>
          </cell>
          <cell r="H4">
            <v>1296295</v>
          </cell>
        </row>
        <row r="5">
          <cell r="C5" t="str">
            <v>Vol.  Reprise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J5">
            <v>0.27397260273972601</v>
          </cell>
        </row>
        <row r="6">
          <cell r="B6" t="str">
            <v>Sillon A2</v>
          </cell>
          <cell r="C6" t="str">
            <v>Volume</v>
          </cell>
          <cell r="D6">
            <v>0</v>
          </cell>
          <cell r="E6">
            <v>308650</v>
          </cell>
          <cell r="F6">
            <v>0</v>
          </cell>
          <cell r="G6">
            <v>61720</v>
          </cell>
          <cell r="H6">
            <v>370370</v>
          </cell>
          <cell r="I6">
            <v>3.5</v>
          </cell>
          <cell r="J6">
            <v>8.2293333333333329E-2</v>
          </cell>
        </row>
        <row r="7">
          <cell r="C7" t="str">
            <v>Tonnage</v>
          </cell>
          <cell r="D7">
            <v>0</v>
          </cell>
          <cell r="E7">
            <v>500013.00000000006</v>
          </cell>
          <cell r="F7">
            <v>0</v>
          </cell>
          <cell r="G7">
            <v>99986.400000000009</v>
          </cell>
          <cell r="H7">
            <v>599999.4</v>
          </cell>
          <cell r="I7">
            <v>600000</v>
          </cell>
          <cell r="J7">
            <v>0.28000000000000003</v>
          </cell>
        </row>
        <row r="8">
          <cell r="B8" t="str">
            <v>Rt  C0</v>
          </cell>
          <cell r="C8" t="str">
            <v>Volume</v>
          </cell>
          <cell r="D8">
            <v>0</v>
          </cell>
          <cell r="E8">
            <v>0</v>
          </cell>
          <cell r="F8">
            <v>1116225</v>
          </cell>
          <cell r="G8">
            <v>0</v>
          </cell>
          <cell r="H8">
            <v>1116225</v>
          </cell>
          <cell r="I8">
            <v>370370.37037037034</v>
          </cell>
          <cell r="J8">
            <v>0.27397260273972601</v>
          </cell>
        </row>
        <row r="9">
          <cell r="C9" t="str">
            <v>Vol.  Reprise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1296296.2962962962</v>
          </cell>
        </row>
        <row r="10">
          <cell r="B10" t="str">
            <v>Couche 0</v>
          </cell>
          <cell r="C10" t="str">
            <v>Volume</v>
          </cell>
          <cell r="D10">
            <v>0</v>
          </cell>
          <cell r="E10">
            <v>0</v>
          </cell>
          <cell r="F10">
            <v>53800</v>
          </cell>
          <cell r="G10">
            <v>0</v>
          </cell>
          <cell r="H10">
            <v>53800</v>
          </cell>
        </row>
        <row r="11">
          <cell r="C11" t="str">
            <v>Tonnage</v>
          </cell>
          <cell r="D11">
            <v>0</v>
          </cell>
          <cell r="E11">
            <v>0</v>
          </cell>
          <cell r="F11">
            <v>87156</v>
          </cell>
          <cell r="G11">
            <v>0</v>
          </cell>
          <cell r="H11">
            <v>87156</v>
          </cell>
          <cell r="J11">
            <v>680</v>
          </cell>
        </row>
        <row r="12">
          <cell r="B12" t="str">
            <v>DalleC1</v>
          </cell>
          <cell r="C12" t="str">
            <v>Volume</v>
          </cell>
          <cell r="D12">
            <v>0</v>
          </cell>
          <cell r="E12">
            <v>0</v>
          </cell>
          <cell r="F12">
            <v>115885</v>
          </cell>
          <cell r="G12">
            <v>0</v>
          </cell>
          <cell r="H12">
            <v>115885</v>
          </cell>
        </row>
        <row r="13">
          <cell r="C13" t="str">
            <v>Vol.  Reprise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</row>
        <row r="14">
          <cell r="B14" t="str">
            <v>Couche 1</v>
          </cell>
          <cell r="C14" t="str">
            <v>Volume</v>
          </cell>
          <cell r="D14">
            <v>0</v>
          </cell>
          <cell r="E14">
            <v>0</v>
          </cell>
          <cell r="F14">
            <v>44820</v>
          </cell>
          <cell r="G14">
            <v>0</v>
          </cell>
          <cell r="H14">
            <v>44820</v>
          </cell>
        </row>
        <row r="15">
          <cell r="C15" t="str">
            <v>Tonnage</v>
          </cell>
          <cell r="D15">
            <v>0</v>
          </cell>
          <cell r="E15">
            <v>0</v>
          </cell>
          <cell r="F15">
            <v>72608.400000000009</v>
          </cell>
          <cell r="G15">
            <v>0</v>
          </cell>
          <cell r="H15">
            <v>72608.400000000009</v>
          </cell>
        </row>
        <row r="16">
          <cell r="B16" t="str">
            <v xml:space="preserve">Rt  C1,0 </v>
          </cell>
          <cell r="C16" t="str">
            <v>Volume</v>
          </cell>
          <cell r="D16">
            <v>471487.5</v>
          </cell>
          <cell r="E16">
            <v>314325</v>
          </cell>
          <cell r="F16">
            <v>306900</v>
          </cell>
          <cell r="G16">
            <v>267795</v>
          </cell>
          <cell r="H16">
            <v>1360507.5</v>
          </cell>
        </row>
        <row r="17">
          <cell r="C17" t="str">
            <v>Vol.  Reprise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</row>
        <row r="18">
          <cell r="B18" t="str">
            <v>Couche 1,0</v>
          </cell>
          <cell r="C18" t="str">
            <v>Volume</v>
          </cell>
          <cell r="D18">
            <v>47000</v>
          </cell>
          <cell r="E18">
            <v>30000</v>
          </cell>
          <cell r="F18">
            <v>69000</v>
          </cell>
          <cell r="G18">
            <v>23500</v>
          </cell>
          <cell r="H18">
            <v>169500</v>
          </cell>
        </row>
        <row r="19">
          <cell r="C19" t="str">
            <v>Tonnage</v>
          </cell>
          <cell r="D19">
            <v>76140</v>
          </cell>
          <cell r="E19">
            <v>48600</v>
          </cell>
          <cell r="F19">
            <v>111780.00000000001</v>
          </cell>
          <cell r="G19">
            <v>38070</v>
          </cell>
          <cell r="H19">
            <v>274590</v>
          </cell>
        </row>
        <row r="20">
          <cell r="B20" t="str">
            <v>I C1/C2</v>
          </cell>
          <cell r="C20" t="str">
            <v>Volume</v>
          </cell>
          <cell r="D20">
            <v>550735</v>
          </cell>
          <cell r="E20">
            <v>560587.5</v>
          </cell>
          <cell r="F20">
            <v>1656793.75</v>
          </cell>
          <cell r="G20">
            <v>0</v>
          </cell>
          <cell r="H20">
            <v>2768116.25</v>
          </cell>
        </row>
        <row r="21">
          <cell r="C21" t="str">
            <v>Vol.  Reprise</v>
          </cell>
          <cell r="D21">
            <v>45000</v>
          </cell>
          <cell r="E21">
            <v>0</v>
          </cell>
          <cell r="F21">
            <v>260000</v>
          </cell>
          <cell r="G21">
            <v>0</v>
          </cell>
          <cell r="H21">
            <v>305000</v>
          </cell>
        </row>
        <row r="22">
          <cell r="B22" t="str">
            <v>Couche 2Sup</v>
          </cell>
          <cell r="C22" t="str">
            <v>Volume</v>
          </cell>
          <cell r="D22">
            <v>60100</v>
          </cell>
          <cell r="E22">
            <v>16800</v>
          </cell>
          <cell r="F22">
            <v>456270</v>
          </cell>
          <cell r="G22">
            <v>0</v>
          </cell>
          <cell r="H22">
            <v>533170</v>
          </cell>
        </row>
        <row r="23">
          <cell r="C23" t="str">
            <v>Tonnage</v>
          </cell>
          <cell r="D23">
            <v>97362</v>
          </cell>
          <cell r="E23">
            <v>27216</v>
          </cell>
          <cell r="F23">
            <v>739157.4</v>
          </cell>
          <cell r="G23">
            <v>0</v>
          </cell>
          <cell r="H23">
            <v>863735.4</v>
          </cell>
        </row>
        <row r="24">
          <cell r="B24" t="str">
            <v>I C2S/C3</v>
          </cell>
          <cell r="C24" t="str">
            <v>Volume</v>
          </cell>
          <cell r="D24">
            <v>489094</v>
          </cell>
          <cell r="E24">
            <v>432612.25</v>
          </cell>
          <cell r="F24">
            <v>2170408.75</v>
          </cell>
          <cell r="G24">
            <v>226825</v>
          </cell>
          <cell r="H24">
            <v>3318940</v>
          </cell>
        </row>
        <row r="25">
          <cell r="C25" t="str">
            <v>Vol.  Reprise</v>
          </cell>
          <cell r="D25">
            <v>51580</v>
          </cell>
          <cell r="E25">
            <v>167500</v>
          </cell>
          <cell r="F25">
            <v>782300</v>
          </cell>
          <cell r="G25">
            <v>50000</v>
          </cell>
          <cell r="H25">
            <v>1051380</v>
          </cell>
        </row>
        <row r="26">
          <cell r="B26" t="str">
            <v>Couche 3 Sup</v>
          </cell>
          <cell r="C26" t="str">
            <v>Volume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</row>
        <row r="27">
          <cell r="C27" t="str">
            <v>Tonnage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</row>
        <row r="28">
          <cell r="B28" t="str">
            <v>Couche 3 Inf</v>
          </cell>
          <cell r="C28" t="str">
            <v>Volume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</row>
        <row r="29">
          <cell r="C29" t="str">
            <v>Tonnage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</row>
        <row r="30">
          <cell r="B30" t="str">
            <v>Couche 3 Gl</v>
          </cell>
          <cell r="C30" t="str">
            <v>Volume</v>
          </cell>
          <cell r="D30">
            <v>159630</v>
          </cell>
          <cell r="E30">
            <v>137550</v>
          </cell>
          <cell r="F30">
            <v>400710</v>
          </cell>
          <cell r="G30">
            <v>76000</v>
          </cell>
          <cell r="H30">
            <v>773890</v>
          </cell>
        </row>
        <row r="31">
          <cell r="C31" t="str">
            <v>Tonnage</v>
          </cell>
          <cell r="D31">
            <v>226674.59999999998</v>
          </cell>
          <cell r="E31">
            <v>195321</v>
          </cell>
          <cell r="F31">
            <v>569008.19999999995</v>
          </cell>
          <cell r="G31">
            <v>107920</v>
          </cell>
          <cell r="H31">
            <v>1098923.7999999998</v>
          </cell>
        </row>
        <row r="32">
          <cell r="B32" t="str">
            <v>I C3/C4</v>
          </cell>
          <cell r="C32" t="str">
            <v>Volume</v>
          </cell>
          <cell r="D32">
            <v>66111.554520226695</v>
          </cell>
          <cell r="E32">
            <v>404912.5</v>
          </cell>
          <cell r="F32">
            <v>781288.5</v>
          </cell>
          <cell r="G32">
            <v>96750</v>
          </cell>
          <cell r="H32">
            <v>1349062.5545202265</v>
          </cell>
        </row>
        <row r="33">
          <cell r="C33" t="str">
            <v>Vol.  Reprise</v>
          </cell>
          <cell r="D33">
            <v>39070.318173997104</v>
          </cell>
          <cell r="E33">
            <v>140000</v>
          </cell>
          <cell r="F33">
            <v>370000</v>
          </cell>
          <cell r="G33">
            <v>50000</v>
          </cell>
          <cell r="H33">
            <v>599070.3181739971</v>
          </cell>
        </row>
        <row r="34">
          <cell r="B34" t="str">
            <v>Couche 4</v>
          </cell>
          <cell r="C34" t="str">
            <v>Volume</v>
          </cell>
          <cell r="D34">
            <v>20050</v>
          </cell>
          <cell r="E34">
            <v>99670</v>
          </cell>
          <cell r="F34">
            <v>514500</v>
          </cell>
          <cell r="G34">
            <v>22000</v>
          </cell>
          <cell r="H34">
            <v>656220</v>
          </cell>
        </row>
        <row r="35">
          <cell r="C35" t="str">
            <v>Tonnage</v>
          </cell>
          <cell r="D35">
            <v>28471</v>
          </cell>
          <cell r="E35">
            <v>141531.4</v>
          </cell>
          <cell r="F35">
            <v>730590</v>
          </cell>
          <cell r="G35">
            <v>31240</v>
          </cell>
          <cell r="H35">
            <v>931832.4</v>
          </cell>
        </row>
        <row r="36">
          <cell r="B36" t="str">
            <v>I C3/C5</v>
          </cell>
          <cell r="C36" t="str">
            <v>Volume</v>
          </cell>
          <cell r="D36">
            <v>1069625</v>
          </cell>
          <cell r="E36">
            <v>1162032</v>
          </cell>
          <cell r="F36">
            <v>274770</v>
          </cell>
          <cell r="G36">
            <v>483750</v>
          </cell>
          <cell r="H36">
            <v>2990177</v>
          </cell>
        </row>
        <row r="37">
          <cell r="B37" t="str">
            <v>I C4/C5</v>
          </cell>
          <cell r="C37" t="str">
            <v>Vol.  Reprise</v>
          </cell>
          <cell r="D37">
            <v>295000</v>
          </cell>
          <cell r="E37">
            <v>419711.5</v>
          </cell>
          <cell r="F37">
            <v>130000</v>
          </cell>
          <cell r="G37">
            <v>100000</v>
          </cell>
          <cell r="H37">
            <v>944711.5</v>
          </cell>
        </row>
        <row r="38">
          <cell r="B38" t="str">
            <v>Couche 5</v>
          </cell>
          <cell r="C38" t="str">
            <v>Volume</v>
          </cell>
          <cell r="D38">
            <v>148394.36619718318</v>
          </cell>
          <cell r="E38">
            <v>203540</v>
          </cell>
          <cell r="F38">
            <v>77400</v>
          </cell>
          <cell r="G38">
            <v>65000</v>
          </cell>
          <cell r="H38">
            <v>494334.36619718315</v>
          </cell>
        </row>
        <row r="39">
          <cell r="C39" t="str">
            <v>Tonnage</v>
          </cell>
          <cell r="D39">
            <v>210720.00000000009</v>
          </cell>
          <cell r="E39">
            <v>289026.8</v>
          </cell>
          <cell r="F39">
            <v>109908</v>
          </cell>
          <cell r="G39">
            <v>92300</v>
          </cell>
          <cell r="H39">
            <v>701954.8</v>
          </cell>
        </row>
        <row r="40">
          <cell r="B40" t="str">
            <v>Dalle C5</v>
          </cell>
          <cell r="C40" t="str">
            <v>Volume</v>
          </cell>
          <cell r="D40">
            <v>0</v>
          </cell>
          <cell r="E40">
            <v>43537.5</v>
          </cell>
          <cell r="F40">
            <v>0</v>
          </cell>
          <cell r="G40">
            <v>0</v>
          </cell>
          <cell r="H40">
            <v>43537.5</v>
          </cell>
        </row>
        <row r="41">
          <cell r="C41" t="str">
            <v>Vol.  Reprise</v>
          </cell>
          <cell r="D41">
            <v>0</v>
          </cell>
          <cell r="E41">
            <v>20000</v>
          </cell>
          <cell r="F41">
            <v>0</v>
          </cell>
          <cell r="G41">
            <v>0</v>
          </cell>
          <cell r="H41">
            <v>20000</v>
          </cell>
        </row>
        <row r="42">
          <cell r="B42" t="str">
            <v>Couche 5Inf</v>
          </cell>
          <cell r="C42" t="str">
            <v>Volume</v>
          </cell>
          <cell r="D42">
            <v>0</v>
          </cell>
          <cell r="E42">
            <v>22800</v>
          </cell>
          <cell r="F42">
            <v>0</v>
          </cell>
          <cell r="G42">
            <v>0</v>
          </cell>
          <cell r="H42">
            <v>22800</v>
          </cell>
        </row>
        <row r="43">
          <cell r="C43" t="str">
            <v>Tonnage</v>
          </cell>
          <cell r="D43">
            <v>0</v>
          </cell>
          <cell r="E43">
            <v>32376</v>
          </cell>
          <cell r="F43">
            <v>0</v>
          </cell>
          <cell r="G43">
            <v>0</v>
          </cell>
          <cell r="H43">
            <v>32376</v>
          </cell>
        </row>
        <row r="44">
          <cell r="B44" t="str">
            <v>I C5/C6</v>
          </cell>
          <cell r="C44" t="str">
            <v>Volume</v>
          </cell>
          <cell r="D44">
            <v>399470</v>
          </cell>
          <cell r="E44">
            <v>214699</v>
          </cell>
          <cell r="F44">
            <v>0</v>
          </cell>
          <cell r="G44">
            <v>215000</v>
          </cell>
          <cell r="H44">
            <v>829169</v>
          </cell>
        </row>
        <row r="45">
          <cell r="C45" t="str">
            <v>Vol.  Reprise</v>
          </cell>
          <cell r="D45">
            <v>50000</v>
          </cell>
          <cell r="E45">
            <v>52590</v>
          </cell>
          <cell r="F45">
            <v>0</v>
          </cell>
          <cell r="G45">
            <v>50000</v>
          </cell>
          <cell r="H45">
            <v>152590</v>
          </cell>
          <cell r="J45">
            <v>60470</v>
          </cell>
        </row>
        <row r="46">
          <cell r="B46" t="str">
            <v>Couche 6</v>
          </cell>
          <cell r="C46" t="str">
            <v>Volume</v>
          </cell>
          <cell r="D46">
            <v>63500</v>
          </cell>
          <cell r="E46">
            <v>37490</v>
          </cell>
          <cell r="F46">
            <v>0</v>
          </cell>
          <cell r="G46">
            <v>31000</v>
          </cell>
          <cell r="H46">
            <v>131990</v>
          </cell>
        </row>
        <row r="47">
          <cell r="C47" t="str">
            <v>Tonnage</v>
          </cell>
          <cell r="D47">
            <v>102870</v>
          </cell>
          <cell r="E47">
            <v>60733.8</v>
          </cell>
          <cell r="F47">
            <v>0</v>
          </cell>
          <cell r="G47">
            <v>50220</v>
          </cell>
          <cell r="H47">
            <v>213823.8</v>
          </cell>
        </row>
        <row r="48">
          <cell r="B48" t="str">
            <v>TOTAL STERILE</v>
          </cell>
          <cell r="C48" t="str">
            <v>Volume</v>
          </cell>
          <cell r="D48">
            <v>3046523.054520227</v>
          </cell>
          <cell r="E48">
            <v>4212980.75</v>
          </cell>
          <cell r="F48">
            <v>6422271</v>
          </cell>
          <cell r="G48">
            <v>1506140</v>
          </cell>
          <cell r="H48">
            <v>15187914.804520227</v>
          </cell>
          <cell r="I48">
            <v>15381619.250610633</v>
          </cell>
          <cell r="J48">
            <v>1</v>
          </cell>
        </row>
        <row r="49">
          <cell r="C49" t="str">
            <v>Vol. reprise</v>
          </cell>
          <cell r="D49">
            <v>480650.3181739971</v>
          </cell>
          <cell r="E49">
            <v>799801.5</v>
          </cell>
          <cell r="F49">
            <v>1542300</v>
          </cell>
          <cell r="G49">
            <v>250000</v>
          </cell>
          <cell r="H49">
            <v>3072751.8181739971</v>
          </cell>
          <cell r="I49">
            <v>4473524.9253738075</v>
          </cell>
          <cell r="J49">
            <v>1</v>
          </cell>
        </row>
        <row r="50">
          <cell r="C50" t="str">
            <v>Total</v>
          </cell>
          <cell r="D50">
            <v>3527173.3726942241</v>
          </cell>
          <cell r="E50">
            <v>5012782.25</v>
          </cell>
          <cell r="F50">
            <v>7964571</v>
          </cell>
          <cell r="G50">
            <v>1756140</v>
          </cell>
          <cell r="H50">
            <v>18260666.622694224</v>
          </cell>
          <cell r="I50">
            <v>19855144.175984442</v>
          </cell>
        </row>
        <row r="51">
          <cell r="B51" t="str">
            <v>TOTAL PHOSPHATE</v>
          </cell>
          <cell r="C51" t="str">
            <v>Volume</v>
          </cell>
          <cell r="D51">
            <v>498674.36619718315</v>
          </cell>
          <cell r="E51">
            <v>856500</v>
          </cell>
          <cell r="F51">
            <v>1616500</v>
          </cell>
          <cell r="G51">
            <v>279220</v>
          </cell>
          <cell r="H51">
            <v>3250894.3661971833</v>
          </cell>
          <cell r="I51">
            <v>3250894.3661971833</v>
          </cell>
        </row>
        <row r="52">
          <cell r="C52" t="str">
            <v>Tonnage 10 x10</v>
          </cell>
          <cell r="D52">
            <v>742237.60000000009</v>
          </cell>
          <cell r="E52">
            <v>1294818</v>
          </cell>
          <cell r="F52">
            <v>2420208</v>
          </cell>
          <cell r="G52">
            <v>419736.4</v>
          </cell>
          <cell r="H52">
            <v>4877000</v>
          </cell>
        </row>
        <row r="53">
          <cell r="C53" t="str">
            <v xml:space="preserve">Tonnage </v>
          </cell>
          <cell r="D53">
            <v>742237.60000000009</v>
          </cell>
          <cell r="E53">
            <v>1294818</v>
          </cell>
          <cell r="F53">
            <v>2420208</v>
          </cell>
          <cell r="G53">
            <v>419736.4</v>
          </cell>
          <cell r="H53">
            <v>4877000</v>
          </cell>
          <cell r="I53">
            <v>1</v>
          </cell>
          <cell r="J53">
            <v>0.95653988626284758</v>
          </cell>
          <cell r="K53">
            <v>4888000</v>
          </cell>
        </row>
        <row r="54">
          <cell r="B54" t="str">
            <v>RATIO sans reprise</v>
          </cell>
          <cell r="D54">
            <v>6.1092433480240036</v>
          </cell>
          <cell r="E54">
            <v>4.9188333333333336</v>
          </cell>
          <cell r="F54">
            <v>3.9729483451902259</v>
          </cell>
          <cell r="G54">
            <v>5.3940978439939835</v>
          </cell>
          <cell r="H54">
            <v>4.6719188917499892</v>
          </cell>
          <cell r="I54">
            <v>4.7315038626135602</v>
          </cell>
          <cell r="K54">
            <v>-11000</v>
          </cell>
        </row>
        <row r="55">
          <cell r="B55" t="str">
            <v>RATIO avec reprise</v>
          </cell>
          <cell r="D55">
            <v>7.0730994247647532</v>
          </cell>
          <cell r="E55">
            <v>5.8526354349095158</v>
          </cell>
          <cell r="F55">
            <v>4.9270467058459637</v>
          </cell>
          <cell r="G55">
            <v>6.2894491798581766</v>
          </cell>
          <cell r="H55">
            <v>5.6171208798934629</v>
          </cell>
        </row>
        <row r="56">
          <cell r="B56" t="str">
            <v>Indice de reprise stérile</v>
          </cell>
          <cell r="D56">
            <v>13.627068119048918</v>
          </cell>
          <cell r="E56">
            <v>15.955241223573994</v>
          </cell>
          <cell r="F56">
            <v>19.364508144883132</v>
          </cell>
          <cell r="G56">
            <v>14.235767080073341</v>
          </cell>
          <cell r="H56">
            <v>16.827161251359811</v>
          </cell>
          <cell r="I56">
            <v>22.530810583509677</v>
          </cell>
        </row>
        <row r="57">
          <cell r="B57" t="str">
            <v>% Produit par panneau</v>
          </cell>
          <cell r="D57">
            <v>15.219142915726882</v>
          </cell>
          <cell r="E57">
            <v>26.549477137584581</v>
          </cell>
          <cell r="F57">
            <v>49.624933360672543</v>
          </cell>
          <cell r="G57">
            <v>8.6064465860159931</v>
          </cell>
        </row>
        <row r="58">
          <cell r="A58" t="str">
            <v>B) REPRISE STOCK TV (THC)</v>
          </cell>
        </row>
        <row r="59">
          <cell r="B59" t="str">
            <v>Tonnage</v>
          </cell>
          <cell r="C59" t="str">
            <v>10 x 10</v>
          </cell>
          <cell r="H59">
            <v>0</v>
          </cell>
          <cell r="I59">
            <v>0</v>
          </cell>
        </row>
        <row r="60">
          <cell r="C60" t="str">
            <v>mixte</v>
          </cell>
        </row>
      </sheetData>
      <sheetData sheetId="9"/>
      <sheetData sheetId="10"/>
      <sheetData sheetId="11"/>
      <sheetData sheetId="12" refreshError="1">
        <row r="3">
          <cell r="A3" t="str">
            <v xml:space="preserve">          PANNEAU 1  EST</v>
          </cell>
          <cell r="E3" t="str">
            <v>TENEURS SUR BRUT</v>
          </cell>
        </row>
        <row r="4">
          <cell r="C4">
            <v>1</v>
          </cell>
        </row>
        <row r="5">
          <cell r="A5" t="str">
            <v>Tonnage</v>
          </cell>
          <cell r="B5" t="str">
            <v>COUCHES</v>
          </cell>
          <cell r="C5" t="str">
            <v>Tonnage Rect</v>
          </cell>
          <cell r="D5" t="str">
            <v>BPL</v>
          </cell>
          <cell r="E5" t="str">
            <v>CO2</v>
          </cell>
          <cell r="F5" t="str">
            <v>MGO</v>
          </cell>
          <cell r="G5" t="str">
            <v>SIO2</v>
          </cell>
          <cell r="H5" t="str">
            <v>CD</v>
          </cell>
          <cell r="I5" t="str">
            <v>Dis</v>
          </cell>
          <cell r="L5" t="str">
            <v>Tonnage Rect</v>
          </cell>
        </row>
        <row r="6">
          <cell r="A6">
            <v>0</v>
          </cell>
          <cell r="B6" t="str">
            <v>SA2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K6" t="e">
            <v>#DIV/0!</v>
          </cell>
        </row>
        <row r="7">
          <cell r="A7">
            <v>0</v>
          </cell>
          <cell r="B7" t="str">
            <v>C0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K7" t="e">
            <v>#DIV/0!</v>
          </cell>
        </row>
        <row r="8">
          <cell r="A8">
            <v>0</v>
          </cell>
          <cell r="B8" t="str">
            <v>C1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K8" t="e">
            <v>#DIV/0!</v>
          </cell>
        </row>
        <row r="9">
          <cell r="A9">
            <v>43740</v>
          </cell>
          <cell r="B9" t="str">
            <v>C1,0</v>
          </cell>
          <cell r="C9">
            <v>43740</v>
          </cell>
          <cell r="D9">
            <v>65.239999999999995</v>
          </cell>
          <cell r="E9">
            <v>6.92</v>
          </cell>
          <cell r="F9">
            <v>0.73</v>
          </cell>
          <cell r="G9">
            <v>6.28</v>
          </cell>
          <cell r="H9">
            <v>10.835447204746826</v>
          </cell>
          <cell r="I9">
            <v>4.1500000000000004</v>
          </cell>
          <cell r="K9">
            <v>4.0691489361702136</v>
          </cell>
        </row>
        <row r="10">
          <cell r="A10">
            <v>38880</v>
          </cell>
          <cell r="B10" t="str">
            <v>C2S</v>
          </cell>
          <cell r="C10">
            <v>38880</v>
          </cell>
          <cell r="D10">
            <v>61.99</v>
          </cell>
          <cell r="E10">
            <v>4.72</v>
          </cell>
          <cell r="F10">
            <v>0.54</v>
          </cell>
          <cell r="G10">
            <v>13.68</v>
          </cell>
          <cell r="H10">
            <v>7.880325239815873</v>
          </cell>
          <cell r="I10">
            <v>4.4800000000000004</v>
          </cell>
          <cell r="K10">
            <v>4.0174875207986691</v>
          </cell>
        </row>
        <row r="11">
          <cell r="A11">
            <v>0</v>
          </cell>
          <cell r="B11" t="str">
            <v>C3S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4.59</v>
          </cell>
          <cell r="J11">
            <v>0.57999999999999996</v>
          </cell>
          <cell r="K11" t="e">
            <v>#DIV/0!</v>
          </cell>
        </row>
        <row r="12">
          <cell r="A12">
            <v>0</v>
          </cell>
          <cell r="B12" t="str">
            <v>C3i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4.59</v>
          </cell>
          <cell r="J12">
            <v>0.65</v>
          </cell>
          <cell r="K12" t="e">
            <v>#DIV/0!</v>
          </cell>
        </row>
        <row r="13">
          <cell r="A13">
            <v>90922.599999999991</v>
          </cell>
          <cell r="B13" t="str">
            <v>C3G</v>
          </cell>
          <cell r="C13">
            <v>90922.599999999991</v>
          </cell>
          <cell r="D13">
            <v>54.552672306314896</v>
          </cell>
          <cell r="E13">
            <v>4.0373316263774885</v>
          </cell>
          <cell r="F13">
            <v>0.48862347398984196</v>
          </cell>
          <cell r="G13">
            <v>22.807018517123947</v>
          </cell>
          <cell r="H13">
            <v>6.2035447281763361</v>
          </cell>
          <cell r="I13">
            <v>4.59</v>
          </cell>
          <cell r="J13">
            <v>1.23</v>
          </cell>
          <cell r="K13">
            <v>4.015070475474535</v>
          </cell>
        </row>
        <row r="14">
          <cell r="A14">
            <v>10082</v>
          </cell>
          <cell r="B14" t="str">
            <v>C4</v>
          </cell>
          <cell r="C14">
            <v>10082</v>
          </cell>
          <cell r="D14">
            <v>62.82</v>
          </cell>
          <cell r="E14">
            <v>4.9400000000000004</v>
          </cell>
          <cell r="F14">
            <v>0.76</v>
          </cell>
          <cell r="G14">
            <v>10.86</v>
          </cell>
          <cell r="H14">
            <v>8.8653658947928573</v>
          </cell>
          <cell r="I14">
            <v>4.43</v>
          </cell>
          <cell r="K14">
            <v>3.9455860349127181</v>
          </cell>
        </row>
        <row r="15">
          <cell r="A15">
            <v>74266</v>
          </cell>
          <cell r="B15" t="str">
            <v>C5</v>
          </cell>
          <cell r="C15">
            <v>74266</v>
          </cell>
          <cell r="D15">
            <v>51.79</v>
          </cell>
          <cell r="E15">
            <v>9.7100000000000009</v>
          </cell>
          <cell r="F15">
            <v>3.12</v>
          </cell>
          <cell r="G15">
            <v>12</v>
          </cell>
          <cell r="H15">
            <v>18.715772444562699</v>
          </cell>
          <cell r="I15">
            <v>5.2</v>
          </cell>
          <cell r="K15">
            <v>4.2804637433561119</v>
          </cell>
        </row>
        <row r="16">
          <cell r="A16">
            <v>0</v>
          </cell>
          <cell r="B16" t="str">
            <v>C5i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K16" t="e">
            <v>#DIV/0!</v>
          </cell>
        </row>
        <row r="17">
          <cell r="A17">
            <v>51840</v>
          </cell>
          <cell r="B17" t="str">
            <v>C6</v>
          </cell>
          <cell r="C17">
            <v>28512.176984442267</v>
          </cell>
          <cell r="D17">
            <v>66.72</v>
          </cell>
          <cell r="E17">
            <v>4.72</v>
          </cell>
          <cell r="F17">
            <v>0.51</v>
          </cell>
          <cell r="G17">
            <v>7.29</v>
          </cell>
          <cell r="H17">
            <v>7.880325239815873</v>
          </cell>
          <cell r="I17">
            <v>5.18</v>
          </cell>
          <cell r="K17">
            <v>4.4954330708661416</v>
          </cell>
          <cell r="L17">
            <v>23327.823015557733</v>
          </cell>
        </row>
        <row r="18">
          <cell r="A18">
            <v>309730.59999999998</v>
          </cell>
          <cell r="B18" t="str">
            <v>Total</v>
          </cell>
          <cell r="C18">
            <v>286402.77698444226</v>
          </cell>
          <cell r="D18">
            <v>57.980441412906345</v>
          </cell>
          <cell r="E18">
            <v>6.1409478023133008</v>
          </cell>
          <cell r="F18">
            <v>1.2264747242912928</v>
          </cell>
          <cell r="G18">
            <v>14.276311686264638</v>
          </cell>
          <cell r="H18">
            <v>10.643693323473389</v>
          </cell>
          <cell r="I18">
            <v>4.7191500201579064</v>
          </cell>
          <cell r="K18">
            <v>4.1378911377906693</v>
          </cell>
          <cell r="L18">
            <v>23327.823015557733</v>
          </cell>
        </row>
        <row r="21">
          <cell r="A21" t="str">
            <v xml:space="preserve">          PANNEAU 1  OUEST</v>
          </cell>
        </row>
        <row r="22">
          <cell r="A22">
            <v>0</v>
          </cell>
          <cell r="B22" t="str">
            <v>SA2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</row>
        <row r="23">
          <cell r="A23">
            <v>0</v>
          </cell>
          <cell r="B23" t="str">
            <v>C0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</row>
        <row r="24">
          <cell r="A24">
            <v>0</v>
          </cell>
          <cell r="B24" t="str">
            <v>C1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</row>
        <row r="25">
          <cell r="A25">
            <v>32400.000000000004</v>
          </cell>
          <cell r="B25" t="str">
            <v>C1,0</v>
          </cell>
          <cell r="C25">
            <v>32400.000000000004</v>
          </cell>
          <cell r="D25">
            <v>62.1</v>
          </cell>
          <cell r="E25">
            <v>7.86</v>
          </cell>
          <cell r="F25">
            <v>0.68</v>
          </cell>
          <cell r="G25">
            <v>7.39</v>
          </cell>
          <cell r="H25">
            <v>14.775609824654762</v>
          </cell>
          <cell r="I25">
            <v>3.96</v>
          </cell>
        </row>
        <row r="26">
          <cell r="A26">
            <v>58482.000000000007</v>
          </cell>
          <cell r="B26" t="str">
            <v>C2S</v>
          </cell>
          <cell r="C26">
            <v>58482.000000000007</v>
          </cell>
          <cell r="D26">
            <v>62.86</v>
          </cell>
          <cell r="E26">
            <v>4.91</v>
          </cell>
          <cell r="F26">
            <v>0.64</v>
          </cell>
          <cell r="G26">
            <v>11.52</v>
          </cell>
          <cell r="H26">
            <v>8.8653658947928573</v>
          </cell>
          <cell r="I26">
            <v>3.71</v>
          </cell>
        </row>
        <row r="27">
          <cell r="A27">
            <v>0</v>
          </cell>
          <cell r="B27" t="str">
            <v>C3S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3.63</v>
          </cell>
          <cell r="J27">
            <v>0.56000000000000005</v>
          </cell>
        </row>
        <row r="28">
          <cell r="A28">
            <v>0</v>
          </cell>
          <cell r="B28" t="str">
            <v>C3i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3.63</v>
          </cell>
          <cell r="J28">
            <v>1.1399999999999999</v>
          </cell>
        </row>
        <row r="29">
          <cell r="A29">
            <v>135752</v>
          </cell>
          <cell r="B29" t="str">
            <v>C3G</v>
          </cell>
          <cell r="C29">
            <v>135752</v>
          </cell>
          <cell r="D29">
            <v>58.29</v>
          </cell>
          <cell r="E29">
            <v>4.03</v>
          </cell>
          <cell r="F29">
            <v>0.56000000000000005</v>
          </cell>
          <cell r="G29">
            <v>18.39</v>
          </cell>
          <cell r="H29">
            <v>6.8952845848388886</v>
          </cell>
          <cell r="I29">
            <v>3.63</v>
          </cell>
          <cell r="J29">
            <v>1.7</v>
          </cell>
        </row>
        <row r="30">
          <cell r="A30">
            <v>18389</v>
          </cell>
          <cell r="B30" t="str">
            <v>C4</v>
          </cell>
          <cell r="C30">
            <v>18389</v>
          </cell>
          <cell r="D30">
            <v>60.83</v>
          </cell>
          <cell r="E30">
            <v>5.46</v>
          </cell>
          <cell r="F30">
            <v>1.05</v>
          </cell>
          <cell r="G30">
            <v>11.75</v>
          </cell>
          <cell r="H30">
            <v>8.8653658947928573</v>
          </cell>
          <cell r="I30">
            <v>3.68</v>
          </cell>
        </row>
        <row r="31">
          <cell r="A31">
            <v>136454.00000000012</v>
          </cell>
          <cell r="B31" t="str">
            <v>C5</v>
          </cell>
          <cell r="C31">
            <v>136454.00000000012</v>
          </cell>
          <cell r="D31">
            <v>53.93</v>
          </cell>
          <cell r="E31">
            <v>8.31</v>
          </cell>
          <cell r="F31">
            <v>2.57</v>
          </cell>
          <cell r="G31">
            <v>11.61</v>
          </cell>
          <cell r="H31">
            <v>16.74569113460873</v>
          </cell>
          <cell r="I31">
            <v>3.78</v>
          </cell>
        </row>
        <row r="32">
          <cell r="A32">
            <v>0</v>
          </cell>
          <cell r="B32" t="str">
            <v>C5i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</row>
        <row r="33">
          <cell r="A33">
            <v>51030</v>
          </cell>
          <cell r="B33" t="str">
            <v>C6</v>
          </cell>
          <cell r="C33">
            <v>28066.674219060355</v>
          </cell>
          <cell r="D33">
            <v>65.47</v>
          </cell>
          <cell r="E33">
            <v>4.95</v>
          </cell>
          <cell r="F33">
            <v>0.47</v>
          </cell>
          <cell r="G33">
            <v>7.31</v>
          </cell>
          <cell r="H33">
            <v>6.8952845848388886</v>
          </cell>
          <cell r="I33">
            <v>3.8</v>
          </cell>
          <cell r="L33">
            <v>22963.325780939645</v>
          </cell>
        </row>
        <row r="34">
          <cell r="A34">
            <v>432507.00000000012</v>
          </cell>
          <cell r="B34" t="str">
            <v>Total</v>
          </cell>
          <cell r="C34">
            <v>409543.67421906046</v>
          </cell>
          <cell r="D34">
            <v>58.397422196122903</v>
          </cell>
          <cell r="E34">
            <v>6.0119544077425271</v>
          </cell>
          <cell r="F34">
            <v>1.266453859584042</v>
          </cell>
          <cell r="G34">
            <v>13.22226990532115</v>
          </cell>
          <cell r="H34">
            <v>11.170511242480458</v>
          </cell>
          <cell r="I34">
            <v>3.731404190154886</v>
          </cell>
          <cell r="K34">
            <v>4.2539684349833005</v>
          </cell>
          <cell r="L34">
            <v>22963.325780939645</v>
          </cell>
        </row>
        <row r="35">
          <cell r="A35">
            <v>742237.60000000009</v>
          </cell>
          <cell r="C35">
            <v>695946.45120350271</v>
          </cell>
        </row>
        <row r="37">
          <cell r="A37" t="str">
            <v xml:space="preserve">          PANNEAU 2  EST</v>
          </cell>
        </row>
        <row r="38">
          <cell r="A38">
            <v>0</v>
          </cell>
          <cell r="B38" t="str">
            <v>SA2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K38">
            <v>0</v>
          </cell>
        </row>
        <row r="39">
          <cell r="A39">
            <v>0</v>
          </cell>
          <cell r="B39" t="str">
            <v>C0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K39" t="e">
            <v>#DIV/0!</v>
          </cell>
        </row>
        <row r="40">
          <cell r="A40">
            <v>0</v>
          </cell>
          <cell r="B40" t="str">
            <v>C1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K40" t="e">
            <v>#DIV/0!</v>
          </cell>
        </row>
        <row r="41">
          <cell r="A41">
            <v>48600</v>
          </cell>
          <cell r="B41" t="str">
            <v>C1,0</v>
          </cell>
          <cell r="C41">
            <v>48600</v>
          </cell>
          <cell r="D41">
            <v>60.23</v>
          </cell>
          <cell r="E41">
            <v>7.65</v>
          </cell>
          <cell r="F41">
            <v>0.96</v>
          </cell>
          <cell r="G41">
            <v>8.09</v>
          </cell>
          <cell r="H41">
            <v>15.760650479631746</v>
          </cell>
          <cell r="I41">
            <v>4.63</v>
          </cell>
          <cell r="K41">
            <v>4.63</v>
          </cell>
        </row>
        <row r="42">
          <cell r="A42">
            <v>9396</v>
          </cell>
          <cell r="B42" t="str">
            <v>C2S</v>
          </cell>
          <cell r="C42">
            <v>9396</v>
          </cell>
          <cell r="D42">
            <v>60.65</v>
          </cell>
          <cell r="E42">
            <v>5.35</v>
          </cell>
          <cell r="F42">
            <v>1.03</v>
          </cell>
          <cell r="G42">
            <v>11.11</v>
          </cell>
          <cell r="H42">
            <v>14.775609824654762</v>
          </cell>
          <cell r="I42">
            <v>4.62</v>
          </cell>
          <cell r="K42">
            <v>4.2467857142857142</v>
          </cell>
        </row>
        <row r="43">
          <cell r="A43">
            <v>0</v>
          </cell>
          <cell r="B43" t="str">
            <v>C3S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4.6399999999999997</v>
          </cell>
          <cell r="J43">
            <v>0.65</v>
          </cell>
          <cell r="K43" t="e">
            <v>#DIV/0!</v>
          </cell>
        </row>
        <row r="44">
          <cell r="A44">
            <v>0</v>
          </cell>
          <cell r="B44" t="str">
            <v>C3i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4.6399999999999997</v>
          </cell>
          <cell r="J44">
            <v>0.78</v>
          </cell>
          <cell r="K44" t="e">
            <v>#DIV/0!</v>
          </cell>
        </row>
        <row r="45">
          <cell r="A45">
            <v>195321</v>
          </cell>
          <cell r="B45" t="str">
            <v>C3G</v>
          </cell>
          <cell r="C45">
            <v>195321</v>
          </cell>
          <cell r="D45">
            <v>56.740835248769081</v>
          </cell>
          <cell r="E45">
            <v>4.4836038106777378</v>
          </cell>
          <cell r="F45">
            <v>0.65940333434302045</v>
          </cell>
          <cell r="G45">
            <v>19.320059749716396</v>
          </cell>
          <cell r="H45">
            <v>8.0084509063221549</v>
          </cell>
          <cell r="I45">
            <v>4.6399999999999997</v>
          </cell>
          <cell r="J45">
            <v>1.4300000000000002</v>
          </cell>
          <cell r="K45">
            <v>4.6399999999999997</v>
          </cell>
        </row>
        <row r="46">
          <cell r="A46">
            <v>74791.399999999994</v>
          </cell>
          <cell r="B46" t="str">
            <v>C4</v>
          </cell>
          <cell r="C46">
            <v>74791.399999999994</v>
          </cell>
          <cell r="D46">
            <v>60.3</v>
          </cell>
          <cell r="E46">
            <v>5.35</v>
          </cell>
          <cell r="F46">
            <v>0.98</v>
          </cell>
          <cell r="G46">
            <v>11</v>
          </cell>
          <cell r="H46">
            <v>10.835447204746826</v>
          </cell>
          <cell r="I46">
            <v>4.7300000000000004</v>
          </cell>
          <cell r="K46">
            <v>2.4995394802849402</v>
          </cell>
        </row>
        <row r="47">
          <cell r="A47">
            <v>237906.8</v>
          </cell>
          <cell r="B47" t="str">
            <v>C5</v>
          </cell>
          <cell r="C47">
            <v>237906.8</v>
          </cell>
          <cell r="D47">
            <v>53.476200388721438</v>
          </cell>
          <cell r="E47">
            <v>7.9729584143169676</v>
          </cell>
          <cell r="F47">
            <v>2.8944801554885777</v>
          </cell>
          <cell r="G47">
            <v>11.052986770325719</v>
          </cell>
          <cell r="H47">
            <v>14.775609824654762</v>
          </cell>
          <cell r="I47">
            <v>4.58</v>
          </cell>
          <cell r="K47">
            <v>3.7699380957060034</v>
          </cell>
        </row>
        <row r="48">
          <cell r="A48">
            <v>0</v>
          </cell>
          <cell r="B48" t="str">
            <v>C5i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K48">
            <v>3.52</v>
          </cell>
        </row>
        <row r="49">
          <cell r="A49">
            <v>32918.400000000001</v>
          </cell>
          <cell r="B49" t="str">
            <v>C6</v>
          </cell>
          <cell r="C49">
            <v>18105.232385120842</v>
          </cell>
          <cell r="D49">
            <v>67.040000000000006</v>
          </cell>
          <cell r="E49">
            <v>4.71</v>
          </cell>
          <cell r="F49">
            <v>0.46</v>
          </cell>
          <cell r="G49">
            <v>6.93</v>
          </cell>
          <cell r="H49">
            <v>6.8952845848388886</v>
          </cell>
          <cell r="I49">
            <v>4.46</v>
          </cell>
          <cell r="K49">
            <v>4.0432301947185918</v>
          </cell>
          <cell r="L49">
            <v>14813.167614879161</v>
          </cell>
        </row>
        <row r="50">
          <cell r="A50">
            <v>598933.6</v>
          </cell>
          <cell r="B50" t="str">
            <v>Total</v>
          </cell>
          <cell r="C50">
            <v>584120.43238512077</v>
          </cell>
          <cell r="D50">
            <v>56.53931648394785</v>
          </cell>
          <cell r="E50">
            <v>6.300124141002863</v>
          </cell>
          <cell r="F50">
            <v>1.6355697148259771</v>
          </cell>
          <cell r="G50">
            <v>13.437181595796041</v>
          </cell>
          <cell r="H50">
            <v>11.845973101323571</v>
          </cell>
          <cell r="I50">
            <v>4.620353291559308</v>
          </cell>
          <cell r="K50">
            <v>2.3356115422789214</v>
          </cell>
          <cell r="L50">
            <v>14813.167614879161</v>
          </cell>
        </row>
        <row r="53">
          <cell r="A53" t="str">
            <v xml:space="preserve">          PANNEAU 2  OUEST</v>
          </cell>
        </row>
        <row r="54">
          <cell r="A54">
            <v>500013.00000000006</v>
          </cell>
          <cell r="B54" t="str">
            <v>SA2</v>
          </cell>
          <cell r="C54">
            <v>500013.00000000006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</row>
        <row r="55">
          <cell r="A55">
            <v>0</v>
          </cell>
          <cell r="B55" t="str">
            <v>C0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</row>
        <row r="56">
          <cell r="A56">
            <v>0</v>
          </cell>
          <cell r="B56" t="str">
            <v>C1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</row>
        <row r="57">
          <cell r="A57">
            <v>0</v>
          </cell>
          <cell r="B57" t="str">
            <v>C1,0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</row>
        <row r="58">
          <cell r="A58">
            <v>17820</v>
          </cell>
          <cell r="B58" t="str">
            <v>C2S</v>
          </cell>
          <cell r="C58">
            <v>17820</v>
          </cell>
          <cell r="D58">
            <v>61.56</v>
          </cell>
          <cell r="E58">
            <v>5.26</v>
          </cell>
          <cell r="F58">
            <v>0.52</v>
          </cell>
          <cell r="G58">
            <v>12.03</v>
          </cell>
          <cell r="H58">
            <v>15.760650479631746</v>
          </cell>
          <cell r="I58">
            <v>4.05</v>
          </cell>
        </row>
        <row r="59">
          <cell r="A59">
            <v>0</v>
          </cell>
          <cell r="B59" t="str">
            <v>C3S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J59">
            <v>0.65</v>
          </cell>
        </row>
        <row r="60">
          <cell r="A60">
            <v>0</v>
          </cell>
          <cell r="B60" t="str">
            <v>C3i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J60">
            <v>0.78</v>
          </cell>
        </row>
        <row r="61">
          <cell r="A61">
            <v>0</v>
          </cell>
          <cell r="B61" t="str">
            <v>C3G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J61">
            <v>1.4300000000000002</v>
          </cell>
        </row>
        <row r="62">
          <cell r="A62">
            <v>66740</v>
          </cell>
          <cell r="B62" t="str">
            <v>C4</v>
          </cell>
          <cell r="C62">
            <v>66740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</row>
        <row r="63">
          <cell r="A63">
            <v>51120</v>
          </cell>
          <cell r="B63" t="str">
            <v>C5</v>
          </cell>
          <cell r="C63">
            <v>42097.776968358783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L63">
            <v>9022.2230316412133</v>
          </cell>
        </row>
        <row r="64">
          <cell r="A64">
            <v>32376</v>
          </cell>
          <cell r="B64" t="str">
            <v>C5i</v>
          </cell>
          <cell r="C64">
            <v>32376</v>
          </cell>
          <cell r="D64">
            <v>63.404462046956915</v>
          </cell>
          <cell r="E64">
            <v>5.3862112491452026</v>
          </cell>
          <cell r="F64">
            <v>0.98122036699338966</v>
          </cell>
          <cell r="G64">
            <v>8.8730425119671779</v>
          </cell>
          <cell r="H64">
            <v>8.1261363310025736</v>
          </cell>
          <cell r="I64">
            <v>3.52</v>
          </cell>
        </row>
        <row r="65">
          <cell r="A65">
            <v>27815.4</v>
          </cell>
          <cell r="B65" t="str">
            <v>C6</v>
          </cell>
          <cell r="C65">
            <v>15298.564963214803</v>
          </cell>
          <cell r="D65">
            <v>65.040000000000006</v>
          </cell>
          <cell r="E65">
            <v>4.45</v>
          </cell>
          <cell r="F65">
            <v>0.55000000000000004</v>
          </cell>
          <cell r="G65">
            <v>6.97</v>
          </cell>
          <cell r="H65">
            <v>6.8952845848388886</v>
          </cell>
          <cell r="I65">
            <v>3.55</v>
          </cell>
          <cell r="L65">
            <v>12516.835036785198</v>
          </cell>
        </row>
        <row r="66">
          <cell r="A66">
            <v>695884.4</v>
          </cell>
          <cell r="B66" t="str">
            <v>Total</v>
          </cell>
          <cell r="C66">
            <v>674345.34193157358</v>
          </cell>
          <cell r="D66">
            <v>6.1464067010050529</v>
          </cell>
          <cell r="E66">
            <v>0.49855136320159388</v>
          </cell>
          <cell r="F66">
            <v>7.3328305627361645E-2</v>
          </cell>
          <cell r="G66">
            <v>0.90202924872101975</v>
          </cell>
          <cell r="H66">
            <v>0.96305928161432608</v>
          </cell>
          <cell r="I66">
            <v>0.35655977830393415</v>
          </cell>
          <cell r="K66">
            <v>4.7158832628875951</v>
          </cell>
          <cell r="L66">
            <v>21539.058068426413</v>
          </cell>
        </row>
        <row r="67">
          <cell r="A67">
            <v>1294818</v>
          </cell>
          <cell r="C67">
            <v>1258465.7743166944</v>
          </cell>
        </row>
        <row r="68">
          <cell r="K68">
            <v>0.31578947368421051</v>
          </cell>
        </row>
        <row r="69">
          <cell r="A69" t="str">
            <v xml:space="preserve">          PANNEAU 3  EST</v>
          </cell>
        </row>
        <row r="70">
          <cell r="A70">
            <v>0</v>
          </cell>
          <cell r="B70" t="str">
            <v>SA2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K70" t="e">
            <v>#DIV/0!</v>
          </cell>
        </row>
        <row r="71">
          <cell r="A71">
            <v>71928</v>
          </cell>
          <cell r="B71" t="str">
            <v>C0</v>
          </cell>
          <cell r="C71">
            <v>71928</v>
          </cell>
          <cell r="D71">
            <v>64.16</v>
          </cell>
          <cell r="E71">
            <v>5.78</v>
          </cell>
          <cell r="F71">
            <v>0.84</v>
          </cell>
          <cell r="G71">
            <v>6.96</v>
          </cell>
          <cell r="H71">
            <v>11.820487859723809</v>
          </cell>
          <cell r="I71">
            <v>7.87</v>
          </cell>
          <cell r="K71">
            <v>7.8490334572490701</v>
          </cell>
        </row>
        <row r="72">
          <cell r="A72">
            <v>50576.4</v>
          </cell>
          <cell r="B72" t="str">
            <v>C1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7.88</v>
          </cell>
          <cell r="K72">
            <v>7.8102097278000908</v>
          </cell>
          <cell r="L72">
            <v>50576.4</v>
          </cell>
        </row>
        <row r="73">
          <cell r="A73">
            <v>72900</v>
          </cell>
          <cell r="B73" t="str">
            <v>C1,0</v>
          </cell>
          <cell r="C73">
            <v>72900</v>
          </cell>
          <cell r="D73">
            <v>61.91</v>
          </cell>
          <cell r="E73">
            <v>5.4</v>
          </cell>
          <cell r="F73">
            <v>0.91</v>
          </cell>
          <cell r="G73">
            <v>8.5</v>
          </cell>
          <cell r="H73">
            <v>13.790569169677777</v>
          </cell>
          <cell r="I73">
            <v>7.88</v>
          </cell>
          <cell r="K73">
            <v>5.1391304347826088</v>
          </cell>
        </row>
        <row r="74">
          <cell r="A74">
            <v>504225.00000000006</v>
          </cell>
          <cell r="B74" t="str">
            <v>C2S</v>
          </cell>
          <cell r="C74">
            <v>410225.00000000006</v>
          </cell>
          <cell r="D74">
            <v>64.17</v>
          </cell>
          <cell r="E74">
            <v>5.0999999999999996</v>
          </cell>
          <cell r="F74">
            <v>0.69</v>
          </cell>
          <cell r="G74">
            <v>10.17</v>
          </cell>
          <cell r="H74">
            <v>14.775609824654762</v>
          </cell>
          <cell r="I74">
            <v>7.75</v>
          </cell>
          <cell r="K74">
            <v>7.5942593201393906</v>
          </cell>
          <cell r="L74">
            <v>94000</v>
          </cell>
        </row>
        <row r="75">
          <cell r="A75">
            <v>0</v>
          </cell>
          <cell r="B75" t="str">
            <v>C3S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K75" t="e">
            <v>#DIV/0!</v>
          </cell>
        </row>
        <row r="76">
          <cell r="A76">
            <v>0</v>
          </cell>
          <cell r="B76" t="str">
            <v>C3i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7.78</v>
          </cell>
          <cell r="K76" t="e">
            <v>#DIV/0!</v>
          </cell>
        </row>
        <row r="77">
          <cell r="A77">
            <v>305442</v>
          </cell>
          <cell r="B77" t="str">
            <v>C3G</v>
          </cell>
          <cell r="C77">
            <v>127442</v>
          </cell>
          <cell r="D77">
            <v>57.97</v>
          </cell>
          <cell r="E77">
            <v>4.55</v>
          </cell>
          <cell r="F77">
            <v>0.47</v>
          </cell>
          <cell r="G77">
            <v>19.600000000000001</v>
          </cell>
          <cell r="H77">
            <v>6.8952845848388886</v>
          </cell>
          <cell r="I77">
            <v>7.78</v>
          </cell>
          <cell r="K77">
            <v>7.5020783109979794</v>
          </cell>
          <cell r="L77">
            <v>178000</v>
          </cell>
        </row>
        <row r="78">
          <cell r="A78">
            <v>285704</v>
          </cell>
          <cell r="B78" t="str">
            <v>C4</v>
          </cell>
          <cell r="C78">
            <v>262704</v>
          </cell>
          <cell r="D78">
            <v>62.64</v>
          </cell>
          <cell r="E78">
            <v>5.2</v>
          </cell>
          <cell r="F78">
            <v>0.73</v>
          </cell>
          <cell r="G78">
            <v>10.92</v>
          </cell>
          <cell r="H78">
            <v>9.8504065497698416</v>
          </cell>
          <cell r="I78">
            <v>7.94</v>
          </cell>
          <cell r="K78">
            <v>7.6355296404276007</v>
          </cell>
          <cell r="L78">
            <v>23000</v>
          </cell>
        </row>
        <row r="79">
          <cell r="A79">
            <v>0</v>
          </cell>
          <cell r="B79" t="str">
            <v>C5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K79">
            <v>6.6300000000000008</v>
          </cell>
          <cell r="L79">
            <v>0</v>
          </cell>
        </row>
        <row r="80">
          <cell r="A80">
            <v>0</v>
          </cell>
          <cell r="B80" t="str">
            <v>C5i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K80" t="e">
            <v>#DIV/0!</v>
          </cell>
        </row>
        <row r="81">
          <cell r="A81">
            <v>0</v>
          </cell>
          <cell r="B81" t="str">
            <v>C6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K81" t="e">
            <v>#DIV/0!</v>
          </cell>
        </row>
        <row r="82">
          <cell r="A82">
            <v>1290775.3999999999</v>
          </cell>
          <cell r="B82" t="str">
            <v>Total</v>
          </cell>
          <cell r="C82">
            <v>945199</v>
          </cell>
          <cell r="D82">
            <v>62.733740757237371</v>
          </cell>
          <cell r="E82">
            <v>5.1285213378346786</v>
          </cell>
          <cell r="F82">
            <v>0.69983720888405498</v>
          </cell>
          <cell r="G82">
            <v>11.27682954594747</v>
          </cell>
          <cell r="H82">
            <v>12.04335927553298</v>
          </cell>
          <cell r="I82">
            <v>7.8260108506251065</v>
          </cell>
          <cell r="K82">
            <v>7.3972195225092987</v>
          </cell>
          <cell r="L82">
            <v>345576.4</v>
          </cell>
        </row>
        <row r="85">
          <cell r="A85" t="str">
            <v xml:space="preserve">          PANNEAU 3  OUEST</v>
          </cell>
        </row>
        <row r="86">
          <cell r="A86">
            <v>0</v>
          </cell>
          <cell r="B86" t="str">
            <v>SA2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</row>
        <row r="87">
          <cell r="A87">
            <v>15228.000000000002</v>
          </cell>
          <cell r="B87" t="str">
            <v>C0</v>
          </cell>
          <cell r="C87">
            <v>15228.000000000002</v>
          </cell>
          <cell r="D87">
            <v>62.418816586330493</v>
          </cell>
          <cell r="E87">
            <v>5.9385465331850202</v>
          </cell>
          <cell r="F87">
            <v>0.90336361389197872</v>
          </cell>
          <cell r="G87">
            <v>7.2205450500556179</v>
          </cell>
          <cell r="H87">
            <v>13.450291252156994</v>
          </cell>
          <cell r="I87">
            <v>7.75</v>
          </cell>
        </row>
        <row r="88">
          <cell r="A88">
            <v>22032</v>
          </cell>
          <cell r="B88" t="str">
            <v>C1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7.65</v>
          </cell>
          <cell r="L88">
            <v>22032</v>
          </cell>
        </row>
        <row r="89">
          <cell r="A89">
            <v>38880</v>
          </cell>
          <cell r="B89" t="str">
            <v>C1,0</v>
          </cell>
          <cell r="C89">
            <v>38880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</row>
        <row r="90">
          <cell r="A90">
            <v>234932.40000000002</v>
          </cell>
          <cell r="B90" t="str">
            <v>C2S</v>
          </cell>
          <cell r="C90">
            <v>144932.40000000002</v>
          </cell>
          <cell r="D90">
            <v>65.41</v>
          </cell>
          <cell r="E90">
            <v>5.4</v>
          </cell>
          <cell r="F90">
            <v>0.56000000000000005</v>
          </cell>
          <cell r="G90">
            <v>8.6199999999999992</v>
          </cell>
          <cell r="H90">
            <v>15.760650479631746</v>
          </cell>
          <cell r="I90">
            <v>7.26</v>
          </cell>
          <cell r="L90">
            <v>90000</v>
          </cell>
        </row>
        <row r="91">
          <cell r="A91">
            <v>0</v>
          </cell>
          <cell r="B91" t="str">
            <v>C3S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</row>
        <row r="92">
          <cell r="A92">
            <v>0</v>
          </cell>
          <cell r="B92" t="str">
            <v>C3i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7.18</v>
          </cell>
        </row>
        <row r="93">
          <cell r="A93">
            <v>263566.2</v>
          </cell>
          <cell r="B93" t="str">
            <v>C3G</v>
          </cell>
          <cell r="C93">
            <v>163566.20000000001</v>
          </cell>
          <cell r="D93">
            <v>57.883003223228329</v>
          </cell>
          <cell r="E93">
            <v>4.68</v>
          </cell>
          <cell r="F93">
            <v>0.65</v>
          </cell>
          <cell r="G93">
            <v>18</v>
          </cell>
          <cell r="H93">
            <v>7.5568547794335696</v>
          </cell>
          <cell r="I93">
            <v>7.18</v>
          </cell>
          <cell r="L93">
            <v>100000</v>
          </cell>
        </row>
        <row r="94">
          <cell r="A94">
            <v>444886</v>
          </cell>
          <cell r="B94" t="str">
            <v>C4</v>
          </cell>
          <cell r="C94">
            <v>389886</v>
          </cell>
          <cell r="D94">
            <v>63.89</v>
          </cell>
          <cell r="E94">
            <v>5.32</v>
          </cell>
          <cell r="F94">
            <v>0.78</v>
          </cell>
          <cell r="G94">
            <v>8.56</v>
          </cell>
          <cell r="H94">
            <v>8.8653658947928573</v>
          </cell>
          <cell r="I94">
            <v>7.44</v>
          </cell>
          <cell r="L94">
            <v>55000</v>
          </cell>
        </row>
        <row r="95">
          <cell r="A95">
            <v>109908</v>
          </cell>
          <cell r="B95" t="str">
            <v>C5</v>
          </cell>
          <cell r="C95">
            <v>109908</v>
          </cell>
          <cell r="D95">
            <v>57.58</v>
          </cell>
          <cell r="E95">
            <v>7.14</v>
          </cell>
          <cell r="F95">
            <v>1.52</v>
          </cell>
          <cell r="G95">
            <v>9.7200000000000006</v>
          </cell>
          <cell r="H95">
            <v>12.805528514700793</v>
          </cell>
          <cell r="I95">
            <v>6.63</v>
          </cell>
        </row>
        <row r="96">
          <cell r="A96">
            <v>0</v>
          </cell>
          <cell r="B96" t="str">
            <v>C5i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</row>
        <row r="97">
          <cell r="A97">
            <v>0</v>
          </cell>
          <cell r="B97" t="str">
            <v>C6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</row>
        <row r="98">
          <cell r="A98">
            <v>1129432.6000000001</v>
          </cell>
          <cell r="B98" t="str">
            <v>Total</v>
          </cell>
          <cell r="C98">
            <v>862400.60000000009</v>
          </cell>
          <cell r="D98">
            <v>59.295603556848</v>
          </cell>
          <cell r="E98">
            <v>5.2150863561636447</v>
          </cell>
          <cell r="F98">
            <v>0.77969314389663813</v>
          </cell>
          <cell r="G98">
            <v>10.098779230930782</v>
          </cell>
          <cell r="H98">
            <v>9.9594179668204728</v>
          </cell>
          <cell r="I98">
            <v>6.9272602778801406</v>
          </cell>
          <cell r="K98">
            <v>6.9272629778159578</v>
          </cell>
          <cell r="L98">
            <v>267032</v>
          </cell>
        </row>
        <row r="99">
          <cell r="A99">
            <v>2420208</v>
          </cell>
          <cell r="C99">
            <v>1807599.6</v>
          </cell>
        </row>
        <row r="101">
          <cell r="A101" t="str">
            <v xml:space="preserve">          PANNEAU 4  Est</v>
          </cell>
        </row>
        <row r="102">
          <cell r="A102">
            <v>0</v>
          </cell>
          <cell r="B102" t="str">
            <v>SA2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K102">
            <v>5.0199999999999996</v>
          </cell>
        </row>
        <row r="103">
          <cell r="A103">
            <v>0</v>
          </cell>
          <cell r="B103" t="str">
            <v>C0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K103" t="e">
            <v>#DIV/0!</v>
          </cell>
        </row>
        <row r="104">
          <cell r="A104">
            <v>0</v>
          </cell>
          <cell r="B104" t="str">
            <v>C1</v>
          </cell>
          <cell r="C104">
            <v>-0.33612500000000001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K104" t="e">
            <v>#DIV/0!</v>
          </cell>
          <cell r="L104">
            <v>0.33612500000000001</v>
          </cell>
        </row>
        <row r="105">
          <cell r="A105">
            <v>0</v>
          </cell>
          <cell r="B105" t="str">
            <v>C1,0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K105">
            <v>4.54</v>
          </cell>
        </row>
        <row r="106">
          <cell r="A106">
            <v>0</v>
          </cell>
          <cell r="B106" t="str">
            <v>C2S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K106" t="e">
            <v>#DIV/0!</v>
          </cell>
        </row>
        <row r="107">
          <cell r="A107">
            <v>0</v>
          </cell>
          <cell r="B107" t="str">
            <v>C3S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K107" t="e">
            <v>#DIV/0!</v>
          </cell>
        </row>
        <row r="108">
          <cell r="A108">
            <v>0</v>
          </cell>
          <cell r="B108" t="str">
            <v>C3i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J108">
            <v>0.52</v>
          </cell>
          <cell r="K108" t="e">
            <v>#DIV/0!</v>
          </cell>
        </row>
        <row r="109">
          <cell r="A109">
            <v>0</v>
          </cell>
          <cell r="B109" t="str">
            <v>C3G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J109">
            <v>0.74</v>
          </cell>
          <cell r="K109">
            <v>4.6399999999999997</v>
          </cell>
        </row>
        <row r="110">
          <cell r="A110">
            <v>0</v>
          </cell>
          <cell r="B110" t="str">
            <v>C4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J110">
            <v>1.26</v>
          </cell>
          <cell r="K110">
            <v>0</v>
          </cell>
        </row>
        <row r="111">
          <cell r="A111">
            <v>0</v>
          </cell>
          <cell r="B111" t="str">
            <v>C5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K111">
            <v>4.78</v>
          </cell>
        </row>
        <row r="112">
          <cell r="A112">
            <v>0</v>
          </cell>
          <cell r="B112" t="str">
            <v>C5i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K112" t="e">
            <v>#DIV/0!</v>
          </cell>
        </row>
        <row r="113">
          <cell r="A113">
            <v>0</v>
          </cell>
          <cell r="B113" t="str">
            <v>C6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K113">
            <v>4.79</v>
          </cell>
        </row>
        <row r="114">
          <cell r="A114">
            <v>0</v>
          </cell>
          <cell r="B114" t="str">
            <v>Total</v>
          </cell>
          <cell r="C114">
            <v>-0.33612500000000001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K114">
            <v>4.2387359648010206</v>
          </cell>
          <cell r="L114">
            <v>0.33612500000000001</v>
          </cell>
        </row>
        <row r="117">
          <cell r="A117" t="str">
            <v xml:space="preserve">          PANNEAU 4  Ouest</v>
          </cell>
        </row>
        <row r="118">
          <cell r="A118">
            <v>99986.400000000009</v>
          </cell>
          <cell r="B118" t="str">
            <v>SA2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5.0199999999999996</v>
          </cell>
          <cell r="L118">
            <v>99986.400000000009</v>
          </cell>
        </row>
        <row r="119">
          <cell r="A119">
            <v>0</v>
          </cell>
          <cell r="B119" t="str">
            <v>C0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</row>
        <row r="120">
          <cell r="A120">
            <v>0</v>
          </cell>
          <cell r="B120" t="str">
            <v>C1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</row>
        <row r="121">
          <cell r="A121">
            <v>38070</v>
          </cell>
          <cell r="B121" t="str">
            <v>C1,0</v>
          </cell>
          <cell r="C121">
            <v>38070</v>
          </cell>
          <cell r="D121">
            <v>62.87</v>
          </cell>
          <cell r="E121">
            <v>4.8</v>
          </cell>
          <cell r="F121">
            <v>0.56000000000000005</v>
          </cell>
          <cell r="G121">
            <v>12.02</v>
          </cell>
          <cell r="H121">
            <v>7.880325239815873</v>
          </cell>
          <cell r="I121">
            <v>4.54</v>
          </cell>
        </row>
        <row r="122">
          <cell r="A122">
            <v>0</v>
          </cell>
          <cell r="B122" t="str">
            <v>C2S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</row>
        <row r="123">
          <cell r="A123">
            <v>0</v>
          </cell>
          <cell r="B123" t="str">
            <v>C3S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J123">
            <v>0.52</v>
          </cell>
        </row>
        <row r="124">
          <cell r="A124">
            <v>0</v>
          </cell>
          <cell r="B124" t="str">
            <v>C3i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J124">
            <v>0.74</v>
          </cell>
        </row>
        <row r="125">
          <cell r="A125">
            <v>107920</v>
          </cell>
          <cell r="B125" t="str">
            <v>C3G</v>
          </cell>
          <cell r="C125">
            <v>107920</v>
          </cell>
          <cell r="D125">
            <v>58.42</v>
          </cell>
          <cell r="E125">
            <v>4.28</v>
          </cell>
          <cell r="F125">
            <v>0.49</v>
          </cell>
          <cell r="G125">
            <v>18.29</v>
          </cell>
          <cell r="H125">
            <v>5.9102439298619043</v>
          </cell>
          <cell r="I125">
            <v>4.6399999999999997</v>
          </cell>
          <cell r="J125">
            <v>1.26</v>
          </cell>
        </row>
        <row r="126">
          <cell r="A126">
            <v>31240</v>
          </cell>
          <cell r="B126" t="str">
            <v>C4</v>
          </cell>
          <cell r="C126">
            <v>31240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</row>
        <row r="127">
          <cell r="A127">
            <v>92300</v>
          </cell>
          <cell r="B127" t="str">
            <v>C5</v>
          </cell>
          <cell r="C127">
            <v>92300</v>
          </cell>
          <cell r="D127">
            <v>51.79</v>
          </cell>
          <cell r="E127">
            <v>9.7100000000000009</v>
          </cell>
          <cell r="F127">
            <v>3.12</v>
          </cell>
          <cell r="G127">
            <v>12</v>
          </cell>
          <cell r="H127">
            <v>17.730731789585715</v>
          </cell>
          <cell r="I127">
            <v>4.78</v>
          </cell>
        </row>
        <row r="128">
          <cell r="A128">
            <v>0</v>
          </cell>
          <cell r="B128" t="str">
            <v>C5i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</row>
        <row r="129">
          <cell r="A129">
            <v>50220</v>
          </cell>
          <cell r="B129" t="str">
            <v>C6</v>
          </cell>
          <cell r="C129">
            <v>50220</v>
          </cell>
          <cell r="D129">
            <v>65</v>
          </cell>
          <cell r="E129">
            <v>4.72</v>
          </cell>
          <cell r="F129">
            <v>0.51</v>
          </cell>
          <cell r="G129">
            <v>7.29</v>
          </cell>
          <cell r="H129">
            <v>7.880325239815873</v>
          </cell>
          <cell r="I129">
            <v>4.79</v>
          </cell>
        </row>
        <row r="130">
          <cell r="A130">
            <v>419736.4</v>
          </cell>
          <cell r="B130" t="str">
            <v>Total</v>
          </cell>
          <cell r="C130">
            <v>319750</v>
          </cell>
          <cell r="D130">
            <v>52.361733541829558</v>
          </cell>
          <cell r="E130">
            <v>5.5602971071149332</v>
          </cell>
          <cell r="F130">
            <v>1.2127856137607507</v>
          </cell>
          <cell r="G130">
            <v>12.213172791243156</v>
          </cell>
          <cell r="H130">
            <v>9.2889256747859328</v>
          </cell>
          <cell r="I130">
            <v>4.2387315089913997</v>
          </cell>
          <cell r="K130">
            <v>6.4039414272201869</v>
          </cell>
          <cell r="L130">
            <v>99986.400000000009</v>
          </cell>
        </row>
        <row r="131">
          <cell r="A131">
            <v>419736.4</v>
          </cell>
          <cell r="C131">
            <v>319749.66387500003</v>
          </cell>
        </row>
        <row r="133">
          <cell r="C133" t="str">
            <v>Tonnage</v>
          </cell>
          <cell r="D133" t="str">
            <v>%</v>
          </cell>
          <cell r="E133" t="str">
            <v>BPL</v>
          </cell>
          <cell r="F133" t="str">
            <v>CO2</v>
          </cell>
          <cell r="G133" t="str">
            <v>MgO</v>
          </cell>
          <cell r="H133" t="str">
            <v>SiO2</v>
          </cell>
          <cell r="I133" t="str">
            <v>Cd</v>
          </cell>
          <cell r="L133">
            <v>-1481969.489395197</v>
          </cell>
        </row>
        <row r="134">
          <cell r="B134" t="str">
            <v>Sillon A2</v>
          </cell>
          <cell r="C134">
            <v>500013.00000000006</v>
          </cell>
          <cell r="D134">
            <v>12.249307627090673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K134" t="str">
            <v>SA2</v>
          </cell>
          <cell r="L134">
            <v>99986.400000000009</v>
          </cell>
        </row>
        <row r="135">
          <cell r="B135" t="str">
            <v>Couche 0</v>
          </cell>
          <cell r="C135">
            <v>87156</v>
          </cell>
          <cell r="D135">
            <v>2.1351457973026995</v>
          </cell>
          <cell r="E135">
            <v>63.922048256376314</v>
          </cell>
          <cell r="F135">
            <v>5.801667116583288</v>
          </cell>
          <cell r="G135">
            <v>0.84865933036664898</v>
          </cell>
          <cell r="H135">
            <v>6.9956063286995107</v>
          </cell>
          <cell r="I135">
            <v>12.043218306125175</v>
          </cell>
          <cell r="K135" t="str">
            <v>C0</v>
          </cell>
          <cell r="L135">
            <v>0</v>
          </cell>
        </row>
        <row r="136">
          <cell r="B136" t="str">
            <v>Couche 1</v>
          </cell>
          <cell r="C136">
            <v>-0.33612500000000001</v>
          </cell>
          <cell r="D136">
            <v>-8.2343829583547871E-6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K136" t="str">
            <v>C1</v>
          </cell>
          <cell r="L136">
            <v>72608.736124999996</v>
          </cell>
        </row>
        <row r="137">
          <cell r="B137" t="str">
            <v>Couche 1,0</v>
          </cell>
          <cell r="C137">
            <v>274590</v>
          </cell>
          <cell r="D137">
            <v>6.7268998632492112</v>
          </cell>
          <cell r="E137">
            <v>61.730573551551643</v>
          </cell>
          <cell r="F137">
            <v>6.8185430527900532</v>
          </cell>
          <cell r="G137">
            <v>0.82682142683696758</v>
          </cell>
          <cell r="H137">
            <v>8.4626987518818879</v>
          </cell>
          <cell r="I137">
            <v>13.506265512131849</v>
          </cell>
          <cell r="K137" t="str">
            <v>C1,0</v>
          </cell>
          <cell r="L137">
            <v>0</v>
          </cell>
        </row>
        <row r="138">
          <cell r="B138" t="str">
            <v>Couche 2Sup</v>
          </cell>
          <cell r="C138">
            <v>679735.4</v>
          </cell>
          <cell r="D138">
            <v>16.652143083526884</v>
          </cell>
          <cell r="E138">
            <v>62.305938028448601</v>
          </cell>
          <cell r="F138">
            <v>5.1713703816503926</v>
          </cell>
          <cell r="G138">
            <v>0.7337420893085761</v>
          </cell>
          <cell r="H138">
            <v>10.452050185610934</v>
          </cell>
          <cell r="I138">
            <v>14.123071010269101</v>
          </cell>
          <cell r="K138" t="str">
            <v>C2S</v>
          </cell>
          <cell r="L138">
            <v>184000</v>
          </cell>
        </row>
        <row r="139">
          <cell r="B139" t="str">
            <v>Couche 3 G</v>
          </cell>
          <cell r="C139">
            <v>820923.8</v>
          </cell>
          <cell r="D139">
            <v>20.110973443890973</v>
          </cell>
          <cell r="E139">
            <v>57.153133000280199</v>
          </cell>
          <cell r="F139">
            <v>4.3806844287798432</v>
          </cell>
          <cell r="G139">
            <v>0.59170041952661379</v>
          </cell>
          <cell r="H139">
            <v>21.310426901489301</v>
          </cell>
          <cell r="I139">
            <v>7.247291164861676</v>
          </cell>
          <cell r="K139" t="str">
            <v>C3G</v>
          </cell>
          <cell r="L139">
            <v>278000</v>
          </cell>
        </row>
        <row r="140">
          <cell r="B140" t="str">
            <v>Couche 4</v>
          </cell>
          <cell r="C140">
            <v>853832.4</v>
          </cell>
          <cell r="D140">
            <v>20.917167612796334</v>
          </cell>
          <cell r="E140">
            <v>61.206067050015001</v>
          </cell>
          <cell r="F140">
            <v>5.2621925622705721</v>
          </cell>
          <cell r="G140">
            <v>0.81631336333237914</v>
          </cell>
          <cell r="H140">
            <v>10.584559232117982</v>
          </cell>
          <cell r="I140">
            <v>9.8260734308805251</v>
          </cell>
          <cell r="K140" t="str">
            <v>C4</v>
          </cell>
          <cell r="L140">
            <v>78000</v>
          </cell>
        </row>
        <row r="141">
          <cell r="B141" t="str">
            <v>Couche 5</v>
          </cell>
          <cell r="C141">
            <v>692932.57696835883</v>
          </cell>
          <cell r="D141">
            <v>16.97544723860802</v>
          </cell>
          <cell r="E141">
            <v>52.991388881617802</v>
          </cell>
          <cell r="F141">
            <v>8.6456311274591133</v>
          </cell>
          <cell r="G141">
            <v>3.2</v>
          </cell>
          <cell r="H141">
            <v>12.38693236946</v>
          </cell>
          <cell r="I141">
            <v>18.3411770877075</v>
          </cell>
          <cell r="K141" t="str">
            <v>C5</v>
          </cell>
          <cell r="L141">
            <v>9022.2230316412133</v>
          </cell>
        </row>
        <row r="142">
          <cell r="B142" t="str">
            <v>Couche 5 Inf</v>
          </cell>
          <cell r="C142">
            <v>32376</v>
          </cell>
          <cell r="D142">
            <v>0.79314654565918796</v>
          </cell>
          <cell r="E142">
            <v>63.404462046956915</v>
          </cell>
          <cell r="F142">
            <v>5.3862112491452026</v>
          </cell>
          <cell r="G142">
            <v>0.98122036699338966</v>
          </cell>
          <cell r="H142">
            <v>8.8730425119671779</v>
          </cell>
          <cell r="I142">
            <v>8.1261363310025736</v>
          </cell>
          <cell r="K142" t="str">
            <v>C5i</v>
          </cell>
          <cell r="L142">
            <v>0</v>
          </cell>
        </row>
        <row r="143">
          <cell r="B143" t="str">
            <v>Couche 6</v>
          </cell>
          <cell r="C143">
            <v>140410.64855183827</v>
          </cell>
          <cell r="D143">
            <v>3.4397770222589816</v>
          </cell>
          <cell r="E143">
            <v>64.6518307961895</v>
          </cell>
          <cell r="F143">
            <v>4.7332287513079283</v>
          </cell>
          <cell r="G143">
            <v>0.50017019125639384</v>
          </cell>
          <cell r="H143">
            <v>7.2114772277935071</v>
          </cell>
          <cell r="I143">
            <v>7.4528857501659029</v>
          </cell>
          <cell r="K143" t="str">
            <v>C6</v>
          </cell>
          <cell r="L143">
            <v>73413.151448161734</v>
          </cell>
        </row>
        <row r="144">
          <cell r="B144" t="str">
            <v>TOTAL</v>
          </cell>
          <cell r="C144">
            <v>4081969.489395197</v>
          </cell>
          <cell r="D144">
            <v>100</v>
          </cell>
          <cell r="E144">
            <v>51.911578160160083</v>
          </cell>
          <cell r="F144">
            <v>5.0985621446787572</v>
          </cell>
          <cell r="G144">
            <v>1.0538712611175487</v>
          </cell>
          <cell r="H144">
            <v>11.380030443642072</v>
          </cell>
          <cell r="I144">
            <v>10.464635929665297</v>
          </cell>
          <cell r="L144">
            <v>795030.51060480287</v>
          </cell>
        </row>
        <row r="147">
          <cell r="L147">
            <v>383969.48939519713</v>
          </cell>
        </row>
        <row r="148">
          <cell r="A148" t="str">
            <v>Caractérisation des couches</v>
          </cell>
        </row>
        <row r="149">
          <cell r="A149" t="str">
            <v>PRODUCTION</v>
          </cell>
          <cell r="L149">
            <v>247000</v>
          </cell>
        </row>
        <row r="150">
          <cell r="A150" t="str">
            <v>Extraction</v>
          </cell>
          <cell r="I150" t="str">
            <v>Septembre 2004</v>
          </cell>
          <cell r="L150">
            <v>699999.91936078761</v>
          </cell>
        </row>
        <row r="151">
          <cell r="C151" t="str">
            <v>Tonnage</v>
          </cell>
          <cell r="D151" t="str">
            <v>%</v>
          </cell>
          <cell r="E151" t="str">
            <v>BPL</v>
          </cell>
          <cell r="F151" t="str">
            <v>CO2</v>
          </cell>
          <cell r="G151" t="str">
            <v>MgO</v>
          </cell>
          <cell r="H151" t="str">
            <v>SiO2</v>
          </cell>
          <cell r="I151" t="str">
            <v>Cd</v>
          </cell>
        </row>
        <row r="152">
          <cell r="B152" t="str">
            <v>Sillon A2</v>
          </cell>
          <cell r="C152">
            <v>599999.4</v>
          </cell>
          <cell r="D152">
            <v>12.302632766044701</v>
          </cell>
          <cell r="E152">
            <v>59.460317460317462</v>
          </cell>
          <cell r="F152">
            <v>7.9603174603174596</v>
          </cell>
          <cell r="G152">
            <v>0.75</v>
          </cell>
          <cell r="H152">
            <v>8.5668783068783068</v>
          </cell>
          <cell r="I152">
            <v>17.470899470899472</v>
          </cell>
          <cell r="L152" t="str">
            <v>SA2</v>
          </cell>
        </row>
        <row r="153">
          <cell r="B153" t="str">
            <v>Couche 0</v>
          </cell>
          <cell r="C153">
            <v>87156</v>
          </cell>
          <cell r="D153">
            <v>1.7870822226778758</v>
          </cell>
          <cell r="E153">
            <v>63.922048256376314</v>
          </cell>
          <cell r="F153">
            <v>5.801667116583288</v>
          </cell>
          <cell r="G153">
            <v>0.84865933036664898</v>
          </cell>
          <cell r="H153">
            <v>6.9956063286995107</v>
          </cell>
          <cell r="I153">
            <v>12.043218306125175</v>
          </cell>
          <cell r="L153" t="str">
            <v>C0</v>
          </cell>
        </row>
        <row r="154">
          <cell r="B154" t="str">
            <v>Couche 1</v>
          </cell>
          <cell r="C154">
            <v>72608.399999999994</v>
          </cell>
          <cell r="D154">
            <v>1.4887922903424233</v>
          </cell>
          <cell r="E154">
            <v>68.877399528364194</v>
          </cell>
          <cell r="F154">
            <v>5.1348819545976285</v>
          </cell>
          <cell r="G154">
            <v>0.90000416635678515</v>
          </cell>
          <cell r="H154">
            <v>3.8814771263805321</v>
          </cell>
          <cell r="I154">
            <v>12.289061197113019</v>
          </cell>
          <cell r="L154" t="str">
            <v>C1</v>
          </cell>
        </row>
        <row r="155">
          <cell r="B155" t="str">
            <v>Couche 1,0</v>
          </cell>
          <cell r="C155">
            <v>274590</v>
          </cell>
          <cell r="D155">
            <v>5.6303055156858726</v>
          </cell>
          <cell r="E155">
            <v>61.730573551551636</v>
          </cell>
          <cell r="F155">
            <v>6.8185430527900532</v>
          </cell>
          <cell r="G155">
            <v>0.82682142683696758</v>
          </cell>
          <cell r="H155">
            <v>8.4626987518818879</v>
          </cell>
          <cell r="I155">
            <v>13.506265512131849</v>
          </cell>
          <cell r="L155" t="str">
            <v>C1,0</v>
          </cell>
        </row>
        <row r="156">
          <cell r="B156" t="str">
            <v>Couche 2Sup</v>
          </cell>
          <cell r="C156">
            <v>863735.4</v>
          </cell>
          <cell r="D156">
            <v>17.710383432437972</v>
          </cell>
          <cell r="E156">
            <v>62.891357362616738</v>
          </cell>
          <cell r="F156">
            <v>5.185735718275855</v>
          </cell>
          <cell r="G156">
            <v>0.76915971323278021</v>
          </cell>
          <cell r="H156">
            <v>10.068386467896914</v>
          </cell>
          <cell r="I156">
            <v>15.067057946674037</v>
          </cell>
          <cell r="L156" t="str">
            <v>C2S</v>
          </cell>
        </row>
        <row r="157">
          <cell r="B157" t="str">
            <v>Couche 3 G</v>
          </cell>
          <cell r="C157">
            <v>1098923.8</v>
          </cell>
          <cell r="D157">
            <v>22.532782448226367</v>
          </cell>
          <cell r="E157">
            <v>59.18064933684424</v>
          </cell>
          <cell r="F157">
            <v>4.491659567240486</v>
          </cell>
          <cell r="G157">
            <v>0.56344303113590044</v>
          </cell>
          <cell r="H157">
            <v>18.387738705423306</v>
          </cell>
          <cell r="I157">
            <v>7.690682286401179</v>
          </cell>
          <cell r="L157" t="str">
            <v>C3G</v>
          </cell>
        </row>
        <row r="158">
          <cell r="B158" t="str">
            <v>Couche 4</v>
          </cell>
          <cell r="C158">
            <v>931832.4</v>
          </cell>
          <cell r="D158">
            <v>19.106672134508919</v>
          </cell>
          <cell r="E158">
            <v>61.665942420412975</v>
          </cell>
          <cell r="F158">
            <v>5.2469419443943268</v>
          </cell>
          <cell r="G158">
            <v>0.79402132633095535</v>
          </cell>
          <cell r="H158">
            <v>10.067360515292869</v>
          </cell>
          <cell r="I158">
            <v>9.8406321352047357</v>
          </cell>
          <cell r="L158" t="str">
            <v>C4</v>
          </cell>
        </row>
        <row r="159">
          <cell r="B159" t="str">
            <v>Couche 5</v>
          </cell>
          <cell r="C159">
            <v>701954.8</v>
          </cell>
          <cell r="D159">
            <v>14.393167931105189</v>
          </cell>
          <cell r="E159">
            <v>52.310290712267879</v>
          </cell>
          <cell r="F159">
            <v>8.5345088553680384</v>
          </cell>
          <cell r="G159">
            <v>3.1588704091755599</v>
          </cell>
          <cell r="H159">
            <v>12.227723163233154</v>
          </cell>
          <cell r="I159">
            <v>18.105437991189994</v>
          </cell>
          <cell r="L159" t="str">
            <v>C5</v>
          </cell>
        </row>
        <row r="160">
          <cell r="B160" t="str">
            <v>Couche 5 Inf</v>
          </cell>
          <cell r="C160">
            <v>32376</v>
          </cell>
          <cell r="D160">
            <v>0.6638507279064999</v>
          </cell>
          <cell r="E160">
            <v>63.404462046956915</v>
          </cell>
          <cell r="F160">
            <v>5.3862112491452026</v>
          </cell>
          <cell r="G160">
            <v>0.98122036699338966</v>
          </cell>
          <cell r="H160">
            <v>8.8730425119671779</v>
          </cell>
          <cell r="I160">
            <v>8.1261363310025736</v>
          </cell>
          <cell r="L160" t="str">
            <v>C5i</v>
          </cell>
        </row>
        <row r="161">
          <cell r="B161" t="str">
            <v>Couche 6</v>
          </cell>
          <cell r="C161">
            <v>213823.8</v>
          </cell>
          <cell r="D161">
            <v>4.3843305310641778</v>
          </cell>
          <cell r="E161">
            <v>64.799383996175735</v>
          </cell>
          <cell r="F161">
            <v>4.7362233084824563</v>
          </cell>
          <cell r="G161">
            <v>0.50011175867554558</v>
          </cell>
          <cell r="H161">
            <v>7.1937022371385853</v>
          </cell>
          <cell r="I161">
            <v>7.3561274121631071</v>
          </cell>
          <cell r="L161" t="str">
            <v>C6</v>
          </cell>
        </row>
        <row r="162">
          <cell r="B162" t="str">
            <v>TOTAL</v>
          </cell>
          <cell r="C162">
            <v>4877000</v>
          </cell>
          <cell r="D162">
            <v>100</v>
          </cell>
          <cell r="E162">
            <v>60.005280445934893</v>
          </cell>
          <cell r="F162">
            <v>5.9481815493321024</v>
          </cell>
          <cell r="G162">
            <v>1.0653812429503491</v>
          </cell>
          <cell r="H162">
            <v>11.69744448614621</v>
          </cell>
          <cell r="I162">
            <v>12.571989634680396</v>
          </cell>
        </row>
        <row r="164">
          <cell r="A164" t="str">
            <v>EXPEDITIONS</v>
          </cell>
          <cell r="L164">
            <v>750000</v>
          </cell>
        </row>
        <row r="165">
          <cell r="A165" t="str">
            <v>PMG/PT</v>
          </cell>
          <cell r="I165" t="str">
            <v>Septembre 2004</v>
          </cell>
        </row>
        <row r="166">
          <cell r="A166" t="str">
            <v>Profil Y1</v>
          </cell>
        </row>
        <row r="167">
          <cell r="B167" t="str">
            <v>Qualité  Y1</v>
          </cell>
        </row>
        <row r="168">
          <cell r="C168" t="str">
            <v>Tonnage</v>
          </cell>
          <cell r="D168" t="str">
            <v>%</v>
          </cell>
          <cell r="E168" t="str">
            <v>BPL</v>
          </cell>
          <cell r="F168" t="str">
            <v>CO2</v>
          </cell>
          <cell r="G168" t="str">
            <v>MGO</v>
          </cell>
          <cell r="H168" t="str">
            <v>SIO2</v>
          </cell>
          <cell r="I168" t="str">
            <v>Cd</v>
          </cell>
        </row>
        <row r="169">
          <cell r="B169" t="str">
            <v>Couche 1</v>
          </cell>
          <cell r="C169">
            <v>50000</v>
          </cell>
          <cell r="D169">
            <v>18.518518518518519</v>
          </cell>
          <cell r="E169">
            <v>68.877080676705944</v>
          </cell>
          <cell r="F169">
            <v>5.1348581838740337</v>
          </cell>
          <cell r="G169">
            <v>0.9</v>
          </cell>
          <cell r="H169">
            <v>3.8814591579986439</v>
          </cell>
          <cell r="I169">
            <v>12.289004307805818</v>
          </cell>
        </row>
        <row r="170">
          <cell r="B170" t="str">
            <v>Couche 2Sup</v>
          </cell>
          <cell r="C170">
            <v>67000</v>
          </cell>
          <cell r="D170">
            <v>24.814814814814813</v>
          </cell>
          <cell r="E170">
            <v>65.054021739130405</v>
          </cell>
          <cell r="F170">
            <v>5.2388043478260871</v>
          </cell>
          <cell r="G170">
            <v>0.9</v>
          </cell>
          <cell r="H170">
            <v>8.6510505405826397</v>
          </cell>
          <cell r="I170">
            <v>18.554347826087</v>
          </cell>
        </row>
        <row r="171">
          <cell r="B171" t="str">
            <v>Couche 3 Inf</v>
          </cell>
          <cell r="C171">
            <v>138000</v>
          </cell>
          <cell r="D171">
            <v>51.111111111111107</v>
          </cell>
          <cell r="E171">
            <v>65.167830687830701</v>
          </cell>
          <cell r="F171">
            <v>4.8193650793650793</v>
          </cell>
          <cell r="G171">
            <v>0.48</v>
          </cell>
          <cell r="H171">
            <v>9.7571476977627096</v>
          </cell>
          <cell r="I171">
            <v>9</v>
          </cell>
        </row>
        <row r="172">
          <cell r="B172" t="str">
            <v>Couche 4</v>
          </cell>
          <cell r="C172">
            <v>15000</v>
          </cell>
          <cell r="D172">
            <v>5.5555555555555554</v>
          </cell>
          <cell r="E172">
            <v>66.7</v>
          </cell>
          <cell r="F172">
            <v>5.08</v>
          </cell>
          <cell r="G172">
            <v>0.55000000000000004</v>
          </cell>
          <cell r="H172">
            <v>4.4058089555017439</v>
          </cell>
          <cell r="I172">
            <v>10</v>
          </cell>
        </row>
        <row r="173">
          <cell r="B173" t="str">
            <v>TOTAL</v>
          </cell>
          <cell r="C173">
            <v>270000</v>
          </cell>
          <cell r="D173">
            <v>99.999999999999986</v>
          </cell>
          <cell r="E173">
            <v>65.911607871398772</v>
          </cell>
          <cell r="F173">
            <v>4.9963525238904829</v>
          </cell>
          <cell r="G173">
            <v>0.66588888888888886</v>
          </cell>
          <cell r="H173">
            <v>8.09728466941759</v>
          </cell>
          <cell r="I173">
            <v>12.035524147178222</v>
          </cell>
        </row>
        <row r="174">
          <cell r="B174" t="str">
            <v>Sillon A2</v>
          </cell>
          <cell r="C174">
            <v>40000</v>
          </cell>
          <cell r="E174">
            <v>60.74</v>
          </cell>
          <cell r="F174">
            <v>7.85</v>
          </cell>
          <cell r="G174">
            <v>0.6</v>
          </cell>
          <cell r="H174">
            <v>8.0299999999999994</v>
          </cell>
          <cell r="I174">
            <v>16</v>
          </cell>
        </row>
        <row r="175">
          <cell r="B175" t="str">
            <v>TOTAL</v>
          </cell>
          <cell r="C175">
            <v>310000</v>
          </cell>
          <cell r="E175">
            <v>65.244303629927956</v>
          </cell>
          <cell r="F175">
            <v>5.3645651014530014</v>
          </cell>
          <cell r="G175">
            <v>0.6573870967741936</v>
          </cell>
          <cell r="H175">
            <v>8.0886027765895143</v>
          </cell>
          <cell r="I175">
            <v>12.547069418510064</v>
          </cell>
        </row>
        <row r="177">
          <cell r="B177" t="str">
            <v>Qualité Y123</v>
          </cell>
        </row>
        <row r="178">
          <cell r="C178" t="str">
            <v>Tonnage</v>
          </cell>
          <cell r="D178" t="str">
            <v>%</v>
          </cell>
          <cell r="E178" t="str">
            <v>BPL</v>
          </cell>
          <cell r="F178" t="str">
            <v>CO2</v>
          </cell>
          <cell r="G178" t="str">
            <v>MGO</v>
          </cell>
          <cell r="H178" t="str">
            <v>SIO2</v>
          </cell>
          <cell r="I178" t="str">
            <v>Cd</v>
          </cell>
        </row>
        <row r="179">
          <cell r="B179" t="str">
            <v>Sillon A2</v>
          </cell>
          <cell r="C179">
            <v>460000</v>
          </cell>
          <cell r="D179">
            <v>59.81794538361509</v>
          </cell>
          <cell r="E179">
            <v>59</v>
          </cell>
          <cell r="F179">
            <v>8</v>
          </cell>
          <cell r="G179">
            <v>0.8</v>
          </cell>
          <cell r="H179">
            <v>8.76</v>
          </cell>
          <cell r="I179">
            <v>18</v>
          </cell>
          <cell r="L179">
            <v>235414.86930662073</v>
          </cell>
        </row>
        <row r="180">
          <cell r="B180" t="str">
            <v>Couche 1</v>
          </cell>
          <cell r="C180">
            <v>50000</v>
          </cell>
          <cell r="D180">
            <v>6.5019505851755532</v>
          </cell>
          <cell r="E180">
            <v>68.877080676705944</v>
          </cell>
          <cell r="F180">
            <v>5.1348581838740337</v>
          </cell>
          <cell r="G180">
            <v>0.9</v>
          </cell>
          <cell r="H180">
            <v>3.8814591579986439</v>
          </cell>
          <cell r="I180">
            <v>12.289004307805818</v>
          </cell>
          <cell r="L180">
            <v>69205.231664208026</v>
          </cell>
        </row>
        <row r="181">
          <cell r="B181" t="str">
            <v>Couche 2Sup</v>
          </cell>
          <cell r="C181">
            <v>110000</v>
          </cell>
          <cell r="D181">
            <v>14.304291287386217</v>
          </cell>
          <cell r="E181">
            <v>65.054021739130405</v>
          </cell>
          <cell r="F181">
            <v>5.2388043478260871</v>
          </cell>
          <cell r="G181">
            <v>0.9</v>
          </cell>
          <cell r="H181">
            <v>8.6510505405826397</v>
          </cell>
          <cell r="I181">
            <v>18.554347826087</v>
          </cell>
          <cell r="L181">
            <v>26000</v>
          </cell>
        </row>
        <row r="182">
          <cell r="B182" t="str">
            <v>Couche 3Inf</v>
          </cell>
          <cell r="C182">
            <v>69000</v>
          </cell>
          <cell r="D182">
            <v>8.9726918075422635</v>
          </cell>
          <cell r="E182">
            <v>65.167830687830701</v>
          </cell>
          <cell r="F182">
            <v>4.8193650793650793</v>
          </cell>
          <cell r="G182">
            <v>0.48</v>
          </cell>
          <cell r="H182">
            <v>9.7571476977627096</v>
          </cell>
          <cell r="I182">
            <v>9</v>
          </cell>
          <cell r="L182">
            <v>50000</v>
          </cell>
        </row>
        <row r="183">
          <cell r="B183" t="str">
            <v>Couche 4</v>
          </cell>
          <cell r="D183">
            <v>0</v>
          </cell>
          <cell r="E183">
            <v>66.7</v>
          </cell>
          <cell r="F183">
            <v>5.08</v>
          </cell>
          <cell r="G183">
            <v>0.55000000000000004</v>
          </cell>
          <cell r="H183">
            <v>4.4058089555017439</v>
          </cell>
          <cell r="I183">
            <v>10</v>
          </cell>
          <cell r="L183">
            <v>23000</v>
          </cell>
        </row>
        <row r="184">
          <cell r="B184" t="str">
            <v>Couche 6</v>
          </cell>
          <cell r="C184">
            <v>80000</v>
          </cell>
          <cell r="D184">
            <v>10.403120936280883</v>
          </cell>
          <cell r="E184">
            <v>65.081595563139899</v>
          </cell>
          <cell r="F184">
            <v>4.7362233084824563</v>
          </cell>
          <cell r="G184">
            <v>0.50011175867554558</v>
          </cell>
          <cell r="H184">
            <v>7.1937022371385853</v>
          </cell>
          <cell r="I184">
            <v>7.3561274121631071</v>
          </cell>
          <cell r="L184">
            <v>65380</v>
          </cell>
        </row>
        <row r="185">
          <cell r="B185" t="str">
            <v>TOTAL</v>
          </cell>
          <cell r="C185">
            <v>769000</v>
          </cell>
          <cell r="D185">
            <v>100.00000000000001</v>
          </cell>
          <cell r="E185">
            <v>61.694283989143244</v>
          </cell>
          <cell r="F185">
            <v>6.7938172205583323</v>
          </cell>
          <cell r="G185">
            <v>0.76089589166975768</v>
          </cell>
          <cell r="H185">
            <v>8.3537423764378875</v>
          </cell>
          <cell r="I185">
            <v>15.793132209665684</v>
          </cell>
        </row>
        <row r="187">
          <cell r="A187" t="str">
            <v>Total Y1</v>
          </cell>
        </row>
        <row r="188">
          <cell r="B188" t="str">
            <v>Tonnage</v>
          </cell>
          <cell r="C188">
            <v>1079000</v>
          </cell>
          <cell r="E188">
            <v>62.714215489276008</v>
          </cell>
          <cell r="F188">
            <v>6.3831887155327047</v>
          </cell>
          <cell r="G188">
            <v>0.73115749832626842</v>
          </cell>
          <cell r="H188">
            <v>8.2775669585018399</v>
          </cell>
          <cell r="I188">
            <v>14.860528442049148</v>
          </cell>
        </row>
        <row r="189">
          <cell r="A189" t="str">
            <v>Application Directe</v>
          </cell>
        </row>
        <row r="190">
          <cell r="C190" t="str">
            <v>Tonnage</v>
          </cell>
          <cell r="D190" t="str">
            <v>%</v>
          </cell>
          <cell r="E190" t="str">
            <v>BPL</v>
          </cell>
          <cell r="F190" t="str">
            <v>CO2</v>
          </cell>
          <cell r="G190" t="str">
            <v>MgO</v>
          </cell>
          <cell r="H190" t="str">
            <v>SiO2</v>
          </cell>
          <cell r="I190" t="str">
            <v>Cd</v>
          </cell>
          <cell r="J190" t="str">
            <v>Rt Sc</v>
          </cell>
          <cell r="K190" t="str">
            <v>Rt Sf</v>
          </cell>
        </row>
        <row r="191">
          <cell r="B191" t="str">
            <v>Couche 3Inf</v>
          </cell>
          <cell r="C191">
            <v>40000</v>
          </cell>
          <cell r="D191">
            <v>40</v>
          </cell>
          <cell r="E191">
            <v>65.167830687830701</v>
          </cell>
          <cell r="F191">
            <v>4.8193650793650793</v>
          </cell>
          <cell r="G191">
            <v>0.48</v>
          </cell>
          <cell r="H191">
            <v>9.7571476977627096</v>
          </cell>
          <cell r="I191">
            <v>9</v>
          </cell>
          <cell r="J191">
            <v>29</v>
          </cell>
          <cell r="K191">
            <v>47</v>
          </cell>
        </row>
        <row r="192">
          <cell r="B192" t="str">
            <v>COUCHE 4</v>
          </cell>
          <cell r="C192">
            <v>60000</v>
          </cell>
          <cell r="D192">
            <v>60</v>
          </cell>
          <cell r="E192">
            <v>66.7</v>
          </cell>
          <cell r="F192">
            <v>5.08</v>
          </cell>
          <cell r="G192">
            <v>0.55000000000000004</v>
          </cell>
          <cell r="H192">
            <v>4.4058089555017439</v>
          </cell>
          <cell r="I192">
            <v>10</v>
          </cell>
          <cell r="J192">
            <v>31</v>
          </cell>
          <cell r="K192">
            <v>52</v>
          </cell>
        </row>
        <row r="193">
          <cell r="B193" t="str">
            <v>TOTAL</v>
          </cell>
          <cell r="C193">
            <v>100000</v>
          </cell>
          <cell r="D193">
            <v>100</v>
          </cell>
          <cell r="E193">
            <v>66.087132275132277</v>
          </cell>
          <cell r="F193">
            <v>4.9757460317460316</v>
          </cell>
          <cell r="G193">
            <v>0.52200000000000002</v>
          </cell>
          <cell r="H193">
            <v>6.5463444524061307</v>
          </cell>
          <cell r="I193">
            <v>9.6</v>
          </cell>
          <cell r="J193">
            <v>30.2</v>
          </cell>
          <cell r="K193">
            <v>50</v>
          </cell>
        </row>
        <row r="195">
          <cell r="A195" t="str">
            <v>Total PMG/PT</v>
          </cell>
        </row>
        <row r="196">
          <cell r="B196" t="str">
            <v>Tonnage</v>
          </cell>
          <cell r="C196">
            <v>1179000</v>
          </cell>
          <cell r="E196">
            <v>63.00029833794914</v>
          </cell>
          <cell r="F196">
            <v>6.263812745745879</v>
          </cell>
          <cell r="G196">
            <v>0.71341725249706844</v>
          </cell>
          <cell r="H196">
            <v>8.1307287476370647</v>
          </cell>
          <cell r="I196">
            <v>14.414342823554733</v>
          </cell>
        </row>
        <row r="197">
          <cell r="A197" t="str">
            <v>PCS/MD</v>
          </cell>
        </row>
        <row r="198">
          <cell r="A198" t="str">
            <v>TESSENDERLO</v>
          </cell>
        </row>
        <row r="199">
          <cell r="C199" t="str">
            <v>Tonnage</v>
          </cell>
          <cell r="D199" t="str">
            <v>%</v>
          </cell>
          <cell r="E199" t="str">
            <v>BPL</v>
          </cell>
          <cell r="F199" t="str">
            <v>CO2</v>
          </cell>
          <cell r="G199" t="str">
            <v>MgO</v>
          </cell>
          <cell r="H199" t="str">
            <v>SiO2</v>
          </cell>
          <cell r="I199" t="str">
            <v>Cd</v>
          </cell>
          <cell r="L199">
            <v>0.27855926621161919</v>
          </cell>
        </row>
        <row r="200">
          <cell r="B200" t="str">
            <v>Couche 0</v>
          </cell>
          <cell r="C200">
            <v>24278.111405939882</v>
          </cell>
          <cell r="D200">
            <v>2.4333368317377735</v>
          </cell>
          <cell r="E200">
            <v>63.922048256376314</v>
          </cell>
          <cell r="F200">
            <v>5.801667116583288</v>
          </cell>
          <cell r="G200">
            <v>0.84865933036664898</v>
          </cell>
          <cell r="H200">
            <v>6.9956063286995107</v>
          </cell>
          <cell r="I200">
            <v>12.043218306125175</v>
          </cell>
        </row>
        <row r="201">
          <cell r="B201" t="str">
            <v>Couche 1</v>
          </cell>
          <cell r="C201">
            <v>-9.363073335538051E-2</v>
          </cell>
          <cell r="D201">
            <v>-9.3843836634065259E-6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</row>
        <row r="202">
          <cell r="B202" t="str">
            <v>Couche 1,0</v>
          </cell>
          <cell r="C202">
            <v>-23510.411090951486</v>
          </cell>
          <cell r="D202">
            <v>-2.3563920718689757</v>
          </cell>
          <cell r="E202">
            <v>61.730573551551643</v>
          </cell>
          <cell r="F202">
            <v>6.8185430527900532</v>
          </cell>
          <cell r="G202">
            <v>0.82682142683696758</v>
          </cell>
          <cell r="H202">
            <v>8.4626987518818879</v>
          </cell>
          <cell r="I202">
            <v>13.506265512131849</v>
          </cell>
          <cell r="L202">
            <v>-100000</v>
          </cell>
        </row>
        <row r="203">
          <cell r="B203" t="str">
            <v>Couche 2Sup</v>
          </cell>
          <cell r="C203">
            <v>123950.59424206146</v>
          </cell>
          <cell r="D203">
            <v>12.423270543655192</v>
          </cell>
          <cell r="E203">
            <v>62.305938028448601</v>
          </cell>
          <cell r="F203">
            <v>5.1713703816503926</v>
          </cell>
          <cell r="G203">
            <v>0.7337420893085761</v>
          </cell>
          <cell r="H203">
            <v>10.452050185610934</v>
          </cell>
          <cell r="I203">
            <v>14.123071010269101</v>
          </cell>
          <cell r="L203">
            <v>-65396</v>
          </cell>
        </row>
        <row r="204">
          <cell r="B204" t="str">
            <v>Couche 3 G</v>
          </cell>
          <cell r="C204">
            <v>273675.93134365405</v>
          </cell>
          <cell r="D204">
            <v>27.429881697293851</v>
          </cell>
          <cell r="E204">
            <v>57.153133000280199</v>
          </cell>
          <cell r="F204">
            <v>4.3806844287798432</v>
          </cell>
          <cell r="G204">
            <v>0.59170041952661379</v>
          </cell>
          <cell r="H204">
            <v>21.310426901489301</v>
          </cell>
          <cell r="I204">
            <v>7.247291164861676</v>
          </cell>
          <cell r="L204">
            <v>45000</v>
          </cell>
        </row>
        <row r="205">
          <cell r="B205" t="str">
            <v>Couche 4</v>
          </cell>
          <cell r="C205">
            <v>462842.92681170569</v>
          </cell>
          <cell r="D205">
            <v>46.38963559763075</v>
          </cell>
          <cell r="E205">
            <v>61.206067050015001</v>
          </cell>
          <cell r="F205">
            <v>5.2621925622705721</v>
          </cell>
          <cell r="G205">
            <v>0.81631336333237914</v>
          </cell>
          <cell r="H205">
            <v>10.584559232117982</v>
          </cell>
          <cell r="I205">
            <v>9.8260734308805251</v>
          </cell>
          <cell r="L205">
            <v>225000</v>
          </cell>
        </row>
        <row r="206">
          <cell r="B206" t="str">
            <v>Couche 5</v>
          </cell>
          <cell r="C206">
            <v>2965.7901744323608</v>
          </cell>
          <cell r="D206">
            <v>0.29725403043033261</v>
          </cell>
          <cell r="E206">
            <v>52.991388881617802</v>
          </cell>
          <cell r="F206">
            <v>8.6456311274591133</v>
          </cell>
          <cell r="G206">
            <v>3.2</v>
          </cell>
          <cell r="H206">
            <v>12.38693236946</v>
          </cell>
          <cell r="I206">
            <v>18.3411770877075</v>
          </cell>
          <cell r="L206">
            <v>-190057</v>
          </cell>
        </row>
        <row r="207">
          <cell r="B207" t="str">
            <v>Couche 5 Inf</v>
          </cell>
          <cell r="C207">
            <v>9018.6348028673838</v>
          </cell>
          <cell r="D207">
            <v>0.90391611896303359</v>
          </cell>
          <cell r="E207">
            <v>63.404462046956915</v>
          </cell>
          <cell r="F207">
            <v>5.3862112491452026</v>
          </cell>
          <cell r="G207">
            <v>0.98122036699338966</v>
          </cell>
          <cell r="H207">
            <v>8.8730425119671779</v>
          </cell>
          <cell r="I207">
            <v>8.1261363310025736</v>
          </cell>
        </row>
        <row r="208">
          <cell r="B208" t="str">
            <v>Couche 6</v>
          </cell>
          <cell r="C208">
            <v>124507.68722889762</v>
          </cell>
          <cell r="D208">
            <v>12.47910663654171</v>
          </cell>
          <cell r="E208">
            <v>64.6518307961895</v>
          </cell>
          <cell r="F208">
            <v>4.7332287513079283</v>
          </cell>
          <cell r="G208">
            <v>0.50017019125639384</v>
          </cell>
          <cell r="H208">
            <v>7.2114772277935071</v>
          </cell>
          <cell r="I208">
            <v>7.4528857501659029</v>
          </cell>
          <cell r="L208">
            <v>85395</v>
          </cell>
        </row>
        <row r="209">
          <cell r="B209" t="str">
            <v>TOTAL</v>
          </cell>
          <cell r="C209">
            <v>997729.17128787353</v>
          </cell>
          <cell r="D209">
            <v>100.00000000000003</v>
          </cell>
          <cell r="E209">
            <v>60.710180984538141</v>
          </cell>
          <cell r="F209">
            <v>4.9307353205377389</v>
          </cell>
          <cell r="G209">
            <v>0.71410817958661099</v>
          </cell>
          <cell r="H209">
            <v>13.041815571072187</v>
          </cell>
          <cell r="I209">
            <v>9.3335687731646697</v>
          </cell>
          <cell r="L209">
            <v>-58</v>
          </cell>
        </row>
        <row r="211">
          <cell r="A211" t="str">
            <v>STANDARD</v>
          </cell>
        </row>
        <row r="212">
          <cell r="C212" t="str">
            <v>Tonnage</v>
          </cell>
          <cell r="D212" t="str">
            <v>%</v>
          </cell>
          <cell r="E212" t="str">
            <v>BPL</v>
          </cell>
          <cell r="F212" t="str">
            <v>CO2</v>
          </cell>
          <cell r="G212" t="str">
            <v>MgO</v>
          </cell>
          <cell r="H212" t="str">
            <v>SiO2</v>
          </cell>
          <cell r="I212" t="str">
            <v>Cd</v>
          </cell>
          <cell r="L212">
            <v>0.28374981154475487</v>
          </cell>
        </row>
        <row r="213">
          <cell r="B213" t="str">
            <v>Couche 0</v>
          </cell>
          <cell r="C213">
            <v>24730.498574994657</v>
          </cell>
          <cell r="D213">
            <v>2.4333366384123236</v>
          </cell>
          <cell r="E213">
            <v>63.922048256376314</v>
          </cell>
          <cell r="F213">
            <v>5.801667116583288</v>
          </cell>
          <cell r="G213">
            <v>0.84865933036664898</v>
          </cell>
          <cell r="H213">
            <v>6.9956063286995107</v>
          </cell>
          <cell r="I213">
            <v>12.043218306125175</v>
          </cell>
        </row>
        <row r="214">
          <cell r="B214" t="str">
            <v>Couche 1</v>
          </cell>
          <cell r="C214">
            <v>-9.5375405405480729E-2</v>
          </cell>
          <cell r="D214">
            <v>-9.3843829178294334E-6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</row>
        <row r="215">
          <cell r="B215" t="str">
            <v>Couche 1,0</v>
          </cell>
          <cell r="C215">
            <v>127914.86075207424</v>
          </cell>
          <cell r="D215">
            <v>12.586075299757681</v>
          </cell>
          <cell r="E215">
            <v>61.730573551551643</v>
          </cell>
          <cell r="F215">
            <v>6.8185430527900532</v>
          </cell>
          <cell r="G215">
            <v>0.82682142683696758</v>
          </cell>
          <cell r="H215">
            <v>8.4626987518818879</v>
          </cell>
          <cell r="I215">
            <v>13.506265512131849</v>
          </cell>
          <cell r="L215">
            <v>50000</v>
          </cell>
        </row>
        <row r="216">
          <cell r="B216" t="str">
            <v>Couche 2Sup</v>
          </cell>
          <cell r="C216">
            <v>192874.79165029858</v>
          </cell>
          <cell r="D216">
            <v>18.977753146609022</v>
          </cell>
          <cell r="E216">
            <v>62.305938028448601</v>
          </cell>
          <cell r="F216">
            <v>5.1713703816503926</v>
          </cell>
          <cell r="G216">
            <v>0.7337420893085761</v>
          </cell>
          <cell r="H216">
            <v>10.452050185610934</v>
          </cell>
          <cell r="I216">
            <v>14.123071010269101</v>
          </cell>
        </row>
        <row r="217">
          <cell r="B217" t="str">
            <v>Couche 3 G</v>
          </cell>
          <cell r="C217">
            <v>124671.97354260404</v>
          </cell>
          <cell r="D217">
            <v>12.266994136184973</v>
          </cell>
          <cell r="E217">
            <v>57.153133000280199</v>
          </cell>
          <cell r="F217">
            <v>4.3806844287798432</v>
          </cell>
          <cell r="G217">
            <v>0.59170041952661379</v>
          </cell>
          <cell r="H217">
            <v>21.310426901489301</v>
          </cell>
          <cell r="I217">
            <v>7.247291164861676</v>
          </cell>
          <cell r="L217">
            <v>-108265</v>
          </cell>
        </row>
        <row r="218">
          <cell r="B218" t="str">
            <v>Couche 4</v>
          </cell>
          <cell r="C218">
            <v>300480.78259080579</v>
          </cell>
          <cell r="D218">
            <v>29.565554256811964</v>
          </cell>
          <cell r="E218">
            <v>61.206067050015001</v>
          </cell>
          <cell r="F218">
            <v>5.2621925622705721</v>
          </cell>
          <cell r="G218">
            <v>0.81631336333237914</v>
          </cell>
          <cell r="H218">
            <v>10.584559232117982</v>
          </cell>
          <cell r="I218">
            <v>9.8260734308805251</v>
          </cell>
          <cell r="L218">
            <v>58206</v>
          </cell>
        </row>
        <row r="219">
          <cell r="B219" t="str">
            <v>Couche 5</v>
          </cell>
          <cell r="C219">
            <v>196619.48812799316</v>
          </cell>
          <cell r="D219">
            <v>19.346209411705157</v>
          </cell>
          <cell r="E219">
            <v>52.991388881617802</v>
          </cell>
          <cell r="F219">
            <v>8.6456311274591133</v>
          </cell>
          <cell r="G219">
            <v>3.2</v>
          </cell>
          <cell r="H219">
            <v>12.38693236946</v>
          </cell>
          <cell r="I219">
            <v>18.3411770877075</v>
          </cell>
        </row>
        <row r="220">
          <cell r="B220" t="str">
            <v>Couche 5 Inf</v>
          </cell>
          <cell r="C220">
            <v>9186.6838985729828</v>
          </cell>
          <cell r="D220">
            <v>0.90391604714807217</v>
          </cell>
          <cell r="E220">
            <v>63.404462046956915</v>
          </cell>
          <cell r="F220">
            <v>5.3862112491452026</v>
          </cell>
          <cell r="G220">
            <v>0.98122036699338966</v>
          </cell>
          <cell r="H220">
            <v>8.8730425119671779</v>
          </cell>
          <cell r="I220">
            <v>8.1261363310025736</v>
          </cell>
        </row>
        <row r="221">
          <cell r="B221" t="str">
            <v>Couche 6</v>
          </cell>
          <cell r="C221">
            <v>39841.49506546092</v>
          </cell>
          <cell r="D221">
            <v>3.9201704477537325</v>
          </cell>
          <cell r="E221">
            <v>64.6518307961895</v>
          </cell>
          <cell r="F221">
            <v>4.7332287513079283</v>
          </cell>
          <cell r="G221">
            <v>0.50017019125639384</v>
          </cell>
          <cell r="H221">
            <v>7.2114772277935071</v>
          </cell>
          <cell r="I221">
            <v>7.4528857501659029</v>
          </cell>
        </row>
        <row r="222">
          <cell r="B222" t="str">
            <v>TOTAL</v>
          </cell>
          <cell r="C222">
            <v>1016320.4788273989</v>
          </cell>
          <cell r="D222">
            <v>100.00000000000001</v>
          </cell>
          <cell r="E222">
            <v>59.615456776121178</v>
          </cell>
          <cell r="F222">
            <v>5.9807850244122589</v>
          </cell>
          <cell r="G222">
            <v>1.2254499279036637</v>
          </cell>
          <cell r="H222">
            <v>11.721753923330112</v>
          </cell>
          <cell r="I222">
            <v>12.381302000776707</v>
          </cell>
        </row>
        <row r="224">
          <cell r="A224" t="str">
            <v>Total PCS/MD</v>
          </cell>
        </row>
        <row r="225">
          <cell r="B225" t="str">
            <v>Tonnage</v>
          </cell>
          <cell r="C225">
            <v>2014049.6501152725</v>
          </cell>
          <cell r="E225">
            <v>60.157766285318289</v>
          </cell>
          <cell r="F225">
            <v>5.4606065765781455</v>
          </cell>
          <cell r="G225">
            <v>0.97213910273901805</v>
          </cell>
          <cell r="H225">
            <v>12.375692128763738</v>
          </cell>
          <cell r="I225">
            <v>10.871501908550659</v>
          </cell>
        </row>
      </sheetData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1"/>
      <sheetName val="Sce"/>
      <sheetName val="411"/>
      <sheetName val="X-G-P"/>
      <sheetName val="Sfr"/>
      <sheetName val="Résultats"/>
      <sheetName val="Synthesis"/>
      <sheetName val="PRODUIT PAR DRT"/>
      <sheetName val="Disposal"/>
      <sheetName val="MS"/>
      <sheetName val="Feuil3"/>
      <sheetName val="Données de base-RH"/>
      <sheetName val="Paramètres"/>
      <sheetName val="Macro1"/>
    </sheetNames>
    <sheetDataSet>
      <sheetData sheetId="0" refreshError="1">
        <row r="1">
          <cell r="A1" t="str">
            <v>MATRICULE</v>
          </cell>
          <cell r="B1" t="str">
            <v>SERVICE</v>
          </cell>
          <cell r="C1" t="str">
            <v>COD_EMPLOI</v>
          </cell>
          <cell r="D1" t="str">
            <v>NOM</v>
          </cell>
          <cell r="E1" t="str">
            <v>PRENOM</v>
          </cell>
          <cell r="F1" t="str">
            <v>D_NAISS</v>
          </cell>
          <cell r="G1" t="str">
            <v>COD_TRIB</v>
          </cell>
          <cell r="H1" t="str">
            <v>LIEU</v>
          </cell>
          <cell r="I1" t="str">
            <v>EMBAUCHE</v>
          </cell>
          <cell r="J1" t="str">
            <v>D_EMBAU</v>
          </cell>
          <cell r="K1" t="str">
            <v>D_PROMO</v>
          </cell>
          <cell r="L1" t="str">
            <v>NIVEAU</v>
          </cell>
          <cell r="M1" t="str">
            <v>CLASSE</v>
          </cell>
          <cell r="N1" t="str">
            <v>D_CLASSE</v>
          </cell>
          <cell r="O1" t="str">
            <v>PFA</v>
          </cell>
          <cell r="P1" t="str">
            <v>ECHELON</v>
          </cell>
          <cell r="Q1" t="str">
            <v>TRANS</v>
          </cell>
          <cell r="R1" t="str">
            <v>IND_TRANS</v>
          </cell>
          <cell r="S1" t="str">
            <v>C_TRANS</v>
          </cell>
          <cell r="T1" t="str">
            <v>SITU_FAMIL</v>
          </cell>
          <cell r="U1" t="str">
            <v>CONJOIN1</v>
          </cell>
          <cell r="V1" t="str">
            <v>CONJOIN2</v>
          </cell>
          <cell r="W1" t="str">
            <v>CONJOIN3</v>
          </cell>
          <cell r="X1" t="str">
            <v>NBRE_ENFAN</v>
          </cell>
          <cell r="Y1" t="str">
            <v>ENF_A_CHAR</v>
          </cell>
          <cell r="Z1" t="str">
            <v>VEUF</v>
          </cell>
          <cell r="AA1" t="str">
            <v>DIVORCE</v>
          </cell>
          <cell r="AB1" t="str">
            <v>SAL1</v>
          </cell>
          <cell r="AC1" t="str">
            <v>SAL2</v>
          </cell>
          <cell r="AD1" t="str">
            <v>SAL3</v>
          </cell>
          <cell r="AE1" t="str">
            <v>EMP1</v>
          </cell>
          <cell r="AF1" t="str">
            <v>EMP2</v>
          </cell>
          <cell r="AG1" t="str">
            <v>EMP3</v>
          </cell>
          <cell r="AH1" t="str">
            <v>LOGE_OCP</v>
          </cell>
          <cell r="AI1" t="str">
            <v>PRET_HYPO</v>
          </cell>
          <cell r="AJ1" t="str">
            <v>D_PRET_HYP</v>
          </cell>
          <cell r="AK1" t="str">
            <v>ADRESSE</v>
          </cell>
          <cell r="AL1" t="str">
            <v>NIVEAU_INS</v>
          </cell>
          <cell r="AM1" t="str">
            <v>DIPLOMES</v>
          </cell>
          <cell r="AN1" t="str">
            <v>TEL_PTT</v>
          </cell>
          <cell r="AO1" t="str">
            <v>TEL_OCP</v>
          </cell>
          <cell r="AP1" t="str">
            <v>CIN</v>
          </cell>
          <cell r="AQ1" t="str">
            <v>TRAIT_PROF</v>
          </cell>
          <cell r="AR1" t="str">
            <v>PAIEMENT</v>
          </cell>
          <cell r="AS1" t="str">
            <v>BANQUE</v>
          </cell>
          <cell r="AT1" t="str">
            <v>N_COMPTE</v>
          </cell>
          <cell r="AU1" t="str">
            <v>PERMIS_CON</v>
          </cell>
          <cell r="AV1" t="str">
            <v>D_PERMIS</v>
          </cell>
          <cell r="AW1" t="str">
            <v>D_RETRAITE</v>
          </cell>
          <cell r="AX1" t="str">
            <v>RET_OS824</v>
          </cell>
          <cell r="AY1" t="str">
            <v>G_SANGUIN</v>
          </cell>
          <cell r="AZ1" t="str">
            <v>RHESUS</v>
          </cell>
          <cell r="BA1" t="str">
            <v>CLASSE_MED</v>
          </cell>
          <cell r="BB1" t="str">
            <v>NBRE_FEMM</v>
          </cell>
          <cell r="BC1" t="str">
            <v>ELOIGN</v>
          </cell>
          <cell r="BD1" t="str">
            <v>C_ELOIGN</v>
          </cell>
          <cell r="BE1" t="str">
            <v>SEXE</v>
          </cell>
          <cell r="BF1" t="str">
            <v>SALOCP</v>
          </cell>
          <cell r="BG1" t="str">
            <v>TRAJET</v>
          </cell>
          <cell r="BH1" t="str">
            <v>SORTIE_RET</v>
          </cell>
          <cell r="BI1" t="str">
            <v>PROPRIET</v>
          </cell>
        </row>
        <row r="2">
          <cell r="A2">
            <v>63610</v>
          </cell>
          <cell r="B2">
            <v>418</v>
          </cell>
          <cell r="C2" t="str">
            <v>C5152</v>
          </cell>
          <cell r="D2" t="str">
            <v>AARIBOU</v>
          </cell>
          <cell r="E2" t="str">
            <v>MOHAMMED</v>
          </cell>
          <cell r="F2">
            <v>18809</v>
          </cell>
          <cell r="G2" t="str">
            <v>4</v>
          </cell>
          <cell r="H2" t="str">
            <v>BOULANOUAR</v>
          </cell>
          <cell r="I2" t="str">
            <v>D</v>
          </cell>
          <cell r="J2">
            <v>26518</v>
          </cell>
          <cell r="K2">
            <v>35431</v>
          </cell>
          <cell r="L2" t="str">
            <v>31</v>
          </cell>
          <cell r="M2" t="str">
            <v>A</v>
          </cell>
          <cell r="N2">
            <v>35431</v>
          </cell>
          <cell r="P2">
            <v>30</v>
          </cell>
          <cell r="Q2" t="str">
            <v>O</v>
          </cell>
          <cell r="R2" t="str">
            <v>N</v>
          </cell>
          <cell r="S2">
            <v>0</v>
          </cell>
          <cell r="T2" t="str">
            <v>M</v>
          </cell>
          <cell r="U2" t="str">
            <v>FATIMA BENT OMAR</v>
          </cell>
          <cell r="X2">
            <v>7</v>
          </cell>
          <cell r="Y2">
            <v>5</v>
          </cell>
          <cell r="AB2" t="str">
            <v>X</v>
          </cell>
          <cell r="AC2" t="str">
            <v>X</v>
          </cell>
          <cell r="AD2" t="str">
            <v>X</v>
          </cell>
          <cell r="AH2" t="str">
            <v>N</v>
          </cell>
          <cell r="AI2" t="str">
            <v>O</v>
          </cell>
          <cell r="AK2" t="str">
            <v>2 BIS RUE KADI AYAD EL MOUKAOUAMA - KHGA</v>
          </cell>
          <cell r="AL2" t="str">
            <v>3AS</v>
          </cell>
          <cell r="AP2" t="str">
            <v>Q 28303</v>
          </cell>
          <cell r="AQ2">
            <v>0</v>
          </cell>
          <cell r="AR2" t="str">
            <v>B</v>
          </cell>
          <cell r="AS2" t="str">
            <v>POPULAIRE.KHGA</v>
          </cell>
          <cell r="AT2" t="str">
            <v>2111112830840000</v>
          </cell>
          <cell r="AU2" t="str">
            <v>/  /</v>
          </cell>
          <cell r="AW2">
            <v>37561</v>
          </cell>
          <cell r="AX2">
            <v>37555</v>
          </cell>
          <cell r="AY2" t="str">
            <v>XX</v>
          </cell>
          <cell r="AZ2" t="str">
            <v>M</v>
          </cell>
          <cell r="BA2" t="str">
            <v>1</v>
          </cell>
          <cell r="BB2">
            <v>1</v>
          </cell>
          <cell r="BD2">
            <v>0</v>
          </cell>
          <cell r="BE2" t="str">
            <v>M</v>
          </cell>
          <cell r="BF2" t="str">
            <v>N</v>
          </cell>
          <cell r="BG2">
            <v>1</v>
          </cell>
          <cell r="BH2">
            <v>37073</v>
          </cell>
          <cell r="BI2" t="str">
            <v>O</v>
          </cell>
        </row>
        <row r="3">
          <cell r="A3">
            <v>63775</v>
          </cell>
          <cell r="B3">
            <v>446</v>
          </cell>
          <cell r="C3" t="str">
            <v>C6152</v>
          </cell>
          <cell r="D3" t="str">
            <v>MENGAD</v>
          </cell>
          <cell r="E3" t="str">
            <v>BOUCHTA</v>
          </cell>
          <cell r="F3">
            <v>18749</v>
          </cell>
          <cell r="G3" t="str">
            <v>6</v>
          </cell>
          <cell r="H3" t="str">
            <v>HATTANE</v>
          </cell>
          <cell r="I3" t="str">
            <v>D</v>
          </cell>
          <cell r="J3">
            <v>26592</v>
          </cell>
          <cell r="K3">
            <v>35065</v>
          </cell>
          <cell r="L3" t="str">
            <v>32</v>
          </cell>
          <cell r="M3" t="str">
            <v>A</v>
          </cell>
          <cell r="N3">
            <v>35065</v>
          </cell>
          <cell r="O3">
            <v>0</v>
          </cell>
          <cell r="P3">
            <v>30</v>
          </cell>
          <cell r="Q3" t="str">
            <v>O</v>
          </cell>
          <cell r="R3" t="str">
            <v>N</v>
          </cell>
          <cell r="S3">
            <v>0</v>
          </cell>
          <cell r="T3" t="str">
            <v>M</v>
          </cell>
          <cell r="U3" t="str">
            <v>EL GANA KHADIJA</v>
          </cell>
          <cell r="X3">
            <v>6</v>
          </cell>
          <cell r="Y3">
            <v>3</v>
          </cell>
          <cell r="AB3" t="str">
            <v>X</v>
          </cell>
          <cell r="AC3" t="str">
            <v>X</v>
          </cell>
          <cell r="AD3" t="str">
            <v>X</v>
          </cell>
          <cell r="AH3" t="str">
            <v>N</v>
          </cell>
          <cell r="AI3" t="str">
            <v>N</v>
          </cell>
          <cell r="AK3" t="str">
            <v>418,BLOC C QUARTIER CEREALIER KHOURIBGA</v>
          </cell>
          <cell r="AL3" t="str">
            <v>CM2</v>
          </cell>
          <cell r="AP3" t="str">
            <v>Q 6914</v>
          </cell>
          <cell r="AQ3">
            <v>0</v>
          </cell>
          <cell r="AR3" t="str">
            <v>B</v>
          </cell>
          <cell r="AS3" t="str">
            <v>POPULAIRE.KHGA</v>
          </cell>
          <cell r="AT3" t="str">
            <v>2111156485540001</v>
          </cell>
          <cell r="AU3" t="str">
            <v>/  /</v>
          </cell>
          <cell r="AW3">
            <v>37622</v>
          </cell>
          <cell r="AX3">
            <v>37555</v>
          </cell>
          <cell r="AY3" t="str">
            <v>XX</v>
          </cell>
          <cell r="BA3" t="str">
            <v>1</v>
          </cell>
          <cell r="BB3">
            <v>1</v>
          </cell>
          <cell r="BD3">
            <v>0</v>
          </cell>
          <cell r="BE3" t="str">
            <v>M</v>
          </cell>
          <cell r="BF3" t="str">
            <v>N</v>
          </cell>
          <cell r="BG3">
            <v>1</v>
          </cell>
          <cell r="BH3">
            <v>37073</v>
          </cell>
          <cell r="BI3" t="str">
            <v>O</v>
          </cell>
        </row>
        <row r="4">
          <cell r="A4">
            <v>64947</v>
          </cell>
          <cell r="B4">
            <v>416</v>
          </cell>
          <cell r="C4" t="str">
            <v>C4050</v>
          </cell>
          <cell r="D4" t="str">
            <v>EL-FENNANE</v>
          </cell>
          <cell r="E4" t="str">
            <v>AHMED</v>
          </cell>
          <cell r="F4">
            <v>19511</v>
          </cell>
          <cell r="G4" t="str">
            <v>4</v>
          </cell>
          <cell r="H4" t="str">
            <v>BOULANOUAR</v>
          </cell>
          <cell r="I4" t="str">
            <v>D</v>
          </cell>
          <cell r="J4">
            <v>26927</v>
          </cell>
          <cell r="K4">
            <v>36526</v>
          </cell>
          <cell r="L4" t="str">
            <v>22</v>
          </cell>
          <cell r="M4" t="str">
            <v>A</v>
          </cell>
          <cell r="N4">
            <v>36526</v>
          </cell>
          <cell r="P4">
            <v>29</v>
          </cell>
          <cell r="Q4" t="str">
            <v>O</v>
          </cell>
          <cell r="R4" t="str">
            <v>N</v>
          </cell>
          <cell r="S4">
            <v>0</v>
          </cell>
          <cell r="T4" t="str">
            <v>M</v>
          </cell>
          <cell r="U4" t="str">
            <v>RABHA BENT LARBI</v>
          </cell>
          <cell r="X4">
            <v>8</v>
          </cell>
          <cell r="Y4">
            <v>4</v>
          </cell>
          <cell r="AB4" t="str">
            <v>X</v>
          </cell>
          <cell r="AC4" t="str">
            <v>X</v>
          </cell>
          <cell r="AD4" t="str">
            <v>X</v>
          </cell>
          <cell r="AH4" t="str">
            <v>N</v>
          </cell>
          <cell r="AI4" t="str">
            <v>N</v>
          </cell>
          <cell r="AK4" t="str">
            <v>987 VILLAGE O.C.P - HATTANE</v>
          </cell>
          <cell r="AL4" t="str">
            <v>CM2</v>
          </cell>
          <cell r="AP4" t="str">
            <v>Q 66636</v>
          </cell>
          <cell r="AQ4">
            <v>0</v>
          </cell>
          <cell r="AR4" t="str">
            <v>B</v>
          </cell>
          <cell r="AS4" t="str">
            <v>SGMB - KHGA</v>
          </cell>
          <cell r="AT4" t="str">
            <v>0000067000942744541</v>
          </cell>
          <cell r="AU4" t="str">
            <v>/  /</v>
          </cell>
          <cell r="AW4">
            <v>37803</v>
          </cell>
          <cell r="AY4" t="str">
            <v>XX</v>
          </cell>
          <cell r="BA4" t="str">
            <v>2</v>
          </cell>
          <cell r="BB4">
            <v>1</v>
          </cell>
          <cell r="BD4">
            <v>0</v>
          </cell>
          <cell r="BE4" t="str">
            <v>M</v>
          </cell>
          <cell r="BF4" t="str">
            <v>N</v>
          </cell>
          <cell r="BG4">
            <v>10</v>
          </cell>
          <cell r="BH4">
            <v>37803</v>
          </cell>
        </row>
        <row r="5">
          <cell r="A5">
            <v>64979</v>
          </cell>
          <cell r="B5">
            <v>416</v>
          </cell>
          <cell r="C5" t="str">
            <v>C4050</v>
          </cell>
          <cell r="D5" t="str">
            <v>HAMRAD</v>
          </cell>
          <cell r="E5" t="str">
            <v>MHAMED</v>
          </cell>
          <cell r="F5">
            <v>19540</v>
          </cell>
          <cell r="G5" t="str">
            <v>4</v>
          </cell>
          <cell r="H5" t="str">
            <v>BOULANOUAR</v>
          </cell>
          <cell r="I5" t="str">
            <v>D</v>
          </cell>
          <cell r="J5">
            <v>26933</v>
          </cell>
          <cell r="K5">
            <v>37012</v>
          </cell>
          <cell r="L5" t="str">
            <v>22</v>
          </cell>
          <cell r="M5" t="str">
            <v>A</v>
          </cell>
          <cell r="N5">
            <v>37012</v>
          </cell>
          <cell r="P5">
            <v>29</v>
          </cell>
          <cell r="Q5" t="str">
            <v>O</v>
          </cell>
          <cell r="R5" t="str">
            <v>N</v>
          </cell>
          <cell r="S5">
            <v>0</v>
          </cell>
          <cell r="T5" t="str">
            <v>M</v>
          </cell>
          <cell r="U5" t="str">
            <v>CHARKIA BENT ELHADJ</v>
          </cell>
          <cell r="X5">
            <v>6</v>
          </cell>
          <cell r="Y5">
            <v>3</v>
          </cell>
          <cell r="AB5" t="str">
            <v>X</v>
          </cell>
          <cell r="AC5" t="str">
            <v>X</v>
          </cell>
          <cell r="AD5" t="str">
            <v>X</v>
          </cell>
          <cell r="AH5" t="str">
            <v>N</v>
          </cell>
          <cell r="AI5" t="str">
            <v>N</v>
          </cell>
          <cell r="AK5" t="str">
            <v>1134 VILLAGE OCP BOULANOIR</v>
          </cell>
          <cell r="AL5" t="str">
            <v>1AS</v>
          </cell>
          <cell r="AP5" t="str">
            <v>Q 82797</v>
          </cell>
          <cell r="AQ5">
            <v>0</v>
          </cell>
          <cell r="AR5" t="str">
            <v>B</v>
          </cell>
          <cell r="AS5" t="str">
            <v>SGMB - KHGA</v>
          </cell>
          <cell r="AT5" t="str">
            <v>670009366432</v>
          </cell>
          <cell r="AU5" t="str">
            <v>/  /</v>
          </cell>
          <cell r="AW5">
            <v>37803</v>
          </cell>
          <cell r="AY5" t="str">
            <v>XX</v>
          </cell>
          <cell r="BA5" t="str">
            <v>2</v>
          </cell>
          <cell r="BB5">
            <v>1</v>
          </cell>
          <cell r="BD5">
            <v>0</v>
          </cell>
          <cell r="BE5" t="str">
            <v>M</v>
          </cell>
          <cell r="BF5" t="str">
            <v>N</v>
          </cell>
          <cell r="BG5">
            <v>40</v>
          </cell>
          <cell r="BH5">
            <v>37803</v>
          </cell>
        </row>
        <row r="6">
          <cell r="A6">
            <v>65734</v>
          </cell>
          <cell r="B6">
            <v>446</v>
          </cell>
          <cell r="C6" t="str">
            <v>C4152</v>
          </cell>
          <cell r="D6" t="str">
            <v>RAQABI</v>
          </cell>
          <cell r="E6" t="str">
            <v>BOUCHTA</v>
          </cell>
          <cell r="F6">
            <v>19540</v>
          </cell>
          <cell r="G6" t="str">
            <v>6</v>
          </cell>
          <cell r="H6" t="str">
            <v>M'FASSIS</v>
          </cell>
          <cell r="I6" t="str">
            <v>D</v>
          </cell>
          <cell r="J6">
            <v>27156</v>
          </cell>
          <cell r="K6">
            <v>36526</v>
          </cell>
          <cell r="L6" t="str">
            <v>22</v>
          </cell>
          <cell r="M6" t="str">
            <v>A</v>
          </cell>
          <cell r="N6">
            <v>36526</v>
          </cell>
          <cell r="P6">
            <v>28</v>
          </cell>
          <cell r="Q6" t="str">
            <v>O</v>
          </cell>
          <cell r="R6" t="str">
            <v>N</v>
          </cell>
          <cell r="S6">
            <v>0</v>
          </cell>
          <cell r="T6" t="str">
            <v>M</v>
          </cell>
          <cell r="U6" t="str">
            <v>MALIKA BENT ELKEBIR</v>
          </cell>
          <cell r="X6">
            <v>5</v>
          </cell>
          <cell r="Y6">
            <v>2</v>
          </cell>
          <cell r="AB6" t="str">
            <v>X</v>
          </cell>
          <cell r="AC6" t="str">
            <v>X</v>
          </cell>
          <cell r="AD6" t="str">
            <v>X</v>
          </cell>
          <cell r="AH6" t="str">
            <v>N</v>
          </cell>
          <cell r="AI6" t="str">
            <v>N</v>
          </cell>
          <cell r="AK6" t="str">
            <v>731 BLOC 103 HATTANE</v>
          </cell>
          <cell r="AL6" t="str">
            <v>1AS</v>
          </cell>
          <cell r="AP6" t="str">
            <v>Q 34458</v>
          </cell>
          <cell r="AQ6">
            <v>0</v>
          </cell>
          <cell r="AR6" t="str">
            <v>B</v>
          </cell>
          <cell r="AS6" t="str">
            <v>SGMB - KHGA</v>
          </cell>
          <cell r="AT6" t="str">
            <v>0936158241</v>
          </cell>
          <cell r="AU6" t="str">
            <v>/  /</v>
          </cell>
          <cell r="AW6">
            <v>37803</v>
          </cell>
          <cell r="AY6" t="str">
            <v>XX</v>
          </cell>
          <cell r="BA6" t="str">
            <v>1</v>
          </cell>
          <cell r="BB6">
            <v>1</v>
          </cell>
          <cell r="BD6">
            <v>0</v>
          </cell>
          <cell r="BE6" t="str">
            <v>M</v>
          </cell>
          <cell r="BF6" t="str">
            <v>N</v>
          </cell>
          <cell r="BG6">
            <v>10</v>
          </cell>
          <cell r="BH6">
            <v>37803</v>
          </cell>
        </row>
        <row r="7">
          <cell r="A7">
            <v>65779</v>
          </cell>
          <cell r="B7">
            <v>418</v>
          </cell>
          <cell r="C7" t="str">
            <v>C4050</v>
          </cell>
          <cell r="D7" t="str">
            <v>IDRISSI</v>
          </cell>
          <cell r="E7" t="str">
            <v>FATMI</v>
          </cell>
          <cell r="F7">
            <v>19905</v>
          </cell>
          <cell r="G7" t="str">
            <v>6</v>
          </cell>
          <cell r="H7" t="str">
            <v>M'FASSIS</v>
          </cell>
          <cell r="I7" t="str">
            <v>D</v>
          </cell>
          <cell r="J7">
            <v>27159</v>
          </cell>
          <cell r="K7">
            <v>36526</v>
          </cell>
          <cell r="L7" t="str">
            <v>22</v>
          </cell>
          <cell r="M7" t="str">
            <v>B</v>
          </cell>
          <cell r="N7">
            <v>36526</v>
          </cell>
          <cell r="P7">
            <v>28</v>
          </cell>
          <cell r="Q7" t="str">
            <v>O</v>
          </cell>
          <cell r="R7" t="str">
            <v>N</v>
          </cell>
          <cell r="S7">
            <v>0</v>
          </cell>
          <cell r="T7" t="str">
            <v>M</v>
          </cell>
          <cell r="U7" t="str">
            <v>MINA BENT ELKEIR</v>
          </cell>
          <cell r="X7">
            <v>4</v>
          </cell>
          <cell r="Y7">
            <v>1</v>
          </cell>
          <cell r="AB7" t="str">
            <v>X</v>
          </cell>
          <cell r="AC7" t="str">
            <v>X</v>
          </cell>
          <cell r="AD7" t="str">
            <v>X</v>
          </cell>
          <cell r="AH7" t="str">
            <v>N</v>
          </cell>
          <cell r="AI7" t="str">
            <v>N</v>
          </cell>
          <cell r="AK7" t="str">
            <v>931 SBATA HATTANE</v>
          </cell>
          <cell r="AL7" t="str">
            <v>CM2</v>
          </cell>
          <cell r="AP7" t="str">
            <v>Q 73057</v>
          </cell>
          <cell r="AQ7">
            <v>0</v>
          </cell>
          <cell r="AR7" t="str">
            <v>B</v>
          </cell>
          <cell r="AS7" t="str">
            <v>SGMB - KHGA</v>
          </cell>
          <cell r="AT7" t="str">
            <v>0006700093530464167</v>
          </cell>
          <cell r="AU7" t="str">
            <v>/  /</v>
          </cell>
          <cell r="AW7">
            <v>38169</v>
          </cell>
          <cell r="AY7" t="str">
            <v>XX</v>
          </cell>
          <cell r="BA7" t="str">
            <v>2</v>
          </cell>
          <cell r="BB7">
            <v>1</v>
          </cell>
          <cell r="BD7">
            <v>0</v>
          </cell>
          <cell r="BE7" t="str">
            <v>M</v>
          </cell>
          <cell r="BF7" t="str">
            <v>N</v>
          </cell>
          <cell r="BG7">
            <v>10</v>
          </cell>
          <cell r="BH7">
            <v>38169</v>
          </cell>
        </row>
        <row r="8">
          <cell r="A8">
            <v>65849</v>
          </cell>
          <cell r="B8">
            <v>416</v>
          </cell>
          <cell r="C8" t="str">
            <v>C4152</v>
          </cell>
          <cell r="D8" t="str">
            <v>TRAIBI</v>
          </cell>
          <cell r="E8" t="str">
            <v>BOUAZZA</v>
          </cell>
          <cell r="F8">
            <v>19175</v>
          </cell>
          <cell r="G8" t="str">
            <v>4</v>
          </cell>
          <cell r="H8" t="str">
            <v>BOULANOUAR</v>
          </cell>
          <cell r="I8" t="str">
            <v>D</v>
          </cell>
          <cell r="J8">
            <v>27171</v>
          </cell>
          <cell r="K8">
            <v>36526</v>
          </cell>
          <cell r="L8" t="str">
            <v>22</v>
          </cell>
          <cell r="M8" t="str">
            <v>A</v>
          </cell>
          <cell r="N8">
            <v>36526</v>
          </cell>
          <cell r="P8">
            <v>28</v>
          </cell>
          <cell r="Q8" t="str">
            <v>O</v>
          </cell>
          <cell r="R8" t="str">
            <v>N</v>
          </cell>
          <cell r="S8">
            <v>0</v>
          </cell>
          <cell r="T8" t="str">
            <v>M</v>
          </cell>
          <cell r="U8" t="str">
            <v>NAIMA BENT EL MOULOUDI</v>
          </cell>
          <cell r="X8">
            <v>5</v>
          </cell>
          <cell r="Y8">
            <v>5</v>
          </cell>
          <cell r="AB8" t="str">
            <v>X</v>
          </cell>
          <cell r="AC8" t="str">
            <v>X</v>
          </cell>
          <cell r="AD8" t="str">
            <v>X</v>
          </cell>
          <cell r="AH8" t="str">
            <v>N</v>
          </cell>
          <cell r="AI8" t="str">
            <v>N</v>
          </cell>
          <cell r="AK8" t="str">
            <v>724 VILLAGE OCP - BOUJNIBA</v>
          </cell>
          <cell r="AL8" t="str">
            <v>CM2</v>
          </cell>
          <cell r="AP8" t="str">
            <v>Q 54584</v>
          </cell>
          <cell r="AQ8">
            <v>0</v>
          </cell>
          <cell r="AR8" t="str">
            <v>B</v>
          </cell>
          <cell r="AS8" t="str">
            <v>POPULAIRE.KHGA</v>
          </cell>
          <cell r="AT8" t="str">
            <v>2111136311950004</v>
          </cell>
          <cell r="AU8" t="str">
            <v>/  /</v>
          </cell>
          <cell r="AW8">
            <v>37438</v>
          </cell>
          <cell r="AY8" t="str">
            <v>XX</v>
          </cell>
          <cell r="BA8" t="str">
            <v>1</v>
          </cell>
          <cell r="BB8">
            <v>1</v>
          </cell>
          <cell r="BD8">
            <v>0</v>
          </cell>
          <cell r="BE8" t="str">
            <v>M</v>
          </cell>
          <cell r="BF8" t="str">
            <v>N</v>
          </cell>
          <cell r="BG8">
            <v>50</v>
          </cell>
          <cell r="BH8">
            <v>37438</v>
          </cell>
        </row>
        <row r="9">
          <cell r="A9">
            <v>65909</v>
          </cell>
          <cell r="B9">
            <v>416</v>
          </cell>
          <cell r="C9" t="str">
            <v>C4050</v>
          </cell>
          <cell r="D9" t="str">
            <v>MOUAMMINE</v>
          </cell>
          <cell r="E9" t="str">
            <v>M'HAMMED</v>
          </cell>
          <cell r="F9">
            <v>19175</v>
          </cell>
          <cell r="G9" t="str">
            <v>1</v>
          </cell>
          <cell r="H9" t="str">
            <v>KHOURIBGA</v>
          </cell>
          <cell r="I9" t="str">
            <v>D</v>
          </cell>
          <cell r="J9">
            <v>27186</v>
          </cell>
          <cell r="K9">
            <v>37012</v>
          </cell>
          <cell r="L9" t="str">
            <v>22</v>
          </cell>
          <cell r="M9" t="str">
            <v>A</v>
          </cell>
          <cell r="N9">
            <v>37012</v>
          </cell>
          <cell r="P9">
            <v>28</v>
          </cell>
          <cell r="Q9" t="str">
            <v>O</v>
          </cell>
          <cell r="R9" t="str">
            <v>N</v>
          </cell>
          <cell r="S9">
            <v>0</v>
          </cell>
          <cell r="T9" t="str">
            <v>M</v>
          </cell>
          <cell r="U9" t="str">
            <v>ZOHRA BENT KADDOUR</v>
          </cell>
          <cell r="X9">
            <v>4</v>
          </cell>
          <cell r="Y9">
            <v>2</v>
          </cell>
          <cell r="AB9" t="str">
            <v>X</v>
          </cell>
          <cell r="AC9" t="str">
            <v>X</v>
          </cell>
          <cell r="AD9" t="str">
            <v>X</v>
          </cell>
          <cell r="AH9" t="str">
            <v>N</v>
          </cell>
          <cell r="AI9" t="str">
            <v>N</v>
          </cell>
          <cell r="AK9" t="str">
            <v>319 ANCIENNE MEDINA SECHAGE KHGA</v>
          </cell>
          <cell r="AL9" t="str">
            <v>CM2</v>
          </cell>
          <cell r="AP9" t="str">
            <v>Q 51911</v>
          </cell>
          <cell r="AQ9">
            <v>0</v>
          </cell>
          <cell r="AR9" t="str">
            <v>B</v>
          </cell>
          <cell r="AS9" t="str">
            <v>POPULAIRE.KHGA</v>
          </cell>
          <cell r="AT9" t="str">
            <v>2111112817600005</v>
          </cell>
          <cell r="AU9" t="str">
            <v>/  /</v>
          </cell>
          <cell r="AW9">
            <v>37438</v>
          </cell>
          <cell r="AY9" t="str">
            <v>XX</v>
          </cell>
          <cell r="BA9" t="str">
            <v>2</v>
          </cell>
          <cell r="BB9">
            <v>1</v>
          </cell>
          <cell r="BD9">
            <v>0</v>
          </cell>
          <cell r="BE9" t="str">
            <v>M</v>
          </cell>
          <cell r="BF9" t="str">
            <v>N</v>
          </cell>
          <cell r="BG9">
            <v>1</v>
          </cell>
          <cell r="BH9">
            <v>37438</v>
          </cell>
        </row>
        <row r="10">
          <cell r="A10">
            <v>65997</v>
          </cell>
          <cell r="B10">
            <v>416</v>
          </cell>
          <cell r="C10" t="str">
            <v>C4050</v>
          </cell>
          <cell r="D10" t="str">
            <v>KETATNI</v>
          </cell>
          <cell r="E10" t="str">
            <v>SALAH</v>
          </cell>
          <cell r="F10">
            <v>19905</v>
          </cell>
          <cell r="G10" t="str">
            <v>6</v>
          </cell>
          <cell r="H10" t="str">
            <v>M'FASSIS</v>
          </cell>
          <cell r="I10" t="str">
            <v>D</v>
          </cell>
          <cell r="J10">
            <v>27200</v>
          </cell>
          <cell r="K10">
            <v>35065</v>
          </cell>
          <cell r="L10" t="str">
            <v>22</v>
          </cell>
          <cell r="M10" t="str">
            <v>A</v>
          </cell>
          <cell r="N10">
            <v>35065</v>
          </cell>
          <cell r="P10">
            <v>28</v>
          </cell>
          <cell r="Q10" t="str">
            <v>O</v>
          </cell>
          <cell r="R10" t="str">
            <v>N</v>
          </cell>
          <cell r="S10">
            <v>0</v>
          </cell>
          <cell r="T10" t="str">
            <v>M</v>
          </cell>
          <cell r="U10" t="str">
            <v>MALIKA BT CHERKI</v>
          </cell>
          <cell r="X10">
            <v>5</v>
          </cell>
          <cell r="Y10">
            <v>4</v>
          </cell>
          <cell r="AB10" t="str">
            <v>X</v>
          </cell>
          <cell r="AC10" t="str">
            <v>X</v>
          </cell>
          <cell r="AD10" t="str">
            <v>X</v>
          </cell>
          <cell r="AH10" t="str">
            <v>N</v>
          </cell>
          <cell r="AI10" t="str">
            <v>N</v>
          </cell>
          <cell r="AK10" t="str">
            <v>924 VILLAGE O.C.P - HATANE</v>
          </cell>
          <cell r="AL10" t="str">
            <v>2AS</v>
          </cell>
          <cell r="AP10" t="str">
            <v>Q 24431</v>
          </cell>
          <cell r="AQ10">
            <v>0</v>
          </cell>
          <cell r="AR10" t="str">
            <v>B</v>
          </cell>
          <cell r="AS10" t="str">
            <v>SGMB KHOURIBGA</v>
          </cell>
          <cell r="AT10" t="str">
            <v>6700092659</v>
          </cell>
          <cell r="AU10" t="str">
            <v>/  /</v>
          </cell>
          <cell r="AW10">
            <v>38169</v>
          </cell>
          <cell r="AY10" t="str">
            <v>XX</v>
          </cell>
          <cell r="BA10" t="str">
            <v>2</v>
          </cell>
          <cell r="BB10">
            <v>1</v>
          </cell>
          <cell r="BD10">
            <v>0</v>
          </cell>
          <cell r="BE10" t="str">
            <v>M</v>
          </cell>
          <cell r="BF10" t="str">
            <v>N</v>
          </cell>
          <cell r="BG10">
            <v>10</v>
          </cell>
          <cell r="BH10">
            <v>38169</v>
          </cell>
        </row>
        <row r="11">
          <cell r="A11">
            <v>66072</v>
          </cell>
          <cell r="B11">
            <v>418</v>
          </cell>
          <cell r="C11" t="str">
            <v>C3152</v>
          </cell>
          <cell r="D11" t="str">
            <v>RAFIK</v>
          </cell>
          <cell r="E11" t="str">
            <v>AHMED</v>
          </cell>
          <cell r="F11">
            <v>20270</v>
          </cell>
          <cell r="H11" t="str">
            <v>SETTAT</v>
          </cell>
          <cell r="I11" t="str">
            <v>D</v>
          </cell>
          <cell r="J11">
            <v>27215</v>
          </cell>
          <cell r="K11">
            <v>33420</v>
          </cell>
          <cell r="L11" t="str">
            <v>21</v>
          </cell>
          <cell r="M11" t="str">
            <v>A</v>
          </cell>
          <cell r="N11">
            <v>33420</v>
          </cell>
          <cell r="P11">
            <v>28</v>
          </cell>
          <cell r="Q11" t="str">
            <v>O</v>
          </cell>
          <cell r="R11" t="str">
            <v>N</v>
          </cell>
          <cell r="S11">
            <v>0</v>
          </cell>
          <cell r="T11" t="str">
            <v>M</v>
          </cell>
          <cell r="U11" t="str">
            <v>FATIMA BENT MAATI</v>
          </cell>
          <cell r="X11">
            <v>6</v>
          </cell>
          <cell r="Y11">
            <v>1</v>
          </cell>
          <cell r="AB11" t="str">
            <v>X</v>
          </cell>
          <cell r="AC11" t="str">
            <v>X</v>
          </cell>
          <cell r="AD11" t="str">
            <v>X</v>
          </cell>
          <cell r="AH11" t="str">
            <v>N</v>
          </cell>
          <cell r="AI11" t="str">
            <v>N</v>
          </cell>
          <cell r="AK11" t="str">
            <v>571 VILLAGE OCP  BOUJNIBA</v>
          </cell>
          <cell r="AL11" t="str">
            <v>CO</v>
          </cell>
          <cell r="AP11" t="str">
            <v>Q 111644</v>
          </cell>
          <cell r="AQ11">
            <v>0</v>
          </cell>
          <cell r="AR11" t="str">
            <v>B</v>
          </cell>
          <cell r="AS11" t="str">
            <v>POPULAIRE-CASA</v>
          </cell>
          <cell r="AT11" t="str">
            <v>2111112846810005</v>
          </cell>
          <cell r="AU11" t="str">
            <v>/  /</v>
          </cell>
          <cell r="AW11">
            <v>38534</v>
          </cell>
          <cell r="AY11" t="str">
            <v>XX</v>
          </cell>
          <cell r="BA11" t="str">
            <v>1</v>
          </cell>
          <cell r="BB11">
            <v>1</v>
          </cell>
          <cell r="BD11">
            <v>0</v>
          </cell>
          <cell r="BE11" t="str">
            <v>M</v>
          </cell>
          <cell r="BF11" t="str">
            <v>N</v>
          </cell>
          <cell r="BG11">
            <v>50</v>
          </cell>
          <cell r="BH11">
            <v>38534</v>
          </cell>
        </row>
        <row r="12">
          <cell r="A12">
            <v>66387</v>
          </cell>
          <cell r="B12">
            <v>418</v>
          </cell>
          <cell r="C12" t="str">
            <v>C6050</v>
          </cell>
          <cell r="D12" t="str">
            <v>KHATIB</v>
          </cell>
          <cell r="E12" t="str">
            <v>BOUAZZA</v>
          </cell>
          <cell r="F12">
            <v>19726</v>
          </cell>
          <cell r="G12" t="str">
            <v>2</v>
          </cell>
          <cell r="H12" t="str">
            <v>BENI KHIRANE</v>
          </cell>
          <cell r="I12" t="str">
            <v>D</v>
          </cell>
          <cell r="J12">
            <v>27282</v>
          </cell>
          <cell r="K12">
            <v>35065</v>
          </cell>
          <cell r="L12" t="str">
            <v>32</v>
          </cell>
          <cell r="M12" t="str">
            <v>B</v>
          </cell>
          <cell r="N12">
            <v>35065</v>
          </cell>
          <cell r="P12">
            <v>28</v>
          </cell>
          <cell r="Q12" t="str">
            <v>O</v>
          </cell>
          <cell r="R12" t="str">
            <v>N</v>
          </cell>
          <cell r="S12">
            <v>0</v>
          </cell>
          <cell r="T12" t="str">
            <v>M</v>
          </cell>
          <cell r="U12" t="str">
            <v>FATIMA BENT ELKEBIR</v>
          </cell>
          <cell r="X12">
            <v>5</v>
          </cell>
          <cell r="Y12">
            <v>4</v>
          </cell>
          <cell r="AB12" t="str">
            <v>X</v>
          </cell>
          <cell r="AC12" t="str">
            <v>X</v>
          </cell>
          <cell r="AD12" t="str">
            <v>X</v>
          </cell>
          <cell r="AH12" t="str">
            <v>N</v>
          </cell>
          <cell r="AI12" t="str">
            <v>N</v>
          </cell>
          <cell r="AK12" t="str">
            <v>15 BLOC C ELMASSIRA - KHGA</v>
          </cell>
          <cell r="AL12" t="str">
            <v>4AS</v>
          </cell>
          <cell r="AM12" t="str">
            <v>CES</v>
          </cell>
          <cell r="AP12" t="str">
            <v>Q 22460</v>
          </cell>
          <cell r="AQ12">
            <v>0</v>
          </cell>
          <cell r="AR12" t="str">
            <v>B</v>
          </cell>
          <cell r="AS12" t="str">
            <v>SGMB - KHGA</v>
          </cell>
          <cell r="AT12" t="str">
            <v>670009087751</v>
          </cell>
          <cell r="AU12" t="str">
            <v>/  /</v>
          </cell>
          <cell r="AW12">
            <v>38169</v>
          </cell>
          <cell r="AY12" t="str">
            <v>XX</v>
          </cell>
          <cell r="BA12" t="str">
            <v>2</v>
          </cell>
          <cell r="BB12">
            <v>1</v>
          </cell>
          <cell r="BD12">
            <v>0</v>
          </cell>
          <cell r="BE12" t="str">
            <v>M</v>
          </cell>
          <cell r="BF12" t="str">
            <v>N</v>
          </cell>
          <cell r="BG12">
            <v>1</v>
          </cell>
          <cell r="BH12">
            <v>38169</v>
          </cell>
          <cell r="BI12" t="str">
            <v>O</v>
          </cell>
        </row>
        <row r="13">
          <cell r="A13">
            <v>66634</v>
          </cell>
          <cell r="B13">
            <v>446</v>
          </cell>
          <cell r="C13" t="str">
            <v>C3050</v>
          </cell>
          <cell r="D13" t="str">
            <v>LAFHIM</v>
          </cell>
          <cell r="E13" t="str">
            <v>MOHAMED</v>
          </cell>
          <cell r="F13">
            <v>19905</v>
          </cell>
          <cell r="H13" t="str">
            <v>NAKNAFA - ESSAOUIRA</v>
          </cell>
          <cell r="I13" t="str">
            <v>D</v>
          </cell>
          <cell r="J13">
            <v>27316</v>
          </cell>
          <cell r="K13">
            <v>32325</v>
          </cell>
          <cell r="L13" t="str">
            <v>21</v>
          </cell>
          <cell r="M13" t="str">
            <v>A</v>
          </cell>
          <cell r="N13">
            <v>32325</v>
          </cell>
          <cell r="P13">
            <v>28</v>
          </cell>
          <cell r="Q13" t="str">
            <v>O</v>
          </cell>
          <cell r="R13" t="str">
            <v>N</v>
          </cell>
          <cell r="S13">
            <v>0</v>
          </cell>
          <cell r="T13" t="str">
            <v>M</v>
          </cell>
          <cell r="U13" t="str">
            <v>KHADIJA BENT HASSAN</v>
          </cell>
          <cell r="X13">
            <v>0</v>
          </cell>
          <cell r="Y13">
            <v>0</v>
          </cell>
          <cell r="AB13" t="str">
            <v>X</v>
          </cell>
          <cell r="AC13" t="str">
            <v>X</v>
          </cell>
          <cell r="AD13" t="str">
            <v>X</v>
          </cell>
          <cell r="AH13" t="str">
            <v>N</v>
          </cell>
          <cell r="AI13" t="str">
            <v>N</v>
          </cell>
          <cell r="AK13" t="str">
            <v>869 VILLAGE OCP HATTANE</v>
          </cell>
          <cell r="AL13" t="str">
            <v>3AS</v>
          </cell>
          <cell r="AP13" t="str">
            <v>Q 81608</v>
          </cell>
          <cell r="AQ13">
            <v>0</v>
          </cell>
          <cell r="AR13" t="str">
            <v>B</v>
          </cell>
          <cell r="AS13" t="str">
            <v>POPULAIRE.KHGA</v>
          </cell>
          <cell r="AT13" t="str">
            <v>2111112847470007</v>
          </cell>
          <cell r="AU13" t="str">
            <v>/  /</v>
          </cell>
          <cell r="AW13">
            <v>38169</v>
          </cell>
          <cell r="AY13" t="str">
            <v>XX</v>
          </cell>
          <cell r="BA13" t="str">
            <v>2</v>
          </cell>
          <cell r="BB13">
            <v>1</v>
          </cell>
          <cell r="BD13">
            <v>0</v>
          </cell>
          <cell r="BE13" t="str">
            <v>M</v>
          </cell>
          <cell r="BF13" t="str">
            <v>N</v>
          </cell>
          <cell r="BG13">
            <v>10</v>
          </cell>
          <cell r="BH13">
            <v>38169</v>
          </cell>
        </row>
        <row r="14">
          <cell r="A14">
            <v>66814</v>
          </cell>
          <cell r="B14">
            <v>446</v>
          </cell>
          <cell r="C14" t="str">
            <v>C5152</v>
          </cell>
          <cell r="D14" t="str">
            <v>KARYA</v>
          </cell>
          <cell r="E14" t="str">
            <v>AHMED</v>
          </cell>
          <cell r="F14">
            <v>19175</v>
          </cell>
          <cell r="H14" t="str">
            <v>SETTAT</v>
          </cell>
          <cell r="I14" t="str">
            <v>D</v>
          </cell>
          <cell r="J14">
            <v>27338</v>
          </cell>
          <cell r="K14">
            <v>35431</v>
          </cell>
          <cell r="L14" t="str">
            <v>31</v>
          </cell>
          <cell r="M14" t="str">
            <v>A</v>
          </cell>
          <cell r="N14">
            <v>35431</v>
          </cell>
          <cell r="P14">
            <v>28</v>
          </cell>
          <cell r="Q14" t="str">
            <v>O</v>
          </cell>
          <cell r="R14" t="str">
            <v>N</v>
          </cell>
          <cell r="S14">
            <v>0</v>
          </cell>
          <cell r="T14" t="str">
            <v>M</v>
          </cell>
          <cell r="U14" t="str">
            <v>LAKBIRA BENT MED</v>
          </cell>
          <cell r="X14">
            <v>6</v>
          </cell>
          <cell r="Y14">
            <v>3</v>
          </cell>
          <cell r="AB14" t="str">
            <v>X</v>
          </cell>
          <cell r="AC14" t="str">
            <v>X</v>
          </cell>
          <cell r="AD14" t="str">
            <v>X</v>
          </cell>
          <cell r="AH14" t="str">
            <v>N</v>
          </cell>
          <cell r="AI14" t="str">
            <v>N</v>
          </cell>
          <cell r="AK14" t="str">
            <v>136 BLOC E EL MASSIRA KHOURIBGA</v>
          </cell>
          <cell r="AL14" t="str">
            <v>2AS</v>
          </cell>
          <cell r="AP14" t="str">
            <v>Q 37145</v>
          </cell>
          <cell r="AQ14">
            <v>0</v>
          </cell>
          <cell r="AR14" t="str">
            <v>B</v>
          </cell>
          <cell r="AS14" t="str">
            <v>SGMB KHGA</v>
          </cell>
          <cell r="AT14" t="str">
            <v>670009078536</v>
          </cell>
          <cell r="AU14" t="str">
            <v>/  /</v>
          </cell>
          <cell r="AW14">
            <v>37438</v>
          </cell>
          <cell r="AY14" t="str">
            <v>XX</v>
          </cell>
          <cell r="AZ14" t="str">
            <v>M</v>
          </cell>
          <cell r="BA14" t="str">
            <v>1</v>
          </cell>
          <cell r="BB14">
            <v>1</v>
          </cell>
          <cell r="BD14">
            <v>0</v>
          </cell>
          <cell r="BE14" t="str">
            <v>M</v>
          </cell>
          <cell r="BF14" t="str">
            <v>N</v>
          </cell>
          <cell r="BG14">
            <v>1</v>
          </cell>
          <cell r="BH14">
            <v>37438</v>
          </cell>
          <cell r="BI14" t="str">
            <v>O</v>
          </cell>
        </row>
        <row r="15">
          <cell r="A15">
            <v>67207</v>
          </cell>
          <cell r="B15">
            <v>411</v>
          </cell>
          <cell r="C15" t="str">
            <v>C4152</v>
          </cell>
          <cell r="D15" t="str">
            <v>CHAOUKI</v>
          </cell>
          <cell r="E15" t="str">
            <v>ELMILOUDI</v>
          </cell>
          <cell r="F15">
            <v>18809</v>
          </cell>
          <cell r="H15" t="str">
            <v>OULED M'RAH SETTAT</v>
          </cell>
          <cell r="I15" t="str">
            <v>D</v>
          </cell>
          <cell r="J15">
            <v>27428</v>
          </cell>
          <cell r="K15">
            <v>33573</v>
          </cell>
          <cell r="L15" t="str">
            <v>22</v>
          </cell>
          <cell r="M15" t="str">
            <v>A</v>
          </cell>
          <cell r="N15">
            <v>33573</v>
          </cell>
          <cell r="P15">
            <v>29</v>
          </cell>
          <cell r="Q15" t="str">
            <v>O</v>
          </cell>
          <cell r="R15" t="str">
            <v>N</v>
          </cell>
          <cell r="S15">
            <v>0</v>
          </cell>
          <cell r="T15" t="str">
            <v>M</v>
          </cell>
          <cell r="U15" t="str">
            <v>CHAIBIA BENT HADJ HAJJAJ</v>
          </cell>
          <cell r="X15">
            <v>6</v>
          </cell>
          <cell r="Y15">
            <v>4</v>
          </cell>
          <cell r="AB15" t="str">
            <v>X</v>
          </cell>
          <cell r="AC15" t="str">
            <v>X</v>
          </cell>
          <cell r="AD15" t="str">
            <v>X</v>
          </cell>
          <cell r="AH15" t="str">
            <v>N</v>
          </cell>
          <cell r="AI15" t="str">
            <v>N</v>
          </cell>
          <cell r="AK15" t="str">
            <v>362 VILLAGE OCP - BOULANOIR</v>
          </cell>
          <cell r="AL15" t="str">
            <v>CM2</v>
          </cell>
          <cell r="AP15" t="str">
            <v>Q 57157</v>
          </cell>
          <cell r="AQ15">
            <v>0</v>
          </cell>
          <cell r="AR15" t="str">
            <v>B</v>
          </cell>
          <cell r="AS15" t="str">
            <v>POPULAIRE KHGA</v>
          </cell>
          <cell r="AT15" t="str">
            <v>2111112827620001</v>
          </cell>
          <cell r="AU15" t="str">
            <v>/  /</v>
          </cell>
          <cell r="AW15">
            <v>37622</v>
          </cell>
          <cell r="AX15">
            <v>37555</v>
          </cell>
          <cell r="AY15" t="str">
            <v>XX</v>
          </cell>
          <cell r="AZ15" t="str">
            <v>K</v>
          </cell>
          <cell r="BA15" t="str">
            <v>1</v>
          </cell>
          <cell r="BB15">
            <v>1</v>
          </cell>
          <cell r="BD15">
            <v>0</v>
          </cell>
          <cell r="BE15" t="str">
            <v>M</v>
          </cell>
          <cell r="BF15" t="str">
            <v>N</v>
          </cell>
          <cell r="BG15">
            <v>1</v>
          </cell>
          <cell r="BH15">
            <v>37073</v>
          </cell>
        </row>
        <row r="16">
          <cell r="A16">
            <v>67586</v>
          </cell>
          <cell r="B16">
            <v>416</v>
          </cell>
          <cell r="C16" t="str">
            <v>C4050</v>
          </cell>
          <cell r="D16" t="str">
            <v>ASSALI</v>
          </cell>
          <cell r="E16" t="str">
            <v>SALAH</v>
          </cell>
          <cell r="F16">
            <v>19592</v>
          </cell>
          <cell r="G16" t="str">
            <v>1</v>
          </cell>
          <cell r="H16" t="str">
            <v>OULED BHAR KBAR KHOURIBGA</v>
          </cell>
          <cell r="I16" t="str">
            <v>D</v>
          </cell>
          <cell r="J16">
            <v>27489</v>
          </cell>
          <cell r="K16">
            <v>35065</v>
          </cell>
          <cell r="L16" t="str">
            <v>22</v>
          </cell>
          <cell r="M16" t="str">
            <v>A</v>
          </cell>
          <cell r="N16">
            <v>35065</v>
          </cell>
          <cell r="P16">
            <v>28</v>
          </cell>
          <cell r="Q16" t="str">
            <v>N</v>
          </cell>
          <cell r="R16" t="str">
            <v>O</v>
          </cell>
          <cell r="S16">
            <v>0</v>
          </cell>
          <cell r="T16" t="str">
            <v>M</v>
          </cell>
          <cell r="U16" t="str">
            <v>EL MAHJOUR MAHJOUBA</v>
          </cell>
          <cell r="X16">
            <v>5</v>
          </cell>
          <cell r="Y16">
            <v>5</v>
          </cell>
          <cell r="AB16" t="str">
            <v>X</v>
          </cell>
          <cell r="AC16" t="str">
            <v>X</v>
          </cell>
          <cell r="AD16" t="str">
            <v>X</v>
          </cell>
          <cell r="AH16" t="str">
            <v>N</v>
          </cell>
          <cell r="AI16" t="str">
            <v>N</v>
          </cell>
          <cell r="AK16" t="str">
            <v>DOUAR MSAADA OULED BRAHIM BOUJNIBA</v>
          </cell>
          <cell r="AL16" t="str">
            <v>CM2</v>
          </cell>
          <cell r="AP16" t="str">
            <v>Q 71154</v>
          </cell>
          <cell r="AQ16">
            <v>0</v>
          </cell>
          <cell r="AR16" t="str">
            <v>B</v>
          </cell>
          <cell r="AS16" t="str">
            <v>S.G.M.B - KHGA</v>
          </cell>
          <cell r="AT16" t="str">
            <v>0670009292033</v>
          </cell>
          <cell r="AU16" t="str">
            <v>/  /</v>
          </cell>
          <cell r="AW16">
            <v>37987</v>
          </cell>
          <cell r="AY16" t="str">
            <v>XX</v>
          </cell>
          <cell r="BA16" t="str">
            <v>2</v>
          </cell>
          <cell r="BB16">
            <v>1</v>
          </cell>
          <cell r="BD16">
            <v>0</v>
          </cell>
          <cell r="BE16" t="str">
            <v>M</v>
          </cell>
          <cell r="BF16" t="str">
            <v>N</v>
          </cell>
          <cell r="BG16">
            <v>0</v>
          </cell>
          <cell r="BH16">
            <v>37987</v>
          </cell>
          <cell r="BI16" t="str">
            <v>O</v>
          </cell>
        </row>
        <row r="17">
          <cell r="A17">
            <v>67798</v>
          </cell>
          <cell r="B17">
            <v>416</v>
          </cell>
          <cell r="C17" t="str">
            <v>C7050</v>
          </cell>
          <cell r="D17" t="str">
            <v>MNAJLI</v>
          </cell>
          <cell r="E17" t="str">
            <v>LEKBIR</v>
          </cell>
          <cell r="F17">
            <v>20252</v>
          </cell>
          <cell r="H17" t="str">
            <v>BENI AMIR</v>
          </cell>
          <cell r="I17" t="str">
            <v>D</v>
          </cell>
          <cell r="J17">
            <v>27564</v>
          </cell>
          <cell r="K17">
            <v>36526</v>
          </cell>
          <cell r="L17" t="str">
            <v>33</v>
          </cell>
          <cell r="M17" t="str">
            <v>A</v>
          </cell>
          <cell r="N17">
            <v>36526</v>
          </cell>
          <cell r="O17">
            <v>0</v>
          </cell>
          <cell r="P17">
            <v>27</v>
          </cell>
          <cell r="Q17" t="str">
            <v>O</v>
          </cell>
          <cell r="R17" t="str">
            <v>N</v>
          </cell>
          <cell r="S17">
            <v>0</v>
          </cell>
          <cell r="T17" t="str">
            <v>M</v>
          </cell>
          <cell r="U17" t="str">
            <v>ZAHIA BT MOHAMED BEN AHMED</v>
          </cell>
          <cell r="X17">
            <v>6</v>
          </cell>
          <cell r="Y17">
            <v>4</v>
          </cell>
          <cell r="AB17" t="str">
            <v>X</v>
          </cell>
          <cell r="AC17" t="str">
            <v>X</v>
          </cell>
          <cell r="AD17" t="str">
            <v>X</v>
          </cell>
          <cell r="AH17" t="str">
            <v>N</v>
          </cell>
          <cell r="AI17" t="str">
            <v>N</v>
          </cell>
          <cell r="AK17" t="str">
            <v>136 NVELLE EXTENSION KHGA</v>
          </cell>
          <cell r="AL17" t="str">
            <v>5AS</v>
          </cell>
          <cell r="AP17" t="str">
            <v>Q 33291</v>
          </cell>
          <cell r="AQ17">
            <v>0</v>
          </cell>
          <cell r="AR17" t="str">
            <v>B</v>
          </cell>
          <cell r="AS17" t="str">
            <v>B.M.C.E - KHGA</v>
          </cell>
          <cell r="AT17" t="str">
            <v>40001200000562172</v>
          </cell>
          <cell r="AU17" t="str">
            <v>/  /</v>
          </cell>
          <cell r="AW17">
            <v>38534</v>
          </cell>
          <cell r="AY17" t="str">
            <v>XX</v>
          </cell>
          <cell r="BA17" t="str">
            <v>2</v>
          </cell>
          <cell r="BB17">
            <v>1</v>
          </cell>
          <cell r="BD17">
            <v>0</v>
          </cell>
          <cell r="BE17" t="str">
            <v>M</v>
          </cell>
          <cell r="BF17" t="str">
            <v>N</v>
          </cell>
          <cell r="BG17">
            <v>1</v>
          </cell>
          <cell r="BH17">
            <v>38534</v>
          </cell>
        </row>
        <row r="18">
          <cell r="A18">
            <v>68408</v>
          </cell>
          <cell r="B18">
            <v>446</v>
          </cell>
          <cell r="C18" t="str">
            <v>C4609</v>
          </cell>
          <cell r="D18" t="str">
            <v>BADRI</v>
          </cell>
          <cell r="E18" t="str">
            <v>FATIMA</v>
          </cell>
          <cell r="F18">
            <v>19905</v>
          </cell>
          <cell r="G18" t="str">
            <v>1</v>
          </cell>
          <cell r="H18" t="str">
            <v>OULED ABDOUNE - KHOURIBGA</v>
          </cell>
          <cell r="I18" t="str">
            <v>D</v>
          </cell>
          <cell r="J18">
            <v>27873</v>
          </cell>
          <cell r="K18">
            <v>33573</v>
          </cell>
          <cell r="L18" t="str">
            <v>33</v>
          </cell>
          <cell r="M18" t="str">
            <v>C</v>
          </cell>
          <cell r="N18">
            <v>35612</v>
          </cell>
          <cell r="P18">
            <v>27</v>
          </cell>
          <cell r="Q18" t="str">
            <v>O</v>
          </cell>
          <cell r="R18" t="str">
            <v>N</v>
          </cell>
          <cell r="S18">
            <v>0</v>
          </cell>
          <cell r="T18" t="str">
            <v>C</v>
          </cell>
          <cell r="X18">
            <v>0</v>
          </cell>
          <cell r="Y18">
            <v>0</v>
          </cell>
          <cell r="Z18" t="str">
            <v>N</v>
          </cell>
          <cell r="AB18" t="str">
            <v>X</v>
          </cell>
          <cell r="AC18" t="str">
            <v>X</v>
          </cell>
          <cell r="AD18" t="str">
            <v>X</v>
          </cell>
          <cell r="AH18" t="str">
            <v>N</v>
          </cell>
          <cell r="AI18" t="str">
            <v>N</v>
          </cell>
          <cell r="AK18" t="str">
            <v>86 R.JAMAL EDINE AFGHANI MED ABDS KHGA</v>
          </cell>
          <cell r="AL18" t="str">
            <v>5AS</v>
          </cell>
          <cell r="AP18" t="str">
            <v>Q 15715</v>
          </cell>
          <cell r="AQ18">
            <v>0</v>
          </cell>
          <cell r="AR18" t="str">
            <v>B</v>
          </cell>
          <cell r="AS18" t="str">
            <v>BCM KHGA</v>
          </cell>
          <cell r="AT18" t="str">
            <v>97A302477</v>
          </cell>
          <cell r="AU18" t="str">
            <v>/  /</v>
          </cell>
          <cell r="AW18">
            <v>38534</v>
          </cell>
          <cell r="AY18" t="str">
            <v>XX</v>
          </cell>
          <cell r="AZ18" t="str">
            <v>M</v>
          </cell>
          <cell r="BA18" t="str">
            <v>2</v>
          </cell>
          <cell r="BB18">
            <v>0</v>
          </cell>
          <cell r="BD18">
            <v>0</v>
          </cell>
          <cell r="BE18" t="str">
            <v>F</v>
          </cell>
          <cell r="BF18" t="str">
            <v>N</v>
          </cell>
          <cell r="BG18">
            <v>1</v>
          </cell>
          <cell r="BH18">
            <v>38899</v>
          </cell>
        </row>
        <row r="19">
          <cell r="A19">
            <v>68762</v>
          </cell>
          <cell r="B19">
            <v>416</v>
          </cell>
          <cell r="C19" t="str">
            <v>C4050</v>
          </cell>
          <cell r="D19" t="str">
            <v>BAIA</v>
          </cell>
          <cell r="E19" t="str">
            <v>MHAMMED</v>
          </cell>
          <cell r="F19">
            <v>19167</v>
          </cell>
          <cell r="G19" t="str">
            <v>4</v>
          </cell>
          <cell r="H19" t="str">
            <v>BOULANOUAR</v>
          </cell>
          <cell r="I19" t="str">
            <v>D</v>
          </cell>
          <cell r="J19">
            <v>28087</v>
          </cell>
          <cell r="K19">
            <v>33573</v>
          </cell>
          <cell r="L19" t="str">
            <v>22</v>
          </cell>
          <cell r="M19" t="str">
            <v>B</v>
          </cell>
          <cell r="N19">
            <v>35612</v>
          </cell>
          <cell r="P19">
            <v>26</v>
          </cell>
          <cell r="Q19" t="str">
            <v>O</v>
          </cell>
          <cell r="R19" t="str">
            <v>N</v>
          </cell>
          <cell r="S19">
            <v>0</v>
          </cell>
          <cell r="T19" t="str">
            <v>M</v>
          </cell>
          <cell r="U19" t="str">
            <v>HLIMA BENT EL MAATI</v>
          </cell>
          <cell r="X19">
            <v>5</v>
          </cell>
          <cell r="Y19">
            <v>5</v>
          </cell>
          <cell r="AB19" t="str">
            <v>X</v>
          </cell>
          <cell r="AC19" t="str">
            <v>X</v>
          </cell>
          <cell r="AD19" t="str">
            <v>X</v>
          </cell>
          <cell r="AH19" t="str">
            <v>N</v>
          </cell>
          <cell r="AI19" t="str">
            <v>N</v>
          </cell>
          <cell r="AK19" t="str">
            <v>937 VILLAGE O.C.P - BOULANOIR</v>
          </cell>
          <cell r="AL19" t="str">
            <v>1AS</v>
          </cell>
          <cell r="AP19" t="str">
            <v>Q 81170</v>
          </cell>
          <cell r="AQ19">
            <v>0</v>
          </cell>
          <cell r="AR19" t="str">
            <v>B</v>
          </cell>
          <cell r="AS19" t="str">
            <v>POPULAIRE  KHGA</v>
          </cell>
          <cell r="AT19" t="str">
            <v>2111113121290004</v>
          </cell>
          <cell r="AU19" t="str">
            <v>/  /</v>
          </cell>
          <cell r="AW19">
            <v>38882</v>
          </cell>
          <cell r="AX19">
            <v>38882</v>
          </cell>
          <cell r="AY19" t="str">
            <v>XX</v>
          </cell>
          <cell r="AZ19" t="str">
            <v>M</v>
          </cell>
          <cell r="BA19" t="str">
            <v>2</v>
          </cell>
          <cell r="BB19">
            <v>1</v>
          </cell>
          <cell r="BD19">
            <v>0</v>
          </cell>
          <cell r="BE19" t="str">
            <v>M</v>
          </cell>
          <cell r="BF19" t="str">
            <v>N</v>
          </cell>
          <cell r="BG19">
            <v>40</v>
          </cell>
          <cell r="BH19">
            <v>37803</v>
          </cell>
        </row>
        <row r="20">
          <cell r="A20">
            <v>69287</v>
          </cell>
          <cell r="B20">
            <v>446</v>
          </cell>
          <cell r="C20" t="str">
            <v>C5050</v>
          </cell>
          <cell r="D20" t="str">
            <v>TAWAF</v>
          </cell>
          <cell r="E20" t="str">
            <v>MILOUDI</v>
          </cell>
          <cell r="F20">
            <v>18809</v>
          </cell>
          <cell r="G20" t="str">
            <v>1</v>
          </cell>
          <cell r="H20" t="str">
            <v>KHOURIBGA</v>
          </cell>
          <cell r="I20" t="str">
            <v>D</v>
          </cell>
          <cell r="J20">
            <v>28227</v>
          </cell>
          <cell r="K20">
            <v>37073</v>
          </cell>
          <cell r="L20" t="str">
            <v>31</v>
          </cell>
          <cell r="M20" t="str">
            <v>A</v>
          </cell>
          <cell r="N20">
            <v>37073</v>
          </cell>
          <cell r="P20">
            <v>26</v>
          </cell>
          <cell r="Q20" t="str">
            <v>O</v>
          </cell>
          <cell r="R20" t="str">
            <v>N</v>
          </cell>
          <cell r="S20">
            <v>0</v>
          </cell>
          <cell r="T20" t="str">
            <v>M</v>
          </cell>
          <cell r="U20" t="str">
            <v>KHADDOUJ BT SALAH</v>
          </cell>
          <cell r="X20">
            <v>2</v>
          </cell>
          <cell r="Y20">
            <v>2</v>
          </cell>
          <cell r="AB20" t="str">
            <v>X</v>
          </cell>
          <cell r="AC20" t="str">
            <v>X</v>
          </cell>
          <cell r="AD20" t="str">
            <v>X</v>
          </cell>
          <cell r="AH20" t="str">
            <v>N</v>
          </cell>
          <cell r="AI20" t="str">
            <v>N</v>
          </cell>
          <cell r="AK20" t="str">
            <v>260 ANCIENNE MEDINA SECHAGE O.C.P - KHGA</v>
          </cell>
          <cell r="AL20" t="str">
            <v>5AS</v>
          </cell>
          <cell r="AP20" t="str">
            <v>Q 81687</v>
          </cell>
          <cell r="AQ20">
            <v>0</v>
          </cell>
          <cell r="AR20" t="str">
            <v>C</v>
          </cell>
          <cell r="AU20" t="str">
            <v>/  /</v>
          </cell>
          <cell r="AW20">
            <v>39214</v>
          </cell>
          <cell r="AX20">
            <v>39214</v>
          </cell>
          <cell r="AY20" t="str">
            <v>XX</v>
          </cell>
          <cell r="AZ20" t="str">
            <v>M</v>
          </cell>
          <cell r="BA20" t="str">
            <v>2</v>
          </cell>
          <cell r="BB20">
            <v>1</v>
          </cell>
          <cell r="BD20">
            <v>0</v>
          </cell>
          <cell r="BE20" t="str">
            <v>M</v>
          </cell>
          <cell r="BF20" t="str">
            <v>N</v>
          </cell>
          <cell r="BG20">
            <v>1</v>
          </cell>
          <cell r="BH20">
            <v>37987</v>
          </cell>
        </row>
        <row r="21">
          <cell r="A21">
            <v>69582</v>
          </cell>
          <cell r="B21">
            <v>416</v>
          </cell>
          <cell r="C21" t="str">
            <v>C4050</v>
          </cell>
          <cell r="D21" t="str">
            <v>TATOUCHI</v>
          </cell>
          <cell r="E21" t="str">
            <v>ABDELKADER</v>
          </cell>
          <cell r="F21">
            <v>19175</v>
          </cell>
          <cell r="G21" t="str">
            <v>1</v>
          </cell>
          <cell r="H21" t="str">
            <v>OULED BHAR KBAR KHOURIBGA</v>
          </cell>
          <cell r="I21" t="str">
            <v>D</v>
          </cell>
          <cell r="J21">
            <v>28347</v>
          </cell>
          <cell r="K21">
            <v>33573</v>
          </cell>
          <cell r="L21" t="str">
            <v>22</v>
          </cell>
          <cell r="M21" t="str">
            <v>C</v>
          </cell>
          <cell r="N21">
            <v>35612</v>
          </cell>
          <cell r="P21">
            <v>25</v>
          </cell>
          <cell r="Q21" t="str">
            <v>N</v>
          </cell>
          <cell r="R21" t="str">
            <v>O</v>
          </cell>
          <cell r="S21">
            <v>3</v>
          </cell>
          <cell r="T21" t="str">
            <v>M</v>
          </cell>
          <cell r="U21" t="str">
            <v>MALIKA BENT MED</v>
          </cell>
          <cell r="X21">
            <v>6</v>
          </cell>
          <cell r="Y21">
            <v>6</v>
          </cell>
          <cell r="AB21" t="str">
            <v>X</v>
          </cell>
          <cell r="AC21" t="str">
            <v>X</v>
          </cell>
          <cell r="AD21" t="str">
            <v>X</v>
          </cell>
          <cell r="AH21" t="str">
            <v>N</v>
          </cell>
          <cell r="AI21" t="str">
            <v>N</v>
          </cell>
          <cell r="AK21" t="str">
            <v>DOUAR MCHAHRA EL GUEFFAF BOUJNIBA</v>
          </cell>
          <cell r="AL21" t="str">
            <v>3AS</v>
          </cell>
          <cell r="AP21" t="str">
            <v>Q 56502</v>
          </cell>
          <cell r="AQ21">
            <v>0</v>
          </cell>
          <cell r="AR21" t="str">
            <v>B</v>
          </cell>
          <cell r="AS21" t="str">
            <v>SGMB - KHGA</v>
          </cell>
          <cell r="AT21" t="str">
            <v>4000000670009350718</v>
          </cell>
          <cell r="AU21" t="str">
            <v>/  /</v>
          </cell>
          <cell r="AW21">
            <v>39214</v>
          </cell>
          <cell r="AX21">
            <v>39214</v>
          </cell>
          <cell r="AY21" t="str">
            <v>XX</v>
          </cell>
          <cell r="AZ21" t="str">
            <v>M</v>
          </cell>
          <cell r="BA21" t="str">
            <v>2</v>
          </cell>
          <cell r="BB21">
            <v>1</v>
          </cell>
          <cell r="BD21">
            <v>0</v>
          </cell>
          <cell r="BE21" t="str">
            <v>M</v>
          </cell>
          <cell r="BF21" t="str">
            <v>N</v>
          </cell>
          <cell r="BG21">
            <v>0</v>
          </cell>
          <cell r="BH21">
            <v>37987</v>
          </cell>
          <cell r="BI21" t="str">
            <v>O</v>
          </cell>
        </row>
        <row r="22">
          <cell r="A22">
            <v>69774</v>
          </cell>
          <cell r="B22">
            <v>446</v>
          </cell>
          <cell r="C22" t="str">
            <v>C3050</v>
          </cell>
          <cell r="D22" t="str">
            <v>WAGRI</v>
          </cell>
          <cell r="E22" t="str">
            <v>MOHAMED</v>
          </cell>
          <cell r="F22">
            <v>19042</v>
          </cell>
          <cell r="H22" t="str">
            <v>CASA</v>
          </cell>
          <cell r="I22" t="str">
            <v>D</v>
          </cell>
          <cell r="J22">
            <v>28376</v>
          </cell>
          <cell r="K22">
            <v>37165</v>
          </cell>
          <cell r="L22" t="str">
            <v>21</v>
          </cell>
          <cell r="M22" t="str">
            <v>A</v>
          </cell>
          <cell r="N22">
            <v>37165</v>
          </cell>
          <cell r="P22">
            <v>25</v>
          </cell>
          <cell r="Q22" t="str">
            <v>O</v>
          </cell>
          <cell r="R22" t="str">
            <v>N</v>
          </cell>
          <cell r="S22">
            <v>0</v>
          </cell>
          <cell r="T22" t="str">
            <v>M</v>
          </cell>
          <cell r="U22" t="str">
            <v>NAIMA BENT ALLAL</v>
          </cell>
          <cell r="X22">
            <v>5</v>
          </cell>
          <cell r="Y22">
            <v>3</v>
          </cell>
          <cell r="AB22" t="str">
            <v>X</v>
          </cell>
          <cell r="AC22" t="str">
            <v>X</v>
          </cell>
          <cell r="AD22" t="str">
            <v>X</v>
          </cell>
          <cell r="AH22" t="str">
            <v>N</v>
          </cell>
          <cell r="AI22" t="str">
            <v>N</v>
          </cell>
          <cell r="AK22" t="str">
            <v>341 NVELLE MEDINA SECHAGE KHGA</v>
          </cell>
          <cell r="AL22" t="str">
            <v>ILLETRE</v>
          </cell>
          <cell r="AP22" t="str">
            <v>Q 81697</v>
          </cell>
          <cell r="AQ22">
            <v>0</v>
          </cell>
          <cell r="AR22" t="str">
            <v>C</v>
          </cell>
          <cell r="AU22" t="str">
            <v>/  /</v>
          </cell>
          <cell r="AW22">
            <v>37987</v>
          </cell>
          <cell r="AY22" t="str">
            <v>XX</v>
          </cell>
          <cell r="AZ22" t="str">
            <v>R</v>
          </cell>
          <cell r="BA22" t="str">
            <v>2</v>
          </cell>
          <cell r="BB22">
            <v>1</v>
          </cell>
          <cell r="BD22">
            <v>0</v>
          </cell>
          <cell r="BE22" t="str">
            <v>M</v>
          </cell>
          <cell r="BF22" t="str">
            <v>N</v>
          </cell>
          <cell r="BG22">
            <v>1</v>
          </cell>
          <cell r="BH22">
            <v>38169</v>
          </cell>
        </row>
        <row r="23">
          <cell r="A23">
            <v>69950</v>
          </cell>
          <cell r="B23">
            <v>428</v>
          </cell>
          <cell r="C23" t="str">
            <v>C3152</v>
          </cell>
          <cell r="D23" t="str">
            <v>SADQAOUI</v>
          </cell>
          <cell r="E23" t="str">
            <v>MOHAMMED</v>
          </cell>
          <cell r="F23">
            <v>20027</v>
          </cell>
          <cell r="G23" t="str">
            <v>1</v>
          </cell>
          <cell r="H23" t="str">
            <v>OULED BHAR SGHAR KHOURIBGA</v>
          </cell>
          <cell r="I23" t="str">
            <v>D</v>
          </cell>
          <cell r="J23">
            <v>28430</v>
          </cell>
          <cell r="K23">
            <v>33420</v>
          </cell>
          <cell r="L23" t="str">
            <v>21</v>
          </cell>
          <cell r="M23" t="str">
            <v>A</v>
          </cell>
          <cell r="N23">
            <v>33420</v>
          </cell>
          <cell r="P23">
            <v>25</v>
          </cell>
          <cell r="Q23" t="str">
            <v>O</v>
          </cell>
          <cell r="R23" t="str">
            <v>N</v>
          </cell>
          <cell r="S23">
            <v>0</v>
          </cell>
          <cell r="T23" t="str">
            <v>M</v>
          </cell>
          <cell r="U23" t="str">
            <v>EL MILOUDIA BENT MED</v>
          </cell>
          <cell r="X23">
            <v>5</v>
          </cell>
          <cell r="Y23">
            <v>2</v>
          </cell>
          <cell r="AB23" t="str">
            <v>X</v>
          </cell>
          <cell r="AC23" t="str">
            <v>X</v>
          </cell>
          <cell r="AD23" t="str">
            <v>X</v>
          </cell>
          <cell r="AH23" t="str">
            <v>N</v>
          </cell>
          <cell r="AI23" t="str">
            <v>N</v>
          </cell>
          <cell r="AK23" t="str">
            <v>N° 159 DERB 7 - HATTANE</v>
          </cell>
          <cell r="AL23" t="str">
            <v>1AS</v>
          </cell>
          <cell r="AP23" t="str">
            <v>Q 31403</v>
          </cell>
          <cell r="AQ23">
            <v>0</v>
          </cell>
          <cell r="AR23" t="str">
            <v>B</v>
          </cell>
          <cell r="AS23" t="str">
            <v>CNCA.KHGA</v>
          </cell>
          <cell r="AT23" t="str">
            <v>0805666 R 601</v>
          </cell>
          <cell r="AU23" t="str">
            <v>/  /</v>
          </cell>
          <cell r="AW23">
            <v>38353</v>
          </cell>
          <cell r="AY23" t="str">
            <v>XX</v>
          </cell>
          <cell r="AZ23" t="str">
            <v>R</v>
          </cell>
          <cell r="BA23" t="str">
            <v>1</v>
          </cell>
          <cell r="BB23">
            <v>1</v>
          </cell>
          <cell r="BD23">
            <v>0</v>
          </cell>
          <cell r="BE23" t="str">
            <v>M</v>
          </cell>
          <cell r="BF23" t="str">
            <v>N</v>
          </cell>
          <cell r="BG23">
            <v>11</v>
          </cell>
          <cell r="BH23">
            <v>38353</v>
          </cell>
          <cell r="BI23" t="str">
            <v>O</v>
          </cell>
        </row>
        <row r="24">
          <cell r="A24">
            <v>70620</v>
          </cell>
          <cell r="B24">
            <v>400</v>
          </cell>
          <cell r="C24" t="str">
            <v>C4754</v>
          </cell>
          <cell r="D24" t="str">
            <v>EL KHALFI</v>
          </cell>
          <cell r="E24" t="str">
            <v>HAMMOU</v>
          </cell>
          <cell r="F24">
            <v>18079</v>
          </cell>
          <cell r="G24" t="str">
            <v>2</v>
          </cell>
          <cell r="H24" t="str">
            <v>CHOGRANE - OUED ZEM</v>
          </cell>
          <cell r="I24" t="str">
            <v>D</v>
          </cell>
          <cell r="J24">
            <v>28626</v>
          </cell>
          <cell r="K24">
            <v>36526</v>
          </cell>
          <cell r="L24" t="str">
            <v>22</v>
          </cell>
          <cell r="M24" t="str">
            <v>B</v>
          </cell>
          <cell r="N24">
            <v>36526</v>
          </cell>
          <cell r="P24">
            <v>24</v>
          </cell>
          <cell r="Q24" t="str">
            <v>N</v>
          </cell>
          <cell r="R24" t="str">
            <v>O</v>
          </cell>
          <cell r="S24">
            <v>3</v>
          </cell>
          <cell r="T24" t="str">
            <v>M</v>
          </cell>
          <cell r="U24" t="str">
            <v>FATNA BENT EL MATI</v>
          </cell>
          <cell r="X24">
            <v>7</v>
          </cell>
          <cell r="Y24">
            <v>5</v>
          </cell>
          <cell r="AB24" t="str">
            <v>X</v>
          </cell>
          <cell r="AC24" t="str">
            <v>X</v>
          </cell>
          <cell r="AD24" t="str">
            <v>X</v>
          </cell>
          <cell r="AH24" t="str">
            <v>N</v>
          </cell>
          <cell r="AI24" t="str">
            <v>N</v>
          </cell>
          <cell r="AK24" t="str">
            <v>DERB 1 N 234 LOT BELHADRI BOUJNIBA</v>
          </cell>
          <cell r="AL24" t="str">
            <v>ILLETRE</v>
          </cell>
          <cell r="AN24" t="str">
            <v>570803</v>
          </cell>
          <cell r="AP24" t="str">
            <v>Q 73523</v>
          </cell>
          <cell r="AQ24">
            <v>0</v>
          </cell>
          <cell r="AR24" t="str">
            <v>C</v>
          </cell>
          <cell r="AU24" t="str">
            <v>/  /</v>
          </cell>
          <cell r="AW24">
            <v>38169</v>
          </cell>
          <cell r="AY24" t="str">
            <v>XX</v>
          </cell>
          <cell r="BA24" t="str">
            <v>2</v>
          </cell>
          <cell r="BB24">
            <v>1</v>
          </cell>
          <cell r="BD24">
            <v>0</v>
          </cell>
          <cell r="BE24" t="str">
            <v>M</v>
          </cell>
          <cell r="BF24" t="str">
            <v>N</v>
          </cell>
          <cell r="BG24">
            <v>0</v>
          </cell>
          <cell r="BH24">
            <v>38169</v>
          </cell>
          <cell r="BI24" t="str">
            <v>O</v>
          </cell>
        </row>
        <row r="25">
          <cell r="A25">
            <v>71105</v>
          </cell>
          <cell r="B25">
            <v>416</v>
          </cell>
          <cell r="C25" t="str">
            <v>C3152</v>
          </cell>
          <cell r="D25" t="str">
            <v>EL ADBAOUI</v>
          </cell>
          <cell r="E25" t="str">
            <v>MOHAMED</v>
          </cell>
          <cell r="F25">
            <v>19175</v>
          </cell>
          <cell r="G25" t="str">
            <v>1</v>
          </cell>
          <cell r="H25" t="str">
            <v>KHOURIBGA</v>
          </cell>
          <cell r="I25" t="str">
            <v>D</v>
          </cell>
          <cell r="J25">
            <v>28957</v>
          </cell>
          <cell r="K25">
            <v>35096</v>
          </cell>
          <cell r="L25" t="str">
            <v>21</v>
          </cell>
          <cell r="M25" t="str">
            <v>A</v>
          </cell>
          <cell r="N25">
            <v>35096</v>
          </cell>
          <cell r="P25">
            <v>24</v>
          </cell>
          <cell r="Q25" t="str">
            <v>O</v>
          </cell>
          <cell r="R25" t="str">
            <v>N</v>
          </cell>
          <cell r="S25">
            <v>0</v>
          </cell>
          <cell r="T25" t="str">
            <v>M</v>
          </cell>
          <cell r="U25" t="str">
            <v>FATIMA BENT HAJJAJ</v>
          </cell>
          <cell r="X25">
            <v>4</v>
          </cell>
          <cell r="Y25">
            <v>4</v>
          </cell>
          <cell r="AB25" t="str">
            <v>X</v>
          </cell>
          <cell r="AC25" t="str">
            <v>X</v>
          </cell>
          <cell r="AD25" t="str">
            <v>X</v>
          </cell>
          <cell r="AH25" t="str">
            <v>N</v>
          </cell>
          <cell r="AI25" t="str">
            <v>N</v>
          </cell>
          <cell r="AK25" t="str">
            <v>200 VILLAGE O.C.P - BOULANOIR</v>
          </cell>
          <cell r="AL25" t="str">
            <v>CM2</v>
          </cell>
          <cell r="AP25" t="str">
            <v>Q 102305</v>
          </cell>
          <cell r="AQ25">
            <v>0</v>
          </cell>
          <cell r="AR25" t="str">
            <v>C</v>
          </cell>
          <cell r="AU25" t="str">
            <v>/  /</v>
          </cell>
          <cell r="AW25">
            <v>38718</v>
          </cell>
          <cell r="AY25" t="str">
            <v>XX</v>
          </cell>
          <cell r="BA25" t="str">
            <v>1</v>
          </cell>
          <cell r="BB25">
            <v>1</v>
          </cell>
          <cell r="BD25">
            <v>0</v>
          </cell>
          <cell r="BE25" t="str">
            <v>M</v>
          </cell>
          <cell r="BF25" t="str">
            <v>N</v>
          </cell>
          <cell r="BG25">
            <v>40</v>
          </cell>
          <cell r="BH25">
            <v>38718</v>
          </cell>
          <cell r="BI25" t="str">
            <v>O</v>
          </cell>
        </row>
        <row r="26">
          <cell r="A26">
            <v>71123</v>
          </cell>
          <cell r="B26">
            <v>416</v>
          </cell>
          <cell r="C26" t="str">
            <v>C3050</v>
          </cell>
          <cell r="D26" t="str">
            <v>OUDRA</v>
          </cell>
          <cell r="E26" t="str">
            <v>MOHAMED</v>
          </cell>
          <cell r="F26">
            <v>19905</v>
          </cell>
          <cell r="H26" t="str">
            <v>DAMSIRA - MARRAKECH</v>
          </cell>
          <cell r="I26" t="str">
            <v>D</v>
          </cell>
          <cell r="J26">
            <v>28964</v>
          </cell>
          <cell r="K26">
            <v>37377</v>
          </cell>
          <cell r="L26" t="str">
            <v>21</v>
          </cell>
          <cell r="M26" t="str">
            <v>A</v>
          </cell>
          <cell r="N26">
            <v>37377</v>
          </cell>
          <cell r="P26">
            <v>24</v>
          </cell>
          <cell r="Q26" t="str">
            <v>O</v>
          </cell>
          <cell r="R26" t="str">
            <v>N</v>
          </cell>
          <cell r="S26">
            <v>0</v>
          </cell>
          <cell r="T26" t="str">
            <v>M</v>
          </cell>
          <cell r="U26" t="str">
            <v>ZINA BENT MOHAMED</v>
          </cell>
          <cell r="X26">
            <v>0</v>
          </cell>
          <cell r="Y26">
            <v>0</v>
          </cell>
          <cell r="AB26" t="str">
            <v>X</v>
          </cell>
          <cell r="AC26" t="str">
            <v>X</v>
          </cell>
          <cell r="AD26" t="str">
            <v>X</v>
          </cell>
          <cell r="AH26" t="str">
            <v>N</v>
          </cell>
          <cell r="AI26" t="str">
            <v>N</v>
          </cell>
          <cell r="AK26" t="str">
            <v>960 VILLAGE OCP HATTANE</v>
          </cell>
          <cell r="AL26" t="str">
            <v>ILLETRE</v>
          </cell>
          <cell r="AP26" t="str">
            <v>Q 84145</v>
          </cell>
          <cell r="AQ26">
            <v>0</v>
          </cell>
          <cell r="AR26" t="str">
            <v>B</v>
          </cell>
          <cell r="AS26" t="str">
            <v>B. POPULAIRE -KHGA-</v>
          </cell>
          <cell r="AT26" t="str">
            <v>2111113112820009</v>
          </cell>
          <cell r="AU26" t="str">
            <v>/  /</v>
          </cell>
          <cell r="AW26">
            <v>38718</v>
          </cell>
          <cell r="AY26" t="str">
            <v>XX</v>
          </cell>
          <cell r="BA26" t="str">
            <v>1</v>
          </cell>
          <cell r="BB26">
            <v>1</v>
          </cell>
          <cell r="BD26">
            <v>0</v>
          </cell>
          <cell r="BE26" t="str">
            <v>M</v>
          </cell>
          <cell r="BF26" t="str">
            <v>N</v>
          </cell>
          <cell r="BG26">
            <v>10</v>
          </cell>
          <cell r="BH26">
            <v>38718</v>
          </cell>
        </row>
        <row r="27">
          <cell r="A27">
            <v>71258</v>
          </cell>
          <cell r="B27">
            <v>416</v>
          </cell>
          <cell r="C27" t="str">
            <v>C4152</v>
          </cell>
          <cell r="D27" t="str">
            <v>EL LAHQI</v>
          </cell>
          <cell r="E27" t="str">
            <v>AHMED</v>
          </cell>
          <cell r="F27">
            <v>19640</v>
          </cell>
          <cell r="G27" t="str">
            <v>3</v>
          </cell>
          <cell r="H27" t="str">
            <v>OULED EL ATI</v>
          </cell>
          <cell r="I27" t="str">
            <v>D</v>
          </cell>
          <cell r="J27">
            <v>29052</v>
          </cell>
          <cell r="K27">
            <v>36526</v>
          </cell>
          <cell r="L27" t="str">
            <v>22</v>
          </cell>
          <cell r="M27" t="str">
            <v>A</v>
          </cell>
          <cell r="N27">
            <v>36526</v>
          </cell>
          <cell r="O27">
            <v>0</v>
          </cell>
          <cell r="P27">
            <v>23</v>
          </cell>
          <cell r="Q27" t="str">
            <v>O</v>
          </cell>
          <cell r="R27" t="str">
            <v>N</v>
          </cell>
          <cell r="S27">
            <v>0</v>
          </cell>
          <cell r="T27" t="str">
            <v>M</v>
          </cell>
          <cell r="U27" t="str">
            <v>FATIMA BENT JILLALI BEN MATI</v>
          </cell>
          <cell r="X27">
            <v>4</v>
          </cell>
          <cell r="Y27">
            <v>4</v>
          </cell>
          <cell r="AB27" t="str">
            <v>X</v>
          </cell>
          <cell r="AC27" t="str">
            <v>X</v>
          </cell>
          <cell r="AD27" t="str">
            <v>X</v>
          </cell>
          <cell r="AH27" t="str">
            <v>N</v>
          </cell>
          <cell r="AI27" t="str">
            <v>N</v>
          </cell>
          <cell r="AK27" t="str">
            <v>670 VILLAGE OCP HATTANE</v>
          </cell>
          <cell r="AL27" t="str">
            <v>ILLETRE</v>
          </cell>
          <cell r="AP27" t="str">
            <v>Q 7047</v>
          </cell>
          <cell r="AQ27">
            <v>0</v>
          </cell>
          <cell r="AR27" t="str">
            <v>B</v>
          </cell>
          <cell r="AS27" t="str">
            <v>CREDIT AGRICOL KHGA</v>
          </cell>
          <cell r="AT27" t="str">
            <v>0808555M601</v>
          </cell>
          <cell r="AU27" t="str">
            <v>/  /</v>
          </cell>
          <cell r="AW27">
            <v>38718</v>
          </cell>
          <cell r="AY27" t="str">
            <v>XX</v>
          </cell>
          <cell r="BA27" t="str">
            <v>1</v>
          </cell>
          <cell r="BB27">
            <v>1</v>
          </cell>
          <cell r="BD27">
            <v>0</v>
          </cell>
          <cell r="BE27" t="str">
            <v>M</v>
          </cell>
          <cell r="BF27" t="str">
            <v>N</v>
          </cell>
          <cell r="BG27">
            <v>10</v>
          </cell>
          <cell r="BH27">
            <v>38718</v>
          </cell>
        </row>
        <row r="28">
          <cell r="A28">
            <v>71266</v>
          </cell>
          <cell r="B28">
            <v>414</v>
          </cell>
          <cell r="C28" t="str">
            <v>C3152</v>
          </cell>
          <cell r="D28" t="str">
            <v>EL BARHMI</v>
          </cell>
          <cell r="E28" t="str">
            <v>AHMED</v>
          </cell>
          <cell r="F28">
            <v>17348</v>
          </cell>
          <cell r="H28" t="str">
            <v>AATMNA BZOU</v>
          </cell>
          <cell r="I28" t="str">
            <v>D</v>
          </cell>
          <cell r="J28">
            <v>29053</v>
          </cell>
          <cell r="K28">
            <v>36526</v>
          </cell>
          <cell r="L28" t="str">
            <v>21</v>
          </cell>
          <cell r="M28" t="str">
            <v>B</v>
          </cell>
          <cell r="N28">
            <v>36526</v>
          </cell>
          <cell r="P28">
            <v>23</v>
          </cell>
          <cell r="Q28" t="str">
            <v>N</v>
          </cell>
          <cell r="R28" t="str">
            <v>O</v>
          </cell>
          <cell r="S28">
            <v>1</v>
          </cell>
          <cell r="T28" t="str">
            <v>M</v>
          </cell>
          <cell r="U28" t="str">
            <v>ZAHRA BENT EL MAATI</v>
          </cell>
          <cell r="X28">
            <v>8</v>
          </cell>
          <cell r="Y28">
            <v>2</v>
          </cell>
          <cell r="AB28" t="str">
            <v>X</v>
          </cell>
          <cell r="AC28" t="str">
            <v>X</v>
          </cell>
          <cell r="AD28" t="str">
            <v>X</v>
          </cell>
          <cell r="AH28" t="str">
            <v>N</v>
          </cell>
          <cell r="AI28" t="str">
            <v>N</v>
          </cell>
          <cell r="AK28" t="str">
            <v>1194 VILLAGE OCP HATTANE</v>
          </cell>
          <cell r="AL28" t="str">
            <v>ILLETRE</v>
          </cell>
          <cell r="AP28" t="str">
            <v>I 48269</v>
          </cell>
          <cell r="AQ28">
            <v>0</v>
          </cell>
          <cell r="AR28" t="str">
            <v>B</v>
          </cell>
          <cell r="AS28" t="str">
            <v>BMCE.KHGA</v>
          </cell>
          <cell r="AT28" t="str">
            <v>400012000001142232</v>
          </cell>
          <cell r="AU28" t="str">
            <v>/  /</v>
          </cell>
          <cell r="AW28">
            <v>37438</v>
          </cell>
          <cell r="AY28" t="str">
            <v>XX</v>
          </cell>
          <cell r="BA28" t="str">
            <v>1</v>
          </cell>
          <cell r="BB28">
            <v>1</v>
          </cell>
          <cell r="BD28">
            <v>0</v>
          </cell>
          <cell r="BE28" t="str">
            <v>M</v>
          </cell>
          <cell r="BF28" t="str">
            <v>N</v>
          </cell>
          <cell r="BG28">
            <v>0</v>
          </cell>
          <cell r="BH28">
            <v>37438</v>
          </cell>
        </row>
        <row r="29">
          <cell r="A29">
            <v>71767</v>
          </cell>
          <cell r="B29">
            <v>476</v>
          </cell>
          <cell r="C29" t="str">
            <v>C2152</v>
          </cell>
          <cell r="D29" t="str">
            <v>MOUAHHIDI</v>
          </cell>
          <cell r="E29" t="str">
            <v>MOHAMED</v>
          </cell>
          <cell r="F29">
            <v>21198</v>
          </cell>
          <cell r="G29" t="str">
            <v>1</v>
          </cell>
          <cell r="H29" t="str">
            <v>OULED BHAR KBAR KHOURIBGA</v>
          </cell>
          <cell r="I29" t="str">
            <v>D</v>
          </cell>
          <cell r="J29">
            <v>29286</v>
          </cell>
          <cell r="K29">
            <v>31503</v>
          </cell>
          <cell r="L29" t="str">
            <v>12</v>
          </cell>
          <cell r="M29" t="str">
            <v>E</v>
          </cell>
          <cell r="N29">
            <v>35612</v>
          </cell>
          <cell r="P29">
            <v>24</v>
          </cell>
          <cell r="Q29" t="str">
            <v>O</v>
          </cell>
          <cell r="R29" t="str">
            <v>N</v>
          </cell>
          <cell r="S29">
            <v>0</v>
          </cell>
          <cell r="T29" t="str">
            <v>M</v>
          </cell>
          <cell r="U29" t="str">
            <v>TOTO BENT CHERKI</v>
          </cell>
          <cell r="X29">
            <v>3</v>
          </cell>
          <cell r="Y29">
            <v>3</v>
          </cell>
          <cell r="AB29" t="str">
            <v>X</v>
          </cell>
          <cell r="AC29" t="str">
            <v>X</v>
          </cell>
          <cell r="AD29" t="str">
            <v>X</v>
          </cell>
          <cell r="AH29" t="str">
            <v>N</v>
          </cell>
          <cell r="AI29" t="str">
            <v>N</v>
          </cell>
          <cell r="AK29" t="str">
            <v>715 NOUVEAU TACHERON BOUJNIBA</v>
          </cell>
          <cell r="AL29" t="str">
            <v>CM1</v>
          </cell>
          <cell r="AP29" t="str">
            <v>Q 71990</v>
          </cell>
          <cell r="AQ29">
            <v>0</v>
          </cell>
          <cell r="AR29" t="str">
            <v>C</v>
          </cell>
          <cell r="AU29" t="str">
            <v>/  /</v>
          </cell>
          <cell r="AW29">
            <v>39630</v>
          </cell>
          <cell r="AY29" t="str">
            <v>XX</v>
          </cell>
          <cell r="BA29" t="str">
            <v>1</v>
          </cell>
          <cell r="BB29">
            <v>1</v>
          </cell>
          <cell r="BD29">
            <v>0</v>
          </cell>
          <cell r="BE29" t="str">
            <v>M</v>
          </cell>
          <cell r="BF29" t="str">
            <v>N</v>
          </cell>
          <cell r="BG29">
            <v>50</v>
          </cell>
          <cell r="BH29">
            <v>39630</v>
          </cell>
          <cell r="BI29" t="str">
            <v>O</v>
          </cell>
        </row>
        <row r="30">
          <cell r="A30">
            <v>73193</v>
          </cell>
          <cell r="B30">
            <v>446</v>
          </cell>
          <cell r="C30" t="str">
            <v>C2050</v>
          </cell>
          <cell r="D30" t="str">
            <v>MAINETA</v>
          </cell>
          <cell r="E30" t="str">
            <v>BENDAOUD</v>
          </cell>
          <cell r="F30">
            <v>19175</v>
          </cell>
          <cell r="G30" t="str">
            <v>1</v>
          </cell>
          <cell r="H30" t="str">
            <v>EL FOKRA</v>
          </cell>
          <cell r="I30" t="str">
            <v>D</v>
          </cell>
          <cell r="J30">
            <v>29976</v>
          </cell>
          <cell r="K30">
            <v>32174</v>
          </cell>
          <cell r="L30" t="str">
            <v>12</v>
          </cell>
          <cell r="M30" t="str">
            <v>C</v>
          </cell>
          <cell r="N30">
            <v>32</v>
          </cell>
          <cell r="P30">
            <v>21</v>
          </cell>
          <cell r="Q30" t="str">
            <v>O</v>
          </cell>
          <cell r="R30" t="str">
            <v>N</v>
          </cell>
          <cell r="S30">
            <v>0</v>
          </cell>
          <cell r="T30" t="str">
            <v>M</v>
          </cell>
          <cell r="U30" t="str">
            <v>DADI FATNA</v>
          </cell>
          <cell r="V30" t="str">
            <v>ABID EL GHADFA BENT CHERKI</v>
          </cell>
          <cell r="X30">
            <v>7</v>
          </cell>
          <cell r="Y30">
            <v>2</v>
          </cell>
          <cell r="AB30" t="str">
            <v>X</v>
          </cell>
          <cell r="AC30" t="str">
            <v>X</v>
          </cell>
          <cell r="AD30" t="str">
            <v>X</v>
          </cell>
          <cell r="AH30" t="str">
            <v>N</v>
          </cell>
          <cell r="AI30" t="str">
            <v>N</v>
          </cell>
          <cell r="AK30" t="str">
            <v>5 HAY ESSALAM DOUAR LAMRAHNA KHGA</v>
          </cell>
          <cell r="AL30" t="str">
            <v>ILLETRE</v>
          </cell>
          <cell r="AP30" t="str">
            <v>Q 65098</v>
          </cell>
          <cell r="AQ30">
            <v>0</v>
          </cell>
          <cell r="AR30" t="str">
            <v>B</v>
          </cell>
          <cell r="AS30" t="str">
            <v>CR. DU MAROC -KHGA</v>
          </cell>
          <cell r="AT30" t="str">
            <v>082001086571</v>
          </cell>
          <cell r="AU30" t="str">
            <v>/  /</v>
          </cell>
          <cell r="AW30">
            <v>39264</v>
          </cell>
          <cell r="AY30" t="str">
            <v>XX</v>
          </cell>
          <cell r="BA30" t="str">
            <v>2</v>
          </cell>
          <cell r="BB30">
            <v>1</v>
          </cell>
          <cell r="BD30">
            <v>0</v>
          </cell>
          <cell r="BE30" t="str">
            <v>M</v>
          </cell>
          <cell r="BF30" t="str">
            <v>N</v>
          </cell>
          <cell r="BG30">
            <v>1</v>
          </cell>
          <cell r="BH30">
            <v>39264</v>
          </cell>
          <cell r="BI30" t="str">
            <v>O</v>
          </cell>
        </row>
        <row r="31">
          <cell r="A31">
            <v>73458</v>
          </cell>
          <cell r="B31">
            <v>419</v>
          </cell>
          <cell r="C31" t="str">
            <v>C3152</v>
          </cell>
          <cell r="D31" t="str">
            <v>ECH CHELLAOUI</v>
          </cell>
          <cell r="E31" t="str">
            <v>MOHAMED</v>
          </cell>
          <cell r="F31">
            <v>20715</v>
          </cell>
          <cell r="G31" t="str">
            <v>1</v>
          </cell>
          <cell r="H31" t="str">
            <v>OULED BHAR KBAR KHOURIBGA</v>
          </cell>
          <cell r="I31" t="str">
            <v>D</v>
          </cell>
          <cell r="J31">
            <v>30137</v>
          </cell>
          <cell r="K31">
            <v>36526</v>
          </cell>
          <cell r="L31" t="str">
            <v>21</v>
          </cell>
          <cell r="M31" t="str">
            <v>A</v>
          </cell>
          <cell r="N31">
            <v>36526</v>
          </cell>
          <cell r="P31">
            <v>20</v>
          </cell>
          <cell r="Q31" t="str">
            <v>O</v>
          </cell>
          <cell r="R31" t="str">
            <v>N</v>
          </cell>
          <cell r="S31">
            <v>0</v>
          </cell>
          <cell r="T31" t="str">
            <v>M</v>
          </cell>
          <cell r="U31" t="str">
            <v>HNIA BENT EL MATI</v>
          </cell>
          <cell r="X31">
            <v>1</v>
          </cell>
          <cell r="Y31">
            <v>1</v>
          </cell>
          <cell r="AB31" t="str">
            <v>X</v>
          </cell>
          <cell r="AC31" t="str">
            <v>X</v>
          </cell>
          <cell r="AD31" t="str">
            <v>X</v>
          </cell>
          <cell r="AH31" t="str">
            <v>N</v>
          </cell>
          <cell r="AI31" t="str">
            <v>N</v>
          </cell>
          <cell r="AK31" t="str">
            <v>376 VILLAGE O.C.P - BOUJNIBA</v>
          </cell>
          <cell r="AL31" t="str">
            <v>ILLETRE</v>
          </cell>
          <cell r="AP31" t="str">
            <v>Q 80047</v>
          </cell>
          <cell r="AQ31">
            <v>0</v>
          </cell>
          <cell r="AR31" t="str">
            <v>C</v>
          </cell>
          <cell r="AU31" t="str">
            <v>/  /</v>
          </cell>
          <cell r="AW31">
            <v>39814</v>
          </cell>
          <cell r="AY31" t="str">
            <v>XX</v>
          </cell>
          <cell r="BA31" t="str">
            <v>2</v>
          </cell>
          <cell r="BB31">
            <v>1</v>
          </cell>
          <cell r="BD31">
            <v>0</v>
          </cell>
          <cell r="BE31" t="str">
            <v>M</v>
          </cell>
          <cell r="BF31" t="str">
            <v>N</v>
          </cell>
          <cell r="BG31">
            <v>50</v>
          </cell>
          <cell r="BH31">
            <v>39814</v>
          </cell>
        </row>
        <row r="32">
          <cell r="A32">
            <v>73868</v>
          </cell>
          <cell r="B32">
            <v>446</v>
          </cell>
          <cell r="C32" t="str">
            <v>C2000</v>
          </cell>
          <cell r="D32" t="str">
            <v>SISOUANE</v>
          </cell>
          <cell r="E32" t="str">
            <v>ET TAIBI</v>
          </cell>
          <cell r="F32">
            <v>19905</v>
          </cell>
          <cell r="G32" t="str">
            <v>3</v>
          </cell>
          <cell r="H32" t="str">
            <v>BOUJNIBA</v>
          </cell>
          <cell r="I32" t="str">
            <v>D</v>
          </cell>
          <cell r="J32">
            <v>31229</v>
          </cell>
          <cell r="K32">
            <v>33420</v>
          </cell>
          <cell r="L32" t="str">
            <v>12</v>
          </cell>
          <cell r="M32" t="str">
            <v>B</v>
          </cell>
          <cell r="N32">
            <v>35643</v>
          </cell>
          <cell r="P32">
            <v>17</v>
          </cell>
          <cell r="Q32" t="str">
            <v>O</v>
          </cell>
          <cell r="R32" t="str">
            <v>N</v>
          </cell>
          <cell r="S32">
            <v>0</v>
          </cell>
          <cell r="T32" t="str">
            <v>M</v>
          </cell>
          <cell r="U32" t="str">
            <v>EN NOUR MALIKA</v>
          </cell>
          <cell r="X32">
            <v>5</v>
          </cell>
          <cell r="Y32">
            <v>3</v>
          </cell>
          <cell r="AB32" t="str">
            <v>X</v>
          </cell>
          <cell r="AC32" t="str">
            <v>X</v>
          </cell>
          <cell r="AD32" t="str">
            <v>X</v>
          </cell>
          <cell r="AH32" t="str">
            <v>N</v>
          </cell>
          <cell r="AI32" t="str">
            <v>N</v>
          </cell>
          <cell r="AK32" t="str">
            <v>471 VILLAGE O.C.P - BOUJNIBA</v>
          </cell>
          <cell r="AL32" t="str">
            <v>ILLETRE</v>
          </cell>
          <cell r="AP32" t="str">
            <v>B 732172</v>
          </cell>
          <cell r="AQ32">
            <v>0</v>
          </cell>
          <cell r="AR32" t="str">
            <v>B</v>
          </cell>
          <cell r="AS32" t="str">
            <v>POPULAIRE-KHGA</v>
          </cell>
          <cell r="AT32" t="str">
            <v>211111311144502</v>
          </cell>
          <cell r="AU32" t="str">
            <v>/  /</v>
          </cell>
          <cell r="AW32">
            <v>39995</v>
          </cell>
          <cell r="AY32" t="str">
            <v>XX</v>
          </cell>
          <cell r="BA32" t="str">
            <v>1</v>
          </cell>
          <cell r="BB32">
            <v>1</v>
          </cell>
          <cell r="BD32">
            <v>0</v>
          </cell>
          <cell r="BE32" t="str">
            <v>M</v>
          </cell>
          <cell r="BF32" t="str">
            <v>N</v>
          </cell>
          <cell r="BG32">
            <v>50</v>
          </cell>
          <cell r="BH32">
            <v>39995</v>
          </cell>
        </row>
        <row r="33">
          <cell r="A33">
            <v>90511</v>
          </cell>
          <cell r="B33">
            <v>446</v>
          </cell>
          <cell r="C33" t="str">
            <v>X3050</v>
          </cell>
          <cell r="D33" t="str">
            <v>HOMMECH</v>
          </cell>
          <cell r="E33" t="str">
            <v>BRAHIM</v>
          </cell>
          <cell r="F33">
            <v>20635</v>
          </cell>
          <cell r="G33" t="str">
            <v>4</v>
          </cell>
          <cell r="H33" t="str">
            <v>BOULANOUAR</v>
          </cell>
          <cell r="I33" t="str">
            <v>F</v>
          </cell>
          <cell r="J33">
            <v>29425</v>
          </cell>
          <cell r="K33">
            <v>31199</v>
          </cell>
          <cell r="L33" t="str">
            <v>41</v>
          </cell>
          <cell r="M33" t="str">
            <v>D</v>
          </cell>
          <cell r="N33">
            <v>35612</v>
          </cell>
          <cell r="P33">
            <v>22</v>
          </cell>
          <cell r="Q33" t="str">
            <v>O</v>
          </cell>
          <cell r="R33" t="str">
            <v>N</v>
          </cell>
          <cell r="S33">
            <v>0</v>
          </cell>
          <cell r="T33" t="str">
            <v>M</v>
          </cell>
          <cell r="U33" t="str">
            <v>ASSAOURI FATIMA BT HAJ BRAHIM</v>
          </cell>
          <cell r="X33">
            <v>3</v>
          </cell>
          <cell r="Y33">
            <v>3</v>
          </cell>
          <cell r="Z33" t="str">
            <v>N</v>
          </cell>
          <cell r="AB33" t="str">
            <v>X</v>
          </cell>
          <cell r="AC33" t="str">
            <v>X</v>
          </cell>
          <cell r="AD33" t="str">
            <v>X</v>
          </cell>
          <cell r="AH33" t="str">
            <v>N</v>
          </cell>
          <cell r="AI33" t="str">
            <v>N</v>
          </cell>
          <cell r="AK33" t="str">
            <v>367 NOUVEAUX LOGEMENTS SECHAGE OCP KHGA</v>
          </cell>
          <cell r="AL33" t="str">
            <v>7AS</v>
          </cell>
          <cell r="AM33" t="str">
            <v>CES CFO EMM</v>
          </cell>
          <cell r="AP33" t="str">
            <v>Q 11102</v>
          </cell>
          <cell r="AQ33">
            <v>0</v>
          </cell>
          <cell r="AR33" t="str">
            <v>B</v>
          </cell>
          <cell r="AS33" t="str">
            <v>B.M.C.I  KHGA</v>
          </cell>
          <cell r="AT33" t="str">
            <v>02820673282301</v>
          </cell>
          <cell r="AU33" t="str">
            <v>/  /</v>
          </cell>
          <cell r="AW33">
            <v>39448</v>
          </cell>
          <cell r="AY33" t="str">
            <v>XX</v>
          </cell>
          <cell r="BA33" t="str">
            <v>2</v>
          </cell>
          <cell r="BB33">
            <v>1</v>
          </cell>
          <cell r="BD33">
            <v>0</v>
          </cell>
          <cell r="BE33" t="str">
            <v>M</v>
          </cell>
          <cell r="BF33" t="str">
            <v>N</v>
          </cell>
          <cell r="BG33">
            <v>1</v>
          </cell>
          <cell r="BH33">
            <v>39448</v>
          </cell>
          <cell r="BI33" t="str">
            <v>O</v>
          </cell>
        </row>
        <row r="34">
          <cell r="A34">
            <v>90612</v>
          </cell>
          <cell r="B34">
            <v>416</v>
          </cell>
          <cell r="C34" t="str">
            <v>X4050</v>
          </cell>
          <cell r="D34" t="str">
            <v>DAOUDI</v>
          </cell>
          <cell r="E34" t="str">
            <v>MOHAMED</v>
          </cell>
          <cell r="F34">
            <v>20636</v>
          </cell>
          <cell r="H34" t="str">
            <v>KENITRA</v>
          </cell>
          <cell r="I34" t="str">
            <v>F</v>
          </cell>
          <cell r="J34">
            <v>29790</v>
          </cell>
          <cell r="K34">
            <v>35065</v>
          </cell>
          <cell r="L34" t="str">
            <v>42</v>
          </cell>
          <cell r="M34" t="str">
            <v>A</v>
          </cell>
          <cell r="N34">
            <v>35065</v>
          </cell>
          <cell r="P34">
            <v>21</v>
          </cell>
          <cell r="Q34" t="str">
            <v>N</v>
          </cell>
          <cell r="R34" t="str">
            <v>N</v>
          </cell>
          <cell r="S34">
            <v>0</v>
          </cell>
          <cell r="T34" t="str">
            <v>M</v>
          </cell>
          <cell r="U34" t="str">
            <v>EL BOUCHIKHI HAFIDA</v>
          </cell>
          <cell r="X34">
            <v>3</v>
          </cell>
          <cell r="Y34">
            <v>3</v>
          </cell>
          <cell r="AB34" t="str">
            <v>X</v>
          </cell>
          <cell r="AC34" t="str">
            <v>X</v>
          </cell>
          <cell r="AD34" t="str">
            <v>X</v>
          </cell>
          <cell r="AH34" t="str">
            <v>N</v>
          </cell>
          <cell r="AI34" t="str">
            <v>N</v>
          </cell>
          <cell r="AK34" t="str">
            <v>36, COOPERATIVE ERRACHAD RIAD - KHGA</v>
          </cell>
          <cell r="AL34" t="str">
            <v>7AS</v>
          </cell>
          <cell r="AM34" t="str">
            <v>CEP CES  CFO  EMM</v>
          </cell>
          <cell r="AP34" t="str">
            <v>G 53793</v>
          </cell>
          <cell r="AQ34">
            <v>0</v>
          </cell>
          <cell r="AR34" t="str">
            <v>B</v>
          </cell>
          <cell r="AS34" t="str">
            <v>C.I.H - KHGA</v>
          </cell>
          <cell r="AT34" t="str">
            <v>9151325211004700</v>
          </cell>
          <cell r="AU34" t="str">
            <v>/  /</v>
          </cell>
          <cell r="AW34">
            <v>39814</v>
          </cell>
          <cell r="AY34" t="str">
            <v>XX</v>
          </cell>
          <cell r="BA34" t="str">
            <v>2</v>
          </cell>
          <cell r="BB34">
            <v>1</v>
          </cell>
          <cell r="BD34">
            <v>0</v>
          </cell>
          <cell r="BE34" t="str">
            <v>M</v>
          </cell>
          <cell r="BF34" t="str">
            <v>N</v>
          </cell>
          <cell r="BG34">
            <v>1</v>
          </cell>
          <cell r="BH34">
            <v>39814</v>
          </cell>
          <cell r="BI34" t="str">
            <v>O</v>
          </cell>
        </row>
        <row r="35">
          <cell r="A35">
            <v>90652</v>
          </cell>
          <cell r="B35">
            <v>446</v>
          </cell>
          <cell r="C35" t="str">
            <v>X4050</v>
          </cell>
          <cell r="D35" t="str">
            <v>NAIT BAALI</v>
          </cell>
          <cell r="E35" t="str">
            <v>ABDALLAH</v>
          </cell>
          <cell r="F35">
            <v>21600</v>
          </cell>
          <cell r="H35" t="str">
            <v>KENITRA</v>
          </cell>
          <cell r="I35" t="str">
            <v>F</v>
          </cell>
          <cell r="J35">
            <v>29419</v>
          </cell>
          <cell r="K35">
            <v>36526</v>
          </cell>
          <cell r="L35" t="str">
            <v>42</v>
          </cell>
          <cell r="M35" t="str">
            <v>A</v>
          </cell>
          <cell r="N35">
            <v>36526</v>
          </cell>
          <cell r="P35">
            <v>22</v>
          </cell>
          <cell r="Q35" t="str">
            <v>O</v>
          </cell>
          <cell r="R35" t="str">
            <v>N</v>
          </cell>
          <cell r="S35">
            <v>0</v>
          </cell>
          <cell r="T35" t="str">
            <v>M</v>
          </cell>
          <cell r="U35" t="str">
            <v>ZTOUTI MALIKA</v>
          </cell>
          <cell r="X35">
            <v>4</v>
          </cell>
          <cell r="Y35">
            <v>4</v>
          </cell>
          <cell r="AB35" t="str">
            <v>X</v>
          </cell>
          <cell r="AC35" t="str">
            <v>X</v>
          </cell>
          <cell r="AD35" t="str">
            <v>X</v>
          </cell>
          <cell r="AH35" t="str">
            <v>O</v>
          </cell>
          <cell r="AI35" t="str">
            <v>N</v>
          </cell>
          <cell r="AK35" t="str">
            <v>13,RUE EL AKABA VILLAGE O.C.P KHOURIBGA</v>
          </cell>
          <cell r="AL35" t="str">
            <v>7AS</v>
          </cell>
          <cell r="AM35" t="str">
            <v>CEP CES CFO EMM</v>
          </cell>
          <cell r="AP35" t="str">
            <v>Q  52706</v>
          </cell>
          <cell r="AQ35">
            <v>0</v>
          </cell>
          <cell r="AR35" t="str">
            <v>B</v>
          </cell>
          <cell r="AS35" t="str">
            <v>BMCI - KHOURIBGA</v>
          </cell>
          <cell r="AT35" t="str">
            <v>02821217549301</v>
          </cell>
          <cell r="AU35" t="str">
            <v>/  /</v>
          </cell>
          <cell r="AW35">
            <v>39995</v>
          </cell>
          <cell r="AY35" t="str">
            <v>XX</v>
          </cell>
          <cell r="BA35" t="str">
            <v>2</v>
          </cell>
          <cell r="BB35">
            <v>1</v>
          </cell>
          <cell r="BD35">
            <v>0</v>
          </cell>
          <cell r="BE35" t="str">
            <v>M</v>
          </cell>
          <cell r="BF35" t="str">
            <v>N</v>
          </cell>
          <cell r="BG35">
            <v>1</v>
          </cell>
          <cell r="BH35">
            <v>39995</v>
          </cell>
        </row>
        <row r="36">
          <cell r="A36">
            <v>98186</v>
          </cell>
          <cell r="B36">
            <v>416</v>
          </cell>
          <cell r="C36" t="str">
            <v>X4050</v>
          </cell>
          <cell r="D36" t="str">
            <v>RAJDALI</v>
          </cell>
          <cell r="E36" t="str">
            <v>LAHCEN</v>
          </cell>
          <cell r="F36">
            <v>20636</v>
          </cell>
          <cell r="H36" t="str">
            <v>TINGHIR</v>
          </cell>
          <cell r="I36" t="str">
            <v>D</v>
          </cell>
          <cell r="J36">
            <v>28754</v>
          </cell>
          <cell r="K36">
            <v>35065</v>
          </cell>
          <cell r="L36" t="str">
            <v>42</v>
          </cell>
          <cell r="M36" t="str">
            <v>A</v>
          </cell>
          <cell r="N36">
            <v>35065</v>
          </cell>
          <cell r="O36">
            <v>0</v>
          </cell>
          <cell r="P36">
            <v>24</v>
          </cell>
          <cell r="Q36" t="str">
            <v>O</v>
          </cell>
          <cell r="R36" t="str">
            <v>N</v>
          </cell>
          <cell r="S36">
            <v>0</v>
          </cell>
          <cell r="T36" t="str">
            <v>M</v>
          </cell>
          <cell r="U36" t="str">
            <v>OUTABAIRI ZOHRA</v>
          </cell>
          <cell r="X36">
            <v>7</v>
          </cell>
          <cell r="Y36">
            <v>6</v>
          </cell>
          <cell r="AB36" t="str">
            <v>X</v>
          </cell>
          <cell r="AC36" t="str">
            <v>X</v>
          </cell>
          <cell r="AD36" t="str">
            <v>X</v>
          </cell>
          <cell r="AH36" t="str">
            <v>O</v>
          </cell>
          <cell r="AI36" t="str">
            <v>N</v>
          </cell>
          <cell r="AK36" t="str">
            <v>03,RUE DARAA  OCP KHOURIBGA</v>
          </cell>
          <cell r="AL36" t="str">
            <v>7AS</v>
          </cell>
          <cell r="AM36" t="str">
            <v>CEP CES EMM</v>
          </cell>
          <cell r="AP36" t="str">
            <v>Q 53853</v>
          </cell>
          <cell r="AQ36">
            <v>0</v>
          </cell>
          <cell r="AR36" t="str">
            <v>B</v>
          </cell>
          <cell r="AS36" t="str">
            <v>B.M.C.I  KHGA</v>
          </cell>
          <cell r="AT36" t="str">
            <v>02820522544301</v>
          </cell>
          <cell r="AU36" t="str">
            <v>/  /</v>
          </cell>
          <cell r="AW36">
            <v>38899</v>
          </cell>
          <cell r="AY36" t="str">
            <v>XX</v>
          </cell>
          <cell r="BA36" t="str">
            <v>2</v>
          </cell>
          <cell r="BB36">
            <v>1</v>
          </cell>
          <cell r="BD36">
            <v>0</v>
          </cell>
          <cell r="BE36" t="str">
            <v>M</v>
          </cell>
          <cell r="BF36" t="str">
            <v>N</v>
          </cell>
          <cell r="BG36">
            <v>1</v>
          </cell>
          <cell r="BH36">
            <v>38899</v>
          </cell>
        </row>
        <row r="37">
          <cell r="A37">
            <v>65447</v>
          </cell>
          <cell r="B37">
            <v>446</v>
          </cell>
          <cell r="C37" t="str">
            <v>C4152</v>
          </cell>
          <cell r="D37" t="str">
            <v>ZARATI</v>
          </cell>
          <cell r="E37" t="str">
            <v>BOUAZZA</v>
          </cell>
          <cell r="F37">
            <v>19175</v>
          </cell>
          <cell r="G37" t="str">
            <v>1</v>
          </cell>
          <cell r="H37" t="str">
            <v>OULED BHAR KBAR KHOURIBGA</v>
          </cell>
          <cell r="I37" t="str">
            <v>D</v>
          </cell>
          <cell r="J37">
            <v>27103</v>
          </cell>
          <cell r="K37">
            <v>36526</v>
          </cell>
          <cell r="L37" t="str">
            <v>22</v>
          </cell>
          <cell r="M37" t="str">
            <v>B</v>
          </cell>
          <cell r="N37">
            <v>36526</v>
          </cell>
          <cell r="P37">
            <v>30</v>
          </cell>
          <cell r="Q37" t="str">
            <v>O</v>
          </cell>
          <cell r="R37" t="str">
            <v>N</v>
          </cell>
          <cell r="S37">
            <v>0</v>
          </cell>
          <cell r="T37" t="str">
            <v>M</v>
          </cell>
          <cell r="U37" t="str">
            <v>AICHA BENT MOHAMED</v>
          </cell>
          <cell r="X37">
            <v>8</v>
          </cell>
          <cell r="Y37">
            <v>6</v>
          </cell>
          <cell r="AB37" t="str">
            <v>X</v>
          </cell>
          <cell r="AC37" t="str">
            <v>X</v>
          </cell>
          <cell r="AD37" t="str">
            <v>X</v>
          </cell>
          <cell r="AH37" t="str">
            <v>N</v>
          </cell>
          <cell r="AI37" t="str">
            <v>N</v>
          </cell>
          <cell r="AK37" t="str">
            <v>107 ANCIENNE MEDINA DE SECHAGE KHOURIBGA</v>
          </cell>
          <cell r="AL37" t="str">
            <v>CM2</v>
          </cell>
          <cell r="AP37" t="str">
            <v>Q 82074</v>
          </cell>
          <cell r="AQ37">
            <v>0</v>
          </cell>
          <cell r="AR37" t="str">
            <v>B</v>
          </cell>
          <cell r="AS37" t="str">
            <v>POPULAIRE - KHGA</v>
          </cell>
          <cell r="AT37" t="str">
            <v>9702111112880520007</v>
          </cell>
          <cell r="AU37" t="str">
            <v>/  /</v>
          </cell>
          <cell r="AW37">
            <v>37438</v>
          </cell>
          <cell r="AY37" t="str">
            <v>XX</v>
          </cell>
          <cell r="BA37" t="str">
            <v>1</v>
          </cell>
          <cell r="BB37">
            <v>1</v>
          </cell>
          <cell r="BD37">
            <v>0</v>
          </cell>
          <cell r="BE37" t="str">
            <v>M</v>
          </cell>
          <cell r="BF37" t="str">
            <v>N</v>
          </cell>
          <cell r="BG37">
            <v>1</v>
          </cell>
          <cell r="BH37">
            <v>37438</v>
          </cell>
        </row>
        <row r="38">
          <cell r="A38">
            <v>67554</v>
          </cell>
          <cell r="B38">
            <v>446</v>
          </cell>
          <cell r="C38" t="str">
            <v>C7050</v>
          </cell>
          <cell r="D38" t="str">
            <v>JOUHARI</v>
          </cell>
          <cell r="E38" t="str">
            <v>LHOUSSAINE</v>
          </cell>
          <cell r="F38">
            <v>20270</v>
          </cell>
          <cell r="H38" t="str">
            <v>AIT ATAB</v>
          </cell>
          <cell r="I38" t="str">
            <v>F</v>
          </cell>
          <cell r="J38">
            <v>27478</v>
          </cell>
          <cell r="K38">
            <v>35065</v>
          </cell>
          <cell r="L38" t="str">
            <v>33</v>
          </cell>
          <cell r="M38" t="str">
            <v>A</v>
          </cell>
          <cell r="N38">
            <v>35065</v>
          </cell>
          <cell r="P38">
            <v>29</v>
          </cell>
          <cell r="Q38" t="str">
            <v>O</v>
          </cell>
          <cell r="R38" t="str">
            <v>N</v>
          </cell>
          <cell r="S38">
            <v>0</v>
          </cell>
          <cell r="T38" t="str">
            <v>M</v>
          </cell>
          <cell r="U38" t="str">
            <v>SAADIA BENT BOUSSETTA</v>
          </cell>
          <cell r="X38">
            <v>5</v>
          </cell>
          <cell r="Y38">
            <v>2</v>
          </cell>
          <cell r="AB38" t="str">
            <v>X</v>
          </cell>
          <cell r="AC38" t="str">
            <v>X</v>
          </cell>
          <cell r="AD38" t="str">
            <v>X</v>
          </cell>
          <cell r="AH38" t="str">
            <v>N</v>
          </cell>
          <cell r="AI38" t="str">
            <v>N</v>
          </cell>
          <cell r="AK38" t="str">
            <v>325 NOUVEAUX LOGEMENTS OCP KHGA</v>
          </cell>
          <cell r="AL38" t="str">
            <v>7EME TECHNIQUE</v>
          </cell>
          <cell r="AP38" t="str">
            <v>Q 15288</v>
          </cell>
          <cell r="AQ38">
            <v>0</v>
          </cell>
          <cell r="AR38" t="str">
            <v>B</v>
          </cell>
          <cell r="AS38" t="str">
            <v>CR.MAROC - KHGA</v>
          </cell>
          <cell r="AT38" t="str">
            <v>820010003858</v>
          </cell>
          <cell r="AU38" t="str">
            <v>/  /</v>
          </cell>
          <cell r="AW38">
            <v>38534</v>
          </cell>
          <cell r="AY38" t="str">
            <v>XX</v>
          </cell>
          <cell r="BA38" t="str">
            <v>2</v>
          </cell>
          <cell r="BB38">
            <v>1</v>
          </cell>
          <cell r="BD38">
            <v>0</v>
          </cell>
          <cell r="BE38" t="str">
            <v>M</v>
          </cell>
          <cell r="BF38" t="str">
            <v>N</v>
          </cell>
          <cell r="BG38">
            <v>1</v>
          </cell>
          <cell r="BH38">
            <v>38534</v>
          </cell>
        </row>
        <row r="39">
          <cell r="A39">
            <v>68845</v>
          </cell>
          <cell r="B39">
            <v>446</v>
          </cell>
          <cell r="C39" t="str">
            <v>C7050</v>
          </cell>
          <cell r="D39" t="str">
            <v>BOUHNICHE</v>
          </cell>
          <cell r="E39" t="str">
            <v>EL MOSTAFA</v>
          </cell>
          <cell r="F39">
            <v>20073</v>
          </cell>
          <cell r="G39" t="str">
            <v>1</v>
          </cell>
          <cell r="H39" t="str">
            <v>KHOURIBGA</v>
          </cell>
          <cell r="I39" t="str">
            <v>F</v>
          </cell>
          <cell r="J39">
            <v>28104</v>
          </cell>
          <cell r="K39">
            <v>36526</v>
          </cell>
          <cell r="L39" t="str">
            <v>33</v>
          </cell>
          <cell r="M39" t="str">
            <v>A</v>
          </cell>
          <cell r="N39">
            <v>36526</v>
          </cell>
          <cell r="P39">
            <v>26</v>
          </cell>
          <cell r="Q39" t="str">
            <v>O</v>
          </cell>
          <cell r="R39" t="str">
            <v>N</v>
          </cell>
          <cell r="S39">
            <v>0</v>
          </cell>
          <cell r="T39" t="str">
            <v>M</v>
          </cell>
          <cell r="U39" t="str">
            <v>FATIMA BENT ABBES</v>
          </cell>
          <cell r="X39">
            <v>1</v>
          </cell>
          <cell r="Y39">
            <v>1</v>
          </cell>
          <cell r="AB39" t="str">
            <v>X</v>
          </cell>
          <cell r="AC39" t="str">
            <v>X</v>
          </cell>
          <cell r="AD39" t="str">
            <v>X</v>
          </cell>
          <cell r="AH39" t="str">
            <v>N</v>
          </cell>
          <cell r="AI39" t="str">
            <v>N</v>
          </cell>
          <cell r="AK39" t="str">
            <v>1218 VILLAGE O.C.P HATTANE</v>
          </cell>
          <cell r="AL39" t="str">
            <v>6AS</v>
          </cell>
          <cell r="AP39" t="str">
            <v>Q 35665</v>
          </cell>
          <cell r="AQ39">
            <v>0</v>
          </cell>
          <cell r="AR39" t="str">
            <v>B</v>
          </cell>
          <cell r="AS39" t="str">
            <v>WAFBANK - KHGA</v>
          </cell>
          <cell r="AT39" t="str">
            <v>1220301361305</v>
          </cell>
          <cell r="AU39" t="str">
            <v>/  /</v>
          </cell>
          <cell r="AW39">
            <v>38353</v>
          </cell>
          <cell r="AY39" t="str">
            <v>XX</v>
          </cell>
          <cell r="BA39" t="str">
            <v>2</v>
          </cell>
          <cell r="BB39">
            <v>1</v>
          </cell>
          <cell r="BD39">
            <v>0</v>
          </cell>
          <cell r="BE39" t="str">
            <v>M</v>
          </cell>
          <cell r="BF39" t="str">
            <v>N</v>
          </cell>
          <cell r="BG39">
            <v>10</v>
          </cell>
          <cell r="BH39">
            <v>38534</v>
          </cell>
        </row>
        <row r="40">
          <cell r="A40">
            <v>68891</v>
          </cell>
          <cell r="B40">
            <v>446</v>
          </cell>
          <cell r="C40" t="str">
            <v>C3050</v>
          </cell>
          <cell r="D40" t="str">
            <v>FADILE</v>
          </cell>
          <cell r="E40" t="str">
            <v>MOHAMMED</v>
          </cell>
          <cell r="F40">
            <v>18079</v>
          </cell>
          <cell r="G40" t="str">
            <v>1</v>
          </cell>
          <cell r="H40" t="str">
            <v>OUELD BHAR KBAR KHOURIBGA</v>
          </cell>
          <cell r="I40" t="str">
            <v>y</v>
          </cell>
          <cell r="J40">
            <v>28146</v>
          </cell>
          <cell r="K40">
            <v>36526</v>
          </cell>
          <cell r="L40" t="str">
            <v>21</v>
          </cell>
          <cell r="M40" t="str">
            <v>A</v>
          </cell>
          <cell r="N40">
            <v>36526</v>
          </cell>
          <cell r="P40">
            <v>26</v>
          </cell>
          <cell r="Q40" t="str">
            <v>O</v>
          </cell>
          <cell r="R40" t="str">
            <v>N</v>
          </cell>
          <cell r="S40">
            <v>0</v>
          </cell>
          <cell r="T40" t="str">
            <v>M</v>
          </cell>
          <cell r="U40" t="str">
            <v>MBARKA BENT OMAR</v>
          </cell>
          <cell r="X40">
            <v>7</v>
          </cell>
          <cell r="Y40">
            <v>1</v>
          </cell>
          <cell r="AB40" t="str">
            <v>X</v>
          </cell>
          <cell r="AC40" t="str">
            <v>X</v>
          </cell>
          <cell r="AD40" t="str">
            <v>X</v>
          </cell>
          <cell r="AH40" t="str">
            <v>N</v>
          </cell>
          <cell r="AI40" t="str">
            <v>N</v>
          </cell>
          <cell r="AK40" t="str">
            <v>398 VILLAGE O.C.P - BOUJNIBA</v>
          </cell>
          <cell r="AL40" t="str">
            <v>2AS</v>
          </cell>
          <cell r="AP40" t="str">
            <v>Q 46787</v>
          </cell>
          <cell r="AQ40">
            <v>0</v>
          </cell>
          <cell r="AR40" t="str">
            <v>B</v>
          </cell>
          <cell r="AS40" t="str">
            <v>C.N.C.A  KHGA</v>
          </cell>
          <cell r="AT40" t="str">
            <v>0806293D601</v>
          </cell>
          <cell r="AU40" t="str">
            <v>/  /</v>
          </cell>
          <cell r="AW40">
            <v>37803</v>
          </cell>
          <cell r="AY40" t="str">
            <v>XX</v>
          </cell>
          <cell r="BA40" t="str">
            <v>8</v>
          </cell>
          <cell r="BB40">
            <v>1</v>
          </cell>
          <cell r="BD40">
            <v>0</v>
          </cell>
          <cell r="BE40" t="str">
            <v>M</v>
          </cell>
          <cell r="BF40" t="str">
            <v>N</v>
          </cell>
          <cell r="BG40">
            <v>50</v>
          </cell>
          <cell r="BH40">
            <v>37803</v>
          </cell>
        </row>
        <row r="41">
          <cell r="A41">
            <v>69407</v>
          </cell>
          <cell r="B41">
            <v>446</v>
          </cell>
          <cell r="C41" t="str">
            <v>C3000</v>
          </cell>
          <cell r="D41" t="str">
            <v>KARMA</v>
          </cell>
          <cell r="E41" t="str">
            <v>MOHAMED</v>
          </cell>
          <cell r="F41">
            <v>18444</v>
          </cell>
          <cell r="G41" t="str">
            <v>1</v>
          </cell>
          <cell r="H41" t="str">
            <v>M'SAADA - KHOURIBGA</v>
          </cell>
          <cell r="I41" t="str">
            <v>D</v>
          </cell>
          <cell r="J41">
            <v>28282</v>
          </cell>
          <cell r="K41">
            <v>37073</v>
          </cell>
          <cell r="L41" t="str">
            <v>21</v>
          </cell>
          <cell r="M41" t="str">
            <v>C</v>
          </cell>
          <cell r="N41">
            <v>37073</v>
          </cell>
          <cell r="P41">
            <v>25</v>
          </cell>
          <cell r="Q41" t="str">
            <v>N</v>
          </cell>
          <cell r="R41" t="str">
            <v>N</v>
          </cell>
          <cell r="S41">
            <v>0</v>
          </cell>
          <cell r="T41" t="str">
            <v>M</v>
          </cell>
          <cell r="U41" t="str">
            <v>FATIMA BENT MED</v>
          </cell>
          <cell r="X41">
            <v>4</v>
          </cell>
          <cell r="Y41">
            <v>4</v>
          </cell>
          <cell r="AB41" t="str">
            <v>X</v>
          </cell>
          <cell r="AC41" t="str">
            <v>X</v>
          </cell>
          <cell r="AD41" t="str">
            <v>X</v>
          </cell>
          <cell r="AH41" t="str">
            <v>N</v>
          </cell>
          <cell r="AI41" t="str">
            <v>N</v>
          </cell>
          <cell r="AK41" t="str">
            <v>274 NVELLE MEDINA SECHAGE KHGA</v>
          </cell>
          <cell r="AL41" t="str">
            <v>1AS</v>
          </cell>
          <cell r="AP41" t="str">
            <v>Q 6990</v>
          </cell>
          <cell r="AQ41">
            <v>0</v>
          </cell>
          <cell r="AR41" t="str">
            <v>B</v>
          </cell>
          <cell r="AS41" t="str">
            <v>POPULAIRE KHGA</v>
          </cell>
          <cell r="AT41" t="str">
            <v>211111283638001</v>
          </cell>
          <cell r="AU41" t="str">
            <v>/  /</v>
          </cell>
          <cell r="AW41">
            <v>37987</v>
          </cell>
          <cell r="AY41" t="str">
            <v>XX</v>
          </cell>
          <cell r="AZ41" t="str">
            <v>R</v>
          </cell>
          <cell r="BA41" t="str">
            <v>4</v>
          </cell>
          <cell r="BB41">
            <v>1</v>
          </cell>
          <cell r="BD41">
            <v>0</v>
          </cell>
          <cell r="BE41" t="str">
            <v>M</v>
          </cell>
          <cell r="BF41" t="str">
            <v>N</v>
          </cell>
          <cell r="BG41">
            <v>0</v>
          </cell>
          <cell r="BH41">
            <v>37987</v>
          </cell>
        </row>
        <row r="42">
          <cell r="A42">
            <v>69577</v>
          </cell>
          <cell r="B42">
            <v>446</v>
          </cell>
          <cell r="C42" t="str">
            <v>C4050</v>
          </cell>
          <cell r="D42" t="str">
            <v>SELLAK</v>
          </cell>
          <cell r="E42" t="str">
            <v>EL MOSTAFA</v>
          </cell>
          <cell r="F42">
            <v>20685</v>
          </cell>
          <cell r="G42" t="str">
            <v>1</v>
          </cell>
          <cell r="H42" t="str">
            <v>KHOURIBGA</v>
          </cell>
          <cell r="I42" t="str">
            <v>D</v>
          </cell>
          <cell r="J42">
            <v>28346</v>
          </cell>
          <cell r="K42">
            <v>33573</v>
          </cell>
          <cell r="L42" t="str">
            <v>22</v>
          </cell>
          <cell r="M42" t="str">
            <v>B</v>
          </cell>
          <cell r="N42">
            <v>35612</v>
          </cell>
          <cell r="O42">
            <v>0</v>
          </cell>
          <cell r="P42">
            <v>25</v>
          </cell>
          <cell r="Q42" t="str">
            <v>O</v>
          </cell>
          <cell r="R42" t="str">
            <v>N</v>
          </cell>
          <cell r="S42">
            <v>0</v>
          </cell>
          <cell r="T42" t="str">
            <v>M</v>
          </cell>
          <cell r="U42" t="str">
            <v>EL RHADFA BENT MED</v>
          </cell>
          <cell r="X42">
            <v>4</v>
          </cell>
          <cell r="Y42">
            <v>3</v>
          </cell>
          <cell r="AB42" t="str">
            <v>X</v>
          </cell>
          <cell r="AC42" t="str">
            <v>X</v>
          </cell>
          <cell r="AD42" t="str">
            <v>X</v>
          </cell>
          <cell r="AH42" t="str">
            <v>N</v>
          </cell>
          <cell r="AI42" t="str">
            <v>N</v>
          </cell>
          <cell r="AK42" t="str">
            <v>310 VILLAGE OCP BOULANOUAR</v>
          </cell>
          <cell r="AL42" t="str">
            <v>CM2</v>
          </cell>
          <cell r="AP42" t="str">
            <v>Q 83937</v>
          </cell>
          <cell r="AQ42">
            <v>0</v>
          </cell>
          <cell r="AR42" t="str">
            <v>B</v>
          </cell>
          <cell r="AS42" t="str">
            <v>BCM- KHGA</v>
          </cell>
          <cell r="AT42" t="str">
            <v>269S300450</v>
          </cell>
          <cell r="AU42" t="str">
            <v>/  /</v>
          </cell>
          <cell r="AW42">
            <v>39083</v>
          </cell>
          <cell r="AY42" t="str">
            <v>XX</v>
          </cell>
          <cell r="BA42" t="str">
            <v>2</v>
          </cell>
          <cell r="BB42">
            <v>1</v>
          </cell>
          <cell r="BD42">
            <v>0</v>
          </cell>
          <cell r="BE42" t="str">
            <v>M</v>
          </cell>
          <cell r="BF42" t="str">
            <v>N</v>
          </cell>
          <cell r="BG42">
            <v>40</v>
          </cell>
          <cell r="BH42">
            <v>39083</v>
          </cell>
        </row>
        <row r="43">
          <cell r="A43">
            <v>69611</v>
          </cell>
          <cell r="B43">
            <v>446</v>
          </cell>
          <cell r="C43" t="str">
            <v>C4152</v>
          </cell>
          <cell r="D43" t="str">
            <v>TERBOUH</v>
          </cell>
          <cell r="E43" t="str">
            <v>ES SEDDIK</v>
          </cell>
          <cell r="F43">
            <v>19905</v>
          </cell>
          <cell r="G43" t="str">
            <v>3</v>
          </cell>
          <cell r="H43" t="str">
            <v>BOUJNIBA</v>
          </cell>
          <cell r="I43" t="str">
            <v>D</v>
          </cell>
          <cell r="J43">
            <v>28353</v>
          </cell>
          <cell r="K43">
            <v>36526</v>
          </cell>
          <cell r="L43" t="str">
            <v>22</v>
          </cell>
          <cell r="M43" t="str">
            <v>A</v>
          </cell>
          <cell r="N43">
            <v>36526</v>
          </cell>
          <cell r="P43">
            <v>25</v>
          </cell>
          <cell r="Q43" t="str">
            <v>O</v>
          </cell>
          <cell r="R43" t="str">
            <v>N</v>
          </cell>
          <cell r="S43">
            <v>0</v>
          </cell>
          <cell r="T43" t="str">
            <v>D</v>
          </cell>
          <cell r="U43" t="str">
            <v>BENLOUZA SAADIA</v>
          </cell>
          <cell r="X43">
            <v>0</v>
          </cell>
          <cell r="Y43">
            <v>0</v>
          </cell>
          <cell r="AB43" t="str">
            <v>X</v>
          </cell>
          <cell r="AC43" t="str">
            <v>X</v>
          </cell>
          <cell r="AD43" t="str">
            <v>X</v>
          </cell>
          <cell r="AH43" t="str">
            <v>O</v>
          </cell>
          <cell r="AI43" t="str">
            <v>N</v>
          </cell>
          <cell r="AK43" t="str">
            <v>694 VILLAGE O.C.P - BOUJNIBA</v>
          </cell>
          <cell r="AL43" t="str">
            <v>4AS</v>
          </cell>
          <cell r="AP43" t="str">
            <v>Q 32240</v>
          </cell>
          <cell r="AQ43">
            <v>0</v>
          </cell>
          <cell r="AR43" t="str">
            <v>C</v>
          </cell>
          <cell r="AU43" t="str">
            <v>/  /</v>
          </cell>
          <cell r="AW43">
            <v>38169</v>
          </cell>
          <cell r="AY43" t="str">
            <v>XX</v>
          </cell>
          <cell r="BA43" t="str">
            <v>1</v>
          </cell>
          <cell r="BB43">
            <v>0</v>
          </cell>
          <cell r="BD43">
            <v>0</v>
          </cell>
          <cell r="BE43" t="str">
            <v>M</v>
          </cell>
          <cell r="BF43" t="str">
            <v>N</v>
          </cell>
          <cell r="BG43">
            <v>50</v>
          </cell>
          <cell r="BH43">
            <v>38169</v>
          </cell>
        </row>
        <row r="44">
          <cell r="A44">
            <v>69669</v>
          </cell>
          <cell r="B44">
            <v>446</v>
          </cell>
          <cell r="C44" t="str">
            <v>C5050</v>
          </cell>
          <cell r="D44" t="str">
            <v>LOUIHI</v>
          </cell>
          <cell r="E44" t="str">
            <v>EL MOSTAFA</v>
          </cell>
          <cell r="F44">
            <v>19540</v>
          </cell>
          <cell r="G44" t="str">
            <v>1</v>
          </cell>
          <cell r="H44" t="str">
            <v>KHOURIBGA</v>
          </cell>
          <cell r="I44" t="str">
            <v>D</v>
          </cell>
          <cell r="J44">
            <v>28363</v>
          </cell>
          <cell r="K44">
            <v>31929</v>
          </cell>
          <cell r="L44" t="str">
            <v>31</v>
          </cell>
          <cell r="M44" t="str">
            <v>A</v>
          </cell>
          <cell r="N44">
            <v>31929</v>
          </cell>
          <cell r="P44">
            <v>25</v>
          </cell>
          <cell r="Q44" t="str">
            <v>O</v>
          </cell>
          <cell r="R44" t="str">
            <v>N</v>
          </cell>
          <cell r="S44">
            <v>0</v>
          </cell>
          <cell r="T44" t="str">
            <v>M</v>
          </cell>
          <cell r="U44" t="str">
            <v>MINA BENT BOUCHAIB</v>
          </cell>
          <cell r="X44">
            <v>6</v>
          </cell>
          <cell r="Y44">
            <v>5</v>
          </cell>
          <cell r="AB44" t="str">
            <v>X</v>
          </cell>
          <cell r="AC44" t="str">
            <v>X</v>
          </cell>
          <cell r="AD44" t="str">
            <v>X</v>
          </cell>
          <cell r="AH44" t="str">
            <v>O</v>
          </cell>
          <cell r="AI44" t="str">
            <v>N</v>
          </cell>
          <cell r="AK44" t="str">
            <v>91 NOUVELLE EXTENTION OCP - KHGA</v>
          </cell>
          <cell r="AL44" t="str">
            <v>4AS</v>
          </cell>
          <cell r="AP44" t="str">
            <v>Q 0058745</v>
          </cell>
          <cell r="AQ44">
            <v>0</v>
          </cell>
          <cell r="AR44" t="str">
            <v>B</v>
          </cell>
          <cell r="AS44" t="str">
            <v>C.I.H - KHGA</v>
          </cell>
          <cell r="AT44" t="str">
            <v>9389370211004700</v>
          </cell>
          <cell r="AU44" t="str">
            <v>/  /</v>
          </cell>
          <cell r="AW44">
            <v>37987</v>
          </cell>
          <cell r="AY44" t="str">
            <v>XX</v>
          </cell>
          <cell r="BA44" t="str">
            <v>2</v>
          </cell>
          <cell r="BB44">
            <v>1</v>
          </cell>
          <cell r="BD44">
            <v>0</v>
          </cell>
          <cell r="BE44" t="str">
            <v>M</v>
          </cell>
          <cell r="BF44" t="str">
            <v>N</v>
          </cell>
          <cell r="BG44">
            <v>1</v>
          </cell>
          <cell r="BH44">
            <v>37987</v>
          </cell>
        </row>
        <row r="45">
          <cell r="A45">
            <v>69731</v>
          </cell>
          <cell r="B45">
            <v>446</v>
          </cell>
          <cell r="C45" t="str">
            <v>C3050</v>
          </cell>
          <cell r="D45" t="str">
            <v>BERNAOUI</v>
          </cell>
          <cell r="E45" t="str">
            <v>MHAMMED</v>
          </cell>
          <cell r="F45">
            <v>19175</v>
          </cell>
          <cell r="G45" t="str">
            <v>1</v>
          </cell>
          <cell r="H45" t="str">
            <v>OULED BHAR KBAR KHOURIBGA</v>
          </cell>
          <cell r="I45" t="str">
            <v>D</v>
          </cell>
          <cell r="J45">
            <v>28369</v>
          </cell>
          <cell r="K45">
            <v>37165</v>
          </cell>
          <cell r="L45" t="str">
            <v>21</v>
          </cell>
          <cell r="M45" t="str">
            <v>C</v>
          </cell>
          <cell r="N45">
            <v>37165</v>
          </cell>
          <cell r="O45">
            <v>0</v>
          </cell>
          <cell r="P45">
            <v>25</v>
          </cell>
          <cell r="Q45" t="str">
            <v>O</v>
          </cell>
          <cell r="R45" t="str">
            <v>N</v>
          </cell>
          <cell r="S45">
            <v>0</v>
          </cell>
          <cell r="T45" t="str">
            <v>M</v>
          </cell>
          <cell r="U45" t="str">
            <v>FATNA BENT MOHAMED</v>
          </cell>
          <cell r="X45">
            <v>5</v>
          </cell>
          <cell r="Y45">
            <v>2</v>
          </cell>
          <cell r="AB45" t="str">
            <v>X</v>
          </cell>
          <cell r="AC45" t="str">
            <v>X</v>
          </cell>
          <cell r="AD45" t="str">
            <v>X</v>
          </cell>
          <cell r="AH45" t="str">
            <v>N</v>
          </cell>
          <cell r="AI45" t="str">
            <v>N</v>
          </cell>
          <cell r="AK45" t="str">
            <v>1228 SBATA VILLAGE O.C.P - HATTANE</v>
          </cell>
          <cell r="AL45" t="str">
            <v>ILLETRE</v>
          </cell>
          <cell r="AP45" t="str">
            <v>Q 43827</v>
          </cell>
          <cell r="AQ45">
            <v>0</v>
          </cell>
          <cell r="AR45" t="str">
            <v>B</v>
          </cell>
          <cell r="AS45" t="str">
            <v>POPULAIRE.KHGA</v>
          </cell>
          <cell r="AT45" t="str">
            <v>2111136309650004</v>
          </cell>
          <cell r="AU45" t="str">
            <v>/  /</v>
          </cell>
          <cell r="AW45">
            <v>37987</v>
          </cell>
          <cell r="AY45" t="str">
            <v>XX</v>
          </cell>
          <cell r="BA45" t="str">
            <v>2</v>
          </cell>
          <cell r="BB45">
            <v>1</v>
          </cell>
          <cell r="BD45">
            <v>0</v>
          </cell>
          <cell r="BE45" t="str">
            <v>M</v>
          </cell>
          <cell r="BF45" t="str">
            <v>N</v>
          </cell>
          <cell r="BG45">
            <v>10</v>
          </cell>
          <cell r="BH45">
            <v>38169</v>
          </cell>
        </row>
        <row r="46">
          <cell r="A46">
            <v>70504</v>
          </cell>
          <cell r="B46">
            <v>446</v>
          </cell>
          <cell r="C46" t="str">
            <v>C3000</v>
          </cell>
          <cell r="D46" t="str">
            <v>AKHKHA</v>
          </cell>
          <cell r="E46" t="str">
            <v>ABDELKADER</v>
          </cell>
          <cell r="F46">
            <v>18079</v>
          </cell>
          <cell r="G46" t="str">
            <v>1</v>
          </cell>
          <cell r="H46" t="str">
            <v>OULED BHAR KBAR KHOURIBGA</v>
          </cell>
          <cell r="I46" t="str">
            <v>D</v>
          </cell>
          <cell r="J46">
            <v>28594</v>
          </cell>
          <cell r="K46">
            <v>37377</v>
          </cell>
          <cell r="L46" t="str">
            <v>21</v>
          </cell>
          <cell r="M46" t="str">
            <v>C</v>
          </cell>
          <cell r="N46">
            <v>37377</v>
          </cell>
          <cell r="P46">
            <v>25</v>
          </cell>
          <cell r="Q46" t="str">
            <v>N</v>
          </cell>
          <cell r="R46" t="str">
            <v>O</v>
          </cell>
          <cell r="S46">
            <v>1</v>
          </cell>
          <cell r="T46" t="str">
            <v>M</v>
          </cell>
          <cell r="U46" t="str">
            <v>ZOHRA BENT MOHAMED</v>
          </cell>
          <cell r="X46">
            <v>7</v>
          </cell>
          <cell r="Y46">
            <v>4</v>
          </cell>
          <cell r="AB46" t="str">
            <v>X</v>
          </cell>
          <cell r="AC46" t="str">
            <v>X</v>
          </cell>
          <cell r="AD46" t="str">
            <v>X</v>
          </cell>
          <cell r="AH46" t="str">
            <v>N</v>
          </cell>
          <cell r="AI46" t="str">
            <v>N</v>
          </cell>
          <cell r="AK46" t="str">
            <v>663 NOUVEAU TACHERON OCP - BOUJNIBA</v>
          </cell>
          <cell r="AL46" t="str">
            <v>CM2</v>
          </cell>
          <cell r="AP46" t="str">
            <v>Q 16925</v>
          </cell>
          <cell r="AQ46">
            <v>0</v>
          </cell>
          <cell r="AR46" t="str">
            <v>B</v>
          </cell>
          <cell r="AS46" t="str">
            <v>BMCE -KHGA-</v>
          </cell>
          <cell r="AT46" t="str">
            <v>4000001200001714047</v>
          </cell>
          <cell r="AU46" t="str">
            <v>/  /</v>
          </cell>
          <cell r="AW46">
            <v>38169</v>
          </cell>
          <cell r="AY46" t="str">
            <v>XX</v>
          </cell>
          <cell r="BA46" t="str">
            <v>2</v>
          </cell>
          <cell r="BB46">
            <v>1</v>
          </cell>
          <cell r="BD46">
            <v>0</v>
          </cell>
          <cell r="BE46" t="str">
            <v>M</v>
          </cell>
          <cell r="BF46" t="str">
            <v>N</v>
          </cell>
          <cell r="BG46">
            <v>0</v>
          </cell>
          <cell r="BH46">
            <v>38169</v>
          </cell>
        </row>
        <row r="47">
          <cell r="A47">
            <v>70531</v>
          </cell>
          <cell r="B47">
            <v>412</v>
          </cell>
          <cell r="C47" t="str">
            <v>C2754</v>
          </cell>
          <cell r="D47" t="str">
            <v>EL GTAY</v>
          </cell>
          <cell r="E47" t="str">
            <v>EL MILOUDI</v>
          </cell>
          <cell r="F47">
            <v>18079</v>
          </cell>
          <cell r="G47" t="str">
            <v>1</v>
          </cell>
          <cell r="H47" t="str">
            <v>OULED BHAR KBAR KHOURIBGA</v>
          </cell>
          <cell r="I47" t="str">
            <v>D</v>
          </cell>
          <cell r="J47">
            <v>28614</v>
          </cell>
          <cell r="K47">
            <v>30834</v>
          </cell>
          <cell r="L47" t="str">
            <v>12</v>
          </cell>
          <cell r="M47" t="str">
            <v>E</v>
          </cell>
          <cell r="N47">
            <v>35612</v>
          </cell>
          <cell r="P47">
            <v>24</v>
          </cell>
          <cell r="Q47" t="str">
            <v>N</v>
          </cell>
          <cell r="R47" t="str">
            <v>O</v>
          </cell>
          <cell r="S47">
            <v>1</v>
          </cell>
          <cell r="T47" t="str">
            <v>M</v>
          </cell>
          <cell r="U47" t="str">
            <v>JEMAA BENT SALAH</v>
          </cell>
          <cell r="X47">
            <v>9</v>
          </cell>
          <cell r="Y47">
            <v>3</v>
          </cell>
          <cell r="AB47" t="str">
            <v>X</v>
          </cell>
          <cell r="AC47" t="str">
            <v>X</v>
          </cell>
          <cell r="AD47" t="str">
            <v>X</v>
          </cell>
          <cell r="AH47" t="str">
            <v>N</v>
          </cell>
          <cell r="AI47" t="str">
            <v>N</v>
          </cell>
          <cell r="AK47" t="str">
            <v>174 VILLAGE O.C.P - BOUJNIBA</v>
          </cell>
          <cell r="AL47" t="str">
            <v>ILLETRE</v>
          </cell>
          <cell r="AP47" t="str">
            <v>Q 73701</v>
          </cell>
          <cell r="AQ47">
            <v>0</v>
          </cell>
          <cell r="AR47" t="str">
            <v>B</v>
          </cell>
          <cell r="AS47" t="str">
            <v>CR.AGRIC - KHGA</v>
          </cell>
          <cell r="AT47" t="str">
            <v>0805903G601</v>
          </cell>
          <cell r="AU47" t="str">
            <v>/  /</v>
          </cell>
          <cell r="AW47">
            <v>38169</v>
          </cell>
          <cell r="AY47" t="str">
            <v>XX</v>
          </cell>
          <cell r="BA47" t="str">
            <v>2</v>
          </cell>
          <cell r="BB47">
            <v>1</v>
          </cell>
          <cell r="BD47">
            <v>0</v>
          </cell>
          <cell r="BE47" t="str">
            <v>M</v>
          </cell>
          <cell r="BF47" t="str">
            <v>N</v>
          </cell>
          <cell r="BG47">
            <v>0</v>
          </cell>
          <cell r="BH47">
            <v>38169</v>
          </cell>
        </row>
        <row r="48">
          <cell r="A48">
            <v>70545</v>
          </cell>
          <cell r="B48">
            <v>446</v>
          </cell>
          <cell r="C48" t="str">
            <v>C2050</v>
          </cell>
          <cell r="D48" t="str">
            <v>NAFIQ</v>
          </cell>
          <cell r="E48" t="str">
            <v>MHAMED</v>
          </cell>
          <cell r="F48">
            <v>19139</v>
          </cell>
          <cell r="G48" t="str">
            <v>6</v>
          </cell>
          <cell r="H48" t="str">
            <v>M'FASSIS</v>
          </cell>
          <cell r="I48" t="str">
            <v>D</v>
          </cell>
          <cell r="J48">
            <v>28615</v>
          </cell>
          <cell r="K48">
            <v>30834</v>
          </cell>
          <cell r="L48" t="str">
            <v>12</v>
          </cell>
          <cell r="M48" t="str">
            <v>E</v>
          </cell>
          <cell r="N48">
            <v>35612</v>
          </cell>
          <cell r="P48">
            <v>24</v>
          </cell>
          <cell r="Q48" t="str">
            <v>O</v>
          </cell>
          <cell r="R48" t="str">
            <v>N</v>
          </cell>
          <cell r="S48">
            <v>0</v>
          </cell>
          <cell r="T48" t="str">
            <v>M</v>
          </cell>
          <cell r="U48" t="str">
            <v>AICHA BENT MOHAMED</v>
          </cell>
          <cell r="X48">
            <v>4</v>
          </cell>
          <cell r="Y48">
            <v>4</v>
          </cell>
          <cell r="AB48" t="str">
            <v>X</v>
          </cell>
          <cell r="AC48" t="str">
            <v>X</v>
          </cell>
          <cell r="AD48" t="str">
            <v>X</v>
          </cell>
          <cell r="AH48" t="str">
            <v>N</v>
          </cell>
          <cell r="AI48" t="str">
            <v>N</v>
          </cell>
          <cell r="AK48" t="str">
            <v>DOUAR MED BEN KACEM M'FASSIS</v>
          </cell>
          <cell r="AL48" t="str">
            <v>ILLETRE</v>
          </cell>
          <cell r="AP48" t="str">
            <v>Q 29918</v>
          </cell>
          <cell r="AQ48">
            <v>0</v>
          </cell>
          <cell r="AR48" t="str">
            <v>B</v>
          </cell>
          <cell r="AS48" t="str">
            <v>C.N.C.A  KHGA</v>
          </cell>
          <cell r="AT48" t="str">
            <v>0806192Y601</v>
          </cell>
          <cell r="AU48" t="str">
            <v>/  /</v>
          </cell>
          <cell r="AW48">
            <v>38353</v>
          </cell>
          <cell r="AY48" t="str">
            <v>XX</v>
          </cell>
          <cell r="BA48" t="str">
            <v>2</v>
          </cell>
          <cell r="BB48">
            <v>1</v>
          </cell>
          <cell r="BD48">
            <v>0</v>
          </cell>
          <cell r="BE48" t="str">
            <v>M</v>
          </cell>
          <cell r="BF48" t="str">
            <v>N</v>
          </cell>
          <cell r="BG48">
            <v>10</v>
          </cell>
          <cell r="BH48">
            <v>38353</v>
          </cell>
          <cell r="BI48" t="str">
            <v>O</v>
          </cell>
        </row>
        <row r="49">
          <cell r="A49">
            <v>70546</v>
          </cell>
          <cell r="B49">
            <v>446</v>
          </cell>
          <cell r="C49" t="str">
            <v>C3050</v>
          </cell>
          <cell r="D49" t="str">
            <v>BENSAMALI</v>
          </cell>
          <cell r="E49" t="str">
            <v>MOHAMED</v>
          </cell>
          <cell r="F49">
            <v>18444</v>
          </cell>
          <cell r="G49" t="str">
            <v>6</v>
          </cell>
          <cell r="H49" t="str">
            <v>M'FASSIS</v>
          </cell>
          <cell r="I49" t="str">
            <v>D</v>
          </cell>
          <cell r="J49">
            <v>28615</v>
          </cell>
          <cell r="K49">
            <v>37012</v>
          </cell>
          <cell r="L49" t="str">
            <v>21</v>
          </cell>
          <cell r="M49" t="str">
            <v>A</v>
          </cell>
          <cell r="N49">
            <v>37012</v>
          </cell>
          <cell r="P49">
            <v>24</v>
          </cell>
          <cell r="Q49" t="str">
            <v>O</v>
          </cell>
          <cell r="R49" t="str">
            <v>N</v>
          </cell>
          <cell r="S49">
            <v>0</v>
          </cell>
          <cell r="T49" t="str">
            <v>M</v>
          </cell>
          <cell r="U49" t="str">
            <v>FATNA BENT ACHOUK</v>
          </cell>
          <cell r="V49" t="str">
            <v>CHARKIA BENT MOHAMED</v>
          </cell>
          <cell r="X49">
            <v>7</v>
          </cell>
          <cell r="Y49">
            <v>4</v>
          </cell>
          <cell r="AB49" t="str">
            <v>X</v>
          </cell>
          <cell r="AC49" t="str">
            <v>X</v>
          </cell>
          <cell r="AD49" t="str">
            <v>X</v>
          </cell>
          <cell r="AH49" t="str">
            <v>N</v>
          </cell>
          <cell r="AI49" t="str">
            <v>N</v>
          </cell>
          <cell r="AK49" t="str">
            <v>836 VILLAGE O.C.P - HATTANE</v>
          </cell>
          <cell r="AL49" t="str">
            <v>ILLETRE</v>
          </cell>
          <cell r="AP49" t="str">
            <v>Q 80762</v>
          </cell>
          <cell r="AQ49">
            <v>0</v>
          </cell>
          <cell r="AR49" t="str">
            <v>C</v>
          </cell>
          <cell r="AU49" t="str">
            <v>/  /</v>
          </cell>
          <cell r="AW49">
            <v>38353</v>
          </cell>
          <cell r="AY49" t="str">
            <v>XX</v>
          </cell>
          <cell r="AZ49" t="str">
            <v>K</v>
          </cell>
          <cell r="BA49" t="str">
            <v>2</v>
          </cell>
          <cell r="BB49">
            <v>1</v>
          </cell>
          <cell r="BD49">
            <v>0</v>
          </cell>
          <cell r="BE49" t="str">
            <v>M</v>
          </cell>
          <cell r="BF49" t="str">
            <v>N</v>
          </cell>
          <cell r="BG49">
            <v>10</v>
          </cell>
          <cell r="BH49">
            <v>38353</v>
          </cell>
        </row>
        <row r="50">
          <cell r="A50">
            <v>70549</v>
          </cell>
          <cell r="B50">
            <v>446</v>
          </cell>
          <cell r="C50" t="str">
            <v>C2050</v>
          </cell>
          <cell r="D50" t="str">
            <v>ERRAZANI</v>
          </cell>
          <cell r="E50" t="str">
            <v>ALLAL</v>
          </cell>
          <cell r="F50">
            <v>19175</v>
          </cell>
          <cell r="G50" t="str">
            <v>6</v>
          </cell>
          <cell r="H50" t="str">
            <v>M'FASSIS</v>
          </cell>
          <cell r="I50" t="str">
            <v>D</v>
          </cell>
          <cell r="J50">
            <v>28615</v>
          </cell>
          <cell r="K50">
            <v>30834</v>
          </cell>
          <cell r="L50" t="str">
            <v>12</v>
          </cell>
          <cell r="M50" t="str">
            <v>C</v>
          </cell>
          <cell r="N50">
            <v>35217</v>
          </cell>
          <cell r="P50">
            <v>24</v>
          </cell>
          <cell r="Q50" t="str">
            <v>N</v>
          </cell>
          <cell r="R50" t="str">
            <v>O</v>
          </cell>
          <cell r="S50">
            <v>3</v>
          </cell>
          <cell r="T50" t="str">
            <v>M</v>
          </cell>
          <cell r="U50" t="str">
            <v>ES SAADIA BENT AMEUR</v>
          </cell>
          <cell r="X50">
            <v>6</v>
          </cell>
          <cell r="Y50">
            <v>4</v>
          </cell>
          <cell r="AB50" t="str">
            <v>X</v>
          </cell>
          <cell r="AC50" t="str">
            <v>X</v>
          </cell>
          <cell r="AD50" t="str">
            <v>X</v>
          </cell>
          <cell r="AH50" t="str">
            <v>N</v>
          </cell>
          <cell r="AI50" t="str">
            <v>N</v>
          </cell>
          <cell r="AK50" t="str">
            <v>DOUAR OULED AOMER M'FASSIS</v>
          </cell>
          <cell r="AL50" t="str">
            <v>ILLETRE</v>
          </cell>
          <cell r="AP50" t="str">
            <v>Q 80953</v>
          </cell>
          <cell r="AQ50">
            <v>0</v>
          </cell>
          <cell r="AR50" t="str">
            <v>B</v>
          </cell>
          <cell r="AS50" t="str">
            <v>POPULAIRE.KHGA</v>
          </cell>
          <cell r="AT50" t="str">
            <v>2111156479040000</v>
          </cell>
          <cell r="AU50" t="str">
            <v>/  /</v>
          </cell>
          <cell r="AW50">
            <v>38353</v>
          </cell>
          <cell r="AY50" t="str">
            <v>XX</v>
          </cell>
          <cell r="BA50" t="str">
            <v>2</v>
          </cell>
          <cell r="BB50">
            <v>1</v>
          </cell>
          <cell r="BD50">
            <v>0</v>
          </cell>
          <cell r="BE50" t="str">
            <v>M</v>
          </cell>
          <cell r="BF50" t="str">
            <v>N</v>
          </cell>
          <cell r="BG50">
            <v>0</v>
          </cell>
          <cell r="BH50">
            <v>38353</v>
          </cell>
          <cell r="BI50" t="str">
            <v>O</v>
          </cell>
        </row>
        <row r="51">
          <cell r="A51">
            <v>71240</v>
          </cell>
          <cell r="B51">
            <v>446</v>
          </cell>
          <cell r="C51" t="str">
            <v>C3152</v>
          </cell>
          <cell r="D51" t="str">
            <v>BALLOUL</v>
          </cell>
          <cell r="E51" t="str">
            <v>ABDELKEBIR</v>
          </cell>
          <cell r="F51">
            <v>19540</v>
          </cell>
          <cell r="G51" t="str">
            <v>6</v>
          </cell>
          <cell r="H51" t="str">
            <v>M'FASSIS</v>
          </cell>
          <cell r="I51" t="str">
            <v>D</v>
          </cell>
          <cell r="J51">
            <v>29045</v>
          </cell>
          <cell r="K51">
            <v>35977</v>
          </cell>
          <cell r="L51" t="str">
            <v>21</v>
          </cell>
          <cell r="M51" t="str">
            <v>B</v>
          </cell>
          <cell r="N51">
            <v>35977</v>
          </cell>
          <cell r="P51">
            <v>23</v>
          </cell>
          <cell r="Q51" t="str">
            <v>O</v>
          </cell>
          <cell r="R51" t="str">
            <v>N</v>
          </cell>
          <cell r="S51">
            <v>0</v>
          </cell>
          <cell r="T51" t="str">
            <v>M</v>
          </cell>
          <cell r="U51" t="str">
            <v>RACHIDA BENT BOUAZZA</v>
          </cell>
          <cell r="X51">
            <v>4</v>
          </cell>
          <cell r="Y51">
            <v>2</v>
          </cell>
          <cell r="AB51" t="str">
            <v>X</v>
          </cell>
          <cell r="AC51" t="str">
            <v>X</v>
          </cell>
          <cell r="AD51" t="str">
            <v>X</v>
          </cell>
          <cell r="AH51" t="str">
            <v>N</v>
          </cell>
          <cell r="AI51" t="str">
            <v>N</v>
          </cell>
          <cell r="AK51" t="str">
            <v>339 VILLAGE O.C.P - BOUJNIBA</v>
          </cell>
          <cell r="AL51" t="str">
            <v>ILLETRE</v>
          </cell>
          <cell r="AP51" t="str">
            <v>Q 80890</v>
          </cell>
          <cell r="AQ51">
            <v>0</v>
          </cell>
          <cell r="AR51" t="str">
            <v>B</v>
          </cell>
          <cell r="AS51" t="str">
            <v>WAFABANK - KHGA</v>
          </cell>
          <cell r="AT51" t="str">
            <v>1220301381715000715</v>
          </cell>
          <cell r="AU51" t="str">
            <v>/  /</v>
          </cell>
          <cell r="AW51">
            <v>38718</v>
          </cell>
          <cell r="AY51" t="str">
            <v>XX</v>
          </cell>
          <cell r="AZ51" t="str">
            <v>K</v>
          </cell>
          <cell r="BA51" t="str">
            <v>1</v>
          </cell>
          <cell r="BB51">
            <v>1</v>
          </cell>
          <cell r="BD51">
            <v>0</v>
          </cell>
          <cell r="BE51" t="str">
            <v>M</v>
          </cell>
          <cell r="BF51" t="str">
            <v>N</v>
          </cell>
          <cell r="BG51">
            <v>50</v>
          </cell>
          <cell r="BH51">
            <v>38718</v>
          </cell>
        </row>
        <row r="52">
          <cell r="A52">
            <v>71242</v>
          </cell>
          <cell r="B52">
            <v>446</v>
          </cell>
          <cell r="C52" t="str">
            <v>C3050</v>
          </cell>
          <cell r="D52" t="str">
            <v>BOUFQIR</v>
          </cell>
          <cell r="E52" t="str">
            <v>EL MOSTAFA</v>
          </cell>
          <cell r="F52">
            <v>18444</v>
          </cell>
          <cell r="G52" t="str">
            <v>6</v>
          </cell>
          <cell r="H52" t="str">
            <v>M'FASSIS</v>
          </cell>
          <cell r="I52" t="str">
            <v>D</v>
          </cell>
          <cell r="J52">
            <v>29045</v>
          </cell>
          <cell r="K52">
            <v>37377</v>
          </cell>
          <cell r="L52" t="str">
            <v>21</v>
          </cell>
          <cell r="M52" t="str">
            <v>A</v>
          </cell>
          <cell r="N52">
            <v>37377</v>
          </cell>
          <cell r="P52">
            <v>23</v>
          </cell>
          <cell r="Q52" t="str">
            <v>O</v>
          </cell>
          <cell r="R52" t="str">
            <v>N</v>
          </cell>
          <cell r="S52">
            <v>0</v>
          </cell>
          <cell r="T52" t="str">
            <v>M</v>
          </cell>
          <cell r="U52" t="str">
            <v>FATIMA BENT EL MAATI</v>
          </cell>
          <cell r="X52">
            <v>6</v>
          </cell>
          <cell r="Y52">
            <v>1</v>
          </cell>
          <cell r="AB52" t="str">
            <v>X</v>
          </cell>
          <cell r="AC52" t="str">
            <v>X</v>
          </cell>
          <cell r="AD52" t="str">
            <v>X</v>
          </cell>
          <cell r="AH52" t="str">
            <v>N</v>
          </cell>
          <cell r="AI52" t="str">
            <v>N</v>
          </cell>
          <cell r="AK52" t="str">
            <v>N° 44 BLOC A  MASSIRA - KHOURIBGA</v>
          </cell>
          <cell r="AL52" t="str">
            <v>ILLETRE</v>
          </cell>
          <cell r="AP52" t="str">
            <v>Q 33118</v>
          </cell>
          <cell r="AQ52">
            <v>0</v>
          </cell>
          <cell r="AR52" t="str">
            <v>B</v>
          </cell>
          <cell r="AS52" t="str">
            <v>POPULAIRE  KHGA</v>
          </cell>
          <cell r="AT52" t="str">
            <v>2111112864840009</v>
          </cell>
          <cell r="AU52" t="str">
            <v>/  /</v>
          </cell>
          <cell r="AW52">
            <v>38534</v>
          </cell>
          <cell r="AY52" t="str">
            <v>XX</v>
          </cell>
          <cell r="AZ52" t="str">
            <v>R</v>
          </cell>
          <cell r="BA52" t="str">
            <v>2</v>
          </cell>
          <cell r="BB52">
            <v>1</v>
          </cell>
          <cell r="BD52">
            <v>0</v>
          </cell>
          <cell r="BE52" t="str">
            <v>M</v>
          </cell>
          <cell r="BF52" t="str">
            <v>N</v>
          </cell>
          <cell r="BG52">
            <v>1</v>
          </cell>
          <cell r="BH52">
            <v>38534</v>
          </cell>
          <cell r="BI52" t="str">
            <v>O</v>
          </cell>
        </row>
        <row r="53">
          <cell r="A53">
            <v>71262</v>
          </cell>
          <cell r="B53">
            <v>446</v>
          </cell>
          <cell r="C53" t="str">
            <v>C2152</v>
          </cell>
          <cell r="D53" t="str">
            <v>RIZQAOUI</v>
          </cell>
          <cell r="E53" t="str">
            <v>ABDELOUAHED</v>
          </cell>
          <cell r="F53">
            <v>20148</v>
          </cell>
          <cell r="G53" t="str">
            <v>1</v>
          </cell>
          <cell r="H53" t="str">
            <v>OULED BHAR KBAR KHOURIBGA</v>
          </cell>
          <cell r="I53" t="str">
            <v>D</v>
          </cell>
          <cell r="J53">
            <v>29049</v>
          </cell>
          <cell r="K53">
            <v>31260</v>
          </cell>
          <cell r="L53" t="str">
            <v>12</v>
          </cell>
          <cell r="M53" t="str">
            <v>C</v>
          </cell>
          <cell r="N53">
            <v>21033</v>
          </cell>
          <cell r="P53">
            <v>23</v>
          </cell>
          <cell r="Q53" t="str">
            <v>O</v>
          </cell>
          <cell r="R53" t="str">
            <v>N</v>
          </cell>
          <cell r="S53">
            <v>0</v>
          </cell>
          <cell r="T53" t="str">
            <v>M</v>
          </cell>
          <cell r="U53" t="str">
            <v>EL MOULOUDIA BENT LARBI</v>
          </cell>
          <cell r="X53">
            <v>6</v>
          </cell>
          <cell r="Y53">
            <v>6</v>
          </cell>
          <cell r="AB53" t="str">
            <v>X</v>
          </cell>
          <cell r="AC53" t="str">
            <v>X</v>
          </cell>
          <cell r="AD53" t="str">
            <v>X</v>
          </cell>
          <cell r="AH53" t="str">
            <v>N</v>
          </cell>
          <cell r="AI53" t="str">
            <v>N</v>
          </cell>
          <cell r="AK53" t="str">
            <v>256 ANCIEN TACHERON OCP - BOUJNIBA</v>
          </cell>
          <cell r="AL53" t="str">
            <v>CM2</v>
          </cell>
          <cell r="AP53" t="str">
            <v>Q 23252</v>
          </cell>
          <cell r="AQ53">
            <v>0</v>
          </cell>
          <cell r="AR53" t="str">
            <v>B</v>
          </cell>
          <cell r="AS53" t="str">
            <v>POPULAIRE.KHGA</v>
          </cell>
          <cell r="AT53" t="str">
            <v>2111136315870000</v>
          </cell>
          <cell r="AU53" t="str">
            <v>/  /</v>
          </cell>
          <cell r="AW53">
            <v>38718</v>
          </cell>
          <cell r="AY53" t="str">
            <v>XX</v>
          </cell>
          <cell r="AZ53" t="str">
            <v>R</v>
          </cell>
          <cell r="BA53" t="str">
            <v>1</v>
          </cell>
          <cell r="BB53">
            <v>1</v>
          </cell>
          <cell r="BD53">
            <v>0</v>
          </cell>
          <cell r="BE53" t="str">
            <v>M</v>
          </cell>
          <cell r="BF53" t="str">
            <v>N</v>
          </cell>
          <cell r="BG53">
            <v>50</v>
          </cell>
          <cell r="BH53">
            <v>38718</v>
          </cell>
        </row>
        <row r="54">
          <cell r="A54">
            <v>71275</v>
          </cell>
          <cell r="B54">
            <v>446</v>
          </cell>
          <cell r="C54" t="str">
            <v>C3050</v>
          </cell>
          <cell r="D54" t="str">
            <v>LETRACH</v>
          </cell>
          <cell r="E54" t="str">
            <v>ALI</v>
          </cell>
          <cell r="F54">
            <v>18444</v>
          </cell>
          <cell r="G54" t="str">
            <v>1</v>
          </cell>
          <cell r="H54" t="str">
            <v>OULED BHAR KBAR KHOURIBGA</v>
          </cell>
          <cell r="I54" t="str">
            <v>D</v>
          </cell>
          <cell r="J54">
            <v>29054</v>
          </cell>
          <cell r="K54">
            <v>37012</v>
          </cell>
          <cell r="L54" t="str">
            <v>21</v>
          </cell>
          <cell r="M54" t="str">
            <v>A</v>
          </cell>
          <cell r="N54">
            <v>37012</v>
          </cell>
          <cell r="P54">
            <v>23</v>
          </cell>
          <cell r="Q54" t="str">
            <v>O</v>
          </cell>
          <cell r="R54" t="str">
            <v>N</v>
          </cell>
          <cell r="S54">
            <v>0</v>
          </cell>
          <cell r="T54" t="str">
            <v>M</v>
          </cell>
          <cell r="U54" t="str">
            <v>AICHA BENT BIHI</v>
          </cell>
          <cell r="X54">
            <v>1</v>
          </cell>
          <cell r="Y54">
            <v>0</v>
          </cell>
          <cell r="AB54" t="str">
            <v>X</v>
          </cell>
          <cell r="AC54" t="str">
            <v>X</v>
          </cell>
          <cell r="AD54" t="str">
            <v>X</v>
          </cell>
          <cell r="AH54" t="str">
            <v>N</v>
          </cell>
          <cell r="AI54" t="str">
            <v>N</v>
          </cell>
          <cell r="AK54" t="str">
            <v>260 DOUAR BENNBACEUR - BOUJNIBA</v>
          </cell>
          <cell r="AL54" t="str">
            <v>ILLETRE</v>
          </cell>
          <cell r="AP54" t="str">
            <v>Q 69405</v>
          </cell>
          <cell r="AQ54">
            <v>0</v>
          </cell>
          <cell r="AR54" t="str">
            <v>C</v>
          </cell>
          <cell r="AU54" t="str">
            <v>/  /</v>
          </cell>
          <cell r="AW54">
            <v>38534</v>
          </cell>
          <cell r="AY54" t="str">
            <v>XX</v>
          </cell>
          <cell r="AZ54" t="str">
            <v>R</v>
          </cell>
          <cell r="BA54" t="str">
            <v>2</v>
          </cell>
          <cell r="BB54">
            <v>1</v>
          </cell>
          <cell r="BD54">
            <v>0</v>
          </cell>
          <cell r="BE54" t="str">
            <v>M</v>
          </cell>
          <cell r="BF54" t="str">
            <v>N</v>
          </cell>
          <cell r="BG54">
            <v>50</v>
          </cell>
          <cell r="BH54">
            <v>38534</v>
          </cell>
          <cell r="BI54" t="str">
            <v>O</v>
          </cell>
        </row>
        <row r="55">
          <cell r="A55">
            <v>71277</v>
          </cell>
          <cell r="B55">
            <v>446</v>
          </cell>
          <cell r="C55" t="str">
            <v>C3152</v>
          </cell>
          <cell r="D55" t="str">
            <v>HASBI</v>
          </cell>
          <cell r="E55" t="str">
            <v>EL KBIR</v>
          </cell>
          <cell r="F55">
            <v>18079</v>
          </cell>
          <cell r="G55" t="str">
            <v>1</v>
          </cell>
          <cell r="H55" t="str">
            <v>OULED BHAR KBAR KHOURIBGA</v>
          </cell>
          <cell r="I55" t="str">
            <v>D</v>
          </cell>
          <cell r="J55">
            <v>29056</v>
          </cell>
          <cell r="K55">
            <v>35096</v>
          </cell>
          <cell r="L55" t="str">
            <v>21</v>
          </cell>
          <cell r="M55" t="str">
            <v>A</v>
          </cell>
          <cell r="N55">
            <v>35096</v>
          </cell>
          <cell r="P55">
            <v>23</v>
          </cell>
          <cell r="Q55" t="str">
            <v>O</v>
          </cell>
          <cell r="R55" t="str">
            <v>N</v>
          </cell>
          <cell r="S55">
            <v>0</v>
          </cell>
          <cell r="T55" t="str">
            <v>M</v>
          </cell>
          <cell r="U55" t="str">
            <v>ESSADIA BENT SALAH</v>
          </cell>
          <cell r="X55">
            <v>5</v>
          </cell>
          <cell r="Y55">
            <v>3</v>
          </cell>
          <cell r="AB55" t="str">
            <v>X</v>
          </cell>
          <cell r="AC55" t="str">
            <v>X</v>
          </cell>
          <cell r="AD55" t="str">
            <v>X</v>
          </cell>
          <cell r="AH55" t="str">
            <v>N</v>
          </cell>
          <cell r="AI55" t="str">
            <v>N</v>
          </cell>
          <cell r="AK55" t="str">
            <v>122 ANCIEN TACHERON OCP - BOUJNIBA</v>
          </cell>
          <cell r="AL55" t="str">
            <v>ILLETRE</v>
          </cell>
          <cell r="AP55" t="str">
            <v>Q 88581</v>
          </cell>
          <cell r="AQ55">
            <v>0</v>
          </cell>
          <cell r="AR55" t="str">
            <v>B</v>
          </cell>
          <cell r="AS55" t="str">
            <v>WAFABANK - KHGA</v>
          </cell>
          <cell r="AT55" t="str">
            <v>1220301363729</v>
          </cell>
          <cell r="AU55" t="str">
            <v>/  /</v>
          </cell>
          <cell r="AW55">
            <v>38169</v>
          </cell>
          <cell r="AY55" t="str">
            <v>XX</v>
          </cell>
          <cell r="BA55" t="str">
            <v>2</v>
          </cell>
          <cell r="BB55">
            <v>1</v>
          </cell>
          <cell r="BD55">
            <v>0</v>
          </cell>
          <cell r="BE55" t="str">
            <v>M</v>
          </cell>
          <cell r="BF55" t="str">
            <v>N</v>
          </cell>
          <cell r="BG55">
            <v>50</v>
          </cell>
          <cell r="BH55">
            <v>38169</v>
          </cell>
          <cell r="BI55" t="str">
            <v>O</v>
          </cell>
        </row>
        <row r="56">
          <cell r="A56">
            <v>71323</v>
          </cell>
          <cell r="B56">
            <v>446</v>
          </cell>
          <cell r="C56" t="str">
            <v>C4152</v>
          </cell>
          <cell r="D56" t="str">
            <v>EL GAROUAZ</v>
          </cell>
          <cell r="E56" t="str">
            <v>EL MATI</v>
          </cell>
          <cell r="F56">
            <v>20270</v>
          </cell>
          <cell r="G56" t="str">
            <v>1</v>
          </cell>
          <cell r="H56" t="str">
            <v>OULED BHAR KBAR KHOURIBGA</v>
          </cell>
          <cell r="I56" t="str">
            <v>D</v>
          </cell>
          <cell r="J56">
            <v>29067</v>
          </cell>
          <cell r="K56">
            <v>35065</v>
          </cell>
          <cell r="L56" t="str">
            <v>22</v>
          </cell>
          <cell r="M56" t="str">
            <v>A</v>
          </cell>
          <cell r="N56">
            <v>35065</v>
          </cell>
          <cell r="P56">
            <v>23</v>
          </cell>
          <cell r="Q56" t="str">
            <v>O</v>
          </cell>
          <cell r="R56" t="str">
            <v>N</v>
          </cell>
          <cell r="S56">
            <v>0</v>
          </cell>
          <cell r="T56" t="str">
            <v>M</v>
          </cell>
          <cell r="U56" t="str">
            <v>HNIA BENT HAMADI</v>
          </cell>
          <cell r="X56">
            <v>1</v>
          </cell>
          <cell r="Y56">
            <v>1</v>
          </cell>
          <cell r="AB56" t="str">
            <v>X</v>
          </cell>
          <cell r="AC56" t="str">
            <v>X</v>
          </cell>
          <cell r="AD56" t="str">
            <v>X</v>
          </cell>
          <cell r="AH56" t="str">
            <v>N</v>
          </cell>
          <cell r="AI56" t="str">
            <v>N</v>
          </cell>
          <cell r="AK56" t="str">
            <v>764 VILLAGE OCP HATTANE</v>
          </cell>
          <cell r="AL56" t="str">
            <v>ILLETRE</v>
          </cell>
          <cell r="AP56" t="str">
            <v>Q 26297</v>
          </cell>
          <cell r="AQ56">
            <v>0</v>
          </cell>
          <cell r="AR56" t="str">
            <v>C</v>
          </cell>
          <cell r="AU56" t="str">
            <v>/  /</v>
          </cell>
          <cell r="AW56">
            <v>38718</v>
          </cell>
          <cell r="AY56" t="str">
            <v>XX</v>
          </cell>
          <cell r="BA56" t="str">
            <v>1</v>
          </cell>
          <cell r="BB56">
            <v>1</v>
          </cell>
          <cell r="BD56">
            <v>0</v>
          </cell>
          <cell r="BE56" t="str">
            <v>M</v>
          </cell>
          <cell r="BF56" t="str">
            <v>N</v>
          </cell>
          <cell r="BG56">
            <v>10</v>
          </cell>
          <cell r="BH56">
            <v>38718</v>
          </cell>
        </row>
        <row r="57">
          <cell r="A57">
            <v>71968</v>
          </cell>
          <cell r="B57">
            <v>411</v>
          </cell>
          <cell r="C57" t="str">
            <v>C3020</v>
          </cell>
          <cell r="D57" t="str">
            <v>CHARAFI</v>
          </cell>
          <cell r="E57" t="str">
            <v>BOUZEKRI</v>
          </cell>
          <cell r="F57">
            <v>20768</v>
          </cell>
          <cell r="G57" t="str">
            <v>1</v>
          </cell>
          <cell r="H57" t="str">
            <v>OULED BHAR SGHAR KHOURIBGA</v>
          </cell>
          <cell r="I57" t="str">
            <v>D</v>
          </cell>
          <cell r="J57">
            <v>29378</v>
          </cell>
          <cell r="K57">
            <v>35370</v>
          </cell>
          <cell r="L57" t="str">
            <v>21</v>
          </cell>
          <cell r="M57" t="str">
            <v>A</v>
          </cell>
          <cell r="N57">
            <v>35370</v>
          </cell>
          <cell r="P57">
            <v>22</v>
          </cell>
          <cell r="Q57" t="str">
            <v>O</v>
          </cell>
          <cell r="R57" t="str">
            <v>N</v>
          </cell>
          <cell r="S57">
            <v>0</v>
          </cell>
          <cell r="T57" t="str">
            <v>M</v>
          </cell>
          <cell r="U57" t="str">
            <v>RANNAOUI FATNA</v>
          </cell>
          <cell r="X57">
            <v>4</v>
          </cell>
          <cell r="Y57">
            <v>4</v>
          </cell>
          <cell r="AB57" t="str">
            <v>X</v>
          </cell>
          <cell r="AC57" t="str">
            <v>X</v>
          </cell>
          <cell r="AD57" t="str">
            <v>X</v>
          </cell>
          <cell r="AH57" t="str">
            <v>N</v>
          </cell>
          <cell r="AI57" t="str">
            <v>N</v>
          </cell>
          <cell r="AK57" t="str">
            <v>1145 VILLAGE OCP SBATA - HATTANE</v>
          </cell>
          <cell r="AL57" t="str">
            <v>ILLETRE</v>
          </cell>
          <cell r="AP57" t="str">
            <v>Q 51355</v>
          </cell>
          <cell r="AQ57">
            <v>0</v>
          </cell>
          <cell r="AR57" t="str">
            <v>C</v>
          </cell>
          <cell r="AU57" t="str">
            <v>/  /</v>
          </cell>
          <cell r="AW57">
            <v>39083</v>
          </cell>
          <cell r="AY57" t="str">
            <v>XX</v>
          </cell>
          <cell r="AZ57" t="str">
            <v>R</v>
          </cell>
          <cell r="BA57" t="str">
            <v>0</v>
          </cell>
          <cell r="BB57">
            <v>1</v>
          </cell>
          <cell r="BD57">
            <v>0</v>
          </cell>
          <cell r="BE57" t="str">
            <v>M</v>
          </cell>
          <cell r="BF57" t="str">
            <v>N</v>
          </cell>
          <cell r="BG57">
            <v>10</v>
          </cell>
          <cell r="BH57">
            <v>39083</v>
          </cell>
        </row>
        <row r="58">
          <cell r="A58">
            <v>71969</v>
          </cell>
          <cell r="B58">
            <v>446</v>
          </cell>
          <cell r="C58" t="str">
            <v>C4050</v>
          </cell>
          <cell r="D58" t="str">
            <v>DEFFA</v>
          </cell>
          <cell r="E58" t="str">
            <v>BOUAZZA</v>
          </cell>
          <cell r="F58">
            <v>20636</v>
          </cell>
          <cell r="G58" t="str">
            <v>1</v>
          </cell>
          <cell r="H58" t="str">
            <v>OULED BHAR KBAR KHOURIBGA</v>
          </cell>
          <cell r="I58" t="str">
            <v>D</v>
          </cell>
          <cell r="J58">
            <v>29378</v>
          </cell>
          <cell r="K58">
            <v>36526</v>
          </cell>
          <cell r="L58" t="str">
            <v>22</v>
          </cell>
          <cell r="M58" t="str">
            <v>A</v>
          </cell>
          <cell r="N58">
            <v>36526</v>
          </cell>
          <cell r="P58">
            <v>22</v>
          </cell>
          <cell r="Q58" t="str">
            <v>N</v>
          </cell>
          <cell r="R58" t="str">
            <v>O</v>
          </cell>
          <cell r="S58">
            <v>3</v>
          </cell>
          <cell r="T58" t="str">
            <v>M</v>
          </cell>
          <cell r="U58" t="str">
            <v>LEKBIRA BENT HADJ</v>
          </cell>
          <cell r="X58">
            <v>4</v>
          </cell>
          <cell r="Y58">
            <v>4</v>
          </cell>
          <cell r="AB58" t="str">
            <v>X</v>
          </cell>
          <cell r="AC58" t="str">
            <v>X</v>
          </cell>
          <cell r="AD58" t="str">
            <v>X</v>
          </cell>
          <cell r="AH58" t="str">
            <v>N</v>
          </cell>
          <cell r="AI58" t="str">
            <v>N</v>
          </cell>
          <cell r="AK58" t="str">
            <v>498 VILLAGE OCP - BOULANOUAR</v>
          </cell>
          <cell r="AL58" t="str">
            <v>CE2</v>
          </cell>
          <cell r="AP58" t="str">
            <v>Q 76768</v>
          </cell>
          <cell r="AQ58">
            <v>0</v>
          </cell>
          <cell r="AR58" t="str">
            <v>B</v>
          </cell>
          <cell r="AS58" t="str">
            <v>POPULAIRE-KHGA</v>
          </cell>
          <cell r="AT58" t="str">
            <v>2111112885350004</v>
          </cell>
          <cell r="AU58" t="str">
            <v>/  /</v>
          </cell>
          <cell r="AW58">
            <v>39083</v>
          </cell>
          <cell r="AY58" t="str">
            <v>XX</v>
          </cell>
          <cell r="BA58" t="str">
            <v>2</v>
          </cell>
          <cell r="BB58">
            <v>1</v>
          </cell>
          <cell r="BD58">
            <v>0</v>
          </cell>
          <cell r="BE58" t="str">
            <v>M</v>
          </cell>
          <cell r="BF58" t="str">
            <v>N</v>
          </cell>
          <cell r="BG58">
            <v>1</v>
          </cell>
          <cell r="BH58">
            <v>39083</v>
          </cell>
          <cell r="BI58" t="str">
            <v>O</v>
          </cell>
        </row>
        <row r="59">
          <cell r="A59">
            <v>72281</v>
          </cell>
          <cell r="B59">
            <v>446</v>
          </cell>
          <cell r="C59" t="str">
            <v>C3152</v>
          </cell>
          <cell r="D59" t="str">
            <v>MAJJOUD</v>
          </cell>
          <cell r="E59" t="str">
            <v>SALAH</v>
          </cell>
          <cell r="F59">
            <v>21048</v>
          </cell>
          <cell r="G59" t="str">
            <v>1</v>
          </cell>
          <cell r="H59" t="str">
            <v>OULED BHAR KBAR KHOURIBGA</v>
          </cell>
          <cell r="I59" t="str">
            <v>D</v>
          </cell>
          <cell r="J59">
            <v>29503</v>
          </cell>
          <cell r="K59">
            <v>36526</v>
          </cell>
          <cell r="L59" t="str">
            <v>21</v>
          </cell>
          <cell r="M59" t="str">
            <v>A</v>
          </cell>
          <cell r="N59">
            <v>36526</v>
          </cell>
          <cell r="O59">
            <v>0</v>
          </cell>
          <cell r="P59">
            <v>22</v>
          </cell>
          <cell r="Q59" t="str">
            <v>O</v>
          </cell>
          <cell r="R59" t="str">
            <v>N</v>
          </cell>
          <cell r="S59">
            <v>0</v>
          </cell>
          <cell r="T59" t="str">
            <v>M</v>
          </cell>
          <cell r="U59" t="str">
            <v>RAIH SAADIA</v>
          </cell>
          <cell r="X59">
            <v>6</v>
          </cell>
          <cell r="Y59">
            <v>5</v>
          </cell>
          <cell r="AB59" t="str">
            <v>X</v>
          </cell>
          <cell r="AC59" t="str">
            <v>X</v>
          </cell>
          <cell r="AD59" t="str">
            <v>X</v>
          </cell>
          <cell r="AH59" t="str">
            <v>N</v>
          </cell>
          <cell r="AI59" t="str">
            <v>N</v>
          </cell>
          <cell r="AK59" t="str">
            <v>551 VILLAGE O.C.P - BOUJNIBA</v>
          </cell>
          <cell r="AL59" t="str">
            <v>CM2</v>
          </cell>
          <cell r="AP59" t="str">
            <v>Q 14076</v>
          </cell>
          <cell r="AQ59">
            <v>0</v>
          </cell>
          <cell r="AR59" t="str">
            <v>B</v>
          </cell>
          <cell r="AS59" t="str">
            <v>WAFABANK  - KHGA</v>
          </cell>
          <cell r="AT59" t="str">
            <v>1220301294516</v>
          </cell>
          <cell r="AU59" t="str">
            <v>/  /</v>
          </cell>
          <cell r="AW59">
            <v>39448</v>
          </cell>
          <cell r="AY59" t="str">
            <v>XX</v>
          </cell>
          <cell r="BA59" t="str">
            <v>2</v>
          </cell>
          <cell r="BB59">
            <v>1</v>
          </cell>
          <cell r="BD59">
            <v>0</v>
          </cell>
          <cell r="BE59" t="str">
            <v>M</v>
          </cell>
          <cell r="BF59" t="str">
            <v>N</v>
          </cell>
          <cell r="BG59">
            <v>50</v>
          </cell>
          <cell r="BH59">
            <v>39448</v>
          </cell>
        </row>
        <row r="60">
          <cell r="A60">
            <v>72317</v>
          </cell>
          <cell r="B60">
            <v>446</v>
          </cell>
          <cell r="C60" t="str">
            <v>C2050</v>
          </cell>
          <cell r="D60" t="str">
            <v>RHTAISSI</v>
          </cell>
          <cell r="E60" t="str">
            <v>EL HADJ</v>
          </cell>
          <cell r="F60">
            <v>19175</v>
          </cell>
          <cell r="G60" t="str">
            <v>2</v>
          </cell>
          <cell r="H60" t="str">
            <v>BENI KHIRANE</v>
          </cell>
          <cell r="I60" t="str">
            <v>D</v>
          </cell>
          <cell r="J60">
            <v>29525</v>
          </cell>
          <cell r="K60">
            <v>31717</v>
          </cell>
          <cell r="L60" t="str">
            <v>12</v>
          </cell>
          <cell r="M60" t="str">
            <v>C</v>
          </cell>
          <cell r="N60">
            <v>36100</v>
          </cell>
          <cell r="P60">
            <v>22</v>
          </cell>
          <cell r="Q60" t="str">
            <v>O</v>
          </cell>
          <cell r="R60" t="str">
            <v>N</v>
          </cell>
          <cell r="S60">
            <v>0</v>
          </cell>
          <cell r="T60" t="str">
            <v>M</v>
          </cell>
          <cell r="U60" t="str">
            <v>FATNA BENT MOHAMED</v>
          </cell>
          <cell r="X60">
            <v>4</v>
          </cell>
          <cell r="Y60">
            <v>4</v>
          </cell>
          <cell r="AB60" t="str">
            <v>X</v>
          </cell>
          <cell r="AC60" t="str">
            <v>X</v>
          </cell>
          <cell r="AD60" t="str">
            <v>X</v>
          </cell>
          <cell r="AH60" t="str">
            <v>N</v>
          </cell>
          <cell r="AI60" t="str">
            <v>N</v>
          </cell>
          <cell r="AK60" t="str">
            <v>264 LOTISSEMENT  BELHADRI - BOUJNIBA</v>
          </cell>
          <cell r="AL60" t="str">
            <v>ILLETRE</v>
          </cell>
          <cell r="AP60" t="str">
            <v>Q 49432</v>
          </cell>
          <cell r="AQ60">
            <v>0</v>
          </cell>
          <cell r="AR60" t="str">
            <v>B</v>
          </cell>
          <cell r="AS60" t="str">
            <v>C.N.C.A  KHGA</v>
          </cell>
          <cell r="AT60" t="str">
            <v>0805950J601</v>
          </cell>
          <cell r="AU60" t="str">
            <v>/  /</v>
          </cell>
          <cell r="AW60">
            <v>39264</v>
          </cell>
          <cell r="AY60" t="str">
            <v>XX</v>
          </cell>
          <cell r="BA60" t="str">
            <v>2</v>
          </cell>
          <cell r="BB60">
            <v>1</v>
          </cell>
          <cell r="BD60">
            <v>0</v>
          </cell>
          <cell r="BE60" t="str">
            <v>M</v>
          </cell>
          <cell r="BF60" t="str">
            <v>N</v>
          </cell>
          <cell r="BG60">
            <v>50</v>
          </cell>
          <cell r="BH60">
            <v>39264</v>
          </cell>
          <cell r="BI60" t="str">
            <v>O</v>
          </cell>
        </row>
        <row r="61">
          <cell r="A61">
            <v>72370</v>
          </cell>
          <cell r="B61">
            <v>446</v>
          </cell>
          <cell r="C61" t="str">
            <v>C3050</v>
          </cell>
          <cell r="D61" t="str">
            <v>DEGUIG</v>
          </cell>
          <cell r="E61" t="str">
            <v>SALAH</v>
          </cell>
          <cell r="F61">
            <v>20062</v>
          </cell>
          <cell r="G61" t="str">
            <v>1</v>
          </cell>
          <cell r="H61" t="str">
            <v>OULED BHAR KBAR KHOURIBGA</v>
          </cell>
          <cell r="I61" t="str">
            <v>D</v>
          </cell>
          <cell r="J61">
            <v>29559</v>
          </cell>
          <cell r="K61">
            <v>37012</v>
          </cell>
          <cell r="L61" t="str">
            <v>21</v>
          </cell>
          <cell r="M61" t="str">
            <v>A</v>
          </cell>
          <cell r="N61">
            <v>37012</v>
          </cell>
          <cell r="P61">
            <v>22</v>
          </cell>
          <cell r="Q61" t="str">
            <v>O</v>
          </cell>
          <cell r="R61" t="str">
            <v>N</v>
          </cell>
          <cell r="S61">
            <v>0</v>
          </cell>
          <cell r="T61" t="str">
            <v>M</v>
          </cell>
          <cell r="U61" t="str">
            <v>AICHA BENT HADJ LEBCIR</v>
          </cell>
          <cell r="X61">
            <v>6</v>
          </cell>
          <cell r="Y61">
            <v>4</v>
          </cell>
          <cell r="AB61" t="str">
            <v>X</v>
          </cell>
          <cell r="AC61" t="str">
            <v>X</v>
          </cell>
          <cell r="AD61" t="str">
            <v>X</v>
          </cell>
          <cell r="AH61" t="str">
            <v>N</v>
          </cell>
          <cell r="AI61" t="str">
            <v>N</v>
          </cell>
          <cell r="AK61" t="str">
            <v>364 VILLAGE OCP BOUJNIBA</v>
          </cell>
          <cell r="AL61" t="str">
            <v>ILLETRE</v>
          </cell>
          <cell r="AP61" t="str">
            <v>Q 10793</v>
          </cell>
          <cell r="AQ61">
            <v>0</v>
          </cell>
          <cell r="AR61" t="str">
            <v>B</v>
          </cell>
          <cell r="AS61" t="str">
            <v>POPULAIRE.KHGA</v>
          </cell>
          <cell r="AT61" t="str">
            <v>2111136309770000</v>
          </cell>
          <cell r="AU61" t="str">
            <v>/  /</v>
          </cell>
          <cell r="AW61">
            <v>39264</v>
          </cell>
          <cell r="AY61" t="str">
            <v>XX</v>
          </cell>
          <cell r="BA61" t="str">
            <v>2</v>
          </cell>
          <cell r="BB61">
            <v>1</v>
          </cell>
          <cell r="BD61">
            <v>0</v>
          </cell>
          <cell r="BE61" t="str">
            <v>M</v>
          </cell>
          <cell r="BF61" t="str">
            <v>N</v>
          </cell>
          <cell r="BG61">
            <v>50</v>
          </cell>
          <cell r="BH61">
            <v>39264</v>
          </cell>
        </row>
        <row r="62">
          <cell r="A62">
            <v>73723</v>
          </cell>
          <cell r="B62">
            <v>446</v>
          </cell>
          <cell r="C62" t="str">
            <v>C3152</v>
          </cell>
          <cell r="D62" t="str">
            <v>RBIHI</v>
          </cell>
          <cell r="E62" t="str">
            <v>AHMED</v>
          </cell>
          <cell r="F62">
            <v>21366</v>
          </cell>
          <cell r="G62" t="str">
            <v>5</v>
          </cell>
          <cell r="H62" t="str">
            <v>BENI BATAOU - BOUJAAD</v>
          </cell>
          <cell r="I62" t="str">
            <v>D</v>
          </cell>
          <cell r="J62">
            <v>30246</v>
          </cell>
          <cell r="K62">
            <v>36526</v>
          </cell>
          <cell r="L62" t="str">
            <v>21</v>
          </cell>
          <cell r="M62" t="str">
            <v>A</v>
          </cell>
          <cell r="N62">
            <v>36526</v>
          </cell>
          <cell r="P62">
            <v>20</v>
          </cell>
          <cell r="Q62" t="str">
            <v>O</v>
          </cell>
          <cell r="R62" t="str">
            <v>N</v>
          </cell>
          <cell r="S62">
            <v>0</v>
          </cell>
          <cell r="T62" t="str">
            <v>M</v>
          </cell>
          <cell r="U62" t="str">
            <v>MILOUDIA BENT BELGUASSEM</v>
          </cell>
          <cell r="X62">
            <v>5</v>
          </cell>
          <cell r="Y62">
            <v>5</v>
          </cell>
          <cell r="AB62" t="str">
            <v>X</v>
          </cell>
          <cell r="AC62" t="str">
            <v>X</v>
          </cell>
          <cell r="AD62" t="str">
            <v>X</v>
          </cell>
          <cell r="AH62" t="str">
            <v>N</v>
          </cell>
          <cell r="AI62" t="str">
            <v>N</v>
          </cell>
          <cell r="AK62" t="str">
            <v>337,VILLAGE OCP BOUJNIBA</v>
          </cell>
          <cell r="AL62" t="str">
            <v>ILLETRE</v>
          </cell>
          <cell r="AP62" t="str">
            <v>Q 128278</v>
          </cell>
          <cell r="AQ62">
            <v>0</v>
          </cell>
          <cell r="AR62" t="str">
            <v>B</v>
          </cell>
          <cell r="AS62" t="str">
            <v>POPULAIRE  KHGA</v>
          </cell>
          <cell r="AT62" t="str">
            <v>2111112860930002</v>
          </cell>
          <cell r="AU62" t="str">
            <v>/  /</v>
          </cell>
          <cell r="AW62">
            <v>39995</v>
          </cell>
          <cell r="AY62" t="str">
            <v>XX</v>
          </cell>
          <cell r="BA62" t="str">
            <v>1</v>
          </cell>
          <cell r="BB62">
            <v>1</v>
          </cell>
          <cell r="BD62">
            <v>0</v>
          </cell>
          <cell r="BE62" t="str">
            <v>M</v>
          </cell>
          <cell r="BF62" t="str">
            <v>N</v>
          </cell>
          <cell r="BG62">
            <v>50</v>
          </cell>
          <cell r="BH62">
            <v>39995</v>
          </cell>
        </row>
        <row r="63">
          <cell r="A63">
            <v>74283</v>
          </cell>
          <cell r="B63">
            <v>446</v>
          </cell>
          <cell r="C63" t="str">
            <v>C3152</v>
          </cell>
          <cell r="D63" t="str">
            <v>NAKHAL</v>
          </cell>
          <cell r="E63" t="str">
            <v>MOHAMMED</v>
          </cell>
          <cell r="F63">
            <v>21125</v>
          </cell>
          <cell r="G63" t="str">
            <v>2</v>
          </cell>
          <cell r="H63" t="str">
            <v>AIT AMMAR</v>
          </cell>
          <cell r="I63" t="str">
            <v>D</v>
          </cell>
          <cell r="J63">
            <v>31290</v>
          </cell>
          <cell r="K63">
            <v>35096</v>
          </cell>
          <cell r="L63" t="str">
            <v>21</v>
          </cell>
          <cell r="M63" t="str">
            <v>A</v>
          </cell>
          <cell r="N63">
            <v>35096</v>
          </cell>
          <cell r="P63">
            <v>17</v>
          </cell>
          <cell r="Q63" t="str">
            <v>O</v>
          </cell>
          <cell r="R63" t="str">
            <v>N</v>
          </cell>
          <cell r="S63">
            <v>0</v>
          </cell>
          <cell r="T63" t="str">
            <v>M</v>
          </cell>
          <cell r="U63" t="str">
            <v>LEKBIRA BENT MOHAMED</v>
          </cell>
          <cell r="X63">
            <v>5</v>
          </cell>
          <cell r="Y63">
            <v>5</v>
          </cell>
          <cell r="AB63" t="str">
            <v>X</v>
          </cell>
          <cell r="AC63" t="str">
            <v>X</v>
          </cell>
          <cell r="AD63" t="str">
            <v>X</v>
          </cell>
          <cell r="AH63" t="str">
            <v>N</v>
          </cell>
          <cell r="AI63" t="str">
            <v>N</v>
          </cell>
          <cell r="AK63" t="str">
            <v>44 ANCIEN TACHERON - BOUJNIBA</v>
          </cell>
          <cell r="AL63" t="str">
            <v>ILLETRE</v>
          </cell>
          <cell r="AP63" t="str">
            <v>Q 26221</v>
          </cell>
          <cell r="AQ63">
            <v>0</v>
          </cell>
          <cell r="AR63" t="str">
            <v>B</v>
          </cell>
          <cell r="AS63" t="str">
            <v>C.N.C.A  KHGA</v>
          </cell>
          <cell r="AT63" t="str">
            <v>0806139A601</v>
          </cell>
          <cell r="AU63" t="str">
            <v>/  /</v>
          </cell>
          <cell r="AW63">
            <v>40909</v>
          </cell>
          <cell r="AY63" t="str">
            <v>XX</v>
          </cell>
          <cell r="BA63" t="str">
            <v>1</v>
          </cell>
          <cell r="BB63">
            <v>1</v>
          </cell>
          <cell r="BD63">
            <v>0</v>
          </cell>
          <cell r="BE63" t="str">
            <v>M</v>
          </cell>
          <cell r="BF63" t="str">
            <v>N</v>
          </cell>
          <cell r="BG63">
            <v>50</v>
          </cell>
          <cell r="BH63">
            <v>41091</v>
          </cell>
          <cell r="BI63" t="str">
            <v>O</v>
          </cell>
        </row>
        <row r="64">
          <cell r="A64">
            <v>90310</v>
          </cell>
          <cell r="B64">
            <v>446</v>
          </cell>
          <cell r="C64" t="str">
            <v>X4050</v>
          </cell>
          <cell r="D64" t="str">
            <v>ASSOUL</v>
          </cell>
          <cell r="E64" t="str">
            <v>MOHAMED</v>
          </cell>
          <cell r="F64">
            <v>19522</v>
          </cell>
          <cell r="G64" t="str">
            <v>1</v>
          </cell>
          <cell r="H64" t="str">
            <v>KHOURIBGA</v>
          </cell>
          <cell r="I64" t="str">
            <v>F</v>
          </cell>
          <cell r="J64">
            <v>28104</v>
          </cell>
          <cell r="K64">
            <v>37043</v>
          </cell>
          <cell r="L64" t="str">
            <v>42</v>
          </cell>
          <cell r="M64" t="str">
            <v>A</v>
          </cell>
          <cell r="N64">
            <v>37043</v>
          </cell>
          <cell r="O64">
            <v>0</v>
          </cell>
          <cell r="P64">
            <v>26</v>
          </cell>
          <cell r="Q64" t="str">
            <v>O</v>
          </cell>
          <cell r="R64" t="str">
            <v>N</v>
          </cell>
          <cell r="S64">
            <v>0</v>
          </cell>
          <cell r="T64" t="str">
            <v>M</v>
          </cell>
          <cell r="U64" t="str">
            <v>HAIZOUN HALIMA</v>
          </cell>
          <cell r="X64">
            <v>4</v>
          </cell>
          <cell r="Y64">
            <v>1</v>
          </cell>
          <cell r="AB64" t="str">
            <v>X</v>
          </cell>
          <cell r="AC64" t="str">
            <v>X</v>
          </cell>
          <cell r="AD64" t="str">
            <v>X</v>
          </cell>
          <cell r="AH64" t="str">
            <v>N</v>
          </cell>
          <cell r="AI64" t="str">
            <v>N</v>
          </cell>
          <cell r="AK64" t="str">
            <v>136 BLOC A EL MASSIRA KHOURIBGA</v>
          </cell>
          <cell r="AL64" t="str">
            <v>7AS SC-EXP</v>
          </cell>
          <cell r="AM64" t="str">
            <v>CEP CES CFO EMM</v>
          </cell>
          <cell r="AP64" t="str">
            <v>Q 47382</v>
          </cell>
          <cell r="AQ64">
            <v>0</v>
          </cell>
          <cell r="AR64" t="str">
            <v>B</v>
          </cell>
          <cell r="AS64" t="str">
            <v>POPULAIRE KHGA</v>
          </cell>
          <cell r="AT64" t="str">
            <v>2111112825430007</v>
          </cell>
          <cell r="AU64" t="str">
            <v>/  /</v>
          </cell>
          <cell r="AW64">
            <v>37803</v>
          </cell>
          <cell r="AY64" t="str">
            <v>XX</v>
          </cell>
          <cell r="BA64" t="str">
            <v>2</v>
          </cell>
          <cell r="BB64">
            <v>1</v>
          </cell>
          <cell r="BD64">
            <v>0</v>
          </cell>
          <cell r="BE64" t="str">
            <v>M</v>
          </cell>
          <cell r="BF64" t="str">
            <v>N</v>
          </cell>
          <cell r="BG64">
            <v>1</v>
          </cell>
          <cell r="BH64">
            <v>38169</v>
          </cell>
          <cell r="BI64" t="str">
            <v>O</v>
          </cell>
        </row>
        <row r="65">
          <cell r="A65">
            <v>96768</v>
          </cell>
          <cell r="B65">
            <v>446</v>
          </cell>
          <cell r="C65" t="str">
            <v>X5150</v>
          </cell>
          <cell r="D65" t="str">
            <v>BELMABKHOUT</v>
          </cell>
          <cell r="E65" t="str">
            <v>BOUCHAIB</v>
          </cell>
          <cell r="F65">
            <v>19175</v>
          </cell>
          <cell r="H65" t="str">
            <v>OULED FRAJ - EL JADIDA</v>
          </cell>
          <cell r="I65" t="str">
            <v>F</v>
          </cell>
          <cell r="J65">
            <v>27478</v>
          </cell>
          <cell r="K65">
            <v>34151</v>
          </cell>
          <cell r="L65" t="str">
            <v>51</v>
          </cell>
          <cell r="M65" t="str">
            <v>A</v>
          </cell>
          <cell r="N65">
            <v>34151</v>
          </cell>
          <cell r="O65">
            <v>0</v>
          </cell>
          <cell r="P65">
            <v>28</v>
          </cell>
          <cell r="Q65" t="str">
            <v>O</v>
          </cell>
          <cell r="R65" t="str">
            <v>N</v>
          </cell>
          <cell r="S65">
            <v>0</v>
          </cell>
          <cell r="T65" t="str">
            <v>M</v>
          </cell>
          <cell r="U65" t="str">
            <v>JAMAL EDDINE EZZOHRA</v>
          </cell>
          <cell r="X65">
            <v>3</v>
          </cell>
          <cell r="Y65">
            <v>3</v>
          </cell>
          <cell r="AB65" t="str">
            <v>X</v>
          </cell>
          <cell r="AC65" t="str">
            <v>X</v>
          </cell>
          <cell r="AD65" t="str">
            <v>X</v>
          </cell>
          <cell r="AH65" t="str">
            <v>O</v>
          </cell>
          <cell r="AI65" t="str">
            <v>N</v>
          </cell>
          <cell r="AK65" t="str">
            <v>3 BLOC 2 NX LOGEMENTS OCP KHOURIBGA</v>
          </cell>
          <cell r="AL65" t="str">
            <v>7 TI</v>
          </cell>
          <cell r="AM65" t="str">
            <v>CEP CES CFO EMM</v>
          </cell>
          <cell r="AP65" t="str">
            <v>Q 40044</v>
          </cell>
          <cell r="AQ65">
            <v>0</v>
          </cell>
          <cell r="AR65" t="str">
            <v>B</v>
          </cell>
          <cell r="AS65" t="str">
            <v>POPULAIRE  KHGA</v>
          </cell>
          <cell r="AT65" t="str">
            <v>2111112879330004</v>
          </cell>
          <cell r="AU65" t="str">
            <v>/  /</v>
          </cell>
          <cell r="AW65">
            <v>37438</v>
          </cell>
          <cell r="AY65" t="str">
            <v>XX</v>
          </cell>
          <cell r="BA65" t="str">
            <v>2</v>
          </cell>
          <cell r="BB65">
            <v>1</v>
          </cell>
          <cell r="BD65">
            <v>0</v>
          </cell>
          <cell r="BE65" t="str">
            <v>M</v>
          </cell>
          <cell r="BF65" t="str">
            <v>N</v>
          </cell>
          <cell r="BG65">
            <v>1</v>
          </cell>
          <cell r="BH65">
            <v>37622</v>
          </cell>
        </row>
        <row r="66">
          <cell r="A66">
            <v>98774</v>
          </cell>
          <cell r="B66">
            <v>426</v>
          </cell>
          <cell r="C66" t="str">
            <v>X4050</v>
          </cell>
          <cell r="D66" t="str">
            <v>OUZADOU</v>
          </cell>
          <cell r="E66" t="str">
            <v>AHMED</v>
          </cell>
          <cell r="F66">
            <v>22097</v>
          </cell>
          <cell r="H66" t="str">
            <v>TINZERT - MARRAKECH</v>
          </cell>
          <cell r="I66" t="str">
            <v>F</v>
          </cell>
          <cell r="J66">
            <v>30164</v>
          </cell>
          <cell r="K66">
            <v>37043</v>
          </cell>
          <cell r="L66" t="str">
            <v>42</v>
          </cell>
          <cell r="M66" t="str">
            <v>C</v>
          </cell>
          <cell r="N66">
            <v>37043</v>
          </cell>
          <cell r="P66">
            <v>20</v>
          </cell>
          <cell r="Q66" t="str">
            <v>O</v>
          </cell>
          <cell r="R66" t="str">
            <v>N</v>
          </cell>
          <cell r="S66">
            <v>0</v>
          </cell>
          <cell r="T66" t="str">
            <v>M</v>
          </cell>
          <cell r="U66" t="str">
            <v>OUMZIL ZOUBIDA</v>
          </cell>
          <cell r="X66">
            <v>5</v>
          </cell>
          <cell r="Y66">
            <v>5</v>
          </cell>
          <cell r="AB66" t="str">
            <v>X</v>
          </cell>
          <cell r="AC66" t="str">
            <v>X</v>
          </cell>
          <cell r="AD66" t="str">
            <v>X</v>
          </cell>
          <cell r="AH66" t="str">
            <v>O</v>
          </cell>
          <cell r="AI66" t="str">
            <v>N</v>
          </cell>
          <cell r="AK66" t="str">
            <v>01 RUE AFOUGHAL OCP - KHGA</v>
          </cell>
          <cell r="AL66" t="str">
            <v>7 MT</v>
          </cell>
          <cell r="AM66" t="str">
            <v>CEP CES EMM</v>
          </cell>
          <cell r="AP66" t="str">
            <v>J 121839</v>
          </cell>
          <cell r="AQ66">
            <v>0</v>
          </cell>
          <cell r="AR66" t="str">
            <v>B</v>
          </cell>
          <cell r="AS66" t="str">
            <v>B.M.C.I  KHGA</v>
          </cell>
          <cell r="AT66" t="str">
            <v>02820735556301</v>
          </cell>
          <cell r="AU66" t="str">
            <v>/  /</v>
          </cell>
          <cell r="AW66">
            <v>40360</v>
          </cell>
          <cell r="AY66" t="str">
            <v>XX</v>
          </cell>
          <cell r="BA66" t="str">
            <v>2</v>
          </cell>
          <cell r="BB66">
            <v>1</v>
          </cell>
          <cell r="BD66">
            <v>0</v>
          </cell>
          <cell r="BE66" t="str">
            <v>M</v>
          </cell>
          <cell r="BF66" t="str">
            <v>N</v>
          </cell>
          <cell r="BG66">
            <v>1</v>
          </cell>
          <cell r="BH66">
            <v>40360</v>
          </cell>
        </row>
        <row r="67">
          <cell r="A67">
            <v>90118</v>
          </cell>
          <cell r="B67">
            <v>446</v>
          </cell>
          <cell r="C67" t="str">
            <v>X5150</v>
          </cell>
          <cell r="D67" t="str">
            <v>LIMNI</v>
          </cell>
          <cell r="E67" t="str">
            <v>MOHAMED</v>
          </cell>
          <cell r="F67">
            <v>19175</v>
          </cell>
          <cell r="H67" t="str">
            <v>EL BROUJ - SETTAT</v>
          </cell>
          <cell r="I67" t="str">
            <v>F</v>
          </cell>
          <cell r="J67">
            <v>27312</v>
          </cell>
          <cell r="K67">
            <v>35612</v>
          </cell>
          <cell r="L67" t="str">
            <v>51</v>
          </cell>
          <cell r="M67" t="str">
            <v>A</v>
          </cell>
          <cell r="N67">
            <v>35612</v>
          </cell>
          <cell r="O67">
            <v>0</v>
          </cell>
          <cell r="P67">
            <v>28</v>
          </cell>
          <cell r="Q67" t="str">
            <v>O</v>
          </cell>
          <cell r="R67" t="str">
            <v>N</v>
          </cell>
          <cell r="S67">
            <v>0</v>
          </cell>
          <cell r="T67" t="str">
            <v>M</v>
          </cell>
          <cell r="U67" t="str">
            <v>EL HILALI MALIKA</v>
          </cell>
          <cell r="X67">
            <v>3</v>
          </cell>
          <cell r="Y67">
            <v>0</v>
          </cell>
          <cell r="AB67" t="str">
            <v>O</v>
          </cell>
          <cell r="AC67" t="str">
            <v>X</v>
          </cell>
          <cell r="AD67" t="str">
            <v>X</v>
          </cell>
          <cell r="AE67" t="str">
            <v>OCP 98787/180</v>
          </cell>
          <cell r="AH67" t="str">
            <v>R</v>
          </cell>
          <cell r="AI67" t="str">
            <v>N</v>
          </cell>
          <cell r="AK67" t="str">
            <v>12 COOPERATIVE ES-SAADA HAY RIAD - KHGA</v>
          </cell>
          <cell r="AL67" t="str">
            <v>3AI</v>
          </cell>
          <cell r="AM67" t="str">
            <v>CEP CETMG CFO EMM</v>
          </cell>
          <cell r="AP67" t="str">
            <v>Q 23730</v>
          </cell>
          <cell r="AQ67">
            <v>0</v>
          </cell>
          <cell r="AR67" t="str">
            <v>B</v>
          </cell>
          <cell r="AS67" t="str">
            <v>B.M.C.I - KHOURIBGA</v>
          </cell>
          <cell r="AT67" t="str">
            <v>02821210274301</v>
          </cell>
          <cell r="AU67" t="str">
            <v>/  /</v>
          </cell>
          <cell r="AW67">
            <v>37438</v>
          </cell>
          <cell r="AY67" t="str">
            <v>XX</v>
          </cell>
          <cell r="AZ67" t="str">
            <v>M</v>
          </cell>
          <cell r="BA67" t="str">
            <v>1</v>
          </cell>
          <cell r="BB67">
            <v>1</v>
          </cell>
          <cell r="BD67">
            <v>0</v>
          </cell>
          <cell r="BE67" t="str">
            <v>M</v>
          </cell>
          <cell r="BF67" t="str">
            <v>O</v>
          </cell>
          <cell r="BG67">
            <v>1</v>
          </cell>
          <cell r="BH67">
            <v>37438</v>
          </cell>
          <cell r="BI67" t="str">
            <v>O</v>
          </cell>
        </row>
        <row r="68">
          <cell r="A68">
            <v>90647</v>
          </cell>
          <cell r="B68">
            <v>418</v>
          </cell>
          <cell r="C68" t="str">
            <v>X4050</v>
          </cell>
          <cell r="D68" t="str">
            <v>EL MIR</v>
          </cell>
          <cell r="E68" t="str">
            <v>SALAH</v>
          </cell>
          <cell r="F68">
            <v>20270</v>
          </cell>
          <cell r="H68" t="str">
            <v>AIT YOUSSI - SEFROU</v>
          </cell>
          <cell r="I68" t="str">
            <v>F</v>
          </cell>
          <cell r="J68">
            <v>28296</v>
          </cell>
          <cell r="K68">
            <v>36526</v>
          </cell>
          <cell r="L68" t="str">
            <v>42</v>
          </cell>
          <cell r="M68" t="str">
            <v>A</v>
          </cell>
          <cell r="N68">
            <v>36526</v>
          </cell>
          <cell r="P68">
            <v>25</v>
          </cell>
          <cell r="Q68" t="str">
            <v>O</v>
          </cell>
          <cell r="R68" t="str">
            <v>N</v>
          </cell>
          <cell r="S68">
            <v>0</v>
          </cell>
          <cell r="T68" t="str">
            <v>C</v>
          </cell>
          <cell r="X68">
            <v>0</v>
          </cell>
          <cell r="Y68">
            <v>0</v>
          </cell>
          <cell r="AB68" t="str">
            <v>X</v>
          </cell>
          <cell r="AC68" t="str">
            <v>X</v>
          </cell>
          <cell r="AD68" t="str">
            <v>X</v>
          </cell>
          <cell r="AH68" t="str">
            <v>O</v>
          </cell>
          <cell r="AI68" t="str">
            <v>N</v>
          </cell>
          <cell r="AK68" t="str">
            <v>19 IMMEBLE SOBAMA O.C.P KHOURIBGA</v>
          </cell>
          <cell r="AL68" t="str">
            <v>7SC EXP</v>
          </cell>
          <cell r="AM68" t="str">
            <v>CEP CES CFO EMM</v>
          </cell>
          <cell r="AO68" t="str">
            <v>OOOO</v>
          </cell>
          <cell r="AP68" t="str">
            <v>Q 49717</v>
          </cell>
          <cell r="AQ68">
            <v>0</v>
          </cell>
          <cell r="AR68" t="str">
            <v>B</v>
          </cell>
          <cell r="AS68" t="str">
            <v>BMCE KHGA</v>
          </cell>
          <cell r="AT68" t="str">
            <v>40001200730564</v>
          </cell>
          <cell r="AU68" t="str">
            <v>/  /</v>
          </cell>
          <cell r="AW68">
            <v>40210</v>
          </cell>
          <cell r="AX68">
            <v>40210</v>
          </cell>
          <cell r="AY68" t="str">
            <v>XX</v>
          </cell>
          <cell r="BA68" t="str">
            <v>2</v>
          </cell>
          <cell r="BB68">
            <v>0</v>
          </cell>
          <cell r="BD68">
            <v>0</v>
          </cell>
          <cell r="BE68" t="str">
            <v>M</v>
          </cell>
          <cell r="BF68" t="str">
            <v>N</v>
          </cell>
          <cell r="BG68">
            <v>1</v>
          </cell>
          <cell r="BH68">
            <v>38534</v>
          </cell>
        </row>
        <row r="69">
          <cell r="A69">
            <v>91683</v>
          </cell>
          <cell r="B69">
            <v>409</v>
          </cell>
          <cell r="C69" t="str">
            <v>X5150</v>
          </cell>
          <cell r="D69" t="str">
            <v>MISSIDASSE</v>
          </cell>
          <cell r="E69" t="str">
            <v>MUSTAPHA</v>
          </cell>
          <cell r="F69">
            <v>22739</v>
          </cell>
          <cell r="H69" t="str">
            <v>CASABLANCA</v>
          </cell>
          <cell r="I69" t="str">
            <v>F</v>
          </cell>
          <cell r="J69">
            <v>31621</v>
          </cell>
          <cell r="K69">
            <v>34151</v>
          </cell>
          <cell r="L69" t="str">
            <v>51</v>
          </cell>
          <cell r="M69" t="str">
            <v>A</v>
          </cell>
          <cell r="N69">
            <v>34151</v>
          </cell>
          <cell r="P69">
            <v>16</v>
          </cell>
          <cell r="Q69" t="str">
            <v>O</v>
          </cell>
          <cell r="R69" t="str">
            <v>N</v>
          </cell>
          <cell r="S69">
            <v>0</v>
          </cell>
          <cell r="T69" t="str">
            <v>M</v>
          </cell>
          <cell r="U69" t="str">
            <v>RAMMAL AMINA</v>
          </cell>
          <cell r="X69">
            <v>2</v>
          </cell>
          <cell r="Y69">
            <v>2</v>
          </cell>
          <cell r="AB69" t="str">
            <v>X</v>
          </cell>
          <cell r="AC69" t="str">
            <v>X</v>
          </cell>
          <cell r="AD69" t="str">
            <v>X</v>
          </cell>
          <cell r="AH69" t="str">
            <v>O</v>
          </cell>
          <cell r="AI69" t="str">
            <v>N</v>
          </cell>
          <cell r="AK69" t="str">
            <v>3, RUE EL JADIDA O C P  KHOURIBGA</v>
          </cell>
          <cell r="AL69" t="str">
            <v>7AS</v>
          </cell>
          <cell r="AM69" t="str">
            <v>CEP CES BAC EMM</v>
          </cell>
          <cell r="AO69" t="str">
            <v>1588</v>
          </cell>
          <cell r="AP69" t="str">
            <v>B 665079</v>
          </cell>
          <cell r="AQ69">
            <v>0</v>
          </cell>
          <cell r="AR69" t="str">
            <v>B</v>
          </cell>
          <cell r="AS69" t="str">
            <v>BMCE.KHGA</v>
          </cell>
          <cell r="AT69" t="str">
            <v>40001200000718924</v>
          </cell>
          <cell r="AU69" t="str">
            <v>/  /</v>
          </cell>
          <cell r="AW69">
            <v>41640</v>
          </cell>
          <cell r="AY69" t="str">
            <v>XX</v>
          </cell>
          <cell r="BA69" t="str">
            <v>1</v>
          </cell>
          <cell r="BB69">
            <v>1</v>
          </cell>
          <cell r="BD69">
            <v>0</v>
          </cell>
          <cell r="BE69" t="str">
            <v>M</v>
          </cell>
          <cell r="BF69" t="str">
            <v>N</v>
          </cell>
          <cell r="BG69">
            <v>1</v>
          </cell>
          <cell r="BH69">
            <v>41640</v>
          </cell>
          <cell r="BI69" t="str">
            <v>N</v>
          </cell>
        </row>
        <row r="70">
          <cell r="A70">
            <v>91831</v>
          </cell>
          <cell r="B70">
            <v>411</v>
          </cell>
          <cell r="C70" t="str">
            <v>X4032</v>
          </cell>
          <cell r="D70" t="str">
            <v>SADEK</v>
          </cell>
          <cell r="E70" t="str">
            <v>MOHAMMED</v>
          </cell>
          <cell r="F70">
            <v>23797</v>
          </cell>
          <cell r="H70" t="str">
            <v>RABAT</v>
          </cell>
          <cell r="I70" t="str">
            <v>F</v>
          </cell>
          <cell r="J70">
            <v>31985</v>
          </cell>
          <cell r="K70">
            <v>36526</v>
          </cell>
          <cell r="L70" t="str">
            <v>42</v>
          </cell>
          <cell r="M70" t="str">
            <v>A</v>
          </cell>
          <cell r="N70">
            <v>36526</v>
          </cell>
          <cell r="P70">
            <v>15</v>
          </cell>
          <cell r="Q70" t="str">
            <v>O</v>
          </cell>
          <cell r="R70" t="str">
            <v>N</v>
          </cell>
          <cell r="S70">
            <v>0</v>
          </cell>
          <cell r="T70" t="str">
            <v>M</v>
          </cell>
          <cell r="U70" t="str">
            <v>LOUSKI NADIA BENT BOUCHAIB</v>
          </cell>
          <cell r="X70">
            <v>2</v>
          </cell>
          <cell r="Y70">
            <v>2</v>
          </cell>
          <cell r="Z70" t="str">
            <v>N</v>
          </cell>
          <cell r="AB70" t="str">
            <v>X</v>
          </cell>
          <cell r="AC70" t="str">
            <v>X</v>
          </cell>
          <cell r="AD70" t="str">
            <v>X</v>
          </cell>
          <cell r="AH70" t="str">
            <v>O</v>
          </cell>
          <cell r="AI70" t="str">
            <v>N</v>
          </cell>
          <cell r="AK70" t="str">
            <v>30 BLOC 9 NX LOGEMENTS OCP - KHGA</v>
          </cell>
          <cell r="AL70" t="str">
            <v>7E FM</v>
          </cell>
          <cell r="AM70" t="str">
            <v>CEP CES BACFM EMM</v>
          </cell>
          <cell r="AP70" t="str">
            <v>A 312326</v>
          </cell>
          <cell r="AQ70">
            <v>0</v>
          </cell>
          <cell r="AR70" t="str">
            <v>B</v>
          </cell>
          <cell r="AS70" t="str">
            <v>CREDIT DU MAROC</v>
          </cell>
          <cell r="AT70" t="str">
            <v>820010010871</v>
          </cell>
          <cell r="AU70" t="str">
            <v>/  /</v>
          </cell>
          <cell r="AW70">
            <v>42186</v>
          </cell>
          <cell r="AY70" t="str">
            <v>XX</v>
          </cell>
          <cell r="AZ70" t="str">
            <v>K</v>
          </cell>
          <cell r="BA70" t="str">
            <v>2</v>
          </cell>
          <cell r="BB70">
            <v>1</v>
          </cell>
          <cell r="BD70">
            <v>0</v>
          </cell>
          <cell r="BE70" t="str">
            <v>M</v>
          </cell>
          <cell r="BF70" t="str">
            <v>N</v>
          </cell>
          <cell r="BG70">
            <v>1</v>
          </cell>
          <cell r="BH70">
            <v>42186</v>
          </cell>
        </row>
        <row r="71">
          <cell r="A71">
            <v>91981</v>
          </cell>
          <cell r="B71">
            <v>426</v>
          </cell>
          <cell r="C71" t="str">
            <v>X6050</v>
          </cell>
          <cell r="D71" t="str">
            <v>OUSSOU</v>
          </cell>
          <cell r="E71" t="str">
            <v>YOUSSEF</v>
          </cell>
          <cell r="F71">
            <v>22462</v>
          </cell>
          <cell r="H71" t="str">
            <v>TINJEDAD - ERRACHIDIA</v>
          </cell>
          <cell r="I71" t="str">
            <v>F</v>
          </cell>
          <cell r="J71">
            <v>32393</v>
          </cell>
          <cell r="K71">
            <v>32599</v>
          </cell>
          <cell r="L71" t="str">
            <v>52</v>
          </cell>
          <cell r="M71" t="str">
            <v>B</v>
          </cell>
          <cell r="N71">
            <v>35612</v>
          </cell>
          <cell r="P71">
            <v>14</v>
          </cell>
          <cell r="Q71" t="str">
            <v>O</v>
          </cell>
          <cell r="R71" t="str">
            <v>N</v>
          </cell>
          <cell r="S71">
            <v>0</v>
          </cell>
          <cell r="T71" t="str">
            <v>M</v>
          </cell>
          <cell r="U71" t="str">
            <v>EL ALLAOUI RAHMOUNA BT MIMOUN</v>
          </cell>
          <cell r="X71">
            <v>2</v>
          </cell>
          <cell r="Y71">
            <v>2</v>
          </cell>
          <cell r="Z71" t="str">
            <v>N</v>
          </cell>
          <cell r="AB71" t="str">
            <v>X</v>
          </cell>
          <cell r="AC71" t="str">
            <v>X</v>
          </cell>
          <cell r="AD71" t="str">
            <v>X</v>
          </cell>
          <cell r="AH71" t="str">
            <v>O</v>
          </cell>
          <cell r="AI71" t="str">
            <v>N</v>
          </cell>
          <cell r="AK71" t="str">
            <v>06 RUE AZEMMOUR OCP - KHOURIBGA</v>
          </cell>
          <cell r="AL71" t="str">
            <v>1 ANNEE  FAC SC</v>
          </cell>
          <cell r="AM71" t="str">
            <v>CEP CES BAC BAC C DUT</v>
          </cell>
          <cell r="AP71" t="str">
            <v>U 47008</v>
          </cell>
          <cell r="AQ71">
            <v>0</v>
          </cell>
          <cell r="AR71" t="str">
            <v>B</v>
          </cell>
          <cell r="AS71" t="str">
            <v>BMCI - KHOURIBGA</v>
          </cell>
          <cell r="AT71" t="str">
            <v>02821218034301</v>
          </cell>
          <cell r="AU71" t="str">
            <v>/  /</v>
          </cell>
          <cell r="AW71">
            <v>42370</v>
          </cell>
          <cell r="AY71" t="str">
            <v>XX</v>
          </cell>
          <cell r="AZ71" t="str">
            <v>K</v>
          </cell>
          <cell r="BA71" t="str">
            <v>2</v>
          </cell>
          <cell r="BB71">
            <v>1</v>
          </cell>
          <cell r="BD71">
            <v>0</v>
          </cell>
          <cell r="BE71" t="str">
            <v>M</v>
          </cell>
          <cell r="BF71" t="str">
            <v>N</v>
          </cell>
          <cell r="BG71">
            <v>1</v>
          </cell>
          <cell r="BH71">
            <v>42552</v>
          </cell>
        </row>
        <row r="72">
          <cell r="A72">
            <v>64169</v>
          </cell>
          <cell r="B72">
            <v>446</v>
          </cell>
          <cell r="C72" t="str">
            <v>C4152</v>
          </cell>
          <cell r="D72" t="str">
            <v>DAHMID</v>
          </cell>
          <cell r="E72" t="str">
            <v>LARBI</v>
          </cell>
          <cell r="F72">
            <v>19044</v>
          </cell>
          <cell r="G72" t="str">
            <v>1</v>
          </cell>
          <cell r="H72" t="str">
            <v>KHOURIBGA</v>
          </cell>
          <cell r="I72" t="str">
            <v>D</v>
          </cell>
          <cell r="J72">
            <v>26758</v>
          </cell>
          <cell r="K72">
            <v>37012</v>
          </cell>
          <cell r="L72" t="str">
            <v>22</v>
          </cell>
          <cell r="M72" t="str">
            <v>A</v>
          </cell>
          <cell r="N72">
            <v>37012</v>
          </cell>
          <cell r="P72">
            <v>30</v>
          </cell>
          <cell r="Q72" t="str">
            <v>O</v>
          </cell>
          <cell r="R72" t="str">
            <v>N</v>
          </cell>
          <cell r="S72">
            <v>0</v>
          </cell>
          <cell r="T72" t="str">
            <v>D</v>
          </cell>
          <cell r="X72">
            <v>2</v>
          </cell>
          <cell r="Y72">
            <v>0</v>
          </cell>
          <cell r="Z72" t="str">
            <v>O</v>
          </cell>
          <cell r="AA72" t="str">
            <v>28/11/79</v>
          </cell>
          <cell r="AB72" t="str">
            <v>X</v>
          </cell>
          <cell r="AC72" t="str">
            <v>X</v>
          </cell>
          <cell r="AD72" t="str">
            <v>X</v>
          </cell>
          <cell r="AH72" t="str">
            <v>O</v>
          </cell>
          <cell r="AI72" t="str">
            <v>N</v>
          </cell>
          <cell r="AK72" t="str">
            <v>34 VILLAGE O.C.P - BOULANOUAR</v>
          </cell>
          <cell r="AL72" t="str">
            <v>3AS</v>
          </cell>
          <cell r="AM72" t="str">
            <v>CEP</v>
          </cell>
          <cell r="AP72" t="str">
            <v>Q 89267</v>
          </cell>
          <cell r="AQ72">
            <v>0</v>
          </cell>
          <cell r="AR72" t="str">
            <v>B</v>
          </cell>
          <cell r="AS72" t="str">
            <v>B.POPULAIRE -KHGA-</v>
          </cell>
          <cell r="AT72" t="str">
            <v>211113631992000994</v>
          </cell>
          <cell r="AU72" t="str">
            <v>/  /</v>
          </cell>
          <cell r="AW72">
            <v>37438</v>
          </cell>
          <cell r="AY72" t="str">
            <v>XX</v>
          </cell>
          <cell r="BA72" t="str">
            <v>4ID</v>
          </cell>
          <cell r="BB72">
            <v>0</v>
          </cell>
          <cell r="BD72">
            <v>0</v>
          </cell>
          <cell r="BE72" t="str">
            <v>M</v>
          </cell>
          <cell r="BF72" t="str">
            <v>N</v>
          </cell>
          <cell r="BG72">
            <v>41</v>
          </cell>
          <cell r="BH72">
            <v>37438</v>
          </cell>
        </row>
        <row r="73">
          <cell r="A73">
            <v>64838</v>
          </cell>
          <cell r="B73">
            <v>411</v>
          </cell>
          <cell r="C73" t="str">
            <v>C4152</v>
          </cell>
          <cell r="D73" t="str">
            <v>AMCHOUCHAD</v>
          </cell>
          <cell r="E73" t="str">
            <v>SALAH</v>
          </cell>
          <cell r="F73">
            <v>19175</v>
          </cell>
          <cell r="H73" t="str">
            <v>R FALA AZILAL BENI MELLAL</v>
          </cell>
          <cell r="I73" t="str">
            <v>D</v>
          </cell>
          <cell r="J73">
            <v>26917</v>
          </cell>
          <cell r="K73">
            <v>33573</v>
          </cell>
          <cell r="L73" t="str">
            <v>22</v>
          </cell>
          <cell r="M73" t="str">
            <v>B</v>
          </cell>
          <cell r="N73">
            <v>35612</v>
          </cell>
          <cell r="P73">
            <v>29</v>
          </cell>
          <cell r="Q73" t="str">
            <v>O</v>
          </cell>
          <cell r="R73" t="str">
            <v>N</v>
          </cell>
          <cell r="S73">
            <v>0</v>
          </cell>
          <cell r="T73" t="str">
            <v>M</v>
          </cell>
          <cell r="U73" t="str">
            <v>SAADIA BENT MOHAMED</v>
          </cell>
          <cell r="X73">
            <v>5</v>
          </cell>
          <cell r="Y73">
            <v>4</v>
          </cell>
          <cell r="AB73" t="str">
            <v>X</v>
          </cell>
          <cell r="AC73" t="str">
            <v>X</v>
          </cell>
          <cell r="AD73" t="str">
            <v>X</v>
          </cell>
          <cell r="AH73" t="str">
            <v>N</v>
          </cell>
          <cell r="AI73" t="str">
            <v>N</v>
          </cell>
          <cell r="AK73" t="str">
            <v>N 846 VILLAGE OCP BOULANOIR</v>
          </cell>
          <cell r="AL73" t="str">
            <v>3AS</v>
          </cell>
          <cell r="AM73" t="str">
            <v>CEP</v>
          </cell>
          <cell r="AP73" t="str">
            <v>Q 85817</v>
          </cell>
          <cell r="AQ73">
            <v>0</v>
          </cell>
          <cell r="AR73" t="str">
            <v>B</v>
          </cell>
          <cell r="AS73" t="str">
            <v>WAFABANK - KHGA</v>
          </cell>
          <cell r="AT73" t="str">
            <v>1220301157706</v>
          </cell>
          <cell r="AU73" t="str">
            <v>/  /</v>
          </cell>
          <cell r="AW73">
            <v>37438</v>
          </cell>
          <cell r="AY73" t="str">
            <v>XX</v>
          </cell>
          <cell r="AZ73" t="str">
            <v>M</v>
          </cell>
          <cell r="BA73" t="str">
            <v>1</v>
          </cell>
          <cell r="BB73">
            <v>1</v>
          </cell>
          <cell r="BD73">
            <v>0</v>
          </cell>
          <cell r="BE73" t="str">
            <v>M</v>
          </cell>
          <cell r="BF73" t="str">
            <v>N</v>
          </cell>
          <cell r="BG73">
            <v>40</v>
          </cell>
          <cell r="BH73">
            <v>37438</v>
          </cell>
        </row>
        <row r="74">
          <cell r="A74">
            <v>66188</v>
          </cell>
          <cell r="B74">
            <v>476</v>
          </cell>
          <cell r="C74" t="str">
            <v>C6050</v>
          </cell>
          <cell r="D74" t="str">
            <v>AHMIRI</v>
          </cell>
          <cell r="E74" t="str">
            <v>MOHAMED</v>
          </cell>
          <cell r="F74">
            <v>19905</v>
          </cell>
          <cell r="H74" t="str">
            <v>CHIADMA - SAFI</v>
          </cell>
          <cell r="I74" t="str">
            <v>D</v>
          </cell>
          <cell r="J74">
            <v>27249</v>
          </cell>
          <cell r="K74">
            <v>35065</v>
          </cell>
          <cell r="L74" t="str">
            <v>32</v>
          </cell>
          <cell r="M74" t="str">
            <v>B</v>
          </cell>
          <cell r="N74">
            <v>35065</v>
          </cell>
          <cell r="P74">
            <v>28</v>
          </cell>
          <cell r="Q74" t="str">
            <v>O</v>
          </cell>
          <cell r="R74" t="str">
            <v>N</v>
          </cell>
          <cell r="S74">
            <v>0</v>
          </cell>
          <cell r="T74" t="str">
            <v>M</v>
          </cell>
          <cell r="U74" t="str">
            <v>HOURIA BENT ALI</v>
          </cell>
          <cell r="X74">
            <v>5</v>
          </cell>
          <cell r="Y74">
            <v>5</v>
          </cell>
          <cell r="AB74" t="str">
            <v>X</v>
          </cell>
          <cell r="AC74" t="str">
            <v>X</v>
          </cell>
          <cell r="AD74" t="str">
            <v>X</v>
          </cell>
          <cell r="AH74" t="str">
            <v>N</v>
          </cell>
          <cell r="AI74" t="str">
            <v>N</v>
          </cell>
          <cell r="AK74" t="str">
            <v>148 LOT. EL HAOUD KHOUADRIA JDAD - KHGA</v>
          </cell>
          <cell r="AL74" t="str">
            <v>1AS</v>
          </cell>
          <cell r="AM74" t="str">
            <v>CEP</v>
          </cell>
          <cell r="AP74" t="str">
            <v>Q 41486</v>
          </cell>
          <cell r="AQ74">
            <v>0</v>
          </cell>
          <cell r="AR74" t="str">
            <v>B</v>
          </cell>
          <cell r="AS74" t="str">
            <v>BMCE - KHGA</v>
          </cell>
          <cell r="AT74" t="str">
            <v>4000001200000191826</v>
          </cell>
          <cell r="AU74" t="str">
            <v>/  /</v>
          </cell>
          <cell r="AW74">
            <v>39546</v>
          </cell>
          <cell r="AX74">
            <v>39546</v>
          </cell>
          <cell r="AY74" t="str">
            <v>XX</v>
          </cell>
          <cell r="BA74" t="str">
            <v>2</v>
          </cell>
          <cell r="BB74">
            <v>1</v>
          </cell>
          <cell r="BD74">
            <v>0</v>
          </cell>
          <cell r="BE74" t="str">
            <v>M</v>
          </cell>
          <cell r="BF74" t="str">
            <v>N</v>
          </cell>
          <cell r="BG74">
            <v>1</v>
          </cell>
          <cell r="BH74">
            <v>38169</v>
          </cell>
          <cell r="BI74" t="str">
            <v>O</v>
          </cell>
        </row>
        <row r="75">
          <cell r="A75">
            <v>66862</v>
          </cell>
          <cell r="B75">
            <v>418</v>
          </cell>
          <cell r="C75" t="str">
            <v>C5152</v>
          </cell>
          <cell r="D75" t="str">
            <v>ZAHID</v>
          </cell>
          <cell r="E75" t="str">
            <v>AHMED</v>
          </cell>
          <cell r="F75">
            <v>19175</v>
          </cell>
          <cell r="G75" t="str">
            <v>6</v>
          </cell>
          <cell r="H75" t="str">
            <v>M'FASSIS - KHOURIBGA</v>
          </cell>
          <cell r="I75" t="str">
            <v>D</v>
          </cell>
          <cell r="J75">
            <v>27341</v>
          </cell>
          <cell r="K75">
            <v>35431</v>
          </cell>
          <cell r="L75" t="str">
            <v>31</v>
          </cell>
          <cell r="M75" t="str">
            <v>A</v>
          </cell>
          <cell r="N75">
            <v>35431</v>
          </cell>
          <cell r="P75">
            <v>28</v>
          </cell>
          <cell r="Q75" t="str">
            <v>O</v>
          </cell>
          <cell r="R75" t="str">
            <v>N</v>
          </cell>
          <cell r="S75">
            <v>0</v>
          </cell>
          <cell r="T75" t="str">
            <v>M</v>
          </cell>
          <cell r="U75" t="str">
            <v>MALIKA BENT LEKBIR</v>
          </cell>
          <cell r="X75">
            <v>5</v>
          </cell>
          <cell r="Y75">
            <v>5</v>
          </cell>
          <cell r="AB75" t="str">
            <v>X</v>
          </cell>
          <cell r="AC75" t="str">
            <v>X</v>
          </cell>
          <cell r="AD75" t="str">
            <v>X</v>
          </cell>
          <cell r="AH75" t="str">
            <v>N</v>
          </cell>
          <cell r="AI75" t="str">
            <v>N</v>
          </cell>
          <cell r="AK75" t="str">
            <v>778 VILLAGE OCP - HATTANE</v>
          </cell>
          <cell r="AL75" t="str">
            <v>CM2</v>
          </cell>
          <cell r="AP75" t="str">
            <v>Q 29332</v>
          </cell>
          <cell r="AQ75">
            <v>0</v>
          </cell>
          <cell r="AR75" t="str">
            <v>B</v>
          </cell>
          <cell r="AS75" t="str">
            <v>POPULAIRE.KHGA</v>
          </cell>
          <cell r="AT75" t="str">
            <v>2111112863410002</v>
          </cell>
          <cell r="AU75" t="str">
            <v>/  /</v>
          </cell>
          <cell r="AW75">
            <v>37438</v>
          </cell>
          <cell r="AY75" t="str">
            <v>XX</v>
          </cell>
          <cell r="AZ75" t="str">
            <v>M</v>
          </cell>
          <cell r="BA75" t="str">
            <v>1</v>
          </cell>
          <cell r="BB75">
            <v>1</v>
          </cell>
          <cell r="BD75">
            <v>0</v>
          </cell>
          <cell r="BE75" t="str">
            <v>M</v>
          </cell>
          <cell r="BF75" t="str">
            <v>N</v>
          </cell>
          <cell r="BG75">
            <v>0</v>
          </cell>
          <cell r="BH75">
            <v>37438</v>
          </cell>
          <cell r="BI75" t="str">
            <v>O</v>
          </cell>
        </row>
        <row r="76">
          <cell r="A76">
            <v>67091</v>
          </cell>
          <cell r="B76">
            <v>446</v>
          </cell>
          <cell r="C76" t="str">
            <v>C3152</v>
          </cell>
          <cell r="D76" t="str">
            <v>MOHDAR</v>
          </cell>
          <cell r="E76" t="str">
            <v>MOHAMED</v>
          </cell>
          <cell r="F76">
            <v>19326</v>
          </cell>
          <cell r="G76" t="str">
            <v>1</v>
          </cell>
          <cell r="H76" t="str">
            <v>KHOURIBGA</v>
          </cell>
          <cell r="I76" t="str">
            <v>D</v>
          </cell>
          <cell r="J76">
            <v>27390</v>
          </cell>
          <cell r="K76">
            <v>33420</v>
          </cell>
          <cell r="L76" t="str">
            <v>21</v>
          </cell>
          <cell r="M76" t="str">
            <v>A</v>
          </cell>
          <cell r="N76">
            <v>33420</v>
          </cell>
          <cell r="P76">
            <v>28</v>
          </cell>
          <cell r="Q76" t="str">
            <v>O</v>
          </cell>
          <cell r="R76" t="str">
            <v>N</v>
          </cell>
          <cell r="S76">
            <v>0</v>
          </cell>
          <cell r="T76" t="str">
            <v>M</v>
          </cell>
          <cell r="U76" t="str">
            <v>RACHIDA BENT EL KHADIR</v>
          </cell>
          <cell r="X76">
            <v>4</v>
          </cell>
          <cell r="Y76">
            <v>4</v>
          </cell>
          <cell r="AB76" t="str">
            <v>X</v>
          </cell>
          <cell r="AC76" t="str">
            <v>X</v>
          </cell>
          <cell r="AD76" t="str">
            <v>X</v>
          </cell>
          <cell r="AH76" t="str">
            <v>N</v>
          </cell>
          <cell r="AI76" t="str">
            <v>N</v>
          </cell>
          <cell r="AK76" t="str">
            <v>88 ANCIENNE MEDINA SECHAGE - KHGA</v>
          </cell>
          <cell r="AL76" t="str">
            <v>3AS</v>
          </cell>
          <cell r="AM76" t="str">
            <v>C E P</v>
          </cell>
          <cell r="AP76" t="str">
            <v>Q 81596</v>
          </cell>
          <cell r="AQ76">
            <v>0</v>
          </cell>
          <cell r="AR76" t="str">
            <v>B</v>
          </cell>
          <cell r="AS76" t="str">
            <v>POPULAIRE.KHGA</v>
          </cell>
          <cell r="AT76" t="str">
            <v>2111136304120003</v>
          </cell>
          <cell r="AU76" t="str">
            <v>/  /</v>
          </cell>
          <cell r="AW76">
            <v>37622</v>
          </cell>
          <cell r="AY76" t="str">
            <v>XX</v>
          </cell>
          <cell r="BA76" t="str">
            <v>1</v>
          </cell>
          <cell r="BB76">
            <v>1</v>
          </cell>
          <cell r="BD76">
            <v>0</v>
          </cell>
          <cell r="BE76" t="str">
            <v>M</v>
          </cell>
          <cell r="BF76" t="str">
            <v>N</v>
          </cell>
          <cell r="BG76">
            <v>1</v>
          </cell>
          <cell r="BH76">
            <v>37622</v>
          </cell>
        </row>
        <row r="77">
          <cell r="A77">
            <v>67887</v>
          </cell>
          <cell r="B77">
            <v>437</v>
          </cell>
          <cell r="C77" t="str">
            <v>C3050</v>
          </cell>
          <cell r="D77" t="str">
            <v>BOUAB</v>
          </cell>
          <cell r="E77" t="str">
            <v>ABDELLAH</v>
          </cell>
          <cell r="F77">
            <v>19905</v>
          </cell>
          <cell r="H77" t="str">
            <v>FKIH BEN SALAH</v>
          </cell>
          <cell r="I77" t="str">
            <v>D</v>
          </cell>
          <cell r="J77">
            <v>27594</v>
          </cell>
          <cell r="K77">
            <v>36373</v>
          </cell>
          <cell r="L77" t="str">
            <v>21</v>
          </cell>
          <cell r="M77" t="str">
            <v>D</v>
          </cell>
          <cell r="N77">
            <v>36373</v>
          </cell>
          <cell r="P77">
            <v>27</v>
          </cell>
          <cell r="Q77" t="str">
            <v>O</v>
          </cell>
          <cell r="R77" t="str">
            <v>N</v>
          </cell>
          <cell r="S77">
            <v>0</v>
          </cell>
          <cell r="T77" t="str">
            <v>M</v>
          </cell>
          <cell r="U77" t="str">
            <v>FATNA BENT EL MOSTAFA</v>
          </cell>
          <cell r="X77">
            <v>4</v>
          </cell>
          <cell r="Y77">
            <v>4</v>
          </cell>
          <cell r="AB77" t="str">
            <v>X</v>
          </cell>
          <cell r="AC77" t="str">
            <v>X</v>
          </cell>
          <cell r="AD77" t="str">
            <v>X</v>
          </cell>
          <cell r="AH77" t="str">
            <v>N</v>
          </cell>
          <cell r="AI77" t="str">
            <v>N</v>
          </cell>
          <cell r="AK77" t="str">
            <v>1043,VILLAGE O.C.P HATTANE</v>
          </cell>
          <cell r="AL77" t="str">
            <v>CM2</v>
          </cell>
          <cell r="AP77" t="str">
            <v>Q 60486</v>
          </cell>
          <cell r="AQ77">
            <v>0</v>
          </cell>
          <cell r="AR77" t="str">
            <v>B</v>
          </cell>
          <cell r="AS77" t="str">
            <v>SGMB -KHGA-</v>
          </cell>
          <cell r="AT77" t="str">
            <v>000067000949777041</v>
          </cell>
          <cell r="AU77" t="str">
            <v>/  /</v>
          </cell>
          <cell r="AW77">
            <v>38169</v>
          </cell>
          <cell r="AY77" t="str">
            <v>XX</v>
          </cell>
          <cell r="BA77" t="str">
            <v>2</v>
          </cell>
          <cell r="BB77">
            <v>1</v>
          </cell>
          <cell r="BD77">
            <v>0</v>
          </cell>
          <cell r="BE77" t="str">
            <v>M</v>
          </cell>
          <cell r="BF77" t="str">
            <v>N</v>
          </cell>
          <cell r="BG77">
            <v>10</v>
          </cell>
          <cell r="BH77">
            <v>38169</v>
          </cell>
        </row>
        <row r="78">
          <cell r="A78">
            <v>68261</v>
          </cell>
          <cell r="B78">
            <v>403</v>
          </cell>
          <cell r="C78" t="str">
            <v>C7050</v>
          </cell>
          <cell r="D78" t="str">
            <v>EL BOUABI</v>
          </cell>
          <cell r="E78" t="str">
            <v>MOHAMMED</v>
          </cell>
          <cell r="F78">
            <v>20065</v>
          </cell>
          <cell r="G78" t="str">
            <v>1</v>
          </cell>
          <cell r="H78" t="str">
            <v>OULED BHAR SGHAR KHOURIBGA</v>
          </cell>
          <cell r="I78" t="str">
            <v>D</v>
          </cell>
          <cell r="J78">
            <v>27757</v>
          </cell>
          <cell r="K78">
            <v>35065</v>
          </cell>
          <cell r="L78" t="str">
            <v>33</v>
          </cell>
          <cell r="M78" t="str">
            <v>A</v>
          </cell>
          <cell r="N78">
            <v>35065</v>
          </cell>
          <cell r="P78">
            <v>27</v>
          </cell>
          <cell r="Q78" t="str">
            <v>O</v>
          </cell>
          <cell r="R78" t="str">
            <v>N</v>
          </cell>
          <cell r="S78">
            <v>0</v>
          </cell>
          <cell r="T78" t="str">
            <v>M</v>
          </cell>
          <cell r="U78" t="str">
            <v>TOURAYA BENT LAKBIR</v>
          </cell>
          <cell r="X78">
            <v>5</v>
          </cell>
          <cell r="Y78">
            <v>5</v>
          </cell>
          <cell r="AB78" t="str">
            <v>X</v>
          </cell>
          <cell r="AC78" t="str">
            <v>X</v>
          </cell>
          <cell r="AD78" t="str">
            <v>X</v>
          </cell>
          <cell r="AH78" t="str">
            <v>N</v>
          </cell>
          <cell r="AI78" t="str">
            <v>N</v>
          </cell>
          <cell r="AK78" t="str">
            <v>1337 SBATTA VILLAGE O.C.P - HATTANE</v>
          </cell>
          <cell r="AL78" t="str">
            <v>5AS</v>
          </cell>
          <cell r="AM78" t="str">
            <v>C E P C F O</v>
          </cell>
          <cell r="AO78" t="str">
            <v>2624</v>
          </cell>
          <cell r="AP78" t="str">
            <v>Q 27730</v>
          </cell>
          <cell r="AQ78">
            <v>0</v>
          </cell>
          <cell r="AR78" t="str">
            <v>B</v>
          </cell>
          <cell r="AS78" t="str">
            <v>SGMB KHGA</v>
          </cell>
          <cell r="AT78" t="str">
            <v>670009114426</v>
          </cell>
          <cell r="AU78" t="str">
            <v>/  /</v>
          </cell>
          <cell r="AW78">
            <v>38353</v>
          </cell>
          <cell r="AY78" t="str">
            <v>XX</v>
          </cell>
          <cell r="BA78" t="str">
            <v>2</v>
          </cell>
          <cell r="BB78">
            <v>1</v>
          </cell>
          <cell r="BD78">
            <v>0</v>
          </cell>
          <cell r="BE78" t="str">
            <v>M</v>
          </cell>
          <cell r="BF78" t="str">
            <v>N</v>
          </cell>
          <cell r="BG78">
            <v>10</v>
          </cell>
          <cell r="BH78">
            <v>38534</v>
          </cell>
        </row>
        <row r="79">
          <cell r="A79">
            <v>68324</v>
          </cell>
          <cell r="B79">
            <v>476</v>
          </cell>
          <cell r="C79" t="str">
            <v>C4152</v>
          </cell>
          <cell r="D79" t="str">
            <v>EL BAKKALI</v>
          </cell>
          <cell r="E79" t="str">
            <v>MOHAMED</v>
          </cell>
          <cell r="F79">
            <v>18809</v>
          </cell>
          <cell r="H79" t="str">
            <v>FQUIH BEN SALAH</v>
          </cell>
          <cell r="I79" t="str">
            <v>D</v>
          </cell>
          <cell r="J79">
            <v>27814</v>
          </cell>
          <cell r="K79">
            <v>36526</v>
          </cell>
          <cell r="L79" t="str">
            <v>22</v>
          </cell>
          <cell r="M79" t="str">
            <v>A</v>
          </cell>
          <cell r="N79">
            <v>36526</v>
          </cell>
          <cell r="P79">
            <v>28</v>
          </cell>
          <cell r="Q79" t="str">
            <v>O</v>
          </cell>
          <cell r="R79" t="str">
            <v>N</v>
          </cell>
          <cell r="S79">
            <v>0</v>
          </cell>
          <cell r="T79" t="str">
            <v>M</v>
          </cell>
          <cell r="U79" t="str">
            <v>FATIMA BENT MED</v>
          </cell>
          <cell r="V79" t="str">
            <v>EL KBIRA BENT ALLAL</v>
          </cell>
          <cell r="X79">
            <v>6</v>
          </cell>
          <cell r="Y79">
            <v>3</v>
          </cell>
          <cell r="AB79" t="str">
            <v>X</v>
          </cell>
          <cell r="AC79" t="str">
            <v>X</v>
          </cell>
          <cell r="AD79" t="str">
            <v>X</v>
          </cell>
          <cell r="AH79" t="str">
            <v>N</v>
          </cell>
          <cell r="AI79" t="str">
            <v>N</v>
          </cell>
          <cell r="AK79" t="str">
            <v>1065  VILLAGE O C P HATTANE</v>
          </cell>
          <cell r="AL79" t="str">
            <v>3AS</v>
          </cell>
          <cell r="AM79" t="str">
            <v>C E P</v>
          </cell>
          <cell r="AP79" t="str">
            <v>Q 57572</v>
          </cell>
          <cell r="AQ79">
            <v>0</v>
          </cell>
          <cell r="AR79" t="str">
            <v>B</v>
          </cell>
          <cell r="AS79" t="str">
            <v>WAFABANK - KHGA</v>
          </cell>
          <cell r="AT79" t="str">
            <v>1220301276833</v>
          </cell>
          <cell r="AU79" t="str">
            <v>/  /</v>
          </cell>
          <cell r="AW79">
            <v>37438</v>
          </cell>
          <cell r="AY79" t="str">
            <v>XX</v>
          </cell>
          <cell r="AZ79" t="str">
            <v>R</v>
          </cell>
          <cell r="BA79" t="str">
            <v>1</v>
          </cell>
          <cell r="BB79">
            <v>1</v>
          </cell>
          <cell r="BD79">
            <v>0</v>
          </cell>
          <cell r="BE79" t="str">
            <v>M</v>
          </cell>
          <cell r="BF79" t="str">
            <v>N</v>
          </cell>
          <cell r="BG79">
            <v>10</v>
          </cell>
          <cell r="BH79">
            <v>37438</v>
          </cell>
        </row>
        <row r="80">
          <cell r="A80">
            <v>68942</v>
          </cell>
          <cell r="B80">
            <v>411</v>
          </cell>
          <cell r="C80" t="str">
            <v>C4017</v>
          </cell>
          <cell r="D80" t="str">
            <v>MEFTAH</v>
          </cell>
          <cell r="E80" t="str">
            <v>MOHAMED</v>
          </cell>
          <cell r="F80">
            <v>17348</v>
          </cell>
          <cell r="G80" t="str">
            <v>1</v>
          </cell>
          <cell r="H80" t="str">
            <v>OULED BHAR KBAR KHOURIBGA</v>
          </cell>
          <cell r="I80" t="str">
            <v>D</v>
          </cell>
          <cell r="J80">
            <v>28163</v>
          </cell>
          <cell r="K80">
            <v>30621</v>
          </cell>
          <cell r="L80" t="str">
            <v>22</v>
          </cell>
          <cell r="M80" t="str">
            <v>E</v>
          </cell>
          <cell r="N80">
            <v>35612</v>
          </cell>
          <cell r="P80">
            <v>27</v>
          </cell>
          <cell r="Q80" t="str">
            <v>O</v>
          </cell>
          <cell r="R80" t="str">
            <v>N</v>
          </cell>
          <cell r="S80">
            <v>0</v>
          </cell>
          <cell r="T80" t="str">
            <v>M</v>
          </cell>
          <cell r="U80" t="str">
            <v>FATIMA BENT MED</v>
          </cell>
          <cell r="X80">
            <v>8</v>
          </cell>
          <cell r="Y80">
            <v>1</v>
          </cell>
          <cell r="AB80" t="str">
            <v>X</v>
          </cell>
          <cell r="AC80" t="str">
            <v>X</v>
          </cell>
          <cell r="AD80" t="str">
            <v>X</v>
          </cell>
          <cell r="AH80" t="str">
            <v>N</v>
          </cell>
          <cell r="AI80" t="str">
            <v>N</v>
          </cell>
          <cell r="AK80" t="str">
            <v>N 68 DERB 4 BOUJNIBA</v>
          </cell>
          <cell r="AL80" t="str">
            <v>1AS</v>
          </cell>
          <cell r="AM80" t="str">
            <v>C E P</v>
          </cell>
          <cell r="AP80" t="str">
            <v>Q 58428</v>
          </cell>
          <cell r="AQ80">
            <v>0</v>
          </cell>
          <cell r="AR80" t="str">
            <v>B</v>
          </cell>
          <cell r="AS80" t="str">
            <v>C.N.C.A  KHGA</v>
          </cell>
          <cell r="AT80" t="str">
            <v>0805974E601</v>
          </cell>
          <cell r="AU80" t="str">
            <v>/  /</v>
          </cell>
          <cell r="AW80">
            <v>38219</v>
          </cell>
          <cell r="AX80">
            <v>38219</v>
          </cell>
          <cell r="AY80" t="str">
            <v>XX</v>
          </cell>
          <cell r="BA80" t="str">
            <v>7ID</v>
          </cell>
          <cell r="BB80">
            <v>1</v>
          </cell>
          <cell r="BD80">
            <v>0</v>
          </cell>
          <cell r="BE80" t="str">
            <v>M</v>
          </cell>
          <cell r="BF80" t="str">
            <v>N</v>
          </cell>
          <cell r="BG80">
            <v>50</v>
          </cell>
          <cell r="BH80">
            <v>37438</v>
          </cell>
          <cell r="BI80" t="str">
            <v>O</v>
          </cell>
        </row>
        <row r="81">
          <cell r="A81">
            <v>69536</v>
          </cell>
          <cell r="B81">
            <v>411</v>
          </cell>
          <cell r="C81" t="str">
            <v>C5152</v>
          </cell>
          <cell r="D81" t="str">
            <v>AZZAZ</v>
          </cell>
          <cell r="E81" t="str">
            <v>EL HASSAN</v>
          </cell>
          <cell r="F81">
            <v>20817</v>
          </cell>
          <cell r="G81" t="str">
            <v>1</v>
          </cell>
          <cell r="H81" t="str">
            <v>OULED BHAR KBAR KHOURIBGA</v>
          </cell>
          <cell r="I81" t="str">
            <v>D</v>
          </cell>
          <cell r="J81">
            <v>28332</v>
          </cell>
          <cell r="K81">
            <v>37073</v>
          </cell>
          <cell r="L81" t="str">
            <v>31</v>
          </cell>
          <cell r="M81" t="str">
            <v>A</v>
          </cell>
          <cell r="N81">
            <v>37073</v>
          </cell>
          <cell r="P81">
            <v>25</v>
          </cell>
          <cell r="Q81" t="str">
            <v>O</v>
          </cell>
          <cell r="R81" t="str">
            <v>N</v>
          </cell>
          <cell r="S81">
            <v>0</v>
          </cell>
          <cell r="T81" t="str">
            <v>M</v>
          </cell>
          <cell r="U81" t="str">
            <v>ES SALHA E BENT MHAMED</v>
          </cell>
          <cell r="X81">
            <v>5</v>
          </cell>
          <cell r="Y81">
            <v>5</v>
          </cell>
          <cell r="AB81" t="str">
            <v>X</v>
          </cell>
          <cell r="AC81" t="str">
            <v>X</v>
          </cell>
          <cell r="AD81" t="str">
            <v>X</v>
          </cell>
          <cell r="AH81" t="str">
            <v>N</v>
          </cell>
          <cell r="AI81" t="str">
            <v>N</v>
          </cell>
          <cell r="AK81" t="str">
            <v>143 ANCIEN TACHERON O.C.P - BOUJNIBA</v>
          </cell>
          <cell r="AL81" t="str">
            <v>2AS</v>
          </cell>
          <cell r="AP81" t="str">
            <v>Q 18284</v>
          </cell>
          <cell r="AQ81">
            <v>0</v>
          </cell>
          <cell r="AR81" t="str">
            <v>B</v>
          </cell>
          <cell r="AS81" t="str">
            <v>C.N.C.A  KHGA</v>
          </cell>
          <cell r="AT81" t="str">
            <v>0805960L601</v>
          </cell>
          <cell r="AU81" t="str">
            <v>/  /</v>
          </cell>
          <cell r="AW81">
            <v>39083</v>
          </cell>
          <cell r="AY81" t="str">
            <v>XX</v>
          </cell>
          <cell r="BA81" t="str">
            <v>1</v>
          </cell>
          <cell r="BB81">
            <v>1</v>
          </cell>
          <cell r="BD81">
            <v>0</v>
          </cell>
          <cell r="BE81" t="str">
            <v>M</v>
          </cell>
          <cell r="BF81" t="str">
            <v>N</v>
          </cell>
          <cell r="BG81">
            <v>50</v>
          </cell>
          <cell r="BH81">
            <v>39264</v>
          </cell>
        </row>
        <row r="82">
          <cell r="A82">
            <v>69538</v>
          </cell>
          <cell r="B82">
            <v>476</v>
          </cell>
          <cell r="C82" t="str">
            <v>C4050</v>
          </cell>
          <cell r="D82" t="str">
            <v>ABBASSI</v>
          </cell>
          <cell r="E82" t="str">
            <v>MOHAMED</v>
          </cell>
          <cell r="F82">
            <v>19540</v>
          </cell>
          <cell r="G82" t="str">
            <v>3</v>
          </cell>
          <cell r="H82" t="str">
            <v>EL GUEFAF</v>
          </cell>
          <cell r="I82" t="str">
            <v>D</v>
          </cell>
          <cell r="J82">
            <v>28334</v>
          </cell>
          <cell r="K82">
            <v>35065</v>
          </cell>
          <cell r="L82" t="str">
            <v>22</v>
          </cell>
          <cell r="M82" t="str">
            <v>A</v>
          </cell>
          <cell r="N82">
            <v>35065</v>
          </cell>
          <cell r="P82">
            <v>25</v>
          </cell>
          <cell r="Q82" t="str">
            <v>O</v>
          </cell>
          <cell r="R82" t="str">
            <v>N</v>
          </cell>
          <cell r="S82">
            <v>0</v>
          </cell>
          <cell r="T82" t="str">
            <v>M</v>
          </cell>
          <cell r="U82" t="str">
            <v>ZAHOUA BENT ES SGHIR</v>
          </cell>
          <cell r="X82">
            <v>4</v>
          </cell>
          <cell r="Y82">
            <v>3</v>
          </cell>
          <cell r="AB82" t="str">
            <v>X</v>
          </cell>
          <cell r="AC82" t="str">
            <v>X</v>
          </cell>
          <cell r="AD82" t="str">
            <v>X</v>
          </cell>
          <cell r="AH82" t="str">
            <v>N</v>
          </cell>
          <cell r="AI82" t="str">
            <v>N</v>
          </cell>
          <cell r="AK82" t="str">
            <v>579 BOUJNIBA</v>
          </cell>
          <cell r="AL82" t="str">
            <v>CM2</v>
          </cell>
          <cell r="AM82" t="str">
            <v>C</v>
          </cell>
          <cell r="AP82" t="str">
            <v>Q 285</v>
          </cell>
          <cell r="AQ82">
            <v>0</v>
          </cell>
          <cell r="AR82" t="str">
            <v>B</v>
          </cell>
          <cell r="AS82" t="str">
            <v>POPULAIRE - KHGA</v>
          </cell>
          <cell r="AT82" t="str">
            <v>211111288732000500</v>
          </cell>
          <cell r="AU82" t="str">
            <v>/  /</v>
          </cell>
          <cell r="AW82">
            <v>37987</v>
          </cell>
          <cell r="AY82" t="str">
            <v>XX</v>
          </cell>
          <cell r="BA82" t="str">
            <v>2</v>
          </cell>
          <cell r="BB82">
            <v>1</v>
          </cell>
          <cell r="BD82">
            <v>0</v>
          </cell>
          <cell r="BE82" t="str">
            <v>M</v>
          </cell>
          <cell r="BF82" t="str">
            <v>N</v>
          </cell>
          <cell r="BG82">
            <v>50</v>
          </cell>
          <cell r="BH82">
            <v>37987</v>
          </cell>
          <cell r="BI82" t="str">
            <v>O</v>
          </cell>
        </row>
        <row r="83">
          <cell r="A83">
            <v>69632</v>
          </cell>
          <cell r="B83">
            <v>411</v>
          </cell>
          <cell r="C83" t="str">
            <v>C3152</v>
          </cell>
          <cell r="D83" t="str">
            <v>BENI AOUF</v>
          </cell>
          <cell r="E83" t="str">
            <v>ABDELLAH</v>
          </cell>
          <cell r="F83">
            <v>20754</v>
          </cell>
          <cell r="H83" t="str">
            <v>RISSANI</v>
          </cell>
          <cell r="I83" t="str">
            <v>D</v>
          </cell>
          <cell r="J83">
            <v>29382</v>
          </cell>
          <cell r="K83">
            <v>33420</v>
          </cell>
          <cell r="L83" t="str">
            <v>21</v>
          </cell>
          <cell r="M83" t="str">
            <v>A</v>
          </cell>
          <cell r="N83">
            <v>33420</v>
          </cell>
          <cell r="P83">
            <v>22</v>
          </cell>
          <cell r="Q83" t="str">
            <v>O</v>
          </cell>
          <cell r="R83" t="str">
            <v>N</v>
          </cell>
          <cell r="S83">
            <v>0</v>
          </cell>
          <cell r="T83" t="str">
            <v>M</v>
          </cell>
          <cell r="U83" t="str">
            <v>ASMAA BENT RIAHI</v>
          </cell>
          <cell r="X83">
            <v>0</v>
          </cell>
          <cell r="Y83">
            <v>0</v>
          </cell>
          <cell r="Z83" t="str">
            <v>O</v>
          </cell>
          <cell r="AB83" t="str">
            <v>X</v>
          </cell>
          <cell r="AC83" t="str">
            <v>X</v>
          </cell>
          <cell r="AD83" t="str">
            <v>X</v>
          </cell>
          <cell r="AH83" t="str">
            <v>N</v>
          </cell>
          <cell r="AI83" t="str">
            <v>N</v>
          </cell>
          <cell r="AK83" t="str">
            <v>N 857 VILLAGE O C P BOULANOIR</v>
          </cell>
          <cell r="AL83" t="str">
            <v>3AS</v>
          </cell>
          <cell r="AP83" t="str">
            <v>Q 83773</v>
          </cell>
          <cell r="AQ83">
            <v>0</v>
          </cell>
          <cell r="AR83" t="str">
            <v>B</v>
          </cell>
          <cell r="AS83" t="str">
            <v>B.M.C.E  KHGA</v>
          </cell>
          <cell r="AT83" t="str">
            <v>40001200000764126</v>
          </cell>
          <cell r="AU83" t="str">
            <v>/  /</v>
          </cell>
          <cell r="AW83">
            <v>39083</v>
          </cell>
          <cell r="AY83" t="str">
            <v>XX</v>
          </cell>
          <cell r="BA83" t="str">
            <v>1</v>
          </cell>
          <cell r="BB83">
            <v>0</v>
          </cell>
          <cell r="BD83">
            <v>0</v>
          </cell>
          <cell r="BE83" t="str">
            <v>M</v>
          </cell>
          <cell r="BF83" t="str">
            <v>N</v>
          </cell>
          <cell r="BG83">
            <v>40</v>
          </cell>
          <cell r="BH83">
            <v>39083</v>
          </cell>
        </row>
        <row r="84">
          <cell r="A84">
            <v>69693</v>
          </cell>
          <cell r="B84">
            <v>411</v>
          </cell>
          <cell r="C84" t="str">
            <v>C5152</v>
          </cell>
          <cell r="D84" t="str">
            <v>MERROUCHI</v>
          </cell>
          <cell r="E84" t="str">
            <v>BOUZEKRI</v>
          </cell>
          <cell r="F84">
            <v>20779</v>
          </cell>
          <cell r="G84" t="str">
            <v>6</v>
          </cell>
          <cell r="H84" t="str">
            <v>HATTANE</v>
          </cell>
          <cell r="I84" t="str">
            <v>D</v>
          </cell>
          <cell r="J84">
            <v>28368</v>
          </cell>
          <cell r="K84">
            <v>35431</v>
          </cell>
          <cell r="L84" t="str">
            <v>31</v>
          </cell>
          <cell r="M84" t="str">
            <v>A</v>
          </cell>
          <cell r="N84">
            <v>35431</v>
          </cell>
          <cell r="P84">
            <v>25</v>
          </cell>
          <cell r="Q84" t="str">
            <v>O</v>
          </cell>
          <cell r="R84" t="str">
            <v>N</v>
          </cell>
          <cell r="S84">
            <v>0</v>
          </cell>
          <cell r="T84" t="str">
            <v>M</v>
          </cell>
          <cell r="U84" t="str">
            <v>NAAMIA  BENT HAMMOU</v>
          </cell>
          <cell r="X84">
            <v>2</v>
          </cell>
          <cell r="Y84">
            <v>1</v>
          </cell>
          <cell r="AB84" t="str">
            <v>X</v>
          </cell>
          <cell r="AC84" t="str">
            <v>X</v>
          </cell>
          <cell r="AD84" t="str">
            <v>X</v>
          </cell>
          <cell r="AH84" t="str">
            <v>N</v>
          </cell>
          <cell r="AI84" t="str">
            <v>N</v>
          </cell>
          <cell r="AK84" t="str">
            <v>874 VILLAGE O.C.P - HATTANE</v>
          </cell>
          <cell r="AL84" t="str">
            <v>CM2</v>
          </cell>
          <cell r="AP84" t="str">
            <v>Q 80629</v>
          </cell>
          <cell r="AQ84">
            <v>0</v>
          </cell>
          <cell r="AR84" t="str">
            <v>B</v>
          </cell>
          <cell r="AS84" t="str">
            <v>POPULAIRE.KHGA</v>
          </cell>
          <cell r="AT84" t="str">
            <v>211115648711000143</v>
          </cell>
          <cell r="AU84" t="str">
            <v>/  /</v>
          </cell>
          <cell r="AW84">
            <v>39083</v>
          </cell>
          <cell r="AY84" t="str">
            <v>XX</v>
          </cell>
          <cell r="AZ84" t="str">
            <v>R</v>
          </cell>
          <cell r="BA84" t="str">
            <v>2</v>
          </cell>
          <cell r="BB84">
            <v>1</v>
          </cell>
          <cell r="BD84">
            <v>0</v>
          </cell>
          <cell r="BE84" t="str">
            <v>M</v>
          </cell>
          <cell r="BF84" t="str">
            <v>N</v>
          </cell>
          <cell r="BG84">
            <v>10</v>
          </cell>
          <cell r="BH84">
            <v>39083</v>
          </cell>
          <cell r="BI84" t="str">
            <v>O</v>
          </cell>
        </row>
        <row r="85">
          <cell r="A85">
            <v>69695</v>
          </cell>
          <cell r="B85">
            <v>461</v>
          </cell>
          <cell r="C85" t="str">
            <v>C5001</v>
          </cell>
          <cell r="D85" t="str">
            <v>HATIM</v>
          </cell>
          <cell r="E85" t="str">
            <v>ABDALLAH</v>
          </cell>
          <cell r="F85">
            <v>20620</v>
          </cell>
          <cell r="G85" t="str">
            <v>1</v>
          </cell>
          <cell r="H85" t="str">
            <v>KHOURIBGA</v>
          </cell>
          <cell r="I85" t="str">
            <v>D</v>
          </cell>
          <cell r="J85">
            <v>28368</v>
          </cell>
          <cell r="K85">
            <v>30133</v>
          </cell>
          <cell r="L85" t="str">
            <v>31</v>
          </cell>
          <cell r="M85" t="str">
            <v>C</v>
          </cell>
          <cell r="N85">
            <v>35612</v>
          </cell>
          <cell r="P85">
            <v>25</v>
          </cell>
          <cell r="Q85" t="str">
            <v>O</v>
          </cell>
          <cell r="R85" t="str">
            <v>N</v>
          </cell>
          <cell r="S85">
            <v>0</v>
          </cell>
          <cell r="T85" t="str">
            <v>M</v>
          </cell>
          <cell r="U85" t="str">
            <v>LAKMANI HAFIDA</v>
          </cell>
          <cell r="X85">
            <v>3</v>
          </cell>
          <cell r="Y85">
            <v>3</v>
          </cell>
          <cell r="AB85" t="str">
            <v>X</v>
          </cell>
          <cell r="AC85" t="str">
            <v>X</v>
          </cell>
          <cell r="AD85" t="str">
            <v>X</v>
          </cell>
          <cell r="AH85" t="str">
            <v>N</v>
          </cell>
          <cell r="AI85" t="str">
            <v>N</v>
          </cell>
          <cell r="AK85" t="str">
            <v>612 AVENUE SIDI MED BEN ABDELLAH - KHGA</v>
          </cell>
          <cell r="AL85" t="str">
            <v>4AS</v>
          </cell>
          <cell r="AP85" t="str">
            <v>Q 81315</v>
          </cell>
          <cell r="AQ85">
            <v>0</v>
          </cell>
          <cell r="AR85" t="str">
            <v>C</v>
          </cell>
          <cell r="AU85" t="str">
            <v>/  /</v>
          </cell>
          <cell r="AW85">
            <v>38899</v>
          </cell>
          <cell r="AY85" t="str">
            <v>XX</v>
          </cell>
          <cell r="BA85" t="str">
            <v>2</v>
          </cell>
          <cell r="BB85">
            <v>1</v>
          </cell>
          <cell r="BD85">
            <v>0</v>
          </cell>
          <cell r="BE85" t="str">
            <v>M</v>
          </cell>
          <cell r="BF85" t="str">
            <v>N</v>
          </cell>
          <cell r="BG85">
            <v>5</v>
          </cell>
          <cell r="BH85">
            <v>38899</v>
          </cell>
        </row>
        <row r="86">
          <cell r="A86">
            <v>69769</v>
          </cell>
          <cell r="B86">
            <v>403</v>
          </cell>
          <cell r="C86" t="str">
            <v>C5152</v>
          </cell>
          <cell r="D86" t="str">
            <v>AZROUR</v>
          </cell>
          <cell r="E86" t="str">
            <v>MOHAMMED</v>
          </cell>
          <cell r="F86">
            <v>18079</v>
          </cell>
          <cell r="G86" t="str">
            <v>3</v>
          </cell>
          <cell r="H86" t="str">
            <v>BOUJNIBA</v>
          </cell>
          <cell r="I86" t="str">
            <v>D</v>
          </cell>
          <cell r="J86">
            <v>28376</v>
          </cell>
          <cell r="K86">
            <v>37073</v>
          </cell>
          <cell r="L86" t="str">
            <v>31</v>
          </cell>
          <cell r="M86" t="str">
            <v>A</v>
          </cell>
          <cell r="N86">
            <v>37073</v>
          </cell>
          <cell r="P86">
            <v>25</v>
          </cell>
          <cell r="Q86" t="str">
            <v>O</v>
          </cell>
          <cell r="R86" t="str">
            <v>N</v>
          </cell>
          <cell r="S86">
            <v>0</v>
          </cell>
          <cell r="T86" t="str">
            <v>M</v>
          </cell>
          <cell r="U86" t="str">
            <v>AICHA BENT BOUAZZA</v>
          </cell>
          <cell r="X86">
            <v>5</v>
          </cell>
          <cell r="Y86">
            <v>4</v>
          </cell>
          <cell r="AB86" t="str">
            <v>X</v>
          </cell>
          <cell r="AC86" t="str">
            <v>X</v>
          </cell>
          <cell r="AD86" t="str">
            <v>X</v>
          </cell>
          <cell r="AH86" t="str">
            <v>N</v>
          </cell>
          <cell r="AI86" t="str">
            <v>N</v>
          </cell>
          <cell r="AK86" t="str">
            <v>N 1071 VILLAGE O C P HATTANE</v>
          </cell>
          <cell r="AL86" t="str">
            <v>3AS</v>
          </cell>
          <cell r="AO86" t="str">
            <v>2485</v>
          </cell>
          <cell r="AP86" t="str">
            <v>Q 33843</v>
          </cell>
          <cell r="AQ86">
            <v>0</v>
          </cell>
          <cell r="AR86" t="str">
            <v>C</v>
          </cell>
          <cell r="AU86" t="str">
            <v>/  /</v>
          </cell>
          <cell r="AW86">
            <v>37987</v>
          </cell>
          <cell r="AY86" t="str">
            <v>XX</v>
          </cell>
          <cell r="BA86" t="str">
            <v>1</v>
          </cell>
          <cell r="BB86">
            <v>1</v>
          </cell>
          <cell r="BD86">
            <v>0</v>
          </cell>
          <cell r="BE86" t="str">
            <v>M</v>
          </cell>
          <cell r="BF86" t="str">
            <v>N</v>
          </cell>
          <cell r="BG86">
            <v>10</v>
          </cell>
          <cell r="BH86">
            <v>38169</v>
          </cell>
        </row>
        <row r="87">
          <cell r="A87">
            <v>70533</v>
          </cell>
          <cell r="B87">
            <v>476</v>
          </cell>
          <cell r="C87" t="str">
            <v>C3050</v>
          </cell>
          <cell r="D87" t="str">
            <v>KANISSI</v>
          </cell>
          <cell r="E87" t="str">
            <v>DAHMANE</v>
          </cell>
          <cell r="F87">
            <v>19540</v>
          </cell>
          <cell r="G87" t="str">
            <v>1</v>
          </cell>
          <cell r="H87" t="str">
            <v>OULED BHAR KBAR KHOURIBGA</v>
          </cell>
          <cell r="I87" t="str">
            <v>D</v>
          </cell>
          <cell r="J87">
            <v>28614</v>
          </cell>
          <cell r="K87">
            <v>37012</v>
          </cell>
          <cell r="L87" t="str">
            <v>21</v>
          </cell>
          <cell r="M87" t="str">
            <v>B</v>
          </cell>
          <cell r="N87">
            <v>37012</v>
          </cell>
          <cell r="P87">
            <v>24</v>
          </cell>
          <cell r="Q87" t="str">
            <v>O</v>
          </cell>
          <cell r="R87" t="str">
            <v>N</v>
          </cell>
          <cell r="S87">
            <v>0</v>
          </cell>
          <cell r="T87" t="str">
            <v>M</v>
          </cell>
          <cell r="U87" t="str">
            <v>ZAHIA BENT MED</v>
          </cell>
          <cell r="V87" t="str">
            <v>KHADDOUJ BENT EL FATMI</v>
          </cell>
          <cell r="X87">
            <v>8</v>
          </cell>
          <cell r="Y87">
            <v>6</v>
          </cell>
          <cell r="AB87" t="str">
            <v>X</v>
          </cell>
          <cell r="AC87" t="str">
            <v>X</v>
          </cell>
          <cell r="AD87" t="str">
            <v>X</v>
          </cell>
          <cell r="AH87" t="str">
            <v>N</v>
          </cell>
          <cell r="AI87" t="str">
            <v>N</v>
          </cell>
          <cell r="AK87" t="str">
            <v>N 885 VILLAGE O C P HATTANE</v>
          </cell>
          <cell r="AL87" t="str">
            <v>ILLETRE</v>
          </cell>
          <cell r="AP87" t="str">
            <v>Q 80486</v>
          </cell>
          <cell r="AQ87">
            <v>0</v>
          </cell>
          <cell r="AR87" t="str">
            <v>B</v>
          </cell>
          <cell r="AS87" t="str">
            <v>WAFABANK - KHGA</v>
          </cell>
          <cell r="AT87" t="str">
            <v>1220301368981</v>
          </cell>
          <cell r="AU87" t="str">
            <v>/  /</v>
          </cell>
          <cell r="AW87">
            <v>38353</v>
          </cell>
          <cell r="AY87" t="str">
            <v>XX</v>
          </cell>
          <cell r="BA87" t="str">
            <v>1</v>
          </cell>
          <cell r="BB87">
            <v>1</v>
          </cell>
          <cell r="BD87">
            <v>0</v>
          </cell>
          <cell r="BE87" t="str">
            <v>M</v>
          </cell>
          <cell r="BF87" t="str">
            <v>N</v>
          </cell>
          <cell r="BG87">
            <v>10</v>
          </cell>
          <cell r="BH87">
            <v>38353</v>
          </cell>
        </row>
        <row r="88">
          <cell r="A88">
            <v>70626</v>
          </cell>
          <cell r="B88">
            <v>446</v>
          </cell>
          <cell r="C88" t="str">
            <v>C2152</v>
          </cell>
          <cell r="D88" t="str">
            <v>MSAADI</v>
          </cell>
          <cell r="E88" t="str">
            <v>EL ARBI</v>
          </cell>
          <cell r="F88">
            <v>19540</v>
          </cell>
          <cell r="G88" t="str">
            <v>1</v>
          </cell>
          <cell r="H88" t="str">
            <v>OULED BHAR SGHAR KHOURIBGA</v>
          </cell>
          <cell r="I88" t="str">
            <v>D</v>
          </cell>
          <cell r="J88">
            <v>28627</v>
          </cell>
          <cell r="K88">
            <v>30834</v>
          </cell>
          <cell r="L88" t="str">
            <v>12</v>
          </cell>
          <cell r="M88" t="str">
            <v>C</v>
          </cell>
          <cell r="N88">
            <v>35217</v>
          </cell>
          <cell r="P88">
            <v>24</v>
          </cell>
          <cell r="Q88" t="str">
            <v>O</v>
          </cell>
          <cell r="R88" t="str">
            <v>N</v>
          </cell>
          <cell r="S88">
            <v>0</v>
          </cell>
          <cell r="T88" t="str">
            <v>M</v>
          </cell>
          <cell r="U88" t="str">
            <v>MINA BENT MED</v>
          </cell>
          <cell r="V88" t="str">
            <v>ZAKAY FATIMA BT RAHAL</v>
          </cell>
          <cell r="X88">
            <v>9</v>
          </cell>
          <cell r="Y88">
            <v>6</v>
          </cell>
          <cell r="AB88" t="str">
            <v>X</v>
          </cell>
          <cell r="AC88" t="str">
            <v>X</v>
          </cell>
          <cell r="AD88" t="str">
            <v>X</v>
          </cell>
          <cell r="AH88" t="str">
            <v>N</v>
          </cell>
          <cell r="AI88" t="str">
            <v>N</v>
          </cell>
          <cell r="AK88" t="str">
            <v>1225  VILLAGE O.C.P - HATTANE</v>
          </cell>
          <cell r="AL88" t="str">
            <v>CM2</v>
          </cell>
          <cell r="AP88" t="str">
            <v>Q 83560</v>
          </cell>
          <cell r="AQ88">
            <v>0</v>
          </cell>
          <cell r="AR88" t="str">
            <v>B</v>
          </cell>
          <cell r="AS88" t="str">
            <v>WAFABANK - KHGA</v>
          </cell>
          <cell r="AT88" t="str">
            <v>1220301229242</v>
          </cell>
          <cell r="AU88" t="str">
            <v>/  /</v>
          </cell>
          <cell r="AW88">
            <v>38353</v>
          </cell>
          <cell r="AY88" t="str">
            <v>XX</v>
          </cell>
          <cell r="BA88" t="str">
            <v>2</v>
          </cell>
          <cell r="BB88">
            <v>1</v>
          </cell>
          <cell r="BD88">
            <v>0</v>
          </cell>
          <cell r="BE88" t="str">
            <v>M</v>
          </cell>
          <cell r="BF88" t="str">
            <v>N</v>
          </cell>
          <cell r="BG88">
            <v>10</v>
          </cell>
          <cell r="BH88">
            <v>38353</v>
          </cell>
          <cell r="BI88" t="str">
            <v>N</v>
          </cell>
        </row>
        <row r="89">
          <cell r="A89">
            <v>71068</v>
          </cell>
          <cell r="B89">
            <v>403</v>
          </cell>
          <cell r="C89" t="str">
            <v>C3152</v>
          </cell>
          <cell r="D89" t="str">
            <v>SERBOUTI</v>
          </cell>
          <cell r="E89" t="str">
            <v>MHAMMED</v>
          </cell>
          <cell r="F89">
            <v>19540</v>
          </cell>
          <cell r="G89" t="str">
            <v>3</v>
          </cell>
          <cell r="H89" t="str">
            <v>BOUJNIBA</v>
          </cell>
          <cell r="I89" t="str">
            <v>D</v>
          </cell>
          <cell r="J89">
            <v>28942</v>
          </cell>
          <cell r="K89">
            <v>35977</v>
          </cell>
          <cell r="L89" t="str">
            <v>21</v>
          </cell>
          <cell r="M89" t="str">
            <v>B</v>
          </cell>
          <cell r="N89">
            <v>35977</v>
          </cell>
          <cell r="P89">
            <v>25</v>
          </cell>
          <cell r="Q89" t="str">
            <v>N</v>
          </cell>
          <cell r="R89" t="str">
            <v>O</v>
          </cell>
          <cell r="S89">
            <v>3</v>
          </cell>
          <cell r="T89" t="str">
            <v>M</v>
          </cell>
          <cell r="U89" t="str">
            <v>FATNA BENT MED</v>
          </cell>
          <cell r="X89">
            <v>6</v>
          </cell>
          <cell r="Y89">
            <v>6</v>
          </cell>
          <cell r="AB89" t="str">
            <v>X</v>
          </cell>
          <cell r="AC89" t="str">
            <v>X</v>
          </cell>
          <cell r="AD89" t="str">
            <v>X</v>
          </cell>
          <cell r="AH89" t="str">
            <v>N</v>
          </cell>
          <cell r="AI89" t="str">
            <v>N</v>
          </cell>
          <cell r="AK89" t="str">
            <v>LAMSAADA OLED BRAHIM BOUJNIBA</v>
          </cell>
          <cell r="AL89" t="str">
            <v>ILLETRE</v>
          </cell>
          <cell r="AP89" t="str">
            <v>Q 26124</v>
          </cell>
          <cell r="AQ89">
            <v>0</v>
          </cell>
          <cell r="AR89" t="str">
            <v>C</v>
          </cell>
          <cell r="AU89" t="str">
            <v>/  /</v>
          </cell>
          <cell r="AW89">
            <v>38534</v>
          </cell>
          <cell r="AY89" t="str">
            <v>XX</v>
          </cell>
          <cell r="BA89" t="str">
            <v>1</v>
          </cell>
          <cell r="BB89">
            <v>1</v>
          </cell>
          <cell r="BD89">
            <v>0</v>
          </cell>
          <cell r="BE89" t="str">
            <v>M</v>
          </cell>
          <cell r="BF89" t="str">
            <v>N</v>
          </cell>
          <cell r="BG89">
            <v>0</v>
          </cell>
          <cell r="BH89">
            <v>38534</v>
          </cell>
          <cell r="BI89" t="str">
            <v>O</v>
          </cell>
        </row>
        <row r="90">
          <cell r="A90">
            <v>71079</v>
          </cell>
          <cell r="B90">
            <v>476</v>
          </cell>
          <cell r="C90" t="str">
            <v>C3050</v>
          </cell>
          <cell r="D90" t="str">
            <v>GUAROUACH</v>
          </cell>
          <cell r="E90" t="str">
            <v>EL MOULOUDI</v>
          </cell>
          <cell r="F90">
            <v>20270</v>
          </cell>
          <cell r="G90" t="str">
            <v>6</v>
          </cell>
          <cell r="H90" t="str">
            <v>M'FASSIS</v>
          </cell>
          <cell r="I90" t="str">
            <v>D</v>
          </cell>
          <cell r="J90">
            <v>28947</v>
          </cell>
          <cell r="K90">
            <v>37012</v>
          </cell>
          <cell r="L90" t="str">
            <v>21</v>
          </cell>
          <cell r="M90" t="str">
            <v>B</v>
          </cell>
          <cell r="N90">
            <v>37012</v>
          </cell>
          <cell r="P90">
            <v>24</v>
          </cell>
          <cell r="Q90" t="str">
            <v>O</v>
          </cell>
          <cell r="R90" t="str">
            <v>N</v>
          </cell>
          <cell r="S90">
            <v>0</v>
          </cell>
          <cell r="T90" t="str">
            <v>M</v>
          </cell>
          <cell r="U90" t="str">
            <v>OBIDA HAFIDA</v>
          </cell>
          <cell r="X90">
            <v>4</v>
          </cell>
          <cell r="Y90">
            <v>3</v>
          </cell>
          <cell r="AB90" t="str">
            <v>X</v>
          </cell>
          <cell r="AC90" t="str">
            <v>X</v>
          </cell>
          <cell r="AD90" t="str">
            <v>X</v>
          </cell>
          <cell r="AH90" t="str">
            <v>N</v>
          </cell>
          <cell r="AI90" t="str">
            <v>N</v>
          </cell>
          <cell r="AK90" t="str">
            <v>15 DERB 7 SBATA  HATTANE</v>
          </cell>
          <cell r="AL90" t="str">
            <v>ILLETRE</v>
          </cell>
          <cell r="AP90" t="str">
            <v>Q 80487</v>
          </cell>
          <cell r="AQ90">
            <v>0</v>
          </cell>
          <cell r="AR90" t="str">
            <v>B</v>
          </cell>
          <cell r="AS90" t="str">
            <v>C.AGRICOLE KHGA</v>
          </cell>
          <cell r="AT90" t="str">
            <v>805741L601</v>
          </cell>
          <cell r="AU90" t="str">
            <v>/  /</v>
          </cell>
          <cell r="AW90">
            <v>38534</v>
          </cell>
          <cell r="AY90" t="str">
            <v>XX</v>
          </cell>
          <cell r="BA90" t="str">
            <v>2</v>
          </cell>
          <cell r="BB90">
            <v>1</v>
          </cell>
          <cell r="BD90">
            <v>0</v>
          </cell>
          <cell r="BE90" t="str">
            <v>M</v>
          </cell>
          <cell r="BF90" t="str">
            <v>N</v>
          </cell>
          <cell r="BG90">
            <v>10</v>
          </cell>
          <cell r="BH90">
            <v>38718</v>
          </cell>
          <cell r="BI90" t="str">
            <v>O</v>
          </cell>
        </row>
        <row r="91">
          <cell r="A91">
            <v>71100</v>
          </cell>
          <cell r="B91">
            <v>476</v>
          </cell>
          <cell r="C91" t="str">
            <v>C3050</v>
          </cell>
          <cell r="D91" t="str">
            <v>ILABI</v>
          </cell>
          <cell r="E91" t="str">
            <v>OMAR</v>
          </cell>
          <cell r="F91">
            <v>19175</v>
          </cell>
          <cell r="G91" t="str">
            <v>3</v>
          </cell>
          <cell r="H91" t="str">
            <v>BENI KHLEF - KHOURIBGA</v>
          </cell>
          <cell r="I91" t="str">
            <v>D</v>
          </cell>
          <cell r="J91">
            <v>28956</v>
          </cell>
          <cell r="K91">
            <v>37377</v>
          </cell>
          <cell r="L91" t="str">
            <v>21</v>
          </cell>
          <cell r="M91" t="str">
            <v>A</v>
          </cell>
          <cell r="N91">
            <v>37377</v>
          </cell>
          <cell r="P91">
            <v>24</v>
          </cell>
          <cell r="Q91" t="str">
            <v>O</v>
          </cell>
          <cell r="R91" t="str">
            <v>N</v>
          </cell>
          <cell r="S91">
            <v>0</v>
          </cell>
          <cell r="T91" t="str">
            <v>M</v>
          </cell>
          <cell r="U91" t="str">
            <v>ZOHRA BENT MED</v>
          </cell>
          <cell r="X91">
            <v>8</v>
          </cell>
          <cell r="Y91">
            <v>3</v>
          </cell>
          <cell r="AB91" t="str">
            <v>X</v>
          </cell>
          <cell r="AC91" t="str">
            <v>X</v>
          </cell>
          <cell r="AD91" t="str">
            <v>X</v>
          </cell>
          <cell r="AH91" t="str">
            <v>N</v>
          </cell>
          <cell r="AI91" t="str">
            <v>N</v>
          </cell>
          <cell r="AK91" t="str">
            <v>119 HAY EL AMAL - KHGA</v>
          </cell>
          <cell r="AL91" t="str">
            <v>ILLETRE</v>
          </cell>
          <cell r="AP91" t="str">
            <v>Q 68555</v>
          </cell>
          <cell r="AQ91">
            <v>0</v>
          </cell>
          <cell r="AR91" t="str">
            <v>B</v>
          </cell>
          <cell r="AS91" t="str">
            <v>WAFABANK - KHGA</v>
          </cell>
          <cell r="AT91" t="str">
            <v>1220301317047</v>
          </cell>
          <cell r="AU91" t="str">
            <v>/  /</v>
          </cell>
          <cell r="AW91">
            <v>38718</v>
          </cell>
          <cell r="AY91" t="str">
            <v>XX</v>
          </cell>
          <cell r="BA91" t="str">
            <v>2</v>
          </cell>
          <cell r="BB91">
            <v>1</v>
          </cell>
          <cell r="BD91">
            <v>0</v>
          </cell>
          <cell r="BE91" t="str">
            <v>M</v>
          </cell>
          <cell r="BF91" t="str">
            <v>N</v>
          </cell>
          <cell r="BG91">
            <v>1</v>
          </cell>
          <cell r="BH91">
            <v>38718</v>
          </cell>
          <cell r="BI91" t="str">
            <v>O</v>
          </cell>
        </row>
        <row r="92">
          <cell r="A92">
            <v>71154</v>
          </cell>
          <cell r="B92">
            <v>415</v>
          </cell>
          <cell r="C92" t="str">
            <v>C2050</v>
          </cell>
          <cell r="D92" t="str">
            <v>EL MOUSTAQIB</v>
          </cell>
          <cell r="E92" t="str">
            <v>MOHAMED</v>
          </cell>
          <cell r="F92">
            <v>19540</v>
          </cell>
          <cell r="G92" t="str">
            <v>3</v>
          </cell>
          <cell r="H92" t="str">
            <v>BOUJNIBA</v>
          </cell>
          <cell r="I92" t="str">
            <v>D</v>
          </cell>
          <cell r="J92">
            <v>28977</v>
          </cell>
          <cell r="K92">
            <v>31168</v>
          </cell>
          <cell r="L92" t="str">
            <v>12</v>
          </cell>
          <cell r="M92" t="str">
            <v>C</v>
          </cell>
          <cell r="N92">
            <v>35582</v>
          </cell>
          <cell r="P92">
            <v>23</v>
          </cell>
          <cell r="Q92" t="str">
            <v>O</v>
          </cell>
          <cell r="R92" t="str">
            <v>N</v>
          </cell>
          <cell r="S92">
            <v>0</v>
          </cell>
          <cell r="T92" t="str">
            <v>M</v>
          </cell>
          <cell r="U92" t="str">
            <v>NAJILI KHADIJA BENT AHMED</v>
          </cell>
          <cell r="X92">
            <v>4</v>
          </cell>
          <cell r="Y92">
            <v>4</v>
          </cell>
          <cell r="AB92" t="str">
            <v>X</v>
          </cell>
          <cell r="AC92" t="str">
            <v>X</v>
          </cell>
          <cell r="AD92" t="str">
            <v>X</v>
          </cell>
          <cell r="AH92" t="str">
            <v>N</v>
          </cell>
          <cell r="AI92" t="str">
            <v>N</v>
          </cell>
          <cell r="AK92" t="str">
            <v>104 ANCIEN TACHERON OCP - BOUJNIBA</v>
          </cell>
          <cell r="AL92" t="str">
            <v>ILLETRE</v>
          </cell>
          <cell r="AP92" t="str">
            <v>Q 32653</v>
          </cell>
          <cell r="AQ92">
            <v>0</v>
          </cell>
          <cell r="AR92" t="str">
            <v>B</v>
          </cell>
          <cell r="AS92" t="str">
            <v>SGMB - KHGA</v>
          </cell>
          <cell r="AT92" t="str">
            <v>0000067000936148541</v>
          </cell>
          <cell r="AU92" t="str">
            <v>/  /</v>
          </cell>
          <cell r="AW92">
            <v>38718</v>
          </cell>
          <cell r="AY92" t="str">
            <v>XX</v>
          </cell>
          <cell r="BA92" t="str">
            <v>2</v>
          </cell>
          <cell r="BB92">
            <v>1</v>
          </cell>
          <cell r="BD92">
            <v>0</v>
          </cell>
          <cell r="BE92" t="str">
            <v>M</v>
          </cell>
          <cell r="BF92" t="str">
            <v>N</v>
          </cell>
          <cell r="BG92">
            <v>50</v>
          </cell>
          <cell r="BH92">
            <v>38718</v>
          </cell>
          <cell r="BI92" t="str">
            <v>O</v>
          </cell>
        </row>
        <row r="93">
          <cell r="A93">
            <v>71194</v>
          </cell>
          <cell r="B93">
            <v>411</v>
          </cell>
          <cell r="C93" t="str">
            <v>C3152</v>
          </cell>
          <cell r="D93" t="str">
            <v>CHEMCHAQ</v>
          </cell>
          <cell r="E93" t="str">
            <v>AHMED</v>
          </cell>
          <cell r="F93">
            <v>19175</v>
          </cell>
          <cell r="G93" t="str">
            <v>1</v>
          </cell>
          <cell r="H93" t="str">
            <v>OULED BHAR SGHAR KHOURIBGA</v>
          </cell>
          <cell r="I93" t="str">
            <v>D</v>
          </cell>
          <cell r="J93">
            <v>29007</v>
          </cell>
          <cell r="K93">
            <v>33420</v>
          </cell>
          <cell r="L93" t="str">
            <v>21</v>
          </cell>
          <cell r="M93" t="str">
            <v>B</v>
          </cell>
          <cell r="N93">
            <v>35612</v>
          </cell>
          <cell r="P93">
            <v>23</v>
          </cell>
          <cell r="Q93" t="str">
            <v>O</v>
          </cell>
          <cell r="R93" t="str">
            <v>N</v>
          </cell>
          <cell r="S93">
            <v>0</v>
          </cell>
          <cell r="T93" t="str">
            <v>M</v>
          </cell>
          <cell r="U93" t="str">
            <v>HABIBA BENT EL MAATI</v>
          </cell>
          <cell r="X93">
            <v>5</v>
          </cell>
          <cell r="Y93">
            <v>4</v>
          </cell>
          <cell r="AB93" t="str">
            <v>X</v>
          </cell>
          <cell r="AC93" t="str">
            <v>X</v>
          </cell>
          <cell r="AD93" t="str">
            <v>X</v>
          </cell>
          <cell r="AH93" t="str">
            <v>N</v>
          </cell>
          <cell r="AI93" t="str">
            <v>N</v>
          </cell>
          <cell r="AK93" t="str">
            <v>945 SBATTA VILLAGE O.C.P - HATTANE</v>
          </cell>
          <cell r="AL93" t="str">
            <v>CM2</v>
          </cell>
          <cell r="AP93" t="str">
            <v>Q 39826</v>
          </cell>
          <cell r="AQ93">
            <v>0</v>
          </cell>
          <cell r="AR93" t="str">
            <v>C</v>
          </cell>
          <cell r="AU93" t="str">
            <v>/  /</v>
          </cell>
          <cell r="AW93">
            <v>38718</v>
          </cell>
          <cell r="AY93" t="str">
            <v>XX</v>
          </cell>
          <cell r="BA93" t="str">
            <v>1</v>
          </cell>
          <cell r="BB93">
            <v>1</v>
          </cell>
          <cell r="BD93">
            <v>0</v>
          </cell>
          <cell r="BE93" t="str">
            <v>M</v>
          </cell>
          <cell r="BF93" t="str">
            <v>N</v>
          </cell>
          <cell r="BG93">
            <v>10</v>
          </cell>
          <cell r="BH93">
            <v>38718</v>
          </cell>
        </row>
        <row r="94">
          <cell r="A94">
            <v>71237</v>
          </cell>
          <cell r="B94">
            <v>418</v>
          </cell>
          <cell r="C94" t="str">
            <v>C6002</v>
          </cell>
          <cell r="D94" t="str">
            <v>ARISS</v>
          </cell>
          <cell r="E94" t="str">
            <v>MOHAMED</v>
          </cell>
          <cell r="F94">
            <v>20867</v>
          </cell>
          <cell r="G94" t="str">
            <v>1</v>
          </cell>
          <cell r="H94" t="str">
            <v>KHOURIBGA</v>
          </cell>
          <cell r="I94" t="str">
            <v>F</v>
          </cell>
          <cell r="J94">
            <v>29047</v>
          </cell>
          <cell r="K94">
            <v>33573</v>
          </cell>
          <cell r="L94" t="str">
            <v>32</v>
          </cell>
          <cell r="M94" t="str">
            <v>A</v>
          </cell>
          <cell r="N94">
            <v>33573</v>
          </cell>
          <cell r="P94">
            <v>23</v>
          </cell>
          <cell r="Q94" t="str">
            <v>N</v>
          </cell>
          <cell r="R94" t="str">
            <v>N</v>
          </cell>
          <cell r="S94">
            <v>0</v>
          </cell>
          <cell r="T94" t="str">
            <v>M</v>
          </cell>
          <cell r="U94" t="str">
            <v>ESSARI ESSAADIA BENT HAMMOU</v>
          </cell>
          <cell r="X94">
            <v>2</v>
          </cell>
          <cell r="Y94">
            <v>2</v>
          </cell>
          <cell r="Z94" t="str">
            <v>N</v>
          </cell>
          <cell r="AB94" t="str">
            <v>X</v>
          </cell>
          <cell r="AC94" t="str">
            <v>X</v>
          </cell>
          <cell r="AD94" t="str">
            <v>X</v>
          </cell>
          <cell r="AH94" t="str">
            <v>N</v>
          </cell>
          <cell r="AI94" t="str">
            <v>N</v>
          </cell>
          <cell r="AK94" t="str">
            <v>405 NVX LOGEMENTS SECHAGE - KHGA</v>
          </cell>
          <cell r="AL94" t="str">
            <v>6AS LM</v>
          </cell>
          <cell r="AM94" t="str">
            <v>CFP</v>
          </cell>
          <cell r="AP94" t="str">
            <v>Q 59224</v>
          </cell>
          <cell r="AQ94">
            <v>0</v>
          </cell>
          <cell r="AR94" t="str">
            <v>C</v>
          </cell>
          <cell r="AU94" t="str">
            <v>/  /</v>
          </cell>
          <cell r="AW94">
            <v>39264</v>
          </cell>
          <cell r="AY94" t="str">
            <v>XX</v>
          </cell>
          <cell r="BA94" t="str">
            <v>2</v>
          </cell>
          <cell r="BB94">
            <v>1</v>
          </cell>
          <cell r="BD94">
            <v>0</v>
          </cell>
          <cell r="BE94" t="str">
            <v>M</v>
          </cell>
          <cell r="BF94" t="str">
            <v>N</v>
          </cell>
          <cell r="BG94">
            <v>0</v>
          </cell>
          <cell r="BH94">
            <v>39264</v>
          </cell>
        </row>
        <row r="95">
          <cell r="A95">
            <v>71244</v>
          </cell>
          <cell r="B95">
            <v>476</v>
          </cell>
          <cell r="C95" t="str">
            <v>C3152</v>
          </cell>
          <cell r="D95" t="str">
            <v>ATEICHE</v>
          </cell>
          <cell r="E95" t="str">
            <v>ALLAL</v>
          </cell>
          <cell r="F95">
            <v>19384</v>
          </cell>
          <cell r="G95" t="str">
            <v>6</v>
          </cell>
          <cell r="H95" t="str">
            <v>M'FASSIS</v>
          </cell>
          <cell r="I95" t="str">
            <v>D</v>
          </cell>
          <cell r="J95">
            <v>29045</v>
          </cell>
          <cell r="K95">
            <v>36526</v>
          </cell>
          <cell r="L95" t="str">
            <v>21</v>
          </cell>
          <cell r="M95" t="str">
            <v>A</v>
          </cell>
          <cell r="N95">
            <v>36526</v>
          </cell>
          <cell r="P95">
            <v>23</v>
          </cell>
          <cell r="Q95" t="str">
            <v>O</v>
          </cell>
          <cell r="R95" t="str">
            <v>N</v>
          </cell>
          <cell r="S95">
            <v>0</v>
          </cell>
          <cell r="T95" t="str">
            <v>M</v>
          </cell>
          <cell r="U95" t="str">
            <v>ES SAADIA BENT EL MAATI</v>
          </cell>
          <cell r="X95">
            <v>7</v>
          </cell>
          <cell r="Y95">
            <v>4</v>
          </cell>
          <cell r="AB95" t="str">
            <v>X</v>
          </cell>
          <cell r="AC95" t="str">
            <v>X</v>
          </cell>
          <cell r="AD95" t="str">
            <v>X</v>
          </cell>
          <cell r="AH95" t="str">
            <v>N</v>
          </cell>
          <cell r="AI95" t="str">
            <v>N</v>
          </cell>
          <cell r="AK95" t="str">
            <v>N 888 VILLAGE O C P HATTANE</v>
          </cell>
          <cell r="AL95" t="str">
            <v>ILLETRE</v>
          </cell>
          <cell r="AP95" t="str">
            <v>Q 80547</v>
          </cell>
          <cell r="AQ95">
            <v>0</v>
          </cell>
          <cell r="AR95" t="str">
            <v>C</v>
          </cell>
          <cell r="AU95" t="str">
            <v>/  /</v>
          </cell>
          <cell r="AW95">
            <v>38718</v>
          </cell>
          <cell r="AY95" t="str">
            <v>XX</v>
          </cell>
          <cell r="AZ95" t="str">
            <v>K</v>
          </cell>
          <cell r="BA95" t="str">
            <v>1</v>
          </cell>
          <cell r="BB95">
            <v>1</v>
          </cell>
          <cell r="BD95">
            <v>0</v>
          </cell>
          <cell r="BE95" t="str">
            <v>M</v>
          </cell>
          <cell r="BF95" t="str">
            <v>N</v>
          </cell>
          <cell r="BG95">
            <v>10</v>
          </cell>
          <cell r="BH95">
            <v>38718</v>
          </cell>
        </row>
        <row r="96">
          <cell r="A96">
            <v>71649</v>
          </cell>
          <cell r="B96">
            <v>476</v>
          </cell>
          <cell r="C96" t="str">
            <v>C2050</v>
          </cell>
          <cell r="D96" t="str">
            <v>LEMHARI</v>
          </cell>
          <cell r="E96" t="str">
            <v>MOHAMED</v>
          </cell>
          <cell r="F96">
            <v>20265</v>
          </cell>
          <cell r="G96" t="str">
            <v>6</v>
          </cell>
          <cell r="H96" t="str">
            <v>M'FASSIS</v>
          </cell>
          <cell r="I96" t="str">
            <v>D</v>
          </cell>
          <cell r="J96">
            <v>29238</v>
          </cell>
          <cell r="K96">
            <v>31444</v>
          </cell>
          <cell r="L96" t="str">
            <v>12</v>
          </cell>
          <cell r="M96" t="str">
            <v>C</v>
          </cell>
          <cell r="N96">
            <v>35827</v>
          </cell>
          <cell r="P96">
            <v>23</v>
          </cell>
          <cell r="Q96" t="str">
            <v>O</v>
          </cell>
          <cell r="R96" t="str">
            <v>N</v>
          </cell>
          <cell r="S96">
            <v>0</v>
          </cell>
          <cell r="T96" t="str">
            <v>M</v>
          </cell>
          <cell r="U96" t="str">
            <v>FATIMA BENT AHMED</v>
          </cell>
          <cell r="X96">
            <v>6</v>
          </cell>
          <cell r="Y96">
            <v>3</v>
          </cell>
          <cell r="AB96" t="str">
            <v>X</v>
          </cell>
          <cell r="AC96" t="str">
            <v>X</v>
          </cell>
          <cell r="AD96" t="str">
            <v>X</v>
          </cell>
          <cell r="AH96" t="str">
            <v>N</v>
          </cell>
          <cell r="AI96" t="str">
            <v>N</v>
          </cell>
          <cell r="AK96" t="str">
            <v>562 VILLAGE OCP - BOUJNIBA</v>
          </cell>
          <cell r="AL96" t="str">
            <v>ILLETTRE</v>
          </cell>
          <cell r="AP96" t="str">
            <v>Q 26471</v>
          </cell>
          <cell r="AQ96">
            <v>0</v>
          </cell>
          <cell r="AR96" t="str">
            <v>B</v>
          </cell>
          <cell r="AS96" t="str">
            <v>BMCE - KHGA</v>
          </cell>
          <cell r="AT96" t="str">
            <v>4000001200001330897</v>
          </cell>
          <cell r="AU96" t="str">
            <v>/  /</v>
          </cell>
          <cell r="AW96">
            <v>38899</v>
          </cell>
          <cell r="AY96" t="str">
            <v>XX</v>
          </cell>
          <cell r="BA96" t="str">
            <v>2</v>
          </cell>
          <cell r="BB96">
            <v>1</v>
          </cell>
          <cell r="BD96">
            <v>0</v>
          </cell>
          <cell r="BE96" t="str">
            <v>M</v>
          </cell>
          <cell r="BF96" t="str">
            <v>N</v>
          </cell>
          <cell r="BG96">
            <v>50</v>
          </cell>
          <cell r="BH96">
            <v>38899</v>
          </cell>
        </row>
        <row r="97">
          <cell r="A97">
            <v>71694</v>
          </cell>
          <cell r="B97">
            <v>418</v>
          </cell>
          <cell r="C97" t="str">
            <v>C2000</v>
          </cell>
          <cell r="D97" t="str">
            <v>BOUAK</v>
          </cell>
          <cell r="E97" t="str">
            <v>MOHAMED</v>
          </cell>
          <cell r="F97">
            <v>20270</v>
          </cell>
          <cell r="H97" t="str">
            <v>TLAT LOULAD SETTAT</v>
          </cell>
          <cell r="I97" t="str">
            <v>D</v>
          </cell>
          <cell r="J97">
            <v>29249</v>
          </cell>
          <cell r="K97">
            <v>31444</v>
          </cell>
          <cell r="L97" t="str">
            <v>12</v>
          </cell>
          <cell r="M97" t="str">
            <v>C</v>
          </cell>
          <cell r="N97">
            <v>35827</v>
          </cell>
          <cell r="P97">
            <v>23</v>
          </cell>
          <cell r="Q97" t="str">
            <v>O</v>
          </cell>
          <cell r="R97" t="str">
            <v>N</v>
          </cell>
          <cell r="S97">
            <v>0</v>
          </cell>
          <cell r="T97" t="str">
            <v>M</v>
          </cell>
          <cell r="U97" t="str">
            <v>ES SAADIA BENT MED</v>
          </cell>
          <cell r="X97">
            <v>7</v>
          </cell>
          <cell r="Y97">
            <v>6</v>
          </cell>
          <cell r="AB97" t="str">
            <v>X</v>
          </cell>
          <cell r="AC97" t="str">
            <v>X</v>
          </cell>
          <cell r="AD97" t="str">
            <v>X</v>
          </cell>
          <cell r="AH97" t="str">
            <v>N</v>
          </cell>
          <cell r="AI97" t="str">
            <v>N</v>
          </cell>
          <cell r="AK97" t="str">
            <v>N 525 NOUVELLE MADINA SECHAGE KHGA</v>
          </cell>
          <cell r="AL97" t="str">
            <v>ILLETTRE</v>
          </cell>
          <cell r="AP97" t="str">
            <v>Q 81309</v>
          </cell>
          <cell r="AQ97">
            <v>0</v>
          </cell>
          <cell r="AR97" t="str">
            <v>B</v>
          </cell>
          <cell r="AS97" t="str">
            <v>WAFABANK - KHGA</v>
          </cell>
          <cell r="AT97" t="str">
            <v>1220301118805</v>
          </cell>
          <cell r="AU97" t="str">
            <v>/  /</v>
          </cell>
          <cell r="AW97">
            <v>38899</v>
          </cell>
          <cell r="AY97" t="str">
            <v>XX</v>
          </cell>
          <cell r="AZ97" t="str">
            <v>K</v>
          </cell>
          <cell r="BA97" t="str">
            <v>6</v>
          </cell>
          <cell r="BB97">
            <v>1</v>
          </cell>
          <cell r="BD97">
            <v>0</v>
          </cell>
          <cell r="BE97" t="str">
            <v>M</v>
          </cell>
          <cell r="BF97" t="str">
            <v>N</v>
          </cell>
          <cell r="BG97">
            <v>1</v>
          </cell>
          <cell r="BH97">
            <v>38899</v>
          </cell>
        </row>
        <row r="98">
          <cell r="A98">
            <v>71980</v>
          </cell>
          <cell r="B98">
            <v>416</v>
          </cell>
          <cell r="C98" t="str">
            <v>C3152</v>
          </cell>
          <cell r="D98" t="str">
            <v>MAHJOUBI</v>
          </cell>
          <cell r="E98" t="str">
            <v>LAHSEN</v>
          </cell>
          <cell r="F98">
            <v>21074</v>
          </cell>
          <cell r="G98" t="str">
            <v>1</v>
          </cell>
          <cell r="H98" t="str">
            <v>OULED BHAR SGHAR KHOURIBGA</v>
          </cell>
          <cell r="I98" t="str">
            <v>D</v>
          </cell>
          <cell r="J98">
            <v>29385</v>
          </cell>
          <cell r="K98">
            <v>36526</v>
          </cell>
          <cell r="L98" t="str">
            <v>21</v>
          </cell>
          <cell r="M98" t="str">
            <v>A</v>
          </cell>
          <cell r="N98">
            <v>36526</v>
          </cell>
          <cell r="P98">
            <v>22</v>
          </cell>
          <cell r="Q98" t="str">
            <v>O</v>
          </cell>
          <cell r="R98" t="str">
            <v>N</v>
          </cell>
          <cell r="S98">
            <v>0</v>
          </cell>
          <cell r="T98" t="str">
            <v>M</v>
          </cell>
          <cell r="U98" t="str">
            <v>ZAHRA BENT MED</v>
          </cell>
          <cell r="X98">
            <v>0</v>
          </cell>
          <cell r="Y98">
            <v>0</v>
          </cell>
          <cell r="AB98" t="str">
            <v>X</v>
          </cell>
          <cell r="AC98" t="str">
            <v>X</v>
          </cell>
          <cell r="AD98" t="str">
            <v>X</v>
          </cell>
          <cell r="AH98" t="str">
            <v>N</v>
          </cell>
          <cell r="AI98" t="str">
            <v>N</v>
          </cell>
          <cell r="AK98" t="str">
            <v>1285 SBATA VILLAGE OCP - HATTANE</v>
          </cell>
          <cell r="AL98" t="str">
            <v>ILLETTRE</v>
          </cell>
          <cell r="AP98" t="str">
            <v>Q 73448</v>
          </cell>
          <cell r="AQ98">
            <v>0</v>
          </cell>
          <cell r="AR98" t="str">
            <v>C</v>
          </cell>
          <cell r="AU98" t="str">
            <v>/  /</v>
          </cell>
          <cell r="AW98">
            <v>39448</v>
          </cell>
          <cell r="AY98" t="str">
            <v>XX</v>
          </cell>
          <cell r="BA98" t="str">
            <v>1</v>
          </cell>
          <cell r="BB98">
            <v>1</v>
          </cell>
          <cell r="BD98">
            <v>0</v>
          </cell>
          <cell r="BE98" t="str">
            <v>M</v>
          </cell>
          <cell r="BF98" t="str">
            <v>N</v>
          </cell>
          <cell r="BG98">
            <v>10</v>
          </cell>
          <cell r="BH98">
            <v>39448</v>
          </cell>
        </row>
        <row r="99">
          <cell r="A99">
            <v>72144</v>
          </cell>
          <cell r="B99">
            <v>403</v>
          </cell>
          <cell r="C99" t="str">
            <v>C3152</v>
          </cell>
          <cell r="D99" t="str">
            <v>EL MOUNJALI</v>
          </cell>
          <cell r="E99" t="str">
            <v>MOHAMMED</v>
          </cell>
          <cell r="F99">
            <v>19792</v>
          </cell>
          <cell r="G99" t="str">
            <v>1</v>
          </cell>
          <cell r="H99" t="str">
            <v>OULED BHAR SGHAR KHOURIBGA</v>
          </cell>
          <cell r="I99" t="str">
            <v>D</v>
          </cell>
          <cell r="J99">
            <v>29434</v>
          </cell>
          <cell r="K99">
            <v>36526</v>
          </cell>
          <cell r="L99" t="str">
            <v>21</v>
          </cell>
          <cell r="M99" t="str">
            <v>A</v>
          </cell>
          <cell r="N99">
            <v>36526</v>
          </cell>
          <cell r="P99">
            <v>22</v>
          </cell>
          <cell r="Q99" t="str">
            <v>O</v>
          </cell>
          <cell r="R99" t="str">
            <v>N</v>
          </cell>
          <cell r="S99">
            <v>0</v>
          </cell>
          <cell r="T99" t="str">
            <v>M</v>
          </cell>
          <cell r="U99" t="str">
            <v>ES SAADIA BENT HADJ MILOUDI</v>
          </cell>
          <cell r="X99">
            <v>5</v>
          </cell>
          <cell r="Y99">
            <v>4</v>
          </cell>
          <cell r="AB99" t="str">
            <v>X</v>
          </cell>
          <cell r="AC99" t="str">
            <v>X</v>
          </cell>
          <cell r="AD99" t="str">
            <v>X</v>
          </cell>
          <cell r="AH99" t="str">
            <v>O</v>
          </cell>
          <cell r="AI99" t="str">
            <v>X</v>
          </cell>
          <cell r="AK99" t="str">
            <v>949 SBATA OCP - HATTANE</v>
          </cell>
          <cell r="AL99" t="str">
            <v>CM2</v>
          </cell>
          <cell r="AP99" t="str">
            <v>Q 10135</v>
          </cell>
          <cell r="AQ99">
            <v>0</v>
          </cell>
          <cell r="AR99" t="str">
            <v>C</v>
          </cell>
          <cell r="AU99" t="str">
            <v>/  /</v>
          </cell>
          <cell r="AW99">
            <v>39083</v>
          </cell>
          <cell r="AY99" t="str">
            <v>XX</v>
          </cell>
          <cell r="BA99" t="str">
            <v>1</v>
          </cell>
          <cell r="BB99">
            <v>1</v>
          </cell>
          <cell r="BD99">
            <v>0</v>
          </cell>
          <cell r="BE99" t="str">
            <v>M</v>
          </cell>
          <cell r="BF99" t="str">
            <v>N</v>
          </cell>
          <cell r="BG99">
            <v>10</v>
          </cell>
          <cell r="BH99">
            <v>39083</v>
          </cell>
          <cell r="BI99" t="str">
            <v>O</v>
          </cell>
        </row>
        <row r="100">
          <cell r="A100">
            <v>72146</v>
          </cell>
          <cell r="B100">
            <v>446</v>
          </cell>
          <cell r="C100" t="str">
            <v>C4754</v>
          </cell>
          <cell r="D100" t="str">
            <v>EL MANNANI</v>
          </cell>
          <cell r="E100" t="str">
            <v>MOHAMED</v>
          </cell>
          <cell r="F100">
            <v>17348</v>
          </cell>
          <cell r="H100" t="str">
            <v>IMINTANOUT</v>
          </cell>
          <cell r="I100" t="str">
            <v>D</v>
          </cell>
          <cell r="J100">
            <v>29437</v>
          </cell>
          <cell r="K100">
            <v>36526</v>
          </cell>
          <cell r="L100" t="str">
            <v>22</v>
          </cell>
          <cell r="M100" t="str">
            <v>A</v>
          </cell>
          <cell r="N100">
            <v>36526</v>
          </cell>
          <cell r="P100">
            <v>22</v>
          </cell>
          <cell r="Q100" t="str">
            <v>N</v>
          </cell>
          <cell r="R100" t="str">
            <v>O</v>
          </cell>
          <cell r="S100">
            <v>1</v>
          </cell>
          <cell r="T100" t="str">
            <v>M</v>
          </cell>
          <cell r="U100" t="str">
            <v>FATIMA BENT MED</v>
          </cell>
          <cell r="X100">
            <v>1</v>
          </cell>
          <cell r="Y100">
            <v>0</v>
          </cell>
          <cell r="AB100" t="str">
            <v>X</v>
          </cell>
          <cell r="AC100" t="str">
            <v>X</v>
          </cell>
          <cell r="AD100" t="str">
            <v>X</v>
          </cell>
          <cell r="AH100" t="str">
            <v>N</v>
          </cell>
          <cell r="AI100" t="str">
            <v>N</v>
          </cell>
          <cell r="AK100" t="str">
            <v>N 1121 VILLAGE OCP SBATA HATTANE</v>
          </cell>
          <cell r="AL100" t="str">
            <v>CM2</v>
          </cell>
          <cell r="AP100" t="str">
            <v>E 800399</v>
          </cell>
          <cell r="AQ100">
            <v>0</v>
          </cell>
          <cell r="AR100" t="str">
            <v>B</v>
          </cell>
          <cell r="AS100" t="str">
            <v>POPULAIRE.KHGA</v>
          </cell>
          <cell r="AT100" t="str">
            <v>2111136305960001</v>
          </cell>
          <cell r="AU100" t="str">
            <v>/  /</v>
          </cell>
          <cell r="AW100">
            <v>37438</v>
          </cell>
          <cell r="AY100" t="str">
            <v>XX</v>
          </cell>
          <cell r="BA100" t="str">
            <v>2</v>
          </cell>
          <cell r="BB100">
            <v>1</v>
          </cell>
          <cell r="BD100">
            <v>0</v>
          </cell>
          <cell r="BE100" t="str">
            <v>M</v>
          </cell>
          <cell r="BF100" t="str">
            <v>N</v>
          </cell>
          <cell r="BG100">
            <v>0</v>
          </cell>
          <cell r="BH100">
            <v>37438</v>
          </cell>
        </row>
        <row r="101">
          <cell r="A101">
            <v>72208</v>
          </cell>
          <cell r="B101">
            <v>411</v>
          </cell>
          <cell r="C101" t="str">
            <v>C4152</v>
          </cell>
          <cell r="D101" t="str">
            <v>RHARRAF</v>
          </cell>
          <cell r="E101" t="str">
            <v>EL MOULOUDI</v>
          </cell>
          <cell r="F101">
            <v>20270</v>
          </cell>
          <cell r="G101" t="str">
            <v>2</v>
          </cell>
          <cell r="H101" t="str">
            <v>OUED-ZEM</v>
          </cell>
          <cell r="I101" t="str">
            <v>D</v>
          </cell>
          <cell r="J101">
            <v>29462</v>
          </cell>
          <cell r="K101">
            <v>36526</v>
          </cell>
          <cell r="L101" t="str">
            <v>22</v>
          </cell>
          <cell r="M101" t="str">
            <v>A</v>
          </cell>
          <cell r="N101">
            <v>36526</v>
          </cell>
          <cell r="P101">
            <v>22</v>
          </cell>
          <cell r="Q101" t="str">
            <v>O</v>
          </cell>
          <cell r="R101" t="str">
            <v>N</v>
          </cell>
          <cell r="S101">
            <v>0</v>
          </cell>
          <cell r="T101" t="str">
            <v>M</v>
          </cell>
          <cell r="U101" t="str">
            <v>KHADIJA BENT SALAH</v>
          </cell>
          <cell r="X101">
            <v>5</v>
          </cell>
          <cell r="Y101">
            <v>5</v>
          </cell>
          <cell r="AB101" t="str">
            <v>X</v>
          </cell>
          <cell r="AC101" t="str">
            <v>X</v>
          </cell>
          <cell r="AD101" t="str">
            <v>X</v>
          </cell>
          <cell r="AH101" t="str">
            <v>N</v>
          </cell>
          <cell r="AI101" t="str">
            <v>N</v>
          </cell>
          <cell r="AK101" t="str">
            <v>600 VILLAGE O.C.P - BOUJNIBA</v>
          </cell>
          <cell r="AL101" t="str">
            <v>CM2</v>
          </cell>
          <cell r="AP101" t="str">
            <v>Q 20697</v>
          </cell>
          <cell r="AQ101">
            <v>0</v>
          </cell>
          <cell r="AR101" t="str">
            <v>C</v>
          </cell>
          <cell r="AU101" t="str">
            <v>/  /</v>
          </cell>
          <cell r="AW101">
            <v>39083</v>
          </cell>
          <cell r="AY101" t="str">
            <v>XX</v>
          </cell>
          <cell r="BA101" t="str">
            <v>1</v>
          </cell>
          <cell r="BB101">
            <v>1</v>
          </cell>
          <cell r="BD101">
            <v>0</v>
          </cell>
          <cell r="BE101" t="str">
            <v>M</v>
          </cell>
          <cell r="BF101" t="str">
            <v>N</v>
          </cell>
          <cell r="BG101">
            <v>50</v>
          </cell>
          <cell r="BH101">
            <v>39083</v>
          </cell>
        </row>
        <row r="102">
          <cell r="A102">
            <v>72315</v>
          </cell>
          <cell r="B102">
            <v>476</v>
          </cell>
          <cell r="C102" t="str">
            <v>C3152</v>
          </cell>
          <cell r="D102" t="str">
            <v>NAROUI</v>
          </cell>
          <cell r="E102" t="str">
            <v>M'HAMED</v>
          </cell>
          <cell r="F102">
            <v>19175</v>
          </cell>
          <cell r="G102" t="str">
            <v>3</v>
          </cell>
          <cell r="H102" t="str">
            <v>BOUJNIBA</v>
          </cell>
          <cell r="I102" t="str">
            <v>D</v>
          </cell>
          <cell r="J102">
            <v>29524</v>
          </cell>
          <cell r="K102">
            <v>36526</v>
          </cell>
          <cell r="L102" t="str">
            <v>21</v>
          </cell>
          <cell r="M102" t="str">
            <v>C</v>
          </cell>
          <cell r="N102">
            <v>36526</v>
          </cell>
          <cell r="P102">
            <v>22</v>
          </cell>
          <cell r="Q102" t="str">
            <v>O</v>
          </cell>
          <cell r="R102" t="str">
            <v>N</v>
          </cell>
          <cell r="S102">
            <v>0</v>
          </cell>
          <cell r="T102" t="str">
            <v>M</v>
          </cell>
          <cell r="U102" t="str">
            <v>ES SAADIA BENT ABDELKADER</v>
          </cell>
          <cell r="X102">
            <v>4</v>
          </cell>
          <cell r="Y102">
            <v>4</v>
          </cell>
          <cell r="AB102" t="str">
            <v>X</v>
          </cell>
          <cell r="AC102" t="str">
            <v>X</v>
          </cell>
          <cell r="AD102" t="str">
            <v>X</v>
          </cell>
          <cell r="AH102" t="str">
            <v>N</v>
          </cell>
          <cell r="AI102" t="str">
            <v>N</v>
          </cell>
          <cell r="AK102" t="str">
            <v>759 VILLAGE O.C.P - BOULANOIR</v>
          </cell>
          <cell r="AL102" t="str">
            <v>ILLETTRE</v>
          </cell>
          <cell r="AP102" t="str">
            <v>Q 88516</v>
          </cell>
          <cell r="AQ102">
            <v>0</v>
          </cell>
          <cell r="AR102" t="str">
            <v>B</v>
          </cell>
          <cell r="AS102" t="str">
            <v>WAFABAK - KHGA</v>
          </cell>
          <cell r="AT102" t="str">
            <v>1220301212670</v>
          </cell>
          <cell r="AU102" t="str">
            <v>/  /</v>
          </cell>
          <cell r="AW102">
            <v>39264</v>
          </cell>
          <cell r="AY102" t="str">
            <v>XX</v>
          </cell>
          <cell r="BA102" t="str">
            <v>1</v>
          </cell>
          <cell r="BB102">
            <v>1</v>
          </cell>
          <cell r="BD102">
            <v>0</v>
          </cell>
          <cell r="BE102" t="str">
            <v>M</v>
          </cell>
          <cell r="BF102" t="str">
            <v>N</v>
          </cell>
          <cell r="BG102">
            <v>40</v>
          </cell>
          <cell r="BH102">
            <v>39264</v>
          </cell>
        </row>
        <row r="103">
          <cell r="A103">
            <v>72337</v>
          </cell>
          <cell r="B103">
            <v>476</v>
          </cell>
          <cell r="C103" t="str">
            <v>C3152</v>
          </cell>
          <cell r="D103" t="str">
            <v>DAMACHE</v>
          </cell>
          <cell r="E103" t="str">
            <v>OMAR</v>
          </cell>
          <cell r="F103">
            <v>21318</v>
          </cell>
          <cell r="G103" t="str">
            <v>1</v>
          </cell>
          <cell r="H103" t="str">
            <v>OULED BHAR KBAR KHOURIBGA</v>
          </cell>
          <cell r="I103" t="str">
            <v>D</v>
          </cell>
          <cell r="J103">
            <v>29532</v>
          </cell>
          <cell r="K103">
            <v>35977</v>
          </cell>
          <cell r="L103" t="str">
            <v>21</v>
          </cell>
          <cell r="M103" t="str">
            <v>A</v>
          </cell>
          <cell r="N103">
            <v>35977</v>
          </cell>
          <cell r="P103">
            <v>22</v>
          </cell>
          <cell r="Q103" t="str">
            <v>O</v>
          </cell>
          <cell r="R103" t="str">
            <v>N</v>
          </cell>
          <cell r="S103">
            <v>0</v>
          </cell>
          <cell r="T103" t="str">
            <v>M</v>
          </cell>
          <cell r="U103" t="str">
            <v>ES SAADIA BENT SALAH</v>
          </cell>
          <cell r="X103">
            <v>5</v>
          </cell>
          <cell r="Y103">
            <v>4</v>
          </cell>
          <cell r="AB103" t="str">
            <v>X</v>
          </cell>
          <cell r="AC103" t="str">
            <v>X</v>
          </cell>
          <cell r="AD103" t="str">
            <v>X</v>
          </cell>
          <cell r="AH103" t="str">
            <v>N</v>
          </cell>
          <cell r="AI103" t="str">
            <v>N</v>
          </cell>
          <cell r="AK103" t="str">
            <v>258 ANCIEN TACHERON - BOUJNIBA</v>
          </cell>
          <cell r="AL103" t="str">
            <v>ILLETTRE</v>
          </cell>
          <cell r="AP103" t="str">
            <v>Q 80694</v>
          </cell>
          <cell r="AQ103">
            <v>0</v>
          </cell>
          <cell r="AR103" t="str">
            <v>B</v>
          </cell>
          <cell r="AS103" t="str">
            <v>C.N.C.A  KHGA</v>
          </cell>
          <cell r="AT103" t="str">
            <v>0806253L601</v>
          </cell>
          <cell r="AU103" t="str">
            <v>/  /</v>
          </cell>
          <cell r="AW103">
            <v>39630</v>
          </cell>
          <cell r="AY103" t="str">
            <v>XX</v>
          </cell>
          <cell r="AZ103" t="str">
            <v>K</v>
          </cell>
          <cell r="BA103" t="str">
            <v>1</v>
          </cell>
          <cell r="BB103">
            <v>1</v>
          </cell>
          <cell r="BD103">
            <v>0</v>
          </cell>
          <cell r="BE103" t="str">
            <v>M</v>
          </cell>
          <cell r="BF103" t="str">
            <v>N</v>
          </cell>
          <cell r="BG103">
            <v>50</v>
          </cell>
          <cell r="BH103">
            <v>39630</v>
          </cell>
          <cell r="BI103" t="str">
            <v>O</v>
          </cell>
        </row>
        <row r="104">
          <cell r="A104">
            <v>72387</v>
          </cell>
          <cell r="B104">
            <v>418</v>
          </cell>
          <cell r="C104" t="str">
            <v>C2000</v>
          </cell>
          <cell r="D104" t="str">
            <v>REZQI</v>
          </cell>
          <cell r="E104" t="str">
            <v>ABDELKADER</v>
          </cell>
          <cell r="F104">
            <v>19803</v>
          </cell>
          <cell r="G104" t="str">
            <v>1</v>
          </cell>
          <cell r="H104" t="str">
            <v>KHOURIBGA</v>
          </cell>
          <cell r="I104" t="str">
            <v>D</v>
          </cell>
          <cell r="J104">
            <v>29568</v>
          </cell>
          <cell r="K104">
            <v>31778</v>
          </cell>
          <cell r="L104" t="str">
            <v>12</v>
          </cell>
          <cell r="M104" t="str">
            <v>C</v>
          </cell>
          <cell r="N104">
            <v>36161</v>
          </cell>
          <cell r="P104">
            <v>22</v>
          </cell>
          <cell r="Q104" t="str">
            <v>O</v>
          </cell>
          <cell r="R104" t="str">
            <v>N</v>
          </cell>
          <cell r="S104">
            <v>0</v>
          </cell>
          <cell r="T104" t="str">
            <v>M</v>
          </cell>
          <cell r="U104" t="str">
            <v>ZHOUR BENT ABDALLAH</v>
          </cell>
          <cell r="X104">
            <v>5</v>
          </cell>
          <cell r="Y104">
            <v>4</v>
          </cell>
          <cell r="AB104" t="str">
            <v>X</v>
          </cell>
          <cell r="AC104" t="str">
            <v>X</v>
          </cell>
          <cell r="AD104" t="str">
            <v>X</v>
          </cell>
          <cell r="AH104" t="str">
            <v>N</v>
          </cell>
          <cell r="AI104" t="str">
            <v>N</v>
          </cell>
          <cell r="AK104" t="str">
            <v>45 BENI AMIR DB OLD AROUI - KHGA</v>
          </cell>
          <cell r="AL104" t="str">
            <v>ILLETTRE</v>
          </cell>
          <cell r="AP104" t="str">
            <v>Q 66299</v>
          </cell>
          <cell r="AQ104">
            <v>0</v>
          </cell>
          <cell r="AR104" t="str">
            <v>B</v>
          </cell>
          <cell r="AS104" t="str">
            <v>POPULAIRE.KHGA</v>
          </cell>
          <cell r="AT104" t="str">
            <v>211113631518000406</v>
          </cell>
          <cell r="AU104" t="str">
            <v>/  /</v>
          </cell>
          <cell r="AW104">
            <v>39264</v>
          </cell>
          <cell r="AY104" t="str">
            <v>XX</v>
          </cell>
          <cell r="BA104" t="str">
            <v>6</v>
          </cell>
          <cell r="BB104">
            <v>1</v>
          </cell>
          <cell r="BD104">
            <v>0</v>
          </cell>
          <cell r="BE104" t="str">
            <v>M</v>
          </cell>
          <cell r="BF104" t="str">
            <v>N</v>
          </cell>
          <cell r="BG104">
            <v>2</v>
          </cell>
          <cell r="BH104">
            <v>39264</v>
          </cell>
          <cell r="BI104" t="str">
            <v>O</v>
          </cell>
        </row>
        <row r="105">
          <cell r="A105">
            <v>72590</v>
          </cell>
          <cell r="B105">
            <v>411</v>
          </cell>
          <cell r="C105" t="str">
            <v>C4152</v>
          </cell>
          <cell r="D105" t="str">
            <v>ER RQAIBI</v>
          </cell>
          <cell r="E105" t="str">
            <v>BOUCHTA</v>
          </cell>
          <cell r="F105">
            <v>21115</v>
          </cell>
          <cell r="G105" t="str">
            <v>1</v>
          </cell>
          <cell r="H105" t="str">
            <v>OULED BHAR KBAR KHOURIBGA</v>
          </cell>
          <cell r="I105" t="str">
            <v>D</v>
          </cell>
          <cell r="J105">
            <v>29739</v>
          </cell>
          <cell r="K105">
            <v>36526</v>
          </cell>
          <cell r="L105" t="str">
            <v>22</v>
          </cell>
          <cell r="M105" t="str">
            <v>A</v>
          </cell>
          <cell r="N105">
            <v>36526</v>
          </cell>
          <cell r="P105">
            <v>21</v>
          </cell>
          <cell r="Q105" t="str">
            <v>O</v>
          </cell>
          <cell r="R105" t="str">
            <v>N</v>
          </cell>
          <cell r="S105">
            <v>0</v>
          </cell>
          <cell r="T105" t="str">
            <v>M</v>
          </cell>
          <cell r="U105" t="str">
            <v>SALHA BENT EL ARBI</v>
          </cell>
          <cell r="X105">
            <v>6</v>
          </cell>
          <cell r="Y105">
            <v>3</v>
          </cell>
          <cell r="AB105" t="str">
            <v>X</v>
          </cell>
          <cell r="AC105" t="str">
            <v>X</v>
          </cell>
          <cell r="AD105" t="str">
            <v>X</v>
          </cell>
          <cell r="AH105" t="str">
            <v>N</v>
          </cell>
          <cell r="AI105" t="str">
            <v>N</v>
          </cell>
          <cell r="AK105" t="str">
            <v>630  VILLAGE O.C.P - BOUJNIBA</v>
          </cell>
          <cell r="AL105" t="str">
            <v>CM2</v>
          </cell>
          <cell r="AP105" t="str">
            <v>Q 33949</v>
          </cell>
          <cell r="AQ105">
            <v>0</v>
          </cell>
          <cell r="AR105" t="str">
            <v>B</v>
          </cell>
          <cell r="AS105" t="str">
            <v>POPULAIRE.KHGA</v>
          </cell>
          <cell r="AT105" t="str">
            <v>21111128957650002</v>
          </cell>
          <cell r="AU105" t="str">
            <v>/  /</v>
          </cell>
          <cell r="AW105">
            <v>39448</v>
          </cell>
          <cell r="AY105" t="str">
            <v>XX</v>
          </cell>
          <cell r="BA105" t="str">
            <v>1</v>
          </cell>
          <cell r="BB105">
            <v>1</v>
          </cell>
          <cell r="BD105">
            <v>0</v>
          </cell>
          <cell r="BE105" t="str">
            <v>M</v>
          </cell>
          <cell r="BF105" t="str">
            <v>N</v>
          </cell>
          <cell r="BG105">
            <v>50</v>
          </cell>
          <cell r="BH105">
            <v>39448</v>
          </cell>
        </row>
        <row r="106">
          <cell r="A106">
            <v>72773</v>
          </cell>
          <cell r="B106">
            <v>418</v>
          </cell>
          <cell r="C106" t="str">
            <v>C7050</v>
          </cell>
          <cell r="D106" t="str">
            <v>LOTFI</v>
          </cell>
          <cell r="E106" t="str">
            <v>AHMED</v>
          </cell>
          <cell r="F106">
            <v>21001</v>
          </cell>
          <cell r="H106" t="str">
            <v>TLAT LOULAD SETTAT</v>
          </cell>
          <cell r="I106" t="str">
            <v>F</v>
          </cell>
          <cell r="J106">
            <v>29790</v>
          </cell>
          <cell r="K106">
            <v>33573</v>
          </cell>
          <cell r="L106" t="str">
            <v>33</v>
          </cell>
          <cell r="M106" t="str">
            <v>B</v>
          </cell>
          <cell r="N106">
            <v>35612</v>
          </cell>
          <cell r="O106">
            <v>0</v>
          </cell>
          <cell r="P106">
            <v>21</v>
          </cell>
          <cell r="Q106" t="str">
            <v>O</v>
          </cell>
          <cell r="R106" t="str">
            <v>N</v>
          </cell>
          <cell r="S106">
            <v>0</v>
          </cell>
          <cell r="T106" t="str">
            <v>M</v>
          </cell>
          <cell r="U106" t="str">
            <v>KOURINA KHADDOUJ</v>
          </cell>
          <cell r="X106">
            <v>4</v>
          </cell>
          <cell r="Y106">
            <v>4</v>
          </cell>
          <cell r="AB106" t="str">
            <v>X</v>
          </cell>
          <cell r="AC106" t="str">
            <v>X</v>
          </cell>
          <cell r="AD106" t="str">
            <v>X</v>
          </cell>
          <cell r="AH106" t="str">
            <v>N</v>
          </cell>
          <cell r="AI106" t="str">
            <v>N</v>
          </cell>
          <cell r="AK106" t="str">
            <v>79 NVX LOGEMENTS DE SECHAGE OCP - KHGA</v>
          </cell>
          <cell r="AL106" t="str">
            <v>7AS</v>
          </cell>
          <cell r="AM106" t="str">
            <v>CEP  CES</v>
          </cell>
          <cell r="AP106" t="str">
            <v>W 47865</v>
          </cell>
          <cell r="AQ106">
            <v>0</v>
          </cell>
          <cell r="AR106" t="str">
            <v>B</v>
          </cell>
          <cell r="AS106" t="str">
            <v>POPULAIRE KHGA</v>
          </cell>
          <cell r="AT106" t="str">
            <v>211111279187004</v>
          </cell>
          <cell r="AU106" t="str">
            <v>/  /</v>
          </cell>
          <cell r="AW106">
            <v>39448</v>
          </cell>
          <cell r="AY106" t="str">
            <v>XX</v>
          </cell>
          <cell r="AZ106" t="str">
            <v>M</v>
          </cell>
          <cell r="BA106" t="str">
            <v>2</v>
          </cell>
          <cell r="BB106">
            <v>1</v>
          </cell>
          <cell r="BD106">
            <v>0</v>
          </cell>
          <cell r="BE106" t="str">
            <v>M</v>
          </cell>
          <cell r="BF106" t="str">
            <v>N</v>
          </cell>
          <cell r="BG106">
            <v>1</v>
          </cell>
          <cell r="BH106">
            <v>39448</v>
          </cell>
        </row>
        <row r="107">
          <cell r="A107">
            <v>72893</v>
          </cell>
          <cell r="B107">
            <v>476</v>
          </cell>
          <cell r="C107" t="str">
            <v>C3050</v>
          </cell>
          <cell r="D107" t="str">
            <v>KENBAOUI</v>
          </cell>
          <cell r="E107" t="str">
            <v>SALAH</v>
          </cell>
          <cell r="F107">
            <v>20668</v>
          </cell>
          <cell r="G107" t="str">
            <v>1</v>
          </cell>
          <cell r="H107" t="str">
            <v>OULED BHAR SGHAR KHOURIBGA</v>
          </cell>
          <cell r="I107" t="str">
            <v>D</v>
          </cell>
          <cell r="J107">
            <v>29823</v>
          </cell>
          <cell r="K107">
            <v>36526</v>
          </cell>
          <cell r="L107" t="str">
            <v>21</v>
          </cell>
          <cell r="M107" t="str">
            <v>A</v>
          </cell>
          <cell r="N107">
            <v>36526</v>
          </cell>
          <cell r="P107">
            <v>21</v>
          </cell>
          <cell r="Q107" t="str">
            <v>O</v>
          </cell>
          <cell r="R107" t="str">
            <v>N</v>
          </cell>
          <cell r="S107">
            <v>0</v>
          </cell>
          <cell r="T107" t="str">
            <v>M</v>
          </cell>
          <cell r="U107" t="str">
            <v>BAHRI FATIHA</v>
          </cell>
          <cell r="X107">
            <v>4</v>
          </cell>
          <cell r="Y107">
            <v>4</v>
          </cell>
          <cell r="AB107" t="str">
            <v>X</v>
          </cell>
          <cell r="AC107" t="str">
            <v>X</v>
          </cell>
          <cell r="AD107" t="str">
            <v>X</v>
          </cell>
          <cell r="AH107" t="str">
            <v>N</v>
          </cell>
          <cell r="AI107" t="str">
            <v>N</v>
          </cell>
          <cell r="AK107" t="str">
            <v>135 BIS RUE 2 DERB 2 - BOUJNIBA</v>
          </cell>
          <cell r="AL107" t="str">
            <v>ILLETTRE</v>
          </cell>
          <cell r="AP107" t="str">
            <v>Q 17226</v>
          </cell>
          <cell r="AQ107">
            <v>0</v>
          </cell>
          <cell r="AR107" t="str">
            <v>B</v>
          </cell>
          <cell r="AS107" t="str">
            <v>POPULAIRE-KHGA</v>
          </cell>
          <cell r="AT107" t="str">
            <v>2111156489640005</v>
          </cell>
          <cell r="AU107" t="str">
            <v>/  /</v>
          </cell>
          <cell r="AW107">
            <v>39448</v>
          </cell>
          <cell r="AY107" t="str">
            <v>XX</v>
          </cell>
          <cell r="BA107" t="str">
            <v>2</v>
          </cell>
          <cell r="BB107">
            <v>1</v>
          </cell>
          <cell r="BD107">
            <v>0</v>
          </cell>
          <cell r="BE107" t="str">
            <v>M</v>
          </cell>
          <cell r="BF107" t="str">
            <v>N</v>
          </cell>
          <cell r="BG107">
            <v>50</v>
          </cell>
          <cell r="BH107">
            <v>39448</v>
          </cell>
          <cell r="BI107" t="str">
            <v>O</v>
          </cell>
        </row>
        <row r="108">
          <cell r="A108">
            <v>73220</v>
          </cell>
          <cell r="B108">
            <v>476</v>
          </cell>
          <cell r="C108" t="str">
            <v>C4152</v>
          </cell>
          <cell r="D108" t="str">
            <v>ZAHRI</v>
          </cell>
          <cell r="E108" t="str">
            <v>ABDELKADER</v>
          </cell>
          <cell r="F108">
            <v>21366</v>
          </cell>
          <cell r="H108" t="str">
            <v>OULED IICH BENI MELLAL</v>
          </cell>
          <cell r="I108" t="str">
            <v>D</v>
          </cell>
          <cell r="J108">
            <v>30005</v>
          </cell>
          <cell r="K108">
            <v>35065</v>
          </cell>
          <cell r="L108" t="str">
            <v>22</v>
          </cell>
          <cell r="M108" t="str">
            <v>A</v>
          </cell>
          <cell r="N108">
            <v>35065</v>
          </cell>
          <cell r="P108">
            <v>22</v>
          </cell>
          <cell r="Q108" t="str">
            <v>O</v>
          </cell>
          <cell r="R108" t="str">
            <v>N</v>
          </cell>
          <cell r="S108">
            <v>0</v>
          </cell>
          <cell r="T108" t="str">
            <v>M</v>
          </cell>
          <cell r="U108" t="str">
            <v>FARHAT NAIMA</v>
          </cell>
          <cell r="X108">
            <v>3</v>
          </cell>
          <cell r="Y108">
            <v>3</v>
          </cell>
          <cell r="AB108" t="str">
            <v>X</v>
          </cell>
          <cell r="AC108" t="str">
            <v>X</v>
          </cell>
          <cell r="AD108" t="str">
            <v>X</v>
          </cell>
          <cell r="AH108" t="str">
            <v>N</v>
          </cell>
          <cell r="AI108" t="str">
            <v>N</v>
          </cell>
          <cell r="AK108" t="str">
            <v>10 ANCIENNE MEDINA SECHAGE - KHGA</v>
          </cell>
          <cell r="AL108" t="str">
            <v>3AS</v>
          </cell>
          <cell r="AM108" t="str">
            <v>ILLETTRE</v>
          </cell>
          <cell r="AP108" t="str">
            <v>W 44209</v>
          </cell>
          <cell r="AQ108">
            <v>0</v>
          </cell>
          <cell r="AR108" t="str">
            <v>B</v>
          </cell>
          <cell r="AS108" t="str">
            <v>WAFABANK - KHGA</v>
          </cell>
          <cell r="AT108" t="str">
            <v>1220301117690</v>
          </cell>
          <cell r="AU108" t="str">
            <v>/  /</v>
          </cell>
          <cell r="AW108">
            <v>39630</v>
          </cell>
          <cell r="AY108" t="str">
            <v>XX</v>
          </cell>
          <cell r="BA108" t="str">
            <v>1</v>
          </cell>
          <cell r="BB108">
            <v>1</v>
          </cell>
          <cell r="BD108">
            <v>0</v>
          </cell>
          <cell r="BE108" t="str">
            <v>M</v>
          </cell>
          <cell r="BF108" t="str">
            <v>N</v>
          </cell>
          <cell r="BG108">
            <v>1</v>
          </cell>
          <cell r="BH108">
            <v>39630</v>
          </cell>
        </row>
        <row r="109">
          <cell r="A109">
            <v>73695</v>
          </cell>
          <cell r="B109">
            <v>428</v>
          </cell>
          <cell r="C109" t="str">
            <v>C3020</v>
          </cell>
          <cell r="D109" t="str">
            <v>EL BEZDAOUI</v>
          </cell>
          <cell r="E109" t="str">
            <v>ABDERRAHMANE</v>
          </cell>
          <cell r="F109">
            <v>22172</v>
          </cell>
          <cell r="G109" t="str">
            <v>1</v>
          </cell>
          <cell r="H109" t="str">
            <v>OULED BHAR KBAR KHOURIBGA</v>
          </cell>
          <cell r="I109" t="str">
            <v>D</v>
          </cell>
          <cell r="J109">
            <v>30239</v>
          </cell>
          <cell r="K109">
            <v>35370</v>
          </cell>
          <cell r="L109" t="str">
            <v>21</v>
          </cell>
          <cell r="M109" t="str">
            <v>A</v>
          </cell>
          <cell r="N109">
            <v>35370</v>
          </cell>
          <cell r="P109">
            <v>20</v>
          </cell>
          <cell r="Q109" t="str">
            <v>O</v>
          </cell>
          <cell r="R109" t="str">
            <v>N</v>
          </cell>
          <cell r="S109">
            <v>0</v>
          </cell>
          <cell r="T109" t="str">
            <v>M</v>
          </cell>
          <cell r="U109" t="str">
            <v>MJIDILA ATIKA</v>
          </cell>
          <cell r="X109">
            <v>2</v>
          </cell>
          <cell r="Y109">
            <v>2</v>
          </cell>
          <cell r="AB109" t="str">
            <v>X</v>
          </cell>
          <cell r="AC109" t="str">
            <v>X</v>
          </cell>
          <cell r="AD109" t="str">
            <v>X</v>
          </cell>
          <cell r="AH109" t="str">
            <v>N</v>
          </cell>
          <cell r="AI109" t="str">
            <v>N</v>
          </cell>
          <cell r="AK109" t="str">
            <v>N 530 VILLAGE O C P BOUJNIBA</v>
          </cell>
          <cell r="AL109" t="str">
            <v>CM2</v>
          </cell>
          <cell r="AP109" t="str">
            <v>Q 71731</v>
          </cell>
          <cell r="AQ109">
            <v>0</v>
          </cell>
          <cell r="AR109" t="str">
            <v>B</v>
          </cell>
          <cell r="AS109" t="str">
            <v>POPULAIRE.KHGA</v>
          </cell>
          <cell r="AT109" t="str">
            <v>2111112844390000</v>
          </cell>
          <cell r="AU109" t="str">
            <v>/  /</v>
          </cell>
          <cell r="AW109">
            <v>40544</v>
          </cell>
          <cell r="AY109" t="str">
            <v>XX</v>
          </cell>
          <cell r="BA109" t="str">
            <v>0</v>
          </cell>
          <cell r="BB109">
            <v>1</v>
          </cell>
          <cell r="BD109">
            <v>0</v>
          </cell>
          <cell r="BE109" t="str">
            <v>M</v>
          </cell>
          <cell r="BF109" t="str">
            <v>N</v>
          </cell>
          <cell r="BG109">
            <v>50</v>
          </cell>
          <cell r="BH109">
            <v>40544</v>
          </cell>
        </row>
        <row r="110">
          <cell r="A110">
            <v>73697</v>
          </cell>
          <cell r="B110">
            <v>411</v>
          </cell>
          <cell r="C110" t="str">
            <v>C2152</v>
          </cell>
          <cell r="D110" t="str">
            <v>LAARI NEZBAD</v>
          </cell>
          <cell r="E110" t="str">
            <v>MOHAMMED</v>
          </cell>
          <cell r="F110">
            <v>22827</v>
          </cell>
          <cell r="H110" t="str">
            <v>IMOUZER</v>
          </cell>
          <cell r="I110" t="str">
            <v>D</v>
          </cell>
          <cell r="J110">
            <v>30237</v>
          </cell>
          <cell r="K110">
            <v>31747</v>
          </cell>
          <cell r="L110" t="str">
            <v>12</v>
          </cell>
          <cell r="M110" t="str">
            <v>C</v>
          </cell>
          <cell r="N110">
            <v>306</v>
          </cell>
          <cell r="P110">
            <v>20</v>
          </cell>
          <cell r="Q110" t="str">
            <v>O</v>
          </cell>
          <cell r="R110" t="str">
            <v>N</v>
          </cell>
          <cell r="S110">
            <v>0</v>
          </cell>
          <cell r="T110" t="str">
            <v>M</v>
          </cell>
          <cell r="U110" t="str">
            <v>HAJJI HALIMA</v>
          </cell>
          <cell r="X110">
            <v>4</v>
          </cell>
          <cell r="Y110">
            <v>4</v>
          </cell>
          <cell r="AB110" t="str">
            <v>X</v>
          </cell>
          <cell r="AC110" t="str">
            <v>X</v>
          </cell>
          <cell r="AD110" t="str">
            <v>X</v>
          </cell>
          <cell r="AH110" t="str">
            <v>N</v>
          </cell>
          <cell r="AI110" t="str">
            <v>N</v>
          </cell>
          <cell r="AK110" t="str">
            <v>427,VILLAGE OCP BOULANOUAR</v>
          </cell>
          <cell r="AL110" t="str">
            <v>5AS</v>
          </cell>
          <cell r="AP110" t="str">
            <v>Q 76517</v>
          </cell>
          <cell r="AQ110">
            <v>0</v>
          </cell>
          <cell r="AR110" t="str">
            <v>B</v>
          </cell>
          <cell r="AS110" t="str">
            <v>B.M.C.E - KHGA</v>
          </cell>
          <cell r="AT110" t="str">
            <v>40001200000954343</v>
          </cell>
          <cell r="AU110" t="str">
            <v>/  /</v>
          </cell>
          <cell r="AW110">
            <v>41091</v>
          </cell>
          <cell r="AY110" t="str">
            <v>XX</v>
          </cell>
          <cell r="BA110" t="str">
            <v>1</v>
          </cell>
          <cell r="BB110">
            <v>1</v>
          </cell>
          <cell r="BD110">
            <v>0</v>
          </cell>
          <cell r="BE110" t="str">
            <v>M</v>
          </cell>
          <cell r="BF110" t="str">
            <v>N</v>
          </cell>
          <cell r="BG110">
            <v>40</v>
          </cell>
          <cell r="BH110">
            <v>41091</v>
          </cell>
        </row>
        <row r="111">
          <cell r="A111">
            <v>74205</v>
          </cell>
          <cell r="B111">
            <v>411</v>
          </cell>
          <cell r="C111" t="str">
            <v>C6017</v>
          </cell>
          <cell r="D111" t="str">
            <v>MKADMI</v>
          </cell>
          <cell r="E111" t="str">
            <v>JAMAL</v>
          </cell>
          <cell r="F111">
            <v>22673</v>
          </cell>
          <cell r="H111" t="str">
            <v>OUJDA</v>
          </cell>
          <cell r="I111" t="str">
            <v>F</v>
          </cell>
          <cell r="J111">
            <v>31246</v>
          </cell>
          <cell r="K111">
            <v>36526</v>
          </cell>
          <cell r="L111" t="str">
            <v>32</v>
          </cell>
          <cell r="M111" t="str">
            <v>A</v>
          </cell>
          <cell r="N111">
            <v>36526</v>
          </cell>
          <cell r="P111">
            <v>17</v>
          </cell>
          <cell r="Q111" t="str">
            <v>O</v>
          </cell>
          <cell r="R111" t="str">
            <v>N</v>
          </cell>
          <cell r="S111">
            <v>0</v>
          </cell>
          <cell r="T111" t="str">
            <v>M</v>
          </cell>
          <cell r="U111" t="str">
            <v>FATIMA BENT NACER</v>
          </cell>
          <cell r="X111">
            <v>3</v>
          </cell>
          <cell r="Y111">
            <v>3</v>
          </cell>
          <cell r="AB111" t="str">
            <v>X</v>
          </cell>
          <cell r="AC111" t="str">
            <v>X</v>
          </cell>
          <cell r="AD111" t="str">
            <v>X</v>
          </cell>
          <cell r="AH111" t="str">
            <v>N</v>
          </cell>
          <cell r="AI111" t="str">
            <v>N</v>
          </cell>
          <cell r="AK111" t="str">
            <v>338 NOUVEAUX LOGEMENTS SECHAGE KHGA</v>
          </cell>
          <cell r="AL111" t="str">
            <v>5ASC</v>
          </cell>
          <cell r="AM111" t="str">
            <v>C Q P</v>
          </cell>
          <cell r="AP111" t="str">
            <v>Q 75093</v>
          </cell>
          <cell r="AQ111">
            <v>0</v>
          </cell>
          <cell r="AR111" t="str">
            <v>B</v>
          </cell>
          <cell r="AS111" t="str">
            <v>POPULAIRE KHGA</v>
          </cell>
          <cell r="AT111" t="str">
            <v>2111112819110003</v>
          </cell>
          <cell r="AU111" t="str">
            <v>/  /</v>
          </cell>
          <cell r="AW111">
            <v>41091</v>
          </cell>
          <cell r="AY111" t="str">
            <v>XX</v>
          </cell>
          <cell r="BA111" t="str">
            <v>2</v>
          </cell>
          <cell r="BB111">
            <v>1</v>
          </cell>
          <cell r="BD111">
            <v>0</v>
          </cell>
          <cell r="BE111" t="str">
            <v>M</v>
          </cell>
          <cell r="BF111" t="str">
            <v>N</v>
          </cell>
          <cell r="BG111">
            <v>1</v>
          </cell>
          <cell r="BH111">
            <v>41091</v>
          </cell>
        </row>
        <row r="112">
          <cell r="A112">
            <v>74282</v>
          </cell>
          <cell r="B112">
            <v>476</v>
          </cell>
          <cell r="C112" t="str">
            <v>C2000</v>
          </cell>
          <cell r="D112" t="str">
            <v>EL GAROUAZ</v>
          </cell>
          <cell r="E112" t="str">
            <v>EL MATI</v>
          </cell>
          <cell r="F112">
            <v>21366</v>
          </cell>
          <cell r="G112" t="str">
            <v>1</v>
          </cell>
          <cell r="H112" t="str">
            <v>OULED BHAR KBAR KHOURIBGA</v>
          </cell>
          <cell r="I112" t="str">
            <v>D</v>
          </cell>
          <cell r="J112">
            <v>31290</v>
          </cell>
          <cell r="K112">
            <v>33482</v>
          </cell>
          <cell r="L112" t="str">
            <v>12</v>
          </cell>
          <cell r="M112" t="str">
            <v>B</v>
          </cell>
          <cell r="N112">
            <v>35674</v>
          </cell>
          <cell r="P112">
            <v>17</v>
          </cell>
          <cell r="Q112" t="str">
            <v>O</v>
          </cell>
          <cell r="R112" t="str">
            <v>N</v>
          </cell>
          <cell r="S112">
            <v>0</v>
          </cell>
          <cell r="T112" t="str">
            <v>M</v>
          </cell>
          <cell r="U112" t="str">
            <v>HABIBA BENT SAHRAOUI</v>
          </cell>
          <cell r="X112">
            <v>4</v>
          </cell>
          <cell r="Y112">
            <v>3</v>
          </cell>
          <cell r="AB112" t="str">
            <v>X</v>
          </cell>
          <cell r="AC112" t="str">
            <v>X</v>
          </cell>
          <cell r="AD112" t="str">
            <v>X</v>
          </cell>
          <cell r="AH112" t="str">
            <v>O</v>
          </cell>
          <cell r="AI112" t="str">
            <v>N</v>
          </cell>
          <cell r="AK112" t="str">
            <v>664,VILLAGE OCP BOUJNIBA</v>
          </cell>
          <cell r="AL112" t="str">
            <v>ILLETTRE</v>
          </cell>
          <cell r="AP112" t="str">
            <v>Q 24444</v>
          </cell>
          <cell r="AQ112">
            <v>0</v>
          </cell>
          <cell r="AR112" t="str">
            <v>B</v>
          </cell>
          <cell r="AS112" t="str">
            <v>BMCE - KHGA</v>
          </cell>
          <cell r="AT112" t="str">
            <v>4000001200001480083</v>
          </cell>
          <cell r="AU112" t="str">
            <v>/  /</v>
          </cell>
          <cell r="AW112">
            <v>40909</v>
          </cell>
          <cell r="AY112" t="str">
            <v>XX</v>
          </cell>
          <cell r="BA112" t="str">
            <v>1</v>
          </cell>
          <cell r="BB112">
            <v>1</v>
          </cell>
          <cell r="BD112">
            <v>0</v>
          </cell>
          <cell r="BE112" t="str">
            <v>M</v>
          </cell>
          <cell r="BF112" t="str">
            <v>N</v>
          </cell>
          <cell r="BG112">
            <v>50</v>
          </cell>
          <cell r="BH112">
            <v>41091</v>
          </cell>
        </row>
        <row r="113">
          <cell r="A113">
            <v>74284</v>
          </cell>
          <cell r="B113">
            <v>418</v>
          </cell>
          <cell r="C113" t="str">
            <v>C5152</v>
          </cell>
          <cell r="D113" t="str">
            <v>TABIT</v>
          </cell>
          <cell r="E113" t="str">
            <v>ECH CHERKI</v>
          </cell>
          <cell r="F113">
            <v>22047</v>
          </cell>
          <cell r="G113" t="str">
            <v>1</v>
          </cell>
          <cell r="H113" t="str">
            <v>KHOURIBGA</v>
          </cell>
          <cell r="I113" t="str">
            <v>D</v>
          </cell>
          <cell r="J113">
            <v>31292</v>
          </cell>
          <cell r="K113">
            <v>35431</v>
          </cell>
          <cell r="L113" t="str">
            <v>31</v>
          </cell>
          <cell r="M113" t="str">
            <v>A</v>
          </cell>
          <cell r="N113">
            <v>35431</v>
          </cell>
          <cell r="P113">
            <v>17</v>
          </cell>
          <cell r="Q113" t="str">
            <v>O</v>
          </cell>
          <cell r="R113" t="str">
            <v>N</v>
          </cell>
          <cell r="S113">
            <v>0</v>
          </cell>
          <cell r="T113" t="str">
            <v>M</v>
          </cell>
          <cell r="U113" t="str">
            <v>EL KBIRA BENT MHED</v>
          </cell>
          <cell r="X113">
            <v>5</v>
          </cell>
          <cell r="Y113">
            <v>4</v>
          </cell>
          <cell r="AB113" t="str">
            <v>X</v>
          </cell>
          <cell r="AC113" t="str">
            <v>X</v>
          </cell>
          <cell r="AD113" t="str">
            <v>X</v>
          </cell>
          <cell r="AH113" t="str">
            <v>N</v>
          </cell>
          <cell r="AI113" t="str">
            <v>N</v>
          </cell>
          <cell r="AK113" t="str">
            <v>LAMSAADA OULED BRAHIM</v>
          </cell>
          <cell r="AL113" t="str">
            <v>CM2</v>
          </cell>
          <cell r="AP113" t="str">
            <v>Q 59231</v>
          </cell>
          <cell r="AQ113">
            <v>0</v>
          </cell>
          <cell r="AR113" t="str">
            <v>B</v>
          </cell>
          <cell r="AS113" t="str">
            <v>C.N.C.A   KHGA</v>
          </cell>
          <cell r="AT113" t="str">
            <v>0806322H601</v>
          </cell>
          <cell r="AU113" t="str">
            <v>/  /</v>
          </cell>
          <cell r="AW113">
            <v>40909</v>
          </cell>
          <cell r="AY113" t="str">
            <v>XX</v>
          </cell>
          <cell r="AZ113" t="str">
            <v>M</v>
          </cell>
          <cell r="BA113" t="str">
            <v>1</v>
          </cell>
          <cell r="BB113">
            <v>1</v>
          </cell>
          <cell r="BD113">
            <v>0</v>
          </cell>
          <cell r="BE113" t="str">
            <v>M</v>
          </cell>
          <cell r="BF113" t="str">
            <v>N</v>
          </cell>
          <cell r="BG113">
            <v>11</v>
          </cell>
          <cell r="BH113">
            <v>41091</v>
          </cell>
          <cell r="BI113" t="str">
            <v>O</v>
          </cell>
        </row>
        <row r="114">
          <cell r="A114">
            <v>74432</v>
          </cell>
          <cell r="B114">
            <v>411</v>
          </cell>
          <cell r="C114" t="str">
            <v>C6002</v>
          </cell>
          <cell r="D114" t="str">
            <v>EL KARKOURI</v>
          </cell>
          <cell r="E114" t="str">
            <v>MOUSSA</v>
          </cell>
          <cell r="F114">
            <v>22931</v>
          </cell>
          <cell r="G114" t="str">
            <v>1</v>
          </cell>
          <cell r="H114" t="str">
            <v>OULED BHAR SGHAR KHOURIBGA</v>
          </cell>
          <cell r="I114" t="str">
            <v>F</v>
          </cell>
          <cell r="J114">
            <v>31623</v>
          </cell>
          <cell r="K114">
            <v>36526</v>
          </cell>
          <cell r="L114" t="str">
            <v>32</v>
          </cell>
          <cell r="M114" t="str">
            <v>A</v>
          </cell>
          <cell r="N114">
            <v>36526</v>
          </cell>
          <cell r="P114">
            <v>16</v>
          </cell>
          <cell r="Q114" t="str">
            <v>O</v>
          </cell>
          <cell r="R114" t="str">
            <v>N</v>
          </cell>
          <cell r="S114">
            <v>0</v>
          </cell>
          <cell r="T114" t="str">
            <v>M</v>
          </cell>
          <cell r="X114">
            <v>0</v>
          </cell>
          <cell r="Y114">
            <v>0</v>
          </cell>
          <cell r="Z114" t="str">
            <v>N</v>
          </cell>
          <cell r="AB114" t="str">
            <v>X</v>
          </cell>
          <cell r="AC114" t="str">
            <v>X</v>
          </cell>
          <cell r="AD114" t="str">
            <v>X</v>
          </cell>
          <cell r="AH114" t="str">
            <v>N</v>
          </cell>
          <cell r="AI114" t="str">
            <v>N</v>
          </cell>
          <cell r="AK114" t="str">
            <v>1238 VILLAGE OCP - HATTANE</v>
          </cell>
          <cell r="AL114" t="str">
            <v>4AS</v>
          </cell>
          <cell r="AM114" t="str">
            <v>CQP</v>
          </cell>
          <cell r="AP114" t="str">
            <v>Q 61034</v>
          </cell>
          <cell r="AQ114">
            <v>0</v>
          </cell>
          <cell r="AR114" t="str">
            <v>B</v>
          </cell>
          <cell r="AS114" t="str">
            <v>BMCE - KHGA</v>
          </cell>
          <cell r="AT114" t="str">
            <v>40001200000968505</v>
          </cell>
          <cell r="AU114" t="str">
            <v>/  /</v>
          </cell>
          <cell r="AW114">
            <v>41275</v>
          </cell>
          <cell r="AY114" t="str">
            <v>XX</v>
          </cell>
          <cell r="BA114" t="str">
            <v>2</v>
          </cell>
          <cell r="BB114">
            <v>0</v>
          </cell>
          <cell r="BD114">
            <v>0</v>
          </cell>
          <cell r="BE114" t="str">
            <v>M</v>
          </cell>
          <cell r="BF114" t="str">
            <v>N</v>
          </cell>
          <cell r="BG114">
            <v>10</v>
          </cell>
          <cell r="BH114">
            <v>41275</v>
          </cell>
        </row>
        <row r="115">
          <cell r="A115">
            <v>74435</v>
          </cell>
          <cell r="B115">
            <v>411</v>
          </cell>
          <cell r="C115" t="str">
            <v>C7002</v>
          </cell>
          <cell r="D115" t="str">
            <v>TAOS</v>
          </cell>
          <cell r="E115" t="str">
            <v>M HAMED</v>
          </cell>
          <cell r="F115">
            <v>22470</v>
          </cell>
          <cell r="G115" t="str">
            <v>6</v>
          </cell>
          <cell r="H115" t="str">
            <v>M'FASSIS</v>
          </cell>
          <cell r="I115" t="str">
            <v>F</v>
          </cell>
          <cell r="J115">
            <v>31623</v>
          </cell>
          <cell r="K115">
            <v>36526</v>
          </cell>
          <cell r="L115" t="str">
            <v>33</v>
          </cell>
          <cell r="M115" t="str">
            <v>A</v>
          </cell>
          <cell r="N115">
            <v>36526</v>
          </cell>
          <cell r="P115">
            <v>16</v>
          </cell>
          <cell r="Q115" t="str">
            <v>O</v>
          </cell>
          <cell r="R115" t="str">
            <v>N</v>
          </cell>
          <cell r="S115">
            <v>0</v>
          </cell>
          <cell r="T115" t="str">
            <v>M</v>
          </cell>
          <cell r="U115" t="str">
            <v>KHADDOUJ BENT CHAFI</v>
          </cell>
          <cell r="X115">
            <v>5</v>
          </cell>
          <cell r="Y115">
            <v>5</v>
          </cell>
          <cell r="AB115" t="str">
            <v>X</v>
          </cell>
          <cell r="AC115" t="str">
            <v>X</v>
          </cell>
          <cell r="AD115" t="str">
            <v>X</v>
          </cell>
          <cell r="AH115" t="str">
            <v>N</v>
          </cell>
          <cell r="AI115" t="str">
            <v>N</v>
          </cell>
          <cell r="AK115" t="str">
            <v>N° 11 RUE RACHIDIA HAY TAKADDOUM - KHGA</v>
          </cell>
          <cell r="AL115" t="str">
            <v>6AS</v>
          </cell>
          <cell r="AM115" t="str">
            <v>CQP</v>
          </cell>
          <cell r="AP115" t="str">
            <v>Q 111770</v>
          </cell>
          <cell r="AQ115">
            <v>0</v>
          </cell>
          <cell r="AR115" t="str">
            <v>B</v>
          </cell>
          <cell r="AS115" t="str">
            <v>POPULAIRE KHGA</v>
          </cell>
          <cell r="AT115" t="str">
            <v>2111112882920007</v>
          </cell>
          <cell r="AU115" t="str">
            <v>/  /</v>
          </cell>
          <cell r="AW115">
            <v>41275</v>
          </cell>
          <cell r="AY115" t="str">
            <v>XX</v>
          </cell>
          <cell r="BA115" t="str">
            <v>2</v>
          </cell>
          <cell r="BB115">
            <v>1</v>
          </cell>
          <cell r="BD115">
            <v>0</v>
          </cell>
          <cell r="BE115" t="str">
            <v>M</v>
          </cell>
          <cell r="BF115" t="str">
            <v>N</v>
          </cell>
          <cell r="BG115">
            <v>1</v>
          </cell>
          <cell r="BH115">
            <v>41275</v>
          </cell>
        </row>
        <row r="116">
          <cell r="A116">
            <v>89032</v>
          </cell>
          <cell r="B116">
            <v>476</v>
          </cell>
          <cell r="C116" t="str">
            <v>C3050</v>
          </cell>
          <cell r="D116" t="str">
            <v>EL FALAKI</v>
          </cell>
          <cell r="E116" t="str">
            <v>SALEH</v>
          </cell>
          <cell r="F116">
            <v>21731</v>
          </cell>
          <cell r="H116" t="str">
            <v>EL OULED - SETTAT</v>
          </cell>
          <cell r="I116" t="str">
            <v>D</v>
          </cell>
          <cell r="J116">
            <v>29879</v>
          </cell>
          <cell r="K116">
            <v>37012</v>
          </cell>
          <cell r="L116" t="str">
            <v>21</v>
          </cell>
          <cell r="M116" t="str">
            <v>A</v>
          </cell>
          <cell r="N116">
            <v>37012</v>
          </cell>
          <cell r="P116">
            <v>21</v>
          </cell>
          <cell r="Q116" t="str">
            <v>O</v>
          </cell>
          <cell r="R116" t="str">
            <v>N</v>
          </cell>
          <cell r="S116">
            <v>0</v>
          </cell>
          <cell r="T116" t="str">
            <v>M</v>
          </cell>
          <cell r="U116" t="str">
            <v>JAMILA BENT MED</v>
          </cell>
          <cell r="X116">
            <v>4</v>
          </cell>
          <cell r="Y116">
            <v>4</v>
          </cell>
          <cell r="AB116" t="str">
            <v>X</v>
          </cell>
          <cell r="AC116" t="str">
            <v>X</v>
          </cell>
          <cell r="AD116" t="str">
            <v>X</v>
          </cell>
          <cell r="AH116" t="str">
            <v>O</v>
          </cell>
          <cell r="AI116" t="str">
            <v>N</v>
          </cell>
          <cell r="AK116" t="str">
            <v>1201 VILLAGE OCP - HATTANE</v>
          </cell>
          <cell r="AL116" t="str">
            <v>CE2</v>
          </cell>
          <cell r="AP116" t="str">
            <v>BJ 22497</v>
          </cell>
          <cell r="AQ116">
            <v>0</v>
          </cell>
          <cell r="AR116" t="str">
            <v>B</v>
          </cell>
          <cell r="AS116" t="str">
            <v>POPULAIRE.KHGA</v>
          </cell>
          <cell r="AT116" t="str">
            <v>2111112818870003</v>
          </cell>
          <cell r="AU116" t="str">
            <v>/  /</v>
          </cell>
          <cell r="AW116">
            <v>39995</v>
          </cell>
          <cell r="AY116" t="str">
            <v>XX</v>
          </cell>
          <cell r="AZ116" t="str">
            <v>K</v>
          </cell>
          <cell r="BA116" t="str">
            <v>1</v>
          </cell>
          <cell r="BB116">
            <v>1</v>
          </cell>
          <cell r="BD116">
            <v>0</v>
          </cell>
          <cell r="BE116" t="str">
            <v>M</v>
          </cell>
          <cell r="BF116" t="str">
            <v>N</v>
          </cell>
          <cell r="BG116">
            <v>10</v>
          </cell>
          <cell r="BH116">
            <v>39995</v>
          </cell>
        </row>
        <row r="117">
          <cell r="A117">
            <v>89071</v>
          </cell>
          <cell r="B117">
            <v>446</v>
          </cell>
          <cell r="C117" t="str">
            <v>C7050</v>
          </cell>
          <cell r="D117" t="str">
            <v>NAJIDI</v>
          </cell>
          <cell r="E117" t="str">
            <v>JAMAL</v>
          </cell>
          <cell r="F117">
            <v>22053</v>
          </cell>
          <cell r="H117" t="str">
            <v>MARRAKECH</v>
          </cell>
          <cell r="I117" t="str">
            <v>F</v>
          </cell>
          <cell r="J117">
            <v>30517</v>
          </cell>
          <cell r="K117">
            <v>35065</v>
          </cell>
          <cell r="L117" t="str">
            <v>33</v>
          </cell>
          <cell r="M117" t="str">
            <v>A</v>
          </cell>
          <cell r="N117">
            <v>35065</v>
          </cell>
          <cell r="P117">
            <v>19</v>
          </cell>
          <cell r="Q117" t="str">
            <v>O</v>
          </cell>
          <cell r="R117" t="str">
            <v>N</v>
          </cell>
          <cell r="S117">
            <v>0</v>
          </cell>
          <cell r="T117" t="str">
            <v>M</v>
          </cell>
          <cell r="U117" t="str">
            <v>MINA BENT JILLALI</v>
          </cell>
          <cell r="X117">
            <v>2</v>
          </cell>
          <cell r="Y117">
            <v>2</v>
          </cell>
          <cell r="AB117" t="str">
            <v>X</v>
          </cell>
          <cell r="AC117" t="str">
            <v>X</v>
          </cell>
          <cell r="AD117" t="str">
            <v>X</v>
          </cell>
          <cell r="AE117" t="str">
            <v>O C P 91232-180</v>
          </cell>
          <cell r="AH117" t="str">
            <v>N</v>
          </cell>
          <cell r="AI117" t="str">
            <v>N</v>
          </cell>
          <cell r="AK117" t="str">
            <v>12 TAFILALTE VILLAGE OCP KHOURIBGA</v>
          </cell>
          <cell r="AL117" t="str">
            <v>7AS SC EX</v>
          </cell>
          <cell r="AP117" t="str">
            <v>Q 38979</v>
          </cell>
          <cell r="AQ117">
            <v>0</v>
          </cell>
          <cell r="AR117" t="str">
            <v>B</v>
          </cell>
          <cell r="AS117" t="str">
            <v>POPULAIRE.KHGA</v>
          </cell>
          <cell r="AT117" t="str">
            <v>2111112816850007</v>
          </cell>
          <cell r="AU117" t="str">
            <v>/  /</v>
          </cell>
          <cell r="AW117">
            <v>40360</v>
          </cell>
          <cell r="AY117" t="str">
            <v>XX</v>
          </cell>
          <cell r="BA117" t="str">
            <v>2</v>
          </cell>
          <cell r="BB117">
            <v>1</v>
          </cell>
          <cell r="BD117">
            <v>0</v>
          </cell>
          <cell r="BE117" t="str">
            <v>M</v>
          </cell>
          <cell r="BF117" t="str">
            <v>O</v>
          </cell>
          <cell r="BG117">
            <v>1</v>
          </cell>
          <cell r="BH117">
            <v>40360</v>
          </cell>
        </row>
        <row r="118">
          <cell r="A118">
            <v>90032</v>
          </cell>
          <cell r="B118">
            <v>409</v>
          </cell>
          <cell r="C118" t="str">
            <v>X4032</v>
          </cell>
          <cell r="D118" t="str">
            <v>BOURHIME</v>
          </cell>
          <cell r="E118" t="str">
            <v>BENNACEUR</v>
          </cell>
          <cell r="F118">
            <v>19540</v>
          </cell>
          <cell r="H118" t="str">
            <v>AIN ORMA - MEKNES</v>
          </cell>
          <cell r="I118" t="str">
            <v>F</v>
          </cell>
          <cell r="J118">
            <v>27886</v>
          </cell>
          <cell r="K118">
            <v>37043</v>
          </cell>
          <cell r="L118" t="str">
            <v>42</v>
          </cell>
          <cell r="M118" t="str">
            <v>A</v>
          </cell>
          <cell r="N118">
            <v>37043</v>
          </cell>
          <cell r="P118">
            <v>26</v>
          </cell>
          <cell r="Q118" t="str">
            <v>O</v>
          </cell>
          <cell r="R118" t="str">
            <v>N</v>
          </cell>
          <cell r="S118">
            <v>0</v>
          </cell>
          <cell r="T118" t="str">
            <v>M</v>
          </cell>
          <cell r="U118" t="str">
            <v>BOUGHABA FATIHA</v>
          </cell>
          <cell r="X118">
            <v>3</v>
          </cell>
          <cell r="Y118">
            <v>3</v>
          </cell>
          <cell r="AB118" t="str">
            <v>N</v>
          </cell>
          <cell r="AC118" t="str">
            <v>X</v>
          </cell>
          <cell r="AD118" t="str">
            <v>X</v>
          </cell>
          <cell r="AH118" t="str">
            <v>O</v>
          </cell>
          <cell r="AI118" t="str">
            <v>N</v>
          </cell>
          <cell r="AK118" t="str">
            <v>19 RUE BOUREGREG OCP - KHOURIBGA</v>
          </cell>
          <cell r="AL118" t="str">
            <v>4AS</v>
          </cell>
          <cell r="AM118" t="str">
            <v>CES CQP CFO EMM</v>
          </cell>
          <cell r="AN118" t="str">
            <v>49═29═24</v>
          </cell>
          <cell r="AP118" t="str">
            <v>Q 13452</v>
          </cell>
          <cell r="AQ118">
            <v>0</v>
          </cell>
          <cell r="AR118" t="str">
            <v>B</v>
          </cell>
          <cell r="AS118" t="str">
            <v>BMCE.KHGA</v>
          </cell>
          <cell r="AT118" t="str">
            <v>40001200000135178</v>
          </cell>
          <cell r="AU118" t="str">
            <v>/  /</v>
          </cell>
          <cell r="AW118">
            <v>38882</v>
          </cell>
          <cell r="AX118">
            <v>38882</v>
          </cell>
          <cell r="AY118" t="str">
            <v>XX</v>
          </cell>
          <cell r="BA118" t="str">
            <v>2</v>
          </cell>
          <cell r="BB118">
            <v>1</v>
          </cell>
          <cell r="BD118">
            <v>0</v>
          </cell>
          <cell r="BE118" t="str">
            <v>M</v>
          </cell>
          <cell r="BF118" t="str">
            <v>N</v>
          </cell>
          <cell r="BG118">
            <v>1</v>
          </cell>
          <cell r="BH118">
            <v>37987</v>
          </cell>
        </row>
        <row r="119">
          <cell r="A119">
            <v>90141</v>
          </cell>
          <cell r="B119">
            <v>476</v>
          </cell>
          <cell r="C119" t="str">
            <v>X3050</v>
          </cell>
          <cell r="D119" t="str">
            <v>KHARBOUCHE</v>
          </cell>
          <cell r="E119" t="str">
            <v>BOUAZZA</v>
          </cell>
          <cell r="F119">
            <v>19540</v>
          </cell>
          <cell r="G119" t="str">
            <v>5</v>
          </cell>
          <cell r="H119" t="str">
            <v>BOUJAAD</v>
          </cell>
          <cell r="I119" t="str">
            <v>F</v>
          </cell>
          <cell r="J119">
            <v>28296</v>
          </cell>
          <cell r="K119">
            <v>29738</v>
          </cell>
          <cell r="L119" t="str">
            <v>41</v>
          </cell>
          <cell r="M119" t="str">
            <v>B</v>
          </cell>
          <cell r="N119">
            <v>35612</v>
          </cell>
          <cell r="O119">
            <v>0</v>
          </cell>
          <cell r="P119">
            <v>25</v>
          </cell>
          <cell r="Q119" t="str">
            <v>O</v>
          </cell>
          <cell r="R119" t="str">
            <v>N</v>
          </cell>
          <cell r="S119">
            <v>0</v>
          </cell>
          <cell r="T119" t="str">
            <v>M</v>
          </cell>
          <cell r="U119" t="str">
            <v>ESSALHI OUMKALTOUM BENT HADJ</v>
          </cell>
          <cell r="X119">
            <v>5</v>
          </cell>
          <cell r="Y119">
            <v>3</v>
          </cell>
          <cell r="AB119" t="str">
            <v>X</v>
          </cell>
          <cell r="AC119" t="str">
            <v>X</v>
          </cell>
          <cell r="AD119" t="str">
            <v>X</v>
          </cell>
          <cell r="AH119" t="str">
            <v>N</v>
          </cell>
          <cell r="AI119" t="str">
            <v>N</v>
          </cell>
          <cell r="AK119" t="str">
            <v>97,RUE NOAMANE LOT.EL HANA KHOURIBGA</v>
          </cell>
          <cell r="AL119" t="str">
            <v>7AS SC EX</v>
          </cell>
          <cell r="AM119" t="str">
            <v>CEP CES CFO EMM</v>
          </cell>
          <cell r="AP119" t="str">
            <v>Q 40732</v>
          </cell>
          <cell r="AQ119">
            <v>0</v>
          </cell>
          <cell r="AR119" t="str">
            <v>B</v>
          </cell>
          <cell r="AS119" t="str">
            <v>SGMB-KHGA</v>
          </cell>
          <cell r="AT119" t="str">
            <v>670009014516</v>
          </cell>
          <cell r="AU119" t="str">
            <v>/  /</v>
          </cell>
          <cell r="AW119">
            <v>38353</v>
          </cell>
          <cell r="AY119" t="str">
            <v>XX</v>
          </cell>
          <cell r="BA119" t="str">
            <v>2</v>
          </cell>
          <cell r="BB119">
            <v>1</v>
          </cell>
          <cell r="BD119">
            <v>0</v>
          </cell>
          <cell r="BE119" t="str">
            <v>M</v>
          </cell>
          <cell r="BF119" t="str">
            <v>N</v>
          </cell>
          <cell r="BG119">
            <v>1</v>
          </cell>
          <cell r="BH119">
            <v>38353</v>
          </cell>
          <cell r="BI119" t="str">
            <v>O</v>
          </cell>
        </row>
        <row r="120">
          <cell r="A120">
            <v>90546</v>
          </cell>
          <cell r="B120">
            <v>409</v>
          </cell>
          <cell r="C120" t="str">
            <v>X3032</v>
          </cell>
          <cell r="D120" t="str">
            <v>AZIZ</v>
          </cell>
          <cell r="E120" t="str">
            <v>NAJIB</v>
          </cell>
          <cell r="F120">
            <v>19540</v>
          </cell>
          <cell r="H120" t="str">
            <v>SIDI KACEM</v>
          </cell>
          <cell r="I120" t="str">
            <v>F</v>
          </cell>
          <cell r="J120">
            <v>28688</v>
          </cell>
          <cell r="K120">
            <v>31625</v>
          </cell>
          <cell r="L120" t="str">
            <v>41</v>
          </cell>
          <cell r="M120" t="str">
            <v>A</v>
          </cell>
          <cell r="N120">
            <v>31625</v>
          </cell>
          <cell r="O120">
            <v>0</v>
          </cell>
          <cell r="P120">
            <v>24</v>
          </cell>
          <cell r="Q120" t="str">
            <v>O</v>
          </cell>
          <cell r="R120" t="str">
            <v>N</v>
          </cell>
          <cell r="S120">
            <v>0</v>
          </cell>
          <cell r="T120" t="str">
            <v>M</v>
          </cell>
          <cell r="U120" t="str">
            <v>YASSINE HNIA</v>
          </cell>
          <cell r="X120">
            <v>0</v>
          </cell>
          <cell r="Y120">
            <v>0</v>
          </cell>
          <cell r="AB120" t="str">
            <v>N</v>
          </cell>
          <cell r="AC120" t="str">
            <v>X</v>
          </cell>
          <cell r="AD120" t="str">
            <v>X</v>
          </cell>
          <cell r="AH120" t="str">
            <v>O</v>
          </cell>
          <cell r="AI120" t="str">
            <v>N</v>
          </cell>
          <cell r="AK120" t="str">
            <v>10 RUE BOUREGREG OCP - KHGA</v>
          </cell>
          <cell r="AL120" t="str">
            <v>CES</v>
          </cell>
          <cell r="AM120" t="str">
            <v>CEP CES CQP CFO EMM</v>
          </cell>
          <cell r="AP120" t="str">
            <v>Q 48084</v>
          </cell>
          <cell r="AQ120">
            <v>0</v>
          </cell>
          <cell r="AR120" t="str">
            <v>B</v>
          </cell>
          <cell r="AS120" t="str">
            <v>BCM KHGA</v>
          </cell>
          <cell r="AT120" t="str">
            <v>975302679</v>
          </cell>
          <cell r="AU120" t="str">
            <v>/  /</v>
          </cell>
          <cell r="AW120">
            <v>38718</v>
          </cell>
          <cell r="AY120" t="str">
            <v>XX</v>
          </cell>
          <cell r="BA120" t="str">
            <v>2</v>
          </cell>
          <cell r="BB120">
            <v>1</v>
          </cell>
          <cell r="BD120">
            <v>0</v>
          </cell>
          <cell r="BE120" t="str">
            <v>M</v>
          </cell>
          <cell r="BF120" t="str">
            <v>N</v>
          </cell>
          <cell r="BG120">
            <v>1</v>
          </cell>
          <cell r="BH120">
            <v>38718</v>
          </cell>
        </row>
        <row r="121">
          <cell r="A121">
            <v>90548</v>
          </cell>
          <cell r="B121">
            <v>418</v>
          </cell>
          <cell r="C121" t="str">
            <v>X3050</v>
          </cell>
          <cell r="D121" t="str">
            <v>ZKIM</v>
          </cell>
          <cell r="E121" t="str">
            <v>EL MATI</v>
          </cell>
          <cell r="F121">
            <v>20247</v>
          </cell>
          <cell r="G121" t="str">
            <v>2</v>
          </cell>
          <cell r="H121" t="str">
            <v>OULED BOUGHADI BENI KHIRANE</v>
          </cell>
          <cell r="I121" t="str">
            <v>F</v>
          </cell>
          <cell r="J121">
            <v>29425</v>
          </cell>
          <cell r="K121">
            <v>31625</v>
          </cell>
          <cell r="L121" t="str">
            <v>41</v>
          </cell>
          <cell r="M121" t="str">
            <v>A</v>
          </cell>
          <cell r="N121">
            <v>31625</v>
          </cell>
          <cell r="P121">
            <v>22</v>
          </cell>
          <cell r="Q121" t="str">
            <v>O</v>
          </cell>
          <cell r="R121" t="str">
            <v>N</v>
          </cell>
          <cell r="S121">
            <v>0</v>
          </cell>
          <cell r="T121" t="str">
            <v>M</v>
          </cell>
          <cell r="U121" t="str">
            <v>EL BAZ AICHA</v>
          </cell>
          <cell r="X121">
            <v>4</v>
          </cell>
          <cell r="Y121">
            <v>4</v>
          </cell>
          <cell r="AB121" t="str">
            <v>X</v>
          </cell>
          <cell r="AC121" t="str">
            <v>X</v>
          </cell>
          <cell r="AD121" t="str">
            <v>X</v>
          </cell>
          <cell r="AH121" t="str">
            <v>N</v>
          </cell>
          <cell r="AI121" t="str">
            <v>N</v>
          </cell>
          <cell r="AK121" t="str">
            <v>140 BLOC JAMILA - KHGA</v>
          </cell>
          <cell r="AL121" t="str">
            <v>7AS SC EX</v>
          </cell>
          <cell r="AM121" t="str">
            <v>CEP CES</v>
          </cell>
          <cell r="AP121" t="str">
            <v>Q 41990</v>
          </cell>
          <cell r="AQ121">
            <v>0</v>
          </cell>
          <cell r="AR121" t="str">
            <v>B</v>
          </cell>
          <cell r="AS121" t="str">
            <v>BMCE - KHGA</v>
          </cell>
          <cell r="AT121" t="str">
            <v>4000001200001477755</v>
          </cell>
          <cell r="AU121" t="str">
            <v>/  /</v>
          </cell>
          <cell r="AW121">
            <v>39448</v>
          </cell>
          <cell r="AY121" t="str">
            <v>XX</v>
          </cell>
          <cell r="BA121" t="str">
            <v>2</v>
          </cell>
          <cell r="BB121">
            <v>1</v>
          </cell>
          <cell r="BC121" t="str">
            <v>O</v>
          </cell>
          <cell r="BD121">
            <v>0</v>
          </cell>
          <cell r="BE121" t="str">
            <v>M</v>
          </cell>
          <cell r="BF121" t="str">
            <v>N</v>
          </cell>
          <cell r="BG121">
            <v>3</v>
          </cell>
          <cell r="BH121">
            <v>39448</v>
          </cell>
          <cell r="BI121" t="str">
            <v>O</v>
          </cell>
        </row>
        <row r="122">
          <cell r="A122">
            <v>90609</v>
          </cell>
          <cell r="B122">
            <v>438</v>
          </cell>
          <cell r="C122" t="str">
            <v>X3150</v>
          </cell>
          <cell r="D122" t="str">
            <v>EL BACHIRI</v>
          </cell>
          <cell r="E122" t="str">
            <v>EL HOUSSINE</v>
          </cell>
          <cell r="F122">
            <v>21731</v>
          </cell>
          <cell r="H122" t="str">
            <v>EL AYOUNE - OUJDA</v>
          </cell>
          <cell r="I122" t="str">
            <v>D</v>
          </cell>
          <cell r="J122">
            <v>29290</v>
          </cell>
          <cell r="K122">
            <v>31959</v>
          </cell>
          <cell r="L122" t="str">
            <v>41</v>
          </cell>
          <cell r="M122" t="str">
            <v>A</v>
          </cell>
          <cell r="N122">
            <v>31959</v>
          </cell>
          <cell r="P122">
            <v>23</v>
          </cell>
          <cell r="Q122" t="str">
            <v>O</v>
          </cell>
          <cell r="R122" t="str">
            <v>N</v>
          </cell>
          <cell r="S122">
            <v>0</v>
          </cell>
          <cell r="T122" t="str">
            <v>M</v>
          </cell>
          <cell r="U122" t="str">
            <v>EL AOUNI FATNA</v>
          </cell>
          <cell r="X122">
            <v>4</v>
          </cell>
          <cell r="Y122">
            <v>4</v>
          </cell>
          <cell r="AB122" t="str">
            <v>X</v>
          </cell>
          <cell r="AC122" t="str">
            <v>X</v>
          </cell>
          <cell r="AD122" t="str">
            <v>X</v>
          </cell>
          <cell r="AH122" t="str">
            <v>O</v>
          </cell>
          <cell r="AI122" t="str">
            <v>N</v>
          </cell>
          <cell r="AK122" t="str">
            <v>16, RUE BOUREGREG VILLE O.C.P - KHGA</v>
          </cell>
          <cell r="AL122" t="str">
            <v>5AS</v>
          </cell>
          <cell r="AM122" t="str">
            <v>EPM TOUISSIT.EMM</v>
          </cell>
          <cell r="AP122" t="str">
            <v>F 99154</v>
          </cell>
          <cell r="AQ122">
            <v>0</v>
          </cell>
          <cell r="AR122" t="str">
            <v>B</v>
          </cell>
          <cell r="AS122" t="str">
            <v>B.M.C.I  KHGA</v>
          </cell>
          <cell r="AT122" t="str">
            <v>02820658247301</v>
          </cell>
          <cell r="AU122" t="str">
            <v>/  /</v>
          </cell>
          <cell r="AW122">
            <v>39995</v>
          </cell>
          <cell r="AY122" t="str">
            <v>XX</v>
          </cell>
          <cell r="AZ122" t="str">
            <v>R</v>
          </cell>
          <cell r="BA122" t="str">
            <v>1</v>
          </cell>
          <cell r="BB122">
            <v>1</v>
          </cell>
          <cell r="BD122">
            <v>0</v>
          </cell>
          <cell r="BE122" t="str">
            <v>M</v>
          </cell>
          <cell r="BF122" t="str">
            <v>N</v>
          </cell>
          <cell r="BG122">
            <v>1</v>
          </cell>
          <cell r="BH122">
            <v>39995</v>
          </cell>
        </row>
        <row r="123">
          <cell r="A123">
            <v>90610</v>
          </cell>
          <cell r="B123">
            <v>446</v>
          </cell>
          <cell r="C123" t="str">
            <v>X4050</v>
          </cell>
          <cell r="D123" t="str">
            <v>GHOUATI</v>
          </cell>
          <cell r="E123" t="str">
            <v>ABDELMAJID</v>
          </cell>
          <cell r="F123">
            <v>20579</v>
          </cell>
          <cell r="H123" t="str">
            <v>LOULAD - SETTAT</v>
          </cell>
          <cell r="I123" t="str">
            <v>F</v>
          </cell>
          <cell r="J123">
            <v>29425</v>
          </cell>
          <cell r="K123">
            <v>37043</v>
          </cell>
          <cell r="L123" t="str">
            <v>42</v>
          </cell>
          <cell r="M123" t="str">
            <v>A</v>
          </cell>
          <cell r="N123">
            <v>37043</v>
          </cell>
          <cell r="P123">
            <v>22</v>
          </cell>
          <cell r="Q123" t="str">
            <v>O</v>
          </cell>
          <cell r="R123" t="str">
            <v>N</v>
          </cell>
          <cell r="S123">
            <v>0</v>
          </cell>
          <cell r="T123" t="str">
            <v>M</v>
          </cell>
          <cell r="U123" t="str">
            <v>BAHATI FATIMA</v>
          </cell>
          <cell r="X123">
            <v>5</v>
          </cell>
          <cell r="Y123">
            <v>5</v>
          </cell>
          <cell r="AB123" t="str">
            <v>X</v>
          </cell>
          <cell r="AC123" t="str">
            <v>X</v>
          </cell>
          <cell r="AD123" t="str">
            <v>X</v>
          </cell>
          <cell r="AH123" t="str">
            <v>O</v>
          </cell>
          <cell r="AI123" t="str">
            <v>N</v>
          </cell>
          <cell r="AK123" t="str">
            <v>21 BLOC 4 NX LOGEMENT OCP - KHGA</v>
          </cell>
          <cell r="AL123" t="str">
            <v>7AS SC EX</v>
          </cell>
          <cell r="AM123" t="str">
            <v>CEP CES</v>
          </cell>
          <cell r="AP123" t="str">
            <v>Q 71367</v>
          </cell>
          <cell r="AQ123">
            <v>0</v>
          </cell>
          <cell r="AR123" t="str">
            <v>B</v>
          </cell>
          <cell r="AS123" t="str">
            <v>SGMB KHGA</v>
          </cell>
          <cell r="AT123" t="str">
            <v>670009064471</v>
          </cell>
          <cell r="AU123" t="str">
            <v>/  /</v>
          </cell>
          <cell r="AW123">
            <v>39264</v>
          </cell>
          <cell r="AY123" t="str">
            <v>XX</v>
          </cell>
          <cell r="BA123" t="str">
            <v>2</v>
          </cell>
          <cell r="BB123">
            <v>1</v>
          </cell>
          <cell r="BD123">
            <v>0</v>
          </cell>
          <cell r="BE123" t="str">
            <v>M</v>
          </cell>
          <cell r="BF123" t="str">
            <v>N</v>
          </cell>
          <cell r="BG123">
            <v>1</v>
          </cell>
          <cell r="BH123">
            <v>39448</v>
          </cell>
          <cell r="BI123" t="str">
            <v>N</v>
          </cell>
        </row>
        <row r="124">
          <cell r="A124">
            <v>90613</v>
          </cell>
          <cell r="B124">
            <v>476</v>
          </cell>
          <cell r="C124" t="str">
            <v>X3050</v>
          </cell>
          <cell r="D124" t="str">
            <v>EL FEIDAH</v>
          </cell>
          <cell r="E124" t="str">
            <v>SALAH</v>
          </cell>
          <cell r="F124">
            <v>21016</v>
          </cell>
          <cell r="G124" t="str">
            <v>3</v>
          </cell>
          <cell r="H124" t="str">
            <v>EL GUEFFAF - KHOURIBGA</v>
          </cell>
          <cell r="I124" t="str">
            <v>F</v>
          </cell>
          <cell r="J124">
            <v>29794</v>
          </cell>
          <cell r="K124">
            <v>31959</v>
          </cell>
          <cell r="L124" t="str">
            <v>41</v>
          </cell>
          <cell r="M124" t="str">
            <v>A</v>
          </cell>
          <cell r="N124">
            <v>31959</v>
          </cell>
          <cell r="P124">
            <v>21</v>
          </cell>
          <cell r="Q124" t="str">
            <v>O</v>
          </cell>
          <cell r="R124" t="str">
            <v>N</v>
          </cell>
          <cell r="S124">
            <v>0</v>
          </cell>
          <cell r="T124" t="str">
            <v>M</v>
          </cell>
          <cell r="U124" t="str">
            <v>SIBAA NAIMA</v>
          </cell>
          <cell r="X124">
            <v>5</v>
          </cell>
          <cell r="Y124">
            <v>5</v>
          </cell>
          <cell r="AB124" t="str">
            <v>X</v>
          </cell>
          <cell r="AC124" t="str">
            <v>X</v>
          </cell>
          <cell r="AD124" t="str">
            <v>X</v>
          </cell>
          <cell r="AH124" t="str">
            <v>N</v>
          </cell>
          <cell r="AI124" t="str">
            <v>N</v>
          </cell>
          <cell r="AK124" t="str">
            <v>97 BLOC B HAY EDDAKHLA - BOUJNIBA</v>
          </cell>
          <cell r="AL124" t="str">
            <v>7AS SC EX</v>
          </cell>
          <cell r="AM124" t="str">
            <v>CEP CES CFO EMM</v>
          </cell>
          <cell r="AP124" t="str">
            <v>Q 20373</v>
          </cell>
          <cell r="AQ124">
            <v>0</v>
          </cell>
          <cell r="AR124" t="str">
            <v>B</v>
          </cell>
          <cell r="AS124" t="str">
            <v>SGMB KHGA</v>
          </cell>
          <cell r="AT124" t="str">
            <v>6709064374</v>
          </cell>
          <cell r="AU124" t="str">
            <v>/  /</v>
          </cell>
          <cell r="AW124">
            <v>39814</v>
          </cell>
          <cell r="AY124" t="str">
            <v>XX</v>
          </cell>
          <cell r="BA124" t="str">
            <v>2</v>
          </cell>
          <cell r="BB124">
            <v>1</v>
          </cell>
          <cell r="BD124">
            <v>0</v>
          </cell>
          <cell r="BE124" t="str">
            <v>M</v>
          </cell>
          <cell r="BF124" t="str">
            <v>N</v>
          </cell>
          <cell r="BG124">
            <v>50</v>
          </cell>
          <cell r="BH124">
            <v>39814</v>
          </cell>
        </row>
        <row r="125">
          <cell r="A125">
            <v>90616</v>
          </cell>
          <cell r="B125">
            <v>416</v>
          </cell>
          <cell r="C125" t="str">
            <v>X3050</v>
          </cell>
          <cell r="D125" t="str">
            <v>EL FADI</v>
          </cell>
          <cell r="E125" t="str">
            <v>SALAH</v>
          </cell>
          <cell r="F125">
            <v>20636</v>
          </cell>
          <cell r="G125" t="str">
            <v>1</v>
          </cell>
          <cell r="H125" t="str">
            <v>KHOURIBGA</v>
          </cell>
          <cell r="I125" t="str">
            <v>F</v>
          </cell>
          <cell r="J125">
            <v>29790</v>
          </cell>
          <cell r="K125">
            <v>31959</v>
          </cell>
          <cell r="L125" t="str">
            <v>41</v>
          </cell>
          <cell r="M125" t="str">
            <v>A</v>
          </cell>
          <cell r="N125">
            <v>31959</v>
          </cell>
          <cell r="P125">
            <v>21</v>
          </cell>
          <cell r="Q125" t="str">
            <v>O</v>
          </cell>
          <cell r="R125" t="str">
            <v>N</v>
          </cell>
          <cell r="S125">
            <v>0</v>
          </cell>
          <cell r="T125" t="str">
            <v>M</v>
          </cell>
          <cell r="U125" t="str">
            <v>BEZZARI ESSAADIA BT ALLAL</v>
          </cell>
          <cell r="X125">
            <v>1</v>
          </cell>
          <cell r="Y125">
            <v>1</v>
          </cell>
          <cell r="AA125" t="str">
            <v>27/07/85</v>
          </cell>
          <cell r="AB125" t="str">
            <v>X</v>
          </cell>
          <cell r="AC125" t="str">
            <v>X</v>
          </cell>
          <cell r="AD125" t="str">
            <v>X</v>
          </cell>
          <cell r="AH125" t="str">
            <v>O</v>
          </cell>
          <cell r="AI125" t="str">
            <v>N</v>
          </cell>
          <cell r="AK125" t="str">
            <v>11,RUE DOUKKALA O.C.P - KHGA</v>
          </cell>
          <cell r="AL125" t="str">
            <v>7AS SC EX</v>
          </cell>
          <cell r="AM125" t="str">
            <v>CEP CES CFO EMM</v>
          </cell>
          <cell r="AP125" t="str">
            <v>Q 56096</v>
          </cell>
          <cell r="AQ125">
            <v>0</v>
          </cell>
          <cell r="AR125" t="str">
            <v>B</v>
          </cell>
          <cell r="AS125" t="str">
            <v>BMCE KHGA</v>
          </cell>
          <cell r="AT125" t="str">
            <v>400012000629102</v>
          </cell>
          <cell r="AU125" t="str">
            <v>/  /</v>
          </cell>
          <cell r="AW125">
            <v>39814</v>
          </cell>
          <cell r="AY125" t="str">
            <v>XX</v>
          </cell>
          <cell r="BA125" t="str">
            <v>2</v>
          </cell>
          <cell r="BB125">
            <v>0</v>
          </cell>
          <cell r="BD125">
            <v>0</v>
          </cell>
          <cell r="BE125" t="str">
            <v>M</v>
          </cell>
          <cell r="BF125" t="str">
            <v>N</v>
          </cell>
          <cell r="BG125">
            <v>1</v>
          </cell>
          <cell r="BH125">
            <v>39814</v>
          </cell>
        </row>
        <row r="126">
          <cell r="A126">
            <v>90650</v>
          </cell>
          <cell r="B126">
            <v>418</v>
          </cell>
          <cell r="C126" t="str">
            <v>X3050</v>
          </cell>
          <cell r="D126" t="str">
            <v>SRIJI</v>
          </cell>
          <cell r="E126" t="str">
            <v>MOSTAFA</v>
          </cell>
          <cell r="F126">
            <v>20866</v>
          </cell>
          <cell r="H126" t="str">
            <v>CASABLANCA</v>
          </cell>
          <cell r="I126" t="str">
            <v>F</v>
          </cell>
          <cell r="J126">
            <v>29230</v>
          </cell>
          <cell r="K126">
            <v>32325</v>
          </cell>
          <cell r="L126" t="str">
            <v>41</v>
          </cell>
          <cell r="M126" t="str">
            <v>A</v>
          </cell>
          <cell r="N126">
            <v>32325</v>
          </cell>
          <cell r="P126">
            <v>23</v>
          </cell>
          <cell r="Q126" t="str">
            <v>O</v>
          </cell>
          <cell r="R126" t="str">
            <v>N</v>
          </cell>
          <cell r="S126">
            <v>0</v>
          </cell>
          <cell r="T126" t="str">
            <v>M</v>
          </cell>
          <cell r="U126" t="str">
            <v>MALIKA BENT HASSAN SAIBOUB</v>
          </cell>
          <cell r="X126">
            <v>4</v>
          </cell>
          <cell r="Y126">
            <v>4</v>
          </cell>
          <cell r="AB126" t="str">
            <v>X</v>
          </cell>
          <cell r="AC126" t="str">
            <v>X</v>
          </cell>
          <cell r="AD126" t="str">
            <v>X</v>
          </cell>
          <cell r="AH126" t="str">
            <v>N</v>
          </cell>
          <cell r="AI126" t="str">
            <v>N</v>
          </cell>
          <cell r="AK126" t="str">
            <v>92 LOTISSEMENT AMAL - KHGA</v>
          </cell>
          <cell r="AL126" t="str">
            <v>7AS SC EX</v>
          </cell>
          <cell r="AM126" t="str">
            <v>CES CFO EMM</v>
          </cell>
          <cell r="AP126" t="str">
            <v>B 100921</v>
          </cell>
          <cell r="AQ126">
            <v>0</v>
          </cell>
          <cell r="AR126" t="str">
            <v>B</v>
          </cell>
          <cell r="AS126" t="str">
            <v>CREDIT DU MAROC</v>
          </cell>
          <cell r="AT126" t="str">
            <v>820010009759</v>
          </cell>
          <cell r="AU126" t="str">
            <v>/  /</v>
          </cell>
          <cell r="AW126">
            <v>39264</v>
          </cell>
          <cell r="AY126" t="str">
            <v>XX</v>
          </cell>
          <cell r="BA126" t="str">
            <v>2</v>
          </cell>
          <cell r="BB126">
            <v>1</v>
          </cell>
          <cell r="BD126">
            <v>0</v>
          </cell>
          <cell r="BE126" t="str">
            <v>M</v>
          </cell>
          <cell r="BF126" t="str">
            <v>N</v>
          </cell>
          <cell r="BG126">
            <v>1</v>
          </cell>
          <cell r="BH126">
            <v>39264</v>
          </cell>
          <cell r="BI126" t="str">
            <v>O</v>
          </cell>
        </row>
        <row r="127">
          <cell r="A127">
            <v>91684</v>
          </cell>
          <cell r="B127">
            <v>411</v>
          </cell>
          <cell r="C127" t="str">
            <v>X3032</v>
          </cell>
          <cell r="D127" t="str">
            <v>KAFOUNI</v>
          </cell>
          <cell r="E127" t="str">
            <v>MHAMMED</v>
          </cell>
          <cell r="F127">
            <v>21731</v>
          </cell>
          <cell r="H127" t="str">
            <v>FES</v>
          </cell>
          <cell r="I127" t="str">
            <v>F</v>
          </cell>
          <cell r="J127">
            <v>31621</v>
          </cell>
          <cell r="K127">
            <v>31625</v>
          </cell>
          <cell r="L127" t="str">
            <v>41</v>
          </cell>
          <cell r="M127" t="str">
            <v>A</v>
          </cell>
          <cell r="N127">
            <v>31625</v>
          </cell>
          <cell r="O127">
            <v>0</v>
          </cell>
          <cell r="P127">
            <v>16</v>
          </cell>
          <cell r="Q127" t="str">
            <v>O</v>
          </cell>
          <cell r="R127" t="str">
            <v>N</v>
          </cell>
          <cell r="S127">
            <v>0</v>
          </cell>
          <cell r="T127" t="str">
            <v>M</v>
          </cell>
          <cell r="U127" t="str">
            <v>EL KENDOUSSI NAJIA</v>
          </cell>
          <cell r="X127">
            <v>4</v>
          </cell>
          <cell r="Y127">
            <v>4</v>
          </cell>
          <cell r="AB127" t="str">
            <v>X</v>
          </cell>
          <cell r="AC127" t="str">
            <v>X</v>
          </cell>
          <cell r="AD127" t="str">
            <v>X</v>
          </cell>
          <cell r="AH127" t="str">
            <v>O</v>
          </cell>
          <cell r="AI127" t="str">
            <v>N</v>
          </cell>
          <cell r="AK127" t="str">
            <v>22 IMMEUBLE ADOUR - OCP KHGA</v>
          </cell>
          <cell r="AL127" t="str">
            <v>7AS SC EX</v>
          </cell>
          <cell r="AM127" t="str">
            <v>ITA EMM</v>
          </cell>
          <cell r="AP127" t="str">
            <v>Q 53841</v>
          </cell>
          <cell r="AQ127">
            <v>0</v>
          </cell>
          <cell r="AR127" t="str">
            <v>B</v>
          </cell>
          <cell r="AS127" t="str">
            <v>CREDIT DU MAROC</v>
          </cell>
          <cell r="AT127" t="str">
            <v>820010008737</v>
          </cell>
          <cell r="AU127" t="str">
            <v>/  /</v>
          </cell>
          <cell r="AW127">
            <v>41640</v>
          </cell>
          <cell r="AY127" t="str">
            <v>XX</v>
          </cell>
          <cell r="BA127" t="str">
            <v>2</v>
          </cell>
          <cell r="BB127">
            <v>1</v>
          </cell>
          <cell r="BD127">
            <v>0</v>
          </cell>
          <cell r="BE127" t="str">
            <v>M</v>
          </cell>
          <cell r="BF127" t="str">
            <v>N</v>
          </cell>
          <cell r="BG127">
            <v>1</v>
          </cell>
          <cell r="BH127">
            <v>41640</v>
          </cell>
        </row>
        <row r="128">
          <cell r="A128">
            <v>91685</v>
          </cell>
          <cell r="B128">
            <v>411</v>
          </cell>
          <cell r="C128" t="str">
            <v>X4150</v>
          </cell>
          <cell r="D128" t="str">
            <v>MOUMEN</v>
          </cell>
          <cell r="E128" t="str">
            <v>ABDELRHANI</v>
          </cell>
          <cell r="F128">
            <v>21109</v>
          </cell>
          <cell r="G128" t="str">
            <v>1</v>
          </cell>
          <cell r="H128" t="str">
            <v>KHOURIBGA</v>
          </cell>
          <cell r="I128" t="str">
            <v>F</v>
          </cell>
          <cell r="J128">
            <v>31621</v>
          </cell>
          <cell r="K128">
            <v>35065</v>
          </cell>
          <cell r="L128" t="str">
            <v>42</v>
          </cell>
          <cell r="M128" t="str">
            <v>A</v>
          </cell>
          <cell r="N128">
            <v>35065</v>
          </cell>
          <cell r="P128">
            <v>16</v>
          </cell>
          <cell r="Q128" t="str">
            <v>O</v>
          </cell>
          <cell r="R128" t="str">
            <v>N</v>
          </cell>
          <cell r="S128">
            <v>0</v>
          </cell>
          <cell r="T128" t="str">
            <v>M</v>
          </cell>
          <cell r="U128" t="str">
            <v>EL MIR KARIMA BENT MOHAMED</v>
          </cell>
          <cell r="X128">
            <v>2</v>
          </cell>
          <cell r="Y128">
            <v>2</v>
          </cell>
          <cell r="Z128" t="str">
            <v>N</v>
          </cell>
          <cell r="AB128" t="str">
            <v>X</v>
          </cell>
          <cell r="AC128" t="str">
            <v>X</v>
          </cell>
          <cell r="AD128" t="str">
            <v>X</v>
          </cell>
          <cell r="AH128" t="str">
            <v>O</v>
          </cell>
          <cell r="AI128" t="str">
            <v>N</v>
          </cell>
          <cell r="AK128" t="str">
            <v>4 BLOC BAENA VILLE OCP - KHGA</v>
          </cell>
          <cell r="AL128" t="str">
            <v>7AS SC EX</v>
          </cell>
          <cell r="AM128" t="str">
            <v>CEP CES DTM EMM</v>
          </cell>
          <cell r="AP128" t="str">
            <v>Q 56472</v>
          </cell>
          <cell r="AQ128">
            <v>0</v>
          </cell>
          <cell r="AR128" t="str">
            <v>B</v>
          </cell>
          <cell r="AS128" t="str">
            <v>POPULAIRE KHGA</v>
          </cell>
          <cell r="AT128" t="str">
            <v>211111281817008</v>
          </cell>
          <cell r="AU128" t="str">
            <v>/  /</v>
          </cell>
          <cell r="AW128">
            <v>41275</v>
          </cell>
          <cell r="AY128" t="str">
            <v>XX</v>
          </cell>
          <cell r="BA128" t="str">
            <v>2</v>
          </cell>
          <cell r="BB128">
            <v>1</v>
          </cell>
          <cell r="BD128">
            <v>0</v>
          </cell>
          <cell r="BE128" t="str">
            <v>M</v>
          </cell>
          <cell r="BF128" t="str">
            <v>N</v>
          </cell>
          <cell r="BG128">
            <v>1</v>
          </cell>
          <cell r="BH128">
            <v>41275</v>
          </cell>
        </row>
        <row r="129">
          <cell r="A129">
            <v>91686</v>
          </cell>
          <cell r="B129">
            <v>411</v>
          </cell>
          <cell r="C129" t="str">
            <v>X3032</v>
          </cell>
          <cell r="D129" t="str">
            <v>YASSIFI</v>
          </cell>
          <cell r="E129" t="str">
            <v>DRISS</v>
          </cell>
          <cell r="F129">
            <v>20864</v>
          </cell>
          <cell r="G129" t="str">
            <v>1</v>
          </cell>
          <cell r="H129" t="str">
            <v>KHOURIBGA</v>
          </cell>
          <cell r="I129" t="str">
            <v>F</v>
          </cell>
          <cell r="J129">
            <v>31621</v>
          </cell>
          <cell r="K129">
            <v>31625</v>
          </cell>
          <cell r="L129" t="str">
            <v>41</v>
          </cell>
          <cell r="M129" t="str">
            <v>B</v>
          </cell>
          <cell r="N129">
            <v>35612</v>
          </cell>
          <cell r="P129">
            <v>16</v>
          </cell>
          <cell r="Q129" t="str">
            <v>O</v>
          </cell>
          <cell r="R129" t="str">
            <v>N</v>
          </cell>
          <cell r="S129">
            <v>0</v>
          </cell>
          <cell r="T129" t="str">
            <v>M</v>
          </cell>
          <cell r="U129" t="str">
            <v>ANKOURI NAIMA</v>
          </cell>
          <cell r="X129">
            <v>3</v>
          </cell>
          <cell r="Y129">
            <v>3</v>
          </cell>
          <cell r="AB129" t="str">
            <v>X</v>
          </cell>
          <cell r="AC129" t="str">
            <v>X</v>
          </cell>
          <cell r="AD129" t="str">
            <v>X</v>
          </cell>
          <cell r="AH129" t="str">
            <v>N</v>
          </cell>
          <cell r="AI129" t="str">
            <v>N</v>
          </cell>
          <cell r="AK129" t="str">
            <v>1, RUE BOUCRAA, DERB O.S.BOUABID KHGA</v>
          </cell>
          <cell r="AL129" t="str">
            <v>7AS SC EX</v>
          </cell>
          <cell r="AM129" t="str">
            <v>ITA EMM</v>
          </cell>
          <cell r="AP129" t="str">
            <v>Q 61331</v>
          </cell>
          <cell r="AQ129">
            <v>0</v>
          </cell>
          <cell r="AR129" t="str">
            <v>B</v>
          </cell>
          <cell r="AS129" t="str">
            <v>BMCE-KHOURIBGA</v>
          </cell>
          <cell r="AT129" t="str">
            <v>4000001200001486970</v>
          </cell>
          <cell r="AU129" t="str">
            <v>/  /</v>
          </cell>
          <cell r="AW129">
            <v>41091</v>
          </cell>
          <cell r="AY129" t="str">
            <v>XX</v>
          </cell>
          <cell r="BA129" t="str">
            <v>2</v>
          </cell>
          <cell r="BB129">
            <v>1</v>
          </cell>
          <cell r="BD129">
            <v>0</v>
          </cell>
          <cell r="BE129" t="str">
            <v>M</v>
          </cell>
          <cell r="BF129" t="str">
            <v>N</v>
          </cell>
          <cell r="BG129">
            <v>1</v>
          </cell>
          <cell r="BH129">
            <v>41091</v>
          </cell>
          <cell r="BI129" t="str">
            <v>O</v>
          </cell>
        </row>
        <row r="130">
          <cell r="A130">
            <v>91727</v>
          </cell>
          <cell r="B130">
            <v>403</v>
          </cell>
          <cell r="C130" t="str">
            <v>X4050</v>
          </cell>
          <cell r="D130" t="str">
            <v>FILALI</v>
          </cell>
          <cell r="E130" t="str">
            <v>SAAD</v>
          </cell>
          <cell r="F130">
            <v>21754</v>
          </cell>
          <cell r="H130" t="str">
            <v>FES</v>
          </cell>
          <cell r="I130" t="str">
            <v>F</v>
          </cell>
          <cell r="J130">
            <v>31625</v>
          </cell>
          <cell r="K130">
            <v>36526</v>
          </cell>
          <cell r="L130" t="str">
            <v>42</v>
          </cell>
          <cell r="M130" t="str">
            <v>A</v>
          </cell>
          <cell r="N130">
            <v>36526</v>
          </cell>
          <cell r="P130">
            <v>16</v>
          </cell>
          <cell r="Q130" t="str">
            <v>O</v>
          </cell>
          <cell r="R130" t="str">
            <v>N</v>
          </cell>
          <cell r="S130">
            <v>0</v>
          </cell>
          <cell r="T130" t="str">
            <v>M</v>
          </cell>
          <cell r="U130" t="str">
            <v>MAHJOUBA BENT LAHCEN</v>
          </cell>
          <cell r="X130">
            <v>2</v>
          </cell>
          <cell r="Y130">
            <v>2</v>
          </cell>
          <cell r="AB130" t="str">
            <v>X</v>
          </cell>
          <cell r="AC130" t="str">
            <v>X</v>
          </cell>
          <cell r="AD130" t="str">
            <v>X</v>
          </cell>
          <cell r="AE130" t="str">
            <v>MIN.AGRICULTURE</v>
          </cell>
          <cell r="AH130" t="str">
            <v>O</v>
          </cell>
          <cell r="AI130" t="str">
            <v>N</v>
          </cell>
          <cell r="AK130" t="str">
            <v>10 BLOC 7 NOUVEAUX LOGEMENT O.C.P - KHGA</v>
          </cell>
          <cell r="AL130" t="str">
            <v>1AS INS</v>
          </cell>
          <cell r="AM130" t="str">
            <v>BAC EMM</v>
          </cell>
          <cell r="AO130" t="str">
            <v>2539</v>
          </cell>
          <cell r="AP130" t="str">
            <v>C 68518</v>
          </cell>
          <cell r="AQ130">
            <v>0</v>
          </cell>
          <cell r="AR130" t="str">
            <v>B</v>
          </cell>
          <cell r="AS130" t="str">
            <v>BMCE KHGA</v>
          </cell>
          <cell r="AT130" t="str">
            <v>400012000671006</v>
          </cell>
          <cell r="AU130" t="str">
            <v>/  /</v>
          </cell>
          <cell r="AW130">
            <v>41640</v>
          </cell>
          <cell r="AY130" t="str">
            <v>XX</v>
          </cell>
          <cell r="BA130" t="str">
            <v>2</v>
          </cell>
          <cell r="BB130">
            <v>1</v>
          </cell>
          <cell r="BD130">
            <v>0</v>
          </cell>
          <cell r="BE130" t="str">
            <v>M</v>
          </cell>
          <cell r="BF130" t="str">
            <v>N</v>
          </cell>
          <cell r="BG130">
            <v>1</v>
          </cell>
          <cell r="BH130">
            <v>41640</v>
          </cell>
        </row>
        <row r="131">
          <cell r="A131">
            <v>91826</v>
          </cell>
          <cell r="B131">
            <v>421</v>
          </cell>
          <cell r="C131" t="str">
            <v>X4150</v>
          </cell>
          <cell r="D131" t="str">
            <v>AIT BOLBAROD</v>
          </cell>
          <cell r="E131" t="str">
            <v>MUSTAPHA</v>
          </cell>
          <cell r="F131">
            <v>23307</v>
          </cell>
          <cell r="H131" t="str">
            <v>KASBAT TADLA</v>
          </cell>
          <cell r="I131" t="str">
            <v>F</v>
          </cell>
          <cell r="J131">
            <v>31985</v>
          </cell>
          <cell r="K131">
            <v>35065</v>
          </cell>
          <cell r="L131" t="str">
            <v>42</v>
          </cell>
          <cell r="M131" t="str">
            <v>A</v>
          </cell>
          <cell r="N131">
            <v>35065</v>
          </cell>
          <cell r="O131">
            <v>0</v>
          </cell>
          <cell r="P131">
            <v>15</v>
          </cell>
          <cell r="Q131" t="str">
            <v>O</v>
          </cell>
          <cell r="R131" t="str">
            <v>N</v>
          </cell>
          <cell r="S131">
            <v>0</v>
          </cell>
          <cell r="T131" t="str">
            <v>M</v>
          </cell>
          <cell r="U131" t="str">
            <v>OQDA KHADIJA BENT SALAH</v>
          </cell>
          <cell r="X131">
            <v>3</v>
          </cell>
          <cell r="Y131">
            <v>3</v>
          </cell>
          <cell r="AB131" t="str">
            <v>X</v>
          </cell>
          <cell r="AC131" t="str">
            <v>X</v>
          </cell>
          <cell r="AD131" t="str">
            <v>X</v>
          </cell>
          <cell r="AH131" t="str">
            <v>O</v>
          </cell>
          <cell r="AI131" t="str">
            <v>N</v>
          </cell>
          <cell r="AK131" t="str">
            <v>38 RUE EL ANOUAR VILLAGE O.C.P. - KHGA</v>
          </cell>
          <cell r="AL131" t="str">
            <v>DTM</v>
          </cell>
          <cell r="AM131" t="str">
            <v>DTM</v>
          </cell>
          <cell r="AP131" t="str">
            <v>I 98621</v>
          </cell>
          <cell r="AQ131">
            <v>0</v>
          </cell>
          <cell r="AR131" t="str">
            <v>B</v>
          </cell>
          <cell r="AS131" t="str">
            <v>SGMB KHGA</v>
          </cell>
          <cell r="AT131" t="str">
            <v>9065729</v>
          </cell>
          <cell r="AU131" t="str">
            <v>/  /</v>
          </cell>
          <cell r="AW131">
            <v>42005</v>
          </cell>
          <cell r="AY131" t="str">
            <v>XX</v>
          </cell>
          <cell r="BA131" t="str">
            <v>2</v>
          </cell>
          <cell r="BB131">
            <v>1</v>
          </cell>
          <cell r="BD131">
            <v>0</v>
          </cell>
          <cell r="BE131" t="str">
            <v>M</v>
          </cell>
          <cell r="BF131" t="str">
            <v>N</v>
          </cell>
          <cell r="BG131">
            <v>1</v>
          </cell>
          <cell r="BH131">
            <v>42005</v>
          </cell>
        </row>
        <row r="132">
          <cell r="A132">
            <v>91827</v>
          </cell>
          <cell r="B132">
            <v>461</v>
          </cell>
          <cell r="C132" t="str">
            <v>X5032</v>
          </cell>
          <cell r="D132" t="str">
            <v>EL ATYQY</v>
          </cell>
          <cell r="E132" t="str">
            <v>HAMID</v>
          </cell>
          <cell r="F132">
            <v>22827</v>
          </cell>
          <cell r="H132" t="str">
            <v>FES</v>
          </cell>
          <cell r="I132" t="str">
            <v>F</v>
          </cell>
          <cell r="J132">
            <v>31985</v>
          </cell>
          <cell r="K132">
            <v>35431</v>
          </cell>
          <cell r="L132" t="str">
            <v>51</v>
          </cell>
          <cell r="M132" t="str">
            <v>A</v>
          </cell>
          <cell r="N132">
            <v>35431</v>
          </cell>
          <cell r="P132">
            <v>15</v>
          </cell>
          <cell r="Q132" t="str">
            <v>O</v>
          </cell>
          <cell r="R132" t="str">
            <v>N</v>
          </cell>
          <cell r="S132">
            <v>0</v>
          </cell>
          <cell r="T132" t="str">
            <v>M</v>
          </cell>
          <cell r="U132" t="str">
            <v>BOUHAKKI HABIBA BT MOHAMMED</v>
          </cell>
          <cell r="X132">
            <v>4</v>
          </cell>
          <cell r="Y132">
            <v>4</v>
          </cell>
          <cell r="Z132" t="str">
            <v>N</v>
          </cell>
          <cell r="AB132" t="str">
            <v>X</v>
          </cell>
          <cell r="AC132" t="str">
            <v>X</v>
          </cell>
          <cell r="AD132" t="str">
            <v>X</v>
          </cell>
          <cell r="AH132" t="str">
            <v>N</v>
          </cell>
          <cell r="AI132" t="str">
            <v>N</v>
          </cell>
          <cell r="AK132" t="str">
            <v>126 APP.2 RUE TRIPOLI HAY RIAD KHOURIBGA</v>
          </cell>
          <cell r="AL132" t="str">
            <v>BAC</v>
          </cell>
          <cell r="AM132" t="str">
            <v>BAC FM</v>
          </cell>
          <cell r="AP132" t="str">
            <v>C 369325</v>
          </cell>
          <cell r="AQ132">
            <v>0</v>
          </cell>
          <cell r="AR132" t="str">
            <v>B</v>
          </cell>
          <cell r="AS132" t="str">
            <v>WAFABANK - KHOURIBGA</v>
          </cell>
          <cell r="AT132" t="str">
            <v>1220301182459</v>
          </cell>
          <cell r="AU132" t="str">
            <v>/  /</v>
          </cell>
          <cell r="AW132">
            <v>42005</v>
          </cell>
          <cell r="AY132" t="str">
            <v>XX</v>
          </cell>
          <cell r="AZ132" t="str">
            <v>M</v>
          </cell>
          <cell r="BA132" t="str">
            <v>2</v>
          </cell>
          <cell r="BB132">
            <v>1</v>
          </cell>
          <cell r="BD132">
            <v>0</v>
          </cell>
          <cell r="BE132" t="str">
            <v>M</v>
          </cell>
          <cell r="BF132" t="str">
            <v>N</v>
          </cell>
          <cell r="BG132">
            <v>5</v>
          </cell>
          <cell r="BH132">
            <v>42005</v>
          </cell>
          <cell r="BI132" t="str">
            <v>O</v>
          </cell>
        </row>
        <row r="133">
          <cell r="A133">
            <v>95291</v>
          </cell>
          <cell r="B133">
            <v>403</v>
          </cell>
          <cell r="C133" t="str">
            <v>X6150</v>
          </cell>
          <cell r="D133" t="str">
            <v>EL GADAOUI</v>
          </cell>
          <cell r="E133" t="str">
            <v>MHAMED</v>
          </cell>
          <cell r="F133">
            <v>19175</v>
          </cell>
          <cell r="H133" t="str">
            <v>CHEMAIA - SAFI</v>
          </cell>
          <cell r="I133" t="str">
            <v>F</v>
          </cell>
          <cell r="J133">
            <v>26142</v>
          </cell>
          <cell r="K133">
            <v>32478</v>
          </cell>
          <cell r="L133" t="str">
            <v>52</v>
          </cell>
          <cell r="M133" t="str">
            <v>A</v>
          </cell>
          <cell r="N133">
            <v>32478</v>
          </cell>
          <cell r="P133">
            <v>31</v>
          </cell>
          <cell r="Q133" t="str">
            <v>O</v>
          </cell>
          <cell r="R133" t="str">
            <v>N</v>
          </cell>
          <cell r="S133">
            <v>0</v>
          </cell>
          <cell r="T133" t="str">
            <v>M</v>
          </cell>
          <cell r="U133" t="str">
            <v>ADIB FATIMA BENT MOULOUD</v>
          </cell>
          <cell r="X133">
            <v>6</v>
          </cell>
          <cell r="Y133">
            <v>3</v>
          </cell>
          <cell r="AB133" t="str">
            <v>X</v>
          </cell>
          <cell r="AC133" t="str">
            <v>X</v>
          </cell>
          <cell r="AD133" t="str">
            <v>X</v>
          </cell>
          <cell r="AH133" t="str">
            <v>N</v>
          </cell>
          <cell r="AI133" t="str">
            <v>O</v>
          </cell>
          <cell r="AJ133">
            <v>32872</v>
          </cell>
          <cell r="AK133" t="str">
            <v>168,LOTISSEMENT EL HAOUD HAY RIAD KHGA</v>
          </cell>
          <cell r="AL133" t="str">
            <v>6ATI</v>
          </cell>
          <cell r="AM133" t="str">
            <v>CEP CES DTM</v>
          </cell>
          <cell r="AN133" t="str">
            <v>49═28═01</v>
          </cell>
          <cell r="AO133" t="str">
            <v>2680</v>
          </cell>
          <cell r="AP133" t="str">
            <v>Q 63115</v>
          </cell>
          <cell r="AQ133">
            <v>0</v>
          </cell>
          <cell r="AR133" t="str">
            <v>B</v>
          </cell>
          <cell r="AS133" t="str">
            <v>B.C.M -  KHOURIBGA</v>
          </cell>
          <cell r="AT133" t="str">
            <v>D 97 X 300035</v>
          </cell>
          <cell r="AU133" t="str">
            <v>/  /</v>
          </cell>
          <cell r="AW133">
            <v>37438</v>
          </cell>
          <cell r="AY133" t="str">
            <v>XX</v>
          </cell>
          <cell r="BA133" t="str">
            <v>1</v>
          </cell>
          <cell r="BB133">
            <v>1</v>
          </cell>
          <cell r="BD133">
            <v>0</v>
          </cell>
          <cell r="BE133" t="str">
            <v>M</v>
          </cell>
          <cell r="BF133" t="str">
            <v>N</v>
          </cell>
          <cell r="BG133">
            <v>1</v>
          </cell>
          <cell r="BH133">
            <v>37438</v>
          </cell>
          <cell r="BI133" t="str">
            <v>O</v>
          </cell>
        </row>
        <row r="134">
          <cell r="A134">
            <v>96513</v>
          </cell>
          <cell r="B134">
            <v>446</v>
          </cell>
          <cell r="C134" t="str">
            <v>X4050</v>
          </cell>
          <cell r="D134" t="str">
            <v>BENKHOUITI</v>
          </cell>
          <cell r="E134" t="str">
            <v>BRAHIM</v>
          </cell>
          <cell r="F134">
            <v>19175</v>
          </cell>
          <cell r="H134" t="str">
            <v>SIDI BENNOUR - EL JADIDA</v>
          </cell>
          <cell r="I134" t="str">
            <v>F</v>
          </cell>
          <cell r="J134">
            <v>26801</v>
          </cell>
          <cell r="K134">
            <v>35065</v>
          </cell>
          <cell r="L134" t="str">
            <v>42</v>
          </cell>
          <cell r="M134" t="str">
            <v>A</v>
          </cell>
          <cell r="N134">
            <v>35065</v>
          </cell>
          <cell r="P134">
            <v>29</v>
          </cell>
          <cell r="Q134" t="str">
            <v>O</v>
          </cell>
          <cell r="R134" t="str">
            <v>N</v>
          </cell>
          <cell r="S134">
            <v>0</v>
          </cell>
          <cell r="T134" t="str">
            <v>M</v>
          </cell>
          <cell r="U134" t="str">
            <v>BENDADA MAHJOUBA</v>
          </cell>
          <cell r="X134">
            <v>4</v>
          </cell>
          <cell r="Y134">
            <v>1</v>
          </cell>
          <cell r="AB134" t="str">
            <v>X</v>
          </cell>
          <cell r="AC134" t="str">
            <v>X</v>
          </cell>
          <cell r="AD134" t="str">
            <v>X</v>
          </cell>
          <cell r="AH134" t="str">
            <v>N</v>
          </cell>
          <cell r="AI134" t="str">
            <v>O</v>
          </cell>
          <cell r="AJ134">
            <v>32508</v>
          </cell>
          <cell r="AK134" t="str">
            <v>143,BIS CITE JAMILA KHOURIBGA</v>
          </cell>
          <cell r="AL134" t="str">
            <v>6TI</v>
          </cell>
          <cell r="AM134" t="str">
            <v>CEP CES</v>
          </cell>
          <cell r="AP134" t="str">
            <v>Q 27575</v>
          </cell>
          <cell r="AQ134">
            <v>0</v>
          </cell>
          <cell r="AR134" t="str">
            <v>B</v>
          </cell>
          <cell r="AS134" t="str">
            <v>POPULAIRE-KHOURIBGA</v>
          </cell>
          <cell r="AT134" t="str">
            <v>211111275871003</v>
          </cell>
          <cell r="AU134" t="str">
            <v>/  /</v>
          </cell>
          <cell r="AW134">
            <v>37438</v>
          </cell>
          <cell r="AY134" t="str">
            <v>XX</v>
          </cell>
          <cell r="BA134" t="str">
            <v>2</v>
          </cell>
          <cell r="BB134">
            <v>1</v>
          </cell>
          <cell r="BD134">
            <v>0</v>
          </cell>
          <cell r="BE134" t="str">
            <v>M</v>
          </cell>
          <cell r="BF134" t="str">
            <v>N</v>
          </cell>
          <cell r="BG134">
            <v>1</v>
          </cell>
          <cell r="BH134">
            <v>37438</v>
          </cell>
          <cell r="BI134" t="str">
            <v>O</v>
          </cell>
        </row>
        <row r="135">
          <cell r="A135">
            <v>96601</v>
          </cell>
          <cell r="B135">
            <v>408</v>
          </cell>
          <cell r="C135" t="str">
            <v>X5150</v>
          </cell>
          <cell r="D135" t="str">
            <v>EL MOUMENI</v>
          </cell>
          <cell r="E135" t="str">
            <v>MOHAMED</v>
          </cell>
          <cell r="F135">
            <v>19540</v>
          </cell>
          <cell r="H135" t="str">
            <v>SETTAT</v>
          </cell>
          <cell r="I135" t="str">
            <v>F</v>
          </cell>
          <cell r="J135">
            <v>27474</v>
          </cell>
          <cell r="K135">
            <v>34151</v>
          </cell>
          <cell r="L135" t="str">
            <v>51</v>
          </cell>
          <cell r="M135" t="str">
            <v>B</v>
          </cell>
          <cell r="N135">
            <v>35612</v>
          </cell>
          <cell r="P135">
            <v>28</v>
          </cell>
          <cell r="Q135" t="str">
            <v>O</v>
          </cell>
          <cell r="R135" t="str">
            <v>N</v>
          </cell>
          <cell r="S135">
            <v>0</v>
          </cell>
          <cell r="T135" t="str">
            <v>M</v>
          </cell>
          <cell r="U135" t="str">
            <v>EL MOUMENI MINA</v>
          </cell>
          <cell r="X135">
            <v>5</v>
          </cell>
          <cell r="Y135">
            <v>4</v>
          </cell>
          <cell r="AB135" t="str">
            <v>X</v>
          </cell>
          <cell r="AC135" t="str">
            <v>X</v>
          </cell>
          <cell r="AD135" t="str">
            <v>X</v>
          </cell>
          <cell r="AH135" t="str">
            <v>N</v>
          </cell>
          <cell r="AI135" t="str">
            <v>O</v>
          </cell>
          <cell r="AJ135">
            <v>32508</v>
          </cell>
          <cell r="AK135" t="str">
            <v>9,RUE CHARKA NAHDA KHOURIBGA</v>
          </cell>
          <cell r="AL135" t="str">
            <v>3AS</v>
          </cell>
          <cell r="AM135" t="str">
            <v>CEP CES CFP</v>
          </cell>
          <cell r="AP135" t="str">
            <v>Q 47933</v>
          </cell>
          <cell r="AQ135">
            <v>0</v>
          </cell>
          <cell r="AR135" t="str">
            <v>B</v>
          </cell>
          <cell r="AS135" t="str">
            <v>BMCE - KHGA</v>
          </cell>
          <cell r="AT135" t="str">
            <v>40001200000111801</v>
          </cell>
          <cell r="AU135" t="str">
            <v>/  /</v>
          </cell>
          <cell r="AW135">
            <v>37803</v>
          </cell>
          <cell r="AY135" t="str">
            <v>XX</v>
          </cell>
          <cell r="BA135" t="str">
            <v>2</v>
          </cell>
          <cell r="BB135">
            <v>1</v>
          </cell>
          <cell r="BD135">
            <v>0</v>
          </cell>
          <cell r="BE135" t="str">
            <v>M</v>
          </cell>
          <cell r="BF135" t="str">
            <v>N</v>
          </cell>
          <cell r="BG135">
            <v>1</v>
          </cell>
          <cell r="BH135">
            <v>37803</v>
          </cell>
          <cell r="BI135" t="str">
            <v>O</v>
          </cell>
        </row>
        <row r="136">
          <cell r="A136">
            <v>96673</v>
          </cell>
          <cell r="B136">
            <v>476</v>
          </cell>
          <cell r="C136" t="str">
            <v>X6150</v>
          </cell>
          <cell r="D136" t="str">
            <v>CHABAOUI</v>
          </cell>
          <cell r="E136" t="str">
            <v>BOUCHAIB</v>
          </cell>
          <cell r="F136">
            <v>19540</v>
          </cell>
          <cell r="H136" t="str">
            <v>EL GARA</v>
          </cell>
          <cell r="I136" t="str">
            <v>F</v>
          </cell>
          <cell r="J136">
            <v>27145</v>
          </cell>
          <cell r="K136">
            <v>36526</v>
          </cell>
          <cell r="L136" t="str">
            <v>52</v>
          </cell>
          <cell r="M136" t="str">
            <v>A</v>
          </cell>
          <cell r="N136">
            <v>36526</v>
          </cell>
          <cell r="O136">
            <v>0</v>
          </cell>
          <cell r="P136">
            <v>29</v>
          </cell>
          <cell r="Q136" t="str">
            <v>O</v>
          </cell>
          <cell r="R136" t="str">
            <v>N</v>
          </cell>
          <cell r="S136">
            <v>0</v>
          </cell>
          <cell r="T136" t="str">
            <v>M</v>
          </cell>
          <cell r="U136" t="str">
            <v>EL ALAMI NAJAT</v>
          </cell>
          <cell r="X136">
            <v>4</v>
          </cell>
          <cell r="Y136">
            <v>2</v>
          </cell>
          <cell r="AB136" t="str">
            <v>X</v>
          </cell>
          <cell r="AC136" t="str">
            <v>X</v>
          </cell>
          <cell r="AD136" t="str">
            <v>X</v>
          </cell>
          <cell r="AH136" t="str">
            <v>N</v>
          </cell>
          <cell r="AI136" t="str">
            <v>N</v>
          </cell>
          <cell r="AK136" t="str">
            <v>476,RUE LARAICHE HAY AMAL KHOURIBGA</v>
          </cell>
          <cell r="AL136" t="str">
            <v>6ETI</v>
          </cell>
          <cell r="AM136" t="str">
            <v>CEP  CES CFO EMM</v>
          </cell>
          <cell r="AP136" t="str">
            <v>Q 14149</v>
          </cell>
          <cell r="AQ136">
            <v>0</v>
          </cell>
          <cell r="AR136" t="str">
            <v>B</v>
          </cell>
          <cell r="AS136" t="str">
            <v>SGMB-KHOURIBGA</v>
          </cell>
          <cell r="AT136" t="str">
            <v>6700090779</v>
          </cell>
          <cell r="AU136" t="str">
            <v>/  /</v>
          </cell>
          <cell r="AW136">
            <v>37803</v>
          </cell>
          <cell r="AY136" t="str">
            <v>XX</v>
          </cell>
          <cell r="AZ136" t="str">
            <v>K</v>
          </cell>
          <cell r="BA136" t="str">
            <v>2</v>
          </cell>
          <cell r="BB136">
            <v>1</v>
          </cell>
          <cell r="BD136">
            <v>0</v>
          </cell>
          <cell r="BE136" t="str">
            <v>M</v>
          </cell>
          <cell r="BF136" t="str">
            <v>N</v>
          </cell>
          <cell r="BG136">
            <v>5</v>
          </cell>
          <cell r="BH136">
            <v>37803</v>
          </cell>
          <cell r="BI136" t="str">
            <v>O</v>
          </cell>
        </row>
        <row r="137">
          <cell r="A137">
            <v>97735</v>
          </cell>
          <cell r="B137">
            <v>418</v>
          </cell>
          <cell r="C137" t="str">
            <v>X5150</v>
          </cell>
          <cell r="D137" t="str">
            <v>HAKIKI</v>
          </cell>
          <cell r="E137" t="str">
            <v>ABDELKADER</v>
          </cell>
          <cell r="F137">
            <v>19171</v>
          </cell>
          <cell r="H137" t="str">
            <v>YOUSSOUFIA</v>
          </cell>
          <cell r="I137" t="str">
            <v>F</v>
          </cell>
          <cell r="J137">
            <v>27972</v>
          </cell>
          <cell r="K137">
            <v>33451</v>
          </cell>
          <cell r="L137" t="str">
            <v>51</v>
          </cell>
          <cell r="M137" t="str">
            <v>A</v>
          </cell>
          <cell r="N137">
            <v>33451</v>
          </cell>
          <cell r="P137">
            <v>26</v>
          </cell>
          <cell r="Q137" t="str">
            <v>O</v>
          </cell>
          <cell r="R137" t="str">
            <v>N</v>
          </cell>
          <cell r="S137">
            <v>0</v>
          </cell>
          <cell r="T137" t="str">
            <v>M</v>
          </cell>
          <cell r="U137" t="str">
            <v>SADAK TOURIA</v>
          </cell>
          <cell r="X137">
            <v>5</v>
          </cell>
          <cell r="Y137">
            <v>3</v>
          </cell>
          <cell r="AB137" t="str">
            <v>X</v>
          </cell>
          <cell r="AC137" t="str">
            <v>X</v>
          </cell>
          <cell r="AD137" t="str">
            <v>X</v>
          </cell>
          <cell r="AH137" t="str">
            <v>O</v>
          </cell>
          <cell r="AI137" t="str">
            <v>N</v>
          </cell>
          <cell r="AK137" t="str">
            <v>184 LOTISSEMENT EL HANA - KHOURIBGA</v>
          </cell>
          <cell r="AL137" t="str">
            <v>6TI</v>
          </cell>
          <cell r="AM137" t="str">
            <v>CEP CES EMM</v>
          </cell>
          <cell r="AP137" t="str">
            <v>Q 17618</v>
          </cell>
          <cell r="AQ137">
            <v>0</v>
          </cell>
          <cell r="AR137" t="str">
            <v>B</v>
          </cell>
          <cell r="AS137" t="str">
            <v>BCM KHGA</v>
          </cell>
          <cell r="AT137" t="str">
            <v>97X300097</v>
          </cell>
          <cell r="AU137" t="str">
            <v>/  /</v>
          </cell>
          <cell r="AW137">
            <v>39214</v>
          </cell>
          <cell r="AX137">
            <v>39214</v>
          </cell>
          <cell r="AY137" t="str">
            <v>XX</v>
          </cell>
          <cell r="AZ137" t="str">
            <v>K</v>
          </cell>
          <cell r="BA137" t="str">
            <v>2</v>
          </cell>
          <cell r="BB137">
            <v>1</v>
          </cell>
          <cell r="BD137">
            <v>0</v>
          </cell>
          <cell r="BE137" t="str">
            <v>M</v>
          </cell>
          <cell r="BF137" t="str">
            <v>N</v>
          </cell>
          <cell r="BG137">
            <v>1</v>
          </cell>
          <cell r="BH137">
            <v>37987</v>
          </cell>
        </row>
        <row r="138">
          <cell r="A138">
            <v>97738</v>
          </cell>
          <cell r="B138">
            <v>468</v>
          </cell>
          <cell r="C138" t="str">
            <v>X5150</v>
          </cell>
          <cell r="D138" t="str">
            <v>RASSMI</v>
          </cell>
          <cell r="E138" t="str">
            <v>MOHAMED</v>
          </cell>
          <cell r="F138">
            <v>18385</v>
          </cell>
          <cell r="H138" t="str">
            <v>OULED M'RAH - SETTAT</v>
          </cell>
          <cell r="I138" t="str">
            <v>F</v>
          </cell>
          <cell r="J138">
            <v>27970</v>
          </cell>
          <cell r="K138">
            <v>35431</v>
          </cell>
          <cell r="L138" t="str">
            <v>51</v>
          </cell>
          <cell r="M138" t="str">
            <v>A</v>
          </cell>
          <cell r="N138">
            <v>35431</v>
          </cell>
          <cell r="P138">
            <v>26</v>
          </cell>
          <cell r="Q138" t="str">
            <v>O</v>
          </cell>
          <cell r="R138" t="str">
            <v>N</v>
          </cell>
          <cell r="S138">
            <v>0</v>
          </cell>
          <cell r="T138" t="str">
            <v>M</v>
          </cell>
          <cell r="U138" t="str">
            <v>ESSAFSAFI EL BOUCHTAOUIA</v>
          </cell>
          <cell r="X138">
            <v>4</v>
          </cell>
          <cell r="Y138">
            <v>4</v>
          </cell>
          <cell r="AB138" t="str">
            <v>X</v>
          </cell>
          <cell r="AC138" t="str">
            <v>X</v>
          </cell>
          <cell r="AD138" t="str">
            <v>X</v>
          </cell>
          <cell r="AH138" t="str">
            <v>N</v>
          </cell>
          <cell r="AI138" t="str">
            <v>N</v>
          </cell>
          <cell r="AK138" t="str">
            <v>6 COOPERATIVE EL AMAL RIAD - KHOURIBGA</v>
          </cell>
          <cell r="AL138" t="str">
            <v>DTM</v>
          </cell>
          <cell r="AM138" t="str">
            <v>DTM EMM</v>
          </cell>
          <cell r="AP138" t="str">
            <v>Q 15538</v>
          </cell>
          <cell r="AQ138">
            <v>0</v>
          </cell>
          <cell r="AR138" t="str">
            <v>B</v>
          </cell>
          <cell r="AS138" t="str">
            <v>BCM.KHGA</v>
          </cell>
          <cell r="AT138" t="str">
            <v>97 N 300093</v>
          </cell>
          <cell r="AU138" t="str">
            <v>/  /</v>
          </cell>
          <cell r="AW138">
            <v>37987</v>
          </cell>
          <cell r="AY138" t="str">
            <v>XX</v>
          </cell>
          <cell r="AZ138" t="str">
            <v>M</v>
          </cell>
          <cell r="BA138" t="str">
            <v>1</v>
          </cell>
          <cell r="BB138">
            <v>1</v>
          </cell>
          <cell r="BD138">
            <v>0</v>
          </cell>
          <cell r="BE138" t="str">
            <v>M</v>
          </cell>
          <cell r="BF138" t="str">
            <v>N</v>
          </cell>
          <cell r="BG138">
            <v>5</v>
          </cell>
          <cell r="BH138">
            <v>37987</v>
          </cell>
          <cell r="BI138" t="str">
            <v>O</v>
          </cell>
        </row>
        <row r="139">
          <cell r="A139">
            <v>98446</v>
          </cell>
          <cell r="B139">
            <v>411</v>
          </cell>
          <cell r="C139" t="str">
            <v>X5150</v>
          </cell>
          <cell r="D139" t="str">
            <v>ESBAYOU</v>
          </cell>
          <cell r="E139" t="str">
            <v>MOHAMMED</v>
          </cell>
          <cell r="F139">
            <v>20901</v>
          </cell>
          <cell r="H139" t="str">
            <v>ESSAOUIRA</v>
          </cell>
          <cell r="I139" t="str">
            <v>F</v>
          </cell>
          <cell r="J139">
            <v>29434</v>
          </cell>
          <cell r="K139">
            <v>35431</v>
          </cell>
          <cell r="L139" t="str">
            <v>51</v>
          </cell>
          <cell r="M139" t="str">
            <v>A</v>
          </cell>
          <cell r="N139">
            <v>35431</v>
          </cell>
          <cell r="P139">
            <v>22</v>
          </cell>
          <cell r="Q139" t="str">
            <v>O</v>
          </cell>
          <cell r="R139" t="str">
            <v>N</v>
          </cell>
          <cell r="S139">
            <v>0</v>
          </cell>
          <cell r="T139" t="str">
            <v>M</v>
          </cell>
          <cell r="U139" t="str">
            <v>TALABI ES SADIA</v>
          </cell>
          <cell r="X139">
            <v>4</v>
          </cell>
          <cell r="Y139">
            <v>4</v>
          </cell>
          <cell r="AB139" t="str">
            <v>X</v>
          </cell>
          <cell r="AC139" t="str">
            <v>X</v>
          </cell>
          <cell r="AD139" t="str">
            <v>X</v>
          </cell>
          <cell r="AH139" t="str">
            <v>N</v>
          </cell>
          <cell r="AI139" t="str">
            <v>N</v>
          </cell>
          <cell r="AK139" t="str">
            <v>209,EL HANA - KHOURIBGA</v>
          </cell>
          <cell r="AL139" t="str">
            <v>7TI</v>
          </cell>
          <cell r="AM139" t="str">
            <v>CEP CES EMM</v>
          </cell>
          <cell r="AP139" t="str">
            <v>N 7142</v>
          </cell>
          <cell r="AQ139">
            <v>0</v>
          </cell>
          <cell r="AR139" t="str">
            <v>B</v>
          </cell>
          <cell r="AS139" t="str">
            <v>WAFABANK - KHGA</v>
          </cell>
          <cell r="AT139" t="str">
            <v>1220301152753</v>
          </cell>
          <cell r="AU139" t="str">
            <v>/  /</v>
          </cell>
          <cell r="AW139">
            <v>39448</v>
          </cell>
          <cell r="AY139" t="str">
            <v>XX</v>
          </cell>
          <cell r="AZ139" t="str">
            <v>M</v>
          </cell>
          <cell r="BA139" t="str">
            <v>1</v>
          </cell>
          <cell r="BB139">
            <v>1</v>
          </cell>
          <cell r="BD139">
            <v>0</v>
          </cell>
          <cell r="BE139" t="str">
            <v>M</v>
          </cell>
          <cell r="BF139" t="str">
            <v>N</v>
          </cell>
          <cell r="BG139">
            <v>1</v>
          </cell>
          <cell r="BH139">
            <v>39448</v>
          </cell>
          <cell r="BI139" t="str">
            <v>O</v>
          </cell>
        </row>
        <row r="140">
          <cell r="A140">
            <v>98740</v>
          </cell>
          <cell r="B140">
            <v>476</v>
          </cell>
          <cell r="C140" t="str">
            <v>X3150</v>
          </cell>
          <cell r="D140" t="str">
            <v>SEGHROUCHNI</v>
          </cell>
          <cell r="E140" t="str">
            <v>ABDELMAJID</v>
          </cell>
          <cell r="F140">
            <v>20867</v>
          </cell>
          <cell r="H140" t="str">
            <v>BERKANE</v>
          </cell>
          <cell r="I140" t="str">
            <v>F</v>
          </cell>
          <cell r="J140">
            <v>30165</v>
          </cell>
          <cell r="K140">
            <v>33420</v>
          </cell>
          <cell r="L140" t="str">
            <v>41</v>
          </cell>
          <cell r="M140" t="str">
            <v>A</v>
          </cell>
          <cell r="N140">
            <v>33420</v>
          </cell>
          <cell r="P140">
            <v>20</v>
          </cell>
          <cell r="Q140" t="str">
            <v>O</v>
          </cell>
          <cell r="R140" t="str">
            <v>N</v>
          </cell>
          <cell r="S140">
            <v>0</v>
          </cell>
          <cell r="T140" t="str">
            <v>M</v>
          </cell>
          <cell r="U140" t="str">
            <v>MOKHLIJ ES SAADIA</v>
          </cell>
          <cell r="X140">
            <v>4</v>
          </cell>
          <cell r="Y140">
            <v>4</v>
          </cell>
          <cell r="AB140" t="str">
            <v>X</v>
          </cell>
          <cell r="AC140" t="str">
            <v>X</v>
          </cell>
          <cell r="AD140" t="str">
            <v>X</v>
          </cell>
          <cell r="AH140" t="str">
            <v>N</v>
          </cell>
          <cell r="AI140" t="str">
            <v>N</v>
          </cell>
          <cell r="AK140" t="str">
            <v>179.HAY IQBAL - KHOURIBGA</v>
          </cell>
          <cell r="AL140" t="str">
            <v>7ASMT</v>
          </cell>
          <cell r="AM140" t="str">
            <v>CEP CES EMM</v>
          </cell>
          <cell r="AP140" t="str">
            <v>F 107757</v>
          </cell>
          <cell r="AQ140">
            <v>0</v>
          </cell>
          <cell r="AR140" t="str">
            <v>B</v>
          </cell>
          <cell r="AS140" t="str">
            <v>BCM - KHGA</v>
          </cell>
          <cell r="AT140" t="str">
            <v>269V300105</v>
          </cell>
          <cell r="AU140" t="str">
            <v>/  /</v>
          </cell>
          <cell r="AW140">
            <v>40179</v>
          </cell>
          <cell r="AY140" t="str">
            <v>XX</v>
          </cell>
          <cell r="BA140" t="str">
            <v>2</v>
          </cell>
          <cell r="BB140">
            <v>1</v>
          </cell>
          <cell r="BD140">
            <v>0</v>
          </cell>
          <cell r="BE140" t="str">
            <v>M</v>
          </cell>
          <cell r="BF140" t="str">
            <v>N</v>
          </cell>
          <cell r="BG140">
            <v>1</v>
          </cell>
          <cell r="BH140">
            <v>40179</v>
          </cell>
          <cell r="BI140" t="str">
            <v>O</v>
          </cell>
        </row>
        <row r="141">
          <cell r="A141">
            <v>98742</v>
          </cell>
          <cell r="B141">
            <v>461</v>
          </cell>
          <cell r="C141" t="str">
            <v>X4150</v>
          </cell>
          <cell r="D141" t="str">
            <v>IGDER</v>
          </cell>
          <cell r="E141" t="str">
            <v>LAHCEN</v>
          </cell>
          <cell r="F141">
            <v>20548</v>
          </cell>
          <cell r="H141" t="str">
            <v>AGADIR</v>
          </cell>
          <cell r="I141" t="str">
            <v>F</v>
          </cell>
          <cell r="J141">
            <v>30165</v>
          </cell>
          <cell r="K141">
            <v>36526</v>
          </cell>
          <cell r="L141" t="str">
            <v>42</v>
          </cell>
          <cell r="M141" t="str">
            <v>B</v>
          </cell>
          <cell r="N141">
            <v>36526</v>
          </cell>
          <cell r="P141">
            <v>22</v>
          </cell>
          <cell r="Q141" t="str">
            <v>O</v>
          </cell>
          <cell r="R141" t="str">
            <v>N</v>
          </cell>
          <cell r="S141">
            <v>0</v>
          </cell>
          <cell r="T141" t="str">
            <v>C</v>
          </cell>
          <cell r="X141">
            <v>0</v>
          </cell>
          <cell r="Y141">
            <v>0</v>
          </cell>
          <cell r="AB141" t="str">
            <v>X</v>
          </cell>
          <cell r="AC141" t="str">
            <v>X</v>
          </cell>
          <cell r="AD141" t="str">
            <v>X</v>
          </cell>
          <cell r="AH141" t="str">
            <v>O</v>
          </cell>
          <cell r="AI141" t="str">
            <v>N</v>
          </cell>
          <cell r="AK141" t="str">
            <v>5 MONIQUE EX-BAN OCP - KHOURIBGA</v>
          </cell>
          <cell r="AL141" t="str">
            <v>7 A.T.I</v>
          </cell>
          <cell r="AM141" t="str">
            <v>CEP.CES.EMM</v>
          </cell>
          <cell r="AP141" t="str">
            <v>Q 105909</v>
          </cell>
          <cell r="AQ141">
            <v>0</v>
          </cell>
          <cell r="AR141" t="str">
            <v>B</v>
          </cell>
          <cell r="AS141" t="str">
            <v>BMCE KHGA</v>
          </cell>
          <cell r="AT141" t="str">
            <v>400012000340527</v>
          </cell>
          <cell r="AU141" t="str">
            <v>/  /</v>
          </cell>
          <cell r="AW141">
            <v>40179</v>
          </cell>
          <cell r="AY141" t="str">
            <v>XX</v>
          </cell>
          <cell r="BA141" t="str">
            <v>1</v>
          </cell>
          <cell r="BB141">
            <v>0</v>
          </cell>
          <cell r="BD141">
            <v>0</v>
          </cell>
          <cell r="BE141" t="str">
            <v>M</v>
          </cell>
          <cell r="BF141" t="str">
            <v>N</v>
          </cell>
          <cell r="BG141">
            <v>1</v>
          </cell>
          <cell r="BH141">
            <v>40179</v>
          </cell>
        </row>
        <row r="142">
          <cell r="A142">
            <v>98896</v>
          </cell>
          <cell r="B142">
            <v>418</v>
          </cell>
          <cell r="C142" t="str">
            <v>X6150</v>
          </cell>
          <cell r="D142" t="str">
            <v>EL HOLOUI</v>
          </cell>
          <cell r="E142" t="str">
            <v>AHMED</v>
          </cell>
          <cell r="F142">
            <v>19540</v>
          </cell>
          <cell r="G142" t="str">
            <v>6</v>
          </cell>
          <cell r="H142" t="str">
            <v>M'FASSIS - KHOURIBGA</v>
          </cell>
          <cell r="I142" t="str">
            <v>F</v>
          </cell>
          <cell r="J142">
            <v>28338</v>
          </cell>
          <cell r="K142">
            <v>36526</v>
          </cell>
          <cell r="L142" t="str">
            <v>52</v>
          </cell>
          <cell r="M142" t="str">
            <v>A</v>
          </cell>
          <cell r="N142">
            <v>36526</v>
          </cell>
          <cell r="P142">
            <v>25</v>
          </cell>
          <cell r="Q142" t="str">
            <v>O</v>
          </cell>
          <cell r="R142" t="str">
            <v>N</v>
          </cell>
          <cell r="S142">
            <v>0</v>
          </cell>
          <cell r="T142" t="str">
            <v>M</v>
          </cell>
          <cell r="U142" t="str">
            <v>AKKAR ELMILOUDIA</v>
          </cell>
          <cell r="X142">
            <v>5</v>
          </cell>
          <cell r="Y142">
            <v>1</v>
          </cell>
          <cell r="AB142" t="str">
            <v>X</v>
          </cell>
          <cell r="AC142" t="str">
            <v>X</v>
          </cell>
          <cell r="AD142" t="str">
            <v>X</v>
          </cell>
          <cell r="AH142" t="str">
            <v>N</v>
          </cell>
          <cell r="AI142" t="str">
            <v>N</v>
          </cell>
          <cell r="AK142" t="str">
            <v>52 RUE KINYA EL KARAM NAHDA  KHOURIBGA</v>
          </cell>
          <cell r="AL142" t="str">
            <v>6ASTI</v>
          </cell>
          <cell r="AM142" t="str">
            <v>CEP CES</v>
          </cell>
          <cell r="AP142" t="str">
            <v>H 33490</v>
          </cell>
          <cell r="AQ142">
            <v>0</v>
          </cell>
          <cell r="AR142" t="str">
            <v>B</v>
          </cell>
          <cell r="AS142" t="str">
            <v>C.I.H - KHOURIBGA</v>
          </cell>
          <cell r="AT142" t="str">
            <v>7942535211004700</v>
          </cell>
          <cell r="AU142" t="str">
            <v>/  /</v>
          </cell>
          <cell r="AW142">
            <v>38353</v>
          </cell>
          <cell r="AY142" t="str">
            <v>XX</v>
          </cell>
          <cell r="AZ142" t="str">
            <v>K</v>
          </cell>
          <cell r="BA142" t="str">
            <v>2</v>
          </cell>
          <cell r="BB142">
            <v>1</v>
          </cell>
          <cell r="BD142">
            <v>0</v>
          </cell>
          <cell r="BE142" t="str">
            <v>M</v>
          </cell>
          <cell r="BF142" t="str">
            <v>N</v>
          </cell>
          <cell r="BG142">
            <v>1</v>
          </cell>
          <cell r="BH142">
            <v>38353</v>
          </cell>
          <cell r="BI142" t="str">
            <v>O</v>
          </cell>
        </row>
        <row r="143">
          <cell r="A143">
            <v>98902</v>
          </cell>
          <cell r="B143">
            <v>409</v>
          </cell>
          <cell r="C143" t="str">
            <v>X4032</v>
          </cell>
          <cell r="D143" t="str">
            <v>EL ORCHE</v>
          </cell>
          <cell r="E143" t="str">
            <v>EL ARBI</v>
          </cell>
          <cell r="F143">
            <v>19059</v>
          </cell>
          <cell r="G143" t="str">
            <v>1</v>
          </cell>
          <cell r="H143" t="str">
            <v>KHOURIBGA</v>
          </cell>
          <cell r="I143" t="str">
            <v>F</v>
          </cell>
          <cell r="J143">
            <v>27473</v>
          </cell>
          <cell r="K143">
            <v>33573</v>
          </cell>
          <cell r="L143" t="str">
            <v>42</v>
          </cell>
          <cell r="M143" t="str">
            <v>A</v>
          </cell>
          <cell r="N143">
            <v>33573</v>
          </cell>
          <cell r="P143">
            <v>28</v>
          </cell>
          <cell r="Q143" t="str">
            <v>O</v>
          </cell>
          <cell r="R143" t="str">
            <v>N</v>
          </cell>
          <cell r="S143">
            <v>0</v>
          </cell>
          <cell r="T143" t="str">
            <v>M</v>
          </cell>
          <cell r="U143" t="str">
            <v>NAZIH MALIKA</v>
          </cell>
          <cell r="X143">
            <v>4</v>
          </cell>
          <cell r="Y143">
            <v>3</v>
          </cell>
          <cell r="AB143" t="str">
            <v>X</v>
          </cell>
          <cell r="AC143" t="str">
            <v>X</v>
          </cell>
          <cell r="AD143" t="str">
            <v>X</v>
          </cell>
          <cell r="AH143" t="str">
            <v>O</v>
          </cell>
          <cell r="AI143" t="str">
            <v>N</v>
          </cell>
          <cell r="AK143" t="str">
            <v>7 RUE BEN GUERIR O C P   KHOURIBGA</v>
          </cell>
          <cell r="AL143" t="str">
            <v>5ASLM</v>
          </cell>
          <cell r="AM143" t="str">
            <v>CEP CES CFP EMM</v>
          </cell>
          <cell r="AP143" t="str">
            <v>Q 2474</v>
          </cell>
          <cell r="AQ143">
            <v>0</v>
          </cell>
          <cell r="AR143" t="str">
            <v>B</v>
          </cell>
          <cell r="AS143" t="str">
            <v>SGMB KHGA</v>
          </cell>
          <cell r="AT143" t="str">
            <v>670009103853</v>
          </cell>
          <cell r="AU143" t="str">
            <v>/  /</v>
          </cell>
          <cell r="AW143">
            <v>37438</v>
          </cell>
          <cell r="AY143" t="str">
            <v>XX</v>
          </cell>
          <cell r="AZ143" t="str">
            <v>M</v>
          </cell>
          <cell r="BA143" t="str">
            <v>8</v>
          </cell>
          <cell r="BB143">
            <v>1</v>
          </cell>
          <cell r="BD143">
            <v>0</v>
          </cell>
          <cell r="BE143" t="str">
            <v>M</v>
          </cell>
          <cell r="BF143" t="str">
            <v>N</v>
          </cell>
          <cell r="BG143">
            <v>1</v>
          </cell>
          <cell r="BH143">
            <v>37438</v>
          </cell>
          <cell r="BI143" t="str">
            <v>O</v>
          </cell>
        </row>
        <row r="144">
          <cell r="A144">
            <v>20345</v>
          </cell>
          <cell r="B144">
            <v>403</v>
          </cell>
          <cell r="C144" t="str">
            <v>C7002</v>
          </cell>
          <cell r="D144" t="str">
            <v>EL MHEF</v>
          </cell>
          <cell r="E144" t="str">
            <v>ABDENNASER</v>
          </cell>
          <cell r="F144">
            <v>21407</v>
          </cell>
          <cell r="G144" t="str">
            <v>1</v>
          </cell>
          <cell r="H144" t="str">
            <v>KHOURIBGA</v>
          </cell>
          <cell r="I144" t="str">
            <v>F</v>
          </cell>
          <cell r="J144">
            <v>29304</v>
          </cell>
          <cell r="K144">
            <v>35065</v>
          </cell>
          <cell r="L144" t="str">
            <v>33</v>
          </cell>
          <cell r="M144" t="str">
            <v>A</v>
          </cell>
          <cell r="N144">
            <v>35065</v>
          </cell>
          <cell r="P144">
            <v>23</v>
          </cell>
          <cell r="Q144" t="str">
            <v>O</v>
          </cell>
          <cell r="R144" t="str">
            <v>N</v>
          </cell>
          <cell r="S144">
            <v>0</v>
          </cell>
          <cell r="T144" t="str">
            <v>M</v>
          </cell>
          <cell r="U144" t="str">
            <v>SAFIRI MINA BT MOHAMED</v>
          </cell>
          <cell r="X144">
            <v>3</v>
          </cell>
          <cell r="Y144">
            <v>3</v>
          </cell>
          <cell r="AB144" t="str">
            <v>X</v>
          </cell>
          <cell r="AC144" t="str">
            <v>X</v>
          </cell>
          <cell r="AD144" t="str">
            <v>X</v>
          </cell>
          <cell r="AH144" t="str">
            <v>N</v>
          </cell>
          <cell r="AI144" t="str">
            <v>N</v>
          </cell>
          <cell r="AK144" t="str">
            <v>N 80 RUE DU HAMMAM - KHGA</v>
          </cell>
          <cell r="AL144" t="str">
            <v>4AS</v>
          </cell>
          <cell r="AM144" t="str">
            <v>CFP CFO</v>
          </cell>
          <cell r="AP144" t="str">
            <v>B 529196</v>
          </cell>
          <cell r="AQ144">
            <v>0</v>
          </cell>
          <cell r="AR144" t="str">
            <v>B</v>
          </cell>
          <cell r="AS144" t="str">
            <v>C.I.H  -  KHGA</v>
          </cell>
          <cell r="AT144" t="str">
            <v>7944804</v>
          </cell>
          <cell r="AU144" t="str">
            <v>/  /</v>
          </cell>
          <cell r="AW144">
            <v>39814</v>
          </cell>
          <cell r="AY144" t="str">
            <v>XX</v>
          </cell>
          <cell r="BA144" t="str">
            <v>2</v>
          </cell>
          <cell r="BB144">
            <v>1</v>
          </cell>
          <cell r="BD144">
            <v>0</v>
          </cell>
          <cell r="BE144" t="str">
            <v>M</v>
          </cell>
          <cell r="BF144" t="str">
            <v>N</v>
          </cell>
          <cell r="BG144">
            <v>1</v>
          </cell>
          <cell r="BH144">
            <v>39814</v>
          </cell>
        </row>
        <row r="145">
          <cell r="A145">
            <v>45663</v>
          </cell>
          <cell r="B145">
            <v>446</v>
          </cell>
          <cell r="C145" t="str">
            <v>C3152</v>
          </cell>
          <cell r="D145" t="str">
            <v>ZAIDA</v>
          </cell>
          <cell r="E145" t="str">
            <v>MOHAMED</v>
          </cell>
          <cell r="F145">
            <v>17654</v>
          </cell>
          <cell r="G145" t="str">
            <v>6</v>
          </cell>
          <cell r="H145" t="str">
            <v>M'FASSIS - KHOURIBGA</v>
          </cell>
          <cell r="I145" t="str">
            <v>D</v>
          </cell>
          <cell r="J145">
            <v>29278</v>
          </cell>
          <cell r="K145">
            <v>35096</v>
          </cell>
          <cell r="L145" t="str">
            <v>21</v>
          </cell>
          <cell r="M145" t="str">
            <v>A</v>
          </cell>
          <cell r="N145">
            <v>35096</v>
          </cell>
          <cell r="P145">
            <v>24</v>
          </cell>
          <cell r="Q145" t="str">
            <v>N</v>
          </cell>
          <cell r="R145" t="str">
            <v>O</v>
          </cell>
          <cell r="S145">
            <v>3</v>
          </cell>
          <cell r="T145" t="str">
            <v>M</v>
          </cell>
          <cell r="U145" t="str">
            <v>FATIMA BENT HADJ ATTI</v>
          </cell>
          <cell r="X145">
            <v>4</v>
          </cell>
          <cell r="Y145">
            <v>0</v>
          </cell>
          <cell r="AB145" t="str">
            <v>X</v>
          </cell>
          <cell r="AC145" t="str">
            <v>X</v>
          </cell>
          <cell r="AD145" t="str">
            <v>X</v>
          </cell>
          <cell r="AH145" t="str">
            <v>N</v>
          </cell>
          <cell r="AI145" t="str">
            <v>N</v>
          </cell>
          <cell r="AK145" t="str">
            <v>OULED AMOR MFASSIS</v>
          </cell>
          <cell r="AL145" t="str">
            <v>ILLETTRE</v>
          </cell>
          <cell r="AP145" t="str">
            <v>Q 80437</v>
          </cell>
          <cell r="AQ145">
            <v>0</v>
          </cell>
          <cell r="AR145" t="str">
            <v>B</v>
          </cell>
          <cell r="AS145" t="str">
            <v>POPULAIRE  KHGA</v>
          </cell>
          <cell r="AT145" t="str">
            <v>2111112865650001</v>
          </cell>
          <cell r="AU145" t="str">
            <v>/  /</v>
          </cell>
          <cell r="AW145">
            <v>38882</v>
          </cell>
          <cell r="AX145">
            <v>38882</v>
          </cell>
          <cell r="AY145" t="str">
            <v>XX</v>
          </cell>
          <cell r="BA145" t="str">
            <v>1</v>
          </cell>
          <cell r="BB145">
            <v>1</v>
          </cell>
          <cell r="BD145">
            <v>0</v>
          </cell>
          <cell r="BE145" t="str">
            <v>M</v>
          </cell>
          <cell r="BF145" t="str">
            <v>N</v>
          </cell>
          <cell r="BG145">
            <v>0</v>
          </cell>
          <cell r="BH145">
            <v>37803</v>
          </cell>
          <cell r="BI145" t="str">
            <v>O</v>
          </cell>
        </row>
        <row r="146">
          <cell r="A146">
            <v>72314</v>
          </cell>
          <cell r="B146">
            <v>403</v>
          </cell>
          <cell r="C146" t="str">
            <v>C2000</v>
          </cell>
          <cell r="D146" t="str">
            <v>TAHOURI</v>
          </cell>
          <cell r="E146" t="str">
            <v>MOHAMED</v>
          </cell>
          <cell r="F146">
            <v>19540</v>
          </cell>
          <cell r="G146" t="str">
            <v>1</v>
          </cell>
          <cell r="H146" t="str">
            <v>OULED BHAR SGHAR KHOURIBGA</v>
          </cell>
          <cell r="I146" t="str">
            <v>D</v>
          </cell>
          <cell r="J146">
            <v>29523</v>
          </cell>
          <cell r="K146">
            <v>31717</v>
          </cell>
          <cell r="L146" t="str">
            <v>12</v>
          </cell>
          <cell r="M146" t="str">
            <v>C</v>
          </cell>
          <cell r="N146">
            <v>36100</v>
          </cell>
          <cell r="P146">
            <v>22</v>
          </cell>
          <cell r="Q146" t="str">
            <v>O</v>
          </cell>
          <cell r="R146" t="str">
            <v>N</v>
          </cell>
          <cell r="S146">
            <v>0</v>
          </cell>
          <cell r="T146" t="str">
            <v>M</v>
          </cell>
          <cell r="U146" t="str">
            <v>FATIMA BENT AHMED</v>
          </cell>
          <cell r="X146">
            <v>6</v>
          </cell>
          <cell r="Y146">
            <v>2</v>
          </cell>
          <cell r="AB146" t="str">
            <v>X</v>
          </cell>
          <cell r="AC146" t="str">
            <v>X</v>
          </cell>
          <cell r="AD146" t="str">
            <v>X</v>
          </cell>
          <cell r="AH146" t="str">
            <v>N</v>
          </cell>
          <cell r="AI146" t="str">
            <v>N</v>
          </cell>
          <cell r="AK146" t="str">
            <v>DOUAR CHORFA MFASSIS HATTANE KHOURIBGA</v>
          </cell>
          <cell r="AL146" t="str">
            <v>ILLETTRE</v>
          </cell>
          <cell r="AP146" t="str">
            <v>Q 33567</v>
          </cell>
          <cell r="AQ146">
            <v>0</v>
          </cell>
          <cell r="AR146" t="str">
            <v>B</v>
          </cell>
          <cell r="AS146" t="str">
            <v>C.AGRICOLE KHGA</v>
          </cell>
          <cell r="AT146" t="str">
            <v>0805702N601</v>
          </cell>
          <cell r="AU146" t="str">
            <v>/  /</v>
          </cell>
          <cell r="AW146">
            <v>39264</v>
          </cell>
          <cell r="AY146" t="str">
            <v>XX</v>
          </cell>
          <cell r="BA146" t="str">
            <v>1</v>
          </cell>
          <cell r="BB146">
            <v>1</v>
          </cell>
          <cell r="BD146">
            <v>0</v>
          </cell>
          <cell r="BE146" t="str">
            <v>M</v>
          </cell>
          <cell r="BF146" t="str">
            <v>N</v>
          </cell>
          <cell r="BG146">
            <v>11</v>
          </cell>
          <cell r="BH146">
            <v>39264</v>
          </cell>
          <cell r="BI146" t="str">
            <v>O</v>
          </cell>
        </row>
        <row r="147">
          <cell r="A147">
            <v>72319</v>
          </cell>
          <cell r="B147">
            <v>418</v>
          </cell>
          <cell r="C147" t="str">
            <v>C3050</v>
          </cell>
          <cell r="D147" t="str">
            <v>MOUTIMI</v>
          </cell>
          <cell r="E147" t="str">
            <v>EL ARBI</v>
          </cell>
          <cell r="F147">
            <v>21027</v>
          </cell>
          <cell r="G147" t="str">
            <v>1</v>
          </cell>
          <cell r="H147" t="str">
            <v>OULED BHAR KBAR KHOURIBGA</v>
          </cell>
          <cell r="I147" t="str">
            <v>D</v>
          </cell>
          <cell r="J147">
            <v>29525</v>
          </cell>
          <cell r="K147">
            <v>36526</v>
          </cell>
          <cell r="L147" t="str">
            <v>21</v>
          </cell>
          <cell r="M147" t="str">
            <v>A</v>
          </cell>
          <cell r="N147">
            <v>36526</v>
          </cell>
          <cell r="P147">
            <v>22</v>
          </cell>
          <cell r="Q147" t="str">
            <v>O</v>
          </cell>
          <cell r="R147" t="str">
            <v>N</v>
          </cell>
          <cell r="S147">
            <v>0</v>
          </cell>
          <cell r="T147" t="str">
            <v>M</v>
          </cell>
          <cell r="U147" t="str">
            <v>HARBALI KHADDOUJ</v>
          </cell>
          <cell r="X147">
            <v>5</v>
          </cell>
          <cell r="Y147">
            <v>5</v>
          </cell>
          <cell r="AB147" t="str">
            <v>X</v>
          </cell>
          <cell r="AC147" t="str">
            <v>X</v>
          </cell>
          <cell r="AD147" t="str">
            <v>X</v>
          </cell>
          <cell r="AH147" t="str">
            <v>N</v>
          </cell>
          <cell r="AI147" t="str">
            <v>N</v>
          </cell>
          <cell r="AK147" t="str">
            <v>234 ANCIEN TACHERON O.C.P - BOUJNIBA</v>
          </cell>
          <cell r="AL147" t="str">
            <v>ILLETTRE</v>
          </cell>
          <cell r="AP147" t="str">
            <v>Q 84643</v>
          </cell>
          <cell r="AQ147">
            <v>0</v>
          </cell>
          <cell r="AR147" t="str">
            <v>C</v>
          </cell>
          <cell r="AU147" t="str">
            <v>/  /</v>
          </cell>
          <cell r="AW147">
            <v>39448</v>
          </cell>
          <cell r="AY147" t="str">
            <v>XX</v>
          </cell>
          <cell r="BA147" t="str">
            <v>2</v>
          </cell>
          <cell r="BB147">
            <v>1</v>
          </cell>
          <cell r="BD147">
            <v>0</v>
          </cell>
          <cell r="BE147" t="str">
            <v>M</v>
          </cell>
          <cell r="BF147" t="str">
            <v>N</v>
          </cell>
          <cell r="BG147">
            <v>50</v>
          </cell>
          <cell r="BH147">
            <v>39448</v>
          </cell>
        </row>
        <row r="148">
          <cell r="A148">
            <v>72339</v>
          </cell>
          <cell r="B148">
            <v>468</v>
          </cell>
          <cell r="C148" t="str">
            <v>C2152</v>
          </cell>
          <cell r="D148" t="str">
            <v>EL MOUMINI</v>
          </cell>
          <cell r="E148" t="str">
            <v>DAHO</v>
          </cell>
          <cell r="F148">
            <v>20636</v>
          </cell>
          <cell r="G148" t="str">
            <v>1</v>
          </cell>
          <cell r="H148" t="str">
            <v>KHOURIBGA</v>
          </cell>
          <cell r="I148" t="str">
            <v>D</v>
          </cell>
          <cell r="J148">
            <v>29532</v>
          </cell>
          <cell r="K148">
            <v>31747</v>
          </cell>
          <cell r="L148" t="str">
            <v>12</v>
          </cell>
          <cell r="M148" t="str">
            <v>C</v>
          </cell>
          <cell r="N148">
            <v>36130</v>
          </cell>
          <cell r="P148">
            <v>22</v>
          </cell>
          <cell r="Q148" t="str">
            <v>O</v>
          </cell>
          <cell r="R148" t="str">
            <v>N</v>
          </cell>
          <cell r="S148">
            <v>0</v>
          </cell>
          <cell r="T148" t="str">
            <v>M</v>
          </cell>
          <cell r="U148" t="str">
            <v>MOULOUDA BENT SALAH</v>
          </cell>
          <cell r="X148">
            <v>8</v>
          </cell>
          <cell r="Y148">
            <v>5</v>
          </cell>
          <cell r="AB148" t="str">
            <v>X</v>
          </cell>
          <cell r="AC148" t="str">
            <v>X</v>
          </cell>
          <cell r="AD148" t="str">
            <v>X</v>
          </cell>
          <cell r="AH148" t="str">
            <v>N</v>
          </cell>
          <cell r="AI148" t="str">
            <v>N</v>
          </cell>
          <cell r="AK148" t="str">
            <v>432,VILLAGE OCP BOUJNIBA</v>
          </cell>
          <cell r="AL148" t="str">
            <v>CM2</v>
          </cell>
          <cell r="AP148" t="str">
            <v>QA 6325</v>
          </cell>
          <cell r="AQ148">
            <v>0</v>
          </cell>
          <cell r="AR148" t="str">
            <v>B</v>
          </cell>
          <cell r="AS148" t="str">
            <v>WAFABANK - KHGA</v>
          </cell>
          <cell r="AT148" t="str">
            <v>1220301199435</v>
          </cell>
          <cell r="AU148" t="str">
            <v>/  /</v>
          </cell>
          <cell r="AW148">
            <v>39264</v>
          </cell>
          <cell r="AY148" t="str">
            <v>XX</v>
          </cell>
          <cell r="BA148" t="str">
            <v>1</v>
          </cell>
          <cell r="BB148">
            <v>1</v>
          </cell>
          <cell r="BD148">
            <v>0</v>
          </cell>
          <cell r="BE148" t="str">
            <v>M</v>
          </cell>
          <cell r="BF148" t="str">
            <v>N</v>
          </cell>
          <cell r="BG148">
            <v>51</v>
          </cell>
          <cell r="BH148">
            <v>39264</v>
          </cell>
        </row>
        <row r="149">
          <cell r="A149">
            <v>72330</v>
          </cell>
          <cell r="B149">
            <v>416</v>
          </cell>
          <cell r="C149" t="str">
            <v>C3050</v>
          </cell>
          <cell r="D149" t="str">
            <v>AKRACHE</v>
          </cell>
          <cell r="E149" t="str">
            <v>EL MATI</v>
          </cell>
          <cell r="F149">
            <v>20843</v>
          </cell>
          <cell r="G149" t="str">
            <v>1</v>
          </cell>
          <cell r="H149" t="str">
            <v>OULED BHAR KBAR KHOURIBGA</v>
          </cell>
          <cell r="I149" t="str">
            <v>D</v>
          </cell>
          <cell r="J149">
            <v>29535</v>
          </cell>
          <cell r="K149">
            <v>36526</v>
          </cell>
          <cell r="L149" t="str">
            <v>21</v>
          </cell>
          <cell r="M149" t="str">
            <v>A</v>
          </cell>
          <cell r="N149">
            <v>36526</v>
          </cell>
          <cell r="O149">
            <v>0</v>
          </cell>
          <cell r="P149">
            <v>22</v>
          </cell>
          <cell r="Q149" t="str">
            <v>O</v>
          </cell>
          <cell r="R149" t="str">
            <v>N</v>
          </cell>
          <cell r="S149">
            <v>0</v>
          </cell>
          <cell r="T149" t="str">
            <v>M</v>
          </cell>
          <cell r="U149" t="str">
            <v>KHADIJA BENT MED</v>
          </cell>
          <cell r="X149">
            <v>5</v>
          </cell>
          <cell r="Y149">
            <v>2</v>
          </cell>
          <cell r="AB149" t="str">
            <v>X</v>
          </cell>
          <cell r="AC149" t="str">
            <v>X</v>
          </cell>
          <cell r="AD149" t="str">
            <v>X</v>
          </cell>
          <cell r="AH149" t="str">
            <v>N</v>
          </cell>
          <cell r="AI149" t="str">
            <v>N</v>
          </cell>
          <cell r="AK149" t="str">
            <v>952 VILLAGE O C P BOULANOIR</v>
          </cell>
          <cell r="AL149" t="str">
            <v>ILLETTRE</v>
          </cell>
          <cell r="AP149" t="str">
            <v>Q 34130</v>
          </cell>
          <cell r="AQ149">
            <v>0</v>
          </cell>
          <cell r="AR149" t="str">
            <v>B</v>
          </cell>
          <cell r="AS149" t="str">
            <v>WAFA BANQUE KHGA</v>
          </cell>
          <cell r="AT149" t="str">
            <v>1220301440521</v>
          </cell>
          <cell r="AU149" t="str">
            <v>/  /</v>
          </cell>
          <cell r="AW149">
            <v>39264</v>
          </cell>
          <cell r="AY149" t="str">
            <v>XX</v>
          </cell>
          <cell r="BA149" t="str">
            <v>2</v>
          </cell>
          <cell r="BB149">
            <v>1</v>
          </cell>
          <cell r="BD149">
            <v>0</v>
          </cell>
          <cell r="BE149" t="str">
            <v>M</v>
          </cell>
          <cell r="BF149" t="str">
            <v>N</v>
          </cell>
          <cell r="BG149">
            <v>40</v>
          </cell>
          <cell r="BH149">
            <v>39264</v>
          </cell>
        </row>
        <row r="150">
          <cell r="A150">
            <v>72627</v>
          </cell>
          <cell r="B150">
            <v>418</v>
          </cell>
          <cell r="C150" t="str">
            <v>C2152</v>
          </cell>
          <cell r="D150" t="str">
            <v>AZRAI</v>
          </cell>
          <cell r="E150" t="str">
            <v>EL HADI</v>
          </cell>
          <cell r="F150">
            <v>20556</v>
          </cell>
          <cell r="G150" t="str">
            <v>3</v>
          </cell>
          <cell r="H150" t="str">
            <v>BOUJNIBA</v>
          </cell>
          <cell r="I150" t="str">
            <v>D</v>
          </cell>
          <cell r="J150">
            <v>29746</v>
          </cell>
          <cell r="K150">
            <v>31959</v>
          </cell>
          <cell r="L150" t="str">
            <v>12</v>
          </cell>
          <cell r="M150" t="str">
            <v>C</v>
          </cell>
          <cell r="N150">
            <v>36342</v>
          </cell>
          <cell r="P150">
            <v>21</v>
          </cell>
          <cell r="Q150" t="str">
            <v>O</v>
          </cell>
          <cell r="R150" t="str">
            <v>N</v>
          </cell>
          <cell r="S150">
            <v>0</v>
          </cell>
          <cell r="T150" t="str">
            <v>M</v>
          </cell>
          <cell r="U150" t="str">
            <v>FATIMA BENT LAKBIR</v>
          </cell>
          <cell r="V150" t="str">
            <v>NEZHA BENT LAKBIR</v>
          </cell>
          <cell r="X150">
            <v>10</v>
          </cell>
          <cell r="Y150">
            <v>6</v>
          </cell>
          <cell r="AB150" t="str">
            <v>X</v>
          </cell>
          <cell r="AC150" t="str">
            <v>X</v>
          </cell>
          <cell r="AD150" t="str">
            <v>X</v>
          </cell>
          <cell r="AH150" t="str">
            <v>N</v>
          </cell>
          <cell r="AI150" t="str">
            <v>N</v>
          </cell>
          <cell r="AK150" t="str">
            <v>402 VILLAGE OCP BOUJNIBA</v>
          </cell>
          <cell r="AL150" t="str">
            <v>CM2</v>
          </cell>
          <cell r="AP150" t="str">
            <v>Q 43124</v>
          </cell>
          <cell r="AQ150">
            <v>0</v>
          </cell>
          <cell r="AR150" t="str">
            <v>B</v>
          </cell>
          <cell r="AS150" t="str">
            <v>WAFABANQUE-KHGA</v>
          </cell>
          <cell r="AT150" t="str">
            <v>1220301204586</v>
          </cell>
          <cell r="AU150" t="str">
            <v>/  /</v>
          </cell>
          <cell r="AW150">
            <v>39448</v>
          </cell>
          <cell r="AY150" t="str">
            <v>XX</v>
          </cell>
          <cell r="BA150" t="str">
            <v>1</v>
          </cell>
          <cell r="BB150">
            <v>1</v>
          </cell>
          <cell r="BD150">
            <v>0</v>
          </cell>
          <cell r="BE150" t="str">
            <v>M</v>
          </cell>
          <cell r="BF150" t="str">
            <v>N</v>
          </cell>
          <cell r="BG150">
            <v>50</v>
          </cell>
          <cell r="BH150">
            <v>39448</v>
          </cell>
          <cell r="BI150" t="str">
            <v>O</v>
          </cell>
        </row>
        <row r="151">
          <cell r="A151">
            <v>72887</v>
          </cell>
          <cell r="B151">
            <v>428</v>
          </cell>
          <cell r="C151" t="str">
            <v>C2152</v>
          </cell>
          <cell r="D151" t="str">
            <v>EN NAOUR</v>
          </cell>
          <cell r="E151" t="str">
            <v>EL MOSTAFA</v>
          </cell>
          <cell r="F151">
            <v>20636</v>
          </cell>
          <cell r="G151" t="str">
            <v>6</v>
          </cell>
          <cell r="H151" t="str">
            <v>OULAD AZZOUZ</v>
          </cell>
          <cell r="I151" t="str">
            <v>D</v>
          </cell>
          <cell r="J151">
            <v>29824</v>
          </cell>
          <cell r="K151">
            <v>32021</v>
          </cell>
          <cell r="L151" t="str">
            <v>12</v>
          </cell>
          <cell r="M151" t="str">
            <v>C</v>
          </cell>
          <cell r="N151">
            <v>36404</v>
          </cell>
          <cell r="P151">
            <v>21</v>
          </cell>
          <cell r="Q151" t="str">
            <v>N</v>
          </cell>
          <cell r="R151" t="str">
            <v>O</v>
          </cell>
          <cell r="S151">
            <v>3</v>
          </cell>
          <cell r="T151" t="str">
            <v>M</v>
          </cell>
          <cell r="U151" t="str">
            <v>ZOHRA BENT EL MATI</v>
          </cell>
          <cell r="X151">
            <v>6</v>
          </cell>
          <cell r="Y151">
            <v>3</v>
          </cell>
          <cell r="AB151" t="str">
            <v>X</v>
          </cell>
          <cell r="AC151" t="str">
            <v>X</v>
          </cell>
          <cell r="AD151" t="str">
            <v>X</v>
          </cell>
          <cell r="AH151" t="str">
            <v>N</v>
          </cell>
          <cell r="AI151" t="str">
            <v>N</v>
          </cell>
          <cell r="AK151" t="str">
            <v>DOUAR OULAD CHAOUI - OULED AZZOUZ</v>
          </cell>
          <cell r="AL151" t="str">
            <v>ILLETTRE</v>
          </cell>
          <cell r="AP151" t="str">
            <v>Q 80698</v>
          </cell>
          <cell r="AQ151">
            <v>0</v>
          </cell>
          <cell r="AR151" t="str">
            <v>C</v>
          </cell>
          <cell r="AU151" t="str">
            <v>/  /</v>
          </cell>
          <cell r="AW151">
            <v>39448</v>
          </cell>
          <cell r="AY151" t="str">
            <v>XX</v>
          </cell>
          <cell r="BA151" t="str">
            <v>1</v>
          </cell>
          <cell r="BB151">
            <v>1</v>
          </cell>
          <cell r="BD151">
            <v>0</v>
          </cell>
          <cell r="BE151" t="str">
            <v>M</v>
          </cell>
          <cell r="BF151" t="str">
            <v>N</v>
          </cell>
          <cell r="BG151">
            <v>0</v>
          </cell>
          <cell r="BH151">
            <v>39448</v>
          </cell>
          <cell r="BI151" t="str">
            <v>O</v>
          </cell>
        </row>
        <row r="152">
          <cell r="A152">
            <v>72914</v>
          </cell>
          <cell r="B152">
            <v>418</v>
          </cell>
          <cell r="C152" t="str">
            <v>C2050</v>
          </cell>
          <cell r="D152" t="str">
            <v>EN NAHDA</v>
          </cell>
          <cell r="E152" t="str">
            <v>MOHAMMED</v>
          </cell>
          <cell r="F152">
            <v>19540</v>
          </cell>
          <cell r="G152" t="str">
            <v>1</v>
          </cell>
          <cell r="H152" t="str">
            <v>OULED BHAR KBAR KHOURIBGA</v>
          </cell>
          <cell r="I152" t="str">
            <v>D</v>
          </cell>
          <cell r="J152">
            <v>29826</v>
          </cell>
          <cell r="K152">
            <v>32021</v>
          </cell>
          <cell r="L152" t="str">
            <v>12</v>
          </cell>
          <cell r="M152" t="str">
            <v>C</v>
          </cell>
          <cell r="N152">
            <v>36404</v>
          </cell>
          <cell r="P152">
            <v>21</v>
          </cell>
          <cell r="Q152" t="str">
            <v>O</v>
          </cell>
          <cell r="R152" t="str">
            <v>N</v>
          </cell>
          <cell r="S152">
            <v>0</v>
          </cell>
          <cell r="T152" t="str">
            <v>M</v>
          </cell>
          <cell r="U152" t="str">
            <v>ZAHRA BENT HADJ RAFA</v>
          </cell>
          <cell r="X152">
            <v>6</v>
          </cell>
          <cell r="Y152">
            <v>0</v>
          </cell>
          <cell r="AB152" t="str">
            <v>X</v>
          </cell>
          <cell r="AC152" t="str">
            <v>X</v>
          </cell>
          <cell r="AD152" t="str">
            <v>X</v>
          </cell>
          <cell r="AH152" t="str">
            <v>N</v>
          </cell>
          <cell r="AI152" t="str">
            <v>N</v>
          </cell>
          <cell r="AK152" t="str">
            <v>572 VILLAGE OCP - BOUJNIBA</v>
          </cell>
          <cell r="AL152" t="str">
            <v>ILLETTRE</v>
          </cell>
          <cell r="AP152" t="str">
            <v>Q 23666</v>
          </cell>
          <cell r="AQ152">
            <v>0</v>
          </cell>
          <cell r="AR152" t="str">
            <v>B</v>
          </cell>
          <cell r="AS152" t="str">
            <v>POPULAIRE.KHGA</v>
          </cell>
          <cell r="AT152" t="str">
            <v>2111136312340007</v>
          </cell>
          <cell r="AU152" t="str">
            <v>/  /</v>
          </cell>
          <cell r="AW152">
            <v>39448</v>
          </cell>
          <cell r="AY152" t="str">
            <v>XX</v>
          </cell>
          <cell r="BA152" t="str">
            <v>2</v>
          </cell>
          <cell r="BB152">
            <v>1</v>
          </cell>
          <cell r="BD152">
            <v>0</v>
          </cell>
          <cell r="BE152" t="str">
            <v>M</v>
          </cell>
          <cell r="BF152" t="str">
            <v>N</v>
          </cell>
          <cell r="BG152">
            <v>50</v>
          </cell>
          <cell r="BH152">
            <v>39448</v>
          </cell>
        </row>
        <row r="153">
          <cell r="A153">
            <v>72942</v>
          </cell>
          <cell r="B153">
            <v>418</v>
          </cell>
          <cell r="C153" t="str">
            <v>C4152</v>
          </cell>
          <cell r="D153" t="str">
            <v>MAKNAOUI</v>
          </cell>
          <cell r="E153" t="str">
            <v>HAMID</v>
          </cell>
          <cell r="F153">
            <v>21001</v>
          </cell>
          <cell r="G153" t="str">
            <v>6</v>
          </cell>
          <cell r="H153" t="str">
            <v>M'FASSIS</v>
          </cell>
          <cell r="I153" t="str">
            <v>D</v>
          </cell>
          <cell r="J153">
            <v>29837</v>
          </cell>
          <cell r="K153">
            <v>36526</v>
          </cell>
          <cell r="L153" t="str">
            <v>22</v>
          </cell>
          <cell r="M153" t="str">
            <v>A</v>
          </cell>
          <cell r="N153">
            <v>36526</v>
          </cell>
          <cell r="P153">
            <v>21</v>
          </cell>
          <cell r="Q153" t="str">
            <v>O</v>
          </cell>
          <cell r="R153" t="str">
            <v>N</v>
          </cell>
          <cell r="S153">
            <v>0</v>
          </cell>
          <cell r="T153" t="str">
            <v>M</v>
          </cell>
          <cell r="U153" t="str">
            <v>RAHMA BENT MOHAMED</v>
          </cell>
          <cell r="X153">
            <v>4</v>
          </cell>
          <cell r="Y153">
            <v>4</v>
          </cell>
          <cell r="AB153" t="str">
            <v>X</v>
          </cell>
          <cell r="AC153" t="str">
            <v>X</v>
          </cell>
          <cell r="AD153" t="str">
            <v>X</v>
          </cell>
          <cell r="AH153" t="str">
            <v>N</v>
          </cell>
          <cell r="AI153" t="str">
            <v>N</v>
          </cell>
          <cell r="AK153" t="str">
            <v>993 VILLAGE O.C.P - HATTANE</v>
          </cell>
          <cell r="AL153" t="str">
            <v>ILLETTRE</v>
          </cell>
          <cell r="AP153" t="str">
            <v>Q 80497</v>
          </cell>
          <cell r="AQ153">
            <v>0</v>
          </cell>
          <cell r="AR153" t="str">
            <v>C</v>
          </cell>
          <cell r="AU153" t="str">
            <v>/  /</v>
          </cell>
          <cell r="AW153">
            <v>39448</v>
          </cell>
          <cell r="AY153" t="str">
            <v>XX</v>
          </cell>
          <cell r="BA153" t="str">
            <v>1</v>
          </cell>
          <cell r="BB153">
            <v>1</v>
          </cell>
          <cell r="BD153">
            <v>0</v>
          </cell>
          <cell r="BE153" t="str">
            <v>M</v>
          </cell>
          <cell r="BF153" t="str">
            <v>N</v>
          </cell>
          <cell r="BG153">
            <v>10</v>
          </cell>
          <cell r="BH153">
            <v>39630</v>
          </cell>
        </row>
        <row r="154">
          <cell r="A154">
            <v>73155</v>
          </cell>
          <cell r="B154">
            <v>468</v>
          </cell>
          <cell r="C154" t="str">
            <v>C2050</v>
          </cell>
          <cell r="D154" t="str">
            <v>KHOUADRI</v>
          </cell>
          <cell r="E154" t="str">
            <v>EL MOSTAFA</v>
          </cell>
          <cell r="F154">
            <v>21364</v>
          </cell>
          <cell r="G154" t="str">
            <v>1</v>
          </cell>
          <cell r="H154" t="str">
            <v>OULAD ABDOUNE</v>
          </cell>
          <cell r="I154" t="str">
            <v>D</v>
          </cell>
          <cell r="J154">
            <v>29950</v>
          </cell>
          <cell r="K154">
            <v>32021</v>
          </cell>
          <cell r="L154" t="str">
            <v>12</v>
          </cell>
          <cell r="M154" t="str">
            <v>C</v>
          </cell>
          <cell r="N154">
            <v>1</v>
          </cell>
          <cell r="P154">
            <v>21</v>
          </cell>
          <cell r="Q154" t="str">
            <v>O</v>
          </cell>
          <cell r="R154" t="str">
            <v>N</v>
          </cell>
          <cell r="S154">
            <v>0</v>
          </cell>
          <cell r="T154" t="str">
            <v>M</v>
          </cell>
          <cell r="U154" t="str">
            <v>KHADDOUJ BENT SALAH</v>
          </cell>
          <cell r="X154">
            <v>6</v>
          </cell>
          <cell r="Y154">
            <v>5</v>
          </cell>
          <cell r="AB154" t="str">
            <v>X</v>
          </cell>
          <cell r="AC154" t="str">
            <v>X</v>
          </cell>
          <cell r="AD154" t="str">
            <v>X</v>
          </cell>
          <cell r="AH154" t="str">
            <v>N</v>
          </cell>
          <cell r="AI154" t="str">
            <v>N</v>
          </cell>
          <cell r="AK154" t="str">
            <v>41 VILLAGE O.C.P BOUJNIBA</v>
          </cell>
          <cell r="AL154" t="str">
            <v>ILLETTRE</v>
          </cell>
          <cell r="AP154" t="str">
            <v>Q 81143</v>
          </cell>
          <cell r="AQ154">
            <v>0</v>
          </cell>
          <cell r="AR154" t="str">
            <v>B</v>
          </cell>
          <cell r="AS154" t="str">
            <v>BMCE - KHGA</v>
          </cell>
          <cell r="AT154" t="str">
            <v>4000001200001236904</v>
          </cell>
          <cell r="AU154" t="str">
            <v>/  /</v>
          </cell>
          <cell r="AW154">
            <v>39630</v>
          </cell>
          <cell r="AY154" t="str">
            <v>XX</v>
          </cell>
          <cell r="BA154" t="str">
            <v>2</v>
          </cell>
          <cell r="BB154">
            <v>1</v>
          </cell>
          <cell r="BD154">
            <v>0</v>
          </cell>
          <cell r="BE154" t="str">
            <v>M</v>
          </cell>
          <cell r="BF154" t="str">
            <v>N</v>
          </cell>
          <cell r="BG154">
            <v>50</v>
          </cell>
          <cell r="BH154">
            <v>39630</v>
          </cell>
        </row>
        <row r="155">
          <cell r="A155">
            <v>73164</v>
          </cell>
          <cell r="B155">
            <v>428</v>
          </cell>
          <cell r="C155" t="str">
            <v>C2050</v>
          </cell>
          <cell r="D155" t="str">
            <v>EL LOUZANI</v>
          </cell>
          <cell r="E155" t="str">
            <v>ECH CHERKI</v>
          </cell>
          <cell r="F155">
            <v>19175</v>
          </cell>
          <cell r="G155" t="str">
            <v>6</v>
          </cell>
          <cell r="H155" t="str">
            <v>OULED AZZOUZ</v>
          </cell>
          <cell r="I155" t="str">
            <v>D</v>
          </cell>
          <cell r="J155">
            <v>29965</v>
          </cell>
          <cell r="K155">
            <v>32174</v>
          </cell>
          <cell r="L155" t="str">
            <v>12</v>
          </cell>
          <cell r="M155" t="str">
            <v>C</v>
          </cell>
          <cell r="N155">
            <v>32</v>
          </cell>
          <cell r="P155">
            <v>21</v>
          </cell>
          <cell r="Q155" t="str">
            <v>N</v>
          </cell>
          <cell r="R155" t="str">
            <v>O</v>
          </cell>
          <cell r="S155">
            <v>3</v>
          </cell>
          <cell r="T155" t="str">
            <v>M</v>
          </cell>
          <cell r="U155" t="str">
            <v>FATIMA BENT SALAH</v>
          </cell>
          <cell r="X155">
            <v>7</v>
          </cell>
          <cell r="Y155">
            <v>5</v>
          </cell>
          <cell r="AB155" t="str">
            <v>X</v>
          </cell>
          <cell r="AC155" t="str">
            <v>X</v>
          </cell>
          <cell r="AD155" t="str">
            <v>X</v>
          </cell>
          <cell r="AH155" t="str">
            <v>N</v>
          </cell>
          <cell r="AI155" t="str">
            <v>N</v>
          </cell>
          <cell r="AK155" t="str">
            <v>DOUAR LAQOUARA OULED AZZOUZ</v>
          </cell>
          <cell r="AL155" t="str">
            <v>ILLETTRE</v>
          </cell>
          <cell r="AP155" t="str">
            <v>Q 80670</v>
          </cell>
          <cell r="AQ155">
            <v>0</v>
          </cell>
          <cell r="AR155" t="str">
            <v>C</v>
          </cell>
          <cell r="AU155" t="str">
            <v>/  /</v>
          </cell>
          <cell r="AW155">
            <v>39264</v>
          </cell>
          <cell r="AY155" t="str">
            <v>XX</v>
          </cell>
          <cell r="BA155" t="str">
            <v>2</v>
          </cell>
          <cell r="BB155">
            <v>1</v>
          </cell>
          <cell r="BD155">
            <v>0</v>
          </cell>
          <cell r="BE155" t="str">
            <v>M</v>
          </cell>
          <cell r="BF155" t="str">
            <v>N</v>
          </cell>
          <cell r="BG155">
            <v>0</v>
          </cell>
          <cell r="BH155">
            <v>39264</v>
          </cell>
          <cell r="BI155" t="str">
            <v>O</v>
          </cell>
        </row>
        <row r="156">
          <cell r="A156">
            <v>73195</v>
          </cell>
          <cell r="B156">
            <v>421</v>
          </cell>
          <cell r="C156" t="str">
            <v>C6002</v>
          </cell>
          <cell r="D156" t="str">
            <v>EL KREM</v>
          </cell>
          <cell r="E156" t="str">
            <v>ES SEDDIK</v>
          </cell>
          <cell r="F156">
            <v>21832</v>
          </cell>
          <cell r="G156" t="str">
            <v>1</v>
          </cell>
          <cell r="H156" t="str">
            <v>KHOURIBGA</v>
          </cell>
          <cell r="I156" t="str">
            <v>D</v>
          </cell>
          <cell r="J156">
            <v>29985</v>
          </cell>
          <cell r="K156">
            <v>35065</v>
          </cell>
          <cell r="L156" t="str">
            <v>32</v>
          </cell>
          <cell r="M156" t="str">
            <v>A</v>
          </cell>
          <cell r="N156">
            <v>35065</v>
          </cell>
          <cell r="P156">
            <v>22</v>
          </cell>
          <cell r="Q156" t="str">
            <v>O</v>
          </cell>
          <cell r="R156" t="str">
            <v>N</v>
          </cell>
          <cell r="S156">
            <v>0</v>
          </cell>
          <cell r="T156" t="str">
            <v>M</v>
          </cell>
          <cell r="U156" t="str">
            <v>ZAHRA BENT HOUCINE</v>
          </cell>
          <cell r="X156">
            <v>3</v>
          </cell>
          <cell r="Y156">
            <v>3</v>
          </cell>
          <cell r="AB156" t="str">
            <v>X</v>
          </cell>
          <cell r="AC156" t="str">
            <v>X</v>
          </cell>
          <cell r="AD156" t="str">
            <v>X</v>
          </cell>
          <cell r="AH156" t="str">
            <v>N</v>
          </cell>
          <cell r="AI156" t="str">
            <v>N</v>
          </cell>
          <cell r="AK156" t="str">
            <v>DERB OD AROUI RUE OD BRAHIM N 78 KHGA</v>
          </cell>
          <cell r="AL156" t="str">
            <v>5AS</v>
          </cell>
          <cell r="AM156" t="str">
            <v>CQP(TOLORIE SOUDURE)</v>
          </cell>
          <cell r="AP156" t="str">
            <v>Q 66909</v>
          </cell>
          <cell r="AQ156">
            <v>0</v>
          </cell>
          <cell r="AR156" t="str">
            <v>C</v>
          </cell>
          <cell r="AU156" t="str">
            <v>/  /</v>
          </cell>
          <cell r="AW156">
            <v>40179</v>
          </cell>
          <cell r="AY156" t="str">
            <v>XX</v>
          </cell>
          <cell r="AZ156" t="str">
            <v>R</v>
          </cell>
          <cell r="BA156" t="str">
            <v>2</v>
          </cell>
          <cell r="BB156">
            <v>1</v>
          </cell>
          <cell r="BD156">
            <v>0</v>
          </cell>
          <cell r="BE156" t="str">
            <v>M</v>
          </cell>
          <cell r="BF156" t="str">
            <v>N</v>
          </cell>
          <cell r="BG156">
            <v>1</v>
          </cell>
          <cell r="BH156">
            <v>40179</v>
          </cell>
        </row>
        <row r="157">
          <cell r="A157">
            <v>73291</v>
          </cell>
          <cell r="B157">
            <v>418</v>
          </cell>
          <cell r="C157" t="str">
            <v>C2050</v>
          </cell>
          <cell r="D157" t="str">
            <v>GUAROUACH</v>
          </cell>
          <cell r="E157" t="str">
            <v>SALAH</v>
          </cell>
          <cell r="F157">
            <v>19540</v>
          </cell>
          <cell r="G157" t="str">
            <v>1</v>
          </cell>
          <cell r="H157" t="str">
            <v>OULED BHAR SGHAR KHOURIBGA</v>
          </cell>
          <cell r="I157" t="str">
            <v>D</v>
          </cell>
          <cell r="J157">
            <v>30032</v>
          </cell>
          <cell r="K157">
            <v>32234</v>
          </cell>
          <cell r="L157" t="str">
            <v>12</v>
          </cell>
          <cell r="M157" t="str">
            <v>C</v>
          </cell>
          <cell r="N157">
            <v>92</v>
          </cell>
          <cell r="P157">
            <v>21</v>
          </cell>
          <cell r="Q157" t="str">
            <v>N</v>
          </cell>
          <cell r="R157" t="str">
            <v>O</v>
          </cell>
          <cell r="S157">
            <v>3</v>
          </cell>
          <cell r="T157" t="str">
            <v>M</v>
          </cell>
          <cell r="U157" t="str">
            <v>MINA BENT ABIDA</v>
          </cell>
          <cell r="X157">
            <v>7</v>
          </cell>
          <cell r="Y157">
            <v>6</v>
          </cell>
          <cell r="AB157" t="str">
            <v>X</v>
          </cell>
          <cell r="AC157" t="str">
            <v>X</v>
          </cell>
          <cell r="AD157" t="str">
            <v>X</v>
          </cell>
          <cell r="AH157" t="str">
            <v>N</v>
          </cell>
          <cell r="AI157" t="str">
            <v>N</v>
          </cell>
          <cell r="AK157" t="str">
            <v>DOUAR OULED BOUAZZA B KACEM M'FASSIS</v>
          </cell>
          <cell r="AL157" t="str">
            <v>ILLETTRE</v>
          </cell>
          <cell r="AP157" t="str">
            <v>Q 81313</v>
          </cell>
          <cell r="AQ157">
            <v>0</v>
          </cell>
          <cell r="AR157" t="str">
            <v>B</v>
          </cell>
          <cell r="AS157" t="str">
            <v>WAFABANK - KHGA</v>
          </cell>
          <cell r="AT157" t="str">
            <v>1220301148006</v>
          </cell>
          <cell r="AU157" t="str">
            <v>/  /</v>
          </cell>
          <cell r="AW157">
            <v>39630</v>
          </cell>
          <cell r="AY157" t="str">
            <v>XX</v>
          </cell>
          <cell r="BA157" t="str">
            <v>2</v>
          </cell>
          <cell r="BB157">
            <v>1</v>
          </cell>
          <cell r="BD157">
            <v>0</v>
          </cell>
          <cell r="BE157" t="str">
            <v>M</v>
          </cell>
          <cell r="BF157" t="str">
            <v>N</v>
          </cell>
          <cell r="BG157">
            <v>0</v>
          </cell>
          <cell r="BH157">
            <v>39630</v>
          </cell>
          <cell r="BI157" t="str">
            <v>O</v>
          </cell>
        </row>
        <row r="158">
          <cell r="A158">
            <v>73440</v>
          </cell>
          <cell r="B158">
            <v>432</v>
          </cell>
          <cell r="C158" t="str">
            <v>C3001</v>
          </cell>
          <cell r="D158" t="str">
            <v>MOURAZIQ</v>
          </cell>
          <cell r="E158" t="str">
            <v>M HAMED</v>
          </cell>
          <cell r="F158">
            <v>20636</v>
          </cell>
          <cell r="G158" t="str">
            <v>1</v>
          </cell>
          <cell r="H158" t="str">
            <v>OULED BHAR KBAR KHOURIBGA</v>
          </cell>
          <cell r="I158" t="str">
            <v>D</v>
          </cell>
          <cell r="J158">
            <v>30118</v>
          </cell>
          <cell r="K158">
            <v>36526</v>
          </cell>
          <cell r="L158" t="str">
            <v>21</v>
          </cell>
          <cell r="M158" t="str">
            <v>A</v>
          </cell>
          <cell r="N158">
            <v>36526</v>
          </cell>
          <cell r="O158">
            <v>0</v>
          </cell>
          <cell r="P158">
            <v>20</v>
          </cell>
          <cell r="Q158" t="str">
            <v>O</v>
          </cell>
          <cell r="R158" t="str">
            <v>N</v>
          </cell>
          <cell r="S158">
            <v>0</v>
          </cell>
          <cell r="T158" t="str">
            <v>M</v>
          </cell>
          <cell r="U158" t="str">
            <v>TAHORI ASSIA BENT HADJ M HAMED</v>
          </cell>
          <cell r="X158">
            <v>8</v>
          </cell>
          <cell r="Y158">
            <v>6</v>
          </cell>
          <cell r="AB158" t="str">
            <v>X</v>
          </cell>
          <cell r="AC158" t="str">
            <v>X</v>
          </cell>
          <cell r="AD158" t="str">
            <v>X</v>
          </cell>
          <cell r="AH158" t="str">
            <v>N</v>
          </cell>
          <cell r="AI158" t="str">
            <v>N</v>
          </cell>
          <cell r="AK158" t="str">
            <v>269 HAY EL QODS - KHOURIBGA</v>
          </cell>
          <cell r="AL158" t="str">
            <v>1AS</v>
          </cell>
          <cell r="AP158" t="str">
            <v>Q 44416</v>
          </cell>
          <cell r="AQ158">
            <v>0</v>
          </cell>
          <cell r="AR158" t="str">
            <v>B</v>
          </cell>
          <cell r="AS158" t="str">
            <v>BCM - KHGA</v>
          </cell>
          <cell r="AT158" t="str">
            <v>269V300069</v>
          </cell>
          <cell r="AU158" t="str">
            <v>/  /</v>
          </cell>
          <cell r="AW158">
            <v>39814</v>
          </cell>
          <cell r="AY158" t="str">
            <v>XX</v>
          </cell>
          <cell r="BA158" t="str">
            <v>2</v>
          </cell>
          <cell r="BB158">
            <v>1</v>
          </cell>
          <cell r="BD158">
            <v>0</v>
          </cell>
          <cell r="BE158" t="str">
            <v>M</v>
          </cell>
          <cell r="BF158" t="str">
            <v>N</v>
          </cell>
          <cell r="BG158">
            <v>1</v>
          </cell>
          <cell r="BH158">
            <v>39814</v>
          </cell>
          <cell r="BI158" t="str">
            <v>O</v>
          </cell>
        </row>
        <row r="159">
          <cell r="A159">
            <v>73696</v>
          </cell>
          <cell r="B159">
            <v>418</v>
          </cell>
          <cell r="C159" t="str">
            <v>C3152</v>
          </cell>
          <cell r="D159" t="str">
            <v>MOUAHHIDI</v>
          </cell>
          <cell r="E159" t="str">
            <v>EL ARBI</v>
          </cell>
          <cell r="F159">
            <v>20455</v>
          </cell>
          <cell r="G159" t="str">
            <v>3</v>
          </cell>
          <cell r="H159" t="str">
            <v>BOUJNIBA</v>
          </cell>
          <cell r="I159" t="str">
            <v>D</v>
          </cell>
          <cell r="J159">
            <v>30238</v>
          </cell>
          <cell r="K159">
            <v>36526</v>
          </cell>
          <cell r="L159" t="str">
            <v>21</v>
          </cell>
          <cell r="M159" t="str">
            <v>A</v>
          </cell>
          <cell r="N159">
            <v>36526</v>
          </cell>
          <cell r="P159">
            <v>20</v>
          </cell>
          <cell r="Q159" t="str">
            <v>O</v>
          </cell>
          <cell r="R159" t="str">
            <v>N</v>
          </cell>
          <cell r="S159">
            <v>0</v>
          </cell>
          <cell r="T159" t="str">
            <v>M</v>
          </cell>
          <cell r="U159" t="str">
            <v>MINA BENT MILOUDI</v>
          </cell>
          <cell r="X159">
            <v>4</v>
          </cell>
          <cell r="Y159">
            <v>4</v>
          </cell>
          <cell r="AB159" t="str">
            <v>X</v>
          </cell>
          <cell r="AC159" t="str">
            <v>X</v>
          </cell>
          <cell r="AD159" t="str">
            <v>X</v>
          </cell>
          <cell r="AH159" t="str">
            <v>N</v>
          </cell>
          <cell r="AI159" t="str">
            <v>N</v>
          </cell>
          <cell r="AK159" t="str">
            <v>711 VILLAGE O.C.P BOUJNIBA</v>
          </cell>
          <cell r="AL159" t="str">
            <v>ILLETTRE</v>
          </cell>
          <cell r="AP159" t="str">
            <v>Q 83239</v>
          </cell>
          <cell r="AQ159">
            <v>0</v>
          </cell>
          <cell r="AR159" t="str">
            <v>C</v>
          </cell>
          <cell r="AU159" t="str">
            <v>/  /</v>
          </cell>
          <cell r="AW159">
            <v>39995</v>
          </cell>
          <cell r="AY159" t="str">
            <v>XX</v>
          </cell>
          <cell r="BA159" t="str">
            <v>1</v>
          </cell>
          <cell r="BB159">
            <v>1</v>
          </cell>
          <cell r="BD159">
            <v>0</v>
          </cell>
          <cell r="BE159" t="str">
            <v>M</v>
          </cell>
          <cell r="BF159" t="str">
            <v>N</v>
          </cell>
          <cell r="BG159">
            <v>50</v>
          </cell>
          <cell r="BH159">
            <v>39995</v>
          </cell>
        </row>
        <row r="160">
          <cell r="A160">
            <v>73714</v>
          </cell>
          <cell r="B160">
            <v>446</v>
          </cell>
          <cell r="C160" t="str">
            <v>C2152</v>
          </cell>
          <cell r="D160" t="str">
            <v>HADEF</v>
          </cell>
          <cell r="E160" t="str">
            <v>ABBES</v>
          </cell>
          <cell r="F160">
            <v>21001</v>
          </cell>
          <cell r="G160" t="str">
            <v>1</v>
          </cell>
          <cell r="H160" t="str">
            <v>OULED BHAR KBAR KHOURIBGA</v>
          </cell>
          <cell r="I160" t="str">
            <v>D</v>
          </cell>
          <cell r="J160">
            <v>30242</v>
          </cell>
          <cell r="K160">
            <v>32387</v>
          </cell>
          <cell r="L160" t="str">
            <v>12</v>
          </cell>
          <cell r="M160" t="str">
            <v>C</v>
          </cell>
          <cell r="N160">
            <v>306</v>
          </cell>
          <cell r="P160">
            <v>20</v>
          </cell>
          <cell r="Q160" t="str">
            <v>O</v>
          </cell>
          <cell r="R160" t="str">
            <v>N</v>
          </cell>
          <cell r="S160">
            <v>0</v>
          </cell>
          <cell r="T160" t="str">
            <v>M</v>
          </cell>
          <cell r="U160" t="str">
            <v>AICHA BENT AHMED</v>
          </cell>
          <cell r="X160">
            <v>3</v>
          </cell>
          <cell r="Y160">
            <v>3</v>
          </cell>
          <cell r="AB160" t="str">
            <v>X</v>
          </cell>
          <cell r="AC160" t="str">
            <v>X</v>
          </cell>
          <cell r="AD160" t="str">
            <v>X</v>
          </cell>
          <cell r="AH160" t="str">
            <v>N</v>
          </cell>
          <cell r="AI160" t="str">
            <v>N</v>
          </cell>
          <cell r="AK160" t="str">
            <v>674 NOUVEAU TACHERON OCP - BOUJNIBA</v>
          </cell>
          <cell r="AL160" t="str">
            <v>ILLETTRE</v>
          </cell>
          <cell r="AP160" t="str">
            <v>Q 70889</v>
          </cell>
          <cell r="AQ160">
            <v>0</v>
          </cell>
          <cell r="AR160" t="str">
            <v>C</v>
          </cell>
          <cell r="AU160" t="str">
            <v>/  /</v>
          </cell>
          <cell r="AW160">
            <v>39995</v>
          </cell>
          <cell r="AY160" t="str">
            <v>XX</v>
          </cell>
          <cell r="BA160" t="str">
            <v>1</v>
          </cell>
          <cell r="BB160">
            <v>1</v>
          </cell>
          <cell r="BD160">
            <v>0</v>
          </cell>
          <cell r="BE160" t="str">
            <v>M</v>
          </cell>
          <cell r="BF160" t="str">
            <v>N</v>
          </cell>
          <cell r="BG160">
            <v>50</v>
          </cell>
          <cell r="BH160">
            <v>39995</v>
          </cell>
        </row>
        <row r="161">
          <cell r="A161">
            <v>73854</v>
          </cell>
          <cell r="B161">
            <v>418</v>
          </cell>
          <cell r="C161" t="str">
            <v>C2050</v>
          </cell>
          <cell r="D161" t="str">
            <v>EL HADEF</v>
          </cell>
          <cell r="E161" t="str">
            <v>M HAMED</v>
          </cell>
          <cell r="F161">
            <v>20636</v>
          </cell>
          <cell r="G161" t="str">
            <v>1</v>
          </cell>
          <cell r="H161" t="str">
            <v>OULED BHAR SGAR KHOURIBGA</v>
          </cell>
          <cell r="I161" t="str">
            <v>D</v>
          </cell>
          <cell r="J161">
            <v>30305</v>
          </cell>
          <cell r="K161">
            <v>32082</v>
          </cell>
          <cell r="L161" t="str">
            <v>12</v>
          </cell>
          <cell r="M161" t="str">
            <v>C</v>
          </cell>
          <cell r="N161">
            <v>367</v>
          </cell>
          <cell r="P161">
            <v>20</v>
          </cell>
          <cell r="Q161" t="str">
            <v>O</v>
          </cell>
          <cell r="R161" t="str">
            <v>N</v>
          </cell>
          <cell r="S161">
            <v>0</v>
          </cell>
          <cell r="T161" t="str">
            <v>M</v>
          </cell>
          <cell r="U161" t="str">
            <v>AICHA BT BOUZEKRI</v>
          </cell>
          <cell r="X161">
            <v>7</v>
          </cell>
          <cell r="Y161">
            <v>5</v>
          </cell>
          <cell r="AB161" t="str">
            <v>X</v>
          </cell>
          <cell r="AC161" t="str">
            <v>X</v>
          </cell>
          <cell r="AD161" t="str">
            <v>X</v>
          </cell>
          <cell r="AH161" t="str">
            <v>N</v>
          </cell>
          <cell r="AI161" t="str">
            <v>N</v>
          </cell>
          <cell r="AK161" t="str">
            <v>1062 VILLAGE O.C.P - HATTANE</v>
          </cell>
          <cell r="AL161" t="str">
            <v>ILLETTRE</v>
          </cell>
          <cell r="AP161" t="str">
            <v>Q 43149</v>
          </cell>
          <cell r="AQ161">
            <v>0</v>
          </cell>
          <cell r="AR161" t="str">
            <v>C</v>
          </cell>
          <cell r="AU161" t="str">
            <v>/  /</v>
          </cell>
          <cell r="AW161">
            <v>39995</v>
          </cell>
          <cell r="AY161" t="str">
            <v>XX</v>
          </cell>
          <cell r="BA161" t="str">
            <v>2</v>
          </cell>
          <cell r="BB161">
            <v>1</v>
          </cell>
          <cell r="BD161">
            <v>0</v>
          </cell>
          <cell r="BE161" t="str">
            <v>M</v>
          </cell>
          <cell r="BF161" t="str">
            <v>N</v>
          </cell>
          <cell r="BG161">
            <v>11</v>
          </cell>
          <cell r="BH161">
            <v>39995</v>
          </cell>
        </row>
        <row r="162">
          <cell r="A162">
            <v>74212</v>
          </cell>
          <cell r="B162">
            <v>421</v>
          </cell>
          <cell r="C162" t="str">
            <v>C6017</v>
          </cell>
          <cell r="D162" t="str">
            <v>EL AOUISSI</v>
          </cell>
          <cell r="E162" t="str">
            <v>EL MEHDI</v>
          </cell>
          <cell r="F162">
            <v>21779</v>
          </cell>
          <cell r="H162" t="str">
            <v>OULED M'RAH</v>
          </cell>
          <cell r="I162" t="str">
            <v>F</v>
          </cell>
          <cell r="J162">
            <v>31246</v>
          </cell>
          <cell r="K162">
            <v>35065</v>
          </cell>
          <cell r="L162" t="str">
            <v>32</v>
          </cell>
          <cell r="M162" t="str">
            <v>A</v>
          </cell>
          <cell r="N162">
            <v>35065</v>
          </cell>
          <cell r="P162">
            <v>17</v>
          </cell>
          <cell r="Q162" t="str">
            <v>O</v>
          </cell>
          <cell r="R162" t="str">
            <v>N</v>
          </cell>
          <cell r="S162">
            <v>0</v>
          </cell>
          <cell r="T162" t="str">
            <v>M</v>
          </cell>
          <cell r="U162" t="str">
            <v>KACHANI ATIKA BT RAHAL</v>
          </cell>
          <cell r="X162">
            <v>3</v>
          </cell>
          <cell r="Y162">
            <v>3</v>
          </cell>
          <cell r="AB162" t="str">
            <v>X</v>
          </cell>
          <cell r="AC162" t="str">
            <v>X</v>
          </cell>
          <cell r="AD162" t="str">
            <v>X</v>
          </cell>
          <cell r="AE162" t="str">
            <v>M.I.N</v>
          </cell>
          <cell r="AH162" t="str">
            <v>N</v>
          </cell>
          <cell r="AI162" t="str">
            <v>N</v>
          </cell>
          <cell r="AK162" t="str">
            <v>71 BIS BLOC B QUARTIER CEREALIER KHGA</v>
          </cell>
          <cell r="AL162" t="str">
            <v>4AS</v>
          </cell>
          <cell r="AM162" t="str">
            <v>CQP CFP</v>
          </cell>
          <cell r="AP162" t="str">
            <v>Q 62540</v>
          </cell>
          <cell r="AQ162">
            <v>0</v>
          </cell>
          <cell r="AR162" t="str">
            <v>B</v>
          </cell>
          <cell r="AS162" t="str">
            <v>BMCE.KHGA</v>
          </cell>
          <cell r="AT162" t="str">
            <v>40001200000573715</v>
          </cell>
          <cell r="AU162" t="str">
            <v>/  /</v>
          </cell>
          <cell r="AW162">
            <v>40909</v>
          </cell>
          <cell r="AY162" t="str">
            <v>XX</v>
          </cell>
          <cell r="BA162" t="str">
            <v>2</v>
          </cell>
          <cell r="BB162">
            <v>1</v>
          </cell>
          <cell r="BD162">
            <v>0</v>
          </cell>
          <cell r="BE162" t="str">
            <v>M</v>
          </cell>
          <cell r="BF162" t="str">
            <v>N</v>
          </cell>
          <cell r="BG162">
            <v>1</v>
          </cell>
          <cell r="BH162">
            <v>40909</v>
          </cell>
        </row>
        <row r="163">
          <cell r="A163">
            <v>74295</v>
          </cell>
          <cell r="B163">
            <v>428</v>
          </cell>
          <cell r="C163" t="str">
            <v>C4411</v>
          </cell>
          <cell r="D163" t="str">
            <v>QCHOHI</v>
          </cell>
          <cell r="E163" t="str">
            <v>CHERKI</v>
          </cell>
          <cell r="F163">
            <v>20166</v>
          </cell>
          <cell r="G163" t="str">
            <v>1</v>
          </cell>
          <cell r="H163" t="str">
            <v>OULED BHAR SGHAR KHOURIBGA</v>
          </cell>
          <cell r="I163" t="str">
            <v>D</v>
          </cell>
          <cell r="J163">
            <v>31297</v>
          </cell>
          <cell r="K163">
            <v>34547</v>
          </cell>
          <cell r="L163" t="str">
            <v>22</v>
          </cell>
          <cell r="M163" t="str">
            <v>B</v>
          </cell>
          <cell r="N163">
            <v>35612</v>
          </cell>
          <cell r="P163">
            <v>17</v>
          </cell>
          <cell r="Q163" t="str">
            <v>O</v>
          </cell>
          <cell r="R163" t="str">
            <v>N</v>
          </cell>
          <cell r="S163">
            <v>0</v>
          </cell>
          <cell r="T163" t="str">
            <v>M</v>
          </cell>
          <cell r="U163" t="str">
            <v>FATIMA BENT AHMED</v>
          </cell>
          <cell r="X163">
            <v>4</v>
          </cell>
          <cell r="Y163">
            <v>4</v>
          </cell>
          <cell r="AB163" t="str">
            <v>X</v>
          </cell>
          <cell r="AC163" t="str">
            <v>X</v>
          </cell>
          <cell r="AD163" t="str">
            <v>X</v>
          </cell>
          <cell r="AH163" t="str">
            <v>N</v>
          </cell>
          <cell r="AI163" t="str">
            <v>N</v>
          </cell>
          <cell r="AK163" t="str">
            <v>854 VILLAGE O.C.P HATTANE</v>
          </cell>
          <cell r="AL163" t="str">
            <v>3AS</v>
          </cell>
          <cell r="AP163" t="str">
            <v>Q 80847</v>
          </cell>
          <cell r="AQ163">
            <v>0</v>
          </cell>
          <cell r="AR163" t="str">
            <v>C</v>
          </cell>
          <cell r="AU163" t="str">
            <v>/  /</v>
          </cell>
          <cell r="AW163">
            <v>40360</v>
          </cell>
          <cell r="AY163" t="str">
            <v>XX</v>
          </cell>
          <cell r="AZ163" t="str">
            <v>M</v>
          </cell>
          <cell r="BA163" t="str">
            <v>0</v>
          </cell>
          <cell r="BB163">
            <v>1</v>
          </cell>
          <cell r="BD163">
            <v>0</v>
          </cell>
          <cell r="BE163" t="str">
            <v>M</v>
          </cell>
          <cell r="BF163" t="str">
            <v>N</v>
          </cell>
          <cell r="BG163">
            <v>11</v>
          </cell>
          <cell r="BH163">
            <v>40360</v>
          </cell>
        </row>
        <row r="164">
          <cell r="A164">
            <v>74428</v>
          </cell>
          <cell r="B164">
            <v>411</v>
          </cell>
          <cell r="C164" t="str">
            <v>X3150</v>
          </cell>
          <cell r="D164" t="str">
            <v>MOUBANE</v>
          </cell>
          <cell r="E164" t="str">
            <v>AHMED</v>
          </cell>
          <cell r="F164">
            <v>22245</v>
          </cell>
          <cell r="G164" t="str">
            <v>3</v>
          </cell>
          <cell r="H164" t="str">
            <v>BOUJNIBA</v>
          </cell>
          <cell r="I164" t="str">
            <v>F</v>
          </cell>
          <cell r="J164">
            <v>31623</v>
          </cell>
          <cell r="K164">
            <v>37073</v>
          </cell>
          <cell r="L164" t="str">
            <v>41</v>
          </cell>
          <cell r="M164" t="str">
            <v>A</v>
          </cell>
          <cell r="N164">
            <v>37073</v>
          </cell>
          <cell r="P164">
            <v>16</v>
          </cell>
          <cell r="Q164" t="str">
            <v>O</v>
          </cell>
          <cell r="R164" t="str">
            <v>N</v>
          </cell>
          <cell r="S164">
            <v>0</v>
          </cell>
          <cell r="T164" t="str">
            <v>M</v>
          </cell>
          <cell r="U164" t="str">
            <v>NAJAT BENT HADJ SALAH</v>
          </cell>
          <cell r="X164">
            <v>3</v>
          </cell>
          <cell r="Y164">
            <v>3</v>
          </cell>
          <cell r="AB164" t="str">
            <v>X</v>
          </cell>
          <cell r="AC164" t="str">
            <v>X</v>
          </cell>
          <cell r="AD164" t="str">
            <v>X</v>
          </cell>
          <cell r="AH164" t="str">
            <v>N</v>
          </cell>
          <cell r="AI164" t="str">
            <v>N</v>
          </cell>
          <cell r="AK164" t="str">
            <v>96,BLOC A HAY ESSALAM BOUJNIBA</v>
          </cell>
          <cell r="AL164" t="str">
            <v>4AS</v>
          </cell>
          <cell r="AM164" t="str">
            <v>CQP</v>
          </cell>
          <cell r="AN164" t="str">
            <v>57═01═59</v>
          </cell>
          <cell r="AP164" t="str">
            <v>Q 98474</v>
          </cell>
          <cell r="AQ164">
            <v>0</v>
          </cell>
          <cell r="AR164" t="str">
            <v>B</v>
          </cell>
          <cell r="AS164" t="str">
            <v>POPULAIRE KHGA</v>
          </cell>
          <cell r="AT164" t="str">
            <v>211111280781002</v>
          </cell>
          <cell r="AU164" t="str">
            <v>/  /</v>
          </cell>
          <cell r="AW164">
            <v>41275</v>
          </cell>
          <cell r="AY164" t="str">
            <v>XX</v>
          </cell>
          <cell r="BA164" t="str">
            <v>2</v>
          </cell>
          <cell r="BB164">
            <v>1</v>
          </cell>
          <cell r="BD164">
            <v>0</v>
          </cell>
          <cell r="BE164" t="str">
            <v>M</v>
          </cell>
          <cell r="BF164" t="str">
            <v>N</v>
          </cell>
          <cell r="BG164">
            <v>50</v>
          </cell>
          <cell r="BH164">
            <v>41640</v>
          </cell>
        </row>
        <row r="165">
          <cell r="A165">
            <v>74446</v>
          </cell>
          <cell r="B165">
            <v>411</v>
          </cell>
          <cell r="C165" t="str">
            <v>C6017</v>
          </cell>
          <cell r="D165" t="str">
            <v>FIRAR</v>
          </cell>
          <cell r="E165" t="str">
            <v>ABDERRAHIM</v>
          </cell>
          <cell r="F165">
            <v>21224</v>
          </cell>
          <cell r="G165" t="str">
            <v>1</v>
          </cell>
          <cell r="H165" t="str">
            <v>KHOURIBGA</v>
          </cell>
          <cell r="I165" t="str">
            <v>F</v>
          </cell>
          <cell r="J165">
            <v>31623</v>
          </cell>
          <cell r="K165">
            <v>37043</v>
          </cell>
          <cell r="L165" t="str">
            <v>32</v>
          </cell>
          <cell r="M165" t="str">
            <v>A</v>
          </cell>
          <cell r="N165">
            <v>37043</v>
          </cell>
          <cell r="P165">
            <v>16</v>
          </cell>
          <cell r="Q165" t="str">
            <v>O</v>
          </cell>
          <cell r="R165" t="str">
            <v>N</v>
          </cell>
          <cell r="S165">
            <v>0</v>
          </cell>
          <cell r="T165" t="str">
            <v>M</v>
          </cell>
          <cell r="U165" t="str">
            <v>AMMOR AICHA BENT AHMED</v>
          </cell>
          <cell r="X165">
            <v>5</v>
          </cell>
          <cell r="Y165">
            <v>5</v>
          </cell>
          <cell r="Z165" t="str">
            <v>N</v>
          </cell>
          <cell r="AB165" t="str">
            <v>X</v>
          </cell>
          <cell r="AC165" t="str">
            <v>X</v>
          </cell>
          <cell r="AD165" t="str">
            <v>X</v>
          </cell>
          <cell r="AH165" t="str">
            <v>N</v>
          </cell>
          <cell r="AI165" t="str">
            <v>N</v>
          </cell>
          <cell r="AK165" t="str">
            <v>N 5 RUE OULAD SAID BD BENI AMIR KHGA</v>
          </cell>
          <cell r="AL165" t="str">
            <v>4AS</v>
          </cell>
          <cell r="AM165" t="str">
            <v>CFP CQP</v>
          </cell>
          <cell r="AP165" t="str">
            <v>B 640348</v>
          </cell>
          <cell r="AQ165">
            <v>0</v>
          </cell>
          <cell r="AR165" t="str">
            <v>B</v>
          </cell>
          <cell r="AS165" t="str">
            <v>SGMB - KHGA</v>
          </cell>
          <cell r="AT165" t="str">
            <v>093571</v>
          </cell>
          <cell r="AU165" t="str">
            <v>/  /</v>
          </cell>
          <cell r="AW165">
            <v>41275</v>
          </cell>
          <cell r="AY165" t="str">
            <v>XX</v>
          </cell>
          <cell r="BA165" t="str">
            <v>2</v>
          </cell>
          <cell r="BB165">
            <v>1</v>
          </cell>
          <cell r="BD165">
            <v>0</v>
          </cell>
          <cell r="BE165" t="str">
            <v>M</v>
          </cell>
          <cell r="BF165" t="str">
            <v>N</v>
          </cell>
          <cell r="BG165">
            <v>1</v>
          </cell>
          <cell r="BH165">
            <v>41275</v>
          </cell>
        </row>
        <row r="166">
          <cell r="A166">
            <v>74552</v>
          </cell>
          <cell r="B166">
            <v>411</v>
          </cell>
          <cell r="C166" t="str">
            <v>X3150</v>
          </cell>
          <cell r="D166" t="str">
            <v>BENKARROUM</v>
          </cell>
          <cell r="E166" t="str">
            <v>ABDELWAHED</v>
          </cell>
          <cell r="F166">
            <v>23192</v>
          </cell>
          <cell r="H166" t="str">
            <v>OULED MOUMEN</v>
          </cell>
          <cell r="J166">
            <v>31929</v>
          </cell>
          <cell r="K166">
            <v>37073</v>
          </cell>
          <cell r="L166" t="str">
            <v>41</v>
          </cell>
          <cell r="M166" t="str">
            <v>A</v>
          </cell>
          <cell r="N166">
            <v>37073</v>
          </cell>
          <cell r="P166">
            <v>15</v>
          </cell>
          <cell r="Q166" t="str">
            <v>O</v>
          </cell>
          <cell r="R166" t="str">
            <v>N</v>
          </cell>
          <cell r="S166">
            <v>0</v>
          </cell>
          <cell r="T166" t="str">
            <v>M</v>
          </cell>
          <cell r="U166" t="str">
            <v>SAMIRA BENT ABDESLAM</v>
          </cell>
          <cell r="X166">
            <v>2</v>
          </cell>
          <cell r="Y166">
            <v>2</v>
          </cell>
          <cell r="AB166" t="str">
            <v>X</v>
          </cell>
          <cell r="AC166" t="str">
            <v>X</v>
          </cell>
          <cell r="AD166" t="str">
            <v>X</v>
          </cell>
          <cell r="AH166" t="str">
            <v>N</v>
          </cell>
          <cell r="AI166" t="str">
            <v>N</v>
          </cell>
          <cell r="AK166" t="str">
            <v>48 BLOC 3 KHOUADRIA JDAD - KHOURIBGA</v>
          </cell>
          <cell r="AL166" t="str">
            <v>7AS</v>
          </cell>
          <cell r="AM166" t="str">
            <v>CFP</v>
          </cell>
          <cell r="AP166" t="str">
            <v>W 66212</v>
          </cell>
          <cell r="AQ166">
            <v>0</v>
          </cell>
          <cell r="AR166" t="str">
            <v>B</v>
          </cell>
          <cell r="AS166" t="str">
            <v>B.C.M - KHOURIBGA</v>
          </cell>
          <cell r="AT166" t="str">
            <v>097 N 306816</v>
          </cell>
          <cell r="AU166" t="str">
            <v>/  /</v>
          </cell>
          <cell r="AW166">
            <v>41640</v>
          </cell>
          <cell r="AY166" t="str">
            <v>XX</v>
          </cell>
          <cell r="BA166" t="str">
            <v>2</v>
          </cell>
          <cell r="BB166">
            <v>1</v>
          </cell>
          <cell r="BD166">
            <v>0</v>
          </cell>
          <cell r="BE166" t="str">
            <v>M</v>
          </cell>
          <cell r="BF166" t="str">
            <v>N</v>
          </cell>
          <cell r="BG166">
            <v>1</v>
          </cell>
          <cell r="BH166">
            <v>42005</v>
          </cell>
        </row>
        <row r="167">
          <cell r="A167">
            <v>74553</v>
          </cell>
          <cell r="B167">
            <v>411</v>
          </cell>
          <cell r="C167" t="str">
            <v>C6017</v>
          </cell>
          <cell r="D167" t="str">
            <v>HARRIZI</v>
          </cell>
          <cell r="E167" t="str">
            <v>AHMED</v>
          </cell>
          <cell r="F167">
            <v>22732</v>
          </cell>
          <cell r="H167" t="str">
            <v>JAKHMA - BERRECHID</v>
          </cell>
          <cell r="I167" t="str">
            <v>F</v>
          </cell>
          <cell r="J167">
            <v>31929</v>
          </cell>
          <cell r="K167">
            <v>35065</v>
          </cell>
          <cell r="L167" t="str">
            <v>32</v>
          </cell>
          <cell r="M167" t="str">
            <v>A</v>
          </cell>
          <cell r="N167">
            <v>35065</v>
          </cell>
          <cell r="O167">
            <v>0</v>
          </cell>
          <cell r="P167">
            <v>15</v>
          </cell>
          <cell r="Q167" t="str">
            <v>O</v>
          </cell>
          <cell r="R167" t="str">
            <v>N</v>
          </cell>
          <cell r="S167">
            <v>0</v>
          </cell>
          <cell r="T167" t="str">
            <v>M</v>
          </cell>
          <cell r="U167" t="str">
            <v>SAIRI LATIFA BT MOHAMED</v>
          </cell>
          <cell r="X167">
            <v>1</v>
          </cell>
          <cell r="Y167">
            <v>1</v>
          </cell>
          <cell r="AB167" t="str">
            <v>X</v>
          </cell>
          <cell r="AC167" t="str">
            <v>X</v>
          </cell>
          <cell r="AD167" t="str">
            <v>X</v>
          </cell>
          <cell r="AH167" t="str">
            <v>N</v>
          </cell>
          <cell r="AI167" t="str">
            <v>N</v>
          </cell>
          <cell r="AK167" t="str">
            <v>76 RUE 16 NOVEMBRE NAHDA - KHOURIBGA</v>
          </cell>
          <cell r="AL167" t="str">
            <v>7AS</v>
          </cell>
          <cell r="AM167" t="str">
            <v>CQP CFP</v>
          </cell>
          <cell r="AP167" t="str">
            <v>W 48128</v>
          </cell>
          <cell r="AQ167">
            <v>0</v>
          </cell>
          <cell r="AR167" t="str">
            <v>B</v>
          </cell>
          <cell r="AS167" t="str">
            <v>BMCI KHGA</v>
          </cell>
          <cell r="AT167" t="str">
            <v>202768703301</v>
          </cell>
          <cell r="AU167" t="str">
            <v>/  /</v>
          </cell>
          <cell r="AW167">
            <v>41640</v>
          </cell>
          <cell r="AY167" t="str">
            <v>XX</v>
          </cell>
          <cell r="BA167" t="str">
            <v>2</v>
          </cell>
          <cell r="BB167">
            <v>1</v>
          </cell>
          <cell r="BD167">
            <v>0</v>
          </cell>
          <cell r="BE167" t="str">
            <v>M</v>
          </cell>
          <cell r="BF167" t="str">
            <v>N</v>
          </cell>
          <cell r="BG167">
            <v>1</v>
          </cell>
          <cell r="BH167">
            <v>41640</v>
          </cell>
        </row>
        <row r="168">
          <cell r="A168">
            <v>74581</v>
          </cell>
          <cell r="B168">
            <v>411</v>
          </cell>
          <cell r="C168" t="str">
            <v>C5002</v>
          </cell>
          <cell r="D168" t="str">
            <v>NAHROU</v>
          </cell>
          <cell r="E168" t="str">
            <v>ABDELLAH</v>
          </cell>
          <cell r="F168">
            <v>22227</v>
          </cell>
          <cell r="H168" t="str">
            <v>CASABLANCA</v>
          </cell>
          <cell r="I168" t="str">
            <v>F</v>
          </cell>
          <cell r="J168">
            <v>31975</v>
          </cell>
          <cell r="K168">
            <v>31990</v>
          </cell>
          <cell r="L168" t="str">
            <v>31</v>
          </cell>
          <cell r="M168" t="str">
            <v>A</v>
          </cell>
          <cell r="N168">
            <v>31990</v>
          </cell>
          <cell r="P168">
            <v>15</v>
          </cell>
          <cell r="Q168" t="str">
            <v>O</v>
          </cell>
          <cell r="R168" t="str">
            <v>N</v>
          </cell>
          <cell r="S168">
            <v>0</v>
          </cell>
          <cell r="T168" t="str">
            <v>M</v>
          </cell>
          <cell r="U168" t="str">
            <v>FATIMA BENT JELLOUL</v>
          </cell>
          <cell r="X168">
            <v>2</v>
          </cell>
          <cell r="Y168">
            <v>2</v>
          </cell>
          <cell r="Z168" t="str">
            <v>N</v>
          </cell>
          <cell r="AB168" t="str">
            <v>X</v>
          </cell>
          <cell r="AC168" t="str">
            <v>X</v>
          </cell>
          <cell r="AD168" t="str">
            <v>X</v>
          </cell>
          <cell r="AH168" t="str">
            <v>N</v>
          </cell>
          <cell r="AI168" t="str">
            <v>N</v>
          </cell>
          <cell r="AK168" t="str">
            <v>143 RUE DU SOUK - KHOURIBGA</v>
          </cell>
          <cell r="AL168" t="str">
            <v>7AS SC EX</v>
          </cell>
          <cell r="AM168" t="str">
            <v>CQP CFP</v>
          </cell>
          <cell r="AP168" t="str">
            <v>B 630522</v>
          </cell>
          <cell r="AQ168">
            <v>0</v>
          </cell>
          <cell r="AR168" t="str">
            <v>B</v>
          </cell>
          <cell r="AS168" t="str">
            <v>BMCE KHGA</v>
          </cell>
          <cell r="AT168" t="str">
            <v>4000100000684489</v>
          </cell>
          <cell r="AU168" t="str">
            <v>/  /</v>
          </cell>
          <cell r="AW168">
            <v>41640</v>
          </cell>
          <cell r="AY168" t="str">
            <v>XX</v>
          </cell>
          <cell r="BA168" t="str">
            <v>2</v>
          </cell>
          <cell r="BB168">
            <v>0</v>
          </cell>
          <cell r="BD168">
            <v>0</v>
          </cell>
          <cell r="BE168" t="str">
            <v>M</v>
          </cell>
          <cell r="BF168" t="str">
            <v>N</v>
          </cell>
          <cell r="BG168">
            <v>1</v>
          </cell>
          <cell r="BH168">
            <v>41640</v>
          </cell>
        </row>
        <row r="169">
          <cell r="A169">
            <v>74582</v>
          </cell>
          <cell r="B169">
            <v>411</v>
          </cell>
          <cell r="C169" t="str">
            <v>C7002</v>
          </cell>
          <cell r="D169" t="str">
            <v>TOUILEB</v>
          </cell>
          <cell r="E169" t="str">
            <v>NOURDINE</v>
          </cell>
          <cell r="F169">
            <v>22654</v>
          </cell>
          <cell r="H169" t="str">
            <v>MECHRAA BELKSIRI</v>
          </cell>
          <cell r="I169" t="str">
            <v>F</v>
          </cell>
          <cell r="J169">
            <v>31975</v>
          </cell>
          <cell r="K169">
            <v>36526</v>
          </cell>
          <cell r="L169" t="str">
            <v>33</v>
          </cell>
          <cell r="M169" t="str">
            <v>A</v>
          </cell>
          <cell r="N169">
            <v>36526</v>
          </cell>
          <cell r="P169">
            <v>15</v>
          </cell>
          <cell r="Q169" t="str">
            <v>O</v>
          </cell>
          <cell r="R169" t="str">
            <v>N</v>
          </cell>
          <cell r="S169">
            <v>0</v>
          </cell>
          <cell r="T169" t="str">
            <v>M</v>
          </cell>
          <cell r="U169" t="str">
            <v>GARCHI ZAHRA</v>
          </cell>
          <cell r="X169">
            <v>3</v>
          </cell>
          <cell r="Y169">
            <v>3</v>
          </cell>
          <cell r="AB169" t="str">
            <v>X</v>
          </cell>
          <cell r="AC169" t="str">
            <v>X</v>
          </cell>
          <cell r="AD169" t="str">
            <v>X</v>
          </cell>
          <cell r="AH169" t="str">
            <v>N</v>
          </cell>
          <cell r="AI169" t="str">
            <v>N</v>
          </cell>
          <cell r="AK169" t="str">
            <v>63 NOUVEAUX LOGEMENTS OCP - KHOURIBGA</v>
          </cell>
          <cell r="AL169" t="str">
            <v>7AS</v>
          </cell>
          <cell r="AM169" t="str">
            <v>CFP CQP</v>
          </cell>
          <cell r="AP169" t="str">
            <v>G 161917</v>
          </cell>
          <cell r="AQ169">
            <v>0</v>
          </cell>
          <cell r="AR169" t="str">
            <v>B</v>
          </cell>
          <cell r="AS169" t="str">
            <v>BMCE - KHGA</v>
          </cell>
          <cell r="AT169" t="str">
            <v>40001200000791383</v>
          </cell>
          <cell r="AU169" t="str">
            <v>/  /</v>
          </cell>
          <cell r="AW169">
            <v>41640</v>
          </cell>
          <cell r="AY169" t="str">
            <v>XX</v>
          </cell>
          <cell r="BA169" t="str">
            <v>2</v>
          </cell>
          <cell r="BB169">
            <v>0</v>
          </cell>
          <cell r="BD169">
            <v>0</v>
          </cell>
          <cell r="BE169" t="str">
            <v>M</v>
          </cell>
          <cell r="BF169" t="str">
            <v>N</v>
          </cell>
          <cell r="BG169">
            <v>1</v>
          </cell>
          <cell r="BH169">
            <v>41640</v>
          </cell>
        </row>
        <row r="170">
          <cell r="A170">
            <v>17838</v>
          </cell>
          <cell r="B170">
            <v>411</v>
          </cell>
          <cell r="C170" t="str">
            <v>C5152</v>
          </cell>
          <cell r="D170" t="str">
            <v>ABOULAKJAM</v>
          </cell>
          <cell r="E170" t="str">
            <v>ABDELKARIM</v>
          </cell>
          <cell r="F170">
            <v>19540</v>
          </cell>
          <cell r="G170" t="str">
            <v>2</v>
          </cell>
          <cell r="H170" t="str">
            <v>KHOURIBGA BENI KHIRANE</v>
          </cell>
          <cell r="I170" t="str">
            <v>D</v>
          </cell>
          <cell r="J170">
            <v>27345</v>
          </cell>
          <cell r="K170">
            <v>37073</v>
          </cell>
          <cell r="L170" t="str">
            <v>31</v>
          </cell>
          <cell r="M170" t="str">
            <v>A</v>
          </cell>
          <cell r="N170">
            <v>37073</v>
          </cell>
          <cell r="P170">
            <v>28</v>
          </cell>
          <cell r="Q170" t="str">
            <v>O</v>
          </cell>
          <cell r="R170" t="str">
            <v>N</v>
          </cell>
          <cell r="S170">
            <v>0</v>
          </cell>
          <cell r="T170" t="str">
            <v>M</v>
          </cell>
          <cell r="U170" t="str">
            <v>ZBAIRI KHADIJA</v>
          </cell>
          <cell r="X170">
            <v>4</v>
          </cell>
          <cell r="Y170">
            <v>3</v>
          </cell>
          <cell r="AB170" t="str">
            <v>X</v>
          </cell>
          <cell r="AC170" t="str">
            <v>X</v>
          </cell>
          <cell r="AD170" t="str">
            <v>X</v>
          </cell>
          <cell r="AH170" t="str">
            <v>N</v>
          </cell>
          <cell r="AI170" t="str">
            <v>N</v>
          </cell>
          <cell r="AK170" t="str">
            <v>N 318 NLLE CONSTRUCTION SECHAGE KHGA</v>
          </cell>
          <cell r="AL170" t="str">
            <v>3AS</v>
          </cell>
          <cell r="AP170" t="str">
            <v>Q 42746</v>
          </cell>
          <cell r="AQ170">
            <v>0</v>
          </cell>
          <cell r="AR170" t="str">
            <v>B</v>
          </cell>
          <cell r="AS170" t="str">
            <v>CREDIT MAROC-KHGA</v>
          </cell>
          <cell r="AT170" t="str">
            <v>820010004151</v>
          </cell>
          <cell r="AU170" t="str">
            <v>/  /</v>
          </cell>
          <cell r="AW170">
            <v>37803</v>
          </cell>
          <cell r="AY170" t="str">
            <v>XX</v>
          </cell>
          <cell r="AZ170" t="str">
            <v>M</v>
          </cell>
          <cell r="BA170" t="str">
            <v>2</v>
          </cell>
          <cell r="BB170">
            <v>1</v>
          </cell>
          <cell r="BD170">
            <v>0</v>
          </cell>
          <cell r="BE170" t="str">
            <v>M</v>
          </cell>
          <cell r="BF170" t="str">
            <v>N</v>
          </cell>
          <cell r="BG170">
            <v>1</v>
          </cell>
          <cell r="BH170">
            <v>37803</v>
          </cell>
          <cell r="BI170" t="str">
            <v>N</v>
          </cell>
        </row>
        <row r="171">
          <cell r="A171">
            <v>62692</v>
          </cell>
          <cell r="B171">
            <v>418</v>
          </cell>
          <cell r="C171" t="str">
            <v>C5152</v>
          </cell>
          <cell r="D171" t="str">
            <v>BOUHCHICH</v>
          </cell>
          <cell r="E171" t="str">
            <v>MOHAMMED</v>
          </cell>
          <cell r="F171">
            <v>17215</v>
          </cell>
          <cell r="G171" t="str">
            <v>1</v>
          </cell>
          <cell r="H171" t="str">
            <v>OULED BHAR SGHAR KHOURIBGA</v>
          </cell>
          <cell r="I171" t="str">
            <v>D</v>
          </cell>
          <cell r="J171">
            <v>28692</v>
          </cell>
          <cell r="K171">
            <v>37073</v>
          </cell>
          <cell r="L171" t="str">
            <v>31</v>
          </cell>
          <cell r="M171" t="str">
            <v>A</v>
          </cell>
          <cell r="N171">
            <v>37073</v>
          </cell>
          <cell r="P171">
            <v>24</v>
          </cell>
          <cell r="Q171" t="str">
            <v>O</v>
          </cell>
          <cell r="R171" t="str">
            <v>N</v>
          </cell>
          <cell r="S171">
            <v>0</v>
          </cell>
          <cell r="T171" t="str">
            <v>M</v>
          </cell>
          <cell r="U171" t="str">
            <v>CHOKRI NEZHA BENT SALAH</v>
          </cell>
          <cell r="X171">
            <v>4</v>
          </cell>
          <cell r="Y171">
            <v>3</v>
          </cell>
          <cell r="AB171" t="str">
            <v>X</v>
          </cell>
          <cell r="AC171" t="str">
            <v>X</v>
          </cell>
          <cell r="AD171" t="str">
            <v>X</v>
          </cell>
          <cell r="AH171" t="str">
            <v>N</v>
          </cell>
          <cell r="AI171" t="str">
            <v>N</v>
          </cell>
          <cell r="AK171" t="str">
            <v>322,NELLE MEDINA DE SECHAGE KHOURIBGA</v>
          </cell>
          <cell r="AL171" t="str">
            <v>2AS I</v>
          </cell>
          <cell r="AP171" t="str">
            <v>Q 97509</v>
          </cell>
          <cell r="AQ171">
            <v>0</v>
          </cell>
          <cell r="AR171" t="str">
            <v>B</v>
          </cell>
          <cell r="AS171" t="str">
            <v>WAFABANK - KHGA</v>
          </cell>
          <cell r="AT171" t="str">
            <v>1220301159221</v>
          </cell>
          <cell r="AU171" t="str">
            <v>/  /</v>
          </cell>
          <cell r="AW171">
            <v>38219</v>
          </cell>
          <cell r="AX171">
            <v>38219</v>
          </cell>
          <cell r="AY171" t="str">
            <v>XX</v>
          </cell>
          <cell r="AZ171" t="str">
            <v>M</v>
          </cell>
          <cell r="BA171" t="str">
            <v>0</v>
          </cell>
          <cell r="BB171">
            <v>1</v>
          </cell>
          <cell r="BD171">
            <v>0</v>
          </cell>
          <cell r="BE171" t="str">
            <v>M</v>
          </cell>
          <cell r="BF171" t="str">
            <v>N</v>
          </cell>
          <cell r="BG171">
            <v>2</v>
          </cell>
          <cell r="BH171">
            <v>37438</v>
          </cell>
        </row>
        <row r="172">
          <cell r="A172">
            <v>63193</v>
          </cell>
          <cell r="B172">
            <v>411</v>
          </cell>
          <cell r="C172" t="str">
            <v>C4152</v>
          </cell>
          <cell r="D172" t="str">
            <v>MAZOUZI</v>
          </cell>
          <cell r="E172" t="str">
            <v>MOHAMMED</v>
          </cell>
          <cell r="F172">
            <v>18079</v>
          </cell>
          <cell r="G172" t="str">
            <v>3</v>
          </cell>
          <cell r="H172" t="str">
            <v>BOUJNIBA - KHOURIBGA</v>
          </cell>
          <cell r="I172" t="str">
            <v>D</v>
          </cell>
          <cell r="J172">
            <v>27454</v>
          </cell>
          <cell r="K172">
            <v>36526</v>
          </cell>
          <cell r="L172" t="str">
            <v>22</v>
          </cell>
          <cell r="M172" t="str">
            <v>A</v>
          </cell>
          <cell r="N172">
            <v>36526</v>
          </cell>
          <cell r="P172">
            <v>28</v>
          </cell>
          <cell r="Q172" t="str">
            <v>O</v>
          </cell>
          <cell r="R172" t="str">
            <v>N</v>
          </cell>
          <cell r="S172">
            <v>0</v>
          </cell>
          <cell r="T172" t="str">
            <v>M</v>
          </cell>
          <cell r="U172" t="str">
            <v>GHOURAJI AICHA BENT MED</v>
          </cell>
          <cell r="X172">
            <v>4</v>
          </cell>
          <cell r="Y172">
            <v>4</v>
          </cell>
          <cell r="AB172" t="str">
            <v>X</v>
          </cell>
          <cell r="AC172" t="str">
            <v>X</v>
          </cell>
          <cell r="AD172" t="str">
            <v>X</v>
          </cell>
          <cell r="AH172" t="str">
            <v>N</v>
          </cell>
          <cell r="AI172" t="str">
            <v>N</v>
          </cell>
          <cell r="AK172" t="str">
            <v>574 NLLE CONSTRUCTION BOUJNIBA</v>
          </cell>
          <cell r="AL172" t="str">
            <v>3AS</v>
          </cell>
          <cell r="AP172" t="str">
            <v>Q 16896</v>
          </cell>
          <cell r="AQ172">
            <v>0</v>
          </cell>
          <cell r="AR172" t="str">
            <v>B</v>
          </cell>
          <cell r="AS172" t="str">
            <v>POPULAIRE KHGA</v>
          </cell>
          <cell r="AT172" t="str">
            <v>2111112844320007</v>
          </cell>
          <cell r="AU172" t="str">
            <v>/  /</v>
          </cell>
          <cell r="AW172">
            <v>37622</v>
          </cell>
          <cell r="AX172">
            <v>37555</v>
          </cell>
          <cell r="AY172" t="str">
            <v>XX</v>
          </cell>
          <cell r="AZ172" t="str">
            <v>K</v>
          </cell>
          <cell r="BA172" t="str">
            <v>1</v>
          </cell>
          <cell r="BB172">
            <v>1</v>
          </cell>
          <cell r="BD172">
            <v>0</v>
          </cell>
          <cell r="BE172" t="str">
            <v>M</v>
          </cell>
          <cell r="BF172" t="str">
            <v>N</v>
          </cell>
          <cell r="BG172">
            <v>50</v>
          </cell>
          <cell r="BH172">
            <v>37073</v>
          </cell>
          <cell r="BI172" t="str">
            <v>N</v>
          </cell>
        </row>
        <row r="173">
          <cell r="A173">
            <v>63817</v>
          </cell>
          <cell r="B173">
            <v>418</v>
          </cell>
          <cell r="C173" t="str">
            <v>C5050</v>
          </cell>
          <cell r="D173" t="str">
            <v>EL KOUNDI</v>
          </cell>
          <cell r="E173" t="str">
            <v>AHMED</v>
          </cell>
          <cell r="F173">
            <v>18755</v>
          </cell>
          <cell r="G173" t="str">
            <v>1</v>
          </cell>
          <cell r="H173" t="str">
            <v>KHOURIBGA</v>
          </cell>
          <cell r="I173" t="str">
            <v>F</v>
          </cell>
          <cell r="J173">
            <v>26604</v>
          </cell>
          <cell r="K173">
            <v>29037</v>
          </cell>
          <cell r="L173" t="str">
            <v>31</v>
          </cell>
          <cell r="M173" t="str">
            <v>B</v>
          </cell>
          <cell r="N173">
            <v>35612</v>
          </cell>
          <cell r="P173">
            <v>30</v>
          </cell>
          <cell r="Q173" t="str">
            <v>O</v>
          </cell>
          <cell r="R173" t="str">
            <v>N</v>
          </cell>
          <cell r="S173">
            <v>0</v>
          </cell>
          <cell r="T173" t="str">
            <v>M</v>
          </cell>
          <cell r="U173" t="str">
            <v>BEN GHAZOUANI ZOUBIDA BT OMAR</v>
          </cell>
          <cell r="X173">
            <v>6</v>
          </cell>
          <cell r="Y173">
            <v>3</v>
          </cell>
          <cell r="AB173" t="str">
            <v>X</v>
          </cell>
          <cell r="AC173" t="str">
            <v>X</v>
          </cell>
          <cell r="AD173" t="str">
            <v>X</v>
          </cell>
          <cell r="AH173" t="str">
            <v>N</v>
          </cell>
          <cell r="AI173" t="str">
            <v>N</v>
          </cell>
          <cell r="AK173" t="str">
            <v>755 VILLAGE OCP - BOULANOUAR</v>
          </cell>
          <cell r="AL173" t="str">
            <v>3AS</v>
          </cell>
          <cell r="AM173" t="str">
            <v>CFO</v>
          </cell>
          <cell r="AP173" t="str">
            <v>Q 17826</v>
          </cell>
          <cell r="AQ173">
            <v>0</v>
          </cell>
          <cell r="AR173" t="str">
            <v>B</v>
          </cell>
          <cell r="AS173" t="str">
            <v>BMCE KHGA</v>
          </cell>
          <cell r="AT173" t="str">
            <v>40001200000231596</v>
          </cell>
          <cell r="AU173" t="str">
            <v>/  /</v>
          </cell>
          <cell r="AW173">
            <v>37622</v>
          </cell>
          <cell r="AX173">
            <v>37555</v>
          </cell>
          <cell r="AY173" t="str">
            <v>XX</v>
          </cell>
          <cell r="BA173" t="str">
            <v>2</v>
          </cell>
          <cell r="BB173">
            <v>1</v>
          </cell>
          <cell r="BD173">
            <v>0</v>
          </cell>
          <cell r="BE173" t="str">
            <v>M</v>
          </cell>
          <cell r="BF173" t="str">
            <v>N</v>
          </cell>
          <cell r="BG173">
            <v>40</v>
          </cell>
          <cell r="BH173">
            <v>37073</v>
          </cell>
          <cell r="BI173" t="str">
            <v>O</v>
          </cell>
        </row>
        <row r="174">
          <cell r="A174">
            <v>63869</v>
          </cell>
          <cell r="B174">
            <v>408</v>
          </cell>
          <cell r="C174" t="str">
            <v>C5156</v>
          </cell>
          <cell r="D174" t="str">
            <v>ED DAHMI</v>
          </cell>
          <cell r="E174" t="str">
            <v>MAATI</v>
          </cell>
          <cell r="F174">
            <v>18809</v>
          </cell>
          <cell r="G174" t="str">
            <v>1</v>
          </cell>
          <cell r="H174" t="str">
            <v>OULED BHAR SGHAR KHOURIBGA</v>
          </cell>
          <cell r="I174" t="str">
            <v>D</v>
          </cell>
          <cell r="J174">
            <v>26630</v>
          </cell>
          <cell r="K174">
            <v>33420</v>
          </cell>
          <cell r="L174" t="str">
            <v>31</v>
          </cell>
          <cell r="M174" t="str">
            <v>A</v>
          </cell>
          <cell r="N174">
            <v>33420</v>
          </cell>
          <cell r="P174">
            <v>30</v>
          </cell>
          <cell r="Q174" t="str">
            <v>O</v>
          </cell>
          <cell r="R174" t="str">
            <v>N</v>
          </cell>
          <cell r="S174">
            <v>0</v>
          </cell>
          <cell r="T174" t="str">
            <v>M</v>
          </cell>
          <cell r="U174" t="str">
            <v>BAHJANE FATIMA</v>
          </cell>
          <cell r="V174" t="str">
            <v>EDDAHBI KHADIJA</v>
          </cell>
          <cell r="X174">
            <v>6</v>
          </cell>
          <cell r="Y174">
            <v>4</v>
          </cell>
          <cell r="AB174" t="str">
            <v>X</v>
          </cell>
          <cell r="AC174" t="str">
            <v>X</v>
          </cell>
          <cell r="AD174" t="str">
            <v>X</v>
          </cell>
          <cell r="AH174" t="str">
            <v>N</v>
          </cell>
          <cell r="AI174" t="str">
            <v>N</v>
          </cell>
          <cell r="AK174" t="str">
            <v>1242 VILLAG OCP SBATA - HATTANE</v>
          </cell>
          <cell r="AL174" t="str">
            <v>2AS</v>
          </cell>
          <cell r="AM174" t="str">
            <v>CEP</v>
          </cell>
          <cell r="AP174" t="str">
            <v>Q 12180</v>
          </cell>
          <cell r="AQ174">
            <v>0</v>
          </cell>
          <cell r="AR174" t="str">
            <v>B</v>
          </cell>
          <cell r="AS174" t="str">
            <v>BMCE - KHGA</v>
          </cell>
          <cell r="AT174" t="str">
            <v>4000001200001178316</v>
          </cell>
          <cell r="AU174" t="str">
            <v>/  /</v>
          </cell>
          <cell r="AW174">
            <v>37622</v>
          </cell>
          <cell r="AX174">
            <v>37555</v>
          </cell>
          <cell r="AY174" t="str">
            <v>O+</v>
          </cell>
          <cell r="BA174" t="str">
            <v>1ID</v>
          </cell>
          <cell r="BB174">
            <v>1</v>
          </cell>
          <cell r="BD174">
            <v>0</v>
          </cell>
          <cell r="BE174" t="str">
            <v>M</v>
          </cell>
          <cell r="BF174" t="str">
            <v>N</v>
          </cell>
          <cell r="BG174">
            <v>1</v>
          </cell>
          <cell r="BH174">
            <v>37073</v>
          </cell>
          <cell r="BI174" t="str">
            <v>O</v>
          </cell>
        </row>
        <row r="175">
          <cell r="A175">
            <v>64885</v>
          </cell>
          <cell r="B175">
            <v>411</v>
          </cell>
          <cell r="C175" t="str">
            <v>C4401</v>
          </cell>
          <cell r="D175" t="str">
            <v>JASSOR</v>
          </cell>
          <cell r="E175" t="str">
            <v>MOHAMED</v>
          </cell>
          <cell r="F175">
            <v>19175</v>
          </cell>
          <cell r="G175" t="str">
            <v>1</v>
          </cell>
          <cell r="H175" t="str">
            <v>OULED BHAR SGHAR KHOURIBGA</v>
          </cell>
          <cell r="I175" t="str">
            <v>D</v>
          </cell>
          <cell r="J175">
            <v>26927</v>
          </cell>
          <cell r="K175">
            <v>32478</v>
          </cell>
          <cell r="L175" t="str">
            <v>22</v>
          </cell>
          <cell r="M175" t="str">
            <v>B</v>
          </cell>
          <cell r="N175">
            <v>35612</v>
          </cell>
          <cell r="P175">
            <v>29</v>
          </cell>
          <cell r="Q175" t="str">
            <v>O</v>
          </cell>
          <cell r="R175" t="str">
            <v>N</v>
          </cell>
          <cell r="S175">
            <v>0</v>
          </cell>
          <cell r="T175" t="str">
            <v>M</v>
          </cell>
          <cell r="U175" t="str">
            <v>ZOHRA BENT MED</v>
          </cell>
          <cell r="X175">
            <v>11</v>
          </cell>
          <cell r="Y175">
            <v>4</v>
          </cell>
          <cell r="AB175" t="str">
            <v>X</v>
          </cell>
          <cell r="AC175" t="str">
            <v>X</v>
          </cell>
          <cell r="AD175" t="str">
            <v>X</v>
          </cell>
          <cell r="AH175" t="str">
            <v>N</v>
          </cell>
          <cell r="AI175" t="str">
            <v>N</v>
          </cell>
          <cell r="AK175" t="str">
            <v>1170 VILLAGE O.C.P - HATTANE</v>
          </cell>
          <cell r="AL175" t="str">
            <v>CM2</v>
          </cell>
          <cell r="AP175" t="str">
            <v>Q 25102</v>
          </cell>
          <cell r="AQ175">
            <v>0</v>
          </cell>
          <cell r="AR175" t="str">
            <v>B</v>
          </cell>
          <cell r="AS175" t="str">
            <v>WAFABANK - KHGA</v>
          </cell>
          <cell r="AT175" t="str">
            <v>1220301190139</v>
          </cell>
          <cell r="AU175" t="str">
            <v>/  /</v>
          </cell>
          <cell r="AW175">
            <v>37438</v>
          </cell>
          <cell r="AY175" t="str">
            <v>O+</v>
          </cell>
          <cell r="AZ175" t="str">
            <v>M</v>
          </cell>
          <cell r="BA175" t="str">
            <v>0</v>
          </cell>
          <cell r="BB175">
            <v>1</v>
          </cell>
          <cell r="BD175">
            <v>0</v>
          </cell>
          <cell r="BE175" t="str">
            <v>M</v>
          </cell>
          <cell r="BF175" t="str">
            <v>N</v>
          </cell>
          <cell r="BG175">
            <v>10</v>
          </cell>
          <cell r="BH175">
            <v>37438</v>
          </cell>
          <cell r="BI175" t="str">
            <v>O</v>
          </cell>
        </row>
        <row r="176">
          <cell r="A176">
            <v>64898</v>
          </cell>
          <cell r="B176">
            <v>418</v>
          </cell>
          <cell r="C176" t="str">
            <v>C7050</v>
          </cell>
          <cell r="D176" t="str">
            <v>ATFANE</v>
          </cell>
          <cell r="E176" t="str">
            <v>ABDESSELAM</v>
          </cell>
          <cell r="F176">
            <v>18809</v>
          </cell>
          <cell r="G176" t="str">
            <v>1</v>
          </cell>
          <cell r="H176" t="str">
            <v>OULED BHAR SGHAR KHOURIBGA</v>
          </cell>
          <cell r="I176" t="str">
            <v>D</v>
          </cell>
          <cell r="J176">
            <v>26928</v>
          </cell>
          <cell r="K176">
            <v>35065</v>
          </cell>
          <cell r="L176" t="str">
            <v>33</v>
          </cell>
          <cell r="M176" t="str">
            <v>A</v>
          </cell>
          <cell r="N176">
            <v>35065</v>
          </cell>
          <cell r="P176">
            <v>29</v>
          </cell>
          <cell r="Q176" t="str">
            <v>O</v>
          </cell>
          <cell r="R176" t="str">
            <v>N</v>
          </cell>
          <cell r="S176">
            <v>0</v>
          </cell>
          <cell r="T176" t="str">
            <v>M</v>
          </cell>
          <cell r="U176" t="str">
            <v>MAHJOUBA BENT MED</v>
          </cell>
          <cell r="X176">
            <v>6</v>
          </cell>
          <cell r="Y176">
            <v>3</v>
          </cell>
          <cell r="AB176" t="str">
            <v>X</v>
          </cell>
          <cell r="AC176" t="str">
            <v>X</v>
          </cell>
          <cell r="AD176" t="str">
            <v>X</v>
          </cell>
          <cell r="AH176" t="str">
            <v>N</v>
          </cell>
          <cell r="AI176" t="str">
            <v>O</v>
          </cell>
          <cell r="AK176" t="str">
            <v>RUE DU GABON N° 14 BLOC S NAHDA KHGA</v>
          </cell>
          <cell r="AL176" t="str">
            <v>3AS</v>
          </cell>
          <cell r="AM176" t="str">
            <v>CFO</v>
          </cell>
          <cell r="AP176" t="str">
            <v>Q 25376</v>
          </cell>
          <cell r="AQ176">
            <v>0</v>
          </cell>
          <cell r="AR176" t="str">
            <v>B</v>
          </cell>
          <cell r="AS176" t="str">
            <v>POPULAIRE KHGA</v>
          </cell>
          <cell r="AT176" t="str">
            <v>2111112830630005</v>
          </cell>
          <cell r="AU176" t="str">
            <v>/  /</v>
          </cell>
          <cell r="AW176">
            <v>37622</v>
          </cell>
          <cell r="AX176">
            <v>37555</v>
          </cell>
          <cell r="AY176" t="str">
            <v>XX</v>
          </cell>
          <cell r="BA176" t="str">
            <v>2</v>
          </cell>
          <cell r="BB176">
            <v>1</v>
          </cell>
          <cell r="BD176">
            <v>0</v>
          </cell>
          <cell r="BE176" t="str">
            <v>M</v>
          </cell>
          <cell r="BF176" t="str">
            <v>N</v>
          </cell>
          <cell r="BG176">
            <v>1</v>
          </cell>
          <cell r="BH176">
            <v>37073</v>
          </cell>
          <cell r="BI176" t="str">
            <v>O</v>
          </cell>
        </row>
        <row r="177">
          <cell r="A177">
            <v>64900</v>
          </cell>
          <cell r="B177">
            <v>411</v>
          </cell>
          <cell r="C177" t="str">
            <v>C5152</v>
          </cell>
          <cell r="D177" t="str">
            <v>CHTIA</v>
          </cell>
          <cell r="E177" t="str">
            <v>AHMED</v>
          </cell>
          <cell r="F177">
            <v>19175</v>
          </cell>
          <cell r="G177" t="str">
            <v>1</v>
          </cell>
          <cell r="H177" t="str">
            <v>OULED BHAR KBAR KHOURIBGA</v>
          </cell>
          <cell r="I177" t="str">
            <v>D</v>
          </cell>
          <cell r="J177">
            <v>26926</v>
          </cell>
          <cell r="K177">
            <v>35431</v>
          </cell>
          <cell r="L177" t="str">
            <v>31</v>
          </cell>
          <cell r="M177" t="str">
            <v>A</v>
          </cell>
          <cell r="N177">
            <v>35431</v>
          </cell>
          <cell r="O177">
            <v>0</v>
          </cell>
          <cell r="P177">
            <v>29</v>
          </cell>
          <cell r="Q177" t="str">
            <v>O</v>
          </cell>
          <cell r="R177" t="str">
            <v>N</v>
          </cell>
          <cell r="S177">
            <v>0</v>
          </cell>
          <cell r="T177" t="str">
            <v>M</v>
          </cell>
          <cell r="U177" t="str">
            <v>GHARRASS FATIMA BENT MED</v>
          </cell>
          <cell r="X177">
            <v>5</v>
          </cell>
          <cell r="Y177">
            <v>2</v>
          </cell>
          <cell r="AB177" t="str">
            <v>X</v>
          </cell>
          <cell r="AC177" t="str">
            <v>X</v>
          </cell>
          <cell r="AD177" t="str">
            <v>X</v>
          </cell>
          <cell r="AH177" t="str">
            <v>N</v>
          </cell>
          <cell r="AI177" t="str">
            <v>N</v>
          </cell>
          <cell r="AK177" t="str">
            <v>1008 VILLAGE O C P BOULANOIR</v>
          </cell>
          <cell r="AL177" t="str">
            <v>2AS</v>
          </cell>
          <cell r="AP177" t="str">
            <v>Q 131503</v>
          </cell>
          <cell r="AQ177">
            <v>0</v>
          </cell>
          <cell r="AR177" t="str">
            <v>B</v>
          </cell>
          <cell r="AS177" t="str">
            <v>SGMB KHGA</v>
          </cell>
          <cell r="AT177" t="str">
            <v>670009116463</v>
          </cell>
          <cell r="AU177" t="str">
            <v>/  /</v>
          </cell>
          <cell r="AW177">
            <v>37438</v>
          </cell>
          <cell r="AY177" t="str">
            <v>XX</v>
          </cell>
          <cell r="AZ177" t="str">
            <v>M</v>
          </cell>
          <cell r="BA177" t="str">
            <v>1</v>
          </cell>
          <cell r="BB177">
            <v>1</v>
          </cell>
          <cell r="BD177">
            <v>0</v>
          </cell>
          <cell r="BE177" t="str">
            <v>M</v>
          </cell>
          <cell r="BF177" t="str">
            <v>N</v>
          </cell>
          <cell r="BG177">
            <v>40</v>
          </cell>
          <cell r="BH177">
            <v>37438</v>
          </cell>
        </row>
        <row r="178">
          <cell r="A178">
            <v>63559</v>
          </cell>
          <cell r="B178">
            <v>411</v>
          </cell>
          <cell r="C178" t="str">
            <v>C5002</v>
          </cell>
          <cell r="D178" t="str">
            <v>JELLAB</v>
          </cell>
          <cell r="E178" t="str">
            <v>ABDESSELAM</v>
          </cell>
          <cell r="F178">
            <v>19529</v>
          </cell>
          <cell r="G178" t="str">
            <v>1</v>
          </cell>
          <cell r="H178" t="str">
            <v>OULED BHAR KBAR KHOURIBGA</v>
          </cell>
          <cell r="I178" t="str">
            <v>D</v>
          </cell>
          <cell r="J178">
            <v>26515</v>
          </cell>
          <cell r="K178">
            <v>31625</v>
          </cell>
          <cell r="L178" t="str">
            <v>31</v>
          </cell>
          <cell r="M178" t="str">
            <v>A</v>
          </cell>
          <cell r="N178">
            <v>31625</v>
          </cell>
          <cell r="P178">
            <v>30</v>
          </cell>
          <cell r="Q178" t="str">
            <v>O</v>
          </cell>
          <cell r="R178" t="str">
            <v>N</v>
          </cell>
          <cell r="S178">
            <v>0</v>
          </cell>
          <cell r="T178" t="str">
            <v>M</v>
          </cell>
          <cell r="U178" t="str">
            <v>MOUNZIL NAIMA</v>
          </cell>
          <cell r="X178">
            <v>4</v>
          </cell>
          <cell r="Y178">
            <v>2</v>
          </cell>
          <cell r="AB178" t="str">
            <v>X</v>
          </cell>
          <cell r="AC178" t="str">
            <v>X</v>
          </cell>
          <cell r="AD178" t="str">
            <v>X</v>
          </cell>
          <cell r="AH178" t="str">
            <v>N</v>
          </cell>
          <cell r="AI178" t="str">
            <v>N</v>
          </cell>
          <cell r="AK178" t="str">
            <v>88 NLLE CONSTRUCTION SECHAGE OCP - KHGA</v>
          </cell>
          <cell r="AL178" t="str">
            <v>2AS</v>
          </cell>
          <cell r="AM178" t="str">
            <v>CFP</v>
          </cell>
          <cell r="AP178" t="str">
            <v>Q 2396</v>
          </cell>
          <cell r="AQ178">
            <v>0</v>
          </cell>
          <cell r="AR178" t="str">
            <v>B</v>
          </cell>
          <cell r="AS178" t="str">
            <v>SGMB KHGA</v>
          </cell>
          <cell r="AT178" t="str">
            <v>670009122574</v>
          </cell>
          <cell r="AU178" t="str">
            <v>/  /</v>
          </cell>
          <cell r="AW178">
            <v>37803</v>
          </cell>
          <cell r="AY178" t="str">
            <v>XX</v>
          </cell>
          <cell r="BA178" t="str">
            <v>2</v>
          </cell>
          <cell r="BB178">
            <v>1</v>
          </cell>
          <cell r="BD178">
            <v>0</v>
          </cell>
          <cell r="BE178" t="str">
            <v>M</v>
          </cell>
          <cell r="BF178" t="str">
            <v>N</v>
          </cell>
          <cell r="BG178">
            <v>1</v>
          </cell>
          <cell r="BH178">
            <v>37803</v>
          </cell>
        </row>
        <row r="179">
          <cell r="A179">
            <v>63587</v>
          </cell>
          <cell r="B179">
            <v>411</v>
          </cell>
          <cell r="C179" t="str">
            <v>C6017</v>
          </cell>
          <cell r="D179" t="str">
            <v>ADLI</v>
          </cell>
          <cell r="E179" t="str">
            <v>M'HAMMED</v>
          </cell>
          <cell r="F179">
            <v>17714</v>
          </cell>
          <cell r="H179" t="str">
            <v>CASABLANCA</v>
          </cell>
          <cell r="I179" t="str">
            <v>F</v>
          </cell>
          <cell r="J179">
            <v>29224</v>
          </cell>
          <cell r="K179">
            <v>36526</v>
          </cell>
          <cell r="L179" t="str">
            <v>32</v>
          </cell>
          <cell r="M179" t="str">
            <v>A</v>
          </cell>
          <cell r="N179">
            <v>36526</v>
          </cell>
          <cell r="O179">
            <v>0</v>
          </cell>
          <cell r="P179">
            <v>23</v>
          </cell>
          <cell r="Q179" t="str">
            <v>O</v>
          </cell>
          <cell r="R179" t="str">
            <v>N</v>
          </cell>
          <cell r="S179">
            <v>0</v>
          </cell>
          <cell r="T179" t="str">
            <v>M</v>
          </cell>
          <cell r="U179" t="str">
            <v>NAIMA BENT ABDESLAM</v>
          </cell>
          <cell r="X179">
            <v>4</v>
          </cell>
          <cell r="Y179">
            <v>2</v>
          </cell>
          <cell r="AB179" t="str">
            <v>X</v>
          </cell>
          <cell r="AC179" t="str">
            <v>X</v>
          </cell>
          <cell r="AD179" t="str">
            <v>X</v>
          </cell>
          <cell r="AH179" t="str">
            <v>N</v>
          </cell>
          <cell r="AI179" t="str">
            <v>N</v>
          </cell>
          <cell r="AK179" t="str">
            <v>79,RUE LA LIBERTE DB BOUAZZA B/ALI KHGA</v>
          </cell>
          <cell r="AL179" t="str">
            <v>4AS</v>
          </cell>
          <cell r="AM179" t="str">
            <v>CFP(SOUDURE)</v>
          </cell>
          <cell r="AP179" t="str">
            <v>Q 58651</v>
          </cell>
          <cell r="AQ179">
            <v>0</v>
          </cell>
          <cell r="AR179" t="str">
            <v>B</v>
          </cell>
          <cell r="AS179" t="str">
            <v>WAFABANQUE KHGA</v>
          </cell>
          <cell r="AT179" t="str">
            <v>1120301201152</v>
          </cell>
          <cell r="AU179" t="str">
            <v>/  /</v>
          </cell>
          <cell r="AW179">
            <v>37803</v>
          </cell>
          <cell r="AY179" t="str">
            <v>XX</v>
          </cell>
          <cell r="BA179" t="str">
            <v>2</v>
          </cell>
          <cell r="BB179">
            <v>1</v>
          </cell>
          <cell r="BD179">
            <v>0</v>
          </cell>
          <cell r="BE179" t="str">
            <v>M</v>
          </cell>
          <cell r="BF179" t="str">
            <v>N</v>
          </cell>
          <cell r="BG179">
            <v>1</v>
          </cell>
          <cell r="BH179">
            <v>37803</v>
          </cell>
        </row>
        <row r="180">
          <cell r="A180">
            <v>63765</v>
          </cell>
          <cell r="B180">
            <v>468</v>
          </cell>
          <cell r="C180" t="str">
            <v>C4102</v>
          </cell>
          <cell r="D180" t="str">
            <v>EL BOUNADI</v>
          </cell>
          <cell r="E180" t="str">
            <v>EL MOSTAFA</v>
          </cell>
          <cell r="F180">
            <v>19175</v>
          </cell>
          <cell r="G180" t="str">
            <v>1</v>
          </cell>
          <cell r="H180" t="str">
            <v>OULED BHAR SGHAR KHOURIBGA</v>
          </cell>
          <cell r="I180" t="str">
            <v>D</v>
          </cell>
          <cell r="J180">
            <v>26592</v>
          </cell>
          <cell r="K180">
            <v>36526</v>
          </cell>
          <cell r="L180" t="str">
            <v>22</v>
          </cell>
          <cell r="M180" t="str">
            <v>D</v>
          </cell>
          <cell r="N180">
            <v>36526</v>
          </cell>
          <cell r="P180">
            <v>30</v>
          </cell>
          <cell r="Q180" t="str">
            <v>O</v>
          </cell>
          <cell r="R180" t="str">
            <v>N</v>
          </cell>
          <cell r="S180">
            <v>0</v>
          </cell>
          <cell r="T180" t="str">
            <v>M</v>
          </cell>
          <cell r="U180" t="str">
            <v>MALIKA BENT MED</v>
          </cell>
          <cell r="X180">
            <v>4</v>
          </cell>
          <cell r="Y180">
            <v>2</v>
          </cell>
          <cell r="AB180" t="str">
            <v>X</v>
          </cell>
          <cell r="AC180" t="str">
            <v>X</v>
          </cell>
          <cell r="AD180" t="str">
            <v>X</v>
          </cell>
          <cell r="AH180" t="str">
            <v>N</v>
          </cell>
          <cell r="AI180" t="str">
            <v>N</v>
          </cell>
          <cell r="AK180" t="str">
            <v>N 1215 VILLAGE O C P HATTANE</v>
          </cell>
          <cell r="AL180" t="str">
            <v>5AS</v>
          </cell>
          <cell r="AP180" t="str">
            <v>Q 44096</v>
          </cell>
          <cell r="AQ180">
            <v>0</v>
          </cell>
          <cell r="AR180" t="str">
            <v>B</v>
          </cell>
          <cell r="AS180" t="str">
            <v>BCM KHGA</v>
          </cell>
          <cell r="AT180" t="str">
            <v>97R301212</v>
          </cell>
          <cell r="AU180" t="str">
            <v>/  /</v>
          </cell>
          <cell r="AW180">
            <v>37438</v>
          </cell>
          <cell r="AY180" t="str">
            <v>XX</v>
          </cell>
          <cell r="BA180" t="str">
            <v>1</v>
          </cell>
          <cell r="BB180">
            <v>1</v>
          </cell>
          <cell r="BD180">
            <v>0</v>
          </cell>
          <cell r="BE180" t="str">
            <v>M</v>
          </cell>
          <cell r="BF180" t="str">
            <v>N</v>
          </cell>
          <cell r="BG180">
            <v>11</v>
          </cell>
          <cell r="BH180">
            <v>37438</v>
          </cell>
        </row>
        <row r="181">
          <cell r="A181">
            <v>63777</v>
          </cell>
          <cell r="B181">
            <v>418</v>
          </cell>
          <cell r="C181" t="str">
            <v>C6102</v>
          </cell>
          <cell r="D181" t="str">
            <v>KHALLAD</v>
          </cell>
          <cell r="E181" t="str">
            <v>MOHAMED</v>
          </cell>
          <cell r="F181">
            <v>19175</v>
          </cell>
          <cell r="G181" t="str">
            <v>1</v>
          </cell>
          <cell r="H181" t="str">
            <v>OULED BHAR KBAR KHOURIBGA</v>
          </cell>
          <cell r="I181" t="str">
            <v>F</v>
          </cell>
          <cell r="J181">
            <v>28135</v>
          </cell>
          <cell r="K181">
            <v>36526</v>
          </cell>
          <cell r="L181" t="str">
            <v>32</v>
          </cell>
          <cell r="M181" t="str">
            <v>A</v>
          </cell>
          <cell r="N181">
            <v>36526</v>
          </cell>
          <cell r="P181">
            <v>26</v>
          </cell>
          <cell r="Q181" t="str">
            <v>O</v>
          </cell>
          <cell r="R181" t="str">
            <v>N</v>
          </cell>
          <cell r="S181">
            <v>0</v>
          </cell>
          <cell r="T181" t="str">
            <v>M</v>
          </cell>
          <cell r="U181" t="str">
            <v>FATIMA BENT BOUAZZA</v>
          </cell>
          <cell r="X181">
            <v>3</v>
          </cell>
          <cell r="Y181">
            <v>1</v>
          </cell>
          <cell r="AB181" t="str">
            <v>X</v>
          </cell>
          <cell r="AC181" t="str">
            <v>X</v>
          </cell>
          <cell r="AD181" t="str">
            <v>X</v>
          </cell>
          <cell r="AH181" t="str">
            <v>N</v>
          </cell>
          <cell r="AI181" t="str">
            <v>N</v>
          </cell>
          <cell r="AK181" t="str">
            <v>278 DREB 1 - BOUJNIBA</v>
          </cell>
          <cell r="AL181" t="str">
            <v>3AS</v>
          </cell>
          <cell r="AM181" t="str">
            <v>C.F.O</v>
          </cell>
          <cell r="AP181" t="str">
            <v>Q 73158</v>
          </cell>
          <cell r="AQ181">
            <v>0</v>
          </cell>
          <cell r="AR181" t="str">
            <v>B</v>
          </cell>
          <cell r="AS181" t="str">
            <v>C.N.C.A  KHGA</v>
          </cell>
          <cell r="AT181" t="str">
            <v>0806136X601</v>
          </cell>
          <cell r="AU181" t="str">
            <v>/  /</v>
          </cell>
          <cell r="AW181">
            <v>37438</v>
          </cell>
          <cell r="AY181" t="str">
            <v>XX</v>
          </cell>
          <cell r="BA181" t="str">
            <v>2</v>
          </cell>
          <cell r="BB181">
            <v>1</v>
          </cell>
          <cell r="BD181">
            <v>0</v>
          </cell>
          <cell r="BE181" t="str">
            <v>M</v>
          </cell>
          <cell r="BF181" t="str">
            <v>N</v>
          </cell>
          <cell r="BG181">
            <v>50</v>
          </cell>
          <cell r="BH181">
            <v>37803</v>
          </cell>
          <cell r="BI181" t="str">
            <v>O</v>
          </cell>
        </row>
        <row r="182">
          <cell r="A182">
            <v>63789</v>
          </cell>
          <cell r="B182">
            <v>418</v>
          </cell>
          <cell r="C182" t="str">
            <v>C4102</v>
          </cell>
          <cell r="D182" t="str">
            <v>LEMBARED</v>
          </cell>
          <cell r="E182" t="str">
            <v>EL KBIR</v>
          </cell>
          <cell r="F182">
            <v>19175</v>
          </cell>
          <cell r="G182" t="str">
            <v>1</v>
          </cell>
          <cell r="H182" t="str">
            <v>OULED BHAR KBAR KHOURIBGA</v>
          </cell>
          <cell r="I182" t="str">
            <v>D</v>
          </cell>
          <cell r="J182">
            <v>26599</v>
          </cell>
          <cell r="K182">
            <v>35065</v>
          </cell>
          <cell r="L182" t="str">
            <v>22</v>
          </cell>
          <cell r="M182" t="str">
            <v>A</v>
          </cell>
          <cell r="N182">
            <v>35065</v>
          </cell>
          <cell r="O182">
            <v>0</v>
          </cell>
          <cell r="P182">
            <v>30</v>
          </cell>
          <cell r="Q182" t="str">
            <v>O</v>
          </cell>
          <cell r="R182" t="str">
            <v>N</v>
          </cell>
          <cell r="S182">
            <v>0</v>
          </cell>
          <cell r="T182" t="str">
            <v>M</v>
          </cell>
          <cell r="U182" t="str">
            <v>RAHMA BENT ABDELKADER</v>
          </cell>
          <cell r="X182">
            <v>6</v>
          </cell>
          <cell r="Y182">
            <v>3</v>
          </cell>
          <cell r="AB182" t="str">
            <v>X</v>
          </cell>
          <cell r="AC182" t="str">
            <v>X</v>
          </cell>
          <cell r="AD182" t="str">
            <v>X</v>
          </cell>
          <cell r="AH182" t="str">
            <v>N</v>
          </cell>
          <cell r="AI182" t="str">
            <v>N</v>
          </cell>
          <cell r="AK182" t="str">
            <v>696 NOUVELLE MEDINA DE SECHAGE - KHGA</v>
          </cell>
          <cell r="AL182" t="str">
            <v>3AS</v>
          </cell>
          <cell r="AP182" t="str">
            <v>Q 56163</v>
          </cell>
          <cell r="AQ182">
            <v>0</v>
          </cell>
          <cell r="AR182" t="str">
            <v>B</v>
          </cell>
          <cell r="AS182" t="str">
            <v>BMCE - KHGA</v>
          </cell>
          <cell r="AT182" t="str">
            <v>4000001200001728791</v>
          </cell>
          <cell r="AU182" t="str">
            <v>/  /</v>
          </cell>
          <cell r="AW182">
            <v>37438</v>
          </cell>
          <cell r="AY182" t="str">
            <v>XX</v>
          </cell>
          <cell r="BA182" t="str">
            <v>1</v>
          </cell>
          <cell r="BB182">
            <v>1</v>
          </cell>
          <cell r="BD182">
            <v>0</v>
          </cell>
          <cell r="BE182" t="str">
            <v>M</v>
          </cell>
          <cell r="BF182" t="str">
            <v>N</v>
          </cell>
          <cell r="BG182">
            <v>0</v>
          </cell>
          <cell r="BH182">
            <v>37438</v>
          </cell>
        </row>
        <row r="183">
          <cell r="A183">
            <v>65366</v>
          </cell>
          <cell r="B183">
            <v>421</v>
          </cell>
          <cell r="C183" t="str">
            <v>C4152</v>
          </cell>
          <cell r="D183" t="str">
            <v>LALAM</v>
          </cell>
          <cell r="E183" t="str">
            <v>MOHAMED</v>
          </cell>
          <cell r="F183">
            <v>19905</v>
          </cell>
          <cell r="G183" t="str">
            <v>6</v>
          </cell>
          <cell r="H183" t="str">
            <v>OULED AZZOUZ - KHOURIBGA</v>
          </cell>
          <cell r="I183" t="str">
            <v>D</v>
          </cell>
          <cell r="J183">
            <v>27092</v>
          </cell>
          <cell r="K183">
            <v>36526</v>
          </cell>
          <cell r="L183" t="str">
            <v>22</v>
          </cell>
          <cell r="M183" t="str">
            <v>B</v>
          </cell>
          <cell r="N183">
            <v>36526</v>
          </cell>
          <cell r="P183">
            <v>29</v>
          </cell>
          <cell r="Q183" t="str">
            <v>O</v>
          </cell>
          <cell r="R183" t="str">
            <v>N</v>
          </cell>
          <cell r="S183">
            <v>0</v>
          </cell>
          <cell r="T183" t="str">
            <v>M</v>
          </cell>
          <cell r="U183" t="str">
            <v>JOURANI RACHIDA</v>
          </cell>
          <cell r="X183">
            <v>8</v>
          </cell>
          <cell r="Y183">
            <v>4</v>
          </cell>
          <cell r="Z183" t="str">
            <v>O</v>
          </cell>
          <cell r="AA183" t="str">
            <v>17/01/95</v>
          </cell>
          <cell r="AB183" t="str">
            <v>X</v>
          </cell>
          <cell r="AC183" t="str">
            <v>X</v>
          </cell>
          <cell r="AD183" t="str">
            <v>X</v>
          </cell>
          <cell r="AH183" t="str">
            <v>N</v>
          </cell>
          <cell r="AI183" t="str">
            <v>N</v>
          </cell>
          <cell r="AK183" t="str">
            <v>973 AMAL ERAC - KHOURIBGA</v>
          </cell>
          <cell r="AL183" t="str">
            <v>CM2</v>
          </cell>
          <cell r="AP183" t="str">
            <v>Q 16500</v>
          </cell>
          <cell r="AQ183">
            <v>0</v>
          </cell>
          <cell r="AR183" t="str">
            <v>B</v>
          </cell>
          <cell r="AS183" t="str">
            <v>C.I.H  KHGA</v>
          </cell>
          <cell r="AT183" t="str">
            <v>7941297</v>
          </cell>
          <cell r="AU183" t="str">
            <v>/  /</v>
          </cell>
          <cell r="AW183">
            <v>38169</v>
          </cell>
          <cell r="AY183" t="str">
            <v>XX</v>
          </cell>
          <cell r="BA183" t="str">
            <v>1</v>
          </cell>
          <cell r="BB183">
            <v>1</v>
          </cell>
          <cell r="BD183">
            <v>0</v>
          </cell>
          <cell r="BE183" t="str">
            <v>M</v>
          </cell>
          <cell r="BF183" t="str">
            <v>N</v>
          </cell>
          <cell r="BG183">
            <v>4</v>
          </cell>
          <cell r="BH183">
            <v>38169</v>
          </cell>
          <cell r="BI183" t="str">
            <v>O</v>
          </cell>
        </row>
        <row r="184">
          <cell r="A184">
            <v>65503</v>
          </cell>
          <cell r="B184">
            <v>418</v>
          </cell>
          <cell r="C184" t="str">
            <v>C3102</v>
          </cell>
          <cell r="D184" t="str">
            <v>HOUMMANE</v>
          </cell>
          <cell r="E184" t="str">
            <v>AHMED</v>
          </cell>
          <cell r="F184">
            <v>18809</v>
          </cell>
          <cell r="G184" t="str">
            <v>1</v>
          </cell>
          <cell r="H184" t="str">
            <v>OULED BHAR KBAR KHOURIBGA</v>
          </cell>
          <cell r="I184" t="str">
            <v>D</v>
          </cell>
          <cell r="J184">
            <v>27110</v>
          </cell>
          <cell r="K184">
            <v>35886</v>
          </cell>
          <cell r="L184" t="str">
            <v>21</v>
          </cell>
          <cell r="M184" t="str">
            <v>F</v>
          </cell>
          <cell r="N184">
            <v>34516</v>
          </cell>
          <cell r="P184">
            <v>29</v>
          </cell>
          <cell r="Q184" t="str">
            <v>O</v>
          </cell>
          <cell r="R184" t="str">
            <v>N</v>
          </cell>
          <cell r="S184">
            <v>0</v>
          </cell>
          <cell r="T184" t="str">
            <v>M</v>
          </cell>
          <cell r="U184" t="str">
            <v>ZOHRA BENT CHERKI</v>
          </cell>
          <cell r="X184">
            <v>5</v>
          </cell>
          <cell r="Y184">
            <v>3</v>
          </cell>
          <cell r="AB184" t="str">
            <v>X</v>
          </cell>
          <cell r="AC184" t="str">
            <v>X</v>
          </cell>
          <cell r="AD184" t="str">
            <v>X</v>
          </cell>
          <cell r="AH184" t="str">
            <v>N</v>
          </cell>
          <cell r="AI184" t="str">
            <v>N</v>
          </cell>
          <cell r="AK184" t="str">
            <v>1082 VILLAGE O.C.P - BOULANOIR</v>
          </cell>
          <cell r="AL184" t="str">
            <v>CM2</v>
          </cell>
          <cell r="AP184" t="str">
            <v>Q 88162</v>
          </cell>
          <cell r="AQ184">
            <v>0</v>
          </cell>
          <cell r="AR184" t="str">
            <v>C</v>
          </cell>
          <cell r="AU184" t="str">
            <v>/  /</v>
          </cell>
          <cell r="AW184">
            <v>37622</v>
          </cell>
          <cell r="AX184">
            <v>37555</v>
          </cell>
          <cell r="AY184" t="str">
            <v>XX</v>
          </cell>
          <cell r="BA184" t="str">
            <v>1</v>
          </cell>
          <cell r="BB184">
            <v>1</v>
          </cell>
          <cell r="BD184">
            <v>0</v>
          </cell>
          <cell r="BE184" t="str">
            <v>M</v>
          </cell>
          <cell r="BF184" t="str">
            <v>N</v>
          </cell>
          <cell r="BG184">
            <v>40</v>
          </cell>
          <cell r="BH184">
            <v>37073</v>
          </cell>
        </row>
        <row r="185">
          <cell r="A185">
            <v>65524</v>
          </cell>
          <cell r="B185">
            <v>419</v>
          </cell>
          <cell r="C185" t="str">
            <v>C4152</v>
          </cell>
          <cell r="D185" t="str">
            <v>MOUNTAHI</v>
          </cell>
          <cell r="E185" t="str">
            <v>ABDALLAH</v>
          </cell>
          <cell r="F185">
            <v>19490</v>
          </cell>
          <cell r="G185" t="str">
            <v>1</v>
          </cell>
          <cell r="H185" t="str">
            <v>KHOURIBGA</v>
          </cell>
          <cell r="I185" t="str">
            <v>D</v>
          </cell>
          <cell r="J185">
            <v>27113</v>
          </cell>
          <cell r="K185">
            <v>37377</v>
          </cell>
          <cell r="L185" t="str">
            <v>22</v>
          </cell>
          <cell r="M185" t="str">
            <v>A</v>
          </cell>
          <cell r="N185">
            <v>37377</v>
          </cell>
          <cell r="P185">
            <v>29</v>
          </cell>
          <cell r="Q185" t="str">
            <v>O</v>
          </cell>
          <cell r="R185" t="str">
            <v>N</v>
          </cell>
          <cell r="S185">
            <v>0</v>
          </cell>
          <cell r="T185" t="str">
            <v>M</v>
          </cell>
          <cell r="U185" t="str">
            <v>NAIMA BENT BOUAZZAOUI</v>
          </cell>
          <cell r="X185">
            <v>4</v>
          </cell>
          <cell r="Y185">
            <v>4</v>
          </cell>
          <cell r="AB185" t="str">
            <v>X</v>
          </cell>
          <cell r="AC185" t="str">
            <v>X</v>
          </cell>
          <cell r="AD185" t="str">
            <v>X</v>
          </cell>
          <cell r="AE185" t="str">
            <v>O C P 91671-437</v>
          </cell>
          <cell r="AH185" t="str">
            <v>N</v>
          </cell>
          <cell r="AI185" t="str">
            <v>N</v>
          </cell>
          <cell r="AK185" t="str">
            <v>236 HAY EL FATH DERB HADJ EL HIRECH KHGA</v>
          </cell>
          <cell r="AL185" t="str">
            <v>CM2</v>
          </cell>
          <cell r="AP185" t="str">
            <v>Q 81351</v>
          </cell>
          <cell r="AQ185">
            <v>0</v>
          </cell>
          <cell r="AR185" t="str">
            <v>B</v>
          </cell>
          <cell r="AS185" t="str">
            <v>BMCE KHGA</v>
          </cell>
          <cell r="AT185" t="str">
            <v>40001200326171</v>
          </cell>
          <cell r="AU185" t="str">
            <v>/  /</v>
          </cell>
          <cell r="AW185">
            <v>37803</v>
          </cell>
          <cell r="AY185" t="str">
            <v>O+</v>
          </cell>
          <cell r="BA185" t="str">
            <v>0</v>
          </cell>
          <cell r="BB185">
            <v>1</v>
          </cell>
          <cell r="BD185">
            <v>0</v>
          </cell>
          <cell r="BE185" t="str">
            <v>M</v>
          </cell>
          <cell r="BF185" t="str">
            <v>O</v>
          </cell>
          <cell r="BG185">
            <v>1</v>
          </cell>
          <cell r="BH185">
            <v>37803</v>
          </cell>
          <cell r="BI185" t="str">
            <v>O</v>
          </cell>
        </row>
        <row r="186">
          <cell r="A186">
            <v>65996</v>
          </cell>
          <cell r="B186">
            <v>415</v>
          </cell>
          <cell r="C186" t="str">
            <v>C4152</v>
          </cell>
          <cell r="D186" t="str">
            <v>WADOUDI</v>
          </cell>
          <cell r="E186" t="str">
            <v>EL MATI</v>
          </cell>
          <cell r="F186">
            <v>19175</v>
          </cell>
          <cell r="G186" t="str">
            <v>1</v>
          </cell>
          <cell r="H186" t="str">
            <v>OULED BHAR SGHAR KHOURIBGA</v>
          </cell>
          <cell r="I186" t="str">
            <v>D</v>
          </cell>
          <cell r="J186">
            <v>27200</v>
          </cell>
          <cell r="K186">
            <v>37012</v>
          </cell>
          <cell r="L186" t="str">
            <v>22</v>
          </cell>
          <cell r="M186" t="str">
            <v>A</v>
          </cell>
          <cell r="N186">
            <v>37012</v>
          </cell>
          <cell r="P186">
            <v>28</v>
          </cell>
          <cell r="Q186" t="str">
            <v>O</v>
          </cell>
          <cell r="R186" t="str">
            <v>N</v>
          </cell>
          <cell r="S186">
            <v>0</v>
          </cell>
          <cell r="T186" t="str">
            <v>M</v>
          </cell>
          <cell r="U186" t="str">
            <v>DAMIA BENT HADJ AHMED</v>
          </cell>
          <cell r="X186">
            <v>6</v>
          </cell>
          <cell r="Y186">
            <v>2</v>
          </cell>
          <cell r="AB186" t="str">
            <v>X</v>
          </cell>
          <cell r="AC186" t="str">
            <v>X</v>
          </cell>
          <cell r="AD186" t="str">
            <v>X</v>
          </cell>
          <cell r="AH186" t="str">
            <v>N</v>
          </cell>
          <cell r="AI186" t="str">
            <v>N</v>
          </cell>
          <cell r="AK186" t="str">
            <v>843 RUE SABRA EL QODS I - KHGA</v>
          </cell>
          <cell r="AL186" t="str">
            <v>4AS</v>
          </cell>
          <cell r="AP186" t="str">
            <v>Q 81033</v>
          </cell>
          <cell r="AQ186">
            <v>0</v>
          </cell>
          <cell r="AR186" t="str">
            <v>B</v>
          </cell>
          <cell r="AS186" t="str">
            <v>C.I.H . KHGA</v>
          </cell>
          <cell r="AT186" t="str">
            <v>7286842 2130 04700</v>
          </cell>
          <cell r="AU186" t="str">
            <v>/  /</v>
          </cell>
          <cell r="AW186">
            <v>37438</v>
          </cell>
          <cell r="AY186" t="str">
            <v>B+</v>
          </cell>
          <cell r="BA186" t="str">
            <v>0</v>
          </cell>
          <cell r="BB186">
            <v>1</v>
          </cell>
          <cell r="BD186">
            <v>0</v>
          </cell>
          <cell r="BE186" t="str">
            <v>M</v>
          </cell>
          <cell r="BF186" t="str">
            <v>N</v>
          </cell>
          <cell r="BG186">
            <v>1</v>
          </cell>
          <cell r="BH186">
            <v>37438</v>
          </cell>
          <cell r="BI186" t="str">
            <v>O</v>
          </cell>
        </row>
        <row r="187">
          <cell r="A187">
            <v>66232</v>
          </cell>
          <cell r="B187">
            <v>446</v>
          </cell>
          <cell r="C187" t="str">
            <v>C3152</v>
          </cell>
          <cell r="D187" t="str">
            <v>CHATIR</v>
          </cell>
          <cell r="E187" t="str">
            <v>ABDELLAH</v>
          </cell>
          <cell r="F187">
            <v>19905</v>
          </cell>
          <cell r="G187" t="str">
            <v>4</v>
          </cell>
          <cell r="H187" t="str">
            <v>BOULANOIR</v>
          </cell>
          <cell r="I187" t="str">
            <v>D</v>
          </cell>
          <cell r="J187">
            <v>27254</v>
          </cell>
          <cell r="K187">
            <v>33420</v>
          </cell>
          <cell r="L187" t="str">
            <v>21</v>
          </cell>
          <cell r="M187" t="str">
            <v>A</v>
          </cell>
          <cell r="N187">
            <v>33420</v>
          </cell>
          <cell r="P187">
            <v>28</v>
          </cell>
          <cell r="Q187" t="str">
            <v>O</v>
          </cell>
          <cell r="R187" t="str">
            <v>N</v>
          </cell>
          <cell r="S187">
            <v>0</v>
          </cell>
          <cell r="T187" t="str">
            <v>M</v>
          </cell>
          <cell r="U187" t="str">
            <v>AICHA BENT HADDOUM</v>
          </cell>
          <cell r="X187">
            <v>4</v>
          </cell>
          <cell r="Y187">
            <v>1</v>
          </cell>
          <cell r="AB187" t="str">
            <v>X</v>
          </cell>
          <cell r="AC187" t="str">
            <v>X</v>
          </cell>
          <cell r="AD187" t="str">
            <v>X</v>
          </cell>
          <cell r="AH187" t="str">
            <v>N</v>
          </cell>
          <cell r="AI187" t="str">
            <v>N</v>
          </cell>
          <cell r="AK187" t="str">
            <v>N 311 VILLAGE O C P BOUJNIBA</v>
          </cell>
          <cell r="AL187" t="str">
            <v>3AS</v>
          </cell>
          <cell r="AM187" t="str">
            <v>CEP</v>
          </cell>
          <cell r="AP187" t="str">
            <v>Q 80513</v>
          </cell>
          <cell r="AQ187">
            <v>0</v>
          </cell>
          <cell r="AR187" t="str">
            <v>C</v>
          </cell>
          <cell r="AU187" t="str">
            <v>/  /</v>
          </cell>
          <cell r="AW187">
            <v>38169</v>
          </cell>
          <cell r="AY187" t="str">
            <v>XX</v>
          </cell>
          <cell r="BA187" t="str">
            <v>1</v>
          </cell>
          <cell r="BB187">
            <v>1</v>
          </cell>
          <cell r="BD187">
            <v>0</v>
          </cell>
          <cell r="BE187" t="str">
            <v>M</v>
          </cell>
          <cell r="BF187" t="str">
            <v>N</v>
          </cell>
          <cell r="BG187">
            <v>50</v>
          </cell>
          <cell r="BH187">
            <v>38169</v>
          </cell>
        </row>
        <row r="188">
          <cell r="A188">
            <v>66292</v>
          </cell>
          <cell r="B188">
            <v>428</v>
          </cell>
          <cell r="C188" t="str">
            <v>C5152</v>
          </cell>
          <cell r="D188" t="str">
            <v>MARHFOR</v>
          </cell>
          <cell r="E188" t="str">
            <v>EL MOSTAFA</v>
          </cell>
          <cell r="F188">
            <v>19814</v>
          </cell>
          <cell r="G188" t="str">
            <v>1</v>
          </cell>
          <cell r="H188" t="str">
            <v>KHOURIBGA</v>
          </cell>
          <cell r="I188" t="str">
            <v>D</v>
          </cell>
          <cell r="J188">
            <v>27274</v>
          </cell>
          <cell r="K188">
            <v>37073</v>
          </cell>
          <cell r="L188" t="str">
            <v>31</v>
          </cell>
          <cell r="M188" t="str">
            <v>A</v>
          </cell>
          <cell r="N188">
            <v>37073</v>
          </cell>
          <cell r="O188">
            <v>0</v>
          </cell>
          <cell r="P188">
            <v>28</v>
          </cell>
          <cell r="Q188" t="str">
            <v>O</v>
          </cell>
          <cell r="R188" t="str">
            <v>N</v>
          </cell>
          <cell r="S188">
            <v>0</v>
          </cell>
          <cell r="T188" t="str">
            <v>M</v>
          </cell>
          <cell r="U188" t="str">
            <v>BARJIJ FATIMA</v>
          </cell>
          <cell r="X188">
            <v>6</v>
          </cell>
          <cell r="Y188">
            <v>3</v>
          </cell>
          <cell r="AB188" t="str">
            <v>X</v>
          </cell>
          <cell r="AC188" t="str">
            <v>X</v>
          </cell>
          <cell r="AD188" t="str">
            <v>X</v>
          </cell>
          <cell r="AH188" t="str">
            <v>N</v>
          </cell>
          <cell r="AI188" t="str">
            <v>N</v>
          </cell>
          <cell r="AK188" t="str">
            <v>168 HAY EL KARAM - KHGA</v>
          </cell>
          <cell r="AL188" t="str">
            <v>2AS</v>
          </cell>
          <cell r="AP188" t="str">
            <v>Q 18204</v>
          </cell>
          <cell r="AQ188">
            <v>0</v>
          </cell>
          <cell r="AR188" t="str">
            <v>B</v>
          </cell>
          <cell r="AS188" t="str">
            <v>SGMB - KHGA</v>
          </cell>
          <cell r="AT188" t="str">
            <v>0000670009347226</v>
          </cell>
          <cell r="AU188" t="str">
            <v>/  /</v>
          </cell>
          <cell r="AW188">
            <v>38169</v>
          </cell>
          <cell r="AY188" t="str">
            <v>O+</v>
          </cell>
          <cell r="AZ188" t="str">
            <v>M</v>
          </cell>
          <cell r="BA188" t="str">
            <v>0</v>
          </cell>
          <cell r="BB188">
            <v>1</v>
          </cell>
          <cell r="BD188">
            <v>0</v>
          </cell>
          <cell r="BE188" t="str">
            <v>M</v>
          </cell>
          <cell r="BF188" t="str">
            <v>N</v>
          </cell>
          <cell r="BG188">
            <v>4</v>
          </cell>
          <cell r="BH188">
            <v>38169</v>
          </cell>
          <cell r="BI188" t="str">
            <v>O</v>
          </cell>
        </row>
        <row r="189">
          <cell r="A189">
            <v>66349</v>
          </cell>
          <cell r="B189">
            <v>468</v>
          </cell>
          <cell r="C189" t="str">
            <v>C4411</v>
          </cell>
          <cell r="D189" t="str">
            <v>CHTIA</v>
          </cell>
          <cell r="E189" t="str">
            <v>EL MOULOUDI</v>
          </cell>
          <cell r="F189">
            <v>19540</v>
          </cell>
          <cell r="G189" t="str">
            <v>1</v>
          </cell>
          <cell r="H189" t="str">
            <v>OULED BHAR KBAR KHOURIBGA</v>
          </cell>
          <cell r="I189" t="str">
            <v>D</v>
          </cell>
          <cell r="J189">
            <v>27278</v>
          </cell>
          <cell r="K189">
            <v>34639</v>
          </cell>
          <cell r="L189" t="str">
            <v>22</v>
          </cell>
          <cell r="M189" t="str">
            <v>B</v>
          </cell>
          <cell r="N189">
            <v>35612</v>
          </cell>
          <cell r="P189">
            <v>28</v>
          </cell>
          <cell r="Q189" t="str">
            <v>O</v>
          </cell>
          <cell r="R189" t="str">
            <v>N</v>
          </cell>
          <cell r="S189">
            <v>0</v>
          </cell>
          <cell r="T189" t="str">
            <v>M</v>
          </cell>
          <cell r="U189" t="str">
            <v>ZAHRIA BENT EL MATI</v>
          </cell>
          <cell r="X189">
            <v>6</v>
          </cell>
          <cell r="Y189">
            <v>4</v>
          </cell>
          <cell r="AB189" t="str">
            <v>X</v>
          </cell>
          <cell r="AC189" t="str">
            <v>X</v>
          </cell>
          <cell r="AD189" t="str">
            <v>X</v>
          </cell>
          <cell r="AH189" t="str">
            <v>N</v>
          </cell>
          <cell r="AI189" t="str">
            <v>N</v>
          </cell>
          <cell r="AK189" t="str">
            <v>77 VILLAGE O.C.P - BOUJNIBA</v>
          </cell>
          <cell r="AL189" t="str">
            <v>3AS</v>
          </cell>
          <cell r="AP189" t="str">
            <v>Q 53334</v>
          </cell>
          <cell r="AQ189">
            <v>0</v>
          </cell>
          <cell r="AR189" t="str">
            <v>B</v>
          </cell>
          <cell r="AS189" t="str">
            <v>C.N.C.A   KHGA</v>
          </cell>
          <cell r="AT189" t="str">
            <v>0806295F601</v>
          </cell>
          <cell r="AU189" t="str">
            <v>26/02/09</v>
          </cell>
          <cell r="AW189">
            <v>37803</v>
          </cell>
          <cell r="AY189" t="str">
            <v>A+</v>
          </cell>
          <cell r="BA189" t="str">
            <v>0</v>
          </cell>
          <cell r="BB189">
            <v>1</v>
          </cell>
          <cell r="BD189">
            <v>0</v>
          </cell>
          <cell r="BE189" t="str">
            <v>M</v>
          </cell>
          <cell r="BF189" t="str">
            <v>N</v>
          </cell>
          <cell r="BG189">
            <v>51</v>
          </cell>
          <cell r="BH189">
            <v>37803</v>
          </cell>
        </row>
        <row r="190">
          <cell r="A190">
            <v>66365</v>
          </cell>
          <cell r="B190">
            <v>418</v>
          </cell>
          <cell r="C190" t="str">
            <v>C3000</v>
          </cell>
          <cell r="D190" t="str">
            <v>BRAHNI</v>
          </cell>
          <cell r="E190" t="str">
            <v>RAHAL</v>
          </cell>
          <cell r="F190">
            <v>19905</v>
          </cell>
          <cell r="G190" t="str">
            <v>1</v>
          </cell>
          <cell r="H190" t="str">
            <v>KHOURIBGA</v>
          </cell>
          <cell r="I190" t="str">
            <v>D</v>
          </cell>
          <cell r="J190">
            <v>27278</v>
          </cell>
          <cell r="K190">
            <v>36069</v>
          </cell>
          <cell r="L190" t="str">
            <v>21</v>
          </cell>
          <cell r="M190" t="str">
            <v>D</v>
          </cell>
          <cell r="N190">
            <v>36069</v>
          </cell>
          <cell r="P190">
            <v>28</v>
          </cell>
          <cell r="Q190" t="str">
            <v>O</v>
          </cell>
          <cell r="R190" t="str">
            <v>N</v>
          </cell>
          <cell r="S190">
            <v>0</v>
          </cell>
          <cell r="T190" t="str">
            <v>M</v>
          </cell>
          <cell r="U190" t="str">
            <v>EL ALIA BENT HASSAN</v>
          </cell>
          <cell r="X190">
            <v>6</v>
          </cell>
          <cell r="Y190">
            <v>2</v>
          </cell>
          <cell r="AB190" t="str">
            <v>X</v>
          </cell>
          <cell r="AC190" t="str">
            <v>X</v>
          </cell>
          <cell r="AD190" t="str">
            <v>X</v>
          </cell>
          <cell r="AH190" t="str">
            <v>N</v>
          </cell>
          <cell r="AI190" t="str">
            <v>N</v>
          </cell>
          <cell r="AK190" t="str">
            <v>N 124 VILLAGE O C P BOULANOIR</v>
          </cell>
          <cell r="AL190" t="str">
            <v>2AS</v>
          </cell>
          <cell r="AM190" t="str">
            <v>CEP</v>
          </cell>
          <cell r="AP190" t="str">
            <v>Q 28563</v>
          </cell>
          <cell r="AQ190">
            <v>0</v>
          </cell>
          <cell r="AR190" t="str">
            <v>B</v>
          </cell>
          <cell r="AS190" t="str">
            <v>POPULAIRE KHGA</v>
          </cell>
          <cell r="AT190" t="str">
            <v>211111280683001</v>
          </cell>
          <cell r="AU190" t="str">
            <v>/  /</v>
          </cell>
          <cell r="AW190">
            <v>38169</v>
          </cell>
          <cell r="AY190" t="str">
            <v>XX</v>
          </cell>
          <cell r="BA190" t="str">
            <v>3A</v>
          </cell>
          <cell r="BB190">
            <v>1</v>
          </cell>
          <cell r="BD190">
            <v>0</v>
          </cell>
          <cell r="BE190" t="str">
            <v>M</v>
          </cell>
          <cell r="BF190" t="str">
            <v>N</v>
          </cell>
          <cell r="BG190">
            <v>40</v>
          </cell>
          <cell r="BH190">
            <v>38169</v>
          </cell>
        </row>
        <row r="191">
          <cell r="A191">
            <v>66448</v>
          </cell>
          <cell r="B191">
            <v>411</v>
          </cell>
          <cell r="C191" t="str">
            <v>C5152</v>
          </cell>
          <cell r="D191" t="str">
            <v>BEDDA</v>
          </cell>
          <cell r="E191" t="str">
            <v>BOUABID</v>
          </cell>
          <cell r="F191">
            <v>19905</v>
          </cell>
          <cell r="G191" t="str">
            <v>1</v>
          </cell>
          <cell r="H191" t="str">
            <v>OULED BHAR KBAR KHOURIBGA</v>
          </cell>
          <cell r="I191" t="str">
            <v>D</v>
          </cell>
          <cell r="J191">
            <v>27290</v>
          </cell>
          <cell r="K191">
            <v>31594</v>
          </cell>
          <cell r="L191" t="str">
            <v>31</v>
          </cell>
          <cell r="M191" t="str">
            <v>A</v>
          </cell>
          <cell r="N191">
            <v>31594</v>
          </cell>
          <cell r="O191">
            <v>0</v>
          </cell>
          <cell r="P191">
            <v>28</v>
          </cell>
          <cell r="Q191" t="str">
            <v>O</v>
          </cell>
          <cell r="R191" t="str">
            <v>N</v>
          </cell>
          <cell r="S191">
            <v>0</v>
          </cell>
          <cell r="T191" t="str">
            <v>M</v>
          </cell>
          <cell r="U191" t="str">
            <v>ZOHRA BENT MED</v>
          </cell>
          <cell r="X191">
            <v>5</v>
          </cell>
          <cell r="Y191">
            <v>3</v>
          </cell>
          <cell r="AB191" t="str">
            <v>X</v>
          </cell>
          <cell r="AC191" t="str">
            <v>X</v>
          </cell>
          <cell r="AD191" t="str">
            <v>X</v>
          </cell>
          <cell r="AH191" t="str">
            <v>O</v>
          </cell>
          <cell r="AI191" t="str">
            <v>N</v>
          </cell>
          <cell r="AK191" t="str">
            <v>N 6 OUED GROU PEPINIERE KHGA</v>
          </cell>
          <cell r="AL191" t="str">
            <v>3AS</v>
          </cell>
          <cell r="AP191" t="str">
            <v>Q 71132</v>
          </cell>
          <cell r="AQ191">
            <v>0</v>
          </cell>
          <cell r="AR191" t="str">
            <v>B</v>
          </cell>
          <cell r="AS191" t="str">
            <v>C.I.H - KHGA</v>
          </cell>
          <cell r="AT191" t="str">
            <v>9585217211004700</v>
          </cell>
          <cell r="AU191" t="str">
            <v>/  /</v>
          </cell>
          <cell r="AW191">
            <v>39546</v>
          </cell>
          <cell r="AX191">
            <v>39546</v>
          </cell>
          <cell r="AY191" t="str">
            <v>XX</v>
          </cell>
          <cell r="BA191" t="str">
            <v>1</v>
          </cell>
          <cell r="BB191">
            <v>1</v>
          </cell>
          <cell r="BD191">
            <v>0</v>
          </cell>
          <cell r="BE191" t="str">
            <v>M</v>
          </cell>
          <cell r="BF191" t="str">
            <v>N</v>
          </cell>
          <cell r="BG191">
            <v>1</v>
          </cell>
          <cell r="BH191">
            <v>38169</v>
          </cell>
        </row>
        <row r="192">
          <cell r="A192">
            <v>67147</v>
          </cell>
          <cell r="B192">
            <v>411</v>
          </cell>
          <cell r="C192" t="str">
            <v>C6017</v>
          </cell>
          <cell r="D192" t="str">
            <v>KAREM</v>
          </cell>
          <cell r="E192" t="str">
            <v>M HAMMED</v>
          </cell>
          <cell r="F192">
            <v>19540</v>
          </cell>
          <cell r="G192" t="str">
            <v>1</v>
          </cell>
          <cell r="H192" t="str">
            <v>OULAD ABDOUNE</v>
          </cell>
          <cell r="I192" t="str">
            <v>D</v>
          </cell>
          <cell r="J192">
            <v>27393</v>
          </cell>
          <cell r="K192">
            <v>37043</v>
          </cell>
          <cell r="L192" t="str">
            <v>32</v>
          </cell>
          <cell r="M192" t="str">
            <v>A</v>
          </cell>
          <cell r="N192">
            <v>37043</v>
          </cell>
          <cell r="P192">
            <v>28</v>
          </cell>
          <cell r="Q192" t="str">
            <v>O</v>
          </cell>
          <cell r="R192" t="str">
            <v>N</v>
          </cell>
          <cell r="S192">
            <v>0</v>
          </cell>
          <cell r="T192" t="str">
            <v>M</v>
          </cell>
          <cell r="U192" t="str">
            <v>TAFAL SAMIRA BT ABDELKADER</v>
          </cell>
          <cell r="X192">
            <v>3</v>
          </cell>
          <cell r="Y192">
            <v>3</v>
          </cell>
          <cell r="Z192" t="str">
            <v>N</v>
          </cell>
          <cell r="AB192" t="str">
            <v>X</v>
          </cell>
          <cell r="AC192" t="str">
            <v>X</v>
          </cell>
          <cell r="AD192" t="str">
            <v>X</v>
          </cell>
          <cell r="AH192" t="str">
            <v>N</v>
          </cell>
          <cell r="AI192" t="str">
            <v>N</v>
          </cell>
          <cell r="AK192" t="str">
            <v>DOUAR OULED MESSAOUD OULED ABDOUNE KHGA</v>
          </cell>
          <cell r="AL192" t="str">
            <v>5AS</v>
          </cell>
          <cell r="AM192" t="str">
            <v>CES CFP</v>
          </cell>
          <cell r="AP192" t="str">
            <v>Q 3463</v>
          </cell>
          <cell r="AQ192">
            <v>0</v>
          </cell>
          <cell r="AR192" t="str">
            <v>B</v>
          </cell>
          <cell r="AS192" t="str">
            <v>POPULAIRE KHGA</v>
          </cell>
          <cell r="AT192" t="str">
            <v>211111276805002</v>
          </cell>
          <cell r="AU192" t="str">
            <v>/  /</v>
          </cell>
          <cell r="AW192">
            <v>37803</v>
          </cell>
          <cell r="AY192" t="str">
            <v>XX</v>
          </cell>
          <cell r="BA192" t="str">
            <v>2</v>
          </cell>
          <cell r="BB192">
            <v>1</v>
          </cell>
          <cell r="BD192">
            <v>0</v>
          </cell>
          <cell r="BE192" t="str">
            <v>M</v>
          </cell>
          <cell r="BF192" t="str">
            <v>N</v>
          </cell>
          <cell r="BG192">
            <v>1</v>
          </cell>
          <cell r="BH192">
            <v>37803</v>
          </cell>
          <cell r="BI192" t="str">
            <v>O</v>
          </cell>
        </row>
        <row r="193">
          <cell r="A193">
            <v>67204</v>
          </cell>
          <cell r="B193">
            <v>403</v>
          </cell>
          <cell r="C193" t="str">
            <v>C4102</v>
          </cell>
          <cell r="D193" t="str">
            <v>ASSAKAM</v>
          </cell>
          <cell r="E193" t="str">
            <v>BRAHIM</v>
          </cell>
          <cell r="F193">
            <v>19151</v>
          </cell>
          <cell r="G193" t="str">
            <v>4</v>
          </cell>
          <cell r="H193" t="str">
            <v>BOULANOIR</v>
          </cell>
          <cell r="I193" t="str">
            <v>D</v>
          </cell>
          <cell r="J193">
            <v>27428</v>
          </cell>
          <cell r="K193">
            <v>37012</v>
          </cell>
          <cell r="L193" t="str">
            <v>22</v>
          </cell>
          <cell r="M193" t="str">
            <v>B</v>
          </cell>
          <cell r="N193">
            <v>37012</v>
          </cell>
          <cell r="P193">
            <v>29</v>
          </cell>
          <cell r="Q193" t="str">
            <v>O</v>
          </cell>
          <cell r="R193" t="str">
            <v>N</v>
          </cell>
          <cell r="S193">
            <v>0</v>
          </cell>
          <cell r="T193" t="str">
            <v>M</v>
          </cell>
          <cell r="U193" t="str">
            <v>LATIFA BENT BOUAZZA</v>
          </cell>
          <cell r="X193">
            <v>0</v>
          </cell>
          <cell r="Y193">
            <v>0</v>
          </cell>
          <cell r="Z193" t="str">
            <v>N</v>
          </cell>
          <cell r="AB193" t="str">
            <v>X</v>
          </cell>
          <cell r="AC193" t="str">
            <v>X</v>
          </cell>
          <cell r="AD193" t="str">
            <v>X</v>
          </cell>
          <cell r="AH193" t="str">
            <v>N</v>
          </cell>
          <cell r="AI193" t="str">
            <v>N</v>
          </cell>
          <cell r="AK193" t="str">
            <v>1100 VILLAGE O C P BOULANOIR</v>
          </cell>
          <cell r="AL193" t="str">
            <v>1AS</v>
          </cell>
          <cell r="AP193" t="str">
            <v>Q 19384</v>
          </cell>
          <cell r="AQ193">
            <v>0</v>
          </cell>
          <cell r="AR193" t="str">
            <v>B</v>
          </cell>
          <cell r="AS193" t="str">
            <v>CR.MAROC - KHGA</v>
          </cell>
          <cell r="AT193" t="str">
            <v>082001057259</v>
          </cell>
          <cell r="AU193" t="str">
            <v>/  /</v>
          </cell>
          <cell r="AW193">
            <v>37438</v>
          </cell>
          <cell r="AY193" t="str">
            <v>XX</v>
          </cell>
          <cell r="BA193" t="str">
            <v>1</v>
          </cell>
          <cell r="BB193">
            <v>1</v>
          </cell>
          <cell r="BD193">
            <v>0</v>
          </cell>
          <cell r="BE193" t="str">
            <v>M</v>
          </cell>
          <cell r="BF193" t="str">
            <v>N</v>
          </cell>
          <cell r="BG193">
            <v>40</v>
          </cell>
          <cell r="BH193">
            <v>37438</v>
          </cell>
        </row>
        <row r="194">
          <cell r="A194">
            <v>67231</v>
          </cell>
          <cell r="B194">
            <v>468</v>
          </cell>
          <cell r="C194" t="str">
            <v>C5102</v>
          </cell>
          <cell r="D194" t="str">
            <v>BOUHCHICH</v>
          </cell>
          <cell r="E194" t="str">
            <v>HAFID</v>
          </cell>
          <cell r="F194">
            <v>19567</v>
          </cell>
          <cell r="G194" t="str">
            <v>1</v>
          </cell>
          <cell r="H194" t="str">
            <v>OULAD ABDOUNE</v>
          </cell>
          <cell r="I194" t="str">
            <v>D</v>
          </cell>
          <cell r="J194">
            <v>27428</v>
          </cell>
          <cell r="K194">
            <v>33420</v>
          </cell>
          <cell r="L194" t="str">
            <v>31</v>
          </cell>
          <cell r="M194" t="str">
            <v>A</v>
          </cell>
          <cell r="N194">
            <v>33420</v>
          </cell>
          <cell r="P194">
            <v>29</v>
          </cell>
          <cell r="Q194" t="str">
            <v>O</v>
          </cell>
          <cell r="R194" t="str">
            <v>N</v>
          </cell>
          <cell r="S194">
            <v>0</v>
          </cell>
          <cell r="T194" t="str">
            <v>M</v>
          </cell>
          <cell r="U194" t="str">
            <v>MALIKA BENT BOUCHAIB</v>
          </cell>
          <cell r="X194">
            <v>4</v>
          </cell>
          <cell r="Y194">
            <v>1</v>
          </cell>
          <cell r="AB194" t="str">
            <v>X</v>
          </cell>
          <cell r="AC194" t="str">
            <v>X</v>
          </cell>
          <cell r="AD194" t="str">
            <v>X</v>
          </cell>
          <cell r="AH194" t="str">
            <v>N</v>
          </cell>
          <cell r="AI194" t="str">
            <v>N</v>
          </cell>
          <cell r="AK194" t="str">
            <v>320 NLLE CONSTRUCTION DE SECHAGE KHGA</v>
          </cell>
          <cell r="AL194" t="str">
            <v>2AS</v>
          </cell>
          <cell r="AP194" t="str">
            <v>Q 57995</v>
          </cell>
          <cell r="AQ194">
            <v>0</v>
          </cell>
          <cell r="AR194" t="str">
            <v>B</v>
          </cell>
          <cell r="AS194" t="str">
            <v>BMCE KHGA</v>
          </cell>
          <cell r="AT194" t="str">
            <v>40001200000663731</v>
          </cell>
          <cell r="AU194" t="str">
            <v>/  /</v>
          </cell>
          <cell r="AW194">
            <v>37987</v>
          </cell>
          <cell r="AY194" t="str">
            <v>XX</v>
          </cell>
          <cell r="BA194" t="str">
            <v>2</v>
          </cell>
          <cell r="BB194">
            <v>1</v>
          </cell>
          <cell r="BD194">
            <v>0</v>
          </cell>
          <cell r="BE194" t="str">
            <v>M</v>
          </cell>
          <cell r="BF194" t="str">
            <v>N</v>
          </cell>
          <cell r="BG194">
            <v>5</v>
          </cell>
          <cell r="BH194">
            <v>37987</v>
          </cell>
        </row>
        <row r="195">
          <cell r="A195">
            <v>67273</v>
          </cell>
          <cell r="B195">
            <v>411</v>
          </cell>
          <cell r="C195" t="str">
            <v>C3017</v>
          </cell>
          <cell r="D195" t="str">
            <v>KHADDACHE</v>
          </cell>
          <cell r="E195" t="str">
            <v>HAMMADI</v>
          </cell>
          <cell r="F195">
            <v>20059</v>
          </cell>
          <cell r="G195" t="str">
            <v>1</v>
          </cell>
          <cell r="H195" t="str">
            <v>KHOURIBGA</v>
          </cell>
          <cell r="I195" t="str">
            <v>D</v>
          </cell>
          <cell r="J195">
            <v>27428</v>
          </cell>
          <cell r="K195">
            <v>36220</v>
          </cell>
          <cell r="L195" t="str">
            <v>21</v>
          </cell>
          <cell r="M195" t="str">
            <v>D</v>
          </cell>
          <cell r="N195">
            <v>36220</v>
          </cell>
          <cell r="P195">
            <v>29</v>
          </cell>
          <cell r="Q195" t="str">
            <v>O</v>
          </cell>
          <cell r="R195" t="str">
            <v>N</v>
          </cell>
          <cell r="S195">
            <v>0</v>
          </cell>
          <cell r="T195" t="str">
            <v>M</v>
          </cell>
          <cell r="U195" t="str">
            <v>ABOUABID ASMA BENT ALLAL</v>
          </cell>
          <cell r="X195">
            <v>3</v>
          </cell>
          <cell r="Y195">
            <v>3</v>
          </cell>
          <cell r="AB195" t="str">
            <v>X</v>
          </cell>
          <cell r="AC195" t="str">
            <v>X</v>
          </cell>
          <cell r="AD195" t="str">
            <v>X</v>
          </cell>
          <cell r="AH195" t="str">
            <v>N</v>
          </cell>
          <cell r="AI195" t="str">
            <v>N</v>
          </cell>
          <cell r="AK195" t="str">
            <v>222 VILLAGE OCP BOUJNIBA</v>
          </cell>
          <cell r="AL195" t="str">
            <v>CM2</v>
          </cell>
          <cell r="AP195" t="str">
            <v>Q 48061</v>
          </cell>
          <cell r="AQ195">
            <v>0</v>
          </cell>
          <cell r="AR195" t="str">
            <v>C</v>
          </cell>
          <cell r="AU195" t="str">
            <v>/  /</v>
          </cell>
          <cell r="AW195">
            <v>38353</v>
          </cell>
          <cell r="AY195" t="str">
            <v>XX</v>
          </cell>
          <cell r="BA195" t="str">
            <v>2</v>
          </cell>
          <cell r="BB195">
            <v>1</v>
          </cell>
          <cell r="BD195">
            <v>0</v>
          </cell>
          <cell r="BE195" t="str">
            <v>M</v>
          </cell>
          <cell r="BF195" t="str">
            <v>N</v>
          </cell>
          <cell r="BG195">
            <v>50</v>
          </cell>
          <cell r="BH195">
            <v>38534</v>
          </cell>
        </row>
        <row r="196">
          <cell r="A196">
            <v>67342</v>
          </cell>
          <cell r="B196">
            <v>403</v>
          </cell>
          <cell r="C196" t="str">
            <v>C4102</v>
          </cell>
          <cell r="D196" t="str">
            <v>ZIYAT</v>
          </cell>
          <cell r="E196" t="str">
            <v>EL MAHJOUB</v>
          </cell>
          <cell r="F196">
            <v>20273</v>
          </cell>
          <cell r="G196" t="str">
            <v>1</v>
          </cell>
          <cell r="H196" t="str">
            <v>KHOURIBGA</v>
          </cell>
          <cell r="I196" t="str">
            <v>D</v>
          </cell>
          <cell r="J196">
            <v>28374</v>
          </cell>
          <cell r="K196">
            <v>37377</v>
          </cell>
          <cell r="L196" t="str">
            <v>22</v>
          </cell>
          <cell r="M196" t="str">
            <v>A</v>
          </cell>
          <cell r="N196">
            <v>37377</v>
          </cell>
          <cell r="P196">
            <v>25</v>
          </cell>
          <cell r="Q196" t="str">
            <v>O</v>
          </cell>
          <cell r="R196" t="str">
            <v>N</v>
          </cell>
          <cell r="S196">
            <v>0</v>
          </cell>
          <cell r="T196" t="str">
            <v>M</v>
          </cell>
          <cell r="U196" t="str">
            <v>MAHJOUBA BENT MED</v>
          </cell>
          <cell r="X196">
            <v>4</v>
          </cell>
          <cell r="Y196">
            <v>4</v>
          </cell>
          <cell r="AB196" t="str">
            <v>X</v>
          </cell>
          <cell r="AC196" t="str">
            <v>X</v>
          </cell>
          <cell r="AD196" t="str">
            <v>X</v>
          </cell>
          <cell r="AH196" t="str">
            <v>N</v>
          </cell>
          <cell r="AI196" t="str">
            <v>N</v>
          </cell>
          <cell r="AK196" t="str">
            <v>754 VILLAGE O.C.P - BOULANOIR</v>
          </cell>
          <cell r="AL196" t="str">
            <v>CM2</v>
          </cell>
          <cell r="AP196" t="str">
            <v>Q 29961</v>
          </cell>
          <cell r="AQ196">
            <v>0</v>
          </cell>
          <cell r="AR196" t="str">
            <v>B</v>
          </cell>
          <cell r="AS196" t="str">
            <v>SGMB - KHGA</v>
          </cell>
          <cell r="AT196" t="str">
            <v>067000939834541</v>
          </cell>
          <cell r="AU196" t="str">
            <v>/  /</v>
          </cell>
          <cell r="AW196">
            <v>38718</v>
          </cell>
          <cell r="AY196" t="str">
            <v>XX</v>
          </cell>
          <cell r="BA196" t="str">
            <v>1</v>
          </cell>
          <cell r="BB196">
            <v>1</v>
          </cell>
          <cell r="BD196">
            <v>0</v>
          </cell>
          <cell r="BE196" t="str">
            <v>M</v>
          </cell>
          <cell r="BF196" t="str">
            <v>N</v>
          </cell>
          <cell r="BG196">
            <v>40</v>
          </cell>
          <cell r="BH196">
            <v>38718</v>
          </cell>
        </row>
        <row r="197">
          <cell r="A197">
            <v>67382</v>
          </cell>
          <cell r="B197">
            <v>418</v>
          </cell>
          <cell r="C197" t="str">
            <v>C3102</v>
          </cell>
          <cell r="D197" t="str">
            <v>HADFANI</v>
          </cell>
          <cell r="E197" t="str">
            <v>EL HOUSSINE</v>
          </cell>
          <cell r="F197">
            <v>19175</v>
          </cell>
          <cell r="G197" t="str">
            <v>3</v>
          </cell>
          <cell r="H197" t="str">
            <v>BOUJNIBA</v>
          </cell>
          <cell r="I197" t="str">
            <v>D</v>
          </cell>
          <cell r="J197">
            <v>27450</v>
          </cell>
          <cell r="K197">
            <v>36220</v>
          </cell>
          <cell r="L197" t="str">
            <v>21</v>
          </cell>
          <cell r="M197" t="str">
            <v>C</v>
          </cell>
          <cell r="N197">
            <v>36220</v>
          </cell>
          <cell r="P197">
            <v>29</v>
          </cell>
          <cell r="Q197" t="str">
            <v>O</v>
          </cell>
          <cell r="R197" t="str">
            <v>N</v>
          </cell>
          <cell r="S197">
            <v>0</v>
          </cell>
          <cell r="T197" t="str">
            <v>M</v>
          </cell>
          <cell r="U197" t="str">
            <v>ITTOU BENT AHMED</v>
          </cell>
          <cell r="X197">
            <v>7</v>
          </cell>
          <cell r="Y197">
            <v>4</v>
          </cell>
          <cell r="AB197" t="str">
            <v>X</v>
          </cell>
          <cell r="AC197" t="str">
            <v>X</v>
          </cell>
          <cell r="AD197" t="str">
            <v>X</v>
          </cell>
          <cell r="AH197" t="str">
            <v>N</v>
          </cell>
          <cell r="AI197" t="str">
            <v>N</v>
          </cell>
          <cell r="AK197" t="str">
            <v>424 DOUAR EL ARBI - BOUJNIBA</v>
          </cell>
          <cell r="AL197" t="str">
            <v>CM2</v>
          </cell>
          <cell r="AP197" t="str">
            <v>Q 40389</v>
          </cell>
          <cell r="AQ197">
            <v>0</v>
          </cell>
          <cell r="AR197" t="str">
            <v>B</v>
          </cell>
          <cell r="AS197" t="str">
            <v>SGMB - KHGA</v>
          </cell>
          <cell r="AT197" t="str">
            <v>067000946721541</v>
          </cell>
          <cell r="AU197" t="str">
            <v>/  /</v>
          </cell>
          <cell r="AW197">
            <v>37438</v>
          </cell>
          <cell r="AY197" t="str">
            <v>XX</v>
          </cell>
          <cell r="BA197" t="str">
            <v>1</v>
          </cell>
          <cell r="BB197">
            <v>1</v>
          </cell>
          <cell r="BD197">
            <v>0</v>
          </cell>
          <cell r="BE197" t="str">
            <v>M</v>
          </cell>
          <cell r="BF197" t="str">
            <v>N</v>
          </cell>
          <cell r="BG197">
            <v>50</v>
          </cell>
          <cell r="BH197">
            <v>37438</v>
          </cell>
          <cell r="BI197" t="str">
            <v>O</v>
          </cell>
        </row>
        <row r="198">
          <cell r="A198">
            <v>68274</v>
          </cell>
          <cell r="B198">
            <v>418</v>
          </cell>
          <cell r="C198" t="str">
            <v>C7102</v>
          </cell>
          <cell r="D198" t="str">
            <v>KHOUYI</v>
          </cell>
          <cell r="E198" t="str">
            <v>EL KBIR</v>
          </cell>
          <cell r="F198">
            <v>19540</v>
          </cell>
          <cell r="G198" t="str">
            <v>1</v>
          </cell>
          <cell r="H198" t="str">
            <v>OULED BHAR KBAR KHOURIBGA</v>
          </cell>
          <cell r="I198" t="str">
            <v>F</v>
          </cell>
          <cell r="J198">
            <v>27753</v>
          </cell>
          <cell r="K198">
            <v>33573</v>
          </cell>
          <cell r="L198" t="str">
            <v>33</v>
          </cell>
          <cell r="M198" t="str">
            <v>A</v>
          </cell>
          <cell r="N198">
            <v>33573</v>
          </cell>
          <cell r="P198">
            <v>27</v>
          </cell>
          <cell r="Q198" t="str">
            <v>O</v>
          </cell>
          <cell r="R198" t="str">
            <v>N</v>
          </cell>
          <cell r="S198">
            <v>0</v>
          </cell>
          <cell r="T198" t="str">
            <v>M</v>
          </cell>
          <cell r="U198" t="str">
            <v>HABIBA BENT MED</v>
          </cell>
          <cell r="X198">
            <v>5</v>
          </cell>
          <cell r="Y198">
            <v>3</v>
          </cell>
          <cell r="AB198" t="str">
            <v>X</v>
          </cell>
          <cell r="AC198" t="str">
            <v>X</v>
          </cell>
          <cell r="AD198" t="str">
            <v>X</v>
          </cell>
          <cell r="AH198" t="str">
            <v>N</v>
          </cell>
          <cell r="AI198" t="str">
            <v>N</v>
          </cell>
          <cell r="AK198" t="str">
            <v>174 NOUVEAUX LOGEMENTS OCP - KHGA</v>
          </cell>
          <cell r="AL198" t="str">
            <v>3AS</v>
          </cell>
          <cell r="AM198" t="str">
            <v>C.F.O</v>
          </cell>
          <cell r="AP198" t="str">
            <v>Q 1668</v>
          </cell>
          <cell r="AQ198">
            <v>0</v>
          </cell>
          <cell r="AR198" t="str">
            <v>B</v>
          </cell>
          <cell r="AS198" t="str">
            <v>C.I.H - KHGA</v>
          </cell>
          <cell r="AT198" t="str">
            <v>9388976211004700</v>
          </cell>
          <cell r="AU198" t="str">
            <v>/  /</v>
          </cell>
          <cell r="AW198">
            <v>37803</v>
          </cell>
          <cell r="AY198" t="str">
            <v>XX</v>
          </cell>
          <cell r="AZ198" t="str">
            <v>M</v>
          </cell>
          <cell r="BA198" t="str">
            <v>1</v>
          </cell>
          <cell r="BB198">
            <v>1</v>
          </cell>
          <cell r="BD198">
            <v>0</v>
          </cell>
          <cell r="BE198" t="str">
            <v>M</v>
          </cell>
          <cell r="BF198" t="str">
            <v>N</v>
          </cell>
          <cell r="BG198">
            <v>1</v>
          </cell>
          <cell r="BH198">
            <v>37803</v>
          </cell>
        </row>
        <row r="199">
          <cell r="A199">
            <v>68937</v>
          </cell>
          <cell r="B199">
            <v>446</v>
          </cell>
          <cell r="C199" t="str">
            <v>C4152</v>
          </cell>
          <cell r="D199" t="str">
            <v>MOUNY</v>
          </cell>
          <cell r="E199" t="str">
            <v>MOHAMED</v>
          </cell>
          <cell r="F199">
            <v>19175</v>
          </cell>
          <cell r="H199" t="str">
            <v>SIDI HAJJAJ</v>
          </cell>
          <cell r="I199" t="str">
            <v>D</v>
          </cell>
          <cell r="J199">
            <v>28163</v>
          </cell>
          <cell r="K199">
            <v>36526</v>
          </cell>
          <cell r="L199" t="str">
            <v>22</v>
          </cell>
          <cell r="M199" t="str">
            <v>A</v>
          </cell>
          <cell r="N199">
            <v>36526</v>
          </cell>
          <cell r="P199">
            <v>27</v>
          </cell>
          <cell r="Q199" t="str">
            <v>N</v>
          </cell>
          <cell r="R199" t="str">
            <v>N</v>
          </cell>
          <cell r="S199">
            <v>0</v>
          </cell>
          <cell r="T199" t="str">
            <v>M</v>
          </cell>
          <cell r="U199" t="str">
            <v>KHADIJA BENT MED</v>
          </cell>
          <cell r="X199">
            <v>6</v>
          </cell>
          <cell r="Y199">
            <v>4</v>
          </cell>
          <cell r="AB199" t="str">
            <v>X</v>
          </cell>
          <cell r="AC199" t="str">
            <v>X</v>
          </cell>
          <cell r="AD199" t="str">
            <v>X</v>
          </cell>
          <cell r="AH199" t="str">
            <v>N</v>
          </cell>
          <cell r="AI199" t="str">
            <v>N</v>
          </cell>
          <cell r="AK199" t="str">
            <v>N 234 NELLE MEDINA KHGA</v>
          </cell>
          <cell r="AL199" t="str">
            <v>2AS</v>
          </cell>
          <cell r="AP199" t="str">
            <v>Q 68849</v>
          </cell>
          <cell r="AQ199">
            <v>0</v>
          </cell>
          <cell r="AR199" t="str">
            <v>B</v>
          </cell>
          <cell r="AS199" t="str">
            <v>POPULAIRE.KHGA</v>
          </cell>
          <cell r="AT199" t="str">
            <v>2111136308800006</v>
          </cell>
          <cell r="AU199" t="str">
            <v>/  /</v>
          </cell>
          <cell r="AW199">
            <v>37803</v>
          </cell>
          <cell r="AY199" t="str">
            <v>XX</v>
          </cell>
          <cell r="AZ199" t="str">
            <v>K</v>
          </cell>
          <cell r="BA199" t="str">
            <v>6</v>
          </cell>
          <cell r="BB199">
            <v>1</v>
          </cell>
          <cell r="BD199">
            <v>0</v>
          </cell>
          <cell r="BE199" t="str">
            <v>M</v>
          </cell>
          <cell r="BF199" t="str">
            <v>N</v>
          </cell>
          <cell r="BG199">
            <v>0</v>
          </cell>
          <cell r="BH199">
            <v>37803</v>
          </cell>
        </row>
        <row r="200">
          <cell r="A200">
            <v>74343</v>
          </cell>
          <cell r="B200">
            <v>411</v>
          </cell>
          <cell r="C200" t="str">
            <v>C3152</v>
          </cell>
          <cell r="D200" t="str">
            <v>ADSAOUI</v>
          </cell>
          <cell r="E200" t="str">
            <v>MOHAMED</v>
          </cell>
          <cell r="F200">
            <v>21001</v>
          </cell>
          <cell r="H200" t="str">
            <v>LOULAD - SETTAT</v>
          </cell>
          <cell r="I200" t="str">
            <v>D</v>
          </cell>
          <cell r="J200">
            <v>31437</v>
          </cell>
          <cell r="K200">
            <v>36526</v>
          </cell>
          <cell r="L200" t="str">
            <v>21</v>
          </cell>
          <cell r="M200" t="str">
            <v>A</v>
          </cell>
          <cell r="N200">
            <v>36526</v>
          </cell>
          <cell r="P200">
            <v>17</v>
          </cell>
          <cell r="Q200" t="str">
            <v>O</v>
          </cell>
          <cell r="R200" t="str">
            <v>N</v>
          </cell>
          <cell r="S200">
            <v>0</v>
          </cell>
          <cell r="T200" t="str">
            <v>M</v>
          </cell>
          <cell r="U200" t="str">
            <v>MALIKA BENT MED</v>
          </cell>
          <cell r="X200">
            <v>0</v>
          </cell>
          <cell r="Y200">
            <v>0</v>
          </cell>
          <cell r="AB200" t="str">
            <v>X</v>
          </cell>
          <cell r="AC200" t="str">
            <v>X</v>
          </cell>
          <cell r="AD200" t="str">
            <v>X</v>
          </cell>
          <cell r="AH200" t="str">
            <v>N</v>
          </cell>
          <cell r="AI200" t="str">
            <v>N</v>
          </cell>
          <cell r="AK200" t="str">
            <v>20 ANCIENNE MEDINA DU SECHAGE OCP - KHGA</v>
          </cell>
          <cell r="AL200" t="str">
            <v>ILLETTRE</v>
          </cell>
          <cell r="AP200" t="str">
            <v>Q 48643</v>
          </cell>
          <cell r="AQ200">
            <v>0</v>
          </cell>
          <cell r="AR200" t="str">
            <v>B</v>
          </cell>
          <cell r="AS200" t="str">
            <v>CRE MAROC KHGA</v>
          </cell>
          <cell r="AT200" t="str">
            <v>820010009445</v>
          </cell>
          <cell r="AU200" t="str">
            <v>/  /</v>
          </cell>
          <cell r="AW200">
            <v>41091</v>
          </cell>
          <cell r="AY200" t="str">
            <v>XX</v>
          </cell>
          <cell r="BA200" t="str">
            <v>1</v>
          </cell>
          <cell r="BB200">
            <v>1</v>
          </cell>
          <cell r="BD200">
            <v>0</v>
          </cell>
          <cell r="BE200" t="str">
            <v>M</v>
          </cell>
          <cell r="BF200" t="str">
            <v>N</v>
          </cell>
          <cell r="BG200">
            <v>1</v>
          </cell>
          <cell r="BH200">
            <v>41091</v>
          </cell>
        </row>
        <row r="201">
          <cell r="A201">
            <v>74359</v>
          </cell>
          <cell r="B201">
            <v>411</v>
          </cell>
          <cell r="C201" t="str">
            <v>C2152</v>
          </cell>
          <cell r="D201" t="str">
            <v>CHAMEKH</v>
          </cell>
          <cell r="E201" t="str">
            <v>EL ARBI</v>
          </cell>
          <cell r="F201">
            <v>21802</v>
          </cell>
          <cell r="G201" t="str">
            <v>1</v>
          </cell>
          <cell r="H201" t="str">
            <v>OULED BHAR SGHAR KHOURIBGA</v>
          </cell>
          <cell r="I201" t="str">
            <v>D</v>
          </cell>
          <cell r="J201">
            <v>31457</v>
          </cell>
          <cell r="K201">
            <v>33573</v>
          </cell>
          <cell r="L201" t="str">
            <v>12</v>
          </cell>
          <cell r="M201" t="str">
            <v>B</v>
          </cell>
          <cell r="N201">
            <v>35855</v>
          </cell>
          <cell r="P201">
            <v>18</v>
          </cell>
          <cell r="Q201" t="str">
            <v>O</v>
          </cell>
          <cell r="R201" t="str">
            <v>N</v>
          </cell>
          <cell r="S201">
            <v>0</v>
          </cell>
          <cell r="T201" t="str">
            <v>M</v>
          </cell>
          <cell r="U201" t="str">
            <v>KARMIM HALIMA</v>
          </cell>
          <cell r="X201">
            <v>5</v>
          </cell>
          <cell r="Y201">
            <v>5</v>
          </cell>
          <cell r="AB201" t="str">
            <v>X</v>
          </cell>
          <cell r="AC201" t="str">
            <v>X</v>
          </cell>
          <cell r="AD201" t="str">
            <v>X</v>
          </cell>
          <cell r="AH201" t="str">
            <v>N</v>
          </cell>
          <cell r="AI201" t="str">
            <v>N</v>
          </cell>
          <cell r="AK201" t="str">
            <v>1108 VILLAGE O.C.P - HATTANE</v>
          </cell>
          <cell r="AL201" t="str">
            <v>CM1</v>
          </cell>
          <cell r="AP201" t="str">
            <v>Q 52442</v>
          </cell>
          <cell r="AQ201">
            <v>0</v>
          </cell>
          <cell r="AR201" t="str">
            <v>B</v>
          </cell>
          <cell r="AS201" t="str">
            <v>POPULAIRE.KHGA</v>
          </cell>
          <cell r="AT201" t="str">
            <v>2111136300540014</v>
          </cell>
          <cell r="AU201" t="str">
            <v>/  /</v>
          </cell>
          <cell r="AW201">
            <v>41091</v>
          </cell>
          <cell r="AY201" t="str">
            <v>XX</v>
          </cell>
          <cell r="BA201" t="str">
            <v>6</v>
          </cell>
          <cell r="BB201">
            <v>1</v>
          </cell>
          <cell r="BD201">
            <v>0</v>
          </cell>
          <cell r="BE201" t="str">
            <v>M</v>
          </cell>
          <cell r="BF201" t="str">
            <v>N</v>
          </cell>
          <cell r="BG201">
            <v>10</v>
          </cell>
          <cell r="BH201">
            <v>41091</v>
          </cell>
        </row>
        <row r="202">
          <cell r="A202">
            <v>74362</v>
          </cell>
          <cell r="B202">
            <v>418</v>
          </cell>
          <cell r="C202" t="str">
            <v>C3050</v>
          </cell>
          <cell r="D202" t="str">
            <v>MAMMASSI</v>
          </cell>
          <cell r="E202" t="str">
            <v>MAHAMED</v>
          </cell>
          <cell r="F202">
            <v>21366</v>
          </cell>
          <cell r="G202" t="str">
            <v>1</v>
          </cell>
          <cell r="H202" t="str">
            <v>OULED BHAR SGHAR KHOURIBGA</v>
          </cell>
          <cell r="I202" t="str">
            <v>D</v>
          </cell>
          <cell r="J202">
            <v>31457</v>
          </cell>
          <cell r="K202">
            <v>36526</v>
          </cell>
          <cell r="L202" t="str">
            <v>21</v>
          </cell>
          <cell r="M202" t="str">
            <v>A</v>
          </cell>
          <cell r="N202">
            <v>36526</v>
          </cell>
          <cell r="P202">
            <v>18</v>
          </cell>
          <cell r="Q202" t="str">
            <v>O</v>
          </cell>
          <cell r="R202" t="str">
            <v>N</v>
          </cell>
          <cell r="S202">
            <v>0</v>
          </cell>
          <cell r="T202" t="str">
            <v>M</v>
          </cell>
          <cell r="U202" t="str">
            <v>AICHA BENT SALAH</v>
          </cell>
          <cell r="X202">
            <v>4</v>
          </cell>
          <cell r="Y202">
            <v>4</v>
          </cell>
          <cell r="AB202" t="str">
            <v>X</v>
          </cell>
          <cell r="AC202" t="str">
            <v>X</v>
          </cell>
          <cell r="AD202" t="str">
            <v>X</v>
          </cell>
          <cell r="AH202" t="str">
            <v>O</v>
          </cell>
          <cell r="AI202" t="str">
            <v>N</v>
          </cell>
          <cell r="AK202" t="str">
            <v>1288 VILLAGE O.C.P - HATTANE</v>
          </cell>
          <cell r="AL202" t="str">
            <v>ILLETTRE</v>
          </cell>
          <cell r="AP202" t="str">
            <v>Q 114382</v>
          </cell>
          <cell r="AQ202">
            <v>0</v>
          </cell>
          <cell r="AR202" t="str">
            <v>C</v>
          </cell>
          <cell r="AU202" t="str">
            <v>/  /</v>
          </cell>
          <cell r="AW202">
            <v>41091</v>
          </cell>
          <cell r="AY202" t="str">
            <v>XX</v>
          </cell>
          <cell r="BA202" t="str">
            <v>1</v>
          </cell>
          <cell r="BB202">
            <v>1</v>
          </cell>
          <cell r="BD202">
            <v>0</v>
          </cell>
          <cell r="BE202" t="str">
            <v>M</v>
          </cell>
          <cell r="BF202" t="str">
            <v>N</v>
          </cell>
          <cell r="BG202">
            <v>10</v>
          </cell>
          <cell r="BH202">
            <v>41091</v>
          </cell>
        </row>
        <row r="203">
          <cell r="A203">
            <v>74372</v>
          </cell>
          <cell r="B203">
            <v>418</v>
          </cell>
          <cell r="C203" t="str">
            <v>C3152</v>
          </cell>
          <cell r="D203" t="str">
            <v>MEJJAD</v>
          </cell>
          <cell r="E203" t="str">
            <v>MOHAMED</v>
          </cell>
          <cell r="F203">
            <v>21366</v>
          </cell>
          <cell r="G203" t="str">
            <v>6</v>
          </cell>
          <cell r="H203" t="str">
            <v>M'FASSIS</v>
          </cell>
          <cell r="I203" t="str">
            <v>D</v>
          </cell>
          <cell r="J203">
            <v>31463</v>
          </cell>
          <cell r="K203">
            <v>35096</v>
          </cell>
          <cell r="L203" t="str">
            <v>21</v>
          </cell>
          <cell r="M203" t="str">
            <v>A</v>
          </cell>
          <cell r="N203">
            <v>35096</v>
          </cell>
          <cell r="P203">
            <v>18</v>
          </cell>
          <cell r="Q203" t="str">
            <v>O</v>
          </cell>
          <cell r="R203" t="str">
            <v>N</v>
          </cell>
          <cell r="S203">
            <v>0</v>
          </cell>
          <cell r="T203" t="str">
            <v>M</v>
          </cell>
          <cell r="U203" t="str">
            <v>FATIMA BENT MED</v>
          </cell>
          <cell r="X203">
            <v>3</v>
          </cell>
          <cell r="Y203">
            <v>3</v>
          </cell>
          <cell r="AB203" t="str">
            <v>X</v>
          </cell>
          <cell r="AC203" t="str">
            <v>X</v>
          </cell>
          <cell r="AD203" t="str">
            <v>X</v>
          </cell>
          <cell r="AH203" t="str">
            <v>N</v>
          </cell>
          <cell r="AI203" t="str">
            <v>N</v>
          </cell>
          <cell r="AK203" t="str">
            <v>737,VILLAGE OCP HATTANE</v>
          </cell>
          <cell r="AL203" t="str">
            <v>ILLETTRE</v>
          </cell>
          <cell r="AP203" t="str">
            <v>Q 47828</v>
          </cell>
          <cell r="AQ203">
            <v>0</v>
          </cell>
          <cell r="AR203" t="str">
            <v>C</v>
          </cell>
          <cell r="AS203" t="str">
            <v>S.G.M.B-Khouribga</v>
          </cell>
          <cell r="AT203" t="str">
            <v>0670009521632</v>
          </cell>
          <cell r="AU203" t="str">
            <v>/  /</v>
          </cell>
          <cell r="AW203">
            <v>41091</v>
          </cell>
          <cell r="AY203" t="str">
            <v>XX</v>
          </cell>
          <cell r="BA203" t="str">
            <v>1</v>
          </cell>
          <cell r="BB203">
            <v>1</v>
          </cell>
          <cell r="BD203">
            <v>0</v>
          </cell>
          <cell r="BE203" t="str">
            <v>M</v>
          </cell>
          <cell r="BF203" t="str">
            <v>N</v>
          </cell>
          <cell r="BG203">
            <v>10</v>
          </cell>
          <cell r="BH203">
            <v>41091</v>
          </cell>
        </row>
        <row r="204">
          <cell r="A204">
            <v>74418</v>
          </cell>
          <cell r="B204">
            <v>411</v>
          </cell>
          <cell r="C204" t="str">
            <v>C6001</v>
          </cell>
          <cell r="D204" t="str">
            <v>ARAB</v>
          </cell>
          <cell r="E204" t="str">
            <v>ABDESSAMAD</v>
          </cell>
          <cell r="F204">
            <v>23553</v>
          </cell>
          <cell r="H204" t="str">
            <v>OULAD M'RAH - SETTAT</v>
          </cell>
          <cell r="I204" t="str">
            <v>F</v>
          </cell>
          <cell r="J204">
            <v>31623</v>
          </cell>
          <cell r="K204">
            <v>36526</v>
          </cell>
          <cell r="L204" t="str">
            <v>32</v>
          </cell>
          <cell r="M204" t="str">
            <v>A</v>
          </cell>
          <cell r="N204">
            <v>36526</v>
          </cell>
          <cell r="P204">
            <v>16</v>
          </cell>
          <cell r="Q204" t="str">
            <v>O</v>
          </cell>
          <cell r="R204" t="str">
            <v>N</v>
          </cell>
          <cell r="S204">
            <v>0</v>
          </cell>
          <cell r="T204" t="str">
            <v>M</v>
          </cell>
          <cell r="U204" t="str">
            <v>OUCHTOU RABIAA BENT LAHSEN</v>
          </cell>
          <cell r="X204">
            <v>3</v>
          </cell>
          <cell r="Y204">
            <v>3</v>
          </cell>
          <cell r="Z204" t="str">
            <v>N</v>
          </cell>
          <cell r="AA204" t="str">
            <v>05/01/89</v>
          </cell>
          <cell r="AB204" t="str">
            <v>X</v>
          </cell>
          <cell r="AC204" t="str">
            <v>X</v>
          </cell>
          <cell r="AD204" t="str">
            <v>X</v>
          </cell>
          <cell r="AH204" t="str">
            <v>N</v>
          </cell>
          <cell r="AI204" t="str">
            <v>N</v>
          </cell>
          <cell r="AK204" t="str">
            <v>11 BLOC F MASSIRA  KHGA</v>
          </cell>
          <cell r="AL204" t="str">
            <v>4AS</v>
          </cell>
          <cell r="AM204" t="str">
            <v>CES CFP</v>
          </cell>
          <cell r="AP204" t="str">
            <v>WB 1031</v>
          </cell>
          <cell r="AQ204">
            <v>0</v>
          </cell>
          <cell r="AR204" t="str">
            <v>B</v>
          </cell>
          <cell r="AS204" t="str">
            <v>B.M.C.E  KHGA</v>
          </cell>
          <cell r="AT204" t="str">
            <v>40001200000769267</v>
          </cell>
          <cell r="AU204" t="str">
            <v>/  /</v>
          </cell>
          <cell r="AW204">
            <v>41821</v>
          </cell>
          <cell r="AY204" t="str">
            <v>XX</v>
          </cell>
          <cell r="BA204" t="str">
            <v>2</v>
          </cell>
          <cell r="BB204">
            <v>1</v>
          </cell>
          <cell r="BD204">
            <v>0</v>
          </cell>
          <cell r="BE204" t="str">
            <v>M</v>
          </cell>
          <cell r="BF204" t="str">
            <v>N</v>
          </cell>
          <cell r="BG204">
            <v>2</v>
          </cell>
          <cell r="BH204">
            <v>41821</v>
          </cell>
        </row>
        <row r="205">
          <cell r="A205">
            <v>65404</v>
          </cell>
          <cell r="B205">
            <v>411</v>
          </cell>
          <cell r="C205" t="str">
            <v>C4152</v>
          </cell>
          <cell r="D205" t="str">
            <v>EL MAHJOUR</v>
          </cell>
          <cell r="E205" t="str">
            <v>DRISS</v>
          </cell>
          <cell r="F205">
            <v>19540</v>
          </cell>
          <cell r="G205" t="str">
            <v>3</v>
          </cell>
          <cell r="H205" t="str">
            <v>OULED BRAHIM - KHOURIBGA</v>
          </cell>
          <cell r="I205" t="str">
            <v>D</v>
          </cell>
          <cell r="J205">
            <v>27095</v>
          </cell>
          <cell r="K205">
            <v>36526</v>
          </cell>
          <cell r="L205" t="str">
            <v>22</v>
          </cell>
          <cell r="M205" t="str">
            <v>B</v>
          </cell>
          <cell r="N205">
            <v>36526</v>
          </cell>
          <cell r="P205">
            <v>29</v>
          </cell>
          <cell r="Q205" t="str">
            <v>O</v>
          </cell>
          <cell r="R205" t="str">
            <v>N</v>
          </cell>
          <cell r="S205">
            <v>0</v>
          </cell>
          <cell r="T205" t="str">
            <v>M</v>
          </cell>
          <cell r="U205" t="str">
            <v>JEMMAAA BENT HADJ MED</v>
          </cell>
          <cell r="X205">
            <v>7</v>
          </cell>
          <cell r="Y205">
            <v>3</v>
          </cell>
          <cell r="AB205" t="str">
            <v>X</v>
          </cell>
          <cell r="AC205" t="str">
            <v>X</v>
          </cell>
          <cell r="AD205" t="str">
            <v>X</v>
          </cell>
          <cell r="AH205" t="str">
            <v>N</v>
          </cell>
          <cell r="AI205" t="str">
            <v>N</v>
          </cell>
          <cell r="AK205" t="str">
            <v>705 VILLAGE O.C.P - BOUJNIBA</v>
          </cell>
          <cell r="AL205" t="str">
            <v>2AS</v>
          </cell>
          <cell r="AM205" t="str">
            <v>CEP</v>
          </cell>
          <cell r="AP205" t="str">
            <v>Q 30065</v>
          </cell>
          <cell r="AQ205">
            <v>0</v>
          </cell>
          <cell r="AR205" t="str">
            <v>B</v>
          </cell>
          <cell r="AS205" t="str">
            <v>BCM - KHGA</v>
          </cell>
          <cell r="AT205" t="str">
            <v>097H306418</v>
          </cell>
          <cell r="AU205" t="str">
            <v>/  /</v>
          </cell>
          <cell r="AW205">
            <v>37803</v>
          </cell>
          <cell r="AY205" t="str">
            <v>XX</v>
          </cell>
          <cell r="BA205" t="str">
            <v>1</v>
          </cell>
          <cell r="BB205">
            <v>1</v>
          </cell>
          <cell r="BD205">
            <v>0</v>
          </cell>
          <cell r="BE205" t="str">
            <v>M</v>
          </cell>
          <cell r="BF205" t="str">
            <v>N</v>
          </cell>
          <cell r="BG205">
            <v>50</v>
          </cell>
          <cell r="BH205">
            <v>37803</v>
          </cell>
          <cell r="BI205" t="str">
            <v>O</v>
          </cell>
        </row>
        <row r="206">
          <cell r="A206">
            <v>65412</v>
          </cell>
          <cell r="B206">
            <v>411</v>
          </cell>
          <cell r="C206" t="str">
            <v>C4152</v>
          </cell>
          <cell r="D206" t="str">
            <v>EL QALEB</v>
          </cell>
          <cell r="E206" t="str">
            <v>SALAH</v>
          </cell>
          <cell r="F206">
            <v>19624</v>
          </cell>
          <cell r="G206" t="str">
            <v>6</v>
          </cell>
          <cell r="H206" t="str">
            <v>M'FASSIS - KHOURIBGA</v>
          </cell>
          <cell r="I206" t="str">
            <v>D</v>
          </cell>
          <cell r="J206">
            <v>27095</v>
          </cell>
          <cell r="K206">
            <v>35065</v>
          </cell>
          <cell r="L206" t="str">
            <v>22</v>
          </cell>
          <cell r="M206" t="str">
            <v>A</v>
          </cell>
          <cell r="N206">
            <v>35065</v>
          </cell>
          <cell r="P206">
            <v>29</v>
          </cell>
          <cell r="Q206" t="str">
            <v>O</v>
          </cell>
          <cell r="R206" t="str">
            <v>N</v>
          </cell>
          <cell r="S206">
            <v>0</v>
          </cell>
          <cell r="T206" t="str">
            <v>M</v>
          </cell>
          <cell r="U206" t="str">
            <v>FATNA BENT MED</v>
          </cell>
          <cell r="X206">
            <v>4</v>
          </cell>
          <cell r="Y206">
            <v>5</v>
          </cell>
          <cell r="AB206" t="str">
            <v>X</v>
          </cell>
          <cell r="AC206" t="str">
            <v>X</v>
          </cell>
          <cell r="AD206" t="str">
            <v>X</v>
          </cell>
          <cell r="AH206" t="str">
            <v>N</v>
          </cell>
          <cell r="AI206" t="str">
            <v>N</v>
          </cell>
          <cell r="AK206" t="str">
            <v>1268 VILLAGE O.C.P SBATA HATTANE</v>
          </cell>
          <cell r="AL206" t="str">
            <v>2AS</v>
          </cell>
          <cell r="AP206" t="str">
            <v>Q 36046</v>
          </cell>
          <cell r="AQ206">
            <v>0</v>
          </cell>
          <cell r="AR206" t="str">
            <v>B</v>
          </cell>
          <cell r="AS206" t="str">
            <v>POPULAIRE  KHGA</v>
          </cell>
          <cell r="AT206" t="str">
            <v>2111112869070008</v>
          </cell>
          <cell r="AU206" t="str">
            <v>/  /</v>
          </cell>
          <cell r="AW206">
            <v>37987</v>
          </cell>
          <cell r="AY206" t="str">
            <v>XX</v>
          </cell>
          <cell r="BA206" t="str">
            <v>1</v>
          </cell>
          <cell r="BB206">
            <v>1</v>
          </cell>
          <cell r="BD206">
            <v>0</v>
          </cell>
          <cell r="BE206" t="str">
            <v>M</v>
          </cell>
          <cell r="BF206" t="str">
            <v>N</v>
          </cell>
          <cell r="BG206">
            <v>10</v>
          </cell>
          <cell r="BH206">
            <v>37987</v>
          </cell>
        </row>
        <row r="207">
          <cell r="A207">
            <v>65427</v>
          </cell>
          <cell r="B207">
            <v>411</v>
          </cell>
          <cell r="C207" t="str">
            <v>C4152</v>
          </cell>
          <cell r="D207" t="str">
            <v>MOUSTAOUI</v>
          </cell>
          <cell r="E207" t="str">
            <v>EL BACHIR</v>
          </cell>
          <cell r="F207">
            <v>19905</v>
          </cell>
          <cell r="G207" t="str">
            <v>1</v>
          </cell>
          <cell r="H207" t="str">
            <v>KHOURIBGA</v>
          </cell>
          <cell r="I207" t="str">
            <v>D</v>
          </cell>
          <cell r="J207">
            <v>31579</v>
          </cell>
          <cell r="K207">
            <v>35065</v>
          </cell>
          <cell r="L207" t="str">
            <v>22</v>
          </cell>
          <cell r="M207" t="str">
            <v>A</v>
          </cell>
          <cell r="N207">
            <v>35065</v>
          </cell>
          <cell r="P207">
            <v>16</v>
          </cell>
          <cell r="Q207" t="str">
            <v>O</v>
          </cell>
          <cell r="R207" t="str">
            <v>N</v>
          </cell>
          <cell r="S207">
            <v>0</v>
          </cell>
          <cell r="T207" t="str">
            <v>M</v>
          </cell>
          <cell r="U207" t="str">
            <v>KHADIJA BT MOHAMED</v>
          </cell>
          <cell r="X207">
            <v>4</v>
          </cell>
          <cell r="Y207">
            <v>4</v>
          </cell>
          <cell r="AB207" t="str">
            <v>X</v>
          </cell>
          <cell r="AC207" t="str">
            <v>X</v>
          </cell>
          <cell r="AD207" t="str">
            <v>X</v>
          </cell>
          <cell r="AH207" t="str">
            <v>O</v>
          </cell>
          <cell r="AI207" t="str">
            <v>N</v>
          </cell>
          <cell r="AK207" t="str">
            <v>780 VILLAGE O.C.P HATTANE</v>
          </cell>
          <cell r="AL207" t="str">
            <v>CE2</v>
          </cell>
          <cell r="AP207" t="str">
            <v>Q 51798</v>
          </cell>
          <cell r="AQ207">
            <v>0</v>
          </cell>
          <cell r="AR207" t="str">
            <v>B</v>
          </cell>
          <cell r="AS207" t="str">
            <v>WAFABANK - KHGA</v>
          </cell>
          <cell r="AT207" t="str">
            <v>1220301157605</v>
          </cell>
          <cell r="AU207" t="str">
            <v>/  /</v>
          </cell>
          <cell r="AW207">
            <v>38169</v>
          </cell>
          <cell r="AY207" t="str">
            <v>XX</v>
          </cell>
          <cell r="BA207" t="str">
            <v>1</v>
          </cell>
          <cell r="BB207">
            <v>1</v>
          </cell>
          <cell r="BD207">
            <v>0</v>
          </cell>
          <cell r="BE207" t="str">
            <v>M</v>
          </cell>
          <cell r="BF207" t="str">
            <v>N</v>
          </cell>
          <cell r="BG207">
            <v>10</v>
          </cell>
          <cell r="BH207">
            <v>39995</v>
          </cell>
        </row>
        <row r="208">
          <cell r="A208">
            <v>65619</v>
          </cell>
          <cell r="B208">
            <v>411</v>
          </cell>
          <cell r="C208" t="str">
            <v>C6152</v>
          </cell>
          <cell r="D208" t="str">
            <v>BOUKTATI</v>
          </cell>
          <cell r="E208" t="str">
            <v>MOHAMED</v>
          </cell>
          <cell r="F208">
            <v>19595</v>
          </cell>
          <cell r="H208" t="str">
            <v>ARGANA - AGADIR</v>
          </cell>
          <cell r="I208" t="str">
            <v>D</v>
          </cell>
          <cell r="J208">
            <v>27138</v>
          </cell>
          <cell r="K208">
            <v>36526</v>
          </cell>
          <cell r="L208" t="str">
            <v>32</v>
          </cell>
          <cell r="M208" t="str">
            <v>A</v>
          </cell>
          <cell r="N208">
            <v>36526</v>
          </cell>
          <cell r="P208">
            <v>29</v>
          </cell>
          <cell r="Q208" t="str">
            <v>O</v>
          </cell>
          <cell r="R208" t="str">
            <v>N</v>
          </cell>
          <cell r="S208">
            <v>0</v>
          </cell>
          <cell r="T208" t="str">
            <v>M</v>
          </cell>
          <cell r="U208" t="str">
            <v>MRIKH HALIMA BENT ABDELKADER</v>
          </cell>
          <cell r="X208">
            <v>6</v>
          </cell>
          <cell r="Y208">
            <v>4</v>
          </cell>
          <cell r="AB208" t="str">
            <v>X</v>
          </cell>
          <cell r="AC208" t="str">
            <v>X</v>
          </cell>
          <cell r="AD208" t="str">
            <v>X</v>
          </cell>
          <cell r="AH208" t="str">
            <v>N</v>
          </cell>
          <cell r="AI208" t="str">
            <v>N</v>
          </cell>
          <cell r="AK208" t="str">
            <v>231 NLLE CONSTRUCTION KHOURIBGA</v>
          </cell>
          <cell r="AL208" t="str">
            <v>3AS</v>
          </cell>
          <cell r="AP208" t="str">
            <v>Q 17771</v>
          </cell>
          <cell r="AQ208">
            <v>0</v>
          </cell>
          <cell r="AR208" t="str">
            <v>B</v>
          </cell>
          <cell r="AS208" t="str">
            <v>POPULAIRE KHGA</v>
          </cell>
          <cell r="AT208" t="str">
            <v>2111112766270008</v>
          </cell>
          <cell r="AU208" t="str">
            <v>/  /</v>
          </cell>
          <cell r="AW208">
            <v>39214</v>
          </cell>
          <cell r="AX208">
            <v>39214</v>
          </cell>
          <cell r="AY208" t="str">
            <v>XX</v>
          </cell>
          <cell r="BA208" t="str">
            <v>1</v>
          </cell>
          <cell r="BB208">
            <v>1</v>
          </cell>
          <cell r="BD208">
            <v>0</v>
          </cell>
          <cell r="BE208" t="str">
            <v>M</v>
          </cell>
          <cell r="BF208" t="str">
            <v>N</v>
          </cell>
          <cell r="BG208">
            <v>1</v>
          </cell>
          <cell r="BH208">
            <v>37987</v>
          </cell>
        </row>
        <row r="209">
          <cell r="A209">
            <v>65639</v>
          </cell>
          <cell r="B209">
            <v>411</v>
          </cell>
          <cell r="C209" t="str">
            <v>C4152</v>
          </cell>
          <cell r="D209" t="str">
            <v>ASBIKA</v>
          </cell>
          <cell r="E209" t="str">
            <v>ABDESLEM</v>
          </cell>
          <cell r="F209">
            <v>19175</v>
          </cell>
          <cell r="H209" t="str">
            <v>AIT ATTAB</v>
          </cell>
          <cell r="I209" t="str">
            <v>D</v>
          </cell>
          <cell r="J209">
            <v>27143</v>
          </cell>
          <cell r="K209">
            <v>32843</v>
          </cell>
          <cell r="L209" t="str">
            <v>22</v>
          </cell>
          <cell r="M209" t="str">
            <v>B</v>
          </cell>
          <cell r="N209">
            <v>35612</v>
          </cell>
          <cell r="P209">
            <v>29</v>
          </cell>
          <cell r="Q209" t="str">
            <v>O</v>
          </cell>
          <cell r="R209" t="str">
            <v>N</v>
          </cell>
          <cell r="S209">
            <v>0</v>
          </cell>
          <cell r="T209" t="str">
            <v>M</v>
          </cell>
          <cell r="U209" t="str">
            <v>FADMA BENT MED</v>
          </cell>
          <cell r="X209">
            <v>4</v>
          </cell>
          <cell r="Y209">
            <v>1</v>
          </cell>
          <cell r="AB209" t="str">
            <v>X</v>
          </cell>
          <cell r="AC209" t="str">
            <v>X</v>
          </cell>
          <cell r="AD209" t="str">
            <v>X</v>
          </cell>
          <cell r="AH209" t="str">
            <v>N</v>
          </cell>
          <cell r="AI209" t="str">
            <v>N</v>
          </cell>
          <cell r="AK209" t="str">
            <v>N 1132 VILLAGE O C P HATTANE</v>
          </cell>
          <cell r="AL209" t="str">
            <v>3AS</v>
          </cell>
          <cell r="AP209" t="str">
            <v>Q 26552</v>
          </cell>
          <cell r="AQ209">
            <v>0</v>
          </cell>
          <cell r="AR209" t="str">
            <v>C</v>
          </cell>
          <cell r="AU209" t="str">
            <v>/  /</v>
          </cell>
          <cell r="AW209">
            <v>37438</v>
          </cell>
          <cell r="AY209" t="str">
            <v>XX</v>
          </cell>
          <cell r="AZ209" t="str">
            <v>M</v>
          </cell>
          <cell r="BA209" t="str">
            <v>1</v>
          </cell>
          <cell r="BB209">
            <v>1</v>
          </cell>
          <cell r="BD209">
            <v>0</v>
          </cell>
          <cell r="BE209" t="str">
            <v>M</v>
          </cell>
          <cell r="BF209" t="str">
            <v>N</v>
          </cell>
          <cell r="BG209">
            <v>12</v>
          </cell>
          <cell r="BH209">
            <v>37438</v>
          </cell>
        </row>
        <row r="210">
          <cell r="A210">
            <v>65697</v>
          </cell>
          <cell r="B210">
            <v>418</v>
          </cell>
          <cell r="C210" t="str">
            <v>C4152</v>
          </cell>
          <cell r="D210" t="str">
            <v>DAHMI</v>
          </cell>
          <cell r="E210" t="str">
            <v>MOHAMED</v>
          </cell>
          <cell r="F210">
            <v>19175</v>
          </cell>
          <cell r="H210" t="str">
            <v>MARRAKECH</v>
          </cell>
          <cell r="I210" t="str">
            <v>D</v>
          </cell>
          <cell r="J210">
            <v>28623</v>
          </cell>
          <cell r="K210">
            <v>35065</v>
          </cell>
          <cell r="L210" t="str">
            <v>22</v>
          </cell>
          <cell r="M210" t="str">
            <v>A</v>
          </cell>
          <cell r="N210">
            <v>35065</v>
          </cell>
          <cell r="P210">
            <v>24</v>
          </cell>
          <cell r="Q210" t="str">
            <v>O</v>
          </cell>
          <cell r="R210" t="str">
            <v>N</v>
          </cell>
          <cell r="S210">
            <v>0</v>
          </cell>
          <cell r="T210" t="str">
            <v>M</v>
          </cell>
          <cell r="U210" t="str">
            <v>ZAHRA BENT ABDERRAHMAN</v>
          </cell>
          <cell r="X210">
            <v>5</v>
          </cell>
          <cell r="Y210">
            <v>3</v>
          </cell>
          <cell r="AB210" t="str">
            <v>X</v>
          </cell>
          <cell r="AC210" t="str">
            <v>X</v>
          </cell>
          <cell r="AD210" t="str">
            <v>X</v>
          </cell>
          <cell r="AH210" t="str">
            <v>N</v>
          </cell>
          <cell r="AI210" t="str">
            <v>N</v>
          </cell>
          <cell r="AK210" t="str">
            <v>N 977 VILLAGE O C P HATTANE</v>
          </cell>
          <cell r="AL210" t="str">
            <v>CM2</v>
          </cell>
          <cell r="AM210" t="str">
            <v>CEP</v>
          </cell>
          <cell r="AP210" t="str">
            <v>Q 70873</v>
          </cell>
          <cell r="AQ210">
            <v>0</v>
          </cell>
          <cell r="AR210" t="str">
            <v>B</v>
          </cell>
          <cell r="AS210" t="str">
            <v>BMCI -KHGA-</v>
          </cell>
          <cell r="AT210" t="str">
            <v>0282120503630100001</v>
          </cell>
          <cell r="AU210" t="str">
            <v>/  /</v>
          </cell>
          <cell r="AW210">
            <v>38219</v>
          </cell>
          <cell r="AX210">
            <v>38219</v>
          </cell>
          <cell r="AY210" t="str">
            <v>XX</v>
          </cell>
          <cell r="BA210" t="str">
            <v>1</v>
          </cell>
          <cell r="BB210">
            <v>1</v>
          </cell>
          <cell r="BD210">
            <v>0</v>
          </cell>
          <cell r="BE210" t="str">
            <v>M</v>
          </cell>
          <cell r="BF210" t="str">
            <v>N</v>
          </cell>
          <cell r="BG210">
            <v>10</v>
          </cell>
          <cell r="BH210">
            <v>38353</v>
          </cell>
        </row>
        <row r="211">
          <cell r="A211">
            <v>65778</v>
          </cell>
          <cell r="B211">
            <v>406</v>
          </cell>
          <cell r="C211" t="str">
            <v>C4152</v>
          </cell>
          <cell r="D211" t="str">
            <v>NAHIZ</v>
          </cell>
          <cell r="E211" t="str">
            <v>MOHAMED</v>
          </cell>
          <cell r="F211">
            <v>19540</v>
          </cell>
          <cell r="G211" t="str">
            <v>1</v>
          </cell>
          <cell r="H211" t="str">
            <v>OOULED BHAR KBAR KHOURIBGA</v>
          </cell>
          <cell r="I211" t="str">
            <v>D</v>
          </cell>
          <cell r="J211">
            <v>27159</v>
          </cell>
          <cell r="K211">
            <v>33573</v>
          </cell>
          <cell r="L211" t="str">
            <v>22</v>
          </cell>
          <cell r="M211" t="str">
            <v>A</v>
          </cell>
          <cell r="N211">
            <v>33573</v>
          </cell>
          <cell r="P211">
            <v>28</v>
          </cell>
          <cell r="Q211" t="str">
            <v>O</v>
          </cell>
          <cell r="R211" t="str">
            <v>N</v>
          </cell>
          <cell r="S211">
            <v>0</v>
          </cell>
          <cell r="T211" t="str">
            <v>M</v>
          </cell>
          <cell r="U211" t="str">
            <v>EN NAMI FATNA BENT BOUABID</v>
          </cell>
          <cell r="X211">
            <v>6</v>
          </cell>
          <cell r="Y211">
            <v>4</v>
          </cell>
          <cell r="AB211" t="str">
            <v>X</v>
          </cell>
          <cell r="AC211" t="str">
            <v>X</v>
          </cell>
          <cell r="AD211" t="str">
            <v>X</v>
          </cell>
          <cell r="AH211" t="str">
            <v>N</v>
          </cell>
          <cell r="AI211" t="str">
            <v>N</v>
          </cell>
          <cell r="AK211" t="str">
            <v>23 RUE LAGOUIRA DERB OLD JAAFAR KHGA</v>
          </cell>
          <cell r="AL211" t="str">
            <v>2AS</v>
          </cell>
          <cell r="AP211" t="str">
            <v>Q 69092</v>
          </cell>
          <cell r="AQ211">
            <v>0</v>
          </cell>
          <cell r="AR211" t="str">
            <v>C</v>
          </cell>
          <cell r="AU211" t="str">
            <v>/  /</v>
          </cell>
          <cell r="AW211">
            <v>37803</v>
          </cell>
          <cell r="AY211" t="str">
            <v>XX</v>
          </cell>
          <cell r="AZ211" t="str">
            <v>M</v>
          </cell>
          <cell r="BA211" t="str">
            <v>1</v>
          </cell>
          <cell r="BB211">
            <v>1</v>
          </cell>
          <cell r="BD211">
            <v>0</v>
          </cell>
          <cell r="BE211" t="str">
            <v>M</v>
          </cell>
          <cell r="BF211" t="str">
            <v>N</v>
          </cell>
          <cell r="BG211">
            <v>1</v>
          </cell>
          <cell r="BH211">
            <v>37803</v>
          </cell>
          <cell r="BI211" t="str">
            <v>O</v>
          </cell>
        </row>
        <row r="212">
          <cell r="A212">
            <v>65939</v>
          </cell>
          <cell r="B212">
            <v>418</v>
          </cell>
          <cell r="C212" t="str">
            <v>C5050</v>
          </cell>
          <cell r="D212" t="str">
            <v>KHAI</v>
          </cell>
          <cell r="E212" t="str">
            <v>EL KBIR</v>
          </cell>
          <cell r="F212">
            <v>19540</v>
          </cell>
          <cell r="G212" t="str">
            <v>4</v>
          </cell>
          <cell r="H212" t="str">
            <v>BOULANOIR</v>
          </cell>
          <cell r="I212" t="str">
            <v>D</v>
          </cell>
          <cell r="J212">
            <v>27190</v>
          </cell>
          <cell r="K212">
            <v>37073</v>
          </cell>
          <cell r="L212" t="str">
            <v>31</v>
          </cell>
          <cell r="M212" t="str">
            <v>A</v>
          </cell>
          <cell r="N212">
            <v>37073</v>
          </cell>
          <cell r="P212">
            <v>28</v>
          </cell>
          <cell r="Q212" t="str">
            <v>O</v>
          </cell>
          <cell r="R212" t="str">
            <v>N</v>
          </cell>
          <cell r="S212">
            <v>0</v>
          </cell>
          <cell r="T212" t="str">
            <v>M</v>
          </cell>
          <cell r="U212" t="str">
            <v>YAMNA BENT BOUAZZA</v>
          </cell>
          <cell r="X212">
            <v>1</v>
          </cell>
          <cell r="Y212">
            <v>1</v>
          </cell>
          <cell r="AB212" t="str">
            <v>X</v>
          </cell>
          <cell r="AC212" t="str">
            <v>X</v>
          </cell>
          <cell r="AD212" t="str">
            <v>X</v>
          </cell>
          <cell r="AH212" t="str">
            <v>N</v>
          </cell>
          <cell r="AI212" t="str">
            <v>N</v>
          </cell>
          <cell r="AK212" t="str">
            <v>392 VILLAGE O C P BOUJNIBA</v>
          </cell>
          <cell r="AL212" t="str">
            <v>3AS</v>
          </cell>
          <cell r="AM212" t="str">
            <v>CEP</v>
          </cell>
          <cell r="AP212" t="str">
            <v>Q 80514</v>
          </cell>
          <cell r="AQ212">
            <v>0</v>
          </cell>
          <cell r="AR212" t="str">
            <v>B</v>
          </cell>
          <cell r="AS212" t="str">
            <v>POPULAIRE.KHGA</v>
          </cell>
          <cell r="AT212" t="str">
            <v>2111112801670006</v>
          </cell>
          <cell r="AU212" t="str">
            <v>/  /</v>
          </cell>
          <cell r="AW212">
            <v>37803</v>
          </cell>
          <cell r="AY212" t="str">
            <v>XX</v>
          </cell>
          <cell r="BA212" t="str">
            <v>2</v>
          </cell>
          <cell r="BB212">
            <v>1</v>
          </cell>
          <cell r="BD212">
            <v>0</v>
          </cell>
          <cell r="BE212" t="str">
            <v>M</v>
          </cell>
          <cell r="BF212" t="str">
            <v>N</v>
          </cell>
          <cell r="BG212">
            <v>50</v>
          </cell>
          <cell r="BH212">
            <v>37803</v>
          </cell>
        </row>
        <row r="213">
          <cell r="A213">
            <v>65946</v>
          </cell>
          <cell r="B213">
            <v>411</v>
          </cell>
          <cell r="C213" t="str">
            <v>C3152</v>
          </cell>
          <cell r="D213" t="str">
            <v>RHALLAB</v>
          </cell>
          <cell r="E213" t="str">
            <v>EL MAHJOUB</v>
          </cell>
          <cell r="F213">
            <v>19175</v>
          </cell>
          <cell r="G213" t="str">
            <v>3</v>
          </cell>
          <cell r="H213" t="str">
            <v>BOUJNIBA</v>
          </cell>
          <cell r="I213" t="str">
            <v>D</v>
          </cell>
          <cell r="J213">
            <v>27190</v>
          </cell>
          <cell r="K213">
            <v>33420</v>
          </cell>
          <cell r="L213" t="str">
            <v>21</v>
          </cell>
          <cell r="M213" t="str">
            <v>A</v>
          </cell>
          <cell r="N213">
            <v>33420</v>
          </cell>
          <cell r="P213">
            <v>28</v>
          </cell>
          <cell r="Q213" t="str">
            <v>O</v>
          </cell>
          <cell r="R213" t="str">
            <v>N</v>
          </cell>
          <cell r="S213">
            <v>0</v>
          </cell>
          <cell r="T213" t="str">
            <v>C</v>
          </cell>
          <cell r="X213">
            <v>0</v>
          </cell>
          <cell r="Y213">
            <v>0</v>
          </cell>
          <cell r="Z213" t="str">
            <v>N</v>
          </cell>
          <cell r="AB213" t="str">
            <v>X</v>
          </cell>
          <cell r="AC213" t="str">
            <v>X</v>
          </cell>
          <cell r="AD213" t="str">
            <v>X</v>
          </cell>
          <cell r="AH213" t="str">
            <v>N</v>
          </cell>
          <cell r="AI213" t="str">
            <v>N</v>
          </cell>
          <cell r="AK213" t="str">
            <v>N 21 ANCIENNE MEDINA SECHAGE KHGA</v>
          </cell>
          <cell r="AL213" t="str">
            <v>3AS</v>
          </cell>
          <cell r="AP213" t="str">
            <v>Q 10991</v>
          </cell>
          <cell r="AQ213">
            <v>0</v>
          </cell>
          <cell r="AR213" t="str">
            <v>B</v>
          </cell>
          <cell r="AS213" t="str">
            <v>POPULAIRE KHGA</v>
          </cell>
          <cell r="AT213" t="str">
            <v>211115648662000011</v>
          </cell>
          <cell r="AU213" t="str">
            <v>/  /</v>
          </cell>
          <cell r="AW213">
            <v>37438</v>
          </cell>
          <cell r="AY213" t="str">
            <v>XX</v>
          </cell>
          <cell r="BA213" t="str">
            <v>1</v>
          </cell>
          <cell r="BB213">
            <v>0</v>
          </cell>
          <cell r="BD213">
            <v>0</v>
          </cell>
          <cell r="BE213" t="str">
            <v>M</v>
          </cell>
          <cell r="BF213" t="str">
            <v>N</v>
          </cell>
          <cell r="BG213">
            <v>1</v>
          </cell>
          <cell r="BH213">
            <v>37438</v>
          </cell>
        </row>
        <row r="214">
          <cell r="A214">
            <v>66208</v>
          </cell>
          <cell r="B214">
            <v>406</v>
          </cell>
          <cell r="C214" t="str">
            <v>C4152</v>
          </cell>
          <cell r="D214" t="str">
            <v>EJ-JOUADI</v>
          </cell>
          <cell r="E214" t="str">
            <v>SALAH</v>
          </cell>
          <cell r="F214">
            <v>19540</v>
          </cell>
          <cell r="G214" t="str">
            <v>6</v>
          </cell>
          <cell r="H214" t="str">
            <v>M'FASSIS</v>
          </cell>
          <cell r="I214" t="str">
            <v>D</v>
          </cell>
          <cell r="J214">
            <v>27248</v>
          </cell>
          <cell r="K214">
            <v>36526</v>
          </cell>
          <cell r="L214" t="str">
            <v>22</v>
          </cell>
          <cell r="M214" t="str">
            <v>A</v>
          </cell>
          <cell r="N214">
            <v>36526</v>
          </cell>
          <cell r="P214">
            <v>28</v>
          </cell>
          <cell r="Q214" t="str">
            <v>O</v>
          </cell>
          <cell r="R214" t="str">
            <v>N</v>
          </cell>
          <cell r="S214">
            <v>3</v>
          </cell>
          <cell r="T214" t="str">
            <v>M</v>
          </cell>
          <cell r="U214" t="str">
            <v>ZRAOUTI ZAHRA</v>
          </cell>
          <cell r="X214">
            <v>4</v>
          </cell>
          <cell r="Y214">
            <v>4</v>
          </cell>
          <cell r="AB214" t="str">
            <v>X</v>
          </cell>
          <cell r="AC214" t="str">
            <v>X</v>
          </cell>
          <cell r="AD214" t="str">
            <v>X</v>
          </cell>
          <cell r="AH214" t="str">
            <v>N</v>
          </cell>
          <cell r="AI214" t="str">
            <v>N</v>
          </cell>
          <cell r="AK214" t="str">
            <v>1129 SBATTA VILLAGE OCP - HATTANE</v>
          </cell>
          <cell r="AL214" t="str">
            <v>CM2</v>
          </cell>
          <cell r="AP214" t="str">
            <v>Q 82980</v>
          </cell>
          <cell r="AQ214">
            <v>0</v>
          </cell>
          <cell r="AR214" t="str">
            <v>B</v>
          </cell>
          <cell r="AS214" t="str">
            <v>CR.AGRIC - KHGA</v>
          </cell>
          <cell r="AT214" t="str">
            <v>0807553A601</v>
          </cell>
          <cell r="AU214" t="str">
            <v>/  /</v>
          </cell>
          <cell r="AW214">
            <v>37803</v>
          </cell>
          <cell r="AY214" t="str">
            <v>XX</v>
          </cell>
          <cell r="BA214" t="str">
            <v>1</v>
          </cell>
          <cell r="BB214">
            <v>1</v>
          </cell>
          <cell r="BD214">
            <v>0</v>
          </cell>
          <cell r="BE214" t="str">
            <v>M</v>
          </cell>
          <cell r="BF214" t="str">
            <v>N</v>
          </cell>
          <cell r="BG214">
            <v>12</v>
          </cell>
          <cell r="BH214">
            <v>37803</v>
          </cell>
        </row>
        <row r="215">
          <cell r="A215">
            <v>66251</v>
          </cell>
          <cell r="B215">
            <v>411</v>
          </cell>
          <cell r="C215" t="str">
            <v>C5152</v>
          </cell>
          <cell r="D215" t="str">
            <v>BOUCHARI</v>
          </cell>
          <cell r="E215" t="str">
            <v>DRISS</v>
          </cell>
          <cell r="F215">
            <v>19175</v>
          </cell>
          <cell r="H215" t="str">
            <v>SETTAT</v>
          </cell>
          <cell r="I215" t="str">
            <v>D</v>
          </cell>
          <cell r="J215">
            <v>27261</v>
          </cell>
          <cell r="K215">
            <v>35431</v>
          </cell>
          <cell r="L215" t="str">
            <v>31</v>
          </cell>
          <cell r="M215" t="str">
            <v>A</v>
          </cell>
          <cell r="N215">
            <v>35431</v>
          </cell>
          <cell r="P215">
            <v>28</v>
          </cell>
          <cell r="Q215" t="str">
            <v>O</v>
          </cell>
          <cell r="R215" t="str">
            <v>N</v>
          </cell>
          <cell r="S215">
            <v>0</v>
          </cell>
          <cell r="T215" t="str">
            <v>M</v>
          </cell>
          <cell r="U215" t="str">
            <v>NAJAT BENT EL KEBIR</v>
          </cell>
          <cell r="X215">
            <v>5</v>
          </cell>
          <cell r="Y215">
            <v>2</v>
          </cell>
          <cell r="AB215" t="str">
            <v>X</v>
          </cell>
          <cell r="AC215" t="str">
            <v>X</v>
          </cell>
          <cell r="AD215" t="str">
            <v>X</v>
          </cell>
          <cell r="AH215" t="str">
            <v>N</v>
          </cell>
          <cell r="AI215" t="str">
            <v>N</v>
          </cell>
          <cell r="AK215" t="str">
            <v>N 5 NLLE CONSTRUCTION KHGA</v>
          </cell>
          <cell r="AL215" t="str">
            <v>CM2</v>
          </cell>
          <cell r="AP215" t="str">
            <v>Q 29911</v>
          </cell>
          <cell r="AQ215">
            <v>0</v>
          </cell>
          <cell r="AR215" t="str">
            <v>B</v>
          </cell>
          <cell r="AS215" t="str">
            <v>C.I.H  KHGA</v>
          </cell>
          <cell r="AT215" t="str">
            <v>793618211004700</v>
          </cell>
          <cell r="AU215" t="str">
            <v>/  /</v>
          </cell>
          <cell r="AW215">
            <v>37438</v>
          </cell>
          <cell r="AY215" t="str">
            <v>XX</v>
          </cell>
          <cell r="AZ215" t="str">
            <v>M</v>
          </cell>
          <cell r="BA215" t="str">
            <v>1</v>
          </cell>
          <cell r="BB215">
            <v>1</v>
          </cell>
          <cell r="BD215">
            <v>0</v>
          </cell>
          <cell r="BE215" t="str">
            <v>M</v>
          </cell>
          <cell r="BF215" t="str">
            <v>N</v>
          </cell>
          <cell r="BG215">
            <v>1</v>
          </cell>
          <cell r="BH215">
            <v>37438</v>
          </cell>
        </row>
        <row r="216">
          <cell r="A216">
            <v>66284</v>
          </cell>
          <cell r="B216">
            <v>411</v>
          </cell>
          <cell r="C216" t="str">
            <v>C4152</v>
          </cell>
          <cell r="D216" t="str">
            <v>EL METTAT</v>
          </cell>
          <cell r="E216" t="str">
            <v>MOHAMMED</v>
          </cell>
          <cell r="F216">
            <v>19540</v>
          </cell>
          <cell r="G216" t="str">
            <v>1</v>
          </cell>
          <cell r="H216" t="str">
            <v>OULED BHAR KBAR KHOURIBGA</v>
          </cell>
          <cell r="I216" t="str">
            <v>D</v>
          </cell>
          <cell r="J216">
            <v>27271</v>
          </cell>
          <cell r="K216">
            <v>35065</v>
          </cell>
          <cell r="L216" t="str">
            <v>22</v>
          </cell>
          <cell r="M216" t="str">
            <v>A</v>
          </cell>
          <cell r="N216">
            <v>35065</v>
          </cell>
          <cell r="P216">
            <v>28</v>
          </cell>
          <cell r="Q216" t="str">
            <v>O</v>
          </cell>
          <cell r="R216" t="str">
            <v>N</v>
          </cell>
          <cell r="S216">
            <v>0</v>
          </cell>
          <cell r="T216" t="str">
            <v>M</v>
          </cell>
          <cell r="U216" t="str">
            <v>YAMOUL FATNA BT HADJ BOUAZZA</v>
          </cell>
          <cell r="X216">
            <v>8</v>
          </cell>
          <cell r="Y216">
            <v>3</v>
          </cell>
          <cell r="AB216" t="str">
            <v>X</v>
          </cell>
          <cell r="AC216" t="str">
            <v>X</v>
          </cell>
          <cell r="AD216" t="str">
            <v>X</v>
          </cell>
          <cell r="AH216" t="str">
            <v>N</v>
          </cell>
          <cell r="AI216" t="str">
            <v>N</v>
          </cell>
          <cell r="AK216" t="str">
            <v>726 VILLAGE O.C.P - BOUJNIBA</v>
          </cell>
          <cell r="AL216" t="str">
            <v>3AS</v>
          </cell>
          <cell r="AM216" t="str">
            <v>CEP</v>
          </cell>
          <cell r="AP216" t="str">
            <v>Q 33367</v>
          </cell>
          <cell r="AQ216">
            <v>0</v>
          </cell>
          <cell r="AR216" t="str">
            <v>C</v>
          </cell>
          <cell r="AU216" t="str">
            <v>/  /</v>
          </cell>
          <cell r="AW216">
            <v>37803</v>
          </cell>
          <cell r="AY216" t="str">
            <v>XX</v>
          </cell>
          <cell r="BA216" t="str">
            <v>1</v>
          </cell>
          <cell r="BB216">
            <v>1</v>
          </cell>
          <cell r="BD216">
            <v>0</v>
          </cell>
          <cell r="BE216" t="str">
            <v>M</v>
          </cell>
          <cell r="BF216" t="str">
            <v>N</v>
          </cell>
          <cell r="BG216">
            <v>50</v>
          </cell>
          <cell r="BH216">
            <v>37803</v>
          </cell>
          <cell r="BI216" t="str">
            <v>O</v>
          </cell>
        </row>
        <row r="217">
          <cell r="A217">
            <v>66296</v>
          </cell>
          <cell r="B217">
            <v>411</v>
          </cell>
          <cell r="C217" t="str">
            <v>C4152</v>
          </cell>
          <cell r="D217" t="str">
            <v>LAFQIH</v>
          </cell>
          <cell r="E217" t="str">
            <v>MOHAMED</v>
          </cell>
          <cell r="F217">
            <v>19905</v>
          </cell>
          <cell r="G217" t="str">
            <v>1</v>
          </cell>
          <cell r="H217" t="str">
            <v>OULED BHAR KBAR KHOURIBGA</v>
          </cell>
          <cell r="I217" t="str">
            <v>D</v>
          </cell>
          <cell r="J217">
            <v>27274</v>
          </cell>
          <cell r="K217">
            <v>35065</v>
          </cell>
          <cell r="L217" t="str">
            <v>22</v>
          </cell>
          <cell r="M217" t="str">
            <v>A</v>
          </cell>
          <cell r="N217">
            <v>35065</v>
          </cell>
          <cell r="P217">
            <v>28</v>
          </cell>
          <cell r="Q217" t="str">
            <v>O</v>
          </cell>
          <cell r="R217" t="str">
            <v>N</v>
          </cell>
          <cell r="S217">
            <v>0</v>
          </cell>
          <cell r="T217" t="str">
            <v>M</v>
          </cell>
          <cell r="U217" t="str">
            <v>LAFQIH ZOUBIDA BENT DRISS</v>
          </cell>
          <cell r="X217">
            <v>6</v>
          </cell>
          <cell r="Y217">
            <v>5</v>
          </cell>
          <cell r="AB217" t="str">
            <v>X</v>
          </cell>
          <cell r="AC217" t="str">
            <v>X</v>
          </cell>
          <cell r="AD217" t="str">
            <v>X</v>
          </cell>
          <cell r="AH217" t="str">
            <v>N</v>
          </cell>
          <cell r="AI217" t="str">
            <v>N</v>
          </cell>
          <cell r="AK217" t="str">
            <v>DOUAR OULAD HAMMOU EL GUEFAF</v>
          </cell>
          <cell r="AL217" t="str">
            <v>2AS</v>
          </cell>
          <cell r="AP217" t="str">
            <v>Q 66478</v>
          </cell>
          <cell r="AQ217">
            <v>0</v>
          </cell>
          <cell r="AR217" t="str">
            <v>B</v>
          </cell>
          <cell r="AS217" t="str">
            <v>C.I.H - KHGA</v>
          </cell>
          <cell r="AT217" t="str">
            <v>9389008211004700</v>
          </cell>
          <cell r="AU217" t="str">
            <v>/  /</v>
          </cell>
          <cell r="AW217">
            <v>38169</v>
          </cell>
          <cell r="AY217" t="str">
            <v>XX</v>
          </cell>
          <cell r="BA217" t="str">
            <v>1</v>
          </cell>
          <cell r="BB217">
            <v>1</v>
          </cell>
          <cell r="BD217">
            <v>0</v>
          </cell>
          <cell r="BE217" t="str">
            <v>M</v>
          </cell>
          <cell r="BF217" t="str">
            <v>N</v>
          </cell>
          <cell r="BG217">
            <v>50</v>
          </cell>
          <cell r="BH217">
            <v>38169</v>
          </cell>
          <cell r="BI217" t="str">
            <v>O</v>
          </cell>
        </row>
        <row r="218">
          <cell r="A218">
            <v>66424</v>
          </cell>
          <cell r="B218">
            <v>406</v>
          </cell>
          <cell r="C218" t="str">
            <v>C4050</v>
          </cell>
          <cell r="D218" t="str">
            <v>ZAABOUL</v>
          </cell>
          <cell r="E218" t="str">
            <v>MOHAMED</v>
          </cell>
          <cell r="F218">
            <v>18809</v>
          </cell>
          <cell r="H218" t="str">
            <v>BEN AHMED</v>
          </cell>
          <cell r="I218" t="str">
            <v>D</v>
          </cell>
          <cell r="J218">
            <v>27283</v>
          </cell>
          <cell r="K218">
            <v>36526</v>
          </cell>
          <cell r="L218" t="str">
            <v>22</v>
          </cell>
          <cell r="M218" t="str">
            <v>A</v>
          </cell>
          <cell r="N218">
            <v>36526</v>
          </cell>
          <cell r="O218">
            <v>0</v>
          </cell>
          <cell r="P218">
            <v>28</v>
          </cell>
          <cell r="Q218" t="str">
            <v>O</v>
          </cell>
          <cell r="R218" t="str">
            <v>N</v>
          </cell>
          <cell r="S218">
            <v>0</v>
          </cell>
          <cell r="T218" t="str">
            <v>M</v>
          </cell>
          <cell r="U218" t="str">
            <v>EL JALDI HLIMA BT BEN AHMED</v>
          </cell>
          <cell r="X218">
            <v>5</v>
          </cell>
          <cell r="Y218">
            <v>3</v>
          </cell>
          <cell r="AB218" t="str">
            <v>X</v>
          </cell>
          <cell r="AC218" t="str">
            <v>X</v>
          </cell>
          <cell r="AD218" t="str">
            <v>X</v>
          </cell>
          <cell r="AH218" t="str">
            <v>N</v>
          </cell>
          <cell r="AI218" t="str">
            <v>N</v>
          </cell>
          <cell r="AK218" t="str">
            <v>77 LOT DOMANIAL BOUJNIBA</v>
          </cell>
          <cell r="AL218" t="str">
            <v>1AS</v>
          </cell>
          <cell r="AM218" t="str">
            <v>CEP</v>
          </cell>
          <cell r="AP218" t="str">
            <v>Q 53814</v>
          </cell>
          <cell r="AQ218">
            <v>0</v>
          </cell>
          <cell r="AR218" t="str">
            <v>B</v>
          </cell>
          <cell r="AS218" t="str">
            <v>SGMB KHGA</v>
          </cell>
          <cell r="AT218" t="str">
            <v>670009003749</v>
          </cell>
          <cell r="AU218" t="str">
            <v>/  /</v>
          </cell>
          <cell r="AW218">
            <v>37622</v>
          </cell>
          <cell r="AX218">
            <v>37555</v>
          </cell>
          <cell r="AY218" t="str">
            <v>XX</v>
          </cell>
          <cell r="BA218" t="str">
            <v>2</v>
          </cell>
          <cell r="BB218">
            <v>1</v>
          </cell>
          <cell r="BD218">
            <v>0</v>
          </cell>
          <cell r="BE218" t="str">
            <v>M</v>
          </cell>
          <cell r="BF218" t="str">
            <v>N</v>
          </cell>
          <cell r="BG218">
            <v>50</v>
          </cell>
          <cell r="BH218">
            <v>37073</v>
          </cell>
          <cell r="BI218" t="str">
            <v>O</v>
          </cell>
        </row>
        <row r="219">
          <cell r="A219">
            <v>66425</v>
          </cell>
          <cell r="B219">
            <v>411</v>
          </cell>
          <cell r="C219" t="str">
            <v>C3152</v>
          </cell>
          <cell r="D219" t="str">
            <v>NOUBA</v>
          </cell>
          <cell r="E219" t="str">
            <v>EL MILOUDI</v>
          </cell>
          <cell r="F219">
            <v>19175</v>
          </cell>
          <cell r="G219" t="str">
            <v>1</v>
          </cell>
          <cell r="H219" t="str">
            <v>KHOURIBGA</v>
          </cell>
          <cell r="I219" t="str">
            <v>D</v>
          </cell>
          <cell r="J219">
            <v>27283</v>
          </cell>
          <cell r="K219">
            <v>33420</v>
          </cell>
          <cell r="L219" t="str">
            <v>21</v>
          </cell>
          <cell r="M219" t="str">
            <v>A</v>
          </cell>
          <cell r="N219">
            <v>33420</v>
          </cell>
          <cell r="P219">
            <v>28</v>
          </cell>
          <cell r="Q219" t="str">
            <v>O</v>
          </cell>
          <cell r="R219" t="str">
            <v>N</v>
          </cell>
          <cell r="S219">
            <v>0</v>
          </cell>
          <cell r="T219" t="str">
            <v>M</v>
          </cell>
          <cell r="U219" t="str">
            <v>HALIMA BENT EL MATI</v>
          </cell>
          <cell r="X219">
            <v>6</v>
          </cell>
          <cell r="Y219">
            <v>3</v>
          </cell>
          <cell r="AB219" t="str">
            <v>X</v>
          </cell>
          <cell r="AC219" t="str">
            <v>X</v>
          </cell>
          <cell r="AD219" t="str">
            <v>X</v>
          </cell>
          <cell r="AH219" t="str">
            <v>N</v>
          </cell>
          <cell r="AI219" t="str">
            <v>N</v>
          </cell>
          <cell r="AK219" t="str">
            <v>N 342 VILLAGE O C P BOUJNIBA</v>
          </cell>
          <cell r="AL219" t="str">
            <v>3AS</v>
          </cell>
          <cell r="AM219" t="str">
            <v>CEP</v>
          </cell>
          <cell r="AP219" t="str">
            <v>Q 16692</v>
          </cell>
          <cell r="AQ219">
            <v>0</v>
          </cell>
          <cell r="AR219" t="str">
            <v>B</v>
          </cell>
          <cell r="AS219" t="str">
            <v>POPULAIRE KHGA</v>
          </cell>
          <cell r="AT219" t="str">
            <v>2111112844360003</v>
          </cell>
          <cell r="AU219" t="str">
            <v>/  /</v>
          </cell>
          <cell r="AW219">
            <v>38219</v>
          </cell>
          <cell r="AX219">
            <v>38219</v>
          </cell>
          <cell r="AY219" t="str">
            <v>XX</v>
          </cell>
          <cell r="BA219" t="str">
            <v>6</v>
          </cell>
          <cell r="BB219">
            <v>1</v>
          </cell>
          <cell r="BD219">
            <v>0</v>
          </cell>
          <cell r="BE219" t="str">
            <v>M</v>
          </cell>
          <cell r="BF219" t="str">
            <v>N</v>
          </cell>
          <cell r="BG219">
            <v>50</v>
          </cell>
          <cell r="BH219">
            <v>37438</v>
          </cell>
        </row>
        <row r="220">
          <cell r="A220">
            <v>66653</v>
          </cell>
          <cell r="B220">
            <v>418</v>
          </cell>
          <cell r="C220" t="str">
            <v>C6152</v>
          </cell>
          <cell r="D220" t="str">
            <v>CHARIQ</v>
          </cell>
          <cell r="E220" t="str">
            <v>ABDELLATIF</v>
          </cell>
          <cell r="F220">
            <v>19905</v>
          </cell>
          <cell r="G220" t="str">
            <v>1</v>
          </cell>
          <cell r="H220" t="str">
            <v>OULED BHAR KBAR KHOURIBGA</v>
          </cell>
          <cell r="I220" t="str">
            <v>D</v>
          </cell>
          <cell r="J220">
            <v>27335</v>
          </cell>
          <cell r="K220">
            <v>37043</v>
          </cell>
          <cell r="L220" t="str">
            <v>32</v>
          </cell>
          <cell r="M220" t="str">
            <v>A</v>
          </cell>
          <cell r="N220">
            <v>37043</v>
          </cell>
          <cell r="P220">
            <v>28</v>
          </cell>
          <cell r="Q220" t="str">
            <v>O</v>
          </cell>
          <cell r="R220" t="str">
            <v>N</v>
          </cell>
          <cell r="S220">
            <v>0</v>
          </cell>
          <cell r="T220" t="str">
            <v>M</v>
          </cell>
          <cell r="U220" t="str">
            <v>ZANIR FATIMA</v>
          </cell>
          <cell r="X220">
            <v>3</v>
          </cell>
          <cell r="Y220">
            <v>1</v>
          </cell>
          <cell r="AB220" t="str">
            <v>X</v>
          </cell>
          <cell r="AC220" t="str">
            <v>X</v>
          </cell>
          <cell r="AD220" t="str">
            <v>X</v>
          </cell>
          <cell r="AH220" t="str">
            <v>O</v>
          </cell>
          <cell r="AI220" t="str">
            <v>N</v>
          </cell>
          <cell r="AK220" t="str">
            <v>500 VILLAGE O.C.P - BOUJNIBA</v>
          </cell>
          <cell r="AL220" t="str">
            <v>3AS</v>
          </cell>
          <cell r="AM220" t="str">
            <v>CEP</v>
          </cell>
          <cell r="AP220" t="str">
            <v>Q 36137</v>
          </cell>
          <cell r="AQ220">
            <v>0</v>
          </cell>
          <cell r="AR220" t="str">
            <v>B</v>
          </cell>
          <cell r="AS220" t="str">
            <v>B.M.C.I   KHGA</v>
          </cell>
          <cell r="AT220" t="str">
            <v>02820912290301</v>
          </cell>
          <cell r="AU220" t="str">
            <v>/  /</v>
          </cell>
          <cell r="AW220">
            <v>38169</v>
          </cell>
          <cell r="AY220" t="str">
            <v>O+</v>
          </cell>
          <cell r="BA220" t="str">
            <v>0</v>
          </cell>
          <cell r="BB220">
            <v>1</v>
          </cell>
          <cell r="BD220">
            <v>0</v>
          </cell>
          <cell r="BE220" t="str">
            <v>M</v>
          </cell>
          <cell r="BF220" t="str">
            <v>N</v>
          </cell>
          <cell r="BG220">
            <v>50</v>
          </cell>
          <cell r="BH220">
            <v>38169</v>
          </cell>
          <cell r="BI220" t="str">
            <v>N</v>
          </cell>
        </row>
        <row r="221">
          <cell r="A221">
            <v>66765</v>
          </cell>
          <cell r="B221">
            <v>411</v>
          </cell>
          <cell r="C221" t="str">
            <v>C7001</v>
          </cell>
          <cell r="D221" t="str">
            <v>TEMMAR</v>
          </cell>
          <cell r="E221" t="str">
            <v>EL ARBI</v>
          </cell>
          <cell r="F221">
            <v>20270</v>
          </cell>
          <cell r="G221" t="str">
            <v>3</v>
          </cell>
          <cell r="H221" t="str">
            <v>BOUJNIBA</v>
          </cell>
          <cell r="I221" t="str">
            <v>D</v>
          </cell>
          <cell r="J221">
            <v>27334</v>
          </cell>
          <cell r="K221">
            <v>36526</v>
          </cell>
          <cell r="L221" t="str">
            <v>33</v>
          </cell>
          <cell r="M221" t="str">
            <v>A</v>
          </cell>
          <cell r="N221">
            <v>36526</v>
          </cell>
          <cell r="P221">
            <v>28</v>
          </cell>
          <cell r="Q221" t="str">
            <v>O</v>
          </cell>
          <cell r="R221" t="str">
            <v>N</v>
          </cell>
          <cell r="S221">
            <v>0</v>
          </cell>
          <cell r="T221" t="str">
            <v>M</v>
          </cell>
          <cell r="U221" t="str">
            <v>ATTAS MALIKA</v>
          </cell>
          <cell r="X221">
            <v>6</v>
          </cell>
          <cell r="Y221">
            <v>5</v>
          </cell>
          <cell r="AB221" t="str">
            <v>X</v>
          </cell>
          <cell r="AC221" t="str">
            <v>X</v>
          </cell>
          <cell r="AD221" t="str">
            <v>X</v>
          </cell>
          <cell r="AH221" t="str">
            <v>N</v>
          </cell>
          <cell r="AI221" t="str">
            <v>N</v>
          </cell>
          <cell r="AK221" t="str">
            <v>125 BLOC G HAY EL KARRAM KHGA</v>
          </cell>
          <cell r="AL221" t="str">
            <v>5AS</v>
          </cell>
          <cell r="AM221" t="str">
            <v>CES CFO</v>
          </cell>
          <cell r="AP221" t="str">
            <v>Q 26000</v>
          </cell>
          <cell r="AQ221">
            <v>0</v>
          </cell>
          <cell r="AR221" t="str">
            <v>B</v>
          </cell>
          <cell r="AS221" t="str">
            <v>B.M.C.E  KHGA</v>
          </cell>
          <cell r="AT221" t="str">
            <v>40001200000438012</v>
          </cell>
          <cell r="AU221" t="str">
            <v>/  /</v>
          </cell>
          <cell r="AW221">
            <v>38534</v>
          </cell>
          <cell r="AY221" t="str">
            <v>XX</v>
          </cell>
          <cell r="BA221" t="str">
            <v>2</v>
          </cell>
          <cell r="BB221">
            <v>1</v>
          </cell>
          <cell r="BD221">
            <v>0</v>
          </cell>
          <cell r="BE221" t="str">
            <v>M</v>
          </cell>
          <cell r="BF221" t="str">
            <v>N</v>
          </cell>
          <cell r="BG221">
            <v>1</v>
          </cell>
          <cell r="BH221">
            <v>38534</v>
          </cell>
        </row>
        <row r="222">
          <cell r="A222">
            <v>66816</v>
          </cell>
          <cell r="B222">
            <v>437</v>
          </cell>
          <cell r="C222" t="str">
            <v>C3450</v>
          </cell>
          <cell r="D222" t="str">
            <v>EL HRORI</v>
          </cell>
          <cell r="E222" t="str">
            <v>HASSAN</v>
          </cell>
          <cell r="F222">
            <v>20270</v>
          </cell>
          <cell r="G222" t="str">
            <v>1</v>
          </cell>
          <cell r="H222" t="str">
            <v>OULED BHAR KBAR KHOURIBGA</v>
          </cell>
          <cell r="I222" t="str">
            <v>D</v>
          </cell>
          <cell r="J222">
            <v>27338</v>
          </cell>
          <cell r="K222">
            <v>33543</v>
          </cell>
          <cell r="L222" t="str">
            <v>21</v>
          </cell>
          <cell r="M222" t="str">
            <v>A</v>
          </cell>
          <cell r="N222">
            <v>33543</v>
          </cell>
          <cell r="P222">
            <v>28</v>
          </cell>
          <cell r="Q222" t="str">
            <v>O</v>
          </cell>
          <cell r="R222" t="str">
            <v>N</v>
          </cell>
          <cell r="S222">
            <v>0</v>
          </cell>
          <cell r="T222" t="str">
            <v>M</v>
          </cell>
          <cell r="U222" t="str">
            <v>SALOUI ZOHRA</v>
          </cell>
          <cell r="X222">
            <v>5</v>
          </cell>
          <cell r="Y222">
            <v>2</v>
          </cell>
          <cell r="AB222" t="str">
            <v>X</v>
          </cell>
          <cell r="AC222" t="str">
            <v>X</v>
          </cell>
          <cell r="AD222" t="str">
            <v>X</v>
          </cell>
          <cell r="AH222" t="str">
            <v>N</v>
          </cell>
          <cell r="AI222" t="str">
            <v>N</v>
          </cell>
          <cell r="AK222" t="str">
            <v>94 ANCIENNE MEDINA DE SECHAGE - KHGA</v>
          </cell>
          <cell r="AL222" t="str">
            <v>3AS</v>
          </cell>
          <cell r="AM222" t="str">
            <v>CEP</v>
          </cell>
          <cell r="AN222" t="str">
            <v>49═44═05</v>
          </cell>
          <cell r="AP222" t="str">
            <v>Q 70894</v>
          </cell>
          <cell r="AQ222">
            <v>0</v>
          </cell>
          <cell r="AR222" t="str">
            <v>B</v>
          </cell>
          <cell r="AS222" t="str">
            <v>B.M.C.E  KHGA</v>
          </cell>
          <cell r="AT222" t="str">
            <v>4000120000643749</v>
          </cell>
          <cell r="AU222" t="str">
            <v>/  /</v>
          </cell>
          <cell r="AW222">
            <v>38534</v>
          </cell>
          <cell r="AY222" t="str">
            <v>XX</v>
          </cell>
          <cell r="BA222" t="str">
            <v>2</v>
          </cell>
          <cell r="BB222">
            <v>1</v>
          </cell>
          <cell r="BD222">
            <v>0</v>
          </cell>
          <cell r="BE222" t="str">
            <v>M</v>
          </cell>
          <cell r="BF222" t="str">
            <v>N</v>
          </cell>
          <cell r="BG222">
            <v>1</v>
          </cell>
          <cell r="BH222">
            <v>38534</v>
          </cell>
          <cell r="BI222" t="str">
            <v>O</v>
          </cell>
        </row>
        <row r="223">
          <cell r="A223">
            <v>66819</v>
          </cell>
          <cell r="B223">
            <v>411</v>
          </cell>
          <cell r="C223" t="str">
            <v>C4152</v>
          </cell>
          <cell r="D223" t="str">
            <v>NAOUDI</v>
          </cell>
          <cell r="E223" t="str">
            <v>EL MAATI</v>
          </cell>
          <cell r="F223">
            <v>20270</v>
          </cell>
          <cell r="G223" t="str">
            <v>1</v>
          </cell>
          <cell r="H223" t="str">
            <v>OULED BHAR SGHAR KHOURIBGA</v>
          </cell>
          <cell r="I223" t="str">
            <v>D</v>
          </cell>
          <cell r="J223">
            <v>27338</v>
          </cell>
          <cell r="K223">
            <v>36526</v>
          </cell>
          <cell r="L223" t="str">
            <v>22</v>
          </cell>
          <cell r="M223" t="str">
            <v>A</v>
          </cell>
          <cell r="N223">
            <v>36526</v>
          </cell>
          <cell r="P223">
            <v>28</v>
          </cell>
          <cell r="Q223" t="str">
            <v>O</v>
          </cell>
          <cell r="R223" t="str">
            <v>N</v>
          </cell>
          <cell r="S223">
            <v>0</v>
          </cell>
          <cell r="T223" t="str">
            <v>M</v>
          </cell>
          <cell r="U223" t="str">
            <v>EL GHADFA BENT AHMED</v>
          </cell>
          <cell r="X223">
            <v>0</v>
          </cell>
          <cell r="Y223">
            <v>0</v>
          </cell>
          <cell r="AB223" t="str">
            <v>X</v>
          </cell>
          <cell r="AC223" t="str">
            <v>X</v>
          </cell>
          <cell r="AD223" t="str">
            <v>X</v>
          </cell>
          <cell r="AH223" t="str">
            <v>N</v>
          </cell>
          <cell r="AI223" t="str">
            <v>N</v>
          </cell>
          <cell r="AK223" t="str">
            <v>58 RUE OULED AMRANE HAY ESSAADA - KHGA</v>
          </cell>
          <cell r="AL223" t="str">
            <v>3AS</v>
          </cell>
          <cell r="AP223" t="str">
            <v>Q 14249</v>
          </cell>
          <cell r="AQ223">
            <v>0</v>
          </cell>
          <cell r="AR223" t="str">
            <v>B</v>
          </cell>
          <cell r="AS223" t="str">
            <v>CREDIT DU MAROC</v>
          </cell>
          <cell r="AT223" t="str">
            <v>820010017373</v>
          </cell>
          <cell r="AU223" t="str">
            <v>/  /</v>
          </cell>
          <cell r="AW223">
            <v>38534</v>
          </cell>
          <cell r="AY223" t="str">
            <v>XX</v>
          </cell>
          <cell r="BA223" t="str">
            <v>1</v>
          </cell>
          <cell r="BB223">
            <v>1</v>
          </cell>
          <cell r="BD223">
            <v>0</v>
          </cell>
          <cell r="BE223" t="str">
            <v>M</v>
          </cell>
          <cell r="BF223" t="str">
            <v>N</v>
          </cell>
          <cell r="BG223">
            <v>1</v>
          </cell>
          <cell r="BH223">
            <v>38534</v>
          </cell>
          <cell r="BI223" t="str">
            <v>O</v>
          </cell>
        </row>
        <row r="224">
          <cell r="A224">
            <v>66856</v>
          </cell>
          <cell r="B224">
            <v>418</v>
          </cell>
          <cell r="C224" t="str">
            <v>C5152</v>
          </cell>
          <cell r="D224" t="str">
            <v>QLIMI</v>
          </cell>
          <cell r="E224" t="str">
            <v>MOHAMED</v>
          </cell>
          <cell r="F224">
            <v>20270</v>
          </cell>
          <cell r="G224" t="str">
            <v>1</v>
          </cell>
          <cell r="H224" t="str">
            <v>OULED BHAR KBAR KHOURIBGA</v>
          </cell>
          <cell r="I224" t="str">
            <v>D</v>
          </cell>
          <cell r="J224">
            <v>27344</v>
          </cell>
          <cell r="K224">
            <v>35431</v>
          </cell>
          <cell r="L224" t="str">
            <v>31</v>
          </cell>
          <cell r="M224" t="str">
            <v>A</v>
          </cell>
          <cell r="N224">
            <v>35431</v>
          </cell>
          <cell r="P224">
            <v>28</v>
          </cell>
          <cell r="Q224" t="str">
            <v>O</v>
          </cell>
          <cell r="R224" t="str">
            <v>N</v>
          </cell>
          <cell r="S224">
            <v>0</v>
          </cell>
          <cell r="T224" t="str">
            <v>M</v>
          </cell>
          <cell r="U224" t="str">
            <v>FARHAT SAIDA BENT SALAH</v>
          </cell>
          <cell r="X224">
            <v>2</v>
          </cell>
          <cell r="Y224">
            <v>2</v>
          </cell>
          <cell r="AB224" t="str">
            <v>X</v>
          </cell>
          <cell r="AC224" t="str">
            <v>X</v>
          </cell>
          <cell r="AD224" t="str">
            <v>X</v>
          </cell>
          <cell r="AH224" t="str">
            <v>O</v>
          </cell>
          <cell r="AI224" t="str">
            <v>N</v>
          </cell>
          <cell r="AK224" t="str">
            <v>66 NOUVEAUX LOGEMENTS OCP - KHGA</v>
          </cell>
          <cell r="AL224" t="str">
            <v>3AS</v>
          </cell>
          <cell r="AP224" t="str">
            <v>Q 42711</v>
          </cell>
          <cell r="AQ224">
            <v>0</v>
          </cell>
          <cell r="AR224" t="str">
            <v>B</v>
          </cell>
          <cell r="AS224" t="str">
            <v>WAFABAK - KHGA</v>
          </cell>
          <cell r="AT224" t="str">
            <v>1220301282085</v>
          </cell>
          <cell r="AU224" t="str">
            <v>/  /</v>
          </cell>
          <cell r="AW224">
            <v>38534</v>
          </cell>
          <cell r="AY224" t="str">
            <v>XX</v>
          </cell>
          <cell r="AZ224" t="str">
            <v>M</v>
          </cell>
          <cell r="BA224" t="str">
            <v>1</v>
          </cell>
          <cell r="BB224">
            <v>1</v>
          </cell>
          <cell r="BD224">
            <v>0</v>
          </cell>
          <cell r="BE224" t="str">
            <v>M</v>
          </cell>
          <cell r="BF224" t="str">
            <v>N</v>
          </cell>
          <cell r="BG224">
            <v>1</v>
          </cell>
          <cell r="BH224">
            <v>38534</v>
          </cell>
          <cell r="BI224" t="str">
            <v>O</v>
          </cell>
        </row>
        <row r="225">
          <cell r="A225">
            <v>66874</v>
          </cell>
          <cell r="B225">
            <v>418</v>
          </cell>
          <cell r="C225" t="str">
            <v>C6050</v>
          </cell>
          <cell r="D225" t="str">
            <v>MAMOR</v>
          </cell>
          <cell r="E225" t="str">
            <v>SALAH</v>
          </cell>
          <cell r="F225">
            <v>19540</v>
          </cell>
          <cell r="G225" t="str">
            <v>1</v>
          </cell>
          <cell r="H225" t="str">
            <v>OULED BHAR KBAR KHOURIBGA</v>
          </cell>
          <cell r="I225" t="str">
            <v>D</v>
          </cell>
          <cell r="J225">
            <v>27346</v>
          </cell>
          <cell r="K225">
            <v>36526</v>
          </cell>
          <cell r="L225" t="str">
            <v>32</v>
          </cell>
          <cell r="M225" t="str">
            <v>A</v>
          </cell>
          <cell r="N225">
            <v>36526</v>
          </cell>
          <cell r="P225">
            <v>28</v>
          </cell>
          <cell r="Q225" t="str">
            <v>O</v>
          </cell>
          <cell r="R225" t="str">
            <v>N</v>
          </cell>
          <cell r="S225">
            <v>0</v>
          </cell>
          <cell r="T225" t="str">
            <v>M</v>
          </cell>
          <cell r="U225" t="str">
            <v>SALHI NAJAT BENT AHMED</v>
          </cell>
          <cell r="X225">
            <v>4</v>
          </cell>
          <cell r="Y225">
            <v>4</v>
          </cell>
          <cell r="AB225" t="str">
            <v>X</v>
          </cell>
          <cell r="AC225" t="str">
            <v>X</v>
          </cell>
          <cell r="AD225" t="str">
            <v>X</v>
          </cell>
          <cell r="AH225" t="str">
            <v>N</v>
          </cell>
          <cell r="AI225" t="str">
            <v>N</v>
          </cell>
          <cell r="AK225" t="str">
            <v>N 89 NLLE CONSTRUCTION KHGA</v>
          </cell>
          <cell r="AL225" t="str">
            <v>3AS</v>
          </cell>
          <cell r="AM225" t="str">
            <v>CFO</v>
          </cell>
          <cell r="AP225" t="str">
            <v>Q 20828</v>
          </cell>
          <cell r="AQ225">
            <v>0</v>
          </cell>
          <cell r="AR225" t="str">
            <v>B</v>
          </cell>
          <cell r="AS225" t="str">
            <v>B.M.C.I - KHGA</v>
          </cell>
          <cell r="AT225" t="str">
            <v>02820823438301</v>
          </cell>
          <cell r="AU225" t="str">
            <v>/  /</v>
          </cell>
          <cell r="AW225">
            <v>37803</v>
          </cell>
          <cell r="AY225" t="str">
            <v>XX</v>
          </cell>
          <cell r="BA225" t="str">
            <v>2</v>
          </cell>
          <cell r="BB225">
            <v>1</v>
          </cell>
          <cell r="BD225">
            <v>0</v>
          </cell>
          <cell r="BE225" t="str">
            <v>M</v>
          </cell>
          <cell r="BF225" t="str">
            <v>N</v>
          </cell>
          <cell r="BG225">
            <v>1</v>
          </cell>
          <cell r="BH225">
            <v>37803</v>
          </cell>
        </row>
        <row r="226">
          <cell r="A226">
            <v>66879</v>
          </cell>
          <cell r="B226">
            <v>411</v>
          </cell>
          <cell r="C226" t="str">
            <v>C4152</v>
          </cell>
          <cell r="D226" t="str">
            <v>HOUMMANI</v>
          </cell>
          <cell r="E226" t="str">
            <v>EL MOSTAFA</v>
          </cell>
          <cell r="F226">
            <v>20270</v>
          </cell>
          <cell r="G226" t="str">
            <v>1</v>
          </cell>
          <cell r="H226" t="str">
            <v>OULED BHAR KBAR KHOURIBGA</v>
          </cell>
          <cell r="I226" t="str">
            <v>D</v>
          </cell>
          <cell r="J226">
            <v>27346</v>
          </cell>
          <cell r="K226">
            <v>37377</v>
          </cell>
          <cell r="L226" t="str">
            <v>22</v>
          </cell>
          <cell r="M226" t="str">
            <v>B</v>
          </cell>
          <cell r="N226">
            <v>37377</v>
          </cell>
          <cell r="P226">
            <v>28</v>
          </cell>
          <cell r="Q226" t="str">
            <v>O</v>
          </cell>
          <cell r="R226" t="str">
            <v>N</v>
          </cell>
          <cell r="S226">
            <v>0</v>
          </cell>
          <cell r="T226" t="str">
            <v>M</v>
          </cell>
          <cell r="U226" t="str">
            <v>SAADIA BENT MED</v>
          </cell>
          <cell r="X226">
            <v>7</v>
          </cell>
          <cell r="Y226">
            <v>6</v>
          </cell>
          <cell r="AB226" t="str">
            <v>X</v>
          </cell>
          <cell r="AC226" t="str">
            <v>X</v>
          </cell>
          <cell r="AD226" t="str">
            <v>X</v>
          </cell>
          <cell r="AH226" t="str">
            <v>N</v>
          </cell>
          <cell r="AI226" t="str">
            <v>N</v>
          </cell>
          <cell r="AK226" t="str">
            <v>1328 VILLAGE O C P - HATTANE</v>
          </cell>
          <cell r="AL226" t="str">
            <v>CM2</v>
          </cell>
          <cell r="AP226" t="str">
            <v>Q 13534</v>
          </cell>
          <cell r="AQ226">
            <v>0</v>
          </cell>
          <cell r="AR226" t="str">
            <v>C</v>
          </cell>
          <cell r="AU226" t="str">
            <v>31/03/86</v>
          </cell>
          <cell r="AW226">
            <v>38534</v>
          </cell>
          <cell r="AY226" t="str">
            <v>O+</v>
          </cell>
          <cell r="AZ226" t="str">
            <v>R</v>
          </cell>
          <cell r="BA226" t="str">
            <v>0</v>
          </cell>
          <cell r="BB226">
            <v>1</v>
          </cell>
          <cell r="BD226">
            <v>0</v>
          </cell>
          <cell r="BE226" t="str">
            <v>M</v>
          </cell>
          <cell r="BF226" t="str">
            <v>N</v>
          </cell>
          <cell r="BG226">
            <v>10</v>
          </cell>
          <cell r="BH226">
            <v>38534</v>
          </cell>
        </row>
        <row r="227">
          <cell r="A227">
            <v>67110</v>
          </cell>
          <cell r="B227">
            <v>418</v>
          </cell>
          <cell r="C227" t="str">
            <v>C7050</v>
          </cell>
          <cell r="D227" t="str">
            <v>EL AZHAR</v>
          </cell>
          <cell r="E227" t="str">
            <v>BOUAZZA</v>
          </cell>
          <cell r="F227">
            <v>19937</v>
          </cell>
          <cell r="G227" t="str">
            <v>1</v>
          </cell>
          <cell r="H227" t="str">
            <v>KHOURIBGA</v>
          </cell>
          <cell r="I227" t="str">
            <v>D</v>
          </cell>
          <cell r="J227">
            <v>27390</v>
          </cell>
          <cell r="K227">
            <v>36526</v>
          </cell>
          <cell r="L227" t="str">
            <v>33</v>
          </cell>
          <cell r="M227" t="str">
            <v>A</v>
          </cell>
          <cell r="N227">
            <v>36526</v>
          </cell>
          <cell r="P227">
            <v>28</v>
          </cell>
          <cell r="Q227" t="str">
            <v>O</v>
          </cell>
          <cell r="R227" t="str">
            <v>N</v>
          </cell>
          <cell r="S227">
            <v>0</v>
          </cell>
          <cell r="T227" t="str">
            <v>M</v>
          </cell>
          <cell r="U227" t="str">
            <v>FATNA BENT BOUCHTA</v>
          </cell>
          <cell r="X227">
            <v>7</v>
          </cell>
          <cell r="Y227">
            <v>5</v>
          </cell>
          <cell r="AB227" t="str">
            <v>X</v>
          </cell>
          <cell r="AC227" t="str">
            <v>X</v>
          </cell>
          <cell r="AD227" t="str">
            <v>X</v>
          </cell>
          <cell r="AH227" t="str">
            <v>N</v>
          </cell>
          <cell r="AI227" t="str">
            <v>N</v>
          </cell>
          <cell r="AK227" t="str">
            <v>OULAD BRAHIM LAMSAADA BOUJNIBA</v>
          </cell>
          <cell r="AL227" t="str">
            <v>3AS</v>
          </cell>
          <cell r="AM227" t="str">
            <v>CEP CFO</v>
          </cell>
          <cell r="AP227" t="str">
            <v>Q 25992</v>
          </cell>
          <cell r="AQ227">
            <v>0</v>
          </cell>
          <cell r="AR227" t="str">
            <v>B</v>
          </cell>
          <cell r="AS227" t="str">
            <v>BMCI - KHGA</v>
          </cell>
          <cell r="AT227" t="str">
            <v>0282118904301</v>
          </cell>
          <cell r="AU227" t="str">
            <v>/  /</v>
          </cell>
          <cell r="AW227">
            <v>38353</v>
          </cell>
          <cell r="AY227" t="str">
            <v>XX</v>
          </cell>
          <cell r="BA227" t="str">
            <v>2</v>
          </cell>
          <cell r="BB227">
            <v>1</v>
          </cell>
          <cell r="BD227">
            <v>0</v>
          </cell>
          <cell r="BE227" t="str">
            <v>M</v>
          </cell>
          <cell r="BF227" t="str">
            <v>N</v>
          </cell>
          <cell r="BG227">
            <v>50</v>
          </cell>
          <cell r="BH227">
            <v>38353</v>
          </cell>
          <cell r="BI227" t="str">
            <v>O</v>
          </cell>
        </row>
        <row r="228">
          <cell r="A228">
            <v>68260</v>
          </cell>
          <cell r="B228">
            <v>418</v>
          </cell>
          <cell r="C228" t="str">
            <v>C5050</v>
          </cell>
          <cell r="D228" t="str">
            <v>MERZAQ</v>
          </cell>
          <cell r="E228" t="str">
            <v>EL MOSTAFA</v>
          </cell>
          <cell r="F228">
            <v>19540</v>
          </cell>
          <cell r="G228" t="str">
            <v>3</v>
          </cell>
          <cell r="H228" t="str">
            <v>BOUJNIBA</v>
          </cell>
          <cell r="I228" t="str">
            <v>D</v>
          </cell>
          <cell r="J228">
            <v>27757</v>
          </cell>
          <cell r="K228">
            <v>37073</v>
          </cell>
          <cell r="L228" t="str">
            <v>31</v>
          </cell>
          <cell r="M228" t="str">
            <v>A</v>
          </cell>
          <cell r="N228">
            <v>37073</v>
          </cell>
          <cell r="P228">
            <v>27</v>
          </cell>
          <cell r="Q228" t="str">
            <v>O</v>
          </cell>
          <cell r="R228" t="str">
            <v>N</v>
          </cell>
          <cell r="S228">
            <v>0</v>
          </cell>
          <cell r="T228" t="str">
            <v>M</v>
          </cell>
          <cell r="U228" t="str">
            <v>JEMAA BENT KADDOUR</v>
          </cell>
          <cell r="X228">
            <v>3</v>
          </cell>
          <cell r="Y228">
            <v>3</v>
          </cell>
          <cell r="AB228" t="str">
            <v>X</v>
          </cell>
          <cell r="AC228" t="str">
            <v>X</v>
          </cell>
          <cell r="AD228" t="str">
            <v>X</v>
          </cell>
          <cell r="AH228" t="str">
            <v>N</v>
          </cell>
          <cell r="AI228" t="str">
            <v>N</v>
          </cell>
          <cell r="AK228" t="str">
            <v>29 QUARTIER EL WIFAQ - KHGA</v>
          </cell>
          <cell r="AL228" t="str">
            <v>4AS</v>
          </cell>
          <cell r="AM228" t="str">
            <v>CEP</v>
          </cell>
          <cell r="AP228" t="str">
            <v>Q 83452</v>
          </cell>
          <cell r="AQ228">
            <v>0</v>
          </cell>
          <cell r="AR228" t="str">
            <v>B</v>
          </cell>
          <cell r="AS228" t="str">
            <v>POPULAIRE  KHGA</v>
          </cell>
          <cell r="AT228" t="str">
            <v>2111113120250009</v>
          </cell>
          <cell r="AU228" t="str">
            <v>/  /</v>
          </cell>
          <cell r="AW228">
            <v>37803</v>
          </cell>
          <cell r="AY228" t="str">
            <v>XX</v>
          </cell>
          <cell r="AZ228" t="str">
            <v>M</v>
          </cell>
          <cell r="BA228" t="str">
            <v>2</v>
          </cell>
          <cell r="BB228">
            <v>1</v>
          </cell>
          <cell r="BD228">
            <v>0</v>
          </cell>
          <cell r="BE228" t="str">
            <v>M</v>
          </cell>
          <cell r="BF228" t="str">
            <v>N</v>
          </cell>
          <cell r="BG228">
            <v>1</v>
          </cell>
          <cell r="BH228">
            <v>37803</v>
          </cell>
          <cell r="BI228" t="str">
            <v>O</v>
          </cell>
        </row>
        <row r="229">
          <cell r="A229">
            <v>67952</v>
          </cell>
          <cell r="B229">
            <v>418</v>
          </cell>
          <cell r="C229" t="str">
            <v>C5152</v>
          </cell>
          <cell r="D229" t="str">
            <v>LAMHANNI</v>
          </cell>
          <cell r="E229" t="str">
            <v>MOHAMED</v>
          </cell>
          <cell r="F229">
            <v>19329</v>
          </cell>
          <cell r="G229" t="str">
            <v>2</v>
          </cell>
          <cell r="H229" t="str">
            <v>BENI SMIR</v>
          </cell>
          <cell r="I229" t="str">
            <v>D</v>
          </cell>
          <cell r="J229">
            <v>27596</v>
          </cell>
          <cell r="K229">
            <v>37073</v>
          </cell>
          <cell r="L229" t="str">
            <v>31</v>
          </cell>
          <cell r="M229" t="str">
            <v>A</v>
          </cell>
          <cell r="N229">
            <v>37073</v>
          </cell>
          <cell r="P229">
            <v>27</v>
          </cell>
          <cell r="Q229" t="str">
            <v>O</v>
          </cell>
          <cell r="R229" t="str">
            <v>N</v>
          </cell>
          <cell r="S229">
            <v>0</v>
          </cell>
          <cell r="T229" t="str">
            <v>M</v>
          </cell>
          <cell r="U229" t="str">
            <v>LEMSANI GHANO BENT BENDAOUD</v>
          </cell>
          <cell r="X229">
            <v>7</v>
          </cell>
          <cell r="Y229">
            <v>3</v>
          </cell>
          <cell r="AB229" t="str">
            <v>X</v>
          </cell>
          <cell r="AC229" t="str">
            <v>X</v>
          </cell>
          <cell r="AD229" t="str">
            <v>X</v>
          </cell>
          <cell r="AH229" t="str">
            <v>N</v>
          </cell>
          <cell r="AI229" t="str">
            <v>N</v>
          </cell>
          <cell r="AK229" t="str">
            <v>N 548 NELLE CONSTRUCTION BOUJNIBA</v>
          </cell>
          <cell r="AL229" t="str">
            <v>2AS</v>
          </cell>
          <cell r="AP229" t="str">
            <v>Q 28549</v>
          </cell>
          <cell r="AQ229">
            <v>0</v>
          </cell>
          <cell r="AR229" t="str">
            <v>B</v>
          </cell>
          <cell r="AS229" t="str">
            <v>B.M.C.E  KHGA</v>
          </cell>
          <cell r="AT229" t="str">
            <v>400001200000753747</v>
          </cell>
          <cell r="AU229" t="str">
            <v>/  /</v>
          </cell>
          <cell r="AW229">
            <v>37622</v>
          </cell>
          <cell r="AY229" t="str">
            <v>O+</v>
          </cell>
          <cell r="AZ229" t="str">
            <v>M</v>
          </cell>
          <cell r="BA229" t="str">
            <v>0</v>
          </cell>
          <cell r="BB229">
            <v>1</v>
          </cell>
          <cell r="BD229">
            <v>0</v>
          </cell>
          <cell r="BE229" t="str">
            <v>M</v>
          </cell>
          <cell r="BF229" t="str">
            <v>N</v>
          </cell>
          <cell r="BG229">
            <v>50</v>
          </cell>
          <cell r="BH229">
            <v>37803</v>
          </cell>
        </row>
        <row r="230">
          <cell r="A230">
            <v>67757</v>
          </cell>
          <cell r="B230">
            <v>411</v>
          </cell>
          <cell r="C230" t="str">
            <v>C5152</v>
          </cell>
          <cell r="D230" t="str">
            <v>MAZOUI</v>
          </cell>
          <cell r="E230" t="str">
            <v>AHMED</v>
          </cell>
          <cell r="F230">
            <v>20378</v>
          </cell>
          <cell r="G230" t="str">
            <v>1</v>
          </cell>
          <cell r="H230" t="str">
            <v>OULED BHAR KBAR KHOURIBGA</v>
          </cell>
          <cell r="I230" t="str">
            <v>D</v>
          </cell>
          <cell r="J230">
            <v>27554</v>
          </cell>
          <cell r="K230">
            <v>34151</v>
          </cell>
          <cell r="L230" t="str">
            <v>31</v>
          </cell>
          <cell r="M230" t="str">
            <v>A</v>
          </cell>
          <cell r="N230">
            <v>34151</v>
          </cell>
          <cell r="P230">
            <v>27</v>
          </cell>
          <cell r="Q230" t="str">
            <v>O</v>
          </cell>
          <cell r="R230" t="str">
            <v>N</v>
          </cell>
          <cell r="S230">
            <v>0</v>
          </cell>
          <cell r="T230" t="str">
            <v>M</v>
          </cell>
          <cell r="U230" t="str">
            <v>OUADIH ZOHRA</v>
          </cell>
          <cell r="X230">
            <v>6</v>
          </cell>
          <cell r="Y230">
            <v>2</v>
          </cell>
          <cell r="AB230" t="str">
            <v>X</v>
          </cell>
          <cell r="AC230" t="str">
            <v>X</v>
          </cell>
          <cell r="AD230" t="str">
            <v>X</v>
          </cell>
          <cell r="AH230" t="str">
            <v>N</v>
          </cell>
          <cell r="AI230" t="str">
            <v>N</v>
          </cell>
          <cell r="AK230" t="str">
            <v>5 BLOC H RUE PHILIPPINES NAHDA - KHGA</v>
          </cell>
          <cell r="AL230" t="str">
            <v>5LM</v>
          </cell>
          <cell r="AM230" t="str">
            <v>CEP CES</v>
          </cell>
          <cell r="AP230" t="str">
            <v>Q 5857</v>
          </cell>
          <cell r="AQ230">
            <v>0</v>
          </cell>
          <cell r="AR230" t="str">
            <v>B</v>
          </cell>
          <cell r="AS230" t="str">
            <v>POPULAIRE.KHGA</v>
          </cell>
          <cell r="AT230" t="str">
            <v>2111112835850004</v>
          </cell>
          <cell r="AU230" t="str">
            <v>/  /</v>
          </cell>
          <cell r="AW230">
            <v>38718</v>
          </cell>
          <cell r="AY230" t="str">
            <v>XX</v>
          </cell>
          <cell r="BA230" t="str">
            <v>1</v>
          </cell>
          <cell r="BB230">
            <v>1</v>
          </cell>
          <cell r="BD230">
            <v>0</v>
          </cell>
          <cell r="BE230" t="str">
            <v>M</v>
          </cell>
          <cell r="BF230" t="str">
            <v>N</v>
          </cell>
          <cell r="BG230">
            <v>1</v>
          </cell>
          <cell r="BH230">
            <v>38718</v>
          </cell>
          <cell r="BI230" t="str">
            <v>O</v>
          </cell>
        </row>
        <row r="231">
          <cell r="A231">
            <v>70568</v>
          </cell>
          <cell r="B231">
            <v>446</v>
          </cell>
          <cell r="C231" t="str">
            <v>C3050</v>
          </cell>
          <cell r="D231" t="str">
            <v>TEBROURI</v>
          </cell>
          <cell r="E231" t="str">
            <v>BOUCHTA</v>
          </cell>
          <cell r="F231">
            <v>17948</v>
          </cell>
          <cell r="G231" t="str">
            <v>1</v>
          </cell>
          <cell r="H231" t="str">
            <v>OULED BHAR KBAR KHOURIBGA</v>
          </cell>
          <cell r="I231" t="str">
            <v>D</v>
          </cell>
          <cell r="J231">
            <v>28618</v>
          </cell>
          <cell r="K231">
            <v>37012</v>
          </cell>
          <cell r="L231" t="str">
            <v>21</v>
          </cell>
          <cell r="M231" t="str">
            <v>C</v>
          </cell>
          <cell r="N231">
            <v>37012</v>
          </cell>
          <cell r="P231">
            <v>24</v>
          </cell>
          <cell r="Q231" t="str">
            <v>O</v>
          </cell>
          <cell r="R231" t="str">
            <v>N</v>
          </cell>
          <cell r="S231">
            <v>0</v>
          </cell>
          <cell r="T231" t="str">
            <v>M</v>
          </cell>
          <cell r="U231" t="str">
            <v>MALIKA BENT MED</v>
          </cell>
          <cell r="X231">
            <v>0</v>
          </cell>
          <cell r="Y231">
            <v>0</v>
          </cell>
          <cell r="AB231" t="str">
            <v>X</v>
          </cell>
          <cell r="AC231" t="str">
            <v>X</v>
          </cell>
          <cell r="AD231" t="str">
            <v>X</v>
          </cell>
          <cell r="AH231" t="str">
            <v>N</v>
          </cell>
          <cell r="AI231" t="str">
            <v>N</v>
          </cell>
          <cell r="AK231" t="str">
            <v>268 ANCIEN TACHERON O.C.P - BOUJNIBA</v>
          </cell>
          <cell r="AL231" t="str">
            <v>ILLETTRE</v>
          </cell>
          <cell r="AP231" t="str">
            <v>Q 27353</v>
          </cell>
          <cell r="AQ231">
            <v>0</v>
          </cell>
          <cell r="AR231" t="str">
            <v>C</v>
          </cell>
          <cell r="AU231" t="str">
            <v>/  /</v>
          </cell>
          <cell r="AW231">
            <v>38169</v>
          </cell>
          <cell r="AY231" t="str">
            <v>XX</v>
          </cell>
          <cell r="BA231" t="str">
            <v>2</v>
          </cell>
          <cell r="BB231">
            <v>1</v>
          </cell>
          <cell r="BD231">
            <v>0</v>
          </cell>
          <cell r="BE231" t="str">
            <v>M</v>
          </cell>
          <cell r="BF231" t="str">
            <v>N</v>
          </cell>
          <cell r="BG231">
            <v>50</v>
          </cell>
          <cell r="BH231">
            <v>38169</v>
          </cell>
        </row>
        <row r="232">
          <cell r="A232">
            <v>70550</v>
          </cell>
          <cell r="B232">
            <v>446</v>
          </cell>
          <cell r="C232" t="str">
            <v>C3152</v>
          </cell>
          <cell r="D232" t="str">
            <v>EL BEZZAZ</v>
          </cell>
          <cell r="E232" t="str">
            <v>EL KBIR</v>
          </cell>
          <cell r="F232">
            <v>20934</v>
          </cell>
          <cell r="G232" t="str">
            <v>6</v>
          </cell>
          <cell r="H232" t="str">
            <v>M'FASSIS</v>
          </cell>
          <cell r="I232" t="str">
            <v>D</v>
          </cell>
          <cell r="J232">
            <v>28615</v>
          </cell>
          <cell r="K232">
            <v>35977</v>
          </cell>
          <cell r="L232" t="str">
            <v>21</v>
          </cell>
          <cell r="M232" t="str">
            <v>C</v>
          </cell>
          <cell r="N232">
            <v>35977</v>
          </cell>
          <cell r="P232">
            <v>24</v>
          </cell>
          <cell r="Q232" t="str">
            <v>O</v>
          </cell>
          <cell r="R232" t="str">
            <v>N</v>
          </cell>
          <cell r="S232">
            <v>0</v>
          </cell>
          <cell r="T232" t="str">
            <v>M</v>
          </cell>
          <cell r="U232" t="str">
            <v>EZ ZOHRA BENT MED</v>
          </cell>
          <cell r="X232">
            <v>5</v>
          </cell>
          <cell r="Y232">
            <v>5</v>
          </cell>
          <cell r="AB232" t="str">
            <v>X</v>
          </cell>
          <cell r="AC232" t="str">
            <v>X</v>
          </cell>
          <cell r="AD232" t="str">
            <v>X</v>
          </cell>
          <cell r="AH232" t="str">
            <v>N</v>
          </cell>
          <cell r="AI232" t="str">
            <v>N</v>
          </cell>
          <cell r="AK232" t="str">
            <v>1102 VILLAGE O.C.P - HATTANE</v>
          </cell>
          <cell r="AL232" t="str">
            <v>ILLETTRE</v>
          </cell>
          <cell r="AP232" t="str">
            <v>Q 32877</v>
          </cell>
          <cell r="AQ232">
            <v>0</v>
          </cell>
          <cell r="AR232" t="str">
            <v>C</v>
          </cell>
          <cell r="AU232" t="str">
            <v>/  /</v>
          </cell>
          <cell r="AW232">
            <v>39264</v>
          </cell>
          <cell r="AY232" t="str">
            <v>XX</v>
          </cell>
          <cell r="BA232" t="str">
            <v>1</v>
          </cell>
          <cell r="BB232">
            <v>1</v>
          </cell>
          <cell r="BD232">
            <v>0</v>
          </cell>
          <cell r="BE232" t="str">
            <v>M</v>
          </cell>
          <cell r="BF232" t="str">
            <v>N</v>
          </cell>
          <cell r="BG232">
            <v>10</v>
          </cell>
          <cell r="BH232">
            <v>39264</v>
          </cell>
        </row>
        <row r="233">
          <cell r="A233">
            <v>74279</v>
          </cell>
          <cell r="B233">
            <v>411</v>
          </cell>
          <cell r="C233" t="str">
            <v>C4152</v>
          </cell>
          <cell r="D233" t="str">
            <v>EL MOUSSI</v>
          </cell>
          <cell r="E233" t="str">
            <v>MOHAMMED</v>
          </cell>
          <cell r="F233">
            <v>20989</v>
          </cell>
          <cell r="G233" t="str">
            <v>1</v>
          </cell>
          <cell r="H233" t="str">
            <v>OULAD BRAHIM</v>
          </cell>
          <cell r="I233" t="str">
            <v>D</v>
          </cell>
          <cell r="J233">
            <v>31289</v>
          </cell>
          <cell r="K233">
            <v>36526</v>
          </cell>
          <cell r="L233" t="str">
            <v>22</v>
          </cell>
          <cell r="M233" t="str">
            <v>A</v>
          </cell>
          <cell r="N233">
            <v>36526</v>
          </cell>
          <cell r="P233">
            <v>17</v>
          </cell>
          <cell r="Q233" t="str">
            <v>O</v>
          </cell>
          <cell r="R233" t="str">
            <v>N</v>
          </cell>
          <cell r="S233">
            <v>0</v>
          </cell>
          <cell r="T233" t="str">
            <v>M</v>
          </cell>
          <cell r="U233" t="str">
            <v>HALIMA BENT MED</v>
          </cell>
          <cell r="X233">
            <v>4</v>
          </cell>
          <cell r="Y233">
            <v>4</v>
          </cell>
          <cell r="AB233" t="str">
            <v>X</v>
          </cell>
          <cell r="AC233" t="str">
            <v>X</v>
          </cell>
          <cell r="AD233" t="str">
            <v>X</v>
          </cell>
          <cell r="AH233" t="str">
            <v>N</v>
          </cell>
          <cell r="AI233" t="str">
            <v>N</v>
          </cell>
          <cell r="AK233" t="str">
            <v>501 NOUVEAU TACHERON OCP - BOUJNIBA</v>
          </cell>
          <cell r="AL233" t="str">
            <v>CM2</v>
          </cell>
          <cell r="AP233" t="str">
            <v>Q 14277</v>
          </cell>
          <cell r="AQ233">
            <v>0</v>
          </cell>
          <cell r="AR233" t="str">
            <v>B</v>
          </cell>
          <cell r="AS233" t="str">
            <v>CREDIT DU MAROC-KHGA</v>
          </cell>
          <cell r="AT233" t="str">
            <v>082001089083</v>
          </cell>
          <cell r="AU233" t="str">
            <v>/  /</v>
          </cell>
          <cell r="AW233">
            <v>40909</v>
          </cell>
          <cell r="AY233" t="str">
            <v>XX</v>
          </cell>
          <cell r="BA233" t="str">
            <v>1</v>
          </cell>
          <cell r="BB233">
            <v>1</v>
          </cell>
          <cell r="BD233">
            <v>0</v>
          </cell>
          <cell r="BE233" t="str">
            <v>M</v>
          </cell>
          <cell r="BF233" t="str">
            <v>N</v>
          </cell>
          <cell r="BG233">
            <v>50</v>
          </cell>
          <cell r="BH233">
            <v>40909</v>
          </cell>
        </row>
        <row r="234">
          <cell r="A234">
            <v>73691</v>
          </cell>
          <cell r="B234">
            <v>418</v>
          </cell>
          <cell r="C234" t="str">
            <v>C4152</v>
          </cell>
          <cell r="D234" t="str">
            <v>KARYM</v>
          </cell>
          <cell r="E234" t="str">
            <v>MOHAMMED</v>
          </cell>
          <cell r="F234">
            <v>22462</v>
          </cell>
          <cell r="G234" t="str">
            <v>1</v>
          </cell>
          <cell r="H234" t="str">
            <v>KHOURIBGA</v>
          </cell>
          <cell r="I234" t="str">
            <v>D</v>
          </cell>
          <cell r="J234">
            <v>30233</v>
          </cell>
          <cell r="K234">
            <v>36526</v>
          </cell>
          <cell r="L234" t="str">
            <v>22</v>
          </cell>
          <cell r="M234" t="str">
            <v>A</v>
          </cell>
          <cell r="N234">
            <v>36526</v>
          </cell>
          <cell r="P234">
            <v>20</v>
          </cell>
          <cell r="Q234" t="str">
            <v>O</v>
          </cell>
          <cell r="R234" t="str">
            <v>N</v>
          </cell>
          <cell r="S234">
            <v>0</v>
          </cell>
          <cell r="T234" t="str">
            <v>M</v>
          </cell>
          <cell r="U234" t="str">
            <v>MALIKA BENT EL ARBI</v>
          </cell>
          <cell r="X234">
            <v>4</v>
          </cell>
          <cell r="Y234">
            <v>4</v>
          </cell>
          <cell r="AB234" t="str">
            <v>X</v>
          </cell>
          <cell r="AC234" t="str">
            <v>X</v>
          </cell>
          <cell r="AD234" t="str">
            <v>X</v>
          </cell>
          <cell r="AH234" t="str">
            <v>N</v>
          </cell>
          <cell r="AI234" t="str">
            <v>N</v>
          </cell>
          <cell r="AK234" t="str">
            <v>368, VILLAGE O.C.P - BOUJNIBA</v>
          </cell>
          <cell r="AL234" t="str">
            <v>ILLETTRE</v>
          </cell>
          <cell r="AP234" t="str">
            <v>Q 131390</v>
          </cell>
          <cell r="AQ234">
            <v>0</v>
          </cell>
          <cell r="AR234" t="str">
            <v>B</v>
          </cell>
          <cell r="AS234" t="str">
            <v>SGMB -KHGA-</v>
          </cell>
          <cell r="AT234" t="str">
            <v>067000951231941</v>
          </cell>
          <cell r="AU234" t="str">
            <v>/  /</v>
          </cell>
          <cell r="AW234">
            <v>40725</v>
          </cell>
          <cell r="AY234" t="str">
            <v>XX</v>
          </cell>
          <cell r="AZ234" t="str">
            <v>R</v>
          </cell>
          <cell r="BA234" t="str">
            <v>1</v>
          </cell>
          <cell r="BB234">
            <v>1</v>
          </cell>
          <cell r="BD234">
            <v>0</v>
          </cell>
          <cell r="BE234" t="str">
            <v>M</v>
          </cell>
          <cell r="BF234" t="str">
            <v>N</v>
          </cell>
          <cell r="BG234">
            <v>50</v>
          </cell>
          <cell r="BH234">
            <v>40725</v>
          </cell>
        </row>
        <row r="235">
          <cell r="A235">
            <v>70342</v>
          </cell>
          <cell r="B235">
            <v>411</v>
          </cell>
          <cell r="C235" t="str">
            <v>C3152</v>
          </cell>
          <cell r="D235" t="str">
            <v>EL MOUAHID</v>
          </cell>
          <cell r="E235" t="str">
            <v>ABDELAZIZ</v>
          </cell>
          <cell r="F235">
            <v>19540</v>
          </cell>
          <cell r="G235" t="str">
            <v>1</v>
          </cell>
          <cell r="H235" t="str">
            <v>OULED BHAR KBAR KHOURIBGA</v>
          </cell>
          <cell r="I235" t="str">
            <v>D</v>
          </cell>
          <cell r="J235">
            <v>28522</v>
          </cell>
          <cell r="K235">
            <v>35096</v>
          </cell>
          <cell r="L235" t="str">
            <v>21</v>
          </cell>
          <cell r="M235" t="str">
            <v>B</v>
          </cell>
          <cell r="N235">
            <v>35096</v>
          </cell>
          <cell r="P235">
            <v>26</v>
          </cell>
          <cell r="Q235" t="str">
            <v>O</v>
          </cell>
          <cell r="R235" t="str">
            <v>N</v>
          </cell>
          <cell r="S235">
            <v>0</v>
          </cell>
          <cell r="T235" t="str">
            <v>M</v>
          </cell>
          <cell r="U235" t="str">
            <v>HADIFI KBIRA BENT MED</v>
          </cell>
          <cell r="X235">
            <v>2</v>
          </cell>
          <cell r="Y235">
            <v>2</v>
          </cell>
          <cell r="AB235" t="str">
            <v>X</v>
          </cell>
          <cell r="AC235" t="str">
            <v>X</v>
          </cell>
          <cell r="AD235" t="str">
            <v>X</v>
          </cell>
          <cell r="AH235" t="str">
            <v>N</v>
          </cell>
          <cell r="AI235" t="str">
            <v>N</v>
          </cell>
          <cell r="AK235" t="str">
            <v>559 VILLAGE OCP - BOUJNIBA</v>
          </cell>
          <cell r="AL235" t="str">
            <v>4AS</v>
          </cell>
          <cell r="AP235" t="str">
            <v>Q 76398</v>
          </cell>
          <cell r="AQ235">
            <v>0</v>
          </cell>
          <cell r="AR235" t="str">
            <v>B</v>
          </cell>
          <cell r="AS235" t="str">
            <v>S.G.M.B - KHGA</v>
          </cell>
          <cell r="AT235" t="str">
            <v>6709117530</v>
          </cell>
          <cell r="AU235" t="str">
            <v>/  /</v>
          </cell>
          <cell r="AW235">
            <v>38169</v>
          </cell>
          <cell r="AY235" t="str">
            <v>XX</v>
          </cell>
          <cell r="BA235" t="str">
            <v>1</v>
          </cell>
          <cell r="BB235">
            <v>1</v>
          </cell>
          <cell r="BD235">
            <v>0</v>
          </cell>
          <cell r="BE235" t="str">
            <v>M</v>
          </cell>
          <cell r="BF235" t="str">
            <v>N</v>
          </cell>
          <cell r="BG235">
            <v>50</v>
          </cell>
          <cell r="BH235">
            <v>38169</v>
          </cell>
        </row>
        <row r="236">
          <cell r="A236">
            <v>73688</v>
          </cell>
          <cell r="B236">
            <v>446</v>
          </cell>
          <cell r="C236" t="str">
            <v>C2000</v>
          </cell>
          <cell r="D236" t="str">
            <v>MILTANI</v>
          </cell>
          <cell r="E236" t="str">
            <v>DRISS</v>
          </cell>
          <cell r="F236">
            <v>23007</v>
          </cell>
          <cell r="G236" t="str">
            <v>1</v>
          </cell>
          <cell r="H236" t="str">
            <v>KHOURIBGA</v>
          </cell>
          <cell r="I236" t="str">
            <v>D</v>
          </cell>
          <cell r="J236">
            <v>30232</v>
          </cell>
          <cell r="K236">
            <v>32448</v>
          </cell>
          <cell r="L236" t="str">
            <v>12</v>
          </cell>
          <cell r="M236" t="str">
            <v>C</v>
          </cell>
          <cell r="N236">
            <v>306</v>
          </cell>
          <cell r="P236">
            <v>20</v>
          </cell>
          <cell r="Q236" t="str">
            <v>O</v>
          </cell>
          <cell r="R236" t="str">
            <v>N</v>
          </cell>
          <cell r="S236">
            <v>0</v>
          </cell>
          <cell r="T236" t="str">
            <v>M</v>
          </cell>
          <cell r="U236" t="str">
            <v>NADIA BEMT MED</v>
          </cell>
          <cell r="X236">
            <v>4</v>
          </cell>
          <cell r="Y236">
            <v>4</v>
          </cell>
          <cell r="AB236" t="str">
            <v>X</v>
          </cell>
          <cell r="AC236" t="str">
            <v>X</v>
          </cell>
          <cell r="AD236" t="str">
            <v>X</v>
          </cell>
          <cell r="AH236" t="str">
            <v>N</v>
          </cell>
          <cell r="AI236" t="str">
            <v>N</v>
          </cell>
          <cell r="AK236" t="str">
            <v>636,VILLAGE OCP BOUJNIBA</v>
          </cell>
          <cell r="AL236" t="str">
            <v>4AS</v>
          </cell>
          <cell r="AP236" t="str">
            <v>Q 86397</v>
          </cell>
          <cell r="AQ236">
            <v>0</v>
          </cell>
          <cell r="AR236" t="str">
            <v>B</v>
          </cell>
          <cell r="AS236" t="str">
            <v>B.M.C.E  KHGA</v>
          </cell>
          <cell r="AT236" t="str">
            <v>40001200000686914</v>
          </cell>
          <cell r="AU236" t="str">
            <v>/  /</v>
          </cell>
          <cell r="AW236">
            <v>41275</v>
          </cell>
          <cell r="AY236" t="str">
            <v>XX</v>
          </cell>
          <cell r="BA236" t="str">
            <v>6</v>
          </cell>
          <cell r="BB236">
            <v>1</v>
          </cell>
          <cell r="BD236">
            <v>0</v>
          </cell>
          <cell r="BE236" t="str">
            <v>M</v>
          </cell>
          <cell r="BF236" t="str">
            <v>N</v>
          </cell>
          <cell r="BG236">
            <v>50</v>
          </cell>
          <cell r="BH236">
            <v>41456</v>
          </cell>
        </row>
        <row r="237">
          <cell r="A237">
            <v>73680</v>
          </cell>
          <cell r="B237">
            <v>428</v>
          </cell>
          <cell r="C237" t="str">
            <v>C3020</v>
          </cell>
          <cell r="D237" t="str">
            <v>ED DERBALI</v>
          </cell>
          <cell r="E237" t="str">
            <v>EL HOUSSINE</v>
          </cell>
          <cell r="F237">
            <v>21828</v>
          </cell>
          <cell r="G237" t="str">
            <v>1</v>
          </cell>
          <cell r="H237" t="str">
            <v>OULED BHAR SGHAR KHOURIBGA</v>
          </cell>
          <cell r="I237" t="str">
            <v>D</v>
          </cell>
          <cell r="J237">
            <v>30228</v>
          </cell>
          <cell r="K237">
            <v>34547</v>
          </cell>
          <cell r="L237" t="str">
            <v>21</v>
          </cell>
          <cell r="M237" t="str">
            <v>A</v>
          </cell>
          <cell r="N237">
            <v>34547</v>
          </cell>
          <cell r="P237">
            <v>20</v>
          </cell>
          <cell r="Q237" t="str">
            <v>O</v>
          </cell>
          <cell r="R237" t="str">
            <v>N</v>
          </cell>
          <cell r="S237">
            <v>0</v>
          </cell>
          <cell r="T237" t="str">
            <v>M</v>
          </cell>
          <cell r="U237" t="str">
            <v>MALIKA BENT AHMED</v>
          </cell>
          <cell r="X237">
            <v>4</v>
          </cell>
          <cell r="Y237">
            <v>4</v>
          </cell>
          <cell r="AB237" t="str">
            <v>X</v>
          </cell>
          <cell r="AC237" t="str">
            <v>X</v>
          </cell>
          <cell r="AD237" t="str">
            <v>X</v>
          </cell>
          <cell r="AH237" t="str">
            <v>N</v>
          </cell>
          <cell r="AI237" t="str">
            <v>N</v>
          </cell>
          <cell r="AK237" t="str">
            <v>1175 VILLAGE OCP SBATA - HATTANE</v>
          </cell>
          <cell r="AL237" t="str">
            <v>CM2</v>
          </cell>
          <cell r="AP237" t="str">
            <v>Q 81148</v>
          </cell>
          <cell r="AQ237">
            <v>0</v>
          </cell>
          <cell r="AR237" t="str">
            <v>B</v>
          </cell>
          <cell r="AS237" t="str">
            <v>CREDIT DU MAROC-KHGA</v>
          </cell>
          <cell r="AT237" t="str">
            <v>082001094327</v>
          </cell>
          <cell r="AU237" t="str">
            <v>/  /</v>
          </cell>
          <cell r="AW237">
            <v>40179</v>
          </cell>
          <cell r="AY237" t="str">
            <v>XX</v>
          </cell>
          <cell r="BA237" t="str">
            <v>0</v>
          </cell>
          <cell r="BB237">
            <v>1</v>
          </cell>
          <cell r="BD237">
            <v>0</v>
          </cell>
          <cell r="BE237" t="str">
            <v>M</v>
          </cell>
          <cell r="BF237" t="str">
            <v>N</v>
          </cell>
          <cell r="BG237">
            <v>10</v>
          </cell>
          <cell r="BH237">
            <v>40179</v>
          </cell>
        </row>
        <row r="238">
          <cell r="A238">
            <v>73253</v>
          </cell>
          <cell r="B238">
            <v>418</v>
          </cell>
          <cell r="C238" t="str">
            <v>C2000</v>
          </cell>
          <cell r="D238" t="str">
            <v>EL QEMMAHE</v>
          </cell>
          <cell r="E238" t="str">
            <v>EL ARBI</v>
          </cell>
          <cell r="F238">
            <v>19175</v>
          </cell>
          <cell r="G238" t="str">
            <v>3</v>
          </cell>
          <cell r="H238" t="str">
            <v>BOUJNIBA</v>
          </cell>
          <cell r="I238" t="str">
            <v>D</v>
          </cell>
          <cell r="J238">
            <v>30021</v>
          </cell>
          <cell r="K238">
            <v>32234</v>
          </cell>
          <cell r="L238" t="str">
            <v>12</v>
          </cell>
          <cell r="M238" t="str">
            <v>C</v>
          </cell>
          <cell r="N238">
            <v>92</v>
          </cell>
          <cell r="P238">
            <v>21</v>
          </cell>
          <cell r="Q238" t="str">
            <v>O</v>
          </cell>
          <cell r="R238" t="str">
            <v>N</v>
          </cell>
          <cell r="S238">
            <v>0</v>
          </cell>
          <cell r="T238" t="str">
            <v>M</v>
          </cell>
          <cell r="U238" t="str">
            <v>FATNA BENT SALAH</v>
          </cell>
          <cell r="X238">
            <v>5</v>
          </cell>
          <cell r="Y238">
            <v>2</v>
          </cell>
          <cell r="AB238" t="str">
            <v>X</v>
          </cell>
          <cell r="AC238" t="str">
            <v>X</v>
          </cell>
          <cell r="AD238" t="str">
            <v>X</v>
          </cell>
          <cell r="AH238" t="str">
            <v>N</v>
          </cell>
          <cell r="AI238" t="str">
            <v>N</v>
          </cell>
          <cell r="AK238" t="str">
            <v>N 103 VILLAGE O.C.P - BOUJNIBA</v>
          </cell>
          <cell r="AL238" t="str">
            <v>ILLETTRE</v>
          </cell>
          <cell r="AP238" t="str">
            <v>Q 80617</v>
          </cell>
          <cell r="AQ238">
            <v>0</v>
          </cell>
          <cell r="AR238" t="str">
            <v>C</v>
          </cell>
          <cell r="AS238" t="str">
            <v>WAFABANK -KHGA</v>
          </cell>
          <cell r="AT238" t="str">
            <v>1220301349379</v>
          </cell>
          <cell r="AU238" t="str">
            <v>/  /</v>
          </cell>
          <cell r="AW238">
            <v>39264</v>
          </cell>
          <cell r="AY238" t="str">
            <v>XX</v>
          </cell>
          <cell r="BA238" t="str">
            <v>1</v>
          </cell>
          <cell r="BB238">
            <v>1</v>
          </cell>
          <cell r="BD238">
            <v>0</v>
          </cell>
          <cell r="BE238" t="str">
            <v>M</v>
          </cell>
          <cell r="BF238" t="str">
            <v>N</v>
          </cell>
          <cell r="BG238">
            <v>50</v>
          </cell>
          <cell r="BH238">
            <v>39264</v>
          </cell>
        </row>
        <row r="239">
          <cell r="A239">
            <v>73150</v>
          </cell>
          <cell r="B239">
            <v>418</v>
          </cell>
          <cell r="C239" t="str">
            <v>C2000</v>
          </cell>
          <cell r="D239" t="str">
            <v>LEMAAOUI</v>
          </cell>
          <cell r="E239" t="str">
            <v>EL HACHMI</v>
          </cell>
          <cell r="F239">
            <v>21001</v>
          </cell>
          <cell r="G239" t="str">
            <v>6</v>
          </cell>
          <cell r="H239" t="str">
            <v>M'FASSIS</v>
          </cell>
          <cell r="I239" t="str">
            <v>D</v>
          </cell>
          <cell r="J239">
            <v>29948</v>
          </cell>
          <cell r="K239">
            <v>32143</v>
          </cell>
          <cell r="L239" t="str">
            <v>12</v>
          </cell>
          <cell r="M239" t="str">
            <v>C</v>
          </cell>
          <cell r="N239">
            <v>1</v>
          </cell>
          <cell r="P239">
            <v>21</v>
          </cell>
          <cell r="Q239" t="str">
            <v>O</v>
          </cell>
          <cell r="R239" t="str">
            <v>N</v>
          </cell>
          <cell r="S239">
            <v>0</v>
          </cell>
          <cell r="T239" t="str">
            <v>M</v>
          </cell>
          <cell r="U239" t="str">
            <v>ZAHRA BENT ABDESSLAM</v>
          </cell>
          <cell r="X239">
            <v>3</v>
          </cell>
          <cell r="Y239">
            <v>3</v>
          </cell>
          <cell r="AB239" t="str">
            <v>X</v>
          </cell>
          <cell r="AC239" t="str">
            <v>X</v>
          </cell>
          <cell r="AD239" t="str">
            <v>X</v>
          </cell>
          <cell r="AH239" t="str">
            <v>N</v>
          </cell>
          <cell r="AI239" t="str">
            <v>N</v>
          </cell>
          <cell r="AK239" t="str">
            <v>932 SBATA VILLAGE OCP - HATTANE</v>
          </cell>
          <cell r="AL239" t="str">
            <v>ILLETTRE</v>
          </cell>
          <cell r="AP239" t="str">
            <v>Q 13771</v>
          </cell>
          <cell r="AQ239">
            <v>0</v>
          </cell>
          <cell r="AR239" t="str">
            <v>C</v>
          </cell>
          <cell r="AU239" t="str">
            <v>/  /</v>
          </cell>
          <cell r="AW239">
            <v>39630</v>
          </cell>
          <cell r="AY239" t="str">
            <v>XX</v>
          </cell>
          <cell r="BA239" t="str">
            <v>1</v>
          </cell>
          <cell r="BB239">
            <v>1</v>
          </cell>
          <cell r="BD239">
            <v>0</v>
          </cell>
          <cell r="BE239" t="str">
            <v>M</v>
          </cell>
          <cell r="BF239" t="str">
            <v>N</v>
          </cell>
          <cell r="BG239">
            <v>11</v>
          </cell>
          <cell r="BH239">
            <v>39630</v>
          </cell>
        </row>
        <row r="240">
          <cell r="A240">
            <v>72313</v>
          </cell>
          <cell r="B240">
            <v>418</v>
          </cell>
          <cell r="C240" t="str">
            <v>C2000</v>
          </cell>
          <cell r="D240" t="str">
            <v>TAJAOUI</v>
          </cell>
          <cell r="E240" t="str">
            <v>EL KBIR</v>
          </cell>
          <cell r="F240">
            <v>20437</v>
          </cell>
          <cell r="G240" t="str">
            <v>6</v>
          </cell>
          <cell r="H240" t="str">
            <v>HATTANE</v>
          </cell>
          <cell r="I240" t="str">
            <v>D</v>
          </cell>
          <cell r="J240">
            <v>29523</v>
          </cell>
          <cell r="K240">
            <v>31717</v>
          </cell>
          <cell r="L240" t="str">
            <v>12</v>
          </cell>
          <cell r="M240" t="str">
            <v>C</v>
          </cell>
          <cell r="N240">
            <v>36100</v>
          </cell>
          <cell r="P240">
            <v>22</v>
          </cell>
          <cell r="Q240" t="str">
            <v>N</v>
          </cell>
          <cell r="R240" t="str">
            <v>0</v>
          </cell>
          <cell r="S240">
            <v>3</v>
          </cell>
          <cell r="T240" t="str">
            <v>M</v>
          </cell>
          <cell r="U240" t="str">
            <v>JEMMAA BENT ABDELKADER</v>
          </cell>
          <cell r="X240">
            <v>5</v>
          </cell>
          <cell r="Y240">
            <v>5</v>
          </cell>
          <cell r="AB240" t="str">
            <v>X</v>
          </cell>
          <cell r="AC240" t="str">
            <v>X</v>
          </cell>
          <cell r="AD240" t="str">
            <v>X</v>
          </cell>
          <cell r="AH240" t="str">
            <v>N</v>
          </cell>
          <cell r="AI240" t="str">
            <v>N</v>
          </cell>
          <cell r="AK240" t="str">
            <v>1265 VILLAGE OCP - HATTANE</v>
          </cell>
          <cell r="AL240" t="str">
            <v>ILLETTRE</v>
          </cell>
          <cell r="AP240" t="str">
            <v>Q 81150</v>
          </cell>
          <cell r="AQ240">
            <v>0</v>
          </cell>
          <cell r="AR240" t="str">
            <v>B</v>
          </cell>
          <cell r="AS240" t="str">
            <v>S.G.M.B - KHGA</v>
          </cell>
          <cell r="AT240" t="str">
            <v>0670009237907</v>
          </cell>
          <cell r="AU240" t="str">
            <v>/  /</v>
          </cell>
          <cell r="AW240">
            <v>39264</v>
          </cell>
          <cell r="AY240" t="str">
            <v>XX</v>
          </cell>
          <cell r="BA240" t="str">
            <v>1</v>
          </cell>
          <cell r="BB240">
            <v>1</v>
          </cell>
          <cell r="BD240">
            <v>0</v>
          </cell>
          <cell r="BE240" t="str">
            <v>M</v>
          </cell>
          <cell r="BF240" t="str">
            <v>N</v>
          </cell>
          <cell r="BG240">
            <v>0</v>
          </cell>
          <cell r="BH240">
            <v>39264</v>
          </cell>
          <cell r="BI240" t="str">
            <v>O</v>
          </cell>
        </row>
        <row r="241">
          <cell r="A241">
            <v>72307</v>
          </cell>
          <cell r="B241">
            <v>403</v>
          </cell>
          <cell r="C241" t="str">
            <v>C4152</v>
          </cell>
          <cell r="D241" t="str">
            <v>MARID</v>
          </cell>
          <cell r="E241" t="str">
            <v>BOUCHTA</v>
          </cell>
          <cell r="F241">
            <v>21186</v>
          </cell>
          <cell r="G241" t="str">
            <v>1</v>
          </cell>
          <cell r="H241" t="str">
            <v>KHOURIBGA</v>
          </cell>
          <cell r="I241" t="str">
            <v>D</v>
          </cell>
          <cell r="J241">
            <v>29522</v>
          </cell>
          <cell r="K241">
            <v>36526</v>
          </cell>
          <cell r="L241" t="str">
            <v>22</v>
          </cell>
          <cell r="M241" t="str">
            <v>A</v>
          </cell>
          <cell r="N241">
            <v>36526</v>
          </cell>
          <cell r="P241">
            <v>22</v>
          </cell>
          <cell r="Q241" t="str">
            <v>O</v>
          </cell>
          <cell r="R241" t="str">
            <v>N</v>
          </cell>
          <cell r="S241">
            <v>0</v>
          </cell>
          <cell r="T241" t="str">
            <v>M</v>
          </cell>
          <cell r="U241" t="str">
            <v>LEBBANE RAHMA</v>
          </cell>
          <cell r="X241">
            <v>3</v>
          </cell>
          <cell r="Y241">
            <v>3</v>
          </cell>
          <cell r="Z241" t="str">
            <v>O</v>
          </cell>
          <cell r="AA241" t="str">
            <v>24/12/94</v>
          </cell>
          <cell r="AB241" t="str">
            <v>X</v>
          </cell>
          <cell r="AC241" t="str">
            <v>X</v>
          </cell>
          <cell r="AD241" t="str">
            <v>X</v>
          </cell>
          <cell r="AH241" t="str">
            <v>N</v>
          </cell>
          <cell r="AI241" t="str">
            <v>N</v>
          </cell>
          <cell r="AK241" t="str">
            <v>49 RUE LAKHZAZRA HAY ALFATH KHOURIBGA</v>
          </cell>
          <cell r="AL241" t="str">
            <v>ILLETTRE</v>
          </cell>
          <cell r="AP241" t="str">
            <v>Q 73407</v>
          </cell>
          <cell r="AQ241">
            <v>0</v>
          </cell>
          <cell r="AR241" t="str">
            <v>B</v>
          </cell>
          <cell r="AS241" t="str">
            <v>CRE. MAROC KHGA</v>
          </cell>
          <cell r="AT241" t="str">
            <v>820010025832</v>
          </cell>
          <cell r="AU241" t="str">
            <v>/  /</v>
          </cell>
          <cell r="AW241">
            <v>39630</v>
          </cell>
          <cell r="AY241" t="str">
            <v>XX</v>
          </cell>
          <cell r="BA241" t="str">
            <v>1</v>
          </cell>
          <cell r="BB241">
            <v>0</v>
          </cell>
          <cell r="BD241">
            <v>0</v>
          </cell>
          <cell r="BE241" t="str">
            <v>M</v>
          </cell>
          <cell r="BF241" t="str">
            <v>N</v>
          </cell>
          <cell r="BG241">
            <v>10</v>
          </cell>
          <cell r="BH241">
            <v>39630</v>
          </cell>
        </row>
        <row r="242">
          <cell r="A242">
            <v>72305</v>
          </cell>
          <cell r="B242">
            <v>414</v>
          </cell>
          <cell r="C242" t="str">
            <v>C2050</v>
          </cell>
          <cell r="D242" t="str">
            <v>EL MOUSTAQIB</v>
          </cell>
          <cell r="E242" t="str">
            <v>EL MATI</v>
          </cell>
          <cell r="F242">
            <v>20857</v>
          </cell>
          <cell r="G242" t="str">
            <v>2</v>
          </cell>
          <cell r="H242" t="str">
            <v>OULED BOUALI</v>
          </cell>
          <cell r="I242" t="str">
            <v>D</v>
          </cell>
          <cell r="J242">
            <v>29524</v>
          </cell>
          <cell r="K242">
            <v>31717</v>
          </cell>
          <cell r="L242" t="str">
            <v>12</v>
          </cell>
          <cell r="M242" t="str">
            <v>C</v>
          </cell>
          <cell r="N242">
            <v>36100</v>
          </cell>
          <cell r="P242">
            <v>22</v>
          </cell>
          <cell r="Q242" t="str">
            <v>O</v>
          </cell>
          <cell r="R242" t="str">
            <v>N</v>
          </cell>
          <cell r="S242">
            <v>0</v>
          </cell>
          <cell r="T242" t="str">
            <v>M</v>
          </cell>
          <cell r="U242" t="str">
            <v>JAMILA BENT EL HOUSSINE</v>
          </cell>
          <cell r="X242">
            <v>4</v>
          </cell>
          <cell r="Y242">
            <v>4</v>
          </cell>
          <cell r="AB242" t="str">
            <v>X</v>
          </cell>
          <cell r="AC242" t="str">
            <v>X</v>
          </cell>
          <cell r="AD242" t="str">
            <v>X</v>
          </cell>
          <cell r="AH242" t="str">
            <v>N</v>
          </cell>
          <cell r="AI242" t="str">
            <v>N</v>
          </cell>
          <cell r="AK242" t="str">
            <v>19 ANCI.TACHERON VILLAGE OCP - BOUJNIBA</v>
          </cell>
          <cell r="AL242" t="str">
            <v>ILLETTRE</v>
          </cell>
          <cell r="AP242" t="str">
            <v>Q 28532</v>
          </cell>
          <cell r="AQ242">
            <v>0</v>
          </cell>
          <cell r="AR242" t="str">
            <v>C</v>
          </cell>
          <cell r="AU242" t="str">
            <v>/  /</v>
          </cell>
          <cell r="AW242">
            <v>39264</v>
          </cell>
          <cell r="AY242" t="str">
            <v>XX</v>
          </cell>
          <cell r="BA242" t="str">
            <v>2</v>
          </cell>
          <cell r="BB242">
            <v>1</v>
          </cell>
          <cell r="BD242">
            <v>0</v>
          </cell>
          <cell r="BE242" t="str">
            <v>M</v>
          </cell>
          <cell r="BF242" t="str">
            <v>N</v>
          </cell>
          <cell r="BG242">
            <v>50</v>
          </cell>
          <cell r="BH242">
            <v>39264</v>
          </cell>
          <cell r="BI242" t="str">
            <v>O</v>
          </cell>
        </row>
        <row r="243">
          <cell r="A243">
            <v>71274</v>
          </cell>
          <cell r="B243">
            <v>428</v>
          </cell>
          <cell r="C243" t="str">
            <v>C4152</v>
          </cell>
          <cell r="D243" t="str">
            <v>JAMAD</v>
          </cell>
          <cell r="E243" t="str">
            <v>MOHAMMED</v>
          </cell>
          <cell r="F243">
            <v>19540</v>
          </cell>
          <cell r="G243" t="str">
            <v>3</v>
          </cell>
          <cell r="H243" t="str">
            <v>BOUJNIBA</v>
          </cell>
          <cell r="I243" t="str">
            <v>D</v>
          </cell>
          <cell r="J243">
            <v>29056</v>
          </cell>
          <cell r="K243">
            <v>36526</v>
          </cell>
          <cell r="L243" t="str">
            <v>22</v>
          </cell>
          <cell r="M243" t="str">
            <v>A</v>
          </cell>
          <cell r="N243">
            <v>36526</v>
          </cell>
          <cell r="P243">
            <v>23</v>
          </cell>
          <cell r="Q243" t="str">
            <v>O</v>
          </cell>
          <cell r="R243" t="str">
            <v>N</v>
          </cell>
          <cell r="S243">
            <v>0</v>
          </cell>
          <cell r="T243" t="str">
            <v>M</v>
          </cell>
          <cell r="U243" t="str">
            <v>OUARDIA BENT MED</v>
          </cell>
          <cell r="X243">
            <v>7</v>
          </cell>
          <cell r="Y243">
            <v>4</v>
          </cell>
          <cell r="AB243" t="str">
            <v>X</v>
          </cell>
          <cell r="AC243" t="str">
            <v>X</v>
          </cell>
          <cell r="AD243" t="str">
            <v>X</v>
          </cell>
          <cell r="AH243" t="str">
            <v>N</v>
          </cell>
          <cell r="AI243" t="str">
            <v>N</v>
          </cell>
          <cell r="AK243" t="str">
            <v>1239 VILLAGE O C P HATTANE</v>
          </cell>
          <cell r="AL243" t="str">
            <v>CE2</v>
          </cell>
          <cell r="AP243" t="str">
            <v>Q 32555</v>
          </cell>
          <cell r="AQ243">
            <v>0</v>
          </cell>
          <cell r="AR243" t="str">
            <v>C</v>
          </cell>
          <cell r="AU243" t="str">
            <v>/  /</v>
          </cell>
          <cell r="AW243">
            <v>40873</v>
          </cell>
          <cell r="AX243">
            <v>40873</v>
          </cell>
          <cell r="AY243" t="str">
            <v>XX</v>
          </cell>
          <cell r="BA243" t="str">
            <v>1</v>
          </cell>
          <cell r="BB243">
            <v>1</v>
          </cell>
          <cell r="BD243">
            <v>0</v>
          </cell>
          <cell r="BE243" t="str">
            <v>M</v>
          </cell>
          <cell r="BF243" t="str">
            <v>N</v>
          </cell>
          <cell r="BG243">
            <v>11</v>
          </cell>
          <cell r="BH243">
            <v>38718</v>
          </cell>
        </row>
        <row r="244">
          <cell r="A244">
            <v>71268</v>
          </cell>
          <cell r="B244">
            <v>401</v>
          </cell>
          <cell r="C244" t="str">
            <v>C4152</v>
          </cell>
          <cell r="D244" t="str">
            <v>EL KHARMOUDI</v>
          </cell>
          <cell r="E244" t="str">
            <v>EL KBIR</v>
          </cell>
          <cell r="F244">
            <v>20636</v>
          </cell>
          <cell r="G244" t="str">
            <v>3</v>
          </cell>
          <cell r="H244" t="str">
            <v>OULAD EL ATI</v>
          </cell>
          <cell r="I244" t="str">
            <v>D</v>
          </cell>
          <cell r="J244">
            <v>29052</v>
          </cell>
          <cell r="K244">
            <v>36526</v>
          </cell>
          <cell r="L244" t="str">
            <v>22</v>
          </cell>
          <cell r="M244" t="str">
            <v>A</v>
          </cell>
          <cell r="N244">
            <v>36526</v>
          </cell>
          <cell r="P244">
            <v>23</v>
          </cell>
          <cell r="Q244" t="str">
            <v>O</v>
          </cell>
          <cell r="R244" t="str">
            <v>N</v>
          </cell>
          <cell r="S244">
            <v>0</v>
          </cell>
          <cell r="T244" t="str">
            <v>M</v>
          </cell>
          <cell r="U244" t="str">
            <v>EL GHADFA BENT KADDOUR</v>
          </cell>
          <cell r="X244">
            <v>7</v>
          </cell>
          <cell r="Y244">
            <v>6</v>
          </cell>
          <cell r="AB244" t="str">
            <v>X</v>
          </cell>
          <cell r="AC244" t="str">
            <v>X</v>
          </cell>
          <cell r="AD244" t="str">
            <v>X</v>
          </cell>
          <cell r="AH244" t="str">
            <v>N</v>
          </cell>
          <cell r="AI244" t="str">
            <v>N</v>
          </cell>
          <cell r="AK244" t="str">
            <v>30/31 VILLAGE O.C.P - BOUJNIBA</v>
          </cell>
          <cell r="AL244" t="str">
            <v>ILLETTRE</v>
          </cell>
          <cell r="AP244" t="str">
            <v>Q 80380</v>
          </cell>
          <cell r="AQ244">
            <v>0</v>
          </cell>
          <cell r="AR244" t="str">
            <v>C</v>
          </cell>
          <cell r="AU244" t="str">
            <v>/  /</v>
          </cell>
          <cell r="AW244">
            <v>38899</v>
          </cell>
          <cell r="AY244" t="str">
            <v>XX</v>
          </cell>
          <cell r="BA244" t="str">
            <v>0</v>
          </cell>
          <cell r="BB244">
            <v>1</v>
          </cell>
          <cell r="BD244">
            <v>0</v>
          </cell>
          <cell r="BE244" t="str">
            <v>M</v>
          </cell>
          <cell r="BF244" t="str">
            <v>N</v>
          </cell>
          <cell r="BG244">
            <v>51</v>
          </cell>
          <cell r="BH244">
            <v>38899</v>
          </cell>
        </row>
        <row r="245">
          <cell r="A245">
            <v>72297</v>
          </cell>
          <cell r="B245">
            <v>406</v>
          </cell>
          <cell r="C245" t="str">
            <v>C3152</v>
          </cell>
          <cell r="D245" t="str">
            <v>NOQRA</v>
          </cell>
          <cell r="E245" t="str">
            <v>ABDERRAHIM</v>
          </cell>
          <cell r="F245">
            <v>20180</v>
          </cell>
          <cell r="G245" t="str">
            <v>1</v>
          </cell>
          <cell r="H245" t="str">
            <v>KHOURIBGA</v>
          </cell>
          <cell r="I245" t="str">
            <v>D</v>
          </cell>
          <cell r="J245">
            <v>29510</v>
          </cell>
          <cell r="K245">
            <v>36526</v>
          </cell>
          <cell r="L245" t="str">
            <v>21</v>
          </cell>
          <cell r="M245" t="str">
            <v>A</v>
          </cell>
          <cell r="N245">
            <v>36526</v>
          </cell>
          <cell r="P245">
            <v>22</v>
          </cell>
          <cell r="Q245" t="str">
            <v>O</v>
          </cell>
          <cell r="R245" t="str">
            <v>N</v>
          </cell>
          <cell r="S245">
            <v>0</v>
          </cell>
          <cell r="T245" t="str">
            <v>M</v>
          </cell>
          <cell r="U245" t="str">
            <v>HOUSSAINI RACHIDA BT MOHAMED</v>
          </cell>
          <cell r="X245">
            <v>5</v>
          </cell>
          <cell r="Y245">
            <v>5</v>
          </cell>
          <cell r="AB245" t="str">
            <v>X</v>
          </cell>
          <cell r="AC245" t="str">
            <v>X</v>
          </cell>
          <cell r="AD245" t="str">
            <v>X</v>
          </cell>
          <cell r="AH245" t="str">
            <v>N</v>
          </cell>
          <cell r="AI245" t="str">
            <v>N</v>
          </cell>
          <cell r="AK245" t="str">
            <v>N 485 VILLAGE O C P BOUJNIBA</v>
          </cell>
          <cell r="AL245" t="str">
            <v>CM2</v>
          </cell>
          <cell r="AN245" t="str">
            <v>57═00═78</v>
          </cell>
          <cell r="AP245" t="str">
            <v>Q 8062</v>
          </cell>
          <cell r="AQ245">
            <v>0</v>
          </cell>
          <cell r="AR245" t="str">
            <v>C</v>
          </cell>
          <cell r="AU245" t="str">
            <v>/  /</v>
          </cell>
          <cell r="AW245">
            <v>39264</v>
          </cell>
          <cell r="AY245" t="str">
            <v>XX</v>
          </cell>
          <cell r="BA245" t="str">
            <v>1</v>
          </cell>
          <cell r="BB245">
            <v>1</v>
          </cell>
          <cell r="BD245">
            <v>0</v>
          </cell>
          <cell r="BE245" t="str">
            <v>M</v>
          </cell>
          <cell r="BF245" t="str">
            <v>N</v>
          </cell>
          <cell r="BG245">
            <v>50</v>
          </cell>
          <cell r="BH245">
            <v>39264</v>
          </cell>
        </row>
        <row r="246">
          <cell r="A246">
            <v>71247</v>
          </cell>
          <cell r="B246">
            <v>446</v>
          </cell>
          <cell r="C246" t="str">
            <v>C3050</v>
          </cell>
          <cell r="D246" t="str">
            <v>HAIZOUN</v>
          </cell>
          <cell r="E246" t="str">
            <v>ABDELHADI</v>
          </cell>
          <cell r="F246">
            <v>21405</v>
          </cell>
          <cell r="G246" t="str">
            <v>1</v>
          </cell>
          <cell r="H246" t="str">
            <v>KHOURIBGA</v>
          </cell>
          <cell r="I246" t="str">
            <v>D</v>
          </cell>
          <cell r="J246">
            <v>29048</v>
          </cell>
          <cell r="K246">
            <v>37377</v>
          </cell>
          <cell r="L246" t="str">
            <v>21</v>
          </cell>
          <cell r="M246" t="str">
            <v>A</v>
          </cell>
          <cell r="N246">
            <v>37377</v>
          </cell>
          <cell r="P246">
            <v>23</v>
          </cell>
          <cell r="Q246" t="str">
            <v>O</v>
          </cell>
          <cell r="R246" t="str">
            <v>N</v>
          </cell>
          <cell r="S246">
            <v>0</v>
          </cell>
          <cell r="T246" t="str">
            <v>M</v>
          </cell>
          <cell r="U246" t="str">
            <v>BOUSDIRA GHAZALA BENT RAHAL</v>
          </cell>
          <cell r="X246">
            <v>3</v>
          </cell>
          <cell r="Y246">
            <v>3</v>
          </cell>
          <cell r="AB246" t="str">
            <v>X</v>
          </cell>
          <cell r="AC246" t="str">
            <v>X</v>
          </cell>
          <cell r="AD246" t="str">
            <v>X</v>
          </cell>
          <cell r="AH246" t="str">
            <v>N</v>
          </cell>
          <cell r="AI246" t="str">
            <v>N</v>
          </cell>
          <cell r="AK246" t="str">
            <v>708 VILLAGE O.C.P - BOULANOIR</v>
          </cell>
          <cell r="AL246" t="str">
            <v>CM2</v>
          </cell>
          <cell r="AP246" t="str">
            <v>Q 85265</v>
          </cell>
          <cell r="AQ246">
            <v>0</v>
          </cell>
          <cell r="AR246" t="str">
            <v>B</v>
          </cell>
          <cell r="AS246" t="str">
            <v>BMCE - KHGA</v>
          </cell>
          <cell r="AT246" t="str">
            <v>4000001200001432456</v>
          </cell>
          <cell r="AU246" t="str">
            <v>/  /</v>
          </cell>
          <cell r="AW246">
            <v>39814</v>
          </cell>
          <cell r="AY246" t="str">
            <v>XX</v>
          </cell>
          <cell r="BA246" t="str">
            <v>1</v>
          </cell>
          <cell r="BB246">
            <v>1</v>
          </cell>
          <cell r="BD246">
            <v>0</v>
          </cell>
          <cell r="BE246" t="str">
            <v>M</v>
          </cell>
          <cell r="BF246" t="str">
            <v>N</v>
          </cell>
          <cell r="BG246">
            <v>40</v>
          </cell>
          <cell r="BH246">
            <v>39814</v>
          </cell>
        </row>
        <row r="247">
          <cell r="A247">
            <v>71243</v>
          </cell>
          <cell r="B247">
            <v>418</v>
          </cell>
          <cell r="C247" t="str">
            <v>C3152</v>
          </cell>
          <cell r="D247" t="str">
            <v>EL KOURSI</v>
          </cell>
          <cell r="E247" t="str">
            <v>AHMED</v>
          </cell>
          <cell r="F247">
            <v>19540</v>
          </cell>
          <cell r="G247" t="str">
            <v>6</v>
          </cell>
          <cell r="H247" t="str">
            <v>M'FASSIS</v>
          </cell>
          <cell r="I247" t="str">
            <v>D</v>
          </cell>
          <cell r="J247">
            <v>29045</v>
          </cell>
          <cell r="K247">
            <v>35977</v>
          </cell>
          <cell r="L247" t="str">
            <v>21</v>
          </cell>
          <cell r="M247" t="str">
            <v>B</v>
          </cell>
          <cell r="N247">
            <v>35977</v>
          </cell>
          <cell r="P247">
            <v>23</v>
          </cell>
          <cell r="Q247" t="str">
            <v>O</v>
          </cell>
          <cell r="R247" t="str">
            <v>N</v>
          </cell>
          <cell r="S247">
            <v>0</v>
          </cell>
          <cell r="T247" t="str">
            <v>M</v>
          </cell>
          <cell r="U247" t="str">
            <v>ATIKA BENT SALAH</v>
          </cell>
          <cell r="X247">
            <v>4</v>
          </cell>
          <cell r="Y247">
            <v>4</v>
          </cell>
          <cell r="AB247" t="str">
            <v>X</v>
          </cell>
          <cell r="AC247" t="str">
            <v>X</v>
          </cell>
          <cell r="AD247" t="str">
            <v>X</v>
          </cell>
          <cell r="AH247" t="str">
            <v>N</v>
          </cell>
          <cell r="AI247" t="str">
            <v>N</v>
          </cell>
          <cell r="AK247" t="str">
            <v>972 VILLAGE OCP SBATA - HATTANE</v>
          </cell>
          <cell r="AL247" t="str">
            <v>ILLETTRE</v>
          </cell>
          <cell r="AP247" t="str">
            <v>Q 82206</v>
          </cell>
          <cell r="AQ247">
            <v>0</v>
          </cell>
          <cell r="AR247" t="str">
            <v>B</v>
          </cell>
          <cell r="AS247" t="str">
            <v>POPULAIRE  KHGA</v>
          </cell>
          <cell r="AT247" t="str">
            <v>2111112820520000</v>
          </cell>
          <cell r="AU247" t="str">
            <v>/  /</v>
          </cell>
          <cell r="AW247">
            <v>38718</v>
          </cell>
          <cell r="AY247" t="str">
            <v>XX</v>
          </cell>
          <cell r="BA247" t="str">
            <v>1</v>
          </cell>
          <cell r="BB247">
            <v>1</v>
          </cell>
          <cell r="BD247">
            <v>0</v>
          </cell>
          <cell r="BE247" t="str">
            <v>M</v>
          </cell>
          <cell r="BF247" t="str">
            <v>N</v>
          </cell>
          <cell r="BG247">
            <v>10</v>
          </cell>
          <cell r="BH247">
            <v>38718</v>
          </cell>
        </row>
        <row r="248">
          <cell r="A248">
            <v>71239</v>
          </cell>
          <cell r="B248">
            <v>428</v>
          </cell>
          <cell r="C248" t="str">
            <v>C3152</v>
          </cell>
          <cell r="D248" t="str">
            <v>MAMMASSI</v>
          </cell>
          <cell r="E248" t="str">
            <v>BOUABID</v>
          </cell>
          <cell r="F248">
            <v>19175</v>
          </cell>
          <cell r="G248" t="str">
            <v>6</v>
          </cell>
          <cell r="H248" t="str">
            <v>M'FASSIS</v>
          </cell>
          <cell r="I248" t="str">
            <v>D</v>
          </cell>
          <cell r="J248">
            <v>29045</v>
          </cell>
          <cell r="K248">
            <v>36526</v>
          </cell>
          <cell r="L248" t="str">
            <v>21</v>
          </cell>
          <cell r="M248" t="str">
            <v>A</v>
          </cell>
          <cell r="N248">
            <v>36526</v>
          </cell>
          <cell r="P248">
            <v>23</v>
          </cell>
          <cell r="Q248" t="str">
            <v>O</v>
          </cell>
          <cell r="R248" t="str">
            <v>N</v>
          </cell>
          <cell r="S248">
            <v>0</v>
          </cell>
          <cell r="T248" t="str">
            <v>M</v>
          </cell>
          <cell r="U248" t="str">
            <v>MALIKA BENT ABDESSLEM</v>
          </cell>
          <cell r="X248">
            <v>5</v>
          </cell>
          <cell r="Y248">
            <v>4</v>
          </cell>
          <cell r="AB248" t="str">
            <v>X</v>
          </cell>
          <cell r="AC248" t="str">
            <v>X</v>
          </cell>
          <cell r="AD248" t="str">
            <v>X</v>
          </cell>
          <cell r="AH248" t="str">
            <v>N</v>
          </cell>
          <cell r="AI248" t="str">
            <v>N</v>
          </cell>
          <cell r="AK248" t="str">
            <v>1060 SBATTA VILLAGE O.C.P - HATTANE</v>
          </cell>
          <cell r="AL248" t="str">
            <v>ILLETRE</v>
          </cell>
          <cell r="AP248" t="str">
            <v>Q 27063</v>
          </cell>
          <cell r="AQ248">
            <v>0</v>
          </cell>
          <cell r="AR248" t="str">
            <v>B</v>
          </cell>
          <cell r="AS248" t="str">
            <v>WAFABANK - KHGA</v>
          </cell>
          <cell r="AT248" t="str">
            <v>1220301198122</v>
          </cell>
          <cell r="AU248" t="str">
            <v>/  /</v>
          </cell>
          <cell r="AW248">
            <v>38718</v>
          </cell>
          <cell r="AY248" t="str">
            <v>XX</v>
          </cell>
          <cell r="BA248" t="str">
            <v>1</v>
          </cell>
          <cell r="BB248">
            <v>1</v>
          </cell>
          <cell r="BD248">
            <v>0</v>
          </cell>
          <cell r="BE248" t="str">
            <v>M</v>
          </cell>
          <cell r="BF248" t="str">
            <v>N</v>
          </cell>
          <cell r="BG248">
            <v>10</v>
          </cell>
          <cell r="BH248">
            <v>38718</v>
          </cell>
        </row>
        <row r="249">
          <cell r="A249">
            <v>71168</v>
          </cell>
          <cell r="B249">
            <v>406</v>
          </cell>
          <cell r="C249" t="str">
            <v>C3152</v>
          </cell>
          <cell r="D249" t="str">
            <v>ZAKANI</v>
          </cell>
          <cell r="E249" t="str">
            <v>LARBI</v>
          </cell>
          <cell r="F249">
            <v>20636</v>
          </cell>
          <cell r="G249" t="str">
            <v>1</v>
          </cell>
          <cell r="H249" t="str">
            <v>KHOURIBGA</v>
          </cell>
          <cell r="I249" t="str">
            <v>D</v>
          </cell>
          <cell r="J249">
            <v>28984</v>
          </cell>
          <cell r="K249">
            <v>37377</v>
          </cell>
          <cell r="L249" t="str">
            <v>21</v>
          </cell>
          <cell r="M249" t="str">
            <v>A</v>
          </cell>
          <cell r="N249">
            <v>37377</v>
          </cell>
          <cell r="P249">
            <v>23</v>
          </cell>
          <cell r="Q249" t="str">
            <v>N</v>
          </cell>
          <cell r="R249" t="str">
            <v>O</v>
          </cell>
          <cell r="S249">
            <v>3</v>
          </cell>
          <cell r="T249" t="str">
            <v>M</v>
          </cell>
          <cell r="U249" t="str">
            <v>FATIMA BENT ABDELKADER</v>
          </cell>
          <cell r="X249">
            <v>5</v>
          </cell>
          <cell r="Y249">
            <v>5</v>
          </cell>
          <cell r="AB249" t="str">
            <v>X</v>
          </cell>
          <cell r="AC249" t="str">
            <v>X</v>
          </cell>
          <cell r="AD249" t="str">
            <v>X</v>
          </cell>
          <cell r="AH249" t="str">
            <v>N</v>
          </cell>
          <cell r="AI249" t="str">
            <v>N</v>
          </cell>
          <cell r="AK249" t="str">
            <v>OULED AMER M FASSIS CAIDAT HATTANE</v>
          </cell>
          <cell r="AL249" t="str">
            <v>CM2</v>
          </cell>
          <cell r="AP249" t="str">
            <v>Q 62942</v>
          </cell>
          <cell r="AQ249">
            <v>0</v>
          </cell>
          <cell r="AR249" t="str">
            <v>C</v>
          </cell>
          <cell r="AU249" t="str">
            <v>/  /</v>
          </cell>
          <cell r="AW249">
            <v>38899</v>
          </cell>
          <cell r="AY249" t="str">
            <v>XX</v>
          </cell>
          <cell r="BA249" t="str">
            <v>1</v>
          </cell>
          <cell r="BB249">
            <v>1</v>
          </cell>
          <cell r="BD249">
            <v>0</v>
          </cell>
          <cell r="BE249" t="str">
            <v>M</v>
          </cell>
          <cell r="BF249" t="str">
            <v>N</v>
          </cell>
          <cell r="BG249">
            <v>0</v>
          </cell>
          <cell r="BH249">
            <v>38899</v>
          </cell>
          <cell r="BI249" t="str">
            <v>O</v>
          </cell>
        </row>
        <row r="250">
          <cell r="A250">
            <v>71140</v>
          </cell>
          <cell r="B250">
            <v>428</v>
          </cell>
          <cell r="C250" t="str">
            <v>C3152</v>
          </cell>
          <cell r="D250" t="str">
            <v>LAQOUAISAH</v>
          </cell>
          <cell r="E250" t="str">
            <v>MOHAMED</v>
          </cell>
          <cell r="F250">
            <v>17714</v>
          </cell>
          <cell r="G250" t="str">
            <v>6</v>
          </cell>
          <cell r="H250" t="str">
            <v>OULED AZZOUZ</v>
          </cell>
          <cell r="I250" t="str">
            <v>D</v>
          </cell>
          <cell r="J250">
            <v>28971</v>
          </cell>
          <cell r="K250">
            <v>37012</v>
          </cell>
          <cell r="L250" t="str">
            <v>21</v>
          </cell>
          <cell r="M250" t="str">
            <v>A</v>
          </cell>
          <cell r="N250">
            <v>37012</v>
          </cell>
          <cell r="P250">
            <v>24</v>
          </cell>
          <cell r="Q250" t="str">
            <v>N</v>
          </cell>
          <cell r="R250" t="str">
            <v>O</v>
          </cell>
          <cell r="S250">
            <v>3</v>
          </cell>
          <cell r="T250" t="str">
            <v>M</v>
          </cell>
          <cell r="U250" t="str">
            <v>LAKBIRA BENT MOHAMED</v>
          </cell>
          <cell r="X250">
            <v>11</v>
          </cell>
          <cell r="Y250">
            <v>2</v>
          </cell>
          <cell r="AB250" t="str">
            <v>X</v>
          </cell>
          <cell r="AC250" t="str">
            <v>X</v>
          </cell>
          <cell r="AD250" t="str">
            <v>X</v>
          </cell>
          <cell r="AH250" t="str">
            <v>N</v>
          </cell>
          <cell r="AI250" t="str">
            <v>N</v>
          </cell>
          <cell r="AK250" t="str">
            <v>OULED CHAOUI OULED AZZOUZ</v>
          </cell>
          <cell r="AL250" t="str">
            <v>ILLETRE</v>
          </cell>
          <cell r="AP250" t="str">
            <v>Q 33922</v>
          </cell>
          <cell r="AQ250">
            <v>0</v>
          </cell>
          <cell r="AR250" t="str">
            <v>C</v>
          </cell>
          <cell r="AU250" t="str">
            <v>/  /</v>
          </cell>
          <cell r="AW250">
            <v>37803</v>
          </cell>
          <cell r="AY250" t="str">
            <v>XX</v>
          </cell>
          <cell r="BA250" t="str">
            <v>1</v>
          </cell>
          <cell r="BB250">
            <v>1</v>
          </cell>
          <cell r="BD250">
            <v>0</v>
          </cell>
          <cell r="BE250" t="str">
            <v>M</v>
          </cell>
          <cell r="BF250" t="str">
            <v>N</v>
          </cell>
          <cell r="BG250">
            <v>0</v>
          </cell>
          <cell r="BH250">
            <v>37803</v>
          </cell>
          <cell r="BI250" t="str">
            <v>O</v>
          </cell>
        </row>
        <row r="251">
          <cell r="A251">
            <v>70120</v>
          </cell>
          <cell r="B251">
            <v>418</v>
          </cell>
          <cell r="C251" t="str">
            <v>C4152</v>
          </cell>
          <cell r="D251" t="str">
            <v>LAMRI</v>
          </cell>
          <cell r="E251" t="str">
            <v>LAHSEN</v>
          </cell>
          <cell r="F251">
            <v>19719</v>
          </cell>
          <cell r="H251" t="str">
            <v>OUJDA</v>
          </cell>
          <cell r="I251" t="str">
            <v>D</v>
          </cell>
          <cell r="J251">
            <v>28485</v>
          </cell>
          <cell r="K251">
            <v>36526</v>
          </cell>
          <cell r="L251" t="str">
            <v>22</v>
          </cell>
          <cell r="M251" t="str">
            <v>A</v>
          </cell>
          <cell r="N251">
            <v>36526</v>
          </cell>
          <cell r="P251">
            <v>25</v>
          </cell>
          <cell r="Q251" t="str">
            <v>O</v>
          </cell>
          <cell r="R251" t="str">
            <v>N</v>
          </cell>
          <cell r="S251">
            <v>0</v>
          </cell>
          <cell r="T251" t="str">
            <v>M</v>
          </cell>
          <cell r="U251" t="str">
            <v>BEN AMRI EZ ZAHRA</v>
          </cell>
          <cell r="X251">
            <v>3</v>
          </cell>
          <cell r="Y251">
            <v>2</v>
          </cell>
          <cell r="AB251" t="str">
            <v>X</v>
          </cell>
          <cell r="AC251" t="str">
            <v>X</v>
          </cell>
          <cell r="AD251" t="str">
            <v>X</v>
          </cell>
          <cell r="AH251" t="str">
            <v>N</v>
          </cell>
          <cell r="AI251" t="str">
            <v>N</v>
          </cell>
          <cell r="AK251" t="str">
            <v>N 1358 VILLAGE O C P HATTANE</v>
          </cell>
          <cell r="AL251" t="str">
            <v>CM1</v>
          </cell>
          <cell r="AP251" t="str">
            <v>F 59971</v>
          </cell>
          <cell r="AQ251">
            <v>0</v>
          </cell>
          <cell r="AR251" t="str">
            <v>B</v>
          </cell>
          <cell r="AS251" t="str">
            <v>BMCE - KHGA</v>
          </cell>
          <cell r="AT251" t="str">
            <v>4000001200001291612</v>
          </cell>
          <cell r="AU251" t="str">
            <v>/  /</v>
          </cell>
          <cell r="AW251">
            <v>38169</v>
          </cell>
          <cell r="AY251" t="str">
            <v>XX</v>
          </cell>
          <cell r="BA251" t="str">
            <v>1</v>
          </cell>
          <cell r="BB251">
            <v>1</v>
          </cell>
          <cell r="BD251">
            <v>0</v>
          </cell>
          <cell r="BE251" t="str">
            <v>M</v>
          </cell>
          <cell r="BF251" t="str">
            <v>N</v>
          </cell>
          <cell r="BG251">
            <v>10</v>
          </cell>
          <cell r="BH251">
            <v>38169</v>
          </cell>
        </row>
        <row r="252">
          <cell r="A252">
            <v>70054</v>
          </cell>
          <cell r="B252">
            <v>428</v>
          </cell>
          <cell r="C252" t="str">
            <v>C6152</v>
          </cell>
          <cell r="D252" t="str">
            <v>EL ADLI</v>
          </cell>
          <cell r="E252" t="str">
            <v>ABDELHAK</v>
          </cell>
          <cell r="F252">
            <v>19540</v>
          </cell>
          <cell r="H252" t="str">
            <v>TAOUNAT</v>
          </cell>
          <cell r="I252" t="str">
            <v>D</v>
          </cell>
          <cell r="J252">
            <v>28472</v>
          </cell>
          <cell r="K252">
            <v>37043</v>
          </cell>
          <cell r="L252" t="str">
            <v>32</v>
          </cell>
          <cell r="M252" t="str">
            <v>A</v>
          </cell>
          <cell r="N252">
            <v>37043</v>
          </cell>
          <cell r="P252">
            <v>25</v>
          </cell>
          <cell r="Q252" t="str">
            <v>O</v>
          </cell>
          <cell r="R252" t="str">
            <v>N</v>
          </cell>
          <cell r="S252">
            <v>0</v>
          </cell>
          <cell r="T252" t="str">
            <v>M</v>
          </cell>
          <cell r="U252" t="str">
            <v>EZ ZOUBI HAFIDA</v>
          </cell>
          <cell r="X252">
            <v>5</v>
          </cell>
          <cell r="Y252">
            <v>5</v>
          </cell>
          <cell r="AB252" t="str">
            <v>X</v>
          </cell>
          <cell r="AC252" t="str">
            <v>X</v>
          </cell>
          <cell r="AD252" t="str">
            <v>X</v>
          </cell>
          <cell r="AH252" t="str">
            <v>N</v>
          </cell>
          <cell r="AI252" t="str">
            <v>N</v>
          </cell>
          <cell r="AK252" t="str">
            <v>365 VILLAGE OCP - BOULANOUAR</v>
          </cell>
          <cell r="AL252" t="str">
            <v>1AS</v>
          </cell>
          <cell r="AM252" t="str">
            <v>CEP</v>
          </cell>
          <cell r="AP252" t="str">
            <v>A 58417</v>
          </cell>
          <cell r="AQ252">
            <v>0</v>
          </cell>
          <cell r="AR252" t="str">
            <v>B</v>
          </cell>
          <cell r="AS252" t="str">
            <v>POPULAIRE KHGA</v>
          </cell>
          <cell r="AT252" t="str">
            <v>2111112802350004</v>
          </cell>
          <cell r="AU252" t="str">
            <v>/  /</v>
          </cell>
          <cell r="AW252">
            <v>38169</v>
          </cell>
          <cell r="AY252" t="str">
            <v>O+</v>
          </cell>
          <cell r="BA252" t="str">
            <v>0</v>
          </cell>
          <cell r="BB252">
            <v>1</v>
          </cell>
          <cell r="BD252">
            <v>0</v>
          </cell>
          <cell r="BE252" t="str">
            <v>M</v>
          </cell>
          <cell r="BF252" t="str">
            <v>N</v>
          </cell>
          <cell r="BG252">
            <v>4</v>
          </cell>
          <cell r="BH252">
            <v>38169</v>
          </cell>
        </row>
        <row r="253">
          <cell r="A253">
            <v>69992</v>
          </cell>
          <cell r="B253">
            <v>418</v>
          </cell>
          <cell r="C253" t="str">
            <v>C5152</v>
          </cell>
          <cell r="D253" t="str">
            <v>QABBAL</v>
          </cell>
          <cell r="E253" t="str">
            <v>EL MOULOUDI</v>
          </cell>
          <cell r="F253">
            <v>19540</v>
          </cell>
          <cell r="G253" t="str">
            <v>1</v>
          </cell>
          <cell r="H253" t="str">
            <v>OULED BHAR KBAR KHOURIBGA</v>
          </cell>
          <cell r="I253" t="str">
            <v>D</v>
          </cell>
          <cell r="J253">
            <v>28443</v>
          </cell>
          <cell r="K253">
            <v>37073</v>
          </cell>
          <cell r="L253" t="str">
            <v>31</v>
          </cell>
          <cell r="M253" t="str">
            <v>A</v>
          </cell>
          <cell r="N253">
            <v>37073</v>
          </cell>
          <cell r="P253">
            <v>25</v>
          </cell>
          <cell r="Q253" t="str">
            <v>O</v>
          </cell>
          <cell r="R253" t="str">
            <v>N</v>
          </cell>
          <cell r="S253">
            <v>0</v>
          </cell>
          <cell r="T253" t="str">
            <v>M</v>
          </cell>
          <cell r="U253" t="str">
            <v>ZAHOUA BENT ABDESLEM</v>
          </cell>
          <cell r="X253">
            <v>6</v>
          </cell>
          <cell r="Y253">
            <v>3</v>
          </cell>
          <cell r="AB253" t="str">
            <v>X</v>
          </cell>
          <cell r="AC253" t="str">
            <v>X</v>
          </cell>
          <cell r="AD253" t="str">
            <v>X</v>
          </cell>
          <cell r="AH253" t="str">
            <v>N</v>
          </cell>
          <cell r="AI253" t="str">
            <v>N</v>
          </cell>
          <cell r="AK253" t="str">
            <v>435 VILLAGE OCP - BOUJNIBA</v>
          </cell>
          <cell r="AL253" t="str">
            <v>4AS</v>
          </cell>
          <cell r="AP253" t="str">
            <v>Q 67251</v>
          </cell>
          <cell r="AQ253">
            <v>0</v>
          </cell>
          <cell r="AR253" t="str">
            <v>C</v>
          </cell>
          <cell r="AU253" t="str">
            <v>/  /</v>
          </cell>
          <cell r="AW253">
            <v>38169</v>
          </cell>
          <cell r="AY253" t="str">
            <v>XX</v>
          </cell>
          <cell r="BA253" t="str">
            <v>1</v>
          </cell>
          <cell r="BB253">
            <v>1</v>
          </cell>
          <cell r="BD253">
            <v>0</v>
          </cell>
          <cell r="BE253" t="str">
            <v>M</v>
          </cell>
          <cell r="BF253" t="str">
            <v>N</v>
          </cell>
          <cell r="BG253">
            <v>50</v>
          </cell>
          <cell r="BH253">
            <v>38169</v>
          </cell>
        </row>
        <row r="254">
          <cell r="A254">
            <v>69952</v>
          </cell>
          <cell r="B254">
            <v>428</v>
          </cell>
          <cell r="C254" t="str">
            <v>C4152</v>
          </cell>
          <cell r="D254" t="str">
            <v>TAKHOUMI</v>
          </cell>
          <cell r="E254" t="str">
            <v>EL MOSTAFA</v>
          </cell>
          <cell r="F254">
            <v>19540</v>
          </cell>
          <cell r="G254" t="str">
            <v>1</v>
          </cell>
          <cell r="H254" t="str">
            <v>OULED BHAR KBAR KHOURIBGA</v>
          </cell>
          <cell r="I254" t="str">
            <v>D</v>
          </cell>
          <cell r="J254">
            <v>28432</v>
          </cell>
          <cell r="K254">
            <v>36526</v>
          </cell>
          <cell r="L254" t="str">
            <v>22</v>
          </cell>
          <cell r="M254" t="str">
            <v>A</v>
          </cell>
          <cell r="N254">
            <v>36526</v>
          </cell>
          <cell r="P254">
            <v>25</v>
          </cell>
          <cell r="Q254" t="str">
            <v>O</v>
          </cell>
          <cell r="R254" t="str">
            <v>N</v>
          </cell>
          <cell r="S254">
            <v>0</v>
          </cell>
          <cell r="T254" t="str">
            <v>M</v>
          </cell>
          <cell r="U254" t="str">
            <v>AICHA BT BELKACEM</v>
          </cell>
          <cell r="X254">
            <v>1</v>
          </cell>
          <cell r="Y254">
            <v>1</v>
          </cell>
          <cell r="Z254" t="str">
            <v>N</v>
          </cell>
          <cell r="AB254" t="str">
            <v>X</v>
          </cell>
          <cell r="AC254" t="str">
            <v>X</v>
          </cell>
          <cell r="AD254" t="str">
            <v>X</v>
          </cell>
          <cell r="AH254" t="str">
            <v>N</v>
          </cell>
          <cell r="AI254" t="str">
            <v>N</v>
          </cell>
          <cell r="AK254" t="str">
            <v>1186 VILLAGE O.C.P - HATTANE</v>
          </cell>
          <cell r="AL254" t="str">
            <v>2AS</v>
          </cell>
          <cell r="AP254" t="str">
            <v>Q 80669</v>
          </cell>
          <cell r="AQ254">
            <v>1</v>
          </cell>
          <cell r="AR254" t="str">
            <v>B</v>
          </cell>
          <cell r="AS254" t="str">
            <v>WAFFABAK - KHGA</v>
          </cell>
          <cell r="AT254" t="str">
            <v>1220301292694</v>
          </cell>
          <cell r="AU254" t="str">
            <v>/  /</v>
          </cell>
          <cell r="AW254">
            <v>38169</v>
          </cell>
          <cell r="AY254" t="str">
            <v>XX</v>
          </cell>
          <cell r="BA254" t="str">
            <v>1</v>
          </cell>
          <cell r="BB254">
            <v>1</v>
          </cell>
          <cell r="BD254">
            <v>0</v>
          </cell>
          <cell r="BE254" t="str">
            <v>M</v>
          </cell>
          <cell r="BF254" t="str">
            <v>N</v>
          </cell>
          <cell r="BG254">
            <v>11</v>
          </cell>
          <cell r="BH254">
            <v>38169</v>
          </cell>
        </row>
        <row r="255">
          <cell r="A255">
            <v>69947</v>
          </cell>
          <cell r="B255">
            <v>416</v>
          </cell>
          <cell r="C255" t="str">
            <v>C4152</v>
          </cell>
          <cell r="D255" t="str">
            <v>CHERQAOUI</v>
          </cell>
          <cell r="E255" t="str">
            <v>SAYEH</v>
          </cell>
          <cell r="F255">
            <v>19175</v>
          </cell>
          <cell r="G255" t="str">
            <v>5</v>
          </cell>
          <cell r="H255" t="str">
            <v>BOUJAAD</v>
          </cell>
          <cell r="I255" t="str">
            <v>D</v>
          </cell>
          <cell r="J255">
            <v>28430</v>
          </cell>
          <cell r="K255">
            <v>36526</v>
          </cell>
          <cell r="L255" t="str">
            <v>22</v>
          </cell>
          <cell r="M255" t="str">
            <v>A</v>
          </cell>
          <cell r="N255">
            <v>36526</v>
          </cell>
          <cell r="O255">
            <v>0</v>
          </cell>
          <cell r="P255">
            <v>25</v>
          </cell>
          <cell r="Q255" t="str">
            <v>O</v>
          </cell>
          <cell r="R255" t="str">
            <v>N</v>
          </cell>
          <cell r="S255">
            <v>0</v>
          </cell>
          <cell r="T255" t="str">
            <v>M</v>
          </cell>
          <cell r="U255" t="str">
            <v>SAADIA BENT AMER</v>
          </cell>
          <cell r="X255">
            <v>5</v>
          </cell>
          <cell r="Y255">
            <v>3</v>
          </cell>
          <cell r="AB255" t="str">
            <v>X</v>
          </cell>
          <cell r="AC255" t="str">
            <v>X</v>
          </cell>
          <cell r="AD255" t="str">
            <v>X</v>
          </cell>
          <cell r="AH255" t="str">
            <v>N</v>
          </cell>
          <cell r="AI255" t="str">
            <v>N</v>
          </cell>
          <cell r="AK255" t="str">
            <v>1120 VILLAGE O.C.P - BOULANOUAR</v>
          </cell>
          <cell r="AL255" t="str">
            <v>3AS</v>
          </cell>
          <cell r="AP255" t="str">
            <v>Q 7734</v>
          </cell>
          <cell r="AQ255">
            <v>0</v>
          </cell>
          <cell r="AR255" t="str">
            <v>B</v>
          </cell>
          <cell r="AS255" t="str">
            <v>S.G.M.B - KHGA</v>
          </cell>
          <cell r="AT255" t="str">
            <v>067000925691941</v>
          </cell>
          <cell r="AU255" t="str">
            <v>/  /</v>
          </cell>
          <cell r="AW255">
            <v>38169</v>
          </cell>
          <cell r="AY255" t="str">
            <v>XX</v>
          </cell>
          <cell r="BA255" t="str">
            <v>1</v>
          </cell>
          <cell r="BB255">
            <v>1</v>
          </cell>
          <cell r="BD255">
            <v>0</v>
          </cell>
          <cell r="BE255" t="str">
            <v>M</v>
          </cell>
          <cell r="BF255" t="str">
            <v>N</v>
          </cell>
          <cell r="BG255">
            <v>40</v>
          </cell>
          <cell r="BH255">
            <v>38169</v>
          </cell>
        </row>
        <row r="256">
          <cell r="A256">
            <v>69804</v>
          </cell>
          <cell r="B256">
            <v>411</v>
          </cell>
          <cell r="C256" t="str">
            <v>C3152</v>
          </cell>
          <cell r="D256" t="str">
            <v>EL KOTABI</v>
          </cell>
          <cell r="E256" t="str">
            <v>MOULAY AMER</v>
          </cell>
          <cell r="F256">
            <v>19905</v>
          </cell>
          <cell r="H256" t="str">
            <v>M'RIZIG OULED M'RAH</v>
          </cell>
          <cell r="I256" t="str">
            <v>D</v>
          </cell>
          <cell r="J256">
            <v>28382</v>
          </cell>
          <cell r="K256">
            <v>37165</v>
          </cell>
          <cell r="L256" t="str">
            <v>21</v>
          </cell>
          <cell r="M256" t="str">
            <v>C</v>
          </cell>
          <cell r="N256">
            <v>37165</v>
          </cell>
          <cell r="P256">
            <v>25</v>
          </cell>
          <cell r="Q256" t="str">
            <v>O</v>
          </cell>
          <cell r="R256" t="str">
            <v>N</v>
          </cell>
          <cell r="S256">
            <v>0</v>
          </cell>
          <cell r="T256" t="str">
            <v>M</v>
          </cell>
          <cell r="U256" t="str">
            <v>ARISS ES SADIA</v>
          </cell>
          <cell r="X256">
            <v>6</v>
          </cell>
          <cell r="Y256">
            <v>4</v>
          </cell>
          <cell r="AB256" t="str">
            <v>X</v>
          </cell>
          <cell r="AC256" t="str">
            <v>X</v>
          </cell>
          <cell r="AD256" t="str">
            <v>X</v>
          </cell>
          <cell r="AH256" t="str">
            <v>N</v>
          </cell>
          <cell r="AI256" t="str">
            <v>N</v>
          </cell>
          <cell r="AK256" t="str">
            <v>N 866 VILLAGE O C P HATTANE</v>
          </cell>
          <cell r="AL256" t="str">
            <v>ILLETRE</v>
          </cell>
          <cell r="AP256" t="str">
            <v>W 12831</v>
          </cell>
          <cell r="AQ256">
            <v>0</v>
          </cell>
          <cell r="AR256" t="str">
            <v>C</v>
          </cell>
          <cell r="AU256" t="str">
            <v>/  /</v>
          </cell>
          <cell r="AW256">
            <v>38169</v>
          </cell>
          <cell r="AY256" t="str">
            <v>XX</v>
          </cell>
          <cell r="BA256" t="str">
            <v>1</v>
          </cell>
          <cell r="BB256">
            <v>1</v>
          </cell>
          <cell r="BD256">
            <v>0</v>
          </cell>
          <cell r="BE256" t="str">
            <v>M</v>
          </cell>
          <cell r="BF256" t="str">
            <v>N</v>
          </cell>
          <cell r="BG256">
            <v>10</v>
          </cell>
          <cell r="BH256">
            <v>38169</v>
          </cell>
        </row>
        <row r="257">
          <cell r="A257">
            <v>69736</v>
          </cell>
          <cell r="B257">
            <v>428</v>
          </cell>
          <cell r="C257" t="str">
            <v>C3050</v>
          </cell>
          <cell r="D257" t="str">
            <v>LEBBABI</v>
          </cell>
          <cell r="E257" t="str">
            <v>MOHAMED</v>
          </cell>
          <cell r="F257">
            <v>18444</v>
          </cell>
          <cell r="G257" t="str">
            <v>6</v>
          </cell>
          <cell r="H257" t="str">
            <v>OULED AZZOUZ</v>
          </cell>
          <cell r="I257" t="str">
            <v>D</v>
          </cell>
          <cell r="J257">
            <v>28370</v>
          </cell>
          <cell r="K257">
            <v>37165</v>
          </cell>
          <cell r="L257" t="str">
            <v>21</v>
          </cell>
          <cell r="M257" t="str">
            <v>C</v>
          </cell>
          <cell r="N257">
            <v>37165</v>
          </cell>
          <cell r="P257">
            <v>25</v>
          </cell>
          <cell r="Q257" t="str">
            <v>N</v>
          </cell>
          <cell r="R257" t="str">
            <v>O</v>
          </cell>
          <cell r="S257">
            <v>3</v>
          </cell>
          <cell r="T257" t="str">
            <v>M</v>
          </cell>
          <cell r="U257" t="str">
            <v>HLIMA BENT EL MATI</v>
          </cell>
          <cell r="X257">
            <v>8</v>
          </cell>
          <cell r="Y257">
            <v>1</v>
          </cell>
          <cell r="AB257" t="str">
            <v>X</v>
          </cell>
          <cell r="AC257" t="str">
            <v>X</v>
          </cell>
          <cell r="AD257" t="str">
            <v>X</v>
          </cell>
          <cell r="AH257" t="str">
            <v>N</v>
          </cell>
          <cell r="AI257" t="str">
            <v>N</v>
          </cell>
          <cell r="AK257" t="str">
            <v>DOUAR LAQOUARA OULED AZZOUZ</v>
          </cell>
          <cell r="AL257" t="str">
            <v>ILLETRE</v>
          </cell>
          <cell r="AP257" t="str">
            <v>Q 81236</v>
          </cell>
          <cell r="AQ257">
            <v>0</v>
          </cell>
          <cell r="AR257" t="str">
            <v>B</v>
          </cell>
          <cell r="AS257" t="str">
            <v>C.N.C.A  KHGA</v>
          </cell>
          <cell r="AT257" t="str">
            <v>0806030C601</v>
          </cell>
          <cell r="AU257" t="str">
            <v>/  /</v>
          </cell>
          <cell r="AW257">
            <v>37987</v>
          </cell>
          <cell r="AY257" t="str">
            <v>XX</v>
          </cell>
          <cell r="AZ257" t="str">
            <v>R</v>
          </cell>
          <cell r="BA257" t="str">
            <v>2</v>
          </cell>
          <cell r="BB257">
            <v>1</v>
          </cell>
          <cell r="BD257">
            <v>0</v>
          </cell>
          <cell r="BE257" t="str">
            <v>M</v>
          </cell>
          <cell r="BF257" t="str">
            <v>N</v>
          </cell>
          <cell r="BG257">
            <v>0</v>
          </cell>
          <cell r="BH257">
            <v>38169</v>
          </cell>
          <cell r="BI257" t="str">
            <v>O</v>
          </cell>
        </row>
        <row r="258">
          <cell r="A258">
            <v>71766</v>
          </cell>
          <cell r="B258">
            <v>411</v>
          </cell>
          <cell r="C258" t="str">
            <v>C3152</v>
          </cell>
          <cell r="D258" t="str">
            <v>EL MAKIDI</v>
          </cell>
          <cell r="E258" t="str">
            <v>ABDELKADER</v>
          </cell>
          <cell r="F258">
            <v>20636</v>
          </cell>
          <cell r="H258" t="str">
            <v>BENI MELLAL</v>
          </cell>
          <cell r="I258" t="str">
            <v>D</v>
          </cell>
          <cell r="J258">
            <v>29285</v>
          </cell>
          <cell r="K258">
            <v>36526</v>
          </cell>
          <cell r="L258" t="str">
            <v>21</v>
          </cell>
          <cell r="M258" t="str">
            <v>A</v>
          </cell>
          <cell r="N258">
            <v>36526</v>
          </cell>
          <cell r="P258">
            <v>23</v>
          </cell>
          <cell r="Q258" t="str">
            <v>O</v>
          </cell>
          <cell r="R258" t="str">
            <v>N</v>
          </cell>
          <cell r="S258">
            <v>0</v>
          </cell>
          <cell r="T258" t="str">
            <v>M</v>
          </cell>
          <cell r="U258" t="str">
            <v>ES SALHA BENT MED</v>
          </cell>
          <cell r="X258">
            <v>1</v>
          </cell>
          <cell r="Y258">
            <v>0</v>
          </cell>
          <cell r="AB258" t="str">
            <v>X</v>
          </cell>
          <cell r="AC258" t="str">
            <v>X</v>
          </cell>
          <cell r="AD258" t="str">
            <v>X</v>
          </cell>
          <cell r="AH258" t="str">
            <v>N</v>
          </cell>
          <cell r="AI258" t="str">
            <v>N</v>
          </cell>
          <cell r="AK258" t="str">
            <v>1191 VILLAGE OCP - HATTANE</v>
          </cell>
          <cell r="AL258" t="str">
            <v>CM2</v>
          </cell>
          <cell r="AM258" t="str">
            <v>CM2</v>
          </cell>
          <cell r="AP258" t="str">
            <v>Q 64625</v>
          </cell>
          <cell r="AQ258">
            <v>0</v>
          </cell>
          <cell r="AR258" t="str">
            <v>B</v>
          </cell>
          <cell r="AS258" t="str">
            <v>WAFABANK - KHGA</v>
          </cell>
          <cell r="AT258" t="str">
            <v>1220301295627</v>
          </cell>
          <cell r="AU258" t="str">
            <v>/  /</v>
          </cell>
          <cell r="AW258">
            <v>38899</v>
          </cell>
          <cell r="AY258" t="str">
            <v>XX</v>
          </cell>
          <cell r="BA258" t="str">
            <v>1</v>
          </cell>
          <cell r="BB258">
            <v>1</v>
          </cell>
          <cell r="BD258">
            <v>0</v>
          </cell>
          <cell r="BE258" t="str">
            <v>M</v>
          </cell>
          <cell r="BF258" t="str">
            <v>N</v>
          </cell>
          <cell r="BG258">
            <v>10</v>
          </cell>
          <cell r="BH258">
            <v>38899</v>
          </cell>
        </row>
        <row r="259">
          <cell r="A259">
            <v>74624</v>
          </cell>
          <cell r="B259">
            <v>411</v>
          </cell>
          <cell r="C259" t="str">
            <v>X3150</v>
          </cell>
          <cell r="D259" t="str">
            <v>BENCHERKI</v>
          </cell>
          <cell r="E259" t="str">
            <v>CHERKI</v>
          </cell>
          <cell r="F259">
            <v>21966</v>
          </cell>
          <cell r="H259" t="str">
            <v>BERRECHID</v>
          </cell>
          <cell r="I259" t="str">
            <v>F</v>
          </cell>
          <cell r="J259">
            <v>32010</v>
          </cell>
          <cell r="K259">
            <v>37073</v>
          </cell>
          <cell r="L259" t="str">
            <v>41</v>
          </cell>
          <cell r="M259" t="str">
            <v>A</v>
          </cell>
          <cell r="N259">
            <v>37073</v>
          </cell>
          <cell r="P259">
            <v>15</v>
          </cell>
          <cell r="Q259" t="str">
            <v>O</v>
          </cell>
          <cell r="R259" t="str">
            <v>N</v>
          </cell>
          <cell r="S259">
            <v>0</v>
          </cell>
          <cell r="T259" t="str">
            <v>M</v>
          </cell>
          <cell r="U259" t="str">
            <v>EL MAOULOUAA BAHIJA BT HACHMI</v>
          </cell>
          <cell r="X259">
            <v>3</v>
          </cell>
          <cell r="Y259">
            <v>3</v>
          </cell>
          <cell r="Z259" t="str">
            <v>N</v>
          </cell>
          <cell r="AB259" t="str">
            <v>X</v>
          </cell>
          <cell r="AC259" t="str">
            <v>X</v>
          </cell>
          <cell r="AD259" t="str">
            <v>X</v>
          </cell>
          <cell r="AH259" t="str">
            <v>N</v>
          </cell>
          <cell r="AI259" t="str">
            <v>N</v>
          </cell>
          <cell r="AK259" t="str">
            <v>262 NVX LOGEMENTS OCP - SECHAGE KHGA</v>
          </cell>
          <cell r="AL259" t="str">
            <v>7 SC EXP</v>
          </cell>
          <cell r="AM259" t="str">
            <v>CES CFO ITA</v>
          </cell>
          <cell r="AP259" t="str">
            <v>Q 60818</v>
          </cell>
          <cell r="AQ259">
            <v>0</v>
          </cell>
          <cell r="AR259" t="str">
            <v>B</v>
          </cell>
          <cell r="AS259" t="str">
            <v>POPULAIRE.KHGA</v>
          </cell>
          <cell r="AT259" t="str">
            <v>2111112847080004</v>
          </cell>
          <cell r="AU259" t="str">
            <v>/  /</v>
          </cell>
          <cell r="AW259">
            <v>41640</v>
          </cell>
          <cell r="AY259" t="str">
            <v>XX</v>
          </cell>
          <cell r="BA259" t="str">
            <v>2</v>
          </cell>
          <cell r="BB259">
            <v>1</v>
          </cell>
          <cell r="BD259">
            <v>0</v>
          </cell>
          <cell r="BE259" t="str">
            <v>M</v>
          </cell>
          <cell r="BF259" t="str">
            <v>N</v>
          </cell>
          <cell r="BG259">
            <v>1</v>
          </cell>
          <cell r="BH259">
            <v>42005</v>
          </cell>
          <cell r="BI259" t="str">
            <v>O</v>
          </cell>
        </row>
        <row r="260">
          <cell r="A260">
            <v>71554</v>
          </cell>
          <cell r="B260">
            <v>418</v>
          </cell>
          <cell r="C260" t="str">
            <v>C4411</v>
          </cell>
          <cell r="D260" t="str">
            <v>NEJMA</v>
          </cell>
          <cell r="E260" t="str">
            <v>EL MOSTAFA</v>
          </cell>
          <cell r="F260">
            <v>19450</v>
          </cell>
          <cell r="G260" t="str">
            <v>3</v>
          </cell>
          <cell r="H260" t="str">
            <v>OULED BRAHIM</v>
          </cell>
          <cell r="J260">
            <v>29194</v>
          </cell>
          <cell r="K260">
            <v>30651</v>
          </cell>
          <cell r="L260" t="str">
            <v>22</v>
          </cell>
          <cell r="M260" t="str">
            <v>B</v>
          </cell>
          <cell r="N260">
            <v>35612</v>
          </cell>
          <cell r="O260">
            <v>0</v>
          </cell>
          <cell r="P260">
            <v>23</v>
          </cell>
          <cell r="Q260" t="str">
            <v>O</v>
          </cell>
          <cell r="R260" t="str">
            <v>N</v>
          </cell>
          <cell r="S260">
            <v>0</v>
          </cell>
          <cell r="T260" t="str">
            <v>M</v>
          </cell>
          <cell r="U260" t="str">
            <v>AGUASSIM NAJAT</v>
          </cell>
          <cell r="X260">
            <v>6</v>
          </cell>
          <cell r="Y260">
            <v>5</v>
          </cell>
          <cell r="AB260" t="str">
            <v>X</v>
          </cell>
          <cell r="AC260" t="str">
            <v>X</v>
          </cell>
          <cell r="AD260" t="str">
            <v>X</v>
          </cell>
          <cell r="AH260" t="str">
            <v>N</v>
          </cell>
          <cell r="AI260" t="str">
            <v>N</v>
          </cell>
          <cell r="AK260" t="str">
            <v>N 1401 VILLAGE O C P HATTANE</v>
          </cell>
          <cell r="AL260" t="str">
            <v>2AS</v>
          </cell>
          <cell r="AP260" t="str">
            <v>Q 26438</v>
          </cell>
          <cell r="AQ260">
            <v>0</v>
          </cell>
          <cell r="AR260" t="str">
            <v>B</v>
          </cell>
          <cell r="AS260" t="str">
            <v>WAFABANK - KHGA</v>
          </cell>
          <cell r="AT260" t="str">
            <v>1220301031404</v>
          </cell>
          <cell r="AU260" t="str">
            <v>/  /</v>
          </cell>
          <cell r="AW260">
            <v>38899</v>
          </cell>
          <cell r="AY260" t="str">
            <v>A+</v>
          </cell>
          <cell r="AZ260" t="str">
            <v>R</v>
          </cell>
          <cell r="BA260" t="str">
            <v>0</v>
          </cell>
          <cell r="BB260">
            <v>1</v>
          </cell>
          <cell r="BD260">
            <v>0</v>
          </cell>
          <cell r="BE260" t="str">
            <v>M</v>
          </cell>
          <cell r="BF260" t="str">
            <v>N</v>
          </cell>
          <cell r="BG260">
            <v>12</v>
          </cell>
          <cell r="BH260">
            <v>38899</v>
          </cell>
        </row>
        <row r="261">
          <cell r="A261">
            <v>71245</v>
          </cell>
          <cell r="B261">
            <v>411</v>
          </cell>
          <cell r="C261" t="str">
            <v>C3152</v>
          </cell>
          <cell r="D261" t="str">
            <v>ENNHAILI</v>
          </cell>
          <cell r="E261" t="str">
            <v>SALAH</v>
          </cell>
          <cell r="F261">
            <v>18079</v>
          </cell>
          <cell r="G261" t="str">
            <v>6</v>
          </cell>
          <cell r="H261" t="str">
            <v>M'FASSIS</v>
          </cell>
          <cell r="I261" t="str">
            <v>D</v>
          </cell>
          <cell r="J261">
            <v>29045</v>
          </cell>
          <cell r="K261">
            <v>36526</v>
          </cell>
          <cell r="L261" t="str">
            <v>21</v>
          </cell>
          <cell r="M261" t="str">
            <v>A</v>
          </cell>
          <cell r="N261">
            <v>36526</v>
          </cell>
          <cell r="P261">
            <v>23</v>
          </cell>
          <cell r="Q261" t="str">
            <v>O</v>
          </cell>
          <cell r="R261" t="str">
            <v>N</v>
          </cell>
          <cell r="S261">
            <v>0</v>
          </cell>
          <cell r="T261" t="str">
            <v>M</v>
          </cell>
          <cell r="U261" t="str">
            <v>ZAHRA BENT BOUAZZA</v>
          </cell>
          <cell r="X261">
            <v>6</v>
          </cell>
          <cell r="Y261">
            <v>2</v>
          </cell>
          <cell r="AB261" t="str">
            <v>X</v>
          </cell>
          <cell r="AC261" t="str">
            <v>X</v>
          </cell>
          <cell r="AD261" t="str">
            <v>X</v>
          </cell>
          <cell r="AH261" t="str">
            <v>N</v>
          </cell>
          <cell r="AI261" t="str">
            <v>N</v>
          </cell>
          <cell r="AK261" t="str">
            <v>11 D2 ERAC - KHGA</v>
          </cell>
          <cell r="AL261" t="str">
            <v>CM2</v>
          </cell>
          <cell r="AP261" t="str">
            <v>Q 40034</v>
          </cell>
          <cell r="AQ261">
            <v>0</v>
          </cell>
          <cell r="AR261" t="str">
            <v>C</v>
          </cell>
          <cell r="AU261" t="str">
            <v>/  /</v>
          </cell>
          <cell r="AW261">
            <v>38169</v>
          </cell>
          <cell r="AY261" t="str">
            <v>XX</v>
          </cell>
          <cell r="BA261" t="str">
            <v>1</v>
          </cell>
          <cell r="BB261">
            <v>1</v>
          </cell>
          <cell r="BD261">
            <v>0</v>
          </cell>
          <cell r="BE261" t="str">
            <v>M</v>
          </cell>
          <cell r="BF261" t="str">
            <v>N</v>
          </cell>
          <cell r="BG261">
            <v>1</v>
          </cell>
          <cell r="BH261">
            <v>38169</v>
          </cell>
        </row>
        <row r="262">
          <cell r="A262">
            <v>71141</v>
          </cell>
          <cell r="B262">
            <v>411</v>
          </cell>
          <cell r="C262" t="str">
            <v>C3152</v>
          </cell>
          <cell r="D262" t="str">
            <v>LETRACHI</v>
          </cell>
          <cell r="E262" t="str">
            <v>EL MATI</v>
          </cell>
          <cell r="F262">
            <v>20270</v>
          </cell>
          <cell r="G262" t="str">
            <v>3</v>
          </cell>
          <cell r="H262" t="str">
            <v>OULED BRAHIM</v>
          </cell>
          <cell r="I262" t="str">
            <v>D</v>
          </cell>
          <cell r="J262">
            <v>28971</v>
          </cell>
          <cell r="K262">
            <v>36526</v>
          </cell>
          <cell r="L262" t="str">
            <v>21</v>
          </cell>
          <cell r="M262" t="str">
            <v>A</v>
          </cell>
          <cell r="N262">
            <v>36526</v>
          </cell>
          <cell r="O262">
            <v>0</v>
          </cell>
          <cell r="P262">
            <v>24</v>
          </cell>
          <cell r="Q262" t="str">
            <v>O</v>
          </cell>
          <cell r="R262" t="str">
            <v>N</v>
          </cell>
          <cell r="S262">
            <v>0</v>
          </cell>
          <cell r="T262" t="str">
            <v>M</v>
          </cell>
          <cell r="U262" t="str">
            <v>M BARKA BENTEL MATI</v>
          </cell>
          <cell r="X262">
            <v>6</v>
          </cell>
          <cell r="Y262">
            <v>3</v>
          </cell>
          <cell r="AB262" t="str">
            <v>X</v>
          </cell>
          <cell r="AC262" t="str">
            <v>X</v>
          </cell>
          <cell r="AD262" t="str">
            <v>X</v>
          </cell>
          <cell r="AH262" t="str">
            <v>N</v>
          </cell>
          <cell r="AI262" t="str">
            <v>N</v>
          </cell>
          <cell r="AK262" t="str">
            <v>696 VILLAGE O.C.P BOUJNIBA</v>
          </cell>
          <cell r="AL262" t="str">
            <v>ILLETRE</v>
          </cell>
          <cell r="AP262" t="str">
            <v>Q 45485</v>
          </cell>
          <cell r="AQ262">
            <v>0</v>
          </cell>
          <cell r="AR262" t="str">
            <v>B</v>
          </cell>
          <cell r="AS262" t="str">
            <v>BCM -KHGA-</v>
          </cell>
          <cell r="AT262" t="str">
            <v>097E61213921310</v>
          </cell>
          <cell r="AU262" t="str">
            <v>/  /</v>
          </cell>
          <cell r="AW262">
            <v>38718</v>
          </cell>
          <cell r="AY262" t="str">
            <v>XX</v>
          </cell>
          <cell r="BA262" t="str">
            <v>1</v>
          </cell>
          <cell r="BB262">
            <v>1</v>
          </cell>
          <cell r="BD262">
            <v>0</v>
          </cell>
          <cell r="BE262" t="str">
            <v>M</v>
          </cell>
          <cell r="BF262" t="str">
            <v>N</v>
          </cell>
          <cell r="BG262">
            <v>50</v>
          </cell>
          <cell r="BH262">
            <v>38718</v>
          </cell>
        </row>
        <row r="263">
          <cell r="A263">
            <v>71125</v>
          </cell>
          <cell r="B263">
            <v>411</v>
          </cell>
          <cell r="C263" t="str">
            <v>C4152</v>
          </cell>
          <cell r="D263" t="str">
            <v>DIOUANI</v>
          </cell>
          <cell r="E263" t="str">
            <v>M HAMMED</v>
          </cell>
          <cell r="F263">
            <v>18444</v>
          </cell>
          <cell r="G263" t="str">
            <v>1</v>
          </cell>
          <cell r="H263" t="str">
            <v>OULED BHAR KBAR KHOURIBGA</v>
          </cell>
          <cell r="I263" t="str">
            <v>D</v>
          </cell>
          <cell r="J263">
            <v>28964</v>
          </cell>
          <cell r="K263">
            <v>36526</v>
          </cell>
          <cell r="L263" t="str">
            <v>22</v>
          </cell>
          <cell r="M263" t="str">
            <v>A</v>
          </cell>
          <cell r="N263">
            <v>36526</v>
          </cell>
          <cell r="P263">
            <v>24</v>
          </cell>
          <cell r="Q263" t="str">
            <v>O</v>
          </cell>
          <cell r="R263" t="str">
            <v>N</v>
          </cell>
          <cell r="S263">
            <v>0</v>
          </cell>
          <cell r="T263" t="str">
            <v>M</v>
          </cell>
          <cell r="U263" t="str">
            <v>ITTOU BENT EL MATI</v>
          </cell>
          <cell r="V263" t="str">
            <v>CHEKRI RABHA</v>
          </cell>
          <cell r="X263">
            <v>10</v>
          </cell>
          <cell r="Y263">
            <v>5</v>
          </cell>
          <cell r="AB263" t="str">
            <v>X</v>
          </cell>
          <cell r="AC263" t="str">
            <v>X</v>
          </cell>
          <cell r="AD263" t="str">
            <v>X</v>
          </cell>
          <cell r="AH263" t="str">
            <v>N</v>
          </cell>
          <cell r="AI263" t="str">
            <v>N</v>
          </cell>
          <cell r="AK263" t="str">
            <v>230 ANCIEN TACHERON O.C.P - BOUJNIBA</v>
          </cell>
          <cell r="AL263" t="str">
            <v>ILLETRE</v>
          </cell>
          <cell r="AP263" t="str">
            <v>Q 16499</v>
          </cell>
          <cell r="AQ263">
            <v>0</v>
          </cell>
          <cell r="AR263" t="str">
            <v>B</v>
          </cell>
          <cell r="AS263" t="str">
            <v>BMCE -KHGA</v>
          </cell>
          <cell r="AT263" t="str">
            <v>40001200001479695</v>
          </cell>
          <cell r="AU263" t="str">
            <v>/  /</v>
          </cell>
          <cell r="AW263">
            <v>38534</v>
          </cell>
          <cell r="AY263" t="str">
            <v>XX</v>
          </cell>
          <cell r="BA263" t="str">
            <v>1</v>
          </cell>
          <cell r="BB263">
            <v>1</v>
          </cell>
          <cell r="BD263">
            <v>0</v>
          </cell>
          <cell r="BE263" t="str">
            <v>M</v>
          </cell>
          <cell r="BF263" t="str">
            <v>N</v>
          </cell>
          <cell r="BG263">
            <v>50</v>
          </cell>
          <cell r="BH263">
            <v>38534</v>
          </cell>
        </row>
        <row r="264">
          <cell r="A264">
            <v>71112</v>
          </cell>
          <cell r="B264">
            <v>418</v>
          </cell>
          <cell r="C264" t="str">
            <v>C4152</v>
          </cell>
          <cell r="D264" t="str">
            <v>TAQIF</v>
          </cell>
          <cell r="E264" t="str">
            <v>BOUCHTA</v>
          </cell>
          <cell r="F264">
            <v>20636</v>
          </cell>
          <cell r="H264" t="str">
            <v>BENI AMIR OUEST</v>
          </cell>
          <cell r="I264" t="str">
            <v>D</v>
          </cell>
          <cell r="J264">
            <v>28957</v>
          </cell>
          <cell r="K264">
            <v>33420</v>
          </cell>
          <cell r="L264" t="str">
            <v>22</v>
          </cell>
          <cell r="M264" t="str">
            <v>A</v>
          </cell>
          <cell r="N264">
            <v>35065</v>
          </cell>
          <cell r="O264">
            <v>0</v>
          </cell>
          <cell r="P264">
            <v>24</v>
          </cell>
          <cell r="Q264" t="str">
            <v>O</v>
          </cell>
          <cell r="R264" t="str">
            <v>N</v>
          </cell>
          <cell r="S264">
            <v>0</v>
          </cell>
          <cell r="T264" t="str">
            <v>M</v>
          </cell>
          <cell r="U264" t="str">
            <v>DAMIA BENT MED</v>
          </cell>
          <cell r="X264">
            <v>6</v>
          </cell>
          <cell r="Y264">
            <v>5</v>
          </cell>
          <cell r="AB264" t="str">
            <v>X</v>
          </cell>
          <cell r="AC264" t="str">
            <v>X</v>
          </cell>
          <cell r="AD264" t="str">
            <v>X</v>
          </cell>
          <cell r="AH264" t="str">
            <v>N</v>
          </cell>
          <cell r="AI264" t="str">
            <v>N</v>
          </cell>
          <cell r="AK264" t="str">
            <v>N 834 VILLAGE O C P HATTANE</v>
          </cell>
          <cell r="AL264" t="str">
            <v>CM2</v>
          </cell>
          <cell r="AP264" t="str">
            <v>Q 82397</v>
          </cell>
          <cell r="AQ264">
            <v>0</v>
          </cell>
          <cell r="AR264" t="str">
            <v>B</v>
          </cell>
          <cell r="AS264" t="str">
            <v>BMCI - KHGA</v>
          </cell>
          <cell r="AT264" t="str">
            <v>282113936730100001</v>
          </cell>
          <cell r="AU264" t="str">
            <v>/  /</v>
          </cell>
          <cell r="AW264">
            <v>38899</v>
          </cell>
          <cell r="AY264" t="str">
            <v>XX</v>
          </cell>
          <cell r="BA264" t="str">
            <v>1</v>
          </cell>
          <cell r="BB264">
            <v>1</v>
          </cell>
          <cell r="BD264">
            <v>0</v>
          </cell>
          <cell r="BE264" t="str">
            <v>M</v>
          </cell>
          <cell r="BF264" t="str">
            <v>N</v>
          </cell>
          <cell r="BG264">
            <v>10</v>
          </cell>
          <cell r="BH264">
            <v>38899</v>
          </cell>
        </row>
        <row r="265">
          <cell r="A265">
            <v>71094</v>
          </cell>
          <cell r="B265">
            <v>428</v>
          </cell>
          <cell r="C265" t="str">
            <v>C3152</v>
          </cell>
          <cell r="D265" t="str">
            <v>BASTI</v>
          </cell>
          <cell r="E265" t="str">
            <v>M HAMED</v>
          </cell>
          <cell r="F265">
            <v>20636</v>
          </cell>
          <cell r="G265" t="str">
            <v>6</v>
          </cell>
          <cell r="H265" t="str">
            <v>OULED AZZOUZ</v>
          </cell>
          <cell r="I265" t="str">
            <v>D</v>
          </cell>
          <cell r="J265">
            <v>28949</v>
          </cell>
          <cell r="K265">
            <v>35977</v>
          </cell>
          <cell r="L265" t="str">
            <v>21</v>
          </cell>
          <cell r="M265" t="str">
            <v>B</v>
          </cell>
          <cell r="N265">
            <v>35977</v>
          </cell>
          <cell r="P265">
            <v>24</v>
          </cell>
          <cell r="Q265" t="str">
            <v>O</v>
          </cell>
          <cell r="R265" t="str">
            <v>N</v>
          </cell>
          <cell r="S265">
            <v>0</v>
          </cell>
          <cell r="T265" t="str">
            <v>M</v>
          </cell>
          <cell r="U265" t="str">
            <v>ES SAADIA BENT EL MILOUDI</v>
          </cell>
          <cell r="V265" t="str">
            <v>HABIBA BENT MED</v>
          </cell>
          <cell r="X265">
            <v>9</v>
          </cell>
          <cell r="Y265">
            <v>6</v>
          </cell>
          <cell r="AB265" t="str">
            <v>X</v>
          </cell>
          <cell r="AC265" t="str">
            <v>X</v>
          </cell>
          <cell r="AD265" t="str">
            <v>X</v>
          </cell>
          <cell r="AH265" t="str">
            <v>R</v>
          </cell>
          <cell r="AI265" t="str">
            <v>N</v>
          </cell>
          <cell r="AK265" t="str">
            <v>DOUAR LAMLIKAT OULED AZZOUZ</v>
          </cell>
          <cell r="AL265" t="str">
            <v>ILLETRE</v>
          </cell>
          <cell r="AP265" t="str">
            <v>Q 33314</v>
          </cell>
          <cell r="AQ265">
            <v>0</v>
          </cell>
          <cell r="AR265" t="str">
            <v>B</v>
          </cell>
          <cell r="AS265" t="str">
            <v>CNCA - KHGA</v>
          </cell>
          <cell r="AT265" t="str">
            <v>0807742P601</v>
          </cell>
          <cell r="AU265" t="str">
            <v>/  /</v>
          </cell>
          <cell r="AW265">
            <v>38899</v>
          </cell>
          <cell r="AY265" t="str">
            <v>XX</v>
          </cell>
          <cell r="BA265" t="str">
            <v>1</v>
          </cell>
          <cell r="BB265">
            <v>1</v>
          </cell>
          <cell r="BD265">
            <v>0</v>
          </cell>
          <cell r="BE265" t="str">
            <v>M</v>
          </cell>
          <cell r="BF265" t="str">
            <v>N</v>
          </cell>
          <cell r="BG265">
            <v>11</v>
          </cell>
          <cell r="BH265">
            <v>38899</v>
          </cell>
          <cell r="BI265" t="str">
            <v>O</v>
          </cell>
        </row>
        <row r="266">
          <cell r="A266">
            <v>70904</v>
          </cell>
          <cell r="B266">
            <v>428</v>
          </cell>
          <cell r="C266" t="str">
            <v>C4405</v>
          </cell>
          <cell r="D266" t="str">
            <v>ZEMZAMI</v>
          </cell>
          <cell r="E266" t="str">
            <v>MOHAMMED</v>
          </cell>
          <cell r="F266">
            <v>18809</v>
          </cell>
          <cell r="H266" t="str">
            <v>BENI HELLAL</v>
          </cell>
          <cell r="I266" t="str">
            <v>D</v>
          </cell>
          <cell r="J266">
            <v>28829</v>
          </cell>
          <cell r="K266">
            <v>30651</v>
          </cell>
          <cell r="L266" t="str">
            <v>22</v>
          </cell>
          <cell r="M266" t="str">
            <v>B</v>
          </cell>
          <cell r="N266">
            <v>35612</v>
          </cell>
          <cell r="P266">
            <v>24</v>
          </cell>
          <cell r="Q266" t="str">
            <v>O</v>
          </cell>
          <cell r="R266" t="str">
            <v>N</v>
          </cell>
          <cell r="S266">
            <v>0</v>
          </cell>
          <cell r="T266" t="str">
            <v>M</v>
          </cell>
          <cell r="U266" t="str">
            <v>AICHA BENT MED</v>
          </cell>
          <cell r="X266">
            <v>4</v>
          </cell>
          <cell r="Y266">
            <v>2</v>
          </cell>
          <cell r="AB266" t="str">
            <v>X</v>
          </cell>
          <cell r="AC266" t="str">
            <v>X</v>
          </cell>
          <cell r="AD266" t="str">
            <v>X</v>
          </cell>
          <cell r="AH266" t="str">
            <v>N</v>
          </cell>
          <cell r="AI266" t="str">
            <v>N</v>
          </cell>
          <cell r="AK266" t="str">
            <v>712 LOTISSEMENT EL AMAL QODS - KHGA</v>
          </cell>
          <cell r="AL266" t="str">
            <v>1AS</v>
          </cell>
          <cell r="AP266" t="str">
            <v>A 173522</v>
          </cell>
          <cell r="AQ266">
            <v>0</v>
          </cell>
          <cell r="AR266" t="str">
            <v>B</v>
          </cell>
          <cell r="AS266" t="str">
            <v>C.I.H - KHGA</v>
          </cell>
          <cell r="AT266" t="str">
            <v>7934672211004700</v>
          </cell>
          <cell r="AU266" t="str">
            <v>/  /</v>
          </cell>
          <cell r="AW266">
            <v>38534</v>
          </cell>
          <cell r="AY266" t="str">
            <v>XX</v>
          </cell>
          <cell r="AZ266" t="str">
            <v>K</v>
          </cell>
          <cell r="BA266" t="str">
            <v>0</v>
          </cell>
          <cell r="BB266">
            <v>1</v>
          </cell>
          <cell r="BD266">
            <v>0</v>
          </cell>
          <cell r="BE266" t="str">
            <v>M</v>
          </cell>
          <cell r="BF266" t="str">
            <v>N</v>
          </cell>
          <cell r="BG266">
            <v>1</v>
          </cell>
          <cell r="BH266">
            <v>38534</v>
          </cell>
          <cell r="BI266" t="str">
            <v>O</v>
          </cell>
        </row>
        <row r="267">
          <cell r="A267">
            <v>74420</v>
          </cell>
          <cell r="B267">
            <v>409</v>
          </cell>
          <cell r="C267" t="str">
            <v>C6001</v>
          </cell>
          <cell r="D267" t="str">
            <v>KHAZRI</v>
          </cell>
          <cell r="E267" t="str">
            <v>BOUCHTA</v>
          </cell>
          <cell r="F267">
            <v>22827</v>
          </cell>
          <cell r="G267" t="str">
            <v>1</v>
          </cell>
          <cell r="H267" t="str">
            <v>KHOURIBGA</v>
          </cell>
          <cell r="I267" t="str">
            <v>F</v>
          </cell>
          <cell r="J267">
            <v>31623</v>
          </cell>
          <cell r="K267">
            <v>36526</v>
          </cell>
          <cell r="L267" t="str">
            <v>32</v>
          </cell>
          <cell r="M267" t="str">
            <v>A</v>
          </cell>
          <cell r="N267">
            <v>36526</v>
          </cell>
          <cell r="P267">
            <v>16</v>
          </cell>
          <cell r="Q267" t="str">
            <v>O</v>
          </cell>
          <cell r="R267" t="str">
            <v>N</v>
          </cell>
          <cell r="S267">
            <v>0</v>
          </cell>
          <cell r="T267" t="str">
            <v>M</v>
          </cell>
          <cell r="U267" t="str">
            <v>EL IDRISSI NAIMA</v>
          </cell>
          <cell r="X267">
            <v>4</v>
          </cell>
          <cell r="Y267">
            <v>4</v>
          </cell>
          <cell r="AB267" t="str">
            <v>X</v>
          </cell>
          <cell r="AC267" t="str">
            <v>X</v>
          </cell>
          <cell r="AD267" t="str">
            <v>X</v>
          </cell>
          <cell r="AH267" t="str">
            <v>N</v>
          </cell>
          <cell r="AI267" t="str">
            <v>N</v>
          </cell>
          <cell r="AK267" t="str">
            <v>946 VILLAGE OCP - BOULANOUAR</v>
          </cell>
          <cell r="AL267" t="str">
            <v>4AS</v>
          </cell>
          <cell r="AM267" t="str">
            <v>CFP</v>
          </cell>
          <cell r="AP267" t="str">
            <v>BH 41000</v>
          </cell>
          <cell r="AQ267">
            <v>0</v>
          </cell>
          <cell r="AR267" t="str">
            <v>B</v>
          </cell>
          <cell r="AS267" t="str">
            <v>BMCE.KHGA</v>
          </cell>
          <cell r="AT267" t="str">
            <v>40001200000793905</v>
          </cell>
          <cell r="AU267" t="str">
            <v>/  /</v>
          </cell>
          <cell r="AW267">
            <v>41275</v>
          </cell>
          <cell r="AY267" t="str">
            <v>XX</v>
          </cell>
          <cell r="BA267" t="str">
            <v>2</v>
          </cell>
          <cell r="BB267">
            <v>1</v>
          </cell>
          <cell r="BD267">
            <v>0</v>
          </cell>
          <cell r="BE267" t="str">
            <v>M</v>
          </cell>
          <cell r="BF267" t="str">
            <v>N</v>
          </cell>
          <cell r="BG267">
            <v>40</v>
          </cell>
          <cell r="BH267">
            <v>41275</v>
          </cell>
        </row>
        <row r="268">
          <cell r="A268">
            <v>70805</v>
          </cell>
          <cell r="B268">
            <v>411</v>
          </cell>
          <cell r="C268" t="str">
            <v>C6001</v>
          </cell>
          <cell r="D268" t="str">
            <v>JAMINE</v>
          </cell>
          <cell r="E268" t="str">
            <v>MOHAMMED</v>
          </cell>
          <cell r="F268">
            <v>20993</v>
          </cell>
          <cell r="G268" t="str">
            <v>4</v>
          </cell>
          <cell r="H268" t="str">
            <v>BOULANOIR</v>
          </cell>
          <cell r="I268" t="str">
            <v>D</v>
          </cell>
          <cell r="J268">
            <v>28780</v>
          </cell>
          <cell r="K268">
            <v>35065</v>
          </cell>
          <cell r="L268" t="str">
            <v>32</v>
          </cell>
          <cell r="M268" t="str">
            <v>A</v>
          </cell>
          <cell r="N268">
            <v>35065</v>
          </cell>
          <cell r="O268">
            <v>0</v>
          </cell>
          <cell r="P268">
            <v>24</v>
          </cell>
          <cell r="Q268" t="str">
            <v>O</v>
          </cell>
          <cell r="R268" t="str">
            <v>N</v>
          </cell>
          <cell r="S268">
            <v>0</v>
          </cell>
          <cell r="T268" t="str">
            <v>M</v>
          </cell>
          <cell r="U268" t="str">
            <v>HAFIDA BENT AHMED</v>
          </cell>
          <cell r="X268">
            <v>2</v>
          </cell>
          <cell r="Y268">
            <v>2</v>
          </cell>
          <cell r="AB268" t="str">
            <v>X</v>
          </cell>
          <cell r="AC268" t="str">
            <v>X</v>
          </cell>
          <cell r="AD268" t="str">
            <v>X</v>
          </cell>
          <cell r="AH268" t="str">
            <v>N</v>
          </cell>
          <cell r="AI268" t="str">
            <v>N</v>
          </cell>
          <cell r="AK268" t="str">
            <v>N 1280 VILLAGE O C P HATTANE</v>
          </cell>
          <cell r="AL268" t="str">
            <v>2AS</v>
          </cell>
          <cell r="AM268" t="str">
            <v>CFP CFO</v>
          </cell>
          <cell r="AP268" t="str">
            <v>Q 60672</v>
          </cell>
          <cell r="AQ268">
            <v>0</v>
          </cell>
          <cell r="AR268" t="str">
            <v>B</v>
          </cell>
          <cell r="AS268" t="str">
            <v>S.G.M.B  KHGA</v>
          </cell>
          <cell r="AT268" t="str">
            <v>0000670009087654</v>
          </cell>
          <cell r="AU268" t="str">
            <v>/  /</v>
          </cell>
          <cell r="AW268">
            <v>39264</v>
          </cell>
          <cell r="AY268" t="str">
            <v>XX</v>
          </cell>
          <cell r="BA268" t="str">
            <v>2</v>
          </cell>
          <cell r="BB268">
            <v>1</v>
          </cell>
          <cell r="BD268">
            <v>0</v>
          </cell>
          <cell r="BE268" t="str">
            <v>M</v>
          </cell>
          <cell r="BF268" t="str">
            <v>N</v>
          </cell>
          <cell r="BG268">
            <v>10</v>
          </cell>
          <cell r="BH268">
            <v>39264</v>
          </cell>
        </row>
        <row r="269">
          <cell r="A269">
            <v>70651</v>
          </cell>
          <cell r="B269">
            <v>446</v>
          </cell>
          <cell r="C269" t="str">
            <v>C5006</v>
          </cell>
          <cell r="D269" t="str">
            <v>RAGBI</v>
          </cell>
          <cell r="E269" t="str">
            <v>MOHAMMED</v>
          </cell>
          <cell r="F269">
            <v>18949</v>
          </cell>
          <cell r="G269" t="str">
            <v>4</v>
          </cell>
          <cell r="H269" t="str">
            <v>BOULANOIR</v>
          </cell>
          <cell r="I269" t="str">
            <v>D</v>
          </cell>
          <cell r="J269">
            <v>28650</v>
          </cell>
          <cell r="K269">
            <v>37073</v>
          </cell>
          <cell r="L269" t="str">
            <v>31</v>
          </cell>
          <cell r="M269" t="str">
            <v>B</v>
          </cell>
          <cell r="N269">
            <v>37073</v>
          </cell>
          <cell r="P269">
            <v>24</v>
          </cell>
          <cell r="Q269" t="str">
            <v>O</v>
          </cell>
          <cell r="R269" t="str">
            <v>N</v>
          </cell>
          <cell r="S269">
            <v>0</v>
          </cell>
          <cell r="T269" t="str">
            <v>M</v>
          </cell>
          <cell r="U269" t="str">
            <v>MINA BENT BOUAZZA</v>
          </cell>
          <cell r="X269">
            <v>6</v>
          </cell>
          <cell r="Y269">
            <v>3</v>
          </cell>
          <cell r="AB269" t="str">
            <v>X</v>
          </cell>
          <cell r="AC269" t="str">
            <v>X</v>
          </cell>
          <cell r="AD269" t="str">
            <v>X</v>
          </cell>
          <cell r="AH269" t="str">
            <v>N</v>
          </cell>
          <cell r="AI269" t="str">
            <v>N</v>
          </cell>
          <cell r="AK269" t="str">
            <v>36,RUE OULED ABDOUNE HAY EL FATH - KHGA</v>
          </cell>
          <cell r="AL269" t="str">
            <v>4AS</v>
          </cell>
          <cell r="AP269" t="str">
            <v>Q 81024</v>
          </cell>
          <cell r="AQ269">
            <v>0</v>
          </cell>
          <cell r="AR269" t="str">
            <v>B</v>
          </cell>
          <cell r="AS269" t="str">
            <v>WAFABANK - KHGA</v>
          </cell>
          <cell r="AT269" t="str">
            <v>1220301088691</v>
          </cell>
          <cell r="AU269" t="str">
            <v>/  /</v>
          </cell>
          <cell r="AW269">
            <v>38353</v>
          </cell>
          <cell r="AY269" t="str">
            <v>O+</v>
          </cell>
          <cell r="AZ269" t="str">
            <v>R</v>
          </cell>
          <cell r="BA269" t="str">
            <v>0</v>
          </cell>
          <cell r="BB269">
            <v>1</v>
          </cell>
          <cell r="BD269">
            <v>0</v>
          </cell>
          <cell r="BE269" t="str">
            <v>M</v>
          </cell>
          <cell r="BF269" t="str">
            <v>N</v>
          </cell>
          <cell r="BG269">
            <v>1</v>
          </cell>
          <cell r="BH269">
            <v>38353</v>
          </cell>
        </row>
        <row r="270">
          <cell r="A270">
            <v>70645</v>
          </cell>
          <cell r="B270">
            <v>411</v>
          </cell>
          <cell r="C270" t="str">
            <v>C3152</v>
          </cell>
          <cell r="D270" t="str">
            <v>AFOUKANE</v>
          </cell>
          <cell r="E270" t="str">
            <v>M'HAMMED</v>
          </cell>
          <cell r="F270">
            <v>20815</v>
          </cell>
          <cell r="G270" t="str">
            <v>4</v>
          </cell>
          <cell r="H270" t="str">
            <v>BOULANOUAR - KHOURIBGA</v>
          </cell>
          <cell r="I270" t="str">
            <v>D</v>
          </cell>
          <cell r="J270">
            <v>28646</v>
          </cell>
          <cell r="K270">
            <v>33420</v>
          </cell>
          <cell r="L270" t="str">
            <v>21</v>
          </cell>
          <cell r="M270" t="str">
            <v>B</v>
          </cell>
          <cell r="N270">
            <v>35612</v>
          </cell>
          <cell r="P270">
            <v>24</v>
          </cell>
          <cell r="Q270" t="str">
            <v>O</v>
          </cell>
          <cell r="R270" t="str">
            <v>N</v>
          </cell>
          <cell r="S270">
            <v>0</v>
          </cell>
          <cell r="T270" t="str">
            <v>M</v>
          </cell>
          <cell r="U270" t="str">
            <v>SAQIL FATIMA BT EL HOUSSINE</v>
          </cell>
          <cell r="X270">
            <v>5</v>
          </cell>
          <cell r="Y270">
            <v>5</v>
          </cell>
          <cell r="AB270" t="str">
            <v>X</v>
          </cell>
          <cell r="AC270" t="str">
            <v>X</v>
          </cell>
          <cell r="AD270" t="str">
            <v>X</v>
          </cell>
          <cell r="AH270" t="str">
            <v>N</v>
          </cell>
          <cell r="AI270" t="str">
            <v>N</v>
          </cell>
          <cell r="AK270" t="str">
            <v>561,VILLAGE OCP BOULANOUIR</v>
          </cell>
          <cell r="AL270" t="str">
            <v>2AS</v>
          </cell>
          <cell r="AP270" t="str">
            <v>Q 50401</v>
          </cell>
          <cell r="AQ270">
            <v>0</v>
          </cell>
          <cell r="AR270" t="str">
            <v>B</v>
          </cell>
          <cell r="AS270" t="str">
            <v>POPULAIRE  KHGA</v>
          </cell>
          <cell r="AT270" t="str">
            <v>211111283649008</v>
          </cell>
          <cell r="AU270" t="str">
            <v>/  /</v>
          </cell>
          <cell r="AW270">
            <v>39083</v>
          </cell>
          <cell r="AY270" t="str">
            <v>XX</v>
          </cell>
          <cell r="AZ270" t="str">
            <v>K</v>
          </cell>
          <cell r="BA270" t="str">
            <v>1</v>
          </cell>
          <cell r="BB270">
            <v>1</v>
          </cell>
          <cell r="BD270">
            <v>0</v>
          </cell>
          <cell r="BE270" t="str">
            <v>M</v>
          </cell>
          <cell r="BF270" t="str">
            <v>N</v>
          </cell>
          <cell r="BG270">
            <v>40</v>
          </cell>
          <cell r="BH270">
            <v>39264</v>
          </cell>
        </row>
        <row r="271">
          <cell r="A271">
            <v>70580</v>
          </cell>
          <cell r="B271">
            <v>418</v>
          </cell>
          <cell r="C271" t="str">
            <v>C2050</v>
          </cell>
          <cell r="D271" t="str">
            <v>ANDIA</v>
          </cell>
          <cell r="E271" t="str">
            <v>LARBI</v>
          </cell>
          <cell r="F271">
            <v>19175</v>
          </cell>
          <cell r="G271" t="str">
            <v>2</v>
          </cell>
          <cell r="H271" t="str">
            <v>BENI SMIR</v>
          </cell>
          <cell r="I271" t="str">
            <v>D</v>
          </cell>
          <cell r="J271">
            <v>28620</v>
          </cell>
          <cell r="K271">
            <v>30834</v>
          </cell>
          <cell r="L271" t="str">
            <v>12</v>
          </cell>
          <cell r="M271" t="str">
            <v>C</v>
          </cell>
          <cell r="N271">
            <v>35217</v>
          </cell>
          <cell r="P271">
            <v>24</v>
          </cell>
          <cell r="Q271" t="str">
            <v>O</v>
          </cell>
          <cell r="R271" t="str">
            <v>N</v>
          </cell>
          <cell r="S271">
            <v>0</v>
          </cell>
          <cell r="T271" t="str">
            <v>M</v>
          </cell>
          <cell r="V271" t="str">
            <v>EL BOUCHTAOUIA BENT AHMED</v>
          </cell>
          <cell r="X271">
            <v>7</v>
          </cell>
          <cell r="Y271">
            <v>3</v>
          </cell>
          <cell r="AB271" t="str">
            <v>X</v>
          </cell>
          <cell r="AC271" t="str">
            <v>X</v>
          </cell>
          <cell r="AD271" t="str">
            <v>X</v>
          </cell>
          <cell r="AH271" t="str">
            <v>N</v>
          </cell>
          <cell r="AI271" t="str">
            <v>N</v>
          </cell>
          <cell r="AK271" t="str">
            <v>1064 VILLAGE O C P HATTANE</v>
          </cell>
          <cell r="AL271" t="str">
            <v>ILLETRE</v>
          </cell>
          <cell r="AP271" t="str">
            <v>Q 108157</v>
          </cell>
          <cell r="AQ271">
            <v>0</v>
          </cell>
          <cell r="AR271" t="str">
            <v>B</v>
          </cell>
          <cell r="AS271" t="str">
            <v>BMCE KHGA</v>
          </cell>
          <cell r="AT271" t="str">
            <v>40001200000715820</v>
          </cell>
          <cell r="AU271" t="str">
            <v>/  /</v>
          </cell>
          <cell r="AW271">
            <v>38353</v>
          </cell>
          <cell r="AY271" t="str">
            <v>XX</v>
          </cell>
          <cell r="AZ271" t="str">
            <v>R</v>
          </cell>
          <cell r="BA271" t="str">
            <v>2</v>
          </cell>
          <cell r="BB271">
            <v>1</v>
          </cell>
          <cell r="BD271">
            <v>0</v>
          </cell>
          <cell r="BE271" t="str">
            <v>M</v>
          </cell>
          <cell r="BF271" t="str">
            <v>N</v>
          </cell>
          <cell r="BG271">
            <v>10</v>
          </cell>
          <cell r="BH271">
            <v>38353</v>
          </cell>
        </row>
        <row r="272">
          <cell r="A272">
            <v>70593</v>
          </cell>
          <cell r="B272">
            <v>476</v>
          </cell>
          <cell r="C272" t="str">
            <v>C3050</v>
          </cell>
          <cell r="D272" t="str">
            <v>DAHASI</v>
          </cell>
          <cell r="E272" t="str">
            <v>MOHAMMED</v>
          </cell>
          <cell r="F272">
            <v>19905</v>
          </cell>
          <cell r="G272" t="str">
            <v>1</v>
          </cell>
          <cell r="H272" t="str">
            <v>OULED BHAR KBAR KHOURIBGA</v>
          </cell>
          <cell r="I272" t="str">
            <v>D</v>
          </cell>
          <cell r="J272">
            <v>28621</v>
          </cell>
          <cell r="K272">
            <v>36526</v>
          </cell>
          <cell r="L272" t="str">
            <v>21</v>
          </cell>
          <cell r="M272" t="str">
            <v>B</v>
          </cell>
          <cell r="N272">
            <v>36526</v>
          </cell>
          <cell r="P272">
            <v>24</v>
          </cell>
          <cell r="Q272" t="str">
            <v>O</v>
          </cell>
          <cell r="R272" t="str">
            <v>N</v>
          </cell>
          <cell r="S272">
            <v>0</v>
          </cell>
          <cell r="T272" t="str">
            <v>M</v>
          </cell>
          <cell r="U272" t="str">
            <v>JEMAA BENT MED</v>
          </cell>
          <cell r="X272">
            <v>7</v>
          </cell>
          <cell r="Y272">
            <v>6</v>
          </cell>
          <cell r="AB272" t="str">
            <v>X</v>
          </cell>
          <cell r="AC272" t="str">
            <v>X</v>
          </cell>
          <cell r="AD272" t="str">
            <v>X</v>
          </cell>
          <cell r="AH272" t="str">
            <v>N</v>
          </cell>
          <cell r="AI272" t="str">
            <v>N</v>
          </cell>
          <cell r="AK272" t="str">
            <v>188 VILLAGE O.C.P - BOUJNIBA</v>
          </cell>
          <cell r="AL272" t="str">
            <v>ILLETRE</v>
          </cell>
          <cell r="AP272" t="str">
            <v>Q 80406</v>
          </cell>
          <cell r="AQ272">
            <v>0</v>
          </cell>
          <cell r="AR272" t="str">
            <v>B</v>
          </cell>
          <cell r="AS272" t="str">
            <v>POPULAIRE.KHGA</v>
          </cell>
          <cell r="AT272" t="str">
            <v>56490010008</v>
          </cell>
          <cell r="AU272" t="str">
            <v>/  /</v>
          </cell>
          <cell r="AW272">
            <v>38353</v>
          </cell>
          <cell r="AY272" t="str">
            <v>XX</v>
          </cell>
          <cell r="BA272" t="str">
            <v>2</v>
          </cell>
          <cell r="BB272">
            <v>1</v>
          </cell>
          <cell r="BD272">
            <v>0</v>
          </cell>
          <cell r="BE272" t="str">
            <v>M</v>
          </cell>
          <cell r="BF272" t="str">
            <v>N</v>
          </cell>
          <cell r="BG272">
            <v>50</v>
          </cell>
          <cell r="BH272">
            <v>38353</v>
          </cell>
        </row>
        <row r="273">
          <cell r="A273">
            <v>70579</v>
          </cell>
          <cell r="B273">
            <v>403</v>
          </cell>
          <cell r="C273" t="str">
            <v>C4152</v>
          </cell>
          <cell r="D273" t="str">
            <v>ITOUK</v>
          </cell>
          <cell r="E273" t="str">
            <v>LAHCEN</v>
          </cell>
          <cell r="F273">
            <v>19175</v>
          </cell>
          <cell r="H273" t="str">
            <v>MARRAKECH</v>
          </cell>
          <cell r="I273" t="str">
            <v>D</v>
          </cell>
          <cell r="J273">
            <v>28620</v>
          </cell>
          <cell r="K273">
            <v>36526</v>
          </cell>
          <cell r="L273" t="str">
            <v>22</v>
          </cell>
          <cell r="M273" t="str">
            <v>A</v>
          </cell>
          <cell r="N273">
            <v>36526</v>
          </cell>
          <cell r="P273">
            <v>24</v>
          </cell>
          <cell r="Q273" t="str">
            <v>O</v>
          </cell>
          <cell r="R273" t="str">
            <v>N</v>
          </cell>
          <cell r="S273">
            <v>0</v>
          </cell>
          <cell r="T273" t="str">
            <v>M</v>
          </cell>
          <cell r="U273" t="str">
            <v>AMDJAR KHADIJA BENT AHMED</v>
          </cell>
          <cell r="X273">
            <v>5</v>
          </cell>
          <cell r="Y273">
            <v>4</v>
          </cell>
          <cell r="AB273" t="str">
            <v>X</v>
          </cell>
          <cell r="AC273" t="str">
            <v>X</v>
          </cell>
          <cell r="AD273" t="str">
            <v>X</v>
          </cell>
          <cell r="AH273" t="str">
            <v>N</v>
          </cell>
          <cell r="AI273" t="str">
            <v>N</v>
          </cell>
          <cell r="AK273" t="str">
            <v>293 TACHERON N°508 BOUJNIBA</v>
          </cell>
          <cell r="AL273" t="str">
            <v>ILLETRE</v>
          </cell>
          <cell r="AP273" t="str">
            <v>Q 81141</v>
          </cell>
          <cell r="AQ273">
            <v>0</v>
          </cell>
          <cell r="AR273" t="str">
            <v>B</v>
          </cell>
          <cell r="AS273" t="str">
            <v>SGMB - KHGA</v>
          </cell>
          <cell r="AT273" t="str">
            <v>0944335341</v>
          </cell>
          <cell r="AU273" t="str">
            <v>/  /</v>
          </cell>
          <cell r="AW273">
            <v>38353</v>
          </cell>
          <cell r="AY273" t="str">
            <v>XX</v>
          </cell>
          <cell r="BA273" t="str">
            <v>1</v>
          </cell>
          <cell r="BB273">
            <v>1</v>
          </cell>
          <cell r="BD273">
            <v>0</v>
          </cell>
          <cell r="BE273" t="str">
            <v>M</v>
          </cell>
          <cell r="BF273" t="str">
            <v>N</v>
          </cell>
          <cell r="BG273">
            <v>50</v>
          </cell>
          <cell r="BH273">
            <v>38353</v>
          </cell>
        </row>
        <row r="274">
          <cell r="A274">
            <v>69726</v>
          </cell>
          <cell r="B274">
            <v>418</v>
          </cell>
          <cell r="C274" t="str">
            <v>C6050</v>
          </cell>
          <cell r="D274" t="str">
            <v>ABOUSSI</v>
          </cell>
          <cell r="E274" t="str">
            <v>BOUCHTA</v>
          </cell>
          <cell r="F274">
            <v>21001</v>
          </cell>
          <cell r="G274" t="str">
            <v>1</v>
          </cell>
          <cell r="H274" t="str">
            <v>OULED BHAR KBAR KHOURIBGA</v>
          </cell>
          <cell r="I274" t="str">
            <v>D</v>
          </cell>
          <cell r="J274">
            <v>28368</v>
          </cell>
          <cell r="K274">
            <v>36526</v>
          </cell>
          <cell r="L274" t="str">
            <v>32</v>
          </cell>
          <cell r="M274" t="str">
            <v>A</v>
          </cell>
          <cell r="N274">
            <v>36526</v>
          </cell>
          <cell r="P274">
            <v>25</v>
          </cell>
          <cell r="Q274" t="str">
            <v>O</v>
          </cell>
          <cell r="R274" t="str">
            <v>N</v>
          </cell>
          <cell r="S274">
            <v>0</v>
          </cell>
          <cell r="T274" t="str">
            <v>M</v>
          </cell>
          <cell r="U274" t="str">
            <v>MARHABI FATIMA BENT JILLALI</v>
          </cell>
          <cell r="X274">
            <v>4</v>
          </cell>
          <cell r="Y274">
            <v>4</v>
          </cell>
          <cell r="AB274" t="str">
            <v>X</v>
          </cell>
          <cell r="AC274" t="str">
            <v>X</v>
          </cell>
          <cell r="AD274" t="str">
            <v>X</v>
          </cell>
          <cell r="AH274" t="str">
            <v>N</v>
          </cell>
          <cell r="AI274" t="str">
            <v>N</v>
          </cell>
          <cell r="AK274" t="str">
            <v>465 VILLAGE O.C.P - BOUJNIBA</v>
          </cell>
          <cell r="AL274" t="str">
            <v>4AS</v>
          </cell>
          <cell r="AP274" t="str">
            <v>Q 56496</v>
          </cell>
          <cell r="AQ274">
            <v>0</v>
          </cell>
          <cell r="AR274" t="str">
            <v>B</v>
          </cell>
          <cell r="AS274" t="str">
            <v>BCM - KHGA</v>
          </cell>
          <cell r="AT274" t="str">
            <v>097C304163</v>
          </cell>
          <cell r="AU274" t="str">
            <v>/  /</v>
          </cell>
          <cell r="AW274">
            <v>39264</v>
          </cell>
          <cell r="AY274" t="str">
            <v>XX</v>
          </cell>
          <cell r="BA274" t="str">
            <v>2</v>
          </cell>
          <cell r="BB274">
            <v>1</v>
          </cell>
          <cell r="BD274">
            <v>0</v>
          </cell>
          <cell r="BE274" t="str">
            <v>M</v>
          </cell>
          <cell r="BF274" t="str">
            <v>N</v>
          </cell>
          <cell r="BG274">
            <v>50</v>
          </cell>
          <cell r="BH274">
            <v>39264</v>
          </cell>
        </row>
        <row r="275">
          <cell r="A275">
            <v>69575</v>
          </cell>
          <cell r="B275">
            <v>406</v>
          </cell>
          <cell r="C275" t="str">
            <v>C4050</v>
          </cell>
          <cell r="D275" t="str">
            <v>CHAOUKAR</v>
          </cell>
          <cell r="E275" t="str">
            <v>MOHAMED</v>
          </cell>
          <cell r="F275">
            <v>19175</v>
          </cell>
          <cell r="H275" t="str">
            <v>BENI MELLAL</v>
          </cell>
          <cell r="I275" t="str">
            <v>D</v>
          </cell>
          <cell r="J275">
            <v>28342</v>
          </cell>
          <cell r="K275">
            <v>36526</v>
          </cell>
          <cell r="L275" t="str">
            <v>22</v>
          </cell>
          <cell r="M275" t="str">
            <v>A</v>
          </cell>
          <cell r="N275">
            <v>36526</v>
          </cell>
          <cell r="P275">
            <v>25</v>
          </cell>
          <cell r="Q275" t="str">
            <v>O</v>
          </cell>
          <cell r="R275" t="str">
            <v>N</v>
          </cell>
          <cell r="S275">
            <v>0</v>
          </cell>
          <cell r="T275" t="str">
            <v>M</v>
          </cell>
          <cell r="U275" t="str">
            <v>RABHA BENT MED</v>
          </cell>
          <cell r="X275">
            <v>6</v>
          </cell>
          <cell r="Y275">
            <v>2</v>
          </cell>
          <cell r="AB275" t="str">
            <v>X</v>
          </cell>
          <cell r="AC275" t="str">
            <v>X</v>
          </cell>
          <cell r="AD275" t="str">
            <v>X</v>
          </cell>
          <cell r="AH275" t="str">
            <v>N</v>
          </cell>
          <cell r="AI275" t="str">
            <v>N</v>
          </cell>
          <cell r="AK275" t="str">
            <v>N 999 VILLAGE O C P HATTANE</v>
          </cell>
          <cell r="AL275" t="str">
            <v>2AS</v>
          </cell>
          <cell r="AP275" t="str">
            <v>Q 35224</v>
          </cell>
          <cell r="AQ275">
            <v>0</v>
          </cell>
          <cell r="AR275" t="str">
            <v>B</v>
          </cell>
          <cell r="AS275" t="str">
            <v>C.N.C.A    KHGA</v>
          </cell>
          <cell r="AT275" t="str">
            <v>0806291B601</v>
          </cell>
          <cell r="AU275" t="str">
            <v>/  /</v>
          </cell>
          <cell r="AW275">
            <v>37987</v>
          </cell>
          <cell r="AY275" t="str">
            <v>XX</v>
          </cell>
          <cell r="AZ275" t="str">
            <v>K</v>
          </cell>
          <cell r="BA275" t="str">
            <v>2</v>
          </cell>
          <cell r="BB275">
            <v>1</v>
          </cell>
          <cell r="BD275">
            <v>0</v>
          </cell>
          <cell r="BE275" t="str">
            <v>M</v>
          </cell>
          <cell r="BF275" t="str">
            <v>N</v>
          </cell>
          <cell r="BG275">
            <v>10</v>
          </cell>
          <cell r="BH275">
            <v>37987</v>
          </cell>
        </row>
        <row r="276">
          <cell r="A276">
            <v>69553</v>
          </cell>
          <cell r="B276">
            <v>411</v>
          </cell>
          <cell r="C276" t="str">
            <v>C3152</v>
          </cell>
          <cell r="D276" t="str">
            <v>TAMMAR</v>
          </cell>
          <cell r="E276" t="str">
            <v>MOHAMED</v>
          </cell>
          <cell r="F276">
            <v>18079</v>
          </cell>
          <cell r="H276" t="str">
            <v>BEN AHMED</v>
          </cell>
          <cell r="I276" t="str">
            <v>D</v>
          </cell>
          <cell r="J276">
            <v>28340</v>
          </cell>
          <cell r="K276">
            <v>33420</v>
          </cell>
          <cell r="L276" t="str">
            <v>21</v>
          </cell>
          <cell r="M276" t="str">
            <v>A</v>
          </cell>
          <cell r="N276">
            <v>33420</v>
          </cell>
          <cell r="P276">
            <v>25</v>
          </cell>
          <cell r="Q276" t="str">
            <v>O</v>
          </cell>
          <cell r="R276" t="str">
            <v>N</v>
          </cell>
          <cell r="S276">
            <v>0</v>
          </cell>
          <cell r="T276" t="str">
            <v>M</v>
          </cell>
          <cell r="U276" t="str">
            <v>EL MAMOUNI HAFIDA BENT BOUAZZA</v>
          </cell>
          <cell r="X276">
            <v>0</v>
          </cell>
          <cell r="Y276">
            <v>0</v>
          </cell>
          <cell r="Z276" t="str">
            <v>N</v>
          </cell>
          <cell r="AB276" t="str">
            <v>X</v>
          </cell>
          <cell r="AC276" t="str">
            <v>X</v>
          </cell>
          <cell r="AD276" t="str">
            <v>X</v>
          </cell>
          <cell r="AH276" t="str">
            <v>N</v>
          </cell>
          <cell r="AI276" t="str">
            <v>N</v>
          </cell>
          <cell r="AK276" t="str">
            <v>417 VILLAGE O.C.P - BOUJNIBA</v>
          </cell>
          <cell r="AL276" t="str">
            <v>CM2</v>
          </cell>
          <cell r="AP276" t="str">
            <v>Q 16329</v>
          </cell>
          <cell r="AQ276">
            <v>0</v>
          </cell>
          <cell r="AR276" t="str">
            <v>B</v>
          </cell>
          <cell r="AS276" t="str">
            <v>POPULAIRE  KHGA</v>
          </cell>
          <cell r="AT276" t="str">
            <v>2111112860860001</v>
          </cell>
          <cell r="AU276" t="str">
            <v>/  /</v>
          </cell>
          <cell r="AW276">
            <v>37987</v>
          </cell>
          <cell r="AY276" t="str">
            <v>XX</v>
          </cell>
          <cell r="BA276" t="str">
            <v>1</v>
          </cell>
          <cell r="BB276">
            <v>1</v>
          </cell>
          <cell r="BD276">
            <v>0</v>
          </cell>
          <cell r="BE276" t="str">
            <v>M</v>
          </cell>
          <cell r="BF276" t="str">
            <v>N</v>
          </cell>
          <cell r="BG276">
            <v>50</v>
          </cell>
          <cell r="BH276">
            <v>37987</v>
          </cell>
        </row>
        <row r="277">
          <cell r="A277">
            <v>72248</v>
          </cell>
          <cell r="B277">
            <v>476</v>
          </cell>
          <cell r="C277" t="str">
            <v>C4405</v>
          </cell>
          <cell r="D277" t="str">
            <v>AFFAOUI</v>
          </cell>
          <cell r="E277" t="str">
            <v>EL MOSTAFA</v>
          </cell>
          <cell r="F277">
            <v>18809</v>
          </cell>
          <cell r="G277" t="str">
            <v>6</v>
          </cell>
          <cell r="H277" t="str">
            <v>OULED AZZOUZ</v>
          </cell>
          <cell r="I277" t="str">
            <v>D</v>
          </cell>
          <cell r="J277">
            <v>29486</v>
          </cell>
          <cell r="K277">
            <v>30651</v>
          </cell>
          <cell r="L277" t="str">
            <v>22</v>
          </cell>
          <cell r="M277" t="str">
            <v>B</v>
          </cell>
          <cell r="N277">
            <v>35612</v>
          </cell>
          <cell r="P277">
            <v>22</v>
          </cell>
          <cell r="Q277" t="str">
            <v>O</v>
          </cell>
          <cell r="R277" t="str">
            <v>N</v>
          </cell>
          <cell r="S277">
            <v>0</v>
          </cell>
          <cell r="T277" t="str">
            <v>M</v>
          </cell>
          <cell r="U277" t="str">
            <v>CHERRAGUI HNIA</v>
          </cell>
          <cell r="X277">
            <v>6</v>
          </cell>
          <cell r="Y277">
            <v>5</v>
          </cell>
          <cell r="AB277" t="str">
            <v>X</v>
          </cell>
          <cell r="AC277" t="str">
            <v>X</v>
          </cell>
          <cell r="AD277" t="str">
            <v>X</v>
          </cell>
          <cell r="AH277" t="str">
            <v>N</v>
          </cell>
          <cell r="AI277" t="str">
            <v>N</v>
          </cell>
          <cell r="AK277" t="str">
            <v>N 728 VILLAGE O C P HATTANE</v>
          </cell>
          <cell r="AL277" t="str">
            <v>CM2</v>
          </cell>
          <cell r="AP277" t="str">
            <v>Q 12895</v>
          </cell>
          <cell r="AQ277">
            <v>0</v>
          </cell>
          <cell r="AR277" t="str">
            <v>B</v>
          </cell>
          <cell r="AS277" t="str">
            <v>BMCE - KHGA</v>
          </cell>
          <cell r="AT277" t="str">
            <v>400012000007780-94</v>
          </cell>
          <cell r="AU277" t="str">
            <v>/  /</v>
          </cell>
          <cell r="AW277">
            <v>38899</v>
          </cell>
          <cell r="AY277" t="str">
            <v>O-</v>
          </cell>
          <cell r="AZ277" t="str">
            <v>M</v>
          </cell>
          <cell r="BA277" t="str">
            <v>0</v>
          </cell>
          <cell r="BB277">
            <v>1</v>
          </cell>
          <cell r="BD277">
            <v>0</v>
          </cell>
          <cell r="BE277" t="str">
            <v>M</v>
          </cell>
          <cell r="BF277" t="str">
            <v>N</v>
          </cell>
          <cell r="BG277">
            <v>10</v>
          </cell>
          <cell r="BH277">
            <v>38899</v>
          </cell>
        </row>
        <row r="278">
          <cell r="A278">
            <v>74636</v>
          </cell>
          <cell r="B278">
            <v>421</v>
          </cell>
          <cell r="C278" t="str">
            <v>C6001</v>
          </cell>
          <cell r="D278" t="str">
            <v>ZITANE</v>
          </cell>
          <cell r="E278" t="str">
            <v>ABDENNABI</v>
          </cell>
          <cell r="F278">
            <v>23520</v>
          </cell>
          <cell r="H278" t="str">
            <v>CHAOUEN</v>
          </cell>
          <cell r="I278" t="str">
            <v>F</v>
          </cell>
          <cell r="J278">
            <v>32010</v>
          </cell>
          <cell r="K278">
            <v>36526</v>
          </cell>
          <cell r="L278" t="str">
            <v>32</v>
          </cell>
          <cell r="M278" t="str">
            <v>A</v>
          </cell>
          <cell r="N278">
            <v>36526</v>
          </cell>
          <cell r="P278">
            <v>15</v>
          </cell>
          <cell r="Q278" t="str">
            <v>O</v>
          </cell>
          <cell r="R278" t="str">
            <v>N</v>
          </cell>
          <cell r="S278">
            <v>0</v>
          </cell>
          <cell r="T278" t="str">
            <v>M</v>
          </cell>
          <cell r="U278" t="str">
            <v>FATIHA BENT MOHAMED</v>
          </cell>
          <cell r="X278">
            <v>0</v>
          </cell>
          <cell r="Y278">
            <v>1</v>
          </cell>
          <cell r="AB278" t="str">
            <v>X</v>
          </cell>
          <cell r="AC278" t="str">
            <v>X</v>
          </cell>
          <cell r="AD278" t="str">
            <v>X</v>
          </cell>
          <cell r="AH278" t="str">
            <v>N</v>
          </cell>
          <cell r="AI278" t="str">
            <v>N</v>
          </cell>
          <cell r="AK278" t="str">
            <v>N° 205 BLOC E KARAM NAHDA - KHOURIBGA</v>
          </cell>
          <cell r="AL278" t="str">
            <v>7AS</v>
          </cell>
          <cell r="AM278" t="str">
            <v>CFO</v>
          </cell>
          <cell r="AP278" t="str">
            <v>K 141221</v>
          </cell>
          <cell r="AQ278">
            <v>0</v>
          </cell>
          <cell r="AR278" t="str">
            <v>B</v>
          </cell>
          <cell r="AS278" t="str">
            <v>B.M.C.E - KHGA</v>
          </cell>
          <cell r="AT278" t="str">
            <v>40001200000686720</v>
          </cell>
          <cell r="AU278" t="str">
            <v>/  /</v>
          </cell>
          <cell r="AW278">
            <v>41821</v>
          </cell>
          <cell r="AY278" t="str">
            <v>XX</v>
          </cell>
          <cell r="BA278" t="str">
            <v>2</v>
          </cell>
          <cell r="BB278">
            <v>0</v>
          </cell>
          <cell r="BD278">
            <v>0</v>
          </cell>
          <cell r="BE278" t="str">
            <v>M</v>
          </cell>
          <cell r="BF278" t="str">
            <v>N</v>
          </cell>
          <cell r="BG278">
            <v>1</v>
          </cell>
          <cell r="BH278">
            <v>41821</v>
          </cell>
        </row>
        <row r="279">
          <cell r="A279">
            <v>72133</v>
          </cell>
          <cell r="B279">
            <v>411</v>
          </cell>
          <cell r="C279" t="str">
            <v>C4152</v>
          </cell>
          <cell r="D279" t="str">
            <v>KHAREF</v>
          </cell>
          <cell r="E279" t="str">
            <v>EL HASSANE</v>
          </cell>
          <cell r="F279">
            <v>21028</v>
          </cell>
          <cell r="G279" t="str">
            <v>1</v>
          </cell>
          <cell r="H279" t="str">
            <v>OULED BHAR SGHAR KHOURIBGA</v>
          </cell>
          <cell r="I279" t="str">
            <v>D</v>
          </cell>
          <cell r="J279">
            <v>29434</v>
          </cell>
          <cell r="K279">
            <v>35065</v>
          </cell>
          <cell r="L279" t="str">
            <v>22</v>
          </cell>
          <cell r="M279" t="str">
            <v>A</v>
          </cell>
          <cell r="N279">
            <v>35065</v>
          </cell>
          <cell r="P279">
            <v>22</v>
          </cell>
          <cell r="Q279" t="str">
            <v>N</v>
          </cell>
          <cell r="R279" t="str">
            <v>O</v>
          </cell>
          <cell r="S279">
            <v>3</v>
          </cell>
          <cell r="T279" t="str">
            <v>M</v>
          </cell>
          <cell r="U279" t="str">
            <v>FATNA BENT JILALI</v>
          </cell>
          <cell r="X279">
            <v>4</v>
          </cell>
          <cell r="Y279">
            <v>4</v>
          </cell>
          <cell r="Z279" t="str">
            <v>N</v>
          </cell>
          <cell r="AB279" t="str">
            <v>X</v>
          </cell>
          <cell r="AC279" t="str">
            <v>X</v>
          </cell>
          <cell r="AD279" t="str">
            <v>X</v>
          </cell>
          <cell r="AH279" t="str">
            <v>N</v>
          </cell>
          <cell r="AI279" t="str">
            <v>N</v>
          </cell>
          <cell r="AK279" t="str">
            <v>OULED AMER M FASSIS HATTANE</v>
          </cell>
          <cell r="AL279" t="str">
            <v>CM2</v>
          </cell>
          <cell r="AP279" t="str">
            <v>Q 21547</v>
          </cell>
          <cell r="AQ279">
            <v>0</v>
          </cell>
          <cell r="AR279" t="str">
            <v>C</v>
          </cell>
          <cell r="AU279" t="str">
            <v>/  /</v>
          </cell>
          <cell r="AW279">
            <v>39448</v>
          </cell>
          <cell r="AY279" t="str">
            <v>XX</v>
          </cell>
          <cell r="BA279" t="str">
            <v>1</v>
          </cell>
          <cell r="BB279">
            <v>1</v>
          </cell>
          <cell r="BD279">
            <v>0</v>
          </cell>
          <cell r="BE279" t="str">
            <v>M</v>
          </cell>
          <cell r="BF279" t="str">
            <v>N</v>
          </cell>
          <cell r="BG279">
            <v>0</v>
          </cell>
          <cell r="BH279">
            <v>39448</v>
          </cell>
          <cell r="BI279" t="str">
            <v>O</v>
          </cell>
        </row>
        <row r="280">
          <cell r="A280">
            <v>72105</v>
          </cell>
          <cell r="B280">
            <v>411</v>
          </cell>
          <cell r="C280" t="str">
            <v>C4152</v>
          </cell>
          <cell r="D280" t="str">
            <v>EL GOUBI</v>
          </cell>
          <cell r="E280" t="str">
            <v>AHMED</v>
          </cell>
          <cell r="F280">
            <v>20135</v>
          </cell>
          <cell r="G280" t="str">
            <v>1</v>
          </cell>
          <cell r="H280" t="str">
            <v>OULED BHAR KBAR KHOURIBGA</v>
          </cell>
          <cell r="I280" t="str">
            <v>D</v>
          </cell>
          <cell r="J280">
            <v>29427</v>
          </cell>
          <cell r="K280">
            <v>36526</v>
          </cell>
          <cell r="L280" t="str">
            <v>22</v>
          </cell>
          <cell r="M280" t="str">
            <v>A</v>
          </cell>
          <cell r="N280">
            <v>36526</v>
          </cell>
          <cell r="P280">
            <v>22</v>
          </cell>
          <cell r="Q280" t="str">
            <v>O</v>
          </cell>
          <cell r="R280" t="str">
            <v>N</v>
          </cell>
          <cell r="S280">
            <v>0</v>
          </cell>
          <cell r="T280" t="str">
            <v>M</v>
          </cell>
          <cell r="U280" t="str">
            <v>FATIMA BENT MED</v>
          </cell>
          <cell r="X280">
            <v>0</v>
          </cell>
          <cell r="Y280">
            <v>0</v>
          </cell>
          <cell r="AB280" t="str">
            <v>X</v>
          </cell>
          <cell r="AC280" t="str">
            <v>X</v>
          </cell>
          <cell r="AD280" t="str">
            <v>X</v>
          </cell>
          <cell r="AH280" t="str">
            <v>N</v>
          </cell>
          <cell r="AI280" t="str">
            <v>N</v>
          </cell>
          <cell r="AK280" t="str">
            <v>117 TACHERON VILLAGE OCP - BOUJNIBA</v>
          </cell>
          <cell r="AL280" t="str">
            <v>CM2</v>
          </cell>
          <cell r="AP280" t="str">
            <v>Q 33700</v>
          </cell>
          <cell r="AQ280">
            <v>0</v>
          </cell>
          <cell r="AR280" t="str">
            <v>C</v>
          </cell>
          <cell r="AU280" t="str">
            <v>/  /</v>
          </cell>
          <cell r="AW280">
            <v>39083</v>
          </cell>
          <cell r="AY280" t="str">
            <v>XX</v>
          </cell>
          <cell r="BA280" t="str">
            <v>1</v>
          </cell>
          <cell r="BB280">
            <v>1</v>
          </cell>
          <cell r="BD280">
            <v>0</v>
          </cell>
          <cell r="BE280" t="str">
            <v>M</v>
          </cell>
          <cell r="BF280" t="str">
            <v>N</v>
          </cell>
          <cell r="BG280">
            <v>50</v>
          </cell>
          <cell r="BH280">
            <v>39083</v>
          </cell>
        </row>
        <row r="281">
          <cell r="A281">
            <v>72066</v>
          </cell>
          <cell r="B281">
            <v>412</v>
          </cell>
          <cell r="C281" t="str">
            <v>C4152</v>
          </cell>
          <cell r="D281" t="str">
            <v>BENHAMZA</v>
          </cell>
          <cell r="E281" t="str">
            <v>BOUAZZAOUI</v>
          </cell>
          <cell r="F281">
            <v>19540</v>
          </cell>
          <cell r="H281" t="str">
            <v>SETTAT</v>
          </cell>
          <cell r="I281" t="str">
            <v>D</v>
          </cell>
          <cell r="J281">
            <v>29424</v>
          </cell>
          <cell r="K281">
            <v>37012</v>
          </cell>
          <cell r="L281" t="str">
            <v>22</v>
          </cell>
          <cell r="M281" t="str">
            <v>D</v>
          </cell>
          <cell r="N281">
            <v>37012</v>
          </cell>
          <cell r="P281">
            <v>22</v>
          </cell>
          <cell r="Q281" t="str">
            <v>O</v>
          </cell>
          <cell r="R281" t="str">
            <v>N</v>
          </cell>
          <cell r="S281">
            <v>0</v>
          </cell>
          <cell r="T281" t="str">
            <v>M</v>
          </cell>
          <cell r="U281" t="str">
            <v>FATIMA BENT JILLALI</v>
          </cell>
          <cell r="X281">
            <v>5</v>
          </cell>
          <cell r="Y281">
            <v>2</v>
          </cell>
          <cell r="AB281" t="str">
            <v>X</v>
          </cell>
          <cell r="AC281" t="str">
            <v>X</v>
          </cell>
          <cell r="AD281" t="str">
            <v>X</v>
          </cell>
          <cell r="AH281" t="str">
            <v>N</v>
          </cell>
          <cell r="AI281" t="str">
            <v>N</v>
          </cell>
          <cell r="AK281" t="str">
            <v>LOT 49/P2 AL QODS II - KHGA</v>
          </cell>
          <cell r="AL281" t="str">
            <v>CM2</v>
          </cell>
          <cell r="AP281" t="str">
            <v>W 9564</v>
          </cell>
          <cell r="AQ281">
            <v>0</v>
          </cell>
          <cell r="AR281" t="str">
            <v>B</v>
          </cell>
          <cell r="AS281" t="str">
            <v>POPULAIRE KHGA</v>
          </cell>
          <cell r="AT281" t="str">
            <v>211111283628003</v>
          </cell>
          <cell r="AU281" t="str">
            <v>/  /</v>
          </cell>
          <cell r="AW281">
            <v>39083</v>
          </cell>
          <cell r="AY281" t="str">
            <v>B+</v>
          </cell>
          <cell r="BA281" t="str">
            <v>0</v>
          </cell>
          <cell r="BB281">
            <v>1</v>
          </cell>
          <cell r="BD281">
            <v>0</v>
          </cell>
          <cell r="BE281" t="str">
            <v>M</v>
          </cell>
          <cell r="BF281" t="str">
            <v>N</v>
          </cell>
          <cell r="BG281">
            <v>1</v>
          </cell>
          <cell r="BH281">
            <v>39083</v>
          </cell>
          <cell r="BI281" t="str">
            <v>O</v>
          </cell>
        </row>
        <row r="282">
          <cell r="A282">
            <v>72503</v>
          </cell>
          <cell r="B282">
            <v>411</v>
          </cell>
          <cell r="C282" t="str">
            <v>C7001</v>
          </cell>
          <cell r="D282" t="str">
            <v>REBBAHI</v>
          </cell>
          <cell r="E282" t="str">
            <v>M'HAMMED</v>
          </cell>
          <cell r="F282">
            <v>19956</v>
          </cell>
          <cell r="G282" t="str">
            <v>3</v>
          </cell>
          <cell r="H282" t="str">
            <v>BOUJNIBA - KHOURIBGA</v>
          </cell>
          <cell r="I282" t="str">
            <v>D</v>
          </cell>
          <cell r="J282">
            <v>29682</v>
          </cell>
          <cell r="K282">
            <v>36526</v>
          </cell>
          <cell r="L282" t="str">
            <v>33</v>
          </cell>
          <cell r="M282" t="str">
            <v>A</v>
          </cell>
          <cell r="N282">
            <v>36526</v>
          </cell>
          <cell r="P282">
            <v>22</v>
          </cell>
          <cell r="Q282" t="str">
            <v>O</v>
          </cell>
          <cell r="R282" t="str">
            <v>N</v>
          </cell>
          <cell r="S282">
            <v>0</v>
          </cell>
          <cell r="T282" t="str">
            <v>M</v>
          </cell>
          <cell r="U282" t="str">
            <v>MINA BENT EL MATI</v>
          </cell>
          <cell r="X282">
            <v>4</v>
          </cell>
          <cell r="Y282">
            <v>4</v>
          </cell>
          <cell r="AB282" t="str">
            <v>X</v>
          </cell>
          <cell r="AC282" t="str">
            <v>X</v>
          </cell>
          <cell r="AD282" t="str">
            <v>X</v>
          </cell>
          <cell r="AH282" t="str">
            <v>N</v>
          </cell>
          <cell r="AI282" t="str">
            <v>N</v>
          </cell>
          <cell r="AK282" t="str">
            <v>489 VILLAGE OCP - BOUJNIBA</v>
          </cell>
          <cell r="AL282" t="str">
            <v>3AS</v>
          </cell>
          <cell r="AM282" t="str">
            <v>CFO</v>
          </cell>
          <cell r="AP282" t="str">
            <v>Q 43887</v>
          </cell>
          <cell r="AQ282">
            <v>0</v>
          </cell>
          <cell r="AR282" t="str">
            <v>B</v>
          </cell>
          <cell r="AS282" t="str">
            <v>S.G.M.B   KHGA</v>
          </cell>
          <cell r="AT282" t="str">
            <v>670009178543</v>
          </cell>
          <cell r="AU282" t="str">
            <v>/  /</v>
          </cell>
          <cell r="AW282">
            <v>39264</v>
          </cell>
          <cell r="AY282" t="str">
            <v>XX</v>
          </cell>
          <cell r="AZ282" t="str">
            <v>R</v>
          </cell>
          <cell r="BA282" t="str">
            <v>2</v>
          </cell>
          <cell r="BB282">
            <v>1</v>
          </cell>
          <cell r="BD282">
            <v>0</v>
          </cell>
          <cell r="BE282" t="str">
            <v>M</v>
          </cell>
          <cell r="BF282" t="str">
            <v>N</v>
          </cell>
          <cell r="BG282">
            <v>50</v>
          </cell>
          <cell r="BH282">
            <v>39448</v>
          </cell>
        </row>
        <row r="283">
          <cell r="A283">
            <v>72340</v>
          </cell>
          <cell r="B283">
            <v>418</v>
          </cell>
          <cell r="C283" t="str">
            <v>C3152</v>
          </cell>
          <cell r="D283" t="str">
            <v>RABNANE</v>
          </cell>
          <cell r="E283" t="str">
            <v>KADDOUR</v>
          </cell>
          <cell r="F283">
            <v>20636</v>
          </cell>
          <cell r="G283" t="str">
            <v>1</v>
          </cell>
          <cell r="H283" t="str">
            <v>OULED BHAR SGHAR KHOURIBGA</v>
          </cell>
          <cell r="I283" t="str">
            <v>D</v>
          </cell>
          <cell r="J283">
            <v>29532</v>
          </cell>
          <cell r="K283">
            <v>37012</v>
          </cell>
          <cell r="L283" t="str">
            <v>21</v>
          </cell>
          <cell r="M283" t="str">
            <v>A</v>
          </cell>
          <cell r="N283">
            <v>37012</v>
          </cell>
          <cell r="P283">
            <v>22</v>
          </cell>
          <cell r="Q283" t="str">
            <v>N</v>
          </cell>
          <cell r="R283" t="str">
            <v>O</v>
          </cell>
          <cell r="S283">
            <v>3</v>
          </cell>
          <cell r="T283" t="str">
            <v>M</v>
          </cell>
          <cell r="U283" t="str">
            <v>KHADDOUJ BENT AHMED</v>
          </cell>
          <cell r="X283">
            <v>5</v>
          </cell>
          <cell r="Y283">
            <v>5</v>
          </cell>
          <cell r="AB283" t="str">
            <v>X</v>
          </cell>
          <cell r="AC283" t="str">
            <v>X</v>
          </cell>
          <cell r="AD283" t="str">
            <v>X</v>
          </cell>
          <cell r="AH283" t="str">
            <v>N</v>
          </cell>
          <cell r="AI283" t="str">
            <v>N</v>
          </cell>
          <cell r="AK283" t="str">
            <v>DOUAR OULED MED BEN KACEM M'FASSIS</v>
          </cell>
          <cell r="AL283" t="str">
            <v>ILLETTRE</v>
          </cell>
          <cell r="AP283" t="str">
            <v>Q 14599</v>
          </cell>
          <cell r="AQ283">
            <v>0</v>
          </cell>
          <cell r="AR283" t="str">
            <v>B</v>
          </cell>
          <cell r="AS283" t="str">
            <v>WAFABANK - KHGA</v>
          </cell>
          <cell r="AT283" t="str">
            <v>1220301126582</v>
          </cell>
          <cell r="AU283" t="str">
            <v>/  /</v>
          </cell>
          <cell r="AW283">
            <v>39264</v>
          </cell>
          <cell r="AY283" t="str">
            <v>XX</v>
          </cell>
          <cell r="BA283" t="str">
            <v>1</v>
          </cell>
          <cell r="BB283">
            <v>1</v>
          </cell>
          <cell r="BD283">
            <v>0</v>
          </cell>
          <cell r="BE283" t="str">
            <v>M</v>
          </cell>
          <cell r="BF283" t="str">
            <v>N</v>
          </cell>
          <cell r="BG283">
            <v>0</v>
          </cell>
          <cell r="BH283">
            <v>39264</v>
          </cell>
          <cell r="BI283" t="str">
            <v>O</v>
          </cell>
        </row>
        <row r="284">
          <cell r="A284">
            <v>72336</v>
          </cell>
          <cell r="B284">
            <v>416</v>
          </cell>
          <cell r="C284" t="str">
            <v>C3050</v>
          </cell>
          <cell r="D284" t="str">
            <v>TAJAOUI</v>
          </cell>
          <cell r="E284" t="str">
            <v>MOHAMMED</v>
          </cell>
          <cell r="F284">
            <v>19225</v>
          </cell>
          <cell r="G284" t="str">
            <v>6</v>
          </cell>
          <cell r="H284" t="str">
            <v>M'FASSIS</v>
          </cell>
          <cell r="I284" t="str">
            <v>D</v>
          </cell>
          <cell r="J284">
            <v>29532</v>
          </cell>
          <cell r="K284">
            <v>36526</v>
          </cell>
          <cell r="L284" t="str">
            <v>21</v>
          </cell>
          <cell r="M284" t="str">
            <v>A</v>
          </cell>
          <cell r="N284">
            <v>36526</v>
          </cell>
          <cell r="P284">
            <v>22</v>
          </cell>
          <cell r="Q284" t="str">
            <v>O</v>
          </cell>
          <cell r="R284" t="str">
            <v>N</v>
          </cell>
          <cell r="S284">
            <v>0</v>
          </cell>
          <cell r="T284" t="str">
            <v>M</v>
          </cell>
          <cell r="U284" t="str">
            <v>FATNA BENT EL MAATI</v>
          </cell>
          <cell r="X284">
            <v>5</v>
          </cell>
          <cell r="Y284">
            <v>2</v>
          </cell>
          <cell r="AB284" t="str">
            <v>X</v>
          </cell>
          <cell r="AC284" t="str">
            <v>X</v>
          </cell>
          <cell r="AD284" t="str">
            <v>X</v>
          </cell>
          <cell r="AH284" t="str">
            <v>N</v>
          </cell>
          <cell r="AI284" t="str">
            <v>N</v>
          </cell>
          <cell r="AK284" t="str">
            <v>1295  VILLAGE OCP - HATTANE</v>
          </cell>
          <cell r="AL284" t="str">
            <v>ILLETTRE</v>
          </cell>
          <cell r="AP284" t="str">
            <v>Q 82323</v>
          </cell>
          <cell r="AQ284">
            <v>0</v>
          </cell>
          <cell r="AR284" t="str">
            <v>B</v>
          </cell>
          <cell r="AS284" t="str">
            <v>SGMB - KHGA</v>
          </cell>
          <cell r="AT284" t="str">
            <v>0000067000948108641</v>
          </cell>
          <cell r="AU284" t="str">
            <v>/  /</v>
          </cell>
          <cell r="AW284">
            <v>39264</v>
          </cell>
          <cell r="AY284" t="str">
            <v>XX</v>
          </cell>
          <cell r="BA284" t="str">
            <v>1</v>
          </cell>
          <cell r="BB284">
            <v>1</v>
          </cell>
          <cell r="BD284">
            <v>0</v>
          </cell>
          <cell r="BE284" t="str">
            <v>M</v>
          </cell>
          <cell r="BF284" t="str">
            <v>N</v>
          </cell>
          <cell r="BG284">
            <v>10</v>
          </cell>
          <cell r="BH284">
            <v>39264</v>
          </cell>
        </row>
        <row r="285">
          <cell r="A285">
            <v>72322</v>
          </cell>
          <cell r="B285">
            <v>418</v>
          </cell>
          <cell r="C285" t="str">
            <v>C3152</v>
          </cell>
          <cell r="D285" t="str">
            <v>LATER</v>
          </cell>
          <cell r="E285" t="str">
            <v>EL KBIR</v>
          </cell>
          <cell r="F285">
            <v>20429</v>
          </cell>
          <cell r="G285" t="str">
            <v>1</v>
          </cell>
          <cell r="H285" t="str">
            <v>KHOURIBGA</v>
          </cell>
          <cell r="I285" t="str">
            <v>D</v>
          </cell>
          <cell r="J285">
            <v>29525</v>
          </cell>
          <cell r="K285">
            <v>36526</v>
          </cell>
          <cell r="L285" t="str">
            <v>21</v>
          </cell>
          <cell r="M285" t="str">
            <v>A</v>
          </cell>
          <cell r="N285">
            <v>36526</v>
          </cell>
          <cell r="P285">
            <v>22</v>
          </cell>
          <cell r="Q285" t="str">
            <v>O</v>
          </cell>
          <cell r="R285" t="str">
            <v>N</v>
          </cell>
          <cell r="S285">
            <v>0</v>
          </cell>
          <cell r="T285" t="str">
            <v>M</v>
          </cell>
          <cell r="U285" t="str">
            <v>BOUCHTAOUIA BENT MOHAMED</v>
          </cell>
          <cell r="X285">
            <v>6</v>
          </cell>
          <cell r="Y285">
            <v>5</v>
          </cell>
          <cell r="AB285" t="str">
            <v>X</v>
          </cell>
          <cell r="AC285" t="str">
            <v>X</v>
          </cell>
          <cell r="AD285" t="str">
            <v>X</v>
          </cell>
          <cell r="AH285" t="str">
            <v>N</v>
          </cell>
          <cell r="AI285" t="str">
            <v>N</v>
          </cell>
          <cell r="AK285" t="str">
            <v>157.ANCIENNE MEDINA SECHAGE  KHGA</v>
          </cell>
          <cell r="AL285" t="str">
            <v>ILLETTRE</v>
          </cell>
          <cell r="AP285" t="str">
            <v>Q 98936</v>
          </cell>
          <cell r="AQ285">
            <v>0</v>
          </cell>
          <cell r="AR285" t="str">
            <v>B</v>
          </cell>
          <cell r="AS285" t="str">
            <v>POPULAIRE.KHGA</v>
          </cell>
          <cell r="AT285" t="str">
            <v>2111136303380004</v>
          </cell>
          <cell r="AU285" t="str">
            <v>/  /</v>
          </cell>
          <cell r="AW285">
            <v>39264</v>
          </cell>
          <cell r="AY285" t="str">
            <v>XX</v>
          </cell>
          <cell r="BA285" t="str">
            <v>6</v>
          </cell>
          <cell r="BB285">
            <v>1</v>
          </cell>
          <cell r="BD285">
            <v>0</v>
          </cell>
          <cell r="BE285" t="str">
            <v>M</v>
          </cell>
          <cell r="BF285" t="str">
            <v>N</v>
          </cell>
          <cell r="BG285">
            <v>2</v>
          </cell>
          <cell r="BH285">
            <v>39264</v>
          </cell>
        </row>
        <row r="286">
          <cell r="A286">
            <v>72321</v>
          </cell>
          <cell r="B286">
            <v>418</v>
          </cell>
          <cell r="C286" t="str">
            <v>C3152</v>
          </cell>
          <cell r="D286" t="str">
            <v>BELABBAR</v>
          </cell>
          <cell r="E286" t="str">
            <v>M HAMMED</v>
          </cell>
          <cell r="F286">
            <v>21305</v>
          </cell>
          <cell r="G286" t="str">
            <v>1</v>
          </cell>
          <cell r="H286" t="str">
            <v>OULED BHAR KBAR KHOURIBGA</v>
          </cell>
          <cell r="I286" t="str">
            <v>D</v>
          </cell>
          <cell r="J286">
            <v>29525</v>
          </cell>
          <cell r="K286">
            <v>35977</v>
          </cell>
          <cell r="L286" t="str">
            <v>21</v>
          </cell>
          <cell r="M286" t="str">
            <v>A</v>
          </cell>
          <cell r="N286">
            <v>35977</v>
          </cell>
          <cell r="P286">
            <v>22</v>
          </cell>
          <cell r="Q286" t="str">
            <v>N</v>
          </cell>
          <cell r="R286" t="str">
            <v>O</v>
          </cell>
          <cell r="S286">
            <v>0</v>
          </cell>
          <cell r="T286" t="str">
            <v>M</v>
          </cell>
          <cell r="U286" t="str">
            <v>HALIMA BENT SALAH</v>
          </cell>
          <cell r="X286">
            <v>5</v>
          </cell>
          <cell r="Y286">
            <v>4</v>
          </cell>
          <cell r="AB286" t="str">
            <v>X</v>
          </cell>
          <cell r="AC286" t="str">
            <v>X</v>
          </cell>
          <cell r="AD286" t="str">
            <v>X</v>
          </cell>
          <cell r="AH286" t="str">
            <v>N</v>
          </cell>
          <cell r="AI286" t="str">
            <v>N</v>
          </cell>
          <cell r="AK286" t="str">
            <v>120 VILLAGE O.C.P - BOUJNIBA</v>
          </cell>
          <cell r="AL286" t="str">
            <v>ILLETTRE</v>
          </cell>
          <cell r="AP286" t="str">
            <v>Q 81661</v>
          </cell>
          <cell r="AQ286">
            <v>0</v>
          </cell>
          <cell r="AR286" t="str">
            <v>B</v>
          </cell>
          <cell r="AS286" t="str">
            <v>CR.MAROC - KHGA</v>
          </cell>
          <cell r="AT286" t="str">
            <v>082001069161</v>
          </cell>
          <cell r="AU286" t="str">
            <v>/  /</v>
          </cell>
          <cell r="AW286">
            <v>39630</v>
          </cell>
          <cell r="AY286" t="str">
            <v>XX</v>
          </cell>
          <cell r="BA286" t="str">
            <v>1</v>
          </cell>
          <cell r="BB286">
            <v>1</v>
          </cell>
          <cell r="BD286">
            <v>0</v>
          </cell>
          <cell r="BE286" t="str">
            <v>M</v>
          </cell>
          <cell r="BF286" t="str">
            <v>N</v>
          </cell>
          <cell r="BG286">
            <v>50</v>
          </cell>
          <cell r="BH286">
            <v>39630</v>
          </cell>
        </row>
        <row r="287">
          <cell r="A287">
            <v>72318</v>
          </cell>
          <cell r="B287">
            <v>418</v>
          </cell>
          <cell r="C287" t="str">
            <v>C2000</v>
          </cell>
          <cell r="D287" t="str">
            <v>MASOUF</v>
          </cell>
          <cell r="E287" t="str">
            <v>MOHAMED</v>
          </cell>
          <cell r="F287">
            <v>20636</v>
          </cell>
          <cell r="G287" t="str">
            <v>1</v>
          </cell>
          <cell r="H287" t="str">
            <v>OULED BHAR KBAR KHOURIBGA</v>
          </cell>
          <cell r="I287" t="str">
            <v>D</v>
          </cell>
          <cell r="J287">
            <v>29525</v>
          </cell>
          <cell r="K287">
            <v>31717</v>
          </cell>
          <cell r="L287" t="str">
            <v>12</v>
          </cell>
          <cell r="M287" t="str">
            <v>C</v>
          </cell>
          <cell r="N287">
            <v>36100</v>
          </cell>
          <cell r="P287">
            <v>22</v>
          </cell>
          <cell r="Q287" t="str">
            <v>N</v>
          </cell>
          <cell r="R287" t="str">
            <v>O</v>
          </cell>
          <cell r="S287">
            <v>3</v>
          </cell>
          <cell r="T287" t="str">
            <v>M</v>
          </cell>
          <cell r="U287" t="str">
            <v>CHAMALI FATIMABENT BELGASSEM</v>
          </cell>
          <cell r="X287">
            <v>6</v>
          </cell>
          <cell r="Y287">
            <v>6</v>
          </cell>
          <cell r="AB287" t="str">
            <v>X</v>
          </cell>
          <cell r="AC287" t="str">
            <v>X</v>
          </cell>
          <cell r="AD287" t="str">
            <v>X</v>
          </cell>
          <cell r="AH287" t="str">
            <v>N</v>
          </cell>
          <cell r="AI287" t="str">
            <v>N</v>
          </cell>
          <cell r="AK287" t="str">
            <v>LAMSAADA OULED BRAHIM BOUJNIBA</v>
          </cell>
          <cell r="AL287" t="str">
            <v>ILLETTRE</v>
          </cell>
          <cell r="AM287" t="str">
            <v>ILLETTRE</v>
          </cell>
          <cell r="AP287" t="str">
            <v>Q 84466</v>
          </cell>
          <cell r="AQ287">
            <v>0</v>
          </cell>
          <cell r="AR287" t="str">
            <v>C</v>
          </cell>
          <cell r="AU287" t="str">
            <v>/  /</v>
          </cell>
          <cell r="AW287">
            <v>39264</v>
          </cell>
          <cell r="AY287" t="str">
            <v>XX</v>
          </cell>
          <cell r="AZ287" t="str">
            <v>R</v>
          </cell>
          <cell r="BA287" t="str">
            <v>1</v>
          </cell>
          <cell r="BB287">
            <v>1</v>
          </cell>
          <cell r="BD287">
            <v>0</v>
          </cell>
          <cell r="BE287" t="str">
            <v>M</v>
          </cell>
          <cell r="BF287" t="str">
            <v>N</v>
          </cell>
          <cell r="BG287">
            <v>0</v>
          </cell>
          <cell r="BH287">
            <v>39264</v>
          </cell>
          <cell r="BI287" t="str">
            <v>O</v>
          </cell>
        </row>
        <row r="288">
          <cell r="A288">
            <v>72617</v>
          </cell>
          <cell r="B288">
            <v>401</v>
          </cell>
          <cell r="C288" t="str">
            <v>C4152</v>
          </cell>
          <cell r="D288" t="str">
            <v>ECH CHAMALI</v>
          </cell>
          <cell r="E288" t="str">
            <v>ABDELLAH</v>
          </cell>
          <cell r="F288">
            <v>20371</v>
          </cell>
          <cell r="G288" t="str">
            <v>1</v>
          </cell>
          <cell r="H288" t="str">
            <v>OULED BHAR KBAR KHOURIBGA</v>
          </cell>
          <cell r="I288" t="str">
            <v>D</v>
          </cell>
          <cell r="J288">
            <v>29746</v>
          </cell>
          <cell r="K288">
            <v>36526</v>
          </cell>
          <cell r="L288" t="str">
            <v>22</v>
          </cell>
          <cell r="M288" t="str">
            <v>A</v>
          </cell>
          <cell r="N288">
            <v>36526</v>
          </cell>
          <cell r="O288">
            <v>0</v>
          </cell>
          <cell r="P288">
            <v>21</v>
          </cell>
          <cell r="Q288" t="str">
            <v>O</v>
          </cell>
          <cell r="R288" t="str">
            <v>N</v>
          </cell>
          <cell r="S288">
            <v>0</v>
          </cell>
          <cell r="T288" t="str">
            <v>M</v>
          </cell>
          <cell r="U288" t="str">
            <v>QZAIBRI AICHA BENT ELHAJ</v>
          </cell>
          <cell r="X288">
            <v>6</v>
          </cell>
          <cell r="Y288">
            <v>2</v>
          </cell>
          <cell r="AB288" t="str">
            <v>X</v>
          </cell>
          <cell r="AC288" t="str">
            <v>X</v>
          </cell>
          <cell r="AD288" t="str">
            <v>X</v>
          </cell>
          <cell r="AH288" t="str">
            <v>N</v>
          </cell>
          <cell r="AI288" t="str">
            <v>N</v>
          </cell>
          <cell r="AK288" t="str">
            <v>DERB 4 BOUJNIBA</v>
          </cell>
          <cell r="AL288" t="str">
            <v>CM2</v>
          </cell>
          <cell r="AP288" t="str">
            <v>Q 23809</v>
          </cell>
          <cell r="AQ288">
            <v>0</v>
          </cell>
          <cell r="AR288" t="str">
            <v>B</v>
          </cell>
          <cell r="AS288" t="str">
            <v>SGMB -KHGA</v>
          </cell>
          <cell r="AT288" t="str">
            <v>0670009517073</v>
          </cell>
          <cell r="AU288" t="str">
            <v>/  /</v>
          </cell>
          <cell r="AW288">
            <v>39448</v>
          </cell>
          <cell r="AY288" t="str">
            <v>XX</v>
          </cell>
          <cell r="BA288" t="str">
            <v>1</v>
          </cell>
          <cell r="BB288">
            <v>1</v>
          </cell>
          <cell r="BD288">
            <v>0</v>
          </cell>
          <cell r="BE288" t="str">
            <v>M</v>
          </cell>
          <cell r="BF288" t="str">
            <v>N</v>
          </cell>
          <cell r="BG288">
            <v>50</v>
          </cell>
          <cell r="BH288">
            <v>39448</v>
          </cell>
        </row>
        <row r="289">
          <cell r="A289">
            <v>72612</v>
          </cell>
          <cell r="B289">
            <v>446</v>
          </cell>
          <cell r="C289" t="str">
            <v>C2000</v>
          </cell>
          <cell r="D289" t="str">
            <v>EL GUEMRA</v>
          </cell>
          <cell r="E289" t="str">
            <v>EL ARBI</v>
          </cell>
          <cell r="F289">
            <v>21262</v>
          </cell>
          <cell r="G289" t="str">
            <v>1</v>
          </cell>
          <cell r="H289" t="str">
            <v>OULED BHAR KBAR KHOURIBGA</v>
          </cell>
          <cell r="I289" t="str">
            <v>D</v>
          </cell>
          <cell r="J289">
            <v>29746</v>
          </cell>
          <cell r="K289">
            <v>31959</v>
          </cell>
          <cell r="L289" t="str">
            <v>12</v>
          </cell>
          <cell r="M289" t="str">
            <v>C</v>
          </cell>
          <cell r="N289">
            <v>36342</v>
          </cell>
          <cell r="P289">
            <v>21</v>
          </cell>
          <cell r="Q289" t="str">
            <v>O</v>
          </cell>
          <cell r="R289" t="str">
            <v>N</v>
          </cell>
          <cell r="S289">
            <v>0</v>
          </cell>
          <cell r="T289" t="str">
            <v>M</v>
          </cell>
          <cell r="U289" t="str">
            <v>MINA BENT BRAHIM</v>
          </cell>
          <cell r="X289">
            <v>6</v>
          </cell>
          <cell r="Y289">
            <v>6</v>
          </cell>
          <cell r="AB289" t="str">
            <v>X</v>
          </cell>
          <cell r="AC289" t="str">
            <v>X</v>
          </cell>
          <cell r="AD289" t="str">
            <v>X</v>
          </cell>
          <cell r="AH289" t="str">
            <v>N</v>
          </cell>
          <cell r="AI289" t="str">
            <v>N</v>
          </cell>
          <cell r="AK289" t="str">
            <v>72 VILLAGE O.C.P - BOUJNIBA</v>
          </cell>
          <cell r="AL289" t="str">
            <v>ILLETTRE</v>
          </cell>
          <cell r="AP289" t="str">
            <v>Q 80423</v>
          </cell>
          <cell r="AQ289">
            <v>0</v>
          </cell>
          <cell r="AR289" t="str">
            <v>C</v>
          </cell>
          <cell r="AU289" t="str">
            <v>/  /</v>
          </cell>
          <cell r="AW289">
            <v>39630</v>
          </cell>
          <cell r="AY289" t="str">
            <v>XX</v>
          </cell>
          <cell r="BA289" t="str">
            <v>1</v>
          </cell>
          <cell r="BB289">
            <v>1</v>
          </cell>
          <cell r="BD289">
            <v>0</v>
          </cell>
          <cell r="BE289" t="str">
            <v>M</v>
          </cell>
          <cell r="BF289" t="str">
            <v>N</v>
          </cell>
          <cell r="BG289">
            <v>50</v>
          </cell>
          <cell r="BH289">
            <v>39630</v>
          </cell>
        </row>
        <row r="290">
          <cell r="A290">
            <v>72592</v>
          </cell>
          <cell r="B290">
            <v>418</v>
          </cell>
          <cell r="C290" t="str">
            <v>C3050</v>
          </cell>
          <cell r="D290" t="str">
            <v>ES SEKKOUNI</v>
          </cell>
          <cell r="E290" t="str">
            <v>EL HAJ</v>
          </cell>
          <cell r="F290">
            <v>19175</v>
          </cell>
          <cell r="G290" t="str">
            <v>1</v>
          </cell>
          <cell r="H290" t="str">
            <v>OULED BHAR KBAR KHOURIBGA</v>
          </cell>
          <cell r="I290" t="str">
            <v>D</v>
          </cell>
          <cell r="J290">
            <v>29742</v>
          </cell>
          <cell r="K290">
            <v>37012</v>
          </cell>
          <cell r="L290" t="str">
            <v>21</v>
          </cell>
          <cell r="M290" t="str">
            <v>A</v>
          </cell>
          <cell r="N290">
            <v>37012</v>
          </cell>
          <cell r="P290">
            <v>21</v>
          </cell>
          <cell r="Q290" t="str">
            <v>O</v>
          </cell>
          <cell r="R290" t="str">
            <v>N</v>
          </cell>
          <cell r="S290">
            <v>0</v>
          </cell>
          <cell r="T290" t="str">
            <v>M</v>
          </cell>
          <cell r="U290" t="str">
            <v>NEZHA BENT HASSAN</v>
          </cell>
          <cell r="X290">
            <v>5</v>
          </cell>
          <cell r="Y290">
            <v>5</v>
          </cell>
          <cell r="AB290" t="str">
            <v>X</v>
          </cell>
          <cell r="AC290" t="str">
            <v>X</v>
          </cell>
          <cell r="AD290" t="str">
            <v>X</v>
          </cell>
          <cell r="AH290" t="str">
            <v>N</v>
          </cell>
          <cell r="AI290" t="str">
            <v>N</v>
          </cell>
          <cell r="AK290" t="str">
            <v>108 ANCIEN TACHERON BOUJNIBA</v>
          </cell>
          <cell r="AL290" t="str">
            <v>ILLETTRE</v>
          </cell>
          <cell r="AP290" t="str">
            <v>Q 71860</v>
          </cell>
          <cell r="AQ290">
            <v>0</v>
          </cell>
          <cell r="AR290" t="str">
            <v>C</v>
          </cell>
          <cell r="AU290" t="str">
            <v>/  /</v>
          </cell>
          <cell r="AW290">
            <v>39264</v>
          </cell>
          <cell r="AY290" t="str">
            <v>XX</v>
          </cell>
          <cell r="BA290" t="str">
            <v>1</v>
          </cell>
          <cell r="BB290">
            <v>1</v>
          </cell>
          <cell r="BD290">
            <v>0</v>
          </cell>
          <cell r="BE290" t="str">
            <v>M</v>
          </cell>
          <cell r="BF290" t="str">
            <v>N</v>
          </cell>
          <cell r="BG290">
            <v>50</v>
          </cell>
          <cell r="BH290">
            <v>39264</v>
          </cell>
        </row>
        <row r="291">
          <cell r="A291">
            <v>85042</v>
          </cell>
          <cell r="B291">
            <v>418</v>
          </cell>
          <cell r="C291" t="str">
            <v>C3152</v>
          </cell>
          <cell r="D291" t="str">
            <v>FALHANI</v>
          </cell>
          <cell r="E291" t="str">
            <v>ALLAL</v>
          </cell>
          <cell r="F291">
            <v>20208</v>
          </cell>
          <cell r="G291" t="str">
            <v>6</v>
          </cell>
          <cell r="H291" t="str">
            <v>M'FASSIS</v>
          </cell>
          <cell r="I291" t="str">
            <v>D</v>
          </cell>
          <cell r="J291">
            <v>30407</v>
          </cell>
          <cell r="K291">
            <v>37012</v>
          </cell>
          <cell r="L291" t="str">
            <v>21</v>
          </cell>
          <cell r="M291" t="str">
            <v>A</v>
          </cell>
          <cell r="N291">
            <v>37012</v>
          </cell>
          <cell r="P291">
            <v>20</v>
          </cell>
          <cell r="Q291" t="str">
            <v>O</v>
          </cell>
          <cell r="R291" t="str">
            <v>N</v>
          </cell>
          <cell r="S291">
            <v>0</v>
          </cell>
          <cell r="T291" t="str">
            <v>M</v>
          </cell>
          <cell r="U291" t="str">
            <v>HALIMA BENT SALAH</v>
          </cell>
          <cell r="X291">
            <v>5</v>
          </cell>
          <cell r="Y291">
            <v>2</v>
          </cell>
          <cell r="AB291" t="str">
            <v>X</v>
          </cell>
          <cell r="AC291" t="str">
            <v>X</v>
          </cell>
          <cell r="AD291" t="str">
            <v>X</v>
          </cell>
          <cell r="AH291" t="str">
            <v>N</v>
          </cell>
          <cell r="AI291" t="str">
            <v>N</v>
          </cell>
          <cell r="AJ291">
            <v>32508</v>
          </cell>
          <cell r="AK291" t="str">
            <v>N° 12 DERB 7 - HATTANE</v>
          </cell>
          <cell r="AL291" t="str">
            <v>CM1</v>
          </cell>
          <cell r="AP291" t="str">
            <v>Q 45799</v>
          </cell>
          <cell r="AQ291">
            <v>0</v>
          </cell>
          <cell r="AR291" t="str">
            <v>B</v>
          </cell>
          <cell r="AS291" t="str">
            <v>CNCA.KHGA</v>
          </cell>
          <cell r="AT291" t="str">
            <v>0805685D601</v>
          </cell>
          <cell r="AU291" t="str">
            <v>/  /</v>
          </cell>
          <cell r="AW291">
            <v>39995</v>
          </cell>
          <cell r="AY291" t="str">
            <v>XX</v>
          </cell>
          <cell r="BA291" t="str">
            <v>1</v>
          </cell>
          <cell r="BB291">
            <v>1</v>
          </cell>
          <cell r="BD291">
            <v>0</v>
          </cell>
          <cell r="BE291" t="str">
            <v>M</v>
          </cell>
          <cell r="BF291" t="str">
            <v>N</v>
          </cell>
          <cell r="BG291">
            <v>11</v>
          </cell>
          <cell r="BH291">
            <v>40179</v>
          </cell>
          <cell r="BI291" t="str">
            <v>O</v>
          </cell>
        </row>
        <row r="292">
          <cell r="A292">
            <v>72673</v>
          </cell>
          <cell r="B292">
            <v>418</v>
          </cell>
          <cell r="C292" t="str">
            <v>C2000</v>
          </cell>
          <cell r="D292" t="str">
            <v>BOUGTAIRA</v>
          </cell>
          <cell r="E292" t="str">
            <v>EL MUSTAFA</v>
          </cell>
          <cell r="F292">
            <v>19839</v>
          </cell>
          <cell r="G292" t="str">
            <v>6</v>
          </cell>
          <cell r="H292" t="str">
            <v>OULED AZZOUZ</v>
          </cell>
          <cell r="J292">
            <v>29761</v>
          </cell>
          <cell r="K292">
            <v>31959</v>
          </cell>
          <cell r="L292" t="str">
            <v>12</v>
          </cell>
          <cell r="M292" t="str">
            <v>C</v>
          </cell>
          <cell r="N292">
            <v>36342</v>
          </cell>
          <cell r="P292">
            <v>21</v>
          </cell>
          <cell r="Q292" t="str">
            <v>O</v>
          </cell>
          <cell r="R292" t="str">
            <v>N</v>
          </cell>
          <cell r="S292">
            <v>0</v>
          </cell>
          <cell r="T292" t="str">
            <v>M</v>
          </cell>
          <cell r="U292" t="str">
            <v>FATIMA BENT MOHAMED</v>
          </cell>
          <cell r="X292">
            <v>7</v>
          </cell>
          <cell r="Y292">
            <v>3</v>
          </cell>
          <cell r="AB292" t="str">
            <v>X</v>
          </cell>
          <cell r="AC292" t="str">
            <v>X</v>
          </cell>
          <cell r="AD292" t="str">
            <v>X</v>
          </cell>
          <cell r="AH292" t="str">
            <v>O</v>
          </cell>
          <cell r="AI292" t="str">
            <v>N</v>
          </cell>
          <cell r="AK292" t="str">
            <v>986 VILLAGE OCP - HATTANE</v>
          </cell>
          <cell r="AL292" t="str">
            <v>CM2</v>
          </cell>
          <cell r="AP292" t="str">
            <v>Q 53874</v>
          </cell>
          <cell r="AQ292">
            <v>0</v>
          </cell>
          <cell r="AR292" t="str">
            <v>C</v>
          </cell>
          <cell r="AU292" t="str">
            <v>/  /</v>
          </cell>
          <cell r="AW292">
            <v>39448</v>
          </cell>
          <cell r="AY292" t="str">
            <v>XX</v>
          </cell>
          <cell r="BA292" t="str">
            <v>1</v>
          </cell>
          <cell r="BB292">
            <v>1</v>
          </cell>
          <cell r="BD292">
            <v>0</v>
          </cell>
          <cell r="BE292" t="str">
            <v>M</v>
          </cell>
          <cell r="BF292" t="str">
            <v>N</v>
          </cell>
          <cell r="BG292">
            <v>10</v>
          </cell>
          <cell r="BH292">
            <v>39448</v>
          </cell>
          <cell r="BI292" t="str">
            <v>O</v>
          </cell>
        </row>
        <row r="293">
          <cell r="A293">
            <v>72653</v>
          </cell>
          <cell r="B293">
            <v>446</v>
          </cell>
          <cell r="C293" t="str">
            <v>C4050</v>
          </cell>
          <cell r="D293" t="str">
            <v>LAHMIANI</v>
          </cell>
          <cell r="E293" t="str">
            <v>DRISS</v>
          </cell>
          <cell r="F293">
            <v>20642</v>
          </cell>
          <cell r="G293" t="str">
            <v>2</v>
          </cell>
          <cell r="H293" t="str">
            <v>BENI KHIRANE</v>
          </cell>
          <cell r="I293" t="str">
            <v>D</v>
          </cell>
          <cell r="J293">
            <v>29759</v>
          </cell>
          <cell r="K293">
            <v>37012</v>
          </cell>
          <cell r="L293" t="str">
            <v>22</v>
          </cell>
          <cell r="M293" t="str">
            <v>B</v>
          </cell>
          <cell r="N293">
            <v>37012</v>
          </cell>
          <cell r="P293">
            <v>21</v>
          </cell>
          <cell r="Q293" t="str">
            <v>O</v>
          </cell>
          <cell r="R293" t="str">
            <v>N</v>
          </cell>
          <cell r="S293">
            <v>0</v>
          </cell>
          <cell r="T293" t="str">
            <v>M</v>
          </cell>
          <cell r="U293" t="str">
            <v>FATIMA BENT MED</v>
          </cell>
          <cell r="X293">
            <v>5</v>
          </cell>
          <cell r="Y293">
            <v>5</v>
          </cell>
          <cell r="AB293" t="str">
            <v>X</v>
          </cell>
          <cell r="AC293" t="str">
            <v>X</v>
          </cell>
          <cell r="AD293" t="str">
            <v>X</v>
          </cell>
          <cell r="AH293" t="str">
            <v>N</v>
          </cell>
          <cell r="AI293" t="str">
            <v>N</v>
          </cell>
          <cell r="AK293" t="str">
            <v>N 725 VILLAGE O C P BOUJNIBA</v>
          </cell>
          <cell r="AL293" t="str">
            <v>ILLETTRE</v>
          </cell>
          <cell r="AP293" t="str">
            <v>Q 38200</v>
          </cell>
          <cell r="AQ293">
            <v>0</v>
          </cell>
          <cell r="AR293" t="str">
            <v>C</v>
          </cell>
          <cell r="AU293" t="str">
            <v>/  /</v>
          </cell>
          <cell r="AW293">
            <v>39448</v>
          </cell>
          <cell r="AY293" t="str">
            <v>XX</v>
          </cell>
          <cell r="BA293" t="str">
            <v>0</v>
          </cell>
          <cell r="BB293">
            <v>1</v>
          </cell>
          <cell r="BD293">
            <v>0</v>
          </cell>
          <cell r="BE293" t="str">
            <v>M</v>
          </cell>
          <cell r="BF293" t="str">
            <v>N</v>
          </cell>
          <cell r="BG293">
            <v>50</v>
          </cell>
          <cell r="BH293">
            <v>39448</v>
          </cell>
        </row>
        <row r="294">
          <cell r="A294">
            <v>89069</v>
          </cell>
          <cell r="B294">
            <v>418</v>
          </cell>
          <cell r="C294" t="str">
            <v>X3150</v>
          </cell>
          <cell r="D294" t="str">
            <v>ZAHIDI</v>
          </cell>
          <cell r="E294" t="str">
            <v>HASSAN</v>
          </cell>
          <cell r="F294">
            <v>21366</v>
          </cell>
          <cell r="H294" t="str">
            <v>BENI MESKINE</v>
          </cell>
          <cell r="I294" t="str">
            <v>F</v>
          </cell>
          <cell r="J294">
            <v>30517</v>
          </cell>
          <cell r="K294">
            <v>37073</v>
          </cell>
          <cell r="L294" t="str">
            <v>41</v>
          </cell>
          <cell r="M294" t="str">
            <v>A</v>
          </cell>
          <cell r="N294">
            <v>37073</v>
          </cell>
          <cell r="P294">
            <v>19</v>
          </cell>
          <cell r="Q294" t="str">
            <v>O</v>
          </cell>
          <cell r="R294" t="str">
            <v>N</v>
          </cell>
          <cell r="S294">
            <v>0</v>
          </cell>
          <cell r="T294" t="str">
            <v>M</v>
          </cell>
          <cell r="U294" t="str">
            <v>NAIMA BENT HASSAN</v>
          </cell>
          <cell r="X294">
            <v>5</v>
          </cell>
          <cell r="Y294">
            <v>5</v>
          </cell>
          <cell r="AB294" t="str">
            <v>X</v>
          </cell>
          <cell r="AC294" t="str">
            <v>X</v>
          </cell>
          <cell r="AD294" t="str">
            <v>X</v>
          </cell>
          <cell r="AH294" t="str">
            <v>N</v>
          </cell>
          <cell r="AI294" t="str">
            <v>N</v>
          </cell>
          <cell r="AK294" t="str">
            <v>35,RUE 2 RUE CHARKAOUA KHOURIBGA</v>
          </cell>
          <cell r="AL294" t="str">
            <v>7AS SC EX</v>
          </cell>
          <cell r="AM294" t="str">
            <v>CFO</v>
          </cell>
          <cell r="AP294" t="str">
            <v>Q 25210</v>
          </cell>
          <cell r="AQ294">
            <v>0</v>
          </cell>
          <cell r="AR294" t="str">
            <v>B</v>
          </cell>
          <cell r="AS294" t="str">
            <v>POPULAIRE.KHGA</v>
          </cell>
          <cell r="AT294" t="str">
            <v>2111112846980006</v>
          </cell>
          <cell r="AU294" t="str">
            <v>/  /</v>
          </cell>
          <cell r="AW294">
            <v>40179</v>
          </cell>
          <cell r="AY294" t="str">
            <v>XX</v>
          </cell>
          <cell r="BA294" t="str">
            <v>1</v>
          </cell>
          <cell r="BB294">
            <v>1</v>
          </cell>
          <cell r="BD294">
            <v>0</v>
          </cell>
          <cell r="BE294" t="str">
            <v>M</v>
          </cell>
          <cell r="BF294" t="str">
            <v>N</v>
          </cell>
          <cell r="BG294">
            <v>1</v>
          </cell>
          <cell r="BH294">
            <v>40544</v>
          </cell>
        </row>
        <row r="295">
          <cell r="A295">
            <v>89030</v>
          </cell>
          <cell r="B295">
            <v>418</v>
          </cell>
          <cell r="C295" t="str">
            <v>C3152</v>
          </cell>
          <cell r="D295" t="str">
            <v>JAMLADI</v>
          </cell>
          <cell r="E295" t="str">
            <v>MOHAMED</v>
          </cell>
          <cell r="F295">
            <v>21110</v>
          </cell>
          <cell r="G295" t="str">
            <v>1</v>
          </cell>
          <cell r="H295" t="str">
            <v>OULED BHAR SGHAR KHOURIBGA</v>
          </cell>
          <cell r="I295" t="str">
            <v>D</v>
          </cell>
          <cell r="J295">
            <v>29879</v>
          </cell>
          <cell r="K295">
            <v>35977</v>
          </cell>
          <cell r="L295" t="str">
            <v>21</v>
          </cell>
          <cell r="M295" t="str">
            <v>A</v>
          </cell>
          <cell r="N295">
            <v>35977</v>
          </cell>
          <cell r="P295">
            <v>21</v>
          </cell>
          <cell r="Q295" t="str">
            <v>O</v>
          </cell>
          <cell r="R295" t="str">
            <v>N</v>
          </cell>
          <cell r="S295">
            <v>0</v>
          </cell>
          <cell r="T295" t="str">
            <v>M</v>
          </cell>
          <cell r="U295" t="str">
            <v>EL MILOUDIA BENT MED</v>
          </cell>
          <cell r="X295">
            <v>1</v>
          </cell>
          <cell r="Y295">
            <v>1</v>
          </cell>
          <cell r="AB295" t="str">
            <v>X</v>
          </cell>
          <cell r="AC295" t="str">
            <v>X</v>
          </cell>
          <cell r="AD295" t="str">
            <v>X</v>
          </cell>
          <cell r="AH295" t="str">
            <v>N</v>
          </cell>
          <cell r="AI295" t="str">
            <v>N</v>
          </cell>
          <cell r="AK295" t="str">
            <v>912 VILLAGE OCP SBATA - HATTANE</v>
          </cell>
          <cell r="AL295" t="str">
            <v>CM2</v>
          </cell>
          <cell r="AP295" t="str">
            <v>Q 80098</v>
          </cell>
          <cell r="AQ295">
            <v>0</v>
          </cell>
          <cell r="AR295" t="str">
            <v>B</v>
          </cell>
          <cell r="AS295" t="str">
            <v>S.G.M.B  KHGA</v>
          </cell>
          <cell r="AT295" t="str">
            <v>0670009182034</v>
          </cell>
          <cell r="AU295" t="str">
            <v>/  /</v>
          </cell>
          <cell r="AW295">
            <v>39630</v>
          </cell>
          <cell r="AY295" t="str">
            <v>XX</v>
          </cell>
          <cell r="BA295" t="str">
            <v>1</v>
          </cell>
          <cell r="BB295">
            <v>1</v>
          </cell>
          <cell r="BD295">
            <v>0</v>
          </cell>
          <cell r="BE295" t="str">
            <v>M</v>
          </cell>
          <cell r="BF295" t="str">
            <v>N</v>
          </cell>
          <cell r="BG295">
            <v>10</v>
          </cell>
          <cell r="BH295">
            <v>39630</v>
          </cell>
        </row>
        <row r="296">
          <cell r="A296">
            <v>84667</v>
          </cell>
          <cell r="B296">
            <v>428</v>
          </cell>
          <cell r="C296" t="str">
            <v>C4411</v>
          </cell>
          <cell r="D296" t="str">
            <v>FALHANI</v>
          </cell>
          <cell r="E296" t="str">
            <v>BOUAZZA</v>
          </cell>
          <cell r="F296">
            <v>19191</v>
          </cell>
          <cell r="G296" t="str">
            <v>6</v>
          </cell>
          <cell r="H296" t="str">
            <v>M'FASSIS</v>
          </cell>
          <cell r="I296" t="str">
            <v>D</v>
          </cell>
          <cell r="J296">
            <v>29587</v>
          </cell>
          <cell r="K296">
            <v>34851</v>
          </cell>
          <cell r="L296" t="str">
            <v>22</v>
          </cell>
          <cell r="M296" t="str">
            <v>A</v>
          </cell>
          <cell r="N296">
            <v>34851</v>
          </cell>
          <cell r="P296">
            <v>22</v>
          </cell>
          <cell r="Q296" t="str">
            <v>O</v>
          </cell>
          <cell r="R296" t="str">
            <v>N</v>
          </cell>
          <cell r="S296">
            <v>0</v>
          </cell>
          <cell r="T296" t="str">
            <v>M</v>
          </cell>
          <cell r="U296" t="str">
            <v>MALIKA BENTMED</v>
          </cell>
          <cell r="X296">
            <v>5</v>
          </cell>
          <cell r="Y296">
            <v>2</v>
          </cell>
          <cell r="AB296" t="str">
            <v>X</v>
          </cell>
          <cell r="AC296" t="str">
            <v>X</v>
          </cell>
          <cell r="AD296" t="str">
            <v>X</v>
          </cell>
          <cell r="AH296" t="str">
            <v>N</v>
          </cell>
          <cell r="AI296" t="str">
            <v>N</v>
          </cell>
          <cell r="AK296" t="str">
            <v>1256 VILLAGE OCP - HATTANE</v>
          </cell>
          <cell r="AL296" t="str">
            <v>CM2</v>
          </cell>
          <cell r="AP296" t="str">
            <v>Q 88952</v>
          </cell>
          <cell r="AQ296">
            <v>0</v>
          </cell>
          <cell r="AR296" t="str">
            <v>B</v>
          </cell>
          <cell r="AS296" t="str">
            <v>WAFABANK - KHGA</v>
          </cell>
          <cell r="AT296" t="str">
            <v>1221301347157-92</v>
          </cell>
          <cell r="AU296" t="str">
            <v>/  /</v>
          </cell>
          <cell r="AW296">
            <v>39264</v>
          </cell>
          <cell r="AY296" t="str">
            <v>A+</v>
          </cell>
          <cell r="BA296" t="str">
            <v>0</v>
          </cell>
          <cell r="BB296">
            <v>1</v>
          </cell>
          <cell r="BD296">
            <v>0</v>
          </cell>
          <cell r="BE296" t="str">
            <v>M</v>
          </cell>
          <cell r="BF296" t="str">
            <v>N</v>
          </cell>
          <cell r="BG296">
            <v>11</v>
          </cell>
          <cell r="BH296">
            <v>39264</v>
          </cell>
          <cell r="BI296" t="str">
            <v>O</v>
          </cell>
        </row>
        <row r="297">
          <cell r="A297">
            <v>81881</v>
          </cell>
          <cell r="B297">
            <v>418</v>
          </cell>
          <cell r="C297" t="str">
            <v>C3050</v>
          </cell>
          <cell r="D297" t="str">
            <v>MHADER</v>
          </cell>
          <cell r="E297" t="str">
            <v>ABDALLAH</v>
          </cell>
          <cell r="F297">
            <v>20679</v>
          </cell>
          <cell r="H297" t="str">
            <v>BENI MESKINE</v>
          </cell>
          <cell r="I297" t="str">
            <v>D</v>
          </cell>
          <cell r="J297">
            <v>28969</v>
          </cell>
          <cell r="K297">
            <v>32325</v>
          </cell>
          <cell r="L297" t="str">
            <v>21</v>
          </cell>
          <cell r="M297" t="str">
            <v>C</v>
          </cell>
          <cell r="N297">
            <v>35612</v>
          </cell>
          <cell r="O297">
            <v>0</v>
          </cell>
          <cell r="P297">
            <v>24</v>
          </cell>
          <cell r="Q297" t="str">
            <v>O</v>
          </cell>
          <cell r="R297" t="str">
            <v>N</v>
          </cell>
          <cell r="S297">
            <v>0</v>
          </cell>
          <cell r="T297" t="str">
            <v>M</v>
          </cell>
          <cell r="U297" t="str">
            <v>LEKBIRA BENT CHEGDALI</v>
          </cell>
          <cell r="X297">
            <v>4</v>
          </cell>
          <cell r="Y297">
            <v>3</v>
          </cell>
          <cell r="AB297" t="str">
            <v>X</v>
          </cell>
          <cell r="AC297" t="str">
            <v>X</v>
          </cell>
          <cell r="AD297" t="str">
            <v>X</v>
          </cell>
          <cell r="AH297" t="str">
            <v>N</v>
          </cell>
          <cell r="AI297" t="str">
            <v>N</v>
          </cell>
          <cell r="AK297" t="str">
            <v>N 374 VILLAGE O.C.P - BOUJNIBA</v>
          </cell>
          <cell r="AL297" t="str">
            <v>ILLETTRE</v>
          </cell>
          <cell r="AP297" t="str">
            <v>W 73844</v>
          </cell>
          <cell r="AQ297">
            <v>0</v>
          </cell>
          <cell r="AR297" t="str">
            <v>B</v>
          </cell>
          <cell r="AS297" t="str">
            <v>BMCE - KHGA</v>
          </cell>
          <cell r="AT297" t="str">
            <v>4000001200001733738</v>
          </cell>
          <cell r="AU297" t="str">
            <v>/  /</v>
          </cell>
          <cell r="AW297">
            <v>39083</v>
          </cell>
          <cell r="AY297" t="str">
            <v>XX</v>
          </cell>
          <cell r="BA297" t="str">
            <v>2</v>
          </cell>
          <cell r="BB297">
            <v>1</v>
          </cell>
          <cell r="BD297">
            <v>0</v>
          </cell>
          <cell r="BE297" t="str">
            <v>M</v>
          </cell>
          <cell r="BF297" t="str">
            <v>N</v>
          </cell>
          <cell r="BG297">
            <v>50</v>
          </cell>
          <cell r="BH297">
            <v>39083</v>
          </cell>
        </row>
        <row r="298">
          <cell r="A298">
            <v>72919</v>
          </cell>
          <cell r="B298">
            <v>418</v>
          </cell>
          <cell r="C298" t="str">
            <v>C3152</v>
          </cell>
          <cell r="D298" t="str">
            <v>HAMDAFI</v>
          </cell>
          <cell r="E298" t="str">
            <v>AHMED</v>
          </cell>
          <cell r="F298">
            <v>19540</v>
          </cell>
          <cell r="G298" t="str">
            <v>1</v>
          </cell>
          <cell r="H298" t="str">
            <v>OULED BHAR KBAR KHOURIBGA</v>
          </cell>
          <cell r="I298" t="str">
            <v>D</v>
          </cell>
          <cell r="J298">
            <v>29829</v>
          </cell>
          <cell r="K298">
            <v>36526</v>
          </cell>
          <cell r="L298" t="str">
            <v>21</v>
          </cell>
          <cell r="M298" t="str">
            <v>A</v>
          </cell>
          <cell r="N298">
            <v>36526</v>
          </cell>
          <cell r="P298">
            <v>21</v>
          </cell>
          <cell r="Q298" t="str">
            <v>O</v>
          </cell>
          <cell r="R298" t="str">
            <v>N</v>
          </cell>
          <cell r="S298">
            <v>3</v>
          </cell>
          <cell r="T298" t="str">
            <v>M</v>
          </cell>
          <cell r="U298" t="str">
            <v>TOUSNA MALIKA BENT JILLALI</v>
          </cell>
          <cell r="X298">
            <v>2</v>
          </cell>
          <cell r="Y298">
            <v>2</v>
          </cell>
          <cell r="AB298" t="str">
            <v>X</v>
          </cell>
          <cell r="AC298" t="str">
            <v>X</v>
          </cell>
          <cell r="AD298" t="str">
            <v>X</v>
          </cell>
          <cell r="AH298" t="str">
            <v>N</v>
          </cell>
          <cell r="AI298" t="str">
            <v>N</v>
          </cell>
          <cell r="AK298" t="str">
            <v>607 NV TACHERON VILLAGE OCP - BOUJNIBA</v>
          </cell>
          <cell r="AL298" t="str">
            <v>CM2</v>
          </cell>
          <cell r="AP298" t="str">
            <v>Q 81169</v>
          </cell>
          <cell r="AQ298">
            <v>0</v>
          </cell>
          <cell r="AR298" t="str">
            <v>B</v>
          </cell>
          <cell r="AS298" t="str">
            <v>CR.MAROC - KHGA</v>
          </cell>
          <cell r="AT298" t="str">
            <v>082001075823</v>
          </cell>
          <cell r="AU298" t="str">
            <v>/  /</v>
          </cell>
          <cell r="AW298">
            <v>39448</v>
          </cell>
          <cell r="AY298" t="str">
            <v>XX</v>
          </cell>
          <cell r="BA298" t="str">
            <v>1</v>
          </cell>
          <cell r="BB298">
            <v>1</v>
          </cell>
          <cell r="BD298">
            <v>0</v>
          </cell>
          <cell r="BE298" t="str">
            <v>M</v>
          </cell>
          <cell r="BF298" t="str">
            <v>N</v>
          </cell>
          <cell r="BG298">
            <v>50</v>
          </cell>
          <cell r="BH298">
            <v>39630</v>
          </cell>
        </row>
        <row r="299">
          <cell r="A299">
            <v>72779</v>
          </cell>
          <cell r="B299">
            <v>446</v>
          </cell>
          <cell r="C299" t="str">
            <v>C7050</v>
          </cell>
          <cell r="D299" t="str">
            <v>KHILAD</v>
          </cell>
          <cell r="E299" t="str">
            <v>EL MILOUDI</v>
          </cell>
          <cell r="F299">
            <v>21709</v>
          </cell>
          <cell r="G299" t="str">
            <v>1</v>
          </cell>
          <cell r="H299" t="str">
            <v>OULED BHAR SGHAR KHOURIBGA</v>
          </cell>
          <cell r="I299" t="str">
            <v>F</v>
          </cell>
          <cell r="J299">
            <v>29790</v>
          </cell>
          <cell r="K299">
            <v>36526</v>
          </cell>
          <cell r="L299" t="str">
            <v>33</v>
          </cell>
          <cell r="M299" t="str">
            <v>A</v>
          </cell>
          <cell r="N299">
            <v>36526</v>
          </cell>
          <cell r="P299">
            <v>21</v>
          </cell>
          <cell r="Q299" t="str">
            <v>O</v>
          </cell>
          <cell r="R299" t="str">
            <v>N</v>
          </cell>
          <cell r="S299">
            <v>0</v>
          </cell>
          <cell r="T299" t="str">
            <v>M</v>
          </cell>
          <cell r="U299" t="str">
            <v>NAIMA BENT EL MOSTAFA</v>
          </cell>
          <cell r="X299">
            <v>6</v>
          </cell>
          <cell r="Y299">
            <v>6</v>
          </cell>
          <cell r="AB299" t="str">
            <v>X</v>
          </cell>
          <cell r="AC299" t="str">
            <v>X</v>
          </cell>
          <cell r="AD299" t="str">
            <v>X</v>
          </cell>
          <cell r="AH299" t="str">
            <v>N</v>
          </cell>
          <cell r="AI299" t="str">
            <v>N</v>
          </cell>
          <cell r="AK299" t="str">
            <v>294 NOUVEAUX LOGEMENTS KHOURIBGA</v>
          </cell>
          <cell r="AL299" t="str">
            <v>7AS</v>
          </cell>
          <cell r="AM299" t="str">
            <v>CFO</v>
          </cell>
          <cell r="AP299" t="str">
            <v>Q 16636</v>
          </cell>
          <cell r="AQ299">
            <v>0</v>
          </cell>
          <cell r="AR299" t="str">
            <v>C</v>
          </cell>
          <cell r="AU299" t="str">
            <v>/  /</v>
          </cell>
          <cell r="AW299">
            <v>39995</v>
          </cell>
          <cell r="AY299" t="str">
            <v>XX</v>
          </cell>
          <cell r="BA299" t="str">
            <v>2</v>
          </cell>
          <cell r="BB299">
            <v>1</v>
          </cell>
          <cell r="BD299">
            <v>0</v>
          </cell>
          <cell r="BE299" t="str">
            <v>M</v>
          </cell>
          <cell r="BF299" t="str">
            <v>N</v>
          </cell>
          <cell r="BG299">
            <v>1</v>
          </cell>
          <cell r="BH299">
            <v>39995</v>
          </cell>
        </row>
        <row r="300">
          <cell r="A300">
            <v>72913</v>
          </cell>
          <cell r="B300">
            <v>411</v>
          </cell>
          <cell r="C300" t="str">
            <v>C3152</v>
          </cell>
          <cell r="D300" t="str">
            <v>KHAYOUB</v>
          </cell>
          <cell r="E300" t="str">
            <v>AHMED</v>
          </cell>
          <cell r="F300">
            <v>21366</v>
          </cell>
          <cell r="G300" t="str">
            <v>1</v>
          </cell>
          <cell r="H300" t="str">
            <v>OULED BHAR KBAR KHOURIBGA</v>
          </cell>
          <cell r="I300" t="str">
            <v>D</v>
          </cell>
          <cell r="J300">
            <v>29826</v>
          </cell>
          <cell r="K300">
            <v>37012</v>
          </cell>
          <cell r="L300" t="str">
            <v>21</v>
          </cell>
          <cell r="M300" t="str">
            <v>A</v>
          </cell>
          <cell r="N300">
            <v>37012</v>
          </cell>
          <cell r="P300">
            <v>21</v>
          </cell>
          <cell r="Q300" t="str">
            <v>N</v>
          </cell>
          <cell r="R300" t="str">
            <v>O</v>
          </cell>
          <cell r="S300">
            <v>3</v>
          </cell>
          <cell r="T300" t="str">
            <v>M</v>
          </cell>
          <cell r="U300" t="str">
            <v>AICHA BENT BRAHIM</v>
          </cell>
          <cell r="X300">
            <v>5</v>
          </cell>
          <cell r="Y300">
            <v>6</v>
          </cell>
          <cell r="AB300" t="str">
            <v>X</v>
          </cell>
          <cell r="AC300" t="str">
            <v>X</v>
          </cell>
          <cell r="AD300" t="str">
            <v>X</v>
          </cell>
          <cell r="AH300" t="str">
            <v>N</v>
          </cell>
          <cell r="AI300" t="str">
            <v>N</v>
          </cell>
          <cell r="AK300" t="str">
            <v>321 VILLAGE OCP - BOUJNIBA</v>
          </cell>
          <cell r="AL300" t="str">
            <v>CM2</v>
          </cell>
          <cell r="AP300" t="str">
            <v>Q 41307</v>
          </cell>
          <cell r="AQ300">
            <v>0</v>
          </cell>
          <cell r="AR300" t="str">
            <v>C</v>
          </cell>
          <cell r="AU300" t="str">
            <v>/  /</v>
          </cell>
          <cell r="AW300">
            <v>39630</v>
          </cell>
          <cell r="AY300" t="str">
            <v>XX</v>
          </cell>
          <cell r="BA300" t="str">
            <v>2</v>
          </cell>
          <cell r="BB300">
            <v>1</v>
          </cell>
          <cell r="BD300">
            <v>0</v>
          </cell>
          <cell r="BE300" t="str">
            <v>M</v>
          </cell>
          <cell r="BF300" t="str">
            <v>N</v>
          </cell>
          <cell r="BG300">
            <v>0</v>
          </cell>
          <cell r="BH300">
            <v>39630</v>
          </cell>
          <cell r="BI300" t="str">
            <v>O</v>
          </cell>
        </row>
        <row r="301">
          <cell r="A301">
            <v>72762</v>
          </cell>
          <cell r="B301">
            <v>476</v>
          </cell>
          <cell r="C301" t="str">
            <v>C7050</v>
          </cell>
          <cell r="D301" t="str">
            <v>ZERRAR</v>
          </cell>
          <cell r="E301" t="str">
            <v>MOHAMMED</v>
          </cell>
          <cell r="F301">
            <v>20575</v>
          </cell>
          <cell r="G301" t="str">
            <v>1</v>
          </cell>
          <cell r="H301" t="str">
            <v>OULED BHAR SGHAR KHOURIBGA</v>
          </cell>
          <cell r="I301" t="str">
            <v>F</v>
          </cell>
          <cell r="J301">
            <v>29791</v>
          </cell>
          <cell r="K301">
            <v>36526</v>
          </cell>
          <cell r="L301" t="str">
            <v>33</v>
          </cell>
          <cell r="M301" t="str">
            <v>A</v>
          </cell>
          <cell r="N301">
            <v>36526</v>
          </cell>
          <cell r="P301">
            <v>21</v>
          </cell>
          <cell r="Q301" t="str">
            <v>O</v>
          </cell>
          <cell r="R301" t="str">
            <v>N</v>
          </cell>
          <cell r="S301">
            <v>0</v>
          </cell>
          <cell r="T301" t="str">
            <v>M</v>
          </cell>
          <cell r="U301" t="str">
            <v>BARJAOUI JAMILA</v>
          </cell>
          <cell r="X301">
            <v>5</v>
          </cell>
          <cell r="Y301">
            <v>5</v>
          </cell>
          <cell r="AB301" t="str">
            <v>X</v>
          </cell>
          <cell r="AC301" t="str">
            <v>X</v>
          </cell>
          <cell r="AD301" t="str">
            <v>X</v>
          </cell>
          <cell r="AH301" t="str">
            <v>N</v>
          </cell>
          <cell r="AI301" t="str">
            <v>N</v>
          </cell>
          <cell r="AK301" t="str">
            <v>4 DERB OD EL MOUHTAR RUE OD. FARES KHGA</v>
          </cell>
          <cell r="AL301" t="str">
            <v>7AS</v>
          </cell>
          <cell r="AM301" t="str">
            <v>CFO</v>
          </cell>
          <cell r="AP301" t="str">
            <v>Q 51597</v>
          </cell>
          <cell r="AQ301">
            <v>0</v>
          </cell>
          <cell r="AR301" t="str">
            <v>B</v>
          </cell>
          <cell r="AS301" t="str">
            <v>BMCE - KHGA</v>
          </cell>
          <cell r="AT301" t="str">
            <v>40001200001170459</v>
          </cell>
          <cell r="AU301" t="str">
            <v>/  /</v>
          </cell>
          <cell r="AW301">
            <v>39448</v>
          </cell>
          <cell r="AY301" t="str">
            <v>XX</v>
          </cell>
          <cell r="BA301" t="str">
            <v>2</v>
          </cell>
          <cell r="BB301">
            <v>1</v>
          </cell>
          <cell r="BC301" t="str">
            <v>N</v>
          </cell>
          <cell r="BD301">
            <v>0</v>
          </cell>
          <cell r="BE301" t="str">
            <v>M</v>
          </cell>
          <cell r="BF301" t="str">
            <v>N</v>
          </cell>
          <cell r="BG301">
            <v>1</v>
          </cell>
          <cell r="BH301">
            <v>39448</v>
          </cell>
        </row>
        <row r="302">
          <cell r="A302">
            <v>69948</v>
          </cell>
          <cell r="B302">
            <v>418</v>
          </cell>
          <cell r="C302" t="str">
            <v>C4152</v>
          </cell>
          <cell r="D302" t="str">
            <v>TEMRA</v>
          </cell>
          <cell r="E302" t="str">
            <v>JILALI</v>
          </cell>
          <cell r="F302">
            <v>19624</v>
          </cell>
          <cell r="G302" t="str">
            <v>1</v>
          </cell>
          <cell r="H302" t="str">
            <v>KHOURIBGA</v>
          </cell>
          <cell r="I302" t="str">
            <v>D</v>
          </cell>
          <cell r="J302">
            <v>28430</v>
          </cell>
          <cell r="K302">
            <v>35065</v>
          </cell>
          <cell r="L302" t="str">
            <v>22</v>
          </cell>
          <cell r="M302" t="str">
            <v>A</v>
          </cell>
          <cell r="N302">
            <v>35065</v>
          </cell>
          <cell r="P302">
            <v>25</v>
          </cell>
          <cell r="Q302" t="str">
            <v>O</v>
          </cell>
          <cell r="R302" t="str">
            <v>N</v>
          </cell>
          <cell r="S302">
            <v>0</v>
          </cell>
          <cell r="T302" t="str">
            <v>M</v>
          </cell>
          <cell r="U302" t="str">
            <v>ES SALLAFI ZOHRA</v>
          </cell>
          <cell r="X302">
            <v>5</v>
          </cell>
          <cell r="Y302">
            <v>5</v>
          </cell>
          <cell r="AB302" t="str">
            <v>X</v>
          </cell>
          <cell r="AC302" t="str">
            <v>X</v>
          </cell>
          <cell r="AD302" t="str">
            <v>X</v>
          </cell>
          <cell r="AH302" t="str">
            <v>N</v>
          </cell>
          <cell r="AI302" t="str">
            <v>N</v>
          </cell>
          <cell r="AK302" t="str">
            <v>496 HAY EL AMAL ERAC - KHGA</v>
          </cell>
          <cell r="AL302" t="str">
            <v>CM2</v>
          </cell>
          <cell r="AP302" t="str">
            <v>Q 22887</v>
          </cell>
          <cell r="AQ302">
            <v>0</v>
          </cell>
          <cell r="AR302" t="str">
            <v>C</v>
          </cell>
          <cell r="AU302" t="str">
            <v>/  /</v>
          </cell>
          <cell r="AW302">
            <v>38169</v>
          </cell>
          <cell r="AY302" t="str">
            <v>XX</v>
          </cell>
          <cell r="BA302" t="str">
            <v>6</v>
          </cell>
          <cell r="BB302">
            <v>1</v>
          </cell>
          <cell r="BD302">
            <v>0</v>
          </cell>
          <cell r="BE302" t="str">
            <v>M</v>
          </cell>
          <cell r="BF302" t="str">
            <v>N</v>
          </cell>
          <cell r="BG302">
            <v>1</v>
          </cell>
          <cell r="BH302">
            <v>38169</v>
          </cell>
          <cell r="BI302" t="str">
            <v>O</v>
          </cell>
        </row>
        <row r="303">
          <cell r="A303">
            <v>71679</v>
          </cell>
          <cell r="B303">
            <v>476</v>
          </cell>
          <cell r="C303" t="str">
            <v>C4152</v>
          </cell>
          <cell r="D303" t="str">
            <v>JBIRA</v>
          </cell>
          <cell r="E303" t="str">
            <v>SALAH</v>
          </cell>
          <cell r="F303">
            <v>19905</v>
          </cell>
          <cell r="G303" t="str">
            <v>6</v>
          </cell>
          <cell r="H303" t="str">
            <v>M'FASSIS</v>
          </cell>
          <cell r="I303" t="str">
            <v>D</v>
          </cell>
          <cell r="J303">
            <v>29245</v>
          </cell>
          <cell r="K303">
            <v>35065</v>
          </cell>
          <cell r="L303" t="str">
            <v>22</v>
          </cell>
          <cell r="M303" t="str">
            <v>A</v>
          </cell>
          <cell r="N303">
            <v>35065</v>
          </cell>
          <cell r="P303">
            <v>23</v>
          </cell>
          <cell r="Q303" t="str">
            <v>O</v>
          </cell>
          <cell r="R303" t="str">
            <v>N</v>
          </cell>
          <cell r="S303">
            <v>0</v>
          </cell>
          <cell r="T303" t="str">
            <v>M</v>
          </cell>
          <cell r="U303" t="str">
            <v>MALIKA BENT EL MATI</v>
          </cell>
          <cell r="V303" t="str">
            <v>SAADIA BT MOHAMED</v>
          </cell>
          <cell r="X303">
            <v>8</v>
          </cell>
          <cell r="Y303">
            <v>6</v>
          </cell>
          <cell r="AB303" t="str">
            <v>X</v>
          </cell>
          <cell r="AC303" t="str">
            <v>X</v>
          </cell>
          <cell r="AD303" t="str">
            <v>X</v>
          </cell>
          <cell r="AH303" t="str">
            <v>N</v>
          </cell>
          <cell r="AI303" t="str">
            <v>N</v>
          </cell>
          <cell r="AK303" t="str">
            <v>1047 SBATTA VILLAGE O.C.P - HATTANE</v>
          </cell>
          <cell r="AL303" t="str">
            <v>CM2</v>
          </cell>
          <cell r="AP303" t="str">
            <v>Q 21319</v>
          </cell>
          <cell r="AQ303">
            <v>0</v>
          </cell>
          <cell r="AR303" t="str">
            <v>B</v>
          </cell>
          <cell r="AS303" t="str">
            <v>POPULAIRE.KHGA</v>
          </cell>
          <cell r="AT303" t="str">
            <v>211115648825004</v>
          </cell>
          <cell r="AU303" t="str">
            <v>/  /</v>
          </cell>
          <cell r="AW303">
            <v>38899</v>
          </cell>
          <cell r="AY303" t="str">
            <v>XX</v>
          </cell>
          <cell r="BA303" t="str">
            <v>1</v>
          </cell>
          <cell r="BB303">
            <v>1</v>
          </cell>
          <cell r="BD303">
            <v>0</v>
          </cell>
          <cell r="BE303" t="str">
            <v>M</v>
          </cell>
          <cell r="BF303" t="str">
            <v>N</v>
          </cell>
          <cell r="BG303">
            <v>10</v>
          </cell>
          <cell r="BH303">
            <v>38899</v>
          </cell>
        </row>
        <row r="304">
          <cell r="A304">
            <v>71668</v>
          </cell>
          <cell r="B304">
            <v>411</v>
          </cell>
          <cell r="C304" t="str">
            <v>C2000</v>
          </cell>
          <cell r="D304" t="str">
            <v>CHTAIBI</v>
          </cell>
          <cell r="E304" t="str">
            <v>AHMED</v>
          </cell>
          <cell r="F304">
            <v>19540</v>
          </cell>
          <cell r="G304" t="str">
            <v>6</v>
          </cell>
          <cell r="H304" t="str">
            <v>OULED AZZOUZ</v>
          </cell>
          <cell r="I304" t="str">
            <v>D</v>
          </cell>
          <cell r="J304">
            <v>29241</v>
          </cell>
          <cell r="K304">
            <v>31444</v>
          </cell>
          <cell r="L304" t="str">
            <v>12</v>
          </cell>
          <cell r="M304" t="str">
            <v>C</v>
          </cell>
          <cell r="N304">
            <v>35827</v>
          </cell>
          <cell r="P304">
            <v>23</v>
          </cell>
          <cell r="Q304" t="str">
            <v>O</v>
          </cell>
          <cell r="R304" t="str">
            <v>N</v>
          </cell>
          <cell r="S304">
            <v>0</v>
          </cell>
          <cell r="T304" t="str">
            <v>M</v>
          </cell>
          <cell r="U304" t="str">
            <v>ZOHRA BENT JILLALI</v>
          </cell>
          <cell r="X304">
            <v>5</v>
          </cell>
          <cell r="Y304">
            <v>0</v>
          </cell>
          <cell r="AB304" t="str">
            <v>X</v>
          </cell>
          <cell r="AC304" t="str">
            <v>X</v>
          </cell>
          <cell r="AD304" t="str">
            <v>X</v>
          </cell>
          <cell r="AH304" t="str">
            <v>N</v>
          </cell>
          <cell r="AI304" t="str">
            <v>N</v>
          </cell>
          <cell r="AK304" t="str">
            <v>11 DERB 7 - HATTANE</v>
          </cell>
          <cell r="AL304" t="str">
            <v>ILLETTRE</v>
          </cell>
          <cell r="AP304" t="str">
            <v>Q 54422</v>
          </cell>
          <cell r="AQ304">
            <v>0</v>
          </cell>
          <cell r="AR304" t="str">
            <v>C</v>
          </cell>
          <cell r="AU304" t="str">
            <v>/  /</v>
          </cell>
          <cell r="AW304">
            <v>38899</v>
          </cell>
          <cell r="AY304" t="str">
            <v>XX</v>
          </cell>
          <cell r="AZ304" t="str">
            <v>R</v>
          </cell>
          <cell r="BA304" t="str">
            <v>1</v>
          </cell>
          <cell r="BB304">
            <v>1</v>
          </cell>
          <cell r="BD304">
            <v>0</v>
          </cell>
          <cell r="BE304" t="str">
            <v>M</v>
          </cell>
          <cell r="BF304" t="str">
            <v>N</v>
          </cell>
          <cell r="BG304">
            <v>10</v>
          </cell>
          <cell r="BH304">
            <v>38899</v>
          </cell>
          <cell r="BI304" t="str">
            <v>O</v>
          </cell>
        </row>
        <row r="305">
          <cell r="A305">
            <v>71647</v>
          </cell>
          <cell r="B305">
            <v>418</v>
          </cell>
          <cell r="C305" t="str">
            <v>C3152</v>
          </cell>
          <cell r="D305" t="str">
            <v>EL BOUABI</v>
          </cell>
          <cell r="E305" t="str">
            <v>MOHAMED</v>
          </cell>
          <cell r="F305">
            <v>20324</v>
          </cell>
          <cell r="G305" t="str">
            <v>1</v>
          </cell>
          <cell r="H305" t="str">
            <v>OULED BHAR SGHAR KHOURIBGA</v>
          </cell>
          <cell r="I305" t="str">
            <v>D</v>
          </cell>
          <cell r="J305">
            <v>29238</v>
          </cell>
          <cell r="K305">
            <v>37377</v>
          </cell>
          <cell r="L305" t="str">
            <v>21</v>
          </cell>
          <cell r="M305" t="str">
            <v>A</v>
          </cell>
          <cell r="N305">
            <v>37377</v>
          </cell>
          <cell r="P305">
            <v>23</v>
          </cell>
          <cell r="Q305" t="str">
            <v>O</v>
          </cell>
          <cell r="R305" t="str">
            <v>N</v>
          </cell>
          <cell r="S305">
            <v>0</v>
          </cell>
          <cell r="T305" t="str">
            <v>M</v>
          </cell>
          <cell r="U305" t="str">
            <v>ZAHRA BENT MOULOUDI</v>
          </cell>
          <cell r="X305">
            <v>4</v>
          </cell>
          <cell r="Y305">
            <v>4</v>
          </cell>
          <cell r="Z305" t="str">
            <v>N</v>
          </cell>
          <cell r="AA305" t="str">
            <v>16/05/87</v>
          </cell>
          <cell r="AB305" t="str">
            <v>X</v>
          </cell>
          <cell r="AC305" t="str">
            <v>X</v>
          </cell>
          <cell r="AD305" t="str">
            <v>X</v>
          </cell>
          <cell r="AH305" t="str">
            <v>N</v>
          </cell>
          <cell r="AI305" t="str">
            <v>N</v>
          </cell>
          <cell r="AK305" t="str">
            <v>N°42 QODS II - KHOURIBGA</v>
          </cell>
          <cell r="AL305" t="str">
            <v>ILLETTRE</v>
          </cell>
          <cell r="AP305" t="str">
            <v>Q 30386</v>
          </cell>
          <cell r="AQ305">
            <v>0</v>
          </cell>
          <cell r="AR305" t="str">
            <v>X</v>
          </cell>
          <cell r="AU305" t="str">
            <v>/  /</v>
          </cell>
          <cell r="AW305">
            <v>38899</v>
          </cell>
          <cell r="AY305" t="str">
            <v>XX</v>
          </cell>
          <cell r="BA305" t="str">
            <v>1</v>
          </cell>
          <cell r="BB305">
            <v>1</v>
          </cell>
          <cell r="BD305">
            <v>0</v>
          </cell>
          <cell r="BE305" t="str">
            <v>M</v>
          </cell>
          <cell r="BF305" t="str">
            <v>N</v>
          </cell>
          <cell r="BG305">
            <v>1</v>
          </cell>
          <cell r="BH305">
            <v>38899</v>
          </cell>
          <cell r="BI305" t="str">
            <v>O</v>
          </cell>
        </row>
        <row r="306">
          <cell r="A306">
            <v>69601</v>
          </cell>
          <cell r="B306">
            <v>418</v>
          </cell>
          <cell r="C306" t="str">
            <v>C5152</v>
          </cell>
          <cell r="D306" t="str">
            <v>ALJJAOU</v>
          </cell>
          <cell r="E306" t="str">
            <v>MOHAMMED</v>
          </cell>
          <cell r="F306">
            <v>20620</v>
          </cell>
          <cell r="G306" t="str">
            <v>3</v>
          </cell>
          <cell r="H306" t="str">
            <v>BOUJNIBA</v>
          </cell>
          <cell r="I306" t="str">
            <v>D</v>
          </cell>
          <cell r="J306">
            <v>28352</v>
          </cell>
          <cell r="K306">
            <v>37073</v>
          </cell>
          <cell r="L306" t="str">
            <v>31</v>
          </cell>
          <cell r="M306" t="str">
            <v>A</v>
          </cell>
          <cell r="N306">
            <v>37073</v>
          </cell>
          <cell r="P306">
            <v>25</v>
          </cell>
          <cell r="Q306" t="str">
            <v>O</v>
          </cell>
          <cell r="R306" t="str">
            <v>N</v>
          </cell>
          <cell r="S306">
            <v>0</v>
          </cell>
          <cell r="T306" t="str">
            <v>M</v>
          </cell>
          <cell r="U306" t="str">
            <v>KHADIJA BENT EL HOUCINE</v>
          </cell>
          <cell r="X306">
            <v>4</v>
          </cell>
          <cell r="Y306">
            <v>2</v>
          </cell>
          <cell r="AB306" t="str">
            <v>X</v>
          </cell>
          <cell r="AC306" t="str">
            <v>X</v>
          </cell>
          <cell r="AD306" t="str">
            <v>X</v>
          </cell>
          <cell r="AH306" t="str">
            <v>N</v>
          </cell>
          <cell r="AI306" t="str">
            <v>N</v>
          </cell>
          <cell r="AK306" t="str">
            <v>N 76 RUE 9 OULED AYAD MABCHOUR - KHGA</v>
          </cell>
          <cell r="AL306" t="str">
            <v>4AS</v>
          </cell>
          <cell r="AP306" t="str">
            <v>Q 57013</v>
          </cell>
          <cell r="AQ306">
            <v>0</v>
          </cell>
          <cell r="AR306" t="str">
            <v>B</v>
          </cell>
          <cell r="AS306" t="str">
            <v>BMCE - KHGA</v>
          </cell>
          <cell r="AT306" t="str">
            <v>400012000006423-91</v>
          </cell>
          <cell r="AU306" t="str">
            <v>/  /</v>
          </cell>
          <cell r="AW306">
            <v>38899</v>
          </cell>
          <cell r="AY306" t="str">
            <v>XX</v>
          </cell>
          <cell r="BA306" t="str">
            <v>1</v>
          </cell>
          <cell r="BB306">
            <v>1</v>
          </cell>
          <cell r="BD306">
            <v>0</v>
          </cell>
          <cell r="BE306" t="str">
            <v>M</v>
          </cell>
          <cell r="BF306" t="str">
            <v>N</v>
          </cell>
          <cell r="BG306">
            <v>1</v>
          </cell>
          <cell r="BH306">
            <v>38899</v>
          </cell>
          <cell r="BI306" t="str">
            <v>O</v>
          </cell>
        </row>
        <row r="307">
          <cell r="A307">
            <v>69578</v>
          </cell>
          <cell r="B307">
            <v>418</v>
          </cell>
          <cell r="C307" t="str">
            <v>C5102</v>
          </cell>
          <cell r="D307" t="str">
            <v>BATIHI</v>
          </cell>
          <cell r="E307" t="str">
            <v>AHMED</v>
          </cell>
          <cell r="F307">
            <v>20341</v>
          </cell>
          <cell r="G307" t="str">
            <v>1</v>
          </cell>
          <cell r="H307" t="str">
            <v>KHOURIBGA</v>
          </cell>
          <cell r="I307" t="str">
            <v>D</v>
          </cell>
          <cell r="J307">
            <v>28349</v>
          </cell>
          <cell r="K307">
            <v>35431</v>
          </cell>
          <cell r="L307" t="str">
            <v>31</v>
          </cell>
          <cell r="M307" t="str">
            <v>A</v>
          </cell>
          <cell r="N307">
            <v>35431</v>
          </cell>
          <cell r="P307">
            <v>25</v>
          </cell>
          <cell r="Q307" t="str">
            <v>O</v>
          </cell>
          <cell r="R307" t="str">
            <v>N</v>
          </cell>
          <cell r="S307">
            <v>0</v>
          </cell>
          <cell r="T307" t="str">
            <v>M</v>
          </cell>
          <cell r="U307" t="str">
            <v>DAHIR NAJIA BENT MOHAMED</v>
          </cell>
          <cell r="X307">
            <v>3</v>
          </cell>
          <cell r="Y307">
            <v>3</v>
          </cell>
          <cell r="Z307" t="str">
            <v>N</v>
          </cell>
          <cell r="AB307" t="str">
            <v>X</v>
          </cell>
          <cell r="AC307" t="str">
            <v>X</v>
          </cell>
          <cell r="AD307" t="str">
            <v>X</v>
          </cell>
          <cell r="AH307" t="str">
            <v>N</v>
          </cell>
          <cell r="AI307" t="str">
            <v>N</v>
          </cell>
          <cell r="AK307" t="str">
            <v>756 VILLAGE O C P - BOULANOIR</v>
          </cell>
          <cell r="AL307" t="str">
            <v>2AS</v>
          </cell>
          <cell r="AP307" t="str">
            <v>Q 36515</v>
          </cell>
          <cell r="AQ307">
            <v>0</v>
          </cell>
          <cell r="AR307" t="str">
            <v>B</v>
          </cell>
          <cell r="AS307" t="str">
            <v>SGMB KHGA</v>
          </cell>
          <cell r="AT307" t="str">
            <v>670009077469</v>
          </cell>
          <cell r="AU307" t="str">
            <v>/  /</v>
          </cell>
          <cell r="AW307">
            <v>38718</v>
          </cell>
          <cell r="AY307" t="str">
            <v>XX</v>
          </cell>
          <cell r="AZ307" t="str">
            <v>M</v>
          </cell>
          <cell r="BA307" t="str">
            <v>1</v>
          </cell>
          <cell r="BB307">
            <v>1</v>
          </cell>
          <cell r="BD307">
            <v>0</v>
          </cell>
          <cell r="BE307" t="str">
            <v>M</v>
          </cell>
          <cell r="BF307" t="str">
            <v>N</v>
          </cell>
          <cell r="BG307">
            <v>40</v>
          </cell>
          <cell r="BH307">
            <v>38718</v>
          </cell>
        </row>
        <row r="308">
          <cell r="A308">
            <v>69491</v>
          </cell>
          <cell r="B308">
            <v>421</v>
          </cell>
          <cell r="C308" t="str">
            <v>C7002</v>
          </cell>
          <cell r="D308" t="str">
            <v>EL HAQIQI</v>
          </cell>
          <cell r="E308" t="str">
            <v>HAMID</v>
          </cell>
          <cell r="F308">
            <v>20270</v>
          </cell>
          <cell r="H308" t="str">
            <v>KELAAT SERAGHNA</v>
          </cell>
          <cell r="I308" t="str">
            <v>F</v>
          </cell>
          <cell r="J308">
            <v>28307</v>
          </cell>
          <cell r="K308">
            <v>35065</v>
          </cell>
          <cell r="L308" t="str">
            <v>33</v>
          </cell>
          <cell r="M308" t="str">
            <v>A</v>
          </cell>
          <cell r="N308">
            <v>35065</v>
          </cell>
          <cell r="P308">
            <v>25</v>
          </cell>
          <cell r="Q308" t="str">
            <v>O</v>
          </cell>
          <cell r="R308" t="str">
            <v>N</v>
          </cell>
          <cell r="S308">
            <v>0</v>
          </cell>
          <cell r="T308" t="str">
            <v>M</v>
          </cell>
          <cell r="U308" t="str">
            <v>BOUCHRA BENT ALLAL</v>
          </cell>
          <cell r="X308">
            <v>7</v>
          </cell>
          <cell r="Y308">
            <v>6</v>
          </cell>
          <cell r="AB308" t="str">
            <v>X</v>
          </cell>
          <cell r="AC308" t="str">
            <v>X</v>
          </cell>
          <cell r="AD308" t="str">
            <v>X</v>
          </cell>
          <cell r="AH308" t="str">
            <v>N</v>
          </cell>
          <cell r="AI308" t="str">
            <v>N</v>
          </cell>
          <cell r="AK308" t="str">
            <v>N° 18 LOTISSEMENT EL FEGR NAHDA - KHGA</v>
          </cell>
          <cell r="AL308" t="str">
            <v>4AS</v>
          </cell>
          <cell r="AM308" t="str">
            <v>CFP CFO</v>
          </cell>
          <cell r="AP308" t="str">
            <v>Q 6275</v>
          </cell>
          <cell r="AQ308">
            <v>0</v>
          </cell>
          <cell r="AR308" t="str">
            <v>B</v>
          </cell>
          <cell r="AS308" t="str">
            <v>B.M.C.E  KHGA</v>
          </cell>
          <cell r="AT308" t="str">
            <v>40001200000147012</v>
          </cell>
          <cell r="AU308" t="str">
            <v>/  /</v>
          </cell>
          <cell r="AW308">
            <v>38534</v>
          </cell>
          <cell r="AY308" t="str">
            <v>XX</v>
          </cell>
          <cell r="BA308" t="str">
            <v>2</v>
          </cell>
          <cell r="BB308">
            <v>1</v>
          </cell>
          <cell r="BD308">
            <v>0</v>
          </cell>
          <cell r="BE308" t="str">
            <v>M</v>
          </cell>
          <cell r="BF308" t="str">
            <v>N</v>
          </cell>
          <cell r="BG308">
            <v>1</v>
          </cell>
          <cell r="BH308">
            <v>38534</v>
          </cell>
        </row>
        <row r="309">
          <cell r="A309">
            <v>71545</v>
          </cell>
          <cell r="B309">
            <v>446</v>
          </cell>
          <cell r="C309" t="str">
            <v>C3050</v>
          </cell>
          <cell r="D309" t="str">
            <v>HADDANE</v>
          </cell>
          <cell r="E309" t="str">
            <v>EL MOKHTAR</v>
          </cell>
          <cell r="F309">
            <v>19175</v>
          </cell>
          <cell r="G309" t="str">
            <v>1</v>
          </cell>
          <cell r="H309" t="str">
            <v>KHOURIBGA</v>
          </cell>
          <cell r="I309" t="str">
            <v>D</v>
          </cell>
          <cell r="J309">
            <v>29192</v>
          </cell>
          <cell r="K309">
            <v>37377</v>
          </cell>
          <cell r="L309" t="str">
            <v>21</v>
          </cell>
          <cell r="M309" t="str">
            <v>B</v>
          </cell>
          <cell r="N309">
            <v>37377</v>
          </cell>
          <cell r="P309">
            <v>23</v>
          </cell>
          <cell r="Q309" t="str">
            <v>O</v>
          </cell>
          <cell r="R309" t="str">
            <v>N</v>
          </cell>
          <cell r="S309">
            <v>0</v>
          </cell>
          <cell r="T309" t="str">
            <v>M</v>
          </cell>
          <cell r="U309" t="str">
            <v>BADR MERYEM</v>
          </cell>
          <cell r="X309">
            <v>1</v>
          </cell>
          <cell r="Y309">
            <v>0</v>
          </cell>
          <cell r="Z309" t="str">
            <v>N</v>
          </cell>
          <cell r="AB309" t="str">
            <v>X</v>
          </cell>
          <cell r="AC309" t="str">
            <v>X</v>
          </cell>
          <cell r="AD309" t="str">
            <v>X</v>
          </cell>
          <cell r="AH309" t="str">
            <v>N</v>
          </cell>
          <cell r="AI309" t="str">
            <v>N</v>
          </cell>
          <cell r="AK309" t="str">
            <v>28 NELLE MEDINA SECHAGE KHGA</v>
          </cell>
          <cell r="AL309" t="str">
            <v>ILLETTRE</v>
          </cell>
          <cell r="AP309" t="str">
            <v>Q 84730</v>
          </cell>
          <cell r="AQ309">
            <v>0</v>
          </cell>
          <cell r="AR309" t="str">
            <v>B</v>
          </cell>
          <cell r="AS309" t="str">
            <v>SGMB - KHGA</v>
          </cell>
          <cell r="AT309" t="str">
            <v>0000670009475751</v>
          </cell>
          <cell r="AU309" t="str">
            <v>/  /</v>
          </cell>
          <cell r="AW309">
            <v>38899</v>
          </cell>
          <cell r="AY309" t="str">
            <v>XX</v>
          </cell>
          <cell r="BA309" t="str">
            <v>1</v>
          </cell>
          <cell r="BB309">
            <v>0</v>
          </cell>
          <cell r="BD309">
            <v>0</v>
          </cell>
          <cell r="BE309" t="str">
            <v>M</v>
          </cell>
          <cell r="BF309" t="str">
            <v>N</v>
          </cell>
          <cell r="BG309">
            <v>1</v>
          </cell>
          <cell r="BH309">
            <v>38899</v>
          </cell>
        </row>
        <row r="310">
          <cell r="A310">
            <v>69164</v>
          </cell>
          <cell r="B310">
            <v>418</v>
          </cell>
          <cell r="C310" t="str">
            <v>C4102</v>
          </cell>
          <cell r="D310" t="str">
            <v>CHATOUANE</v>
          </cell>
          <cell r="E310" t="str">
            <v>M HAMED</v>
          </cell>
          <cell r="F310">
            <v>19905</v>
          </cell>
          <cell r="G310" t="str">
            <v>1</v>
          </cell>
          <cell r="H310" t="str">
            <v>KHOURIBGA</v>
          </cell>
          <cell r="I310" t="str">
            <v>D</v>
          </cell>
          <cell r="J310">
            <v>28191</v>
          </cell>
          <cell r="K310">
            <v>36526</v>
          </cell>
          <cell r="L310" t="str">
            <v>22</v>
          </cell>
          <cell r="M310" t="str">
            <v>A</v>
          </cell>
          <cell r="N310">
            <v>36526</v>
          </cell>
          <cell r="P310">
            <v>26</v>
          </cell>
          <cell r="Q310" t="str">
            <v>O</v>
          </cell>
          <cell r="R310" t="str">
            <v>N</v>
          </cell>
          <cell r="S310">
            <v>0</v>
          </cell>
          <cell r="T310" t="str">
            <v>M</v>
          </cell>
          <cell r="U310" t="str">
            <v>HNIA BENT MED</v>
          </cell>
          <cell r="X310">
            <v>4</v>
          </cell>
          <cell r="Y310">
            <v>4</v>
          </cell>
          <cell r="AB310" t="str">
            <v>X</v>
          </cell>
          <cell r="AC310" t="str">
            <v>X</v>
          </cell>
          <cell r="AD310" t="str">
            <v>X</v>
          </cell>
          <cell r="AH310" t="str">
            <v>N</v>
          </cell>
          <cell r="AI310" t="str">
            <v>N</v>
          </cell>
          <cell r="AK310" t="str">
            <v>N 686 VILLAGE O C P BOULANOIR</v>
          </cell>
          <cell r="AL310" t="str">
            <v>2AS</v>
          </cell>
          <cell r="AP310" t="str">
            <v>Q 46010</v>
          </cell>
          <cell r="AQ310">
            <v>0</v>
          </cell>
          <cell r="AR310" t="str">
            <v>B</v>
          </cell>
          <cell r="AS310" t="str">
            <v>B.M.C.E - KHGA</v>
          </cell>
          <cell r="AT310" t="str">
            <v>0040001200000558874</v>
          </cell>
          <cell r="AU310" t="str">
            <v>/  /</v>
          </cell>
          <cell r="AW310">
            <v>38169</v>
          </cell>
          <cell r="AY310" t="str">
            <v>XX</v>
          </cell>
          <cell r="BA310" t="str">
            <v>1</v>
          </cell>
          <cell r="BB310">
            <v>1</v>
          </cell>
          <cell r="BD310">
            <v>0</v>
          </cell>
          <cell r="BE310" t="str">
            <v>M</v>
          </cell>
          <cell r="BF310" t="str">
            <v>N</v>
          </cell>
          <cell r="BG310">
            <v>40</v>
          </cell>
          <cell r="BH310">
            <v>38169</v>
          </cell>
        </row>
        <row r="311">
          <cell r="A311">
            <v>69540</v>
          </cell>
          <cell r="B311">
            <v>418</v>
          </cell>
          <cell r="C311" t="str">
            <v>C6050</v>
          </cell>
          <cell r="D311" t="str">
            <v>ZENOUAKI</v>
          </cell>
          <cell r="E311" t="str">
            <v>SAID</v>
          </cell>
          <cell r="F311">
            <v>20636</v>
          </cell>
          <cell r="G311" t="str">
            <v>1</v>
          </cell>
          <cell r="H311" t="str">
            <v>OULED BHAR KBARE KHOURIBGA</v>
          </cell>
          <cell r="I311" t="str">
            <v>D</v>
          </cell>
          <cell r="J311">
            <v>28335</v>
          </cell>
          <cell r="K311">
            <v>36526</v>
          </cell>
          <cell r="L311" t="str">
            <v>32</v>
          </cell>
          <cell r="M311" t="str">
            <v>A</v>
          </cell>
          <cell r="N311">
            <v>36526</v>
          </cell>
          <cell r="P311">
            <v>25</v>
          </cell>
          <cell r="Q311" t="str">
            <v>O</v>
          </cell>
          <cell r="R311" t="str">
            <v>N</v>
          </cell>
          <cell r="S311">
            <v>0</v>
          </cell>
          <cell r="T311" t="str">
            <v>M</v>
          </cell>
          <cell r="U311" t="str">
            <v>ZAKI KHADIJA</v>
          </cell>
          <cell r="X311">
            <v>4</v>
          </cell>
          <cell r="Y311">
            <v>3</v>
          </cell>
          <cell r="AB311" t="str">
            <v>X</v>
          </cell>
          <cell r="AC311" t="str">
            <v>X</v>
          </cell>
          <cell r="AD311" t="str">
            <v>X</v>
          </cell>
          <cell r="AH311" t="str">
            <v>N</v>
          </cell>
          <cell r="AI311" t="str">
            <v>N</v>
          </cell>
          <cell r="AK311" t="str">
            <v>190 DERB 1 - BOUJNIBA</v>
          </cell>
          <cell r="AL311" t="str">
            <v>5AS</v>
          </cell>
          <cell r="AM311" t="str">
            <v>CFO</v>
          </cell>
          <cell r="AP311" t="str">
            <v>Q 73147</v>
          </cell>
          <cell r="AQ311">
            <v>0</v>
          </cell>
          <cell r="AR311" t="str">
            <v>B</v>
          </cell>
          <cell r="AS311" t="str">
            <v>CMCB - KHGA</v>
          </cell>
          <cell r="AT311" t="str">
            <v>1220301021300</v>
          </cell>
          <cell r="AU311" t="str">
            <v>/  /</v>
          </cell>
          <cell r="AW311">
            <v>38899</v>
          </cell>
          <cell r="AY311" t="str">
            <v>XX</v>
          </cell>
          <cell r="BA311" t="str">
            <v>2</v>
          </cell>
          <cell r="BB311">
            <v>1</v>
          </cell>
          <cell r="BD311">
            <v>0</v>
          </cell>
          <cell r="BE311" t="str">
            <v>M</v>
          </cell>
          <cell r="BF311" t="str">
            <v>N</v>
          </cell>
          <cell r="BG311">
            <v>50</v>
          </cell>
          <cell r="BH311">
            <v>38899</v>
          </cell>
          <cell r="BI311" t="str">
            <v>O</v>
          </cell>
        </row>
        <row r="312">
          <cell r="A312">
            <v>71349</v>
          </cell>
          <cell r="B312">
            <v>416</v>
          </cell>
          <cell r="C312" t="str">
            <v>C3050</v>
          </cell>
          <cell r="D312" t="str">
            <v>LABHAJI</v>
          </cell>
          <cell r="E312" t="str">
            <v>ALI</v>
          </cell>
          <cell r="F312">
            <v>19175</v>
          </cell>
          <cell r="G312" t="str">
            <v>1</v>
          </cell>
          <cell r="H312" t="str">
            <v>OULED BHAR SGHAR KHOURIBGA</v>
          </cell>
          <cell r="I312" t="str">
            <v>D</v>
          </cell>
          <cell r="J312">
            <v>29089</v>
          </cell>
          <cell r="K312">
            <v>37377</v>
          </cell>
          <cell r="L312" t="str">
            <v>21</v>
          </cell>
          <cell r="M312" t="str">
            <v>A</v>
          </cell>
          <cell r="N312">
            <v>37377</v>
          </cell>
          <cell r="P312">
            <v>23</v>
          </cell>
          <cell r="Q312" t="str">
            <v>O</v>
          </cell>
          <cell r="R312" t="str">
            <v>N</v>
          </cell>
          <cell r="S312">
            <v>0</v>
          </cell>
          <cell r="T312" t="str">
            <v>M</v>
          </cell>
          <cell r="U312" t="str">
            <v>KHADDOUJ BENT CHERKI</v>
          </cell>
          <cell r="X312">
            <v>6</v>
          </cell>
          <cell r="Y312">
            <v>4</v>
          </cell>
          <cell r="AB312" t="str">
            <v>X</v>
          </cell>
          <cell r="AC312" t="str">
            <v>X</v>
          </cell>
          <cell r="AD312" t="str">
            <v>X</v>
          </cell>
          <cell r="AH312" t="str">
            <v>N</v>
          </cell>
          <cell r="AI312" t="str">
            <v>N</v>
          </cell>
          <cell r="AK312" t="str">
            <v>N 5 DERB 7 HATTANE</v>
          </cell>
          <cell r="AL312" t="str">
            <v>ILLETTRE</v>
          </cell>
          <cell r="AP312" t="str">
            <v>Q 80685</v>
          </cell>
          <cell r="AQ312">
            <v>0</v>
          </cell>
          <cell r="AR312" t="str">
            <v>C</v>
          </cell>
          <cell r="AU312" t="str">
            <v>/  /</v>
          </cell>
          <cell r="AW312">
            <v>38718</v>
          </cell>
          <cell r="AY312" t="str">
            <v>XX</v>
          </cell>
          <cell r="BA312" t="str">
            <v>1</v>
          </cell>
          <cell r="BB312">
            <v>1</v>
          </cell>
          <cell r="BD312">
            <v>0</v>
          </cell>
          <cell r="BE312" t="str">
            <v>M</v>
          </cell>
          <cell r="BF312" t="str">
            <v>N</v>
          </cell>
          <cell r="BG312">
            <v>10</v>
          </cell>
          <cell r="BH312">
            <v>38718</v>
          </cell>
          <cell r="BI312" t="str">
            <v>O</v>
          </cell>
        </row>
        <row r="313">
          <cell r="A313">
            <v>68940</v>
          </cell>
          <cell r="B313">
            <v>411</v>
          </cell>
          <cell r="C313" t="str">
            <v>C5152</v>
          </cell>
          <cell r="D313" t="str">
            <v>ECHCHAMALI</v>
          </cell>
          <cell r="E313" t="str">
            <v>AHMED</v>
          </cell>
          <cell r="F313">
            <v>20636</v>
          </cell>
          <cell r="G313" t="str">
            <v>1</v>
          </cell>
          <cell r="H313" t="str">
            <v>OULED BHAR KBAR KHOURIBGA</v>
          </cell>
          <cell r="I313" t="str">
            <v>D</v>
          </cell>
          <cell r="J313">
            <v>28163</v>
          </cell>
          <cell r="K313">
            <v>37073</v>
          </cell>
          <cell r="L313" t="str">
            <v>31</v>
          </cell>
          <cell r="M313" t="str">
            <v>A</v>
          </cell>
          <cell r="N313">
            <v>37073</v>
          </cell>
          <cell r="P313">
            <v>27</v>
          </cell>
          <cell r="Q313" t="str">
            <v>O</v>
          </cell>
          <cell r="R313" t="str">
            <v>N</v>
          </cell>
          <cell r="S313">
            <v>0</v>
          </cell>
          <cell r="T313" t="str">
            <v>M</v>
          </cell>
          <cell r="U313" t="str">
            <v>SARFI FATNA</v>
          </cell>
          <cell r="X313">
            <v>4</v>
          </cell>
          <cell r="Y313">
            <v>2</v>
          </cell>
          <cell r="AB313" t="str">
            <v>X</v>
          </cell>
          <cell r="AC313" t="str">
            <v>X</v>
          </cell>
          <cell r="AD313" t="str">
            <v>X</v>
          </cell>
          <cell r="AH313" t="str">
            <v>N</v>
          </cell>
          <cell r="AI313" t="str">
            <v>N</v>
          </cell>
          <cell r="AK313" t="str">
            <v>717 VILLAGE OCP - BOUJNIBA</v>
          </cell>
          <cell r="AL313" t="str">
            <v>2AS</v>
          </cell>
          <cell r="AP313" t="str">
            <v>Q 66612</v>
          </cell>
          <cell r="AQ313">
            <v>0</v>
          </cell>
          <cell r="AR313" t="str">
            <v>B</v>
          </cell>
          <cell r="AS313" t="str">
            <v>BMCE - KHGA</v>
          </cell>
          <cell r="AT313" t="str">
            <v>4000001200001254558</v>
          </cell>
          <cell r="AU313" t="str">
            <v>/  /</v>
          </cell>
          <cell r="AW313">
            <v>38899</v>
          </cell>
          <cell r="AY313" t="str">
            <v>XX</v>
          </cell>
          <cell r="BA313" t="str">
            <v>1</v>
          </cell>
          <cell r="BB313">
            <v>1</v>
          </cell>
          <cell r="BD313">
            <v>0</v>
          </cell>
          <cell r="BE313" t="str">
            <v>M</v>
          </cell>
          <cell r="BF313" t="str">
            <v>N</v>
          </cell>
          <cell r="BG313">
            <v>50</v>
          </cell>
          <cell r="BH313">
            <v>38899</v>
          </cell>
          <cell r="BI313" t="str">
            <v>O</v>
          </cell>
        </row>
        <row r="314">
          <cell r="A314">
            <v>71318</v>
          </cell>
          <cell r="B314">
            <v>428</v>
          </cell>
          <cell r="C314" t="str">
            <v>C3152</v>
          </cell>
          <cell r="D314" t="str">
            <v>BAHIR</v>
          </cell>
          <cell r="E314" t="str">
            <v>BOUZEKRI</v>
          </cell>
          <cell r="F314">
            <v>19175</v>
          </cell>
          <cell r="G314" t="str">
            <v>6</v>
          </cell>
          <cell r="H314" t="str">
            <v>OULED AZZOUZ</v>
          </cell>
          <cell r="I314" t="str">
            <v>D</v>
          </cell>
          <cell r="J314">
            <v>29067</v>
          </cell>
          <cell r="K314">
            <v>37012</v>
          </cell>
          <cell r="L314" t="str">
            <v>21</v>
          </cell>
          <cell r="M314" t="str">
            <v>A</v>
          </cell>
          <cell r="N314">
            <v>37012</v>
          </cell>
          <cell r="O314">
            <v>0</v>
          </cell>
          <cell r="P314">
            <v>23</v>
          </cell>
          <cell r="Q314" t="str">
            <v>O</v>
          </cell>
          <cell r="R314" t="str">
            <v>N</v>
          </cell>
          <cell r="S314">
            <v>0</v>
          </cell>
          <cell r="T314" t="str">
            <v>M</v>
          </cell>
          <cell r="U314" t="str">
            <v>ATTAFI KHADIJA</v>
          </cell>
          <cell r="V314" t="str">
            <v>FATNA BENT BOUZEKRI</v>
          </cell>
          <cell r="W314" t="str">
            <v>SERRAJI ATIKA</v>
          </cell>
          <cell r="X314">
            <v>8</v>
          </cell>
          <cell r="Y314">
            <v>4</v>
          </cell>
          <cell r="AB314" t="str">
            <v>X</v>
          </cell>
          <cell r="AC314" t="str">
            <v>X</v>
          </cell>
          <cell r="AD314" t="str">
            <v>X</v>
          </cell>
          <cell r="AH314" t="str">
            <v>N</v>
          </cell>
          <cell r="AI314" t="str">
            <v>N</v>
          </cell>
          <cell r="AK314" t="str">
            <v>80 VILLAGE O.C.P - BOUJNIBA</v>
          </cell>
          <cell r="AL314" t="str">
            <v>ILLETTRE</v>
          </cell>
          <cell r="AP314" t="str">
            <v>Q 73932</v>
          </cell>
          <cell r="AQ314">
            <v>0</v>
          </cell>
          <cell r="AR314" t="str">
            <v>B</v>
          </cell>
          <cell r="AS314" t="str">
            <v>CRED AGRIC-KHGA</v>
          </cell>
          <cell r="AT314" t="str">
            <v>0805568P601</v>
          </cell>
          <cell r="AU314" t="str">
            <v>/  /</v>
          </cell>
          <cell r="AW314">
            <v>38718</v>
          </cell>
          <cell r="AY314" t="str">
            <v>XX</v>
          </cell>
          <cell r="BA314" t="str">
            <v>1</v>
          </cell>
          <cell r="BB314">
            <v>1</v>
          </cell>
          <cell r="BD314">
            <v>0</v>
          </cell>
          <cell r="BE314" t="str">
            <v>M</v>
          </cell>
          <cell r="BF314" t="str">
            <v>N</v>
          </cell>
          <cell r="BG314">
            <v>52</v>
          </cell>
          <cell r="BH314">
            <v>38718</v>
          </cell>
        </row>
        <row r="315">
          <cell r="A315">
            <v>71286</v>
          </cell>
          <cell r="B315">
            <v>416</v>
          </cell>
          <cell r="C315" t="str">
            <v>C3152</v>
          </cell>
          <cell r="D315" t="str">
            <v>RKAB</v>
          </cell>
          <cell r="E315" t="str">
            <v>ECH CHERKI</v>
          </cell>
          <cell r="F315">
            <v>20825</v>
          </cell>
          <cell r="G315" t="str">
            <v>3</v>
          </cell>
          <cell r="H315" t="str">
            <v>BOUJNIBA</v>
          </cell>
          <cell r="I315" t="str">
            <v>D</v>
          </cell>
          <cell r="J315">
            <v>29059</v>
          </cell>
          <cell r="K315">
            <v>37377</v>
          </cell>
          <cell r="L315" t="str">
            <v>21</v>
          </cell>
          <cell r="M315" t="str">
            <v>A</v>
          </cell>
          <cell r="N315">
            <v>37377</v>
          </cell>
          <cell r="P315">
            <v>23</v>
          </cell>
          <cell r="Q315" t="str">
            <v>O</v>
          </cell>
          <cell r="R315" t="str">
            <v>N</v>
          </cell>
          <cell r="S315">
            <v>0</v>
          </cell>
          <cell r="T315" t="str">
            <v>M</v>
          </cell>
          <cell r="U315" t="str">
            <v>BOUZERDA LATIFA</v>
          </cell>
          <cell r="X315">
            <v>6</v>
          </cell>
          <cell r="Y315">
            <v>4</v>
          </cell>
          <cell r="AB315" t="str">
            <v>X</v>
          </cell>
          <cell r="AC315" t="str">
            <v>X</v>
          </cell>
          <cell r="AD315" t="str">
            <v>X</v>
          </cell>
          <cell r="AH315" t="str">
            <v>N</v>
          </cell>
          <cell r="AI315" t="str">
            <v>N</v>
          </cell>
          <cell r="AK315" t="str">
            <v>N 1169 VILLAGE O C P HATTANE</v>
          </cell>
          <cell r="AL315" t="str">
            <v>ILLETTRE</v>
          </cell>
          <cell r="AP315" t="str">
            <v>Q 32678</v>
          </cell>
          <cell r="AQ315">
            <v>0</v>
          </cell>
          <cell r="AR315" t="str">
            <v>C</v>
          </cell>
          <cell r="AU315" t="str">
            <v>/  /</v>
          </cell>
          <cell r="AW315">
            <v>39264</v>
          </cell>
          <cell r="AY315" t="str">
            <v>XX</v>
          </cell>
          <cell r="BA315" t="str">
            <v>1</v>
          </cell>
          <cell r="BB315">
            <v>1</v>
          </cell>
          <cell r="BD315">
            <v>0</v>
          </cell>
          <cell r="BE315" t="str">
            <v>M</v>
          </cell>
          <cell r="BF315" t="str">
            <v>N</v>
          </cell>
          <cell r="BG315">
            <v>10</v>
          </cell>
          <cell r="BH315">
            <v>39264</v>
          </cell>
        </row>
        <row r="316">
          <cell r="A316">
            <v>71291</v>
          </cell>
          <cell r="B316">
            <v>418</v>
          </cell>
          <cell r="C316" t="str">
            <v>C3152</v>
          </cell>
          <cell r="D316" t="str">
            <v>EL MANSOUB</v>
          </cell>
          <cell r="E316" t="str">
            <v>BOUAZZA</v>
          </cell>
          <cell r="F316">
            <v>20437</v>
          </cell>
          <cell r="G316" t="str">
            <v>1</v>
          </cell>
          <cell r="H316" t="str">
            <v>OULED BHAR KBAR KHOURIBGA</v>
          </cell>
          <cell r="I316" t="str">
            <v>D</v>
          </cell>
          <cell r="J316">
            <v>29059</v>
          </cell>
          <cell r="K316">
            <v>35096</v>
          </cell>
          <cell r="L316" t="str">
            <v>21</v>
          </cell>
          <cell r="M316" t="str">
            <v>A</v>
          </cell>
          <cell r="N316">
            <v>35096</v>
          </cell>
          <cell r="P316">
            <v>23</v>
          </cell>
          <cell r="Q316" t="str">
            <v>O</v>
          </cell>
          <cell r="R316" t="str">
            <v>N</v>
          </cell>
          <cell r="S316">
            <v>0</v>
          </cell>
          <cell r="T316" t="str">
            <v>M</v>
          </cell>
          <cell r="U316" t="str">
            <v>AICHA BENT SALAH</v>
          </cell>
          <cell r="X316">
            <v>0</v>
          </cell>
          <cell r="Y316">
            <v>0</v>
          </cell>
          <cell r="AB316" t="str">
            <v>X</v>
          </cell>
          <cell r="AC316" t="str">
            <v>X</v>
          </cell>
          <cell r="AD316" t="str">
            <v>X</v>
          </cell>
          <cell r="AH316" t="str">
            <v>N</v>
          </cell>
          <cell r="AI316" t="str">
            <v>N</v>
          </cell>
          <cell r="AK316" t="str">
            <v>227 ANCIEN TACHERON OCP - BOUJNIBA</v>
          </cell>
          <cell r="AL316" t="str">
            <v>ILLETTRE</v>
          </cell>
          <cell r="AP316" t="str">
            <v>Q 31153</v>
          </cell>
          <cell r="AQ316">
            <v>0</v>
          </cell>
          <cell r="AR316" t="str">
            <v>B</v>
          </cell>
          <cell r="AS316" t="str">
            <v>SGMB - KHGA</v>
          </cell>
          <cell r="AT316" t="str">
            <v>06700094446-14</v>
          </cell>
          <cell r="AU316" t="str">
            <v>/  /</v>
          </cell>
          <cell r="AW316">
            <v>38718</v>
          </cell>
          <cell r="AY316" t="str">
            <v>XX</v>
          </cell>
          <cell r="BA316" t="str">
            <v>1</v>
          </cell>
          <cell r="BB316">
            <v>1</v>
          </cell>
          <cell r="BD316">
            <v>0</v>
          </cell>
          <cell r="BE316" t="str">
            <v>M</v>
          </cell>
          <cell r="BF316" t="str">
            <v>N</v>
          </cell>
          <cell r="BG316">
            <v>50</v>
          </cell>
          <cell r="BH316">
            <v>38899</v>
          </cell>
          <cell r="BI316" t="str">
            <v>N</v>
          </cell>
        </row>
        <row r="317">
          <cell r="A317">
            <v>71284</v>
          </cell>
          <cell r="B317">
            <v>418</v>
          </cell>
          <cell r="C317" t="str">
            <v>C3152</v>
          </cell>
          <cell r="D317" t="str">
            <v>AFFAOUI</v>
          </cell>
          <cell r="E317" t="str">
            <v>EL KEBIR</v>
          </cell>
          <cell r="F317">
            <v>18809</v>
          </cell>
          <cell r="G317" t="str">
            <v>6</v>
          </cell>
          <cell r="H317" t="str">
            <v>OULED AZZOUZ</v>
          </cell>
          <cell r="I317" t="str">
            <v>D</v>
          </cell>
          <cell r="J317">
            <v>29059</v>
          </cell>
          <cell r="K317">
            <v>37377</v>
          </cell>
          <cell r="L317" t="str">
            <v>21</v>
          </cell>
          <cell r="M317" t="str">
            <v>A</v>
          </cell>
          <cell r="N317">
            <v>37377</v>
          </cell>
          <cell r="O317">
            <v>0</v>
          </cell>
          <cell r="P317">
            <v>23</v>
          </cell>
          <cell r="Q317" t="str">
            <v>O</v>
          </cell>
          <cell r="R317" t="str">
            <v>N</v>
          </cell>
          <cell r="S317">
            <v>0</v>
          </cell>
          <cell r="T317" t="str">
            <v>M</v>
          </cell>
          <cell r="U317" t="str">
            <v>M BARKA BENT HADJ LARBI</v>
          </cell>
          <cell r="X317">
            <v>6</v>
          </cell>
          <cell r="Y317">
            <v>2</v>
          </cell>
          <cell r="AB317" t="str">
            <v>X</v>
          </cell>
          <cell r="AC317" t="str">
            <v>X</v>
          </cell>
          <cell r="AD317" t="str">
            <v>X</v>
          </cell>
          <cell r="AH317" t="str">
            <v>N</v>
          </cell>
          <cell r="AI317" t="str">
            <v>N</v>
          </cell>
          <cell r="AK317" t="str">
            <v>N 748 VILLAGE O C P HATTANE</v>
          </cell>
          <cell r="AL317" t="str">
            <v>ILLETTRE</v>
          </cell>
          <cell r="AP317" t="str">
            <v>Q 80958</v>
          </cell>
          <cell r="AQ317">
            <v>0</v>
          </cell>
          <cell r="AR317" t="str">
            <v>C</v>
          </cell>
          <cell r="AU317" t="str">
            <v>/  /</v>
          </cell>
          <cell r="AW317">
            <v>38718</v>
          </cell>
          <cell r="AY317" t="str">
            <v>XX</v>
          </cell>
          <cell r="BA317" t="str">
            <v>1</v>
          </cell>
          <cell r="BB317">
            <v>1</v>
          </cell>
          <cell r="BD317">
            <v>0</v>
          </cell>
          <cell r="BE317" t="str">
            <v>M</v>
          </cell>
          <cell r="BF317" t="str">
            <v>N</v>
          </cell>
          <cell r="BG317">
            <v>10</v>
          </cell>
          <cell r="BH317">
            <v>38718</v>
          </cell>
        </row>
        <row r="318">
          <cell r="A318">
            <v>71276</v>
          </cell>
          <cell r="B318">
            <v>446</v>
          </cell>
          <cell r="C318" t="str">
            <v>C3152</v>
          </cell>
          <cell r="D318" t="str">
            <v>GHANOUCHIM</v>
          </cell>
          <cell r="E318" t="str">
            <v>MOHAMED</v>
          </cell>
          <cell r="F318">
            <v>20270</v>
          </cell>
          <cell r="G318" t="str">
            <v>3</v>
          </cell>
          <cell r="H318" t="str">
            <v>BOUJNIBA</v>
          </cell>
          <cell r="I318" t="str">
            <v>D</v>
          </cell>
          <cell r="J318">
            <v>29056</v>
          </cell>
          <cell r="K318">
            <v>37377</v>
          </cell>
          <cell r="L318" t="str">
            <v>21</v>
          </cell>
          <cell r="M318" t="str">
            <v>A</v>
          </cell>
          <cell r="N318">
            <v>37377</v>
          </cell>
          <cell r="P318">
            <v>23</v>
          </cell>
          <cell r="Q318" t="str">
            <v>O</v>
          </cell>
          <cell r="R318" t="str">
            <v>N</v>
          </cell>
          <cell r="S318">
            <v>0</v>
          </cell>
          <cell r="T318" t="str">
            <v>M</v>
          </cell>
          <cell r="U318" t="str">
            <v>RABHA BENT EL MATI</v>
          </cell>
          <cell r="X318">
            <v>6</v>
          </cell>
          <cell r="Y318">
            <v>5</v>
          </cell>
          <cell r="AB318" t="str">
            <v>X</v>
          </cell>
          <cell r="AC318" t="str">
            <v>X</v>
          </cell>
          <cell r="AD318" t="str">
            <v>X</v>
          </cell>
          <cell r="AH318" t="str">
            <v>N</v>
          </cell>
          <cell r="AI318" t="str">
            <v>N</v>
          </cell>
          <cell r="AK318" t="str">
            <v>256 DERB 1 - BOUJNIBA</v>
          </cell>
          <cell r="AL318" t="str">
            <v>CM2</v>
          </cell>
          <cell r="AP318" t="str">
            <v>Q 24190</v>
          </cell>
          <cell r="AQ318">
            <v>0</v>
          </cell>
          <cell r="AR318" t="str">
            <v>B</v>
          </cell>
          <cell r="AS318" t="str">
            <v>C.N.C.A  KHGA</v>
          </cell>
          <cell r="AT318" t="str">
            <v>0806007A601</v>
          </cell>
          <cell r="AU318" t="str">
            <v>/  /</v>
          </cell>
          <cell r="AW318">
            <v>38718</v>
          </cell>
          <cell r="AY318" t="str">
            <v>XX</v>
          </cell>
          <cell r="BA318" t="str">
            <v>1</v>
          </cell>
          <cell r="BB318">
            <v>1</v>
          </cell>
          <cell r="BD318">
            <v>0</v>
          </cell>
          <cell r="BE318" t="str">
            <v>M</v>
          </cell>
          <cell r="BF318" t="str">
            <v>N</v>
          </cell>
          <cell r="BG318">
            <v>50</v>
          </cell>
          <cell r="BH318">
            <v>38718</v>
          </cell>
        </row>
        <row r="319">
          <cell r="A319">
            <v>72228</v>
          </cell>
          <cell r="B319">
            <v>418</v>
          </cell>
          <cell r="C319" t="str">
            <v>C4152</v>
          </cell>
          <cell r="D319" t="str">
            <v>HIKIOUI</v>
          </cell>
          <cell r="E319" t="str">
            <v>ABDERRAHMANE</v>
          </cell>
          <cell r="F319">
            <v>20785</v>
          </cell>
          <cell r="G319" t="str">
            <v>1</v>
          </cell>
          <cell r="H319" t="str">
            <v>OULED BHAR SGHAR KHOURIBGA</v>
          </cell>
          <cell r="I319" t="str">
            <v>D</v>
          </cell>
          <cell r="J319">
            <v>29476</v>
          </cell>
          <cell r="K319">
            <v>36526</v>
          </cell>
          <cell r="L319" t="str">
            <v>22</v>
          </cell>
          <cell r="M319" t="str">
            <v>A</v>
          </cell>
          <cell r="N319">
            <v>36526</v>
          </cell>
          <cell r="P319">
            <v>22</v>
          </cell>
          <cell r="Q319" t="str">
            <v>O</v>
          </cell>
          <cell r="R319" t="str">
            <v>N</v>
          </cell>
          <cell r="S319">
            <v>0</v>
          </cell>
          <cell r="T319" t="str">
            <v>M</v>
          </cell>
          <cell r="U319" t="str">
            <v>AICH BENT HADJ SALAH</v>
          </cell>
          <cell r="X319">
            <v>5</v>
          </cell>
          <cell r="Y319">
            <v>3</v>
          </cell>
          <cell r="AB319" t="str">
            <v>X</v>
          </cell>
          <cell r="AC319" t="str">
            <v>X</v>
          </cell>
          <cell r="AD319" t="str">
            <v>X</v>
          </cell>
          <cell r="AH319" t="str">
            <v>N</v>
          </cell>
          <cell r="AI319" t="str">
            <v>N</v>
          </cell>
          <cell r="AK319" t="str">
            <v>880 SBATTA VILLAGE O.C.P - HATTANE</v>
          </cell>
          <cell r="AL319" t="str">
            <v>CM2</v>
          </cell>
          <cell r="AP319" t="str">
            <v>Q 80511</v>
          </cell>
          <cell r="AQ319">
            <v>0</v>
          </cell>
          <cell r="AR319" t="str">
            <v>B</v>
          </cell>
          <cell r="AS319" t="str">
            <v>S.G.M.B - KHGA</v>
          </cell>
          <cell r="AT319" t="str">
            <v>0670009257793</v>
          </cell>
          <cell r="AU319" t="str">
            <v>/  /</v>
          </cell>
          <cell r="AW319">
            <v>39083</v>
          </cell>
          <cell r="AY319" t="str">
            <v>XX</v>
          </cell>
          <cell r="BA319" t="str">
            <v>1</v>
          </cell>
          <cell r="BB319">
            <v>1</v>
          </cell>
          <cell r="BD319">
            <v>0</v>
          </cell>
          <cell r="BE319" t="str">
            <v>M</v>
          </cell>
          <cell r="BF319" t="str">
            <v>N</v>
          </cell>
          <cell r="BG319">
            <v>11</v>
          </cell>
          <cell r="BH319">
            <v>39264</v>
          </cell>
        </row>
        <row r="320">
          <cell r="A320">
            <v>71134</v>
          </cell>
          <cell r="B320">
            <v>446</v>
          </cell>
          <cell r="C320" t="str">
            <v>C3152</v>
          </cell>
          <cell r="D320" t="str">
            <v>DEBDOUBI</v>
          </cell>
          <cell r="E320" t="str">
            <v>BRAHIM</v>
          </cell>
          <cell r="F320">
            <v>19905</v>
          </cell>
          <cell r="G320" t="str">
            <v>3</v>
          </cell>
          <cell r="H320" t="str">
            <v>BOUJNIBA</v>
          </cell>
          <cell r="I320" t="str">
            <v>D</v>
          </cell>
          <cell r="J320">
            <v>28970</v>
          </cell>
          <cell r="K320">
            <v>35977</v>
          </cell>
          <cell r="L320" t="str">
            <v>21</v>
          </cell>
          <cell r="M320" t="str">
            <v>B</v>
          </cell>
          <cell r="N320">
            <v>35977</v>
          </cell>
          <cell r="P320">
            <v>24</v>
          </cell>
          <cell r="Q320" t="str">
            <v>O</v>
          </cell>
          <cell r="R320" t="str">
            <v>N</v>
          </cell>
          <cell r="S320">
            <v>0</v>
          </cell>
          <cell r="T320" t="str">
            <v>M</v>
          </cell>
          <cell r="U320" t="str">
            <v>MOULOUDIA BENT MED</v>
          </cell>
          <cell r="X320">
            <v>0</v>
          </cell>
          <cell r="Y320">
            <v>0</v>
          </cell>
          <cell r="AB320" t="str">
            <v>X</v>
          </cell>
          <cell r="AC320" t="str">
            <v>X</v>
          </cell>
          <cell r="AD320" t="str">
            <v>X</v>
          </cell>
          <cell r="AH320" t="str">
            <v>N</v>
          </cell>
          <cell r="AI320" t="str">
            <v>N</v>
          </cell>
          <cell r="AK320" t="str">
            <v>493 VILLAGE O C P BOUJNIBA</v>
          </cell>
          <cell r="AL320" t="str">
            <v>ILLETTRE</v>
          </cell>
          <cell r="AP320" t="str">
            <v>Q 66518</v>
          </cell>
          <cell r="AQ320">
            <v>0</v>
          </cell>
          <cell r="AR320" t="str">
            <v>C</v>
          </cell>
          <cell r="AU320" t="str">
            <v>/  /</v>
          </cell>
          <cell r="AW320">
            <v>38718</v>
          </cell>
          <cell r="AY320" t="str">
            <v>XX</v>
          </cell>
          <cell r="BA320" t="str">
            <v>1</v>
          </cell>
          <cell r="BB320">
            <v>1</v>
          </cell>
          <cell r="BD320">
            <v>0</v>
          </cell>
          <cell r="BE320" t="str">
            <v>M</v>
          </cell>
          <cell r="BF320" t="str">
            <v>N</v>
          </cell>
          <cell r="BG320">
            <v>50</v>
          </cell>
          <cell r="BH320">
            <v>38718</v>
          </cell>
        </row>
        <row r="321">
          <cell r="A321">
            <v>72224</v>
          </cell>
          <cell r="B321">
            <v>403</v>
          </cell>
          <cell r="C321" t="str">
            <v>C3365</v>
          </cell>
          <cell r="D321" t="str">
            <v>ANBER</v>
          </cell>
          <cell r="E321" t="str">
            <v>MOHAMED</v>
          </cell>
          <cell r="F321">
            <v>20907</v>
          </cell>
          <cell r="G321" t="str">
            <v>4</v>
          </cell>
          <cell r="H321" t="str">
            <v>BOULANOIR</v>
          </cell>
          <cell r="I321" t="str">
            <v>D</v>
          </cell>
          <cell r="J321">
            <v>29476</v>
          </cell>
          <cell r="K321">
            <v>36526</v>
          </cell>
          <cell r="L321" t="str">
            <v>21</v>
          </cell>
          <cell r="M321" t="str">
            <v>C</v>
          </cell>
          <cell r="N321">
            <v>36526</v>
          </cell>
          <cell r="P321">
            <v>22</v>
          </cell>
          <cell r="Q321" t="str">
            <v>O</v>
          </cell>
          <cell r="R321" t="str">
            <v>N</v>
          </cell>
          <cell r="S321">
            <v>0</v>
          </cell>
          <cell r="T321" t="str">
            <v>M</v>
          </cell>
          <cell r="U321" t="str">
            <v>AICHA BENT HAMMOU</v>
          </cell>
          <cell r="X321">
            <v>5</v>
          </cell>
          <cell r="Y321">
            <v>4</v>
          </cell>
          <cell r="AB321" t="str">
            <v>X</v>
          </cell>
          <cell r="AC321" t="str">
            <v>X</v>
          </cell>
          <cell r="AD321" t="str">
            <v>X</v>
          </cell>
          <cell r="AH321" t="str">
            <v>N</v>
          </cell>
          <cell r="AI321" t="str">
            <v>N</v>
          </cell>
          <cell r="AK321" t="str">
            <v>125 HAY BEN IDRISS BOULANOIR</v>
          </cell>
          <cell r="AL321" t="str">
            <v>ILLETTRE</v>
          </cell>
          <cell r="AN321" t="str">
            <v>57═77═21</v>
          </cell>
          <cell r="AO321" t="str">
            <v>2404</v>
          </cell>
          <cell r="AP321" t="str">
            <v>Q 80943</v>
          </cell>
          <cell r="AQ321">
            <v>0</v>
          </cell>
          <cell r="AR321" t="str">
            <v>C</v>
          </cell>
          <cell r="AU321" t="str">
            <v>/  /</v>
          </cell>
          <cell r="AW321">
            <v>39264</v>
          </cell>
          <cell r="AY321" t="str">
            <v>XX</v>
          </cell>
          <cell r="BA321" t="str">
            <v>1</v>
          </cell>
          <cell r="BB321">
            <v>1</v>
          </cell>
          <cell r="BD321">
            <v>0</v>
          </cell>
          <cell r="BE321" t="str">
            <v>M</v>
          </cell>
          <cell r="BF321" t="str">
            <v>N</v>
          </cell>
          <cell r="BG321">
            <v>1</v>
          </cell>
          <cell r="BH321">
            <v>39264</v>
          </cell>
        </row>
        <row r="322">
          <cell r="A322">
            <v>71128</v>
          </cell>
          <cell r="B322">
            <v>465</v>
          </cell>
          <cell r="C322" t="str">
            <v>C3001</v>
          </cell>
          <cell r="D322" t="str">
            <v>CHAMIKH</v>
          </cell>
          <cell r="E322" t="str">
            <v>MOHAMED</v>
          </cell>
          <cell r="F322">
            <v>19175</v>
          </cell>
          <cell r="H322" t="str">
            <v>ES SOUIRA</v>
          </cell>
          <cell r="I322" t="str">
            <v>D</v>
          </cell>
          <cell r="J322">
            <v>28977</v>
          </cell>
          <cell r="K322">
            <v>37377</v>
          </cell>
          <cell r="L322" t="str">
            <v>21</v>
          </cell>
          <cell r="M322" t="str">
            <v>A</v>
          </cell>
          <cell r="N322">
            <v>37377</v>
          </cell>
          <cell r="P322">
            <v>23</v>
          </cell>
          <cell r="Q322" t="str">
            <v>O</v>
          </cell>
          <cell r="R322" t="str">
            <v>N</v>
          </cell>
          <cell r="S322">
            <v>0</v>
          </cell>
          <cell r="T322" t="str">
            <v>M</v>
          </cell>
          <cell r="U322" t="str">
            <v>FATIMA BENT MED</v>
          </cell>
          <cell r="X322">
            <v>4</v>
          </cell>
          <cell r="Y322">
            <v>3</v>
          </cell>
          <cell r="AB322" t="str">
            <v>X</v>
          </cell>
          <cell r="AC322" t="str">
            <v>X</v>
          </cell>
          <cell r="AD322" t="str">
            <v>X</v>
          </cell>
          <cell r="AH322" t="str">
            <v>N</v>
          </cell>
          <cell r="AI322" t="str">
            <v>N</v>
          </cell>
          <cell r="AK322" t="str">
            <v>259 ANCIEN TACHERON OCP - BOUJNIBA</v>
          </cell>
          <cell r="AL322" t="str">
            <v>CM2</v>
          </cell>
          <cell r="AP322" t="str">
            <v>Q 45752</v>
          </cell>
          <cell r="AQ322">
            <v>0</v>
          </cell>
          <cell r="AR322" t="str">
            <v>B</v>
          </cell>
          <cell r="AS322" t="str">
            <v>SGMB - KHGA</v>
          </cell>
          <cell r="AT322" t="str">
            <v>0670009395726</v>
          </cell>
          <cell r="AU322" t="str">
            <v>/  /</v>
          </cell>
          <cell r="AW322">
            <v>38718</v>
          </cell>
          <cell r="AY322" t="str">
            <v>XX</v>
          </cell>
          <cell r="BA322" t="str">
            <v>6</v>
          </cell>
          <cell r="BB322">
            <v>1</v>
          </cell>
          <cell r="BD322">
            <v>0</v>
          </cell>
          <cell r="BE322" t="str">
            <v>M</v>
          </cell>
          <cell r="BF322" t="str">
            <v>N</v>
          </cell>
          <cell r="BG322">
            <v>50</v>
          </cell>
          <cell r="BH322">
            <v>38718</v>
          </cell>
        </row>
        <row r="323">
          <cell r="A323">
            <v>71127</v>
          </cell>
          <cell r="B323">
            <v>411</v>
          </cell>
          <cell r="C323" t="str">
            <v>C3152</v>
          </cell>
          <cell r="D323" t="str">
            <v>BAOU</v>
          </cell>
          <cell r="E323" t="str">
            <v>MOHAMED</v>
          </cell>
          <cell r="F323">
            <v>19905</v>
          </cell>
          <cell r="G323" t="str">
            <v>3</v>
          </cell>
          <cell r="H323" t="str">
            <v>BOUJNIBA</v>
          </cell>
          <cell r="I323" t="str">
            <v>D</v>
          </cell>
          <cell r="J323">
            <v>28968</v>
          </cell>
          <cell r="K323">
            <v>36526</v>
          </cell>
          <cell r="L323" t="str">
            <v>21</v>
          </cell>
          <cell r="M323" t="str">
            <v>A</v>
          </cell>
          <cell r="N323">
            <v>36526</v>
          </cell>
          <cell r="P323">
            <v>24</v>
          </cell>
          <cell r="Q323" t="str">
            <v>O</v>
          </cell>
          <cell r="R323" t="str">
            <v>N</v>
          </cell>
          <cell r="S323">
            <v>0</v>
          </cell>
          <cell r="T323" t="str">
            <v>M</v>
          </cell>
          <cell r="U323" t="str">
            <v>EL HARF FATNA</v>
          </cell>
          <cell r="X323">
            <v>5</v>
          </cell>
          <cell r="Y323">
            <v>5</v>
          </cell>
          <cell r="AB323" t="str">
            <v>X</v>
          </cell>
          <cell r="AC323" t="str">
            <v>X</v>
          </cell>
          <cell r="AD323" t="str">
            <v>X</v>
          </cell>
          <cell r="AH323" t="str">
            <v>N</v>
          </cell>
          <cell r="AI323" t="str">
            <v>N</v>
          </cell>
          <cell r="AK323" t="str">
            <v>184 VILLAGE O.C.P - BOUJNIBA</v>
          </cell>
          <cell r="AL323" t="str">
            <v>ILLETTRE</v>
          </cell>
          <cell r="AP323" t="str">
            <v>Q 42680</v>
          </cell>
          <cell r="AQ323">
            <v>0</v>
          </cell>
          <cell r="AR323" t="str">
            <v>B</v>
          </cell>
          <cell r="AS323" t="str">
            <v>CREDIT DU MAROC</v>
          </cell>
          <cell r="AT323" t="str">
            <v>082001035641</v>
          </cell>
          <cell r="AU323" t="str">
            <v>/  /</v>
          </cell>
          <cell r="AW323">
            <v>38718</v>
          </cell>
          <cell r="AY323" t="str">
            <v>XX</v>
          </cell>
          <cell r="BA323" t="str">
            <v>1</v>
          </cell>
          <cell r="BB323">
            <v>1</v>
          </cell>
          <cell r="BD323">
            <v>0</v>
          </cell>
          <cell r="BE323" t="str">
            <v>M</v>
          </cell>
          <cell r="BF323" t="str">
            <v>N</v>
          </cell>
          <cell r="BG323">
            <v>50</v>
          </cell>
          <cell r="BH323">
            <v>38718</v>
          </cell>
        </row>
        <row r="324">
          <cell r="A324">
            <v>72206</v>
          </cell>
          <cell r="B324">
            <v>446</v>
          </cell>
          <cell r="C324" t="str">
            <v>C2000</v>
          </cell>
          <cell r="D324" t="str">
            <v>CHAGRI</v>
          </cell>
          <cell r="E324" t="str">
            <v>MOHAMED</v>
          </cell>
          <cell r="F324">
            <v>20297</v>
          </cell>
          <cell r="G324" t="str">
            <v>1</v>
          </cell>
          <cell r="H324" t="str">
            <v>OULED BHAR KBAR KHOURIBGA</v>
          </cell>
          <cell r="I324" t="str">
            <v>D</v>
          </cell>
          <cell r="J324">
            <v>29462</v>
          </cell>
          <cell r="K324">
            <v>31656</v>
          </cell>
          <cell r="L324" t="str">
            <v>12</v>
          </cell>
          <cell r="M324" t="str">
            <v>C</v>
          </cell>
          <cell r="N324">
            <v>35309</v>
          </cell>
          <cell r="O324">
            <v>0</v>
          </cell>
          <cell r="P324">
            <v>22</v>
          </cell>
          <cell r="Q324" t="str">
            <v>O</v>
          </cell>
          <cell r="R324" t="str">
            <v>N</v>
          </cell>
          <cell r="S324">
            <v>3</v>
          </cell>
          <cell r="T324" t="str">
            <v>M</v>
          </cell>
          <cell r="U324" t="str">
            <v>JEMAA BENT MED</v>
          </cell>
          <cell r="X324">
            <v>6</v>
          </cell>
          <cell r="Y324">
            <v>1</v>
          </cell>
          <cell r="AB324" t="str">
            <v>X</v>
          </cell>
          <cell r="AC324" t="str">
            <v>X</v>
          </cell>
          <cell r="AD324" t="str">
            <v>X</v>
          </cell>
          <cell r="AH324" t="str">
            <v>N</v>
          </cell>
          <cell r="AI324" t="str">
            <v>N</v>
          </cell>
          <cell r="AK324" t="str">
            <v>76 VILLAGE O.C.P - BOUJNIBA</v>
          </cell>
          <cell r="AL324" t="str">
            <v>ILLETTRE</v>
          </cell>
          <cell r="AP324" t="str">
            <v>Q 82043</v>
          </cell>
          <cell r="AQ324">
            <v>0</v>
          </cell>
          <cell r="AR324" t="str">
            <v>B</v>
          </cell>
          <cell r="AS324" t="str">
            <v>POPULAIRE.KHGA</v>
          </cell>
          <cell r="AT324" t="str">
            <v>2111136310330000</v>
          </cell>
          <cell r="AU324" t="str">
            <v>/  /</v>
          </cell>
          <cell r="AW324">
            <v>39083</v>
          </cell>
          <cell r="AY324" t="str">
            <v>XX</v>
          </cell>
          <cell r="AZ324" t="str">
            <v>K</v>
          </cell>
          <cell r="BA324" t="str">
            <v>1</v>
          </cell>
          <cell r="BB324">
            <v>1</v>
          </cell>
          <cell r="BD324">
            <v>0</v>
          </cell>
          <cell r="BE324" t="str">
            <v>M</v>
          </cell>
          <cell r="BF324" t="str">
            <v>N</v>
          </cell>
          <cell r="BG324">
            <v>50</v>
          </cell>
          <cell r="BH324">
            <v>39083</v>
          </cell>
        </row>
        <row r="325">
          <cell r="A325">
            <v>71126</v>
          </cell>
          <cell r="B325">
            <v>418</v>
          </cell>
          <cell r="C325" t="str">
            <v>C3050</v>
          </cell>
          <cell r="D325" t="str">
            <v>ZOUINE</v>
          </cell>
          <cell r="E325" t="str">
            <v>EL ARBI</v>
          </cell>
          <cell r="F325">
            <v>18079</v>
          </cell>
          <cell r="G325" t="str">
            <v>3</v>
          </cell>
          <cell r="H325" t="str">
            <v>BOUJNIBA</v>
          </cell>
          <cell r="I325" t="str">
            <v>D</v>
          </cell>
          <cell r="J325">
            <v>28964</v>
          </cell>
          <cell r="K325">
            <v>37012</v>
          </cell>
          <cell r="L325" t="str">
            <v>21</v>
          </cell>
          <cell r="M325" t="str">
            <v>A</v>
          </cell>
          <cell r="N325">
            <v>37012</v>
          </cell>
          <cell r="P325">
            <v>24</v>
          </cell>
          <cell r="Q325" t="str">
            <v>N</v>
          </cell>
          <cell r="R325" t="str">
            <v>O</v>
          </cell>
          <cell r="S325">
            <v>3</v>
          </cell>
          <cell r="T325" t="str">
            <v>M</v>
          </cell>
          <cell r="U325" t="str">
            <v>SALHA BENT MED</v>
          </cell>
          <cell r="X325">
            <v>9</v>
          </cell>
          <cell r="Y325">
            <v>2</v>
          </cell>
          <cell r="AB325" t="str">
            <v>X</v>
          </cell>
          <cell r="AC325" t="str">
            <v>X</v>
          </cell>
          <cell r="AD325" t="str">
            <v>X</v>
          </cell>
          <cell r="AH325" t="str">
            <v>N</v>
          </cell>
          <cell r="AI325" t="str">
            <v>N</v>
          </cell>
          <cell r="AK325" t="str">
            <v>OULED YAALA OULED BRAHIM</v>
          </cell>
          <cell r="AL325" t="str">
            <v>ILLETTRE</v>
          </cell>
          <cell r="AP325" t="str">
            <v>Q 80461</v>
          </cell>
          <cell r="AQ325">
            <v>0</v>
          </cell>
          <cell r="AR325" t="str">
            <v>B</v>
          </cell>
          <cell r="AS325" t="str">
            <v>WAFABANK - KHGA</v>
          </cell>
          <cell r="AT325" t="str">
            <v>1220301317653</v>
          </cell>
          <cell r="AU325" t="str">
            <v>/  /</v>
          </cell>
          <cell r="AW325">
            <v>38169</v>
          </cell>
          <cell r="AY325" t="str">
            <v>XX</v>
          </cell>
          <cell r="BA325" t="str">
            <v>1</v>
          </cell>
          <cell r="BB325">
            <v>1</v>
          </cell>
          <cell r="BD325">
            <v>0</v>
          </cell>
          <cell r="BE325" t="str">
            <v>M</v>
          </cell>
          <cell r="BF325" t="str">
            <v>N</v>
          </cell>
          <cell r="BG325">
            <v>0</v>
          </cell>
          <cell r="BH325">
            <v>38169</v>
          </cell>
          <cell r="BI325" t="str">
            <v>O</v>
          </cell>
        </row>
        <row r="326">
          <cell r="A326">
            <v>72190</v>
          </cell>
          <cell r="B326">
            <v>411</v>
          </cell>
          <cell r="C326" t="str">
            <v>C4152</v>
          </cell>
          <cell r="D326" t="str">
            <v>MOUAOUINE</v>
          </cell>
          <cell r="E326" t="str">
            <v>ABDELHAKIM</v>
          </cell>
          <cell r="F326">
            <v>20709</v>
          </cell>
          <cell r="G326" t="str">
            <v>1</v>
          </cell>
          <cell r="H326" t="str">
            <v>KHOURIBGA</v>
          </cell>
          <cell r="I326" t="str">
            <v>D</v>
          </cell>
          <cell r="J326">
            <v>29455</v>
          </cell>
          <cell r="K326">
            <v>36526</v>
          </cell>
          <cell r="L326" t="str">
            <v>22</v>
          </cell>
          <cell r="M326" t="str">
            <v>A</v>
          </cell>
          <cell r="N326">
            <v>36526</v>
          </cell>
          <cell r="P326">
            <v>22</v>
          </cell>
          <cell r="Q326" t="str">
            <v>O</v>
          </cell>
          <cell r="R326" t="str">
            <v>N</v>
          </cell>
          <cell r="S326">
            <v>0</v>
          </cell>
          <cell r="T326" t="str">
            <v>M</v>
          </cell>
          <cell r="U326" t="str">
            <v>SABER ZOHRA</v>
          </cell>
          <cell r="X326">
            <v>2</v>
          </cell>
          <cell r="Y326">
            <v>2</v>
          </cell>
          <cell r="Z326" t="str">
            <v>O</v>
          </cell>
          <cell r="AA326" t="str">
            <v>16/12/94</v>
          </cell>
          <cell r="AB326" t="str">
            <v>X</v>
          </cell>
          <cell r="AC326" t="str">
            <v>X</v>
          </cell>
          <cell r="AD326" t="str">
            <v>X</v>
          </cell>
          <cell r="AH326" t="str">
            <v>N</v>
          </cell>
          <cell r="AI326" t="str">
            <v>N</v>
          </cell>
          <cell r="AK326" t="str">
            <v>751  VILLAGE O C P BOULANOIR</v>
          </cell>
          <cell r="AL326" t="str">
            <v>ILLETTRE</v>
          </cell>
          <cell r="AP326" t="str">
            <v>Q 14683</v>
          </cell>
          <cell r="AQ326">
            <v>0</v>
          </cell>
          <cell r="AR326" t="str">
            <v>B</v>
          </cell>
          <cell r="AS326" t="str">
            <v>SGMB KHGA</v>
          </cell>
          <cell r="AT326" t="str">
            <v>670009003461</v>
          </cell>
          <cell r="AU326" t="str">
            <v>/  /</v>
          </cell>
          <cell r="AW326">
            <v>39083</v>
          </cell>
          <cell r="AY326" t="str">
            <v>XX</v>
          </cell>
          <cell r="BA326" t="str">
            <v>1</v>
          </cell>
          <cell r="BB326">
            <v>0</v>
          </cell>
          <cell r="BD326">
            <v>0</v>
          </cell>
          <cell r="BE326" t="str">
            <v>M</v>
          </cell>
          <cell r="BF326" t="str">
            <v>N</v>
          </cell>
          <cell r="BG326">
            <v>40</v>
          </cell>
          <cell r="BH326">
            <v>39083</v>
          </cell>
          <cell r="BI326" t="str">
            <v>O</v>
          </cell>
        </row>
        <row r="327">
          <cell r="A327">
            <v>72169</v>
          </cell>
          <cell r="B327">
            <v>418</v>
          </cell>
          <cell r="C327" t="str">
            <v>C2000</v>
          </cell>
          <cell r="D327" t="str">
            <v>ZAHER</v>
          </cell>
          <cell r="E327" t="str">
            <v>MOHAMED</v>
          </cell>
          <cell r="F327">
            <v>18444</v>
          </cell>
          <cell r="G327" t="str">
            <v>6</v>
          </cell>
          <cell r="H327" t="str">
            <v>HATTANE</v>
          </cell>
          <cell r="I327" t="str">
            <v>D</v>
          </cell>
          <cell r="J327">
            <v>29444</v>
          </cell>
          <cell r="K327">
            <v>31656</v>
          </cell>
          <cell r="L327" t="str">
            <v>12</v>
          </cell>
          <cell r="M327" t="str">
            <v>C</v>
          </cell>
          <cell r="N327">
            <v>36039</v>
          </cell>
          <cell r="P327">
            <v>22</v>
          </cell>
          <cell r="Q327" t="str">
            <v>O</v>
          </cell>
          <cell r="R327" t="str">
            <v>N</v>
          </cell>
          <cell r="S327">
            <v>0</v>
          </cell>
          <cell r="T327" t="str">
            <v>M</v>
          </cell>
          <cell r="U327" t="str">
            <v>EL GHALIA BENT BRAHIM</v>
          </cell>
          <cell r="X327">
            <v>7</v>
          </cell>
          <cell r="Y327">
            <v>3</v>
          </cell>
          <cell r="AB327" t="str">
            <v>X</v>
          </cell>
          <cell r="AC327" t="str">
            <v>X</v>
          </cell>
          <cell r="AD327" t="str">
            <v>X</v>
          </cell>
          <cell r="AH327" t="str">
            <v>N</v>
          </cell>
          <cell r="AI327" t="str">
            <v>N</v>
          </cell>
          <cell r="AK327" t="str">
            <v>N 732 VILLAGE O CP HATTANE</v>
          </cell>
          <cell r="AL327" t="str">
            <v>ILLETTRE</v>
          </cell>
          <cell r="AP327" t="str">
            <v>Q 80623</v>
          </cell>
          <cell r="AQ327">
            <v>0</v>
          </cell>
          <cell r="AR327" t="str">
            <v>C</v>
          </cell>
          <cell r="AU327" t="str">
            <v>/  /</v>
          </cell>
          <cell r="AW327">
            <v>38534</v>
          </cell>
          <cell r="AY327" t="str">
            <v>XX</v>
          </cell>
          <cell r="BA327" t="str">
            <v>1</v>
          </cell>
          <cell r="BB327">
            <v>1</v>
          </cell>
          <cell r="BD327">
            <v>0</v>
          </cell>
          <cell r="BE327" t="str">
            <v>M</v>
          </cell>
          <cell r="BF327" t="str">
            <v>N</v>
          </cell>
          <cell r="BG327">
            <v>10</v>
          </cell>
          <cell r="BH327">
            <v>38534</v>
          </cell>
        </row>
        <row r="328">
          <cell r="A328">
            <v>71111</v>
          </cell>
          <cell r="B328">
            <v>418</v>
          </cell>
          <cell r="C328" t="str">
            <v>C3152</v>
          </cell>
          <cell r="D328" t="str">
            <v>EL IMALI</v>
          </cell>
          <cell r="E328" t="str">
            <v>MOHAMED</v>
          </cell>
          <cell r="F328">
            <v>20636</v>
          </cell>
          <cell r="G328" t="str">
            <v>6</v>
          </cell>
          <cell r="H328" t="str">
            <v>M'FASSIS</v>
          </cell>
          <cell r="I328" t="str">
            <v>D</v>
          </cell>
          <cell r="J328">
            <v>28957</v>
          </cell>
          <cell r="K328">
            <v>35977</v>
          </cell>
          <cell r="L328" t="str">
            <v>21</v>
          </cell>
          <cell r="M328" t="str">
            <v>A</v>
          </cell>
          <cell r="N328">
            <v>35977</v>
          </cell>
          <cell r="P328">
            <v>24</v>
          </cell>
          <cell r="Q328" t="str">
            <v>O</v>
          </cell>
          <cell r="R328" t="str">
            <v>N</v>
          </cell>
          <cell r="S328">
            <v>0</v>
          </cell>
          <cell r="T328" t="str">
            <v>M</v>
          </cell>
          <cell r="U328" t="str">
            <v>KELTOUM BENT LAHCEN</v>
          </cell>
          <cell r="X328">
            <v>3</v>
          </cell>
          <cell r="Y328">
            <v>2</v>
          </cell>
          <cell r="AB328" t="str">
            <v>X</v>
          </cell>
          <cell r="AC328" t="str">
            <v>X</v>
          </cell>
          <cell r="AD328" t="str">
            <v>X</v>
          </cell>
          <cell r="AH328" t="str">
            <v>N</v>
          </cell>
          <cell r="AI328" t="str">
            <v>N</v>
          </cell>
          <cell r="AK328" t="str">
            <v>N 894 VILLAGE O C P HATTANE</v>
          </cell>
          <cell r="AL328" t="str">
            <v>ILLETTRE</v>
          </cell>
          <cell r="AP328" t="str">
            <v>Q 85929</v>
          </cell>
          <cell r="AQ328">
            <v>0</v>
          </cell>
          <cell r="AR328" t="str">
            <v>B</v>
          </cell>
          <cell r="AS328" t="str">
            <v>WAFABANK - KHGA</v>
          </cell>
          <cell r="AT328" t="str">
            <v>1220301277237</v>
          </cell>
          <cell r="AU328" t="str">
            <v>/  /</v>
          </cell>
          <cell r="AW328">
            <v>38899</v>
          </cell>
          <cell r="AY328" t="str">
            <v>XX</v>
          </cell>
          <cell r="BA328" t="str">
            <v>2</v>
          </cell>
          <cell r="BB328">
            <v>1</v>
          </cell>
          <cell r="BD328">
            <v>0</v>
          </cell>
          <cell r="BE328" t="str">
            <v>M</v>
          </cell>
          <cell r="BF328" t="str">
            <v>N</v>
          </cell>
          <cell r="BG328">
            <v>10</v>
          </cell>
          <cell r="BH328">
            <v>38899</v>
          </cell>
          <cell r="BI328" t="str">
            <v>O</v>
          </cell>
        </row>
        <row r="329">
          <cell r="A329">
            <v>72164</v>
          </cell>
          <cell r="B329">
            <v>476</v>
          </cell>
          <cell r="C329" t="str">
            <v>C3050</v>
          </cell>
          <cell r="D329" t="str">
            <v>NEDDAH</v>
          </cell>
          <cell r="E329" t="str">
            <v>BOUAZZA</v>
          </cell>
          <cell r="F329">
            <v>21113</v>
          </cell>
          <cell r="G329" t="str">
            <v>6</v>
          </cell>
          <cell r="H329" t="str">
            <v>M'FASSIS</v>
          </cell>
          <cell r="I329" t="str">
            <v>D</v>
          </cell>
          <cell r="J329">
            <v>29444</v>
          </cell>
          <cell r="K329">
            <v>37012</v>
          </cell>
          <cell r="L329" t="str">
            <v>21</v>
          </cell>
          <cell r="M329" t="str">
            <v>A</v>
          </cell>
          <cell r="N329">
            <v>37012</v>
          </cell>
          <cell r="P329">
            <v>22</v>
          </cell>
          <cell r="Q329" t="str">
            <v>O</v>
          </cell>
          <cell r="R329" t="str">
            <v>N</v>
          </cell>
          <cell r="S329">
            <v>0</v>
          </cell>
          <cell r="T329" t="str">
            <v>M</v>
          </cell>
          <cell r="U329" t="str">
            <v>NEZHA BENT MILOUDI</v>
          </cell>
          <cell r="X329">
            <v>5</v>
          </cell>
          <cell r="Y329">
            <v>5</v>
          </cell>
          <cell r="AB329" t="str">
            <v>X</v>
          </cell>
          <cell r="AC329" t="str">
            <v>X</v>
          </cell>
          <cell r="AD329" t="str">
            <v>X</v>
          </cell>
          <cell r="AH329" t="str">
            <v>N</v>
          </cell>
          <cell r="AI329" t="str">
            <v>N</v>
          </cell>
          <cell r="AK329" t="str">
            <v>873 VILLAGE OCP SBATA - HATTANE</v>
          </cell>
          <cell r="AL329" t="str">
            <v>ILLETTRE</v>
          </cell>
          <cell r="AP329" t="str">
            <v>Q 33028</v>
          </cell>
          <cell r="AQ329">
            <v>0</v>
          </cell>
          <cell r="AR329" t="str">
            <v>C</v>
          </cell>
          <cell r="AU329" t="str">
            <v>/  /</v>
          </cell>
          <cell r="AW329">
            <v>39448</v>
          </cell>
          <cell r="AY329" t="str">
            <v>XX</v>
          </cell>
          <cell r="BA329" t="str">
            <v>1</v>
          </cell>
          <cell r="BB329">
            <v>1</v>
          </cell>
          <cell r="BD329">
            <v>0</v>
          </cell>
          <cell r="BE329" t="str">
            <v>M</v>
          </cell>
          <cell r="BF329" t="str">
            <v>N</v>
          </cell>
          <cell r="BG329">
            <v>10</v>
          </cell>
          <cell r="BH329">
            <v>39448</v>
          </cell>
        </row>
        <row r="330">
          <cell r="A330">
            <v>71108</v>
          </cell>
          <cell r="B330">
            <v>418</v>
          </cell>
          <cell r="C330" t="str">
            <v>C3152</v>
          </cell>
          <cell r="D330" t="str">
            <v>HSEINI</v>
          </cell>
          <cell r="E330" t="str">
            <v>BOUJEMAA</v>
          </cell>
          <cell r="F330">
            <v>20604</v>
          </cell>
          <cell r="H330" t="str">
            <v>MARRAKECH</v>
          </cell>
          <cell r="I330" t="str">
            <v>D</v>
          </cell>
          <cell r="J330">
            <v>28958</v>
          </cell>
          <cell r="K330">
            <v>35977</v>
          </cell>
          <cell r="L330" t="str">
            <v>21</v>
          </cell>
          <cell r="M330" t="str">
            <v>C</v>
          </cell>
          <cell r="N330">
            <v>35977</v>
          </cell>
          <cell r="P330">
            <v>24</v>
          </cell>
          <cell r="Q330" t="str">
            <v>O</v>
          </cell>
          <cell r="R330" t="str">
            <v>N</v>
          </cell>
          <cell r="S330">
            <v>0</v>
          </cell>
          <cell r="T330" t="str">
            <v>M</v>
          </cell>
          <cell r="U330" t="str">
            <v>AICHA BENT SAID</v>
          </cell>
          <cell r="X330">
            <v>4</v>
          </cell>
          <cell r="Y330">
            <v>4</v>
          </cell>
          <cell r="AB330" t="str">
            <v>X</v>
          </cell>
          <cell r="AC330" t="str">
            <v>X</v>
          </cell>
          <cell r="AD330" t="str">
            <v>X</v>
          </cell>
          <cell r="AH330" t="str">
            <v>N</v>
          </cell>
          <cell r="AI330" t="str">
            <v>N</v>
          </cell>
          <cell r="AK330" t="str">
            <v>N 343 VILLAGE O C P BOUJNIBA</v>
          </cell>
          <cell r="AL330" t="str">
            <v>CM2</v>
          </cell>
          <cell r="AP330" t="str">
            <v>Q 20350</v>
          </cell>
          <cell r="AQ330">
            <v>0</v>
          </cell>
          <cell r="AR330" t="str">
            <v>B</v>
          </cell>
          <cell r="AS330" t="str">
            <v>WAFABANK - KHGA</v>
          </cell>
          <cell r="AT330" t="str">
            <v>1220301279156</v>
          </cell>
          <cell r="AU330" t="str">
            <v>/  /</v>
          </cell>
          <cell r="AW330">
            <v>38899</v>
          </cell>
          <cell r="AY330" t="str">
            <v>XX</v>
          </cell>
          <cell r="BA330" t="str">
            <v>6</v>
          </cell>
          <cell r="BB330">
            <v>1</v>
          </cell>
          <cell r="BD330">
            <v>0</v>
          </cell>
          <cell r="BE330" t="str">
            <v>M</v>
          </cell>
          <cell r="BF330" t="str">
            <v>N</v>
          </cell>
          <cell r="BG330">
            <v>50</v>
          </cell>
          <cell r="BH330">
            <v>38899</v>
          </cell>
        </row>
        <row r="331">
          <cell r="A331">
            <v>71103</v>
          </cell>
          <cell r="B331">
            <v>411</v>
          </cell>
          <cell r="C331" t="str">
            <v>C3020</v>
          </cell>
          <cell r="D331" t="str">
            <v>ARBANE</v>
          </cell>
          <cell r="E331" t="str">
            <v>CHERKI</v>
          </cell>
          <cell r="F331">
            <v>19905</v>
          </cell>
          <cell r="G331" t="str">
            <v>6</v>
          </cell>
          <cell r="H331" t="str">
            <v>M'FASSIS</v>
          </cell>
          <cell r="I331" t="str">
            <v>D</v>
          </cell>
          <cell r="J331">
            <v>28957</v>
          </cell>
          <cell r="K331">
            <v>34547</v>
          </cell>
          <cell r="L331" t="str">
            <v>21</v>
          </cell>
          <cell r="M331" t="str">
            <v>A</v>
          </cell>
          <cell r="N331">
            <v>34547</v>
          </cell>
          <cell r="P331">
            <v>24</v>
          </cell>
          <cell r="Q331" t="str">
            <v>N</v>
          </cell>
          <cell r="R331" t="str">
            <v>O</v>
          </cell>
          <cell r="S331">
            <v>3</v>
          </cell>
          <cell r="T331" t="str">
            <v>M</v>
          </cell>
          <cell r="U331" t="str">
            <v>FATIMA BENT HADJ AHMED</v>
          </cell>
          <cell r="X331">
            <v>5</v>
          </cell>
          <cell r="Y331">
            <v>4</v>
          </cell>
          <cell r="AB331" t="str">
            <v>X</v>
          </cell>
          <cell r="AC331" t="str">
            <v>X</v>
          </cell>
          <cell r="AD331" t="str">
            <v>X</v>
          </cell>
          <cell r="AH331" t="str">
            <v>N</v>
          </cell>
          <cell r="AI331" t="str">
            <v>N</v>
          </cell>
          <cell r="AK331" t="str">
            <v>OULED AMER M FASSIS</v>
          </cell>
          <cell r="AL331" t="str">
            <v>CM2</v>
          </cell>
          <cell r="AP331" t="str">
            <v>Q 59013</v>
          </cell>
          <cell r="AQ331">
            <v>0</v>
          </cell>
          <cell r="AR331" t="str">
            <v>C</v>
          </cell>
          <cell r="AU331" t="str">
            <v>/  /</v>
          </cell>
          <cell r="AW331">
            <v>38718</v>
          </cell>
          <cell r="AY331" t="str">
            <v>XX</v>
          </cell>
          <cell r="BA331" t="str">
            <v>0</v>
          </cell>
          <cell r="BB331">
            <v>1</v>
          </cell>
          <cell r="BD331">
            <v>0</v>
          </cell>
          <cell r="BE331" t="str">
            <v>M</v>
          </cell>
          <cell r="BF331" t="str">
            <v>N</v>
          </cell>
          <cell r="BG331">
            <v>0</v>
          </cell>
          <cell r="BH331">
            <v>38718</v>
          </cell>
          <cell r="BI331" t="str">
            <v>O</v>
          </cell>
        </row>
        <row r="332">
          <cell r="A332">
            <v>72132</v>
          </cell>
          <cell r="B332">
            <v>411</v>
          </cell>
          <cell r="C332" t="str">
            <v>C3152</v>
          </cell>
          <cell r="D332" t="str">
            <v>RHAMIQ</v>
          </cell>
          <cell r="E332" t="str">
            <v>DRIF</v>
          </cell>
          <cell r="F332">
            <v>20309</v>
          </cell>
          <cell r="G332" t="str">
            <v>6</v>
          </cell>
          <cell r="H332" t="str">
            <v>M'FASSIS</v>
          </cell>
          <cell r="I332" t="str">
            <v>D</v>
          </cell>
          <cell r="J332">
            <v>29434</v>
          </cell>
          <cell r="K332">
            <v>35096</v>
          </cell>
          <cell r="L332" t="str">
            <v>21</v>
          </cell>
          <cell r="M332" t="str">
            <v>A</v>
          </cell>
          <cell r="N332">
            <v>35096</v>
          </cell>
          <cell r="P332">
            <v>22</v>
          </cell>
          <cell r="Q332" t="str">
            <v>N</v>
          </cell>
          <cell r="R332" t="str">
            <v>O</v>
          </cell>
          <cell r="S332">
            <v>0</v>
          </cell>
          <cell r="T332" t="str">
            <v>M</v>
          </cell>
          <cell r="U332" t="str">
            <v>FATNA BENT LARBI</v>
          </cell>
          <cell r="X332">
            <v>2</v>
          </cell>
          <cell r="Y332">
            <v>2</v>
          </cell>
          <cell r="AB332" t="str">
            <v>X</v>
          </cell>
          <cell r="AC332" t="str">
            <v>X</v>
          </cell>
          <cell r="AD332" t="str">
            <v>X</v>
          </cell>
          <cell r="AH332" t="str">
            <v>N</v>
          </cell>
          <cell r="AI332" t="str">
            <v>N</v>
          </cell>
          <cell r="AK332" t="str">
            <v>1172 VILLAGE OCP - HATTANE</v>
          </cell>
          <cell r="AL332" t="str">
            <v>ILLETTRE</v>
          </cell>
          <cell r="AP332" t="str">
            <v>Q 81207</v>
          </cell>
          <cell r="AQ332">
            <v>0</v>
          </cell>
          <cell r="AR332" t="str">
            <v>C</v>
          </cell>
          <cell r="AU332" t="str">
            <v>/  /</v>
          </cell>
          <cell r="AW332">
            <v>39083</v>
          </cell>
          <cell r="AY332" t="str">
            <v>XX</v>
          </cell>
          <cell r="BA332" t="str">
            <v>1</v>
          </cell>
          <cell r="BB332">
            <v>1</v>
          </cell>
          <cell r="BD332">
            <v>0</v>
          </cell>
          <cell r="BE332" t="str">
            <v>M</v>
          </cell>
          <cell r="BF332" t="str">
            <v>N</v>
          </cell>
          <cell r="BG332">
            <v>0</v>
          </cell>
          <cell r="BH332">
            <v>39083</v>
          </cell>
          <cell r="BI332" t="str">
            <v>O</v>
          </cell>
        </row>
        <row r="333">
          <cell r="A333">
            <v>71101</v>
          </cell>
          <cell r="B333">
            <v>418</v>
          </cell>
          <cell r="C333" t="str">
            <v>C4152</v>
          </cell>
          <cell r="D333" t="str">
            <v>BIZRHAR</v>
          </cell>
          <cell r="E333" t="str">
            <v>LAHSEN</v>
          </cell>
          <cell r="F333">
            <v>20756</v>
          </cell>
          <cell r="H333" t="str">
            <v>OUARZAZAT</v>
          </cell>
          <cell r="I333" t="str">
            <v>D</v>
          </cell>
          <cell r="J333">
            <v>28957</v>
          </cell>
          <cell r="K333">
            <v>36526</v>
          </cell>
          <cell r="L333" t="str">
            <v>22</v>
          </cell>
          <cell r="M333" t="str">
            <v>A</v>
          </cell>
          <cell r="N333">
            <v>36526</v>
          </cell>
          <cell r="P333">
            <v>24</v>
          </cell>
          <cell r="Q333" t="str">
            <v>O</v>
          </cell>
          <cell r="R333" t="str">
            <v>N</v>
          </cell>
          <cell r="S333">
            <v>0</v>
          </cell>
          <cell r="T333" t="str">
            <v>M</v>
          </cell>
          <cell r="U333" t="str">
            <v>RKIA BENT MED</v>
          </cell>
          <cell r="X333">
            <v>3</v>
          </cell>
          <cell r="Y333">
            <v>3</v>
          </cell>
          <cell r="AB333" t="str">
            <v>X</v>
          </cell>
          <cell r="AC333" t="str">
            <v>X</v>
          </cell>
          <cell r="AD333" t="str">
            <v>X</v>
          </cell>
          <cell r="AH333" t="str">
            <v>N</v>
          </cell>
          <cell r="AI333" t="str">
            <v>N</v>
          </cell>
          <cell r="AK333" t="str">
            <v>N 206 NOUVEAUX LOGEMENTS KHGA</v>
          </cell>
          <cell r="AL333" t="str">
            <v>ILLETTRE</v>
          </cell>
          <cell r="AP333" t="str">
            <v>Q 63097</v>
          </cell>
          <cell r="AQ333">
            <v>0</v>
          </cell>
          <cell r="AR333" t="str">
            <v>B</v>
          </cell>
          <cell r="AS333" t="str">
            <v>BMCE.KHGA</v>
          </cell>
          <cell r="AT333" t="str">
            <v>40001200000813208</v>
          </cell>
          <cell r="AU333" t="str">
            <v>/  /</v>
          </cell>
          <cell r="AW333">
            <v>39083</v>
          </cell>
          <cell r="AY333" t="str">
            <v>XX</v>
          </cell>
          <cell r="BA333" t="str">
            <v>1</v>
          </cell>
          <cell r="BB333">
            <v>1</v>
          </cell>
          <cell r="BD333">
            <v>0</v>
          </cell>
          <cell r="BE333" t="str">
            <v>M</v>
          </cell>
          <cell r="BF333" t="str">
            <v>N</v>
          </cell>
          <cell r="BG333">
            <v>1</v>
          </cell>
          <cell r="BH333">
            <v>39083</v>
          </cell>
        </row>
        <row r="334">
          <cell r="A334">
            <v>72115</v>
          </cell>
          <cell r="B334">
            <v>418</v>
          </cell>
          <cell r="C334" t="str">
            <v>C2000</v>
          </cell>
          <cell r="D334" t="str">
            <v>HAMZOUZI</v>
          </cell>
          <cell r="E334" t="str">
            <v>BELGACEM</v>
          </cell>
          <cell r="F334">
            <v>19175</v>
          </cell>
          <cell r="G334" t="str">
            <v>3</v>
          </cell>
          <cell r="H334" t="str">
            <v>BOUJNIBA</v>
          </cell>
          <cell r="I334" t="str">
            <v>D</v>
          </cell>
          <cell r="J334">
            <v>29431</v>
          </cell>
          <cell r="K334">
            <v>31625</v>
          </cell>
          <cell r="L334" t="str">
            <v>12</v>
          </cell>
          <cell r="M334" t="str">
            <v>C</v>
          </cell>
          <cell r="N334">
            <v>36008</v>
          </cell>
          <cell r="P334">
            <v>22</v>
          </cell>
          <cell r="Q334" t="str">
            <v>N</v>
          </cell>
          <cell r="R334" t="str">
            <v>O</v>
          </cell>
          <cell r="S334">
            <v>3</v>
          </cell>
          <cell r="T334" t="str">
            <v>M</v>
          </cell>
          <cell r="U334" t="str">
            <v>SALHA BENT MED</v>
          </cell>
          <cell r="X334">
            <v>8</v>
          </cell>
          <cell r="Y334">
            <v>6</v>
          </cell>
          <cell r="AB334" t="str">
            <v>X</v>
          </cell>
          <cell r="AC334" t="str">
            <v>X</v>
          </cell>
          <cell r="AD334" t="str">
            <v>X</v>
          </cell>
          <cell r="AH334" t="str">
            <v>N</v>
          </cell>
          <cell r="AI334" t="str">
            <v>N</v>
          </cell>
          <cell r="AK334" t="str">
            <v>OD EL ATI OLED BRAHIM BOUJNIBA</v>
          </cell>
          <cell r="AL334" t="str">
            <v>ILLETTRE</v>
          </cell>
          <cell r="AP334" t="str">
            <v>Q 82396</v>
          </cell>
          <cell r="AQ334">
            <v>0</v>
          </cell>
          <cell r="AR334" t="str">
            <v>C</v>
          </cell>
          <cell r="AU334" t="str">
            <v>/  /</v>
          </cell>
          <cell r="AW334">
            <v>39083</v>
          </cell>
          <cell r="AY334" t="str">
            <v>XX</v>
          </cell>
          <cell r="BA334" t="str">
            <v>1</v>
          </cell>
          <cell r="BB334">
            <v>1</v>
          </cell>
          <cell r="BD334">
            <v>0</v>
          </cell>
          <cell r="BE334" t="str">
            <v>M</v>
          </cell>
          <cell r="BF334" t="str">
            <v>N</v>
          </cell>
          <cell r="BG334">
            <v>0</v>
          </cell>
          <cell r="BH334">
            <v>39083</v>
          </cell>
          <cell r="BI334" t="str">
            <v>O</v>
          </cell>
        </row>
        <row r="335">
          <cell r="A335">
            <v>71090</v>
          </cell>
          <cell r="B335">
            <v>476</v>
          </cell>
          <cell r="C335" t="str">
            <v>C3152</v>
          </cell>
          <cell r="D335" t="str">
            <v>MOUKHLISSI</v>
          </cell>
          <cell r="E335" t="str">
            <v>EL ARBI</v>
          </cell>
          <cell r="F335">
            <v>18444</v>
          </cell>
          <cell r="G335" t="str">
            <v>6</v>
          </cell>
          <cell r="H335" t="str">
            <v>M'FASSIS</v>
          </cell>
          <cell r="I335" t="str">
            <v>D</v>
          </cell>
          <cell r="J335">
            <v>28949</v>
          </cell>
          <cell r="K335">
            <v>36526</v>
          </cell>
          <cell r="L335" t="str">
            <v>21</v>
          </cell>
          <cell r="M335" t="str">
            <v>B</v>
          </cell>
          <cell r="N335">
            <v>36526</v>
          </cell>
          <cell r="P335">
            <v>24</v>
          </cell>
          <cell r="Q335" t="str">
            <v>O</v>
          </cell>
          <cell r="R335" t="str">
            <v>N</v>
          </cell>
          <cell r="S335">
            <v>0</v>
          </cell>
          <cell r="T335" t="str">
            <v>M</v>
          </cell>
          <cell r="U335" t="str">
            <v>MERYEM BENT MED</v>
          </cell>
          <cell r="V335" t="str">
            <v>EL ADI MANANA</v>
          </cell>
          <cell r="X335">
            <v>9</v>
          </cell>
          <cell r="Y335">
            <v>6</v>
          </cell>
          <cell r="AB335" t="str">
            <v>X</v>
          </cell>
          <cell r="AC335" t="str">
            <v>X</v>
          </cell>
          <cell r="AD335" t="str">
            <v>X</v>
          </cell>
          <cell r="AH335" t="str">
            <v>O</v>
          </cell>
          <cell r="AI335" t="str">
            <v>N</v>
          </cell>
          <cell r="AK335" t="str">
            <v>1168 VILLAGE OCP HATTANE</v>
          </cell>
          <cell r="AL335" t="str">
            <v>ILLETTRE</v>
          </cell>
          <cell r="AP335" t="str">
            <v>Q73444</v>
          </cell>
          <cell r="AQ335">
            <v>0</v>
          </cell>
          <cell r="AR335" t="str">
            <v>C</v>
          </cell>
          <cell r="AU335" t="str">
            <v>/  /</v>
          </cell>
          <cell r="AW335">
            <v>38534</v>
          </cell>
          <cell r="AY335" t="str">
            <v>XX</v>
          </cell>
          <cell r="BA335" t="str">
            <v>1</v>
          </cell>
          <cell r="BB335">
            <v>1</v>
          </cell>
          <cell r="BD335">
            <v>0</v>
          </cell>
          <cell r="BE335" t="str">
            <v>M</v>
          </cell>
          <cell r="BF335" t="str">
            <v>N</v>
          </cell>
          <cell r="BG335">
            <v>12</v>
          </cell>
          <cell r="BH335">
            <v>38534</v>
          </cell>
        </row>
        <row r="336">
          <cell r="A336">
            <v>71975</v>
          </cell>
          <cell r="B336">
            <v>418</v>
          </cell>
          <cell r="C336" t="str">
            <v>C3152</v>
          </cell>
          <cell r="D336" t="str">
            <v>JAMLADI</v>
          </cell>
          <cell r="E336" t="str">
            <v>ABDELLAH</v>
          </cell>
          <cell r="F336">
            <v>20636</v>
          </cell>
          <cell r="G336" t="str">
            <v>6</v>
          </cell>
          <cell r="H336" t="str">
            <v>M'FASSIS</v>
          </cell>
          <cell r="I336" t="str">
            <v>D</v>
          </cell>
          <cell r="J336">
            <v>29383</v>
          </cell>
          <cell r="K336">
            <v>36526</v>
          </cell>
          <cell r="L336" t="str">
            <v>21</v>
          </cell>
          <cell r="M336" t="str">
            <v>A</v>
          </cell>
          <cell r="N336">
            <v>36526</v>
          </cell>
          <cell r="P336">
            <v>22</v>
          </cell>
          <cell r="Q336" t="str">
            <v>O</v>
          </cell>
          <cell r="R336" t="str">
            <v>N</v>
          </cell>
          <cell r="S336">
            <v>0</v>
          </cell>
          <cell r="T336" t="str">
            <v>M</v>
          </cell>
          <cell r="U336" t="str">
            <v>KHADDOUJ BENT MED</v>
          </cell>
          <cell r="X336">
            <v>7</v>
          </cell>
          <cell r="Y336">
            <v>6</v>
          </cell>
          <cell r="AB336" t="str">
            <v>X</v>
          </cell>
          <cell r="AC336" t="str">
            <v>X</v>
          </cell>
          <cell r="AD336" t="str">
            <v>X</v>
          </cell>
          <cell r="AH336" t="str">
            <v>N</v>
          </cell>
          <cell r="AI336" t="str">
            <v>N</v>
          </cell>
          <cell r="AK336" t="str">
            <v>1156 SBATA VILLAGE OCP - HATTANE</v>
          </cell>
          <cell r="AL336" t="str">
            <v>CM2</v>
          </cell>
          <cell r="AP336" t="str">
            <v>Q 82777</v>
          </cell>
          <cell r="AQ336">
            <v>0</v>
          </cell>
          <cell r="AR336" t="str">
            <v>B</v>
          </cell>
          <cell r="AS336" t="str">
            <v>POPULAIRE.KHGA</v>
          </cell>
          <cell r="AT336" t="str">
            <v>211112866370005</v>
          </cell>
          <cell r="AU336" t="str">
            <v>/  /</v>
          </cell>
          <cell r="AW336">
            <v>39083</v>
          </cell>
          <cell r="AY336" t="str">
            <v>XX</v>
          </cell>
          <cell r="BA336" t="str">
            <v>1</v>
          </cell>
          <cell r="BB336">
            <v>1</v>
          </cell>
          <cell r="BD336">
            <v>0</v>
          </cell>
          <cell r="BE336" t="str">
            <v>M</v>
          </cell>
          <cell r="BF336" t="str">
            <v>N</v>
          </cell>
          <cell r="BG336">
            <v>10</v>
          </cell>
          <cell r="BH336">
            <v>39083</v>
          </cell>
          <cell r="BI336" t="str">
            <v>O</v>
          </cell>
        </row>
        <row r="337">
          <cell r="A337">
            <v>71962</v>
          </cell>
          <cell r="B337">
            <v>446</v>
          </cell>
          <cell r="C337" t="str">
            <v>C2000</v>
          </cell>
          <cell r="D337" t="str">
            <v>HADDOUDI</v>
          </cell>
          <cell r="E337" t="str">
            <v>MOHAMMED</v>
          </cell>
          <cell r="F337">
            <v>21214</v>
          </cell>
          <cell r="G337" t="str">
            <v>2</v>
          </cell>
          <cell r="H337" t="str">
            <v>AIT AMMAR</v>
          </cell>
          <cell r="I337" t="str">
            <v>D</v>
          </cell>
          <cell r="J337">
            <v>29376</v>
          </cell>
          <cell r="K337">
            <v>31594</v>
          </cell>
          <cell r="L337" t="str">
            <v>12</v>
          </cell>
          <cell r="M337" t="str">
            <v>C</v>
          </cell>
          <cell r="N337">
            <v>35977</v>
          </cell>
          <cell r="P337">
            <v>22</v>
          </cell>
          <cell r="Q337" t="str">
            <v>O</v>
          </cell>
          <cell r="R337" t="str">
            <v>N</v>
          </cell>
          <cell r="S337">
            <v>0</v>
          </cell>
          <cell r="T337" t="str">
            <v>M</v>
          </cell>
          <cell r="U337" t="str">
            <v>FATIMA BENT AHMED</v>
          </cell>
          <cell r="X337">
            <v>4</v>
          </cell>
          <cell r="Y337">
            <v>3</v>
          </cell>
          <cell r="AB337" t="str">
            <v>X</v>
          </cell>
          <cell r="AC337" t="str">
            <v>X</v>
          </cell>
          <cell r="AD337" t="str">
            <v>X</v>
          </cell>
          <cell r="AH337" t="str">
            <v>N</v>
          </cell>
          <cell r="AI337" t="str">
            <v>N</v>
          </cell>
          <cell r="AK337" t="str">
            <v>1398 VILLAGE O C P HATTANE</v>
          </cell>
          <cell r="AL337" t="str">
            <v>CM2</v>
          </cell>
          <cell r="AP337" t="str">
            <v>Q 92680</v>
          </cell>
          <cell r="AQ337">
            <v>0</v>
          </cell>
          <cell r="AR337" t="str">
            <v>C</v>
          </cell>
          <cell r="AU337" t="str">
            <v>/  /</v>
          </cell>
          <cell r="AW337">
            <v>39630</v>
          </cell>
          <cell r="AY337" t="str">
            <v>XX</v>
          </cell>
          <cell r="AZ337" t="str">
            <v>K</v>
          </cell>
          <cell r="BA337" t="str">
            <v>1</v>
          </cell>
          <cell r="BB337">
            <v>1</v>
          </cell>
          <cell r="BD337">
            <v>0</v>
          </cell>
          <cell r="BE337" t="str">
            <v>M</v>
          </cell>
          <cell r="BF337" t="str">
            <v>N</v>
          </cell>
          <cell r="BG337">
            <v>10</v>
          </cell>
          <cell r="BH337">
            <v>39630</v>
          </cell>
        </row>
        <row r="338">
          <cell r="A338">
            <v>71066</v>
          </cell>
          <cell r="B338">
            <v>411</v>
          </cell>
          <cell r="C338" t="str">
            <v>C3152</v>
          </cell>
          <cell r="D338" t="str">
            <v>EL GAROUAZ</v>
          </cell>
          <cell r="E338" t="str">
            <v>ABDELKBIR</v>
          </cell>
          <cell r="F338">
            <v>20270</v>
          </cell>
          <cell r="G338" t="str">
            <v>1</v>
          </cell>
          <cell r="H338" t="str">
            <v>OULED BHAR KBAR KHOURIBGA</v>
          </cell>
          <cell r="I338" t="str">
            <v>D</v>
          </cell>
          <cell r="J338">
            <v>28947</v>
          </cell>
          <cell r="K338">
            <v>35977</v>
          </cell>
          <cell r="L338" t="str">
            <v>21</v>
          </cell>
          <cell r="M338" t="str">
            <v>B</v>
          </cell>
          <cell r="N338">
            <v>35977</v>
          </cell>
          <cell r="P338">
            <v>24</v>
          </cell>
          <cell r="Q338" t="str">
            <v>O</v>
          </cell>
          <cell r="R338" t="str">
            <v>N</v>
          </cell>
          <cell r="S338">
            <v>0</v>
          </cell>
          <cell r="T338" t="str">
            <v>M</v>
          </cell>
          <cell r="U338" t="str">
            <v>JEMAA BENT AHMED</v>
          </cell>
          <cell r="X338">
            <v>5</v>
          </cell>
          <cell r="Y338">
            <v>2</v>
          </cell>
          <cell r="AB338" t="str">
            <v>X</v>
          </cell>
          <cell r="AC338" t="str">
            <v>X</v>
          </cell>
          <cell r="AD338" t="str">
            <v>X</v>
          </cell>
          <cell r="AH338" t="str">
            <v>N</v>
          </cell>
          <cell r="AI338" t="str">
            <v>N</v>
          </cell>
          <cell r="AK338" t="str">
            <v>701 VILLAGE O.C.P - BOUJNIBA</v>
          </cell>
          <cell r="AL338" t="str">
            <v>CM2</v>
          </cell>
          <cell r="AP338" t="str">
            <v>Q 42701</v>
          </cell>
          <cell r="AQ338">
            <v>0</v>
          </cell>
          <cell r="AR338" t="str">
            <v>B</v>
          </cell>
          <cell r="AS338" t="str">
            <v>SGMB - KHGA</v>
          </cell>
          <cell r="AT338" t="str">
            <v>0940532941</v>
          </cell>
          <cell r="AU338" t="str">
            <v>/  /</v>
          </cell>
          <cell r="AW338">
            <v>38534</v>
          </cell>
          <cell r="AY338" t="str">
            <v>XX</v>
          </cell>
          <cell r="BA338" t="str">
            <v>1</v>
          </cell>
          <cell r="BB338">
            <v>1</v>
          </cell>
          <cell r="BD338">
            <v>0</v>
          </cell>
          <cell r="BE338" t="str">
            <v>M</v>
          </cell>
          <cell r="BF338" t="str">
            <v>N</v>
          </cell>
          <cell r="BG338">
            <v>50</v>
          </cell>
          <cell r="BH338">
            <v>38718</v>
          </cell>
        </row>
        <row r="339">
          <cell r="A339">
            <v>70934</v>
          </cell>
          <cell r="B339">
            <v>461</v>
          </cell>
          <cell r="C339" t="str">
            <v>C7017</v>
          </cell>
          <cell r="D339" t="str">
            <v>MEKKAOUI</v>
          </cell>
          <cell r="E339" t="str">
            <v>MOHAMED</v>
          </cell>
          <cell r="F339">
            <v>21082</v>
          </cell>
          <cell r="H339" t="str">
            <v>BENI MESKINE</v>
          </cell>
          <cell r="I339" t="str">
            <v>D</v>
          </cell>
          <cell r="J339">
            <v>28852</v>
          </cell>
          <cell r="K339">
            <v>35096</v>
          </cell>
          <cell r="L339" t="str">
            <v>33</v>
          </cell>
          <cell r="M339" t="str">
            <v>A</v>
          </cell>
          <cell r="N339">
            <v>35096</v>
          </cell>
          <cell r="P339">
            <v>24</v>
          </cell>
          <cell r="Q339" t="str">
            <v>O</v>
          </cell>
          <cell r="R339" t="str">
            <v>N</v>
          </cell>
          <cell r="S339">
            <v>0</v>
          </cell>
          <cell r="T339" t="str">
            <v>M</v>
          </cell>
          <cell r="U339" t="str">
            <v>FATIMA BENT MED BEN NACER</v>
          </cell>
          <cell r="X339">
            <v>3</v>
          </cell>
          <cell r="Y339">
            <v>3</v>
          </cell>
          <cell r="AB339" t="str">
            <v>X</v>
          </cell>
          <cell r="AC339" t="str">
            <v>X</v>
          </cell>
          <cell r="AD339" t="str">
            <v>X</v>
          </cell>
          <cell r="AH339" t="str">
            <v>N</v>
          </cell>
          <cell r="AI339" t="str">
            <v>N</v>
          </cell>
          <cell r="AK339" t="str">
            <v>BLOC G N 12 EL MASSIRA KHGA</v>
          </cell>
          <cell r="AL339" t="str">
            <v>4AS</v>
          </cell>
          <cell r="AM339" t="str">
            <v>CFP</v>
          </cell>
          <cell r="AP339" t="str">
            <v>Q 51113</v>
          </cell>
          <cell r="AQ339">
            <v>0</v>
          </cell>
          <cell r="AR339" t="str">
            <v>B</v>
          </cell>
          <cell r="AS339" t="str">
            <v>BMCE KHGA</v>
          </cell>
          <cell r="AT339" t="str">
            <v>40001200598353</v>
          </cell>
          <cell r="AU339" t="str">
            <v>/  /</v>
          </cell>
          <cell r="AW339">
            <v>39448</v>
          </cell>
          <cell r="AY339" t="str">
            <v>XX</v>
          </cell>
          <cell r="BA339" t="str">
            <v>2</v>
          </cell>
          <cell r="BB339">
            <v>1</v>
          </cell>
          <cell r="BD339">
            <v>0</v>
          </cell>
          <cell r="BE339" t="str">
            <v>M</v>
          </cell>
          <cell r="BF339" t="str">
            <v>N</v>
          </cell>
          <cell r="BG339">
            <v>1</v>
          </cell>
          <cell r="BH339">
            <v>39448</v>
          </cell>
          <cell r="BI339" t="str">
            <v>O</v>
          </cell>
        </row>
        <row r="340">
          <cell r="A340">
            <v>70931</v>
          </cell>
          <cell r="B340">
            <v>418</v>
          </cell>
          <cell r="C340" t="str">
            <v>C7102</v>
          </cell>
          <cell r="D340" t="str">
            <v>CHAIF</v>
          </cell>
          <cell r="E340" t="str">
            <v>MOHAMMED</v>
          </cell>
          <cell r="F340">
            <v>20270</v>
          </cell>
          <cell r="G340" t="str">
            <v>1</v>
          </cell>
          <cell r="H340" t="str">
            <v>OULED BHAR KBAR KHOURIBGA</v>
          </cell>
          <cell r="I340" t="str">
            <v>D</v>
          </cell>
          <cell r="J340">
            <v>28849</v>
          </cell>
          <cell r="K340">
            <v>35065</v>
          </cell>
          <cell r="L340" t="str">
            <v>33</v>
          </cell>
          <cell r="M340" t="str">
            <v>A</v>
          </cell>
          <cell r="N340">
            <v>35065</v>
          </cell>
          <cell r="P340">
            <v>24</v>
          </cell>
          <cell r="Q340" t="str">
            <v>O</v>
          </cell>
          <cell r="R340" t="str">
            <v>N</v>
          </cell>
          <cell r="S340">
            <v>0</v>
          </cell>
          <cell r="T340" t="str">
            <v>M</v>
          </cell>
          <cell r="U340" t="str">
            <v>RACHIDA BENT AHMED</v>
          </cell>
          <cell r="X340">
            <v>5</v>
          </cell>
          <cell r="Y340">
            <v>5</v>
          </cell>
          <cell r="AB340" t="str">
            <v>X</v>
          </cell>
          <cell r="AC340" t="str">
            <v>X</v>
          </cell>
          <cell r="AD340" t="str">
            <v>X</v>
          </cell>
          <cell r="AH340" t="str">
            <v>N</v>
          </cell>
          <cell r="AI340" t="str">
            <v>N</v>
          </cell>
          <cell r="AK340" t="str">
            <v>76 COOPER.EL MOUSTAKBAL HAY EL AMAL KHGA</v>
          </cell>
          <cell r="AL340" t="str">
            <v>7AS</v>
          </cell>
          <cell r="AP340" t="str">
            <v>Q 58278</v>
          </cell>
          <cell r="AQ340">
            <v>0</v>
          </cell>
          <cell r="AR340" t="str">
            <v>B</v>
          </cell>
          <cell r="AS340" t="str">
            <v>BMCI - KHGA</v>
          </cell>
          <cell r="AT340" t="str">
            <v>0282118262930100001</v>
          </cell>
          <cell r="AU340" t="str">
            <v>/  /</v>
          </cell>
          <cell r="AW340">
            <v>38534</v>
          </cell>
          <cell r="AY340" t="str">
            <v>XX</v>
          </cell>
          <cell r="BA340" t="str">
            <v>2</v>
          </cell>
          <cell r="BB340">
            <v>1</v>
          </cell>
          <cell r="BD340">
            <v>0</v>
          </cell>
          <cell r="BE340" t="str">
            <v>M</v>
          </cell>
          <cell r="BF340" t="str">
            <v>N</v>
          </cell>
          <cell r="BG340">
            <v>1</v>
          </cell>
          <cell r="BH340">
            <v>38534</v>
          </cell>
        </row>
        <row r="341">
          <cell r="A341">
            <v>71961</v>
          </cell>
          <cell r="B341">
            <v>466</v>
          </cell>
          <cell r="C341" t="str">
            <v>C3152</v>
          </cell>
          <cell r="D341" t="str">
            <v>GUENNANE</v>
          </cell>
          <cell r="E341" t="str">
            <v>EL MOSTAFA</v>
          </cell>
          <cell r="F341">
            <v>19905</v>
          </cell>
          <cell r="G341" t="str">
            <v>1</v>
          </cell>
          <cell r="H341" t="str">
            <v>OULED BHAR KBAR KHOURIBGA</v>
          </cell>
          <cell r="I341" t="str">
            <v>D</v>
          </cell>
          <cell r="J341">
            <v>29376</v>
          </cell>
          <cell r="K341">
            <v>36526</v>
          </cell>
          <cell r="L341" t="str">
            <v>21</v>
          </cell>
          <cell r="M341" t="str">
            <v>A</v>
          </cell>
          <cell r="N341">
            <v>36526</v>
          </cell>
          <cell r="P341">
            <v>22</v>
          </cell>
          <cell r="Q341" t="str">
            <v>O</v>
          </cell>
          <cell r="R341" t="str">
            <v>N</v>
          </cell>
          <cell r="S341">
            <v>0</v>
          </cell>
          <cell r="T341" t="str">
            <v>M</v>
          </cell>
          <cell r="U341" t="str">
            <v>ERRAHAOUI AICHA BENT EL KORCHI</v>
          </cell>
          <cell r="X341">
            <v>6</v>
          </cell>
          <cell r="Y341">
            <v>4</v>
          </cell>
          <cell r="Z341" t="str">
            <v>N</v>
          </cell>
          <cell r="AA341" t="str">
            <v>07/09/88</v>
          </cell>
          <cell r="AB341" t="str">
            <v>X</v>
          </cell>
          <cell r="AC341" t="str">
            <v>X</v>
          </cell>
          <cell r="AD341" t="str">
            <v>X</v>
          </cell>
          <cell r="AH341" t="str">
            <v>N</v>
          </cell>
          <cell r="AI341" t="str">
            <v>N</v>
          </cell>
          <cell r="AK341" t="str">
            <v>107 VILLAGE O C P OUED ZEM</v>
          </cell>
          <cell r="AL341" t="str">
            <v>CM2</v>
          </cell>
          <cell r="AP341" t="str">
            <v>Q 32203</v>
          </cell>
          <cell r="AQ341">
            <v>0</v>
          </cell>
          <cell r="AR341" t="str">
            <v>B</v>
          </cell>
          <cell r="AS341" t="str">
            <v>POPULAIRE.O-ZEM</v>
          </cell>
          <cell r="AT341" t="str">
            <v>211113629238000750</v>
          </cell>
          <cell r="AU341" t="str">
            <v>/  /</v>
          </cell>
          <cell r="AW341">
            <v>39083</v>
          </cell>
          <cell r="AY341" t="str">
            <v>XX</v>
          </cell>
          <cell r="BA341" t="str">
            <v>1</v>
          </cell>
          <cell r="BB341">
            <v>1</v>
          </cell>
          <cell r="BD341">
            <v>0</v>
          </cell>
          <cell r="BE341" t="str">
            <v>M</v>
          </cell>
          <cell r="BF341" t="str">
            <v>N</v>
          </cell>
          <cell r="BG341">
            <v>31</v>
          </cell>
          <cell r="BH341">
            <v>39083</v>
          </cell>
        </row>
        <row r="342">
          <cell r="A342">
            <v>70829</v>
          </cell>
          <cell r="B342">
            <v>446</v>
          </cell>
          <cell r="C342" t="str">
            <v>C3152</v>
          </cell>
          <cell r="D342" t="str">
            <v>DAHOURI</v>
          </cell>
          <cell r="E342" t="str">
            <v>EL ARBI</v>
          </cell>
          <cell r="F342">
            <v>19540</v>
          </cell>
          <cell r="H342" t="str">
            <v>HAD LABRADIA</v>
          </cell>
          <cell r="I342" t="str">
            <v>D</v>
          </cell>
          <cell r="J342">
            <v>28790</v>
          </cell>
          <cell r="K342">
            <v>35977</v>
          </cell>
          <cell r="L342" t="str">
            <v>21</v>
          </cell>
          <cell r="M342" t="str">
            <v>B</v>
          </cell>
          <cell r="N342">
            <v>35977</v>
          </cell>
          <cell r="P342">
            <v>24</v>
          </cell>
          <cell r="Q342" t="str">
            <v>O</v>
          </cell>
          <cell r="R342" t="str">
            <v>N</v>
          </cell>
          <cell r="S342">
            <v>0</v>
          </cell>
          <cell r="T342" t="str">
            <v>M</v>
          </cell>
          <cell r="U342" t="str">
            <v>AICHA BENT MED</v>
          </cell>
          <cell r="X342">
            <v>6</v>
          </cell>
          <cell r="Y342">
            <v>3</v>
          </cell>
          <cell r="AB342" t="str">
            <v>X</v>
          </cell>
          <cell r="AC342" t="str">
            <v>X</v>
          </cell>
          <cell r="AD342" t="str">
            <v>X</v>
          </cell>
          <cell r="AH342" t="str">
            <v>N</v>
          </cell>
          <cell r="AI342" t="str">
            <v>N</v>
          </cell>
          <cell r="AK342" t="str">
            <v>318 ANCIENNE MEDINA SECHAGE - KHGA</v>
          </cell>
          <cell r="AL342" t="str">
            <v>ILLETTRE</v>
          </cell>
          <cell r="AP342" t="str">
            <v>Q 71401</v>
          </cell>
          <cell r="AQ342">
            <v>0</v>
          </cell>
          <cell r="AR342" t="str">
            <v>B</v>
          </cell>
          <cell r="AS342" t="str">
            <v>SGMB Khouribga</v>
          </cell>
          <cell r="AT342" t="str">
            <v>670009384571</v>
          </cell>
          <cell r="AU342" t="str">
            <v>/  /</v>
          </cell>
          <cell r="AW342">
            <v>38534</v>
          </cell>
          <cell r="AY342" t="str">
            <v>XX</v>
          </cell>
          <cell r="BA342" t="str">
            <v>6</v>
          </cell>
          <cell r="BB342">
            <v>1</v>
          </cell>
          <cell r="BD342">
            <v>0</v>
          </cell>
          <cell r="BE342" t="str">
            <v>M</v>
          </cell>
          <cell r="BF342" t="str">
            <v>N</v>
          </cell>
          <cell r="BG342">
            <v>1</v>
          </cell>
          <cell r="BH342">
            <v>38534</v>
          </cell>
        </row>
        <row r="343">
          <cell r="A343">
            <v>70808</v>
          </cell>
          <cell r="B343">
            <v>418</v>
          </cell>
          <cell r="C343" t="str">
            <v>C3152</v>
          </cell>
          <cell r="D343" t="str">
            <v>EL KANOUNI</v>
          </cell>
          <cell r="E343" t="str">
            <v>MUSTAPHA</v>
          </cell>
          <cell r="F343">
            <v>19175</v>
          </cell>
          <cell r="H343" t="str">
            <v>ES SAOUIRA</v>
          </cell>
          <cell r="I343" t="str">
            <v>D</v>
          </cell>
          <cell r="J343">
            <v>28782</v>
          </cell>
          <cell r="K343">
            <v>35977</v>
          </cell>
          <cell r="L343" t="str">
            <v>21</v>
          </cell>
          <cell r="M343" t="str">
            <v>A</v>
          </cell>
          <cell r="N343">
            <v>35977</v>
          </cell>
          <cell r="P343">
            <v>24</v>
          </cell>
          <cell r="Q343" t="str">
            <v>O</v>
          </cell>
          <cell r="R343" t="str">
            <v>N</v>
          </cell>
          <cell r="S343">
            <v>0</v>
          </cell>
          <cell r="T343" t="str">
            <v>M</v>
          </cell>
          <cell r="U343" t="str">
            <v>RKIA BENT ABDERRAHMANE</v>
          </cell>
          <cell r="X343">
            <v>6</v>
          </cell>
          <cell r="Y343">
            <v>2</v>
          </cell>
          <cell r="AB343" t="str">
            <v>X</v>
          </cell>
          <cell r="AC343" t="str">
            <v>X</v>
          </cell>
          <cell r="AD343" t="str">
            <v>X</v>
          </cell>
          <cell r="AH343" t="str">
            <v>N</v>
          </cell>
          <cell r="AI343" t="str">
            <v>N</v>
          </cell>
          <cell r="AK343" t="str">
            <v>N° 20 VILLAGE O.C.P - BOUJNIBA</v>
          </cell>
          <cell r="AL343" t="str">
            <v>ILLETTRE</v>
          </cell>
          <cell r="AP343" t="str">
            <v>Q 55207</v>
          </cell>
          <cell r="AQ343">
            <v>0</v>
          </cell>
          <cell r="AR343" t="str">
            <v>B</v>
          </cell>
          <cell r="AS343" t="str">
            <v>SGMB - KHGA</v>
          </cell>
          <cell r="AT343" t="str">
            <v>0670009423856</v>
          </cell>
          <cell r="AU343" t="str">
            <v>/  /</v>
          </cell>
          <cell r="AW343">
            <v>38534</v>
          </cell>
          <cell r="AY343" t="str">
            <v>XX</v>
          </cell>
          <cell r="BA343" t="str">
            <v>1</v>
          </cell>
          <cell r="BB343">
            <v>1</v>
          </cell>
          <cell r="BD343">
            <v>0</v>
          </cell>
          <cell r="BE343" t="str">
            <v>M</v>
          </cell>
          <cell r="BF343" t="str">
            <v>N</v>
          </cell>
          <cell r="BG343">
            <v>50</v>
          </cell>
          <cell r="BH343">
            <v>38534</v>
          </cell>
        </row>
        <row r="344">
          <cell r="A344">
            <v>70628</v>
          </cell>
          <cell r="B344">
            <v>418</v>
          </cell>
          <cell r="C344" t="str">
            <v>C3152</v>
          </cell>
          <cell r="D344" t="str">
            <v>AQQAD</v>
          </cell>
          <cell r="E344" t="str">
            <v>MBAREK</v>
          </cell>
          <cell r="F344">
            <v>19905</v>
          </cell>
          <cell r="G344" t="str">
            <v>4</v>
          </cell>
          <cell r="H344" t="str">
            <v>BOULANOIR</v>
          </cell>
          <cell r="I344" t="str">
            <v>D</v>
          </cell>
          <cell r="J344">
            <v>28632</v>
          </cell>
          <cell r="K344">
            <v>35096</v>
          </cell>
          <cell r="L344" t="str">
            <v>21</v>
          </cell>
          <cell r="M344" t="str">
            <v>A</v>
          </cell>
          <cell r="N344">
            <v>35096</v>
          </cell>
          <cell r="P344">
            <v>24</v>
          </cell>
          <cell r="Q344" t="str">
            <v>O</v>
          </cell>
          <cell r="R344" t="str">
            <v>N</v>
          </cell>
          <cell r="S344">
            <v>0</v>
          </cell>
          <cell r="T344" t="str">
            <v>M</v>
          </cell>
          <cell r="U344" t="str">
            <v>KHADOUJ BENT BELAID</v>
          </cell>
          <cell r="X344">
            <v>5</v>
          </cell>
          <cell r="Y344">
            <v>3</v>
          </cell>
          <cell r="AB344" t="str">
            <v>X</v>
          </cell>
          <cell r="AC344" t="str">
            <v>X</v>
          </cell>
          <cell r="AD344" t="str">
            <v>X</v>
          </cell>
          <cell r="AH344" t="str">
            <v>N</v>
          </cell>
          <cell r="AI344" t="str">
            <v>N</v>
          </cell>
          <cell r="AK344" t="str">
            <v>N 935 VILLAGE O C P HATTANE</v>
          </cell>
          <cell r="AL344" t="str">
            <v>ILLETTRE</v>
          </cell>
          <cell r="AP344" t="str">
            <v>Q 71053</v>
          </cell>
          <cell r="AQ344">
            <v>0</v>
          </cell>
          <cell r="AR344" t="str">
            <v>B</v>
          </cell>
          <cell r="AS344" t="str">
            <v>WAFABAK - KHGA</v>
          </cell>
          <cell r="AT344" t="str">
            <v>1220301261372</v>
          </cell>
          <cell r="AU344" t="str">
            <v>/  /</v>
          </cell>
          <cell r="AW344">
            <v>38353</v>
          </cell>
          <cell r="AY344" t="str">
            <v>XX</v>
          </cell>
          <cell r="BA344" t="str">
            <v>1</v>
          </cell>
          <cell r="BB344">
            <v>1</v>
          </cell>
          <cell r="BD344">
            <v>0</v>
          </cell>
          <cell r="BE344" t="str">
            <v>M</v>
          </cell>
          <cell r="BF344" t="str">
            <v>N</v>
          </cell>
          <cell r="BG344">
            <v>10</v>
          </cell>
          <cell r="BH344">
            <v>38353</v>
          </cell>
        </row>
        <row r="345">
          <cell r="A345">
            <v>70623</v>
          </cell>
          <cell r="B345">
            <v>411</v>
          </cell>
          <cell r="C345" t="str">
            <v>C3001</v>
          </cell>
          <cell r="D345" t="str">
            <v>DAMRANE</v>
          </cell>
          <cell r="E345" t="str">
            <v>MOHAMMED</v>
          </cell>
          <cell r="F345">
            <v>18079</v>
          </cell>
          <cell r="G345" t="str">
            <v>6</v>
          </cell>
          <cell r="H345" t="str">
            <v>M'FASSIS</v>
          </cell>
          <cell r="I345" t="str">
            <v>D</v>
          </cell>
          <cell r="J345">
            <v>28626</v>
          </cell>
          <cell r="K345">
            <v>37012</v>
          </cell>
          <cell r="L345" t="str">
            <v>21</v>
          </cell>
          <cell r="M345" t="str">
            <v>B</v>
          </cell>
          <cell r="N345">
            <v>37012</v>
          </cell>
          <cell r="P345">
            <v>24</v>
          </cell>
          <cell r="Q345" t="str">
            <v>O</v>
          </cell>
          <cell r="R345" t="str">
            <v>N</v>
          </cell>
          <cell r="S345">
            <v>0</v>
          </cell>
          <cell r="T345" t="str">
            <v>M</v>
          </cell>
          <cell r="U345" t="str">
            <v>BASSAR AICHA BENT MED</v>
          </cell>
          <cell r="X345">
            <v>4</v>
          </cell>
          <cell r="Y345">
            <v>4</v>
          </cell>
          <cell r="AB345" t="str">
            <v>X</v>
          </cell>
          <cell r="AC345" t="str">
            <v>X</v>
          </cell>
          <cell r="AD345" t="str">
            <v>X</v>
          </cell>
          <cell r="AH345" t="str">
            <v>N</v>
          </cell>
          <cell r="AI345" t="str">
            <v>N</v>
          </cell>
          <cell r="AK345" t="str">
            <v>1096 SBATA VILLAGE O.C.P - HATTANE</v>
          </cell>
          <cell r="AL345" t="str">
            <v>ILLETTRE</v>
          </cell>
          <cell r="AP345" t="str">
            <v>Q 33328</v>
          </cell>
          <cell r="AQ345">
            <v>0</v>
          </cell>
          <cell r="AR345" t="str">
            <v>C</v>
          </cell>
          <cell r="AU345" t="str">
            <v>/  /</v>
          </cell>
          <cell r="AW345">
            <v>38169</v>
          </cell>
          <cell r="AY345" t="str">
            <v>XX</v>
          </cell>
          <cell r="BA345" t="str">
            <v>2</v>
          </cell>
          <cell r="BB345">
            <v>1</v>
          </cell>
          <cell r="BD345">
            <v>0</v>
          </cell>
          <cell r="BE345" t="str">
            <v>M</v>
          </cell>
          <cell r="BF345" t="str">
            <v>N</v>
          </cell>
          <cell r="BG345">
            <v>10</v>
          </cell>
          <cell r="BH345">
            <v>38169</v>
          </cell>
        </row>
        <row r="346">
          <cell r="A346">
            <v>70596</v>
          </cell>
          <cell r="B346">
            <v>418</v>
          </cell>
          <cell r="C346" t="str">
            <v>C3152</v>
          </cell>
          <cell r="D346" t="str">
            <v>HAMIDOUCH</v>
          </cell>
          <cell r="E346" t="str">
            <v>AHMAD</v>
          </cell>
          <cell r="F346">
            <v>18444</v>
          </cell>
          <cell r="H346" t="str">
            <v>AIT ATAB</v>
          </cell>
          <cell r="I346" t="str">
            <v>D</v>
          </cell>
          <cell r="J346">
            <v>28621</v>
          </cell>
          <cell r="K346">
            <v>35977</v>
          </cell>
          <cell r="L346" t="str">
            <v>21</v>
          </cell>
          <cell r="M346" t="str">
            <v>A</v>
          </cell>
          <cell r="N346">
            <v>35977</v>
          </cell>
          <cell r="P346">
            <v>24</v>
          </cell>
          <cell r="Q346" t="str">
            <v>O</v>
          </cell>
          <cell r="R346" t="str">
            <v>N</v>
          </cell>
          <cell r="S346">
            <v>0</v>
          </cell>
          <cell r="T346" t="str">
            <v>M</v>
          </cell>
          <cell r="U346" t="str">
            <v>OUARDIA BENT AHMED</v>
          </cell>
          <cell r="X346">
            <v>5</v>
          </cell>
          <cell r="Y346">
            <v>2</v>
          </cell>
          <cell r="AB346" t="str">
            <v>X</v>
          </cell>
          <cell r="AC346" t="str">
            <v>X</v>
          </cell>
          <cell r="AD346" t="str">
            <v>X</v>
          </cell>
          <cell r="AH346" t="str">
            <v>N</v>
          </cell>
          <cell r="AI346" t="str">
            <v>N</v>
          </cell>
          <cell r="AK346" t="str">
            <v>1014 QODS II KHUORIBGA</v>
          </cell>
          <cell r="AL346" t="str">
            <v>ILLETTRE</v>
          </cell>
          <cell r="AP346" t="str">
            <v>Q 83469</v>
          </cell>
          <cell r="AQ346">
            <v>0</v>
          </cell>
          <cell r="AR346" t="str">
            <v>C</v>
          </cell>
          <cell r="AU346" t="str">
            <v>/  /</v>
          </cell>
          <cell r="AW346">
            <v>38353</v>
          </cell>
          <cell r="AY346" t="str">
            <v>XX</v>
          </cell>
          <cell r="BA346" t="str">
            <v>1</v>
          </cell>
          <cell r="BB346">
            <v>1</v>
          </cell>
          <cell r="BD346">
            <v>0</v>
          </cell>
          <cell r="BE346" t="str">
            <v>M</v>
          </cell>
          <cell r="BF346" t="str">
            <v>N</v>
          </cell>
          <cell r="BG346">
            <v>1</v>
          </cell>
          <cell r="BH346">
            <v>38353</v>
          </cell>
        </row>
        <row r="347">
          <cell r="A347">
            <v>71794</v>
          </cell>
          <cell r="B347">
            <v>418</v>
          </cell>
          <cell r="C347" t="str">
            <v>C2050</v>
          </cell>
          <cell r="D347" t="str">
            <v>AHLIM</v>
          </cell>
          <cell r="E347" t="str">
            <v>EL KBIR</v>
          </cell>
          <cell r="F347">
            <v>18809</v>
          </cell>
          <cell r="G347" t="str">
            <v>1</v>
          </cell>
          <cell r="H347" t="str">
            <v>OULED BHAR KBAR KHOURIBGA</v>
          </cell>
          <cell r="I347" t="str">
            <v>D</v>
          </cell>
          <cell r="J347">
            <v>29293</v>
          </cell>
          <cell r="K347">
            <v>31503</v>
          </cell>
          <cell r="L347" t="str">
            <v>12</v>
          </cell>
          <cell r="M347" t="str">
            <v>C</v>
          </cell>
          <cell r="N347">
            <v>35886</v>
          </cell>
          <cell r="P347">
            <v>23</v>
          </cell>
          <cell r="Q347" t="str">
            <v>O</v>
          </cell>
          <cell r="R347" t="str">
            <v>N</v>
          </cell>
          <cell r="S347">
            <v>0</v>
          </cell>
          <cell r="T347" t="str">
            <v>M</v>
          </cell>
          <cell r="U347" t="str">
            <v>NAIMA BENT JAAR ED DAOUI</v>
          </cell>
          <cell r="X347">
            <v>5</v>
          </cell>
          <cell r="Y347">
            <v>5</v>
          </cell>
          <cell r="AB347" t="str">
            <v>X</v>
          </cell>
          <cell r="AC347" t="str">
            <v>X</v>
          </cell>
          <cell r="AD347" t="str">
            <v>X</v>
          </cell>
          <cell r="AH347" t="str">
            <v>N</v>
          </cell>
          <cell r="AI347" t="str">
            <v>N</v>
          </cell>
          <cell r="AK347" t="str">
            <v>47 VILLAGE O.C.P - BOUJNIBA</v>
          </cell>
          <cell r="AL347" t="str">
            <v>ILLETTRE</v>
          </cell>
          <cell r="AP347" t="str">
            <v>Q 47844</v>
          </cell>
          <cell r="AQ347">
            <v>0</v>
          </cell>
          <cell r="AR347" t="str">
            <v>B</v>
          </cell>
          <cell r="AS347" t="str">
            <v>SGMB - KHGA</v>
          </cell>
          <cell r="AT347" t="str">
            <v>670009418424</v>
          </cell>
          <cell r="AU347" t="str">
            <v>/  /</v>
          </cell>
          <cell r="AW347">
            <v>38899</v>
          </cell>
          <cell r="AY347" t="str">
            <v>XX</v>
          </cell>
          <cell r="BA347" t="str">
            <v>2</v>
          </cell>
          <cell r="BB347">
            <v>1</v>
          </cell>
          <cell r="BD347">
            <v>0</v>
          </cell>
          <cell r="BE347" t="str">
            <v>M</v>
          </cell>
          <cell r="BF347" t="str">
            <v>N</v>
          </cell>
          <cell r="BG347">
            <v>50</v>
          </cell>
          <cell r="BH347">
            <v>38899</v>
          </cell>
        </row>
        <row r="348">
          <cell r="A348">
            <v>70582</v>
          </cell>
          <cell r="B348">
            <v>446</v>
          </cell>
          <cell r="C348" t="str">
            <v>C3152</v>
          </cell>
          <cell r="D348" t="str">
            <v>BERD</v>
          </cell>
          <cell r="E348" t="str">
            <v>MOHAMED</v>
          </cell>
          <cell r="F348">
            <v>18444</v>
          </cell>
          <cell r="G348" t="str">
            <v>1</v>
          </cell>
          <cell r="H348" t="str">
            <v>EL FOKRA</v>
          </cell>
          <cell r="I348" t="str">
            <v>D</v>
          </cell>
          <cell r="J348">
            <v>28619</v>
          </cell>
          <cell r="K348">
            <v>36526</v>
          </cell>
          <cell r="L348" t="str">
            <v>21</v>
          </cell>
          <cell r="M348" t="str">
            <v>B</v>
          </cell>
          <cell r="N348">
            <v>36526</v>
          </cell>
          <cell r="P348">
            <v>24</v>
          </cell>
          <cell r="Q348" t="str">
            <v>O</v>
          </cell>
          <cell r="R348" t="str">
            <v>N</v>
          </cell>
          <cell r="S348">
            <v>0</v>
          </cell>
          <cell r="T348" t="str">
            <v>M</v>
          </cell>
          <cell r="U348" t="str">
            <v>FATNA BENT BENDAOUD</v>
          </cell>
          <cell r="X348">
            <v>2</v>
          </cell>
          <cell r="Y348">
            <v>1</v>
          </cell>
          <cell r="AB348" t="str">
            <v>X</v>
          </cell>
          <cell r="AC348" t="str">
            <v>X</v>
          </cell>
          <cell r="AD348" t="str">
            <v>X</v>
          </cell>
          <cell r="AH348" t="str">
            <v>N</v>
          </cell>
          <cell r="AI348" t="str">
            <v>N</v>
          </cell>
          <cell r="AK348" t="str">
            <v>388 VILLAGE O C P BOULANOIR</v>
          </cell>
          <cell r="AL348" t="str">
            <v>ILLETTRE</v>
          </cell>
          <cell r="AP348" t="str">
            <v>Q 25017</v>
          </cell>
          <cell r="AQ348">
            <v>0</v>
          </cell>
          <cell r="AR348" t="str">
            <v>C</v>
          </cell>
          <cell r="AU348" t="str">
            <v>/  /</v>
          </cell>
          <cell r="AW348">
            <v>38353</v>
          </cell>
          <cell r="AY348" t="str">
            <v>XX</v>
          </cell>
          <cell r="AZ348" t="str">
            <v>R</v>
          </cell>
          <cell r="BA348" t="str">
            <v>1</v>
          </cell>
          <cell r="BB348">
            <v>1</v>
          </cell>
          <cell r="BD348">
            <v>0</v>
          </cell>
          <cell r="BE348" t="str">
            <v>M</v>
          </cell>
          <cell r="BF348" t="str">
            <v>N</v>
          </cell>
          <cell r="BG348">
            <v>40</v>
          </cell>
          <cell r="BH348">
            <v>38353</v>
          </cell>
        </row>
        <row r="349">
          <cell r="A349">
            <v>70572</v>
          </cell>
          <cell r="B349">
            <v>476</v>
          </cell>
          <cell r="C349" t="str">
            <v>C3152</v>
          </cell>
          <cell r="D349" t="str">
            <v>BAYADI</v>
          </cell>
          <cell r="E349" t="str">
            <v>EL MAATI</v>
          </cell>
          <cell r="F349">
            <v>19175</v>
          </cell>
          <cell r="G349" t="str">
            <v>6</v>
          </cell>
          <cell r="H349" t="str">
            <v>M'FASSIS</v>
          </cell>
          <cell r="I349" t="str">
            <v>D</v>
          </cell>
          <cell r="J349">
            <v>28618</v>
          </cell>
          <cell r="K349">
            <v>35977</v>
          </cell>
          <cell r="L349" t="str">
            <v>21</v>
          </cell>
          <cell r="M349" t="str">
            <v>A</v>
          </cell>
          <cell r="N349">
            <v>35977</v>
          </cell>
          <cell r="O349">
            <v>0</v>
          </cell>
          <cell r="P349">
            <v>24</v>
          </cell>
          <cell r="Q349" t="str">
            <v>O</v>
          </cell>
          <cell r="R349" t="str">
            <v>N</v>
          </cell>
          <cell r="S349">
            <v>0</v>
          </cell>
          <cell r="T349" t="str">
            <v>M</v>
          </cell>
          <cell r="U349" t="str">
            <v>EL RHADFA BENT EL KBIR</v>
          </cell>
          <cell r="X349">
            <v>5</v>
          </cell>
          <cell r="Y349">
            <v>3</v>
          </cell>
          <cell r="AB349" t="str">
            <v>X</v>
          </cell>
          <cell r="AC349" t="str">
            <v>X</v>
          </cell>
          <cell r="AD349" t="str">
            <v>X</v>
          </cell>
          <cell r="AH349" t="str">
            <v>N</v>
          </cell>
          <cell r="AI349" t="str">
            <v>N</v>
          </cell>
          <cell r="AK349" t="str">
            <v>948 SBATA VILLAGE OCP - HATTANE</v>
          </cell>
          <cell r="AL349" t="str">
            <v>ILLETTRE</v>
          </cell>
          <cell r="AP349" t="str">
            <v>Q 71050</v>
          </cell>
          <cell r="AQ349">
            <v>0</v>
          </cell>
          <cell r="AR349" t="str">
            <v>B</v>
          </cell>
          <cell r="AS349" t="str">
            <v>CR.AGRICOLE-KHGA-</v>
          </cell>
          <cell r="AT349" t="str">
            <v>08083615601</v>
          </cell>
          <cell r="AU349" t="str">
            <v>/  /</v>
          </cell>
          <cell r="AW349">
            <v>38353</v>
          </cell>
          <cell r="AY349" t="str">
            <v>XX</v>
          </cell>
          <cell r="BA349" t="str">
            <v>1</v>
          </cell>
          <cell r="BB349">
            <v>1</v>
          </cell>
          <cell r="BD349">
            <v>0</v>
          </cell>
          <cell r="BE349" t="str">
            <v>M</v>
          </cell>
          <cell r="BF349" t="str">
            <v>N</v>
          </cell>
          <cell r="BG349">
            <v>10</v>
          </cell>
          <cell r="BH349">
            <v>38353</v>
          </cell>
        </row>
        <row r="350">
          <cell r="A350">
            <v>71781</v>
          </cell>
          <cell r="B350">
            <v>416</v>
          </cell>
          <cell r="C350" t="str">
            <v>C2000</v>
          </cell>
          <cell r="D350" t="str">
            <v>DAMACHE</v>
          </cell>
          <cell r="E350" t="str">
            <v>EL MATI</v>
          </cell>
          <cell r="F350">
            <v>18444</v>
          </cell>
          <cell r="G350" t="str">
            <v>3</v>
          </cell>
          <cell r="H350" t="str">
            <v>BENI IKHLEF</v>
          </cell>
          <cell r="I350" t="str">
            <v>D</v>
          </cell>
          <cell r="J350">
            <v>29291</v>
          </cell>
          <cell r="K350">
            <v>31503</v>
          </cell>
          <cell r="L350" t="str">
            <v>12</v>
          </cell>
          <cell r="M350" t="str">
            <v>C</v>
          </cell>
          <cell r="N350">
            <v>35886</v>
          </cell>
          <cell r="P350">
            <v>23</v>
          </cell>
          <cell r="Q350" t="str">
            <v>O</v>
          </cell>
          <cell r="R350" t="str">
            <v>N</v>
          </cell>
          <cell r="S350">
            <v>0</v>
          </cell>
          <cell r="T350" t="str">
            <v>M</v>
          </cell>
          <cell r="U350" t="str">
            <v>FATNA BENT MOHAMED</v>
          </cell>
          <cell r="X350">
            <v>7</v>
          </cell>
          <cell r="Y350">
            <v>2</v>
          </cell>
          <cell r="AB350" t="str">
            <v>X</v>
          </cell>
          <cell r="AC350" t="str">
            <v>X</v>
          </cell>
          <cell r="AD350" t="str">
            <v>X</v>
          </cell>
          <cell r="AH350" t="str">
            <v>N</v>
          </cell>
          <cell r="AI350" t="str">
            <v>N</v>
          </cell>
          <cell r="AK350" t="str">
            <v>442 NOUVEAU TACHERON OCP - BOUJNIBA</v>
          </cell>
          <cell r="AL350" t="str">
            <v>ILLETTRE</v>
          </cell>
          <cell r="AP350" t="str">
            <v>Q 83835</v>
          </cell>
          <cell r="AQ350">
            <v>0</v>
          </cell>
          <cell r="AR350" t="str">
            <v>B</v>
          </cell>
          <cell r="AS350" t="str">
            <v>CRED-AGRICOLE</v>
          </cell>
          <cell r="AT350" t="str">
            <v>08081670601</v>
          </cell>
          <cell r="AU350" t="str">
            <v>/  /</v>
          </cell>
          <cell r="AW350">
            <v>38534</v>
          </cell>
          <cell r="AY350" t="str">
            <v>XX</v>
          </cell>
          <cell r="BA350" t="str">
            <v>1</v>
          </cell>
          <cell r="BB350">
            <v>1</v>
          </cell>
          <cell r="BD350">
            <v>0</v>
          </cell>
          <cell r="BE350" t="str">
            <v>M</v>
          </cell>
          <cell r="BF350" t="str">
            <v>N</v>
          </cell>
          <cell r="BG350">
            <v>50</v>
          </cell>
          <cell r="BH350">
            <v>38534</v>
          </cell>
        </row>
        <row r="351">
          <cell r="A351">
            <v>71772</v>
          </cell>
          <cell r="B351">
            <v>403</v>
          </cell>
          <cell r="C351" t="str">
            <v>C3152</v>
          </cell>
          <cell r="D351" t="str">
            <v>ABIZAID</v>
          </cell>
          <cell r="E351" t="str">
            <v>MOHAMED</v>
          </cell>
          <cell r="F351">
            <v>19175</v>
          </cell>
          <cell r="H351" t="str">
            <v>ESSAOUIRA</v>
          </cell>
          <cell r="I351" t="str">
            <v>D</v>
          </cell>
          <cell r="J351">
            <v>29288</v>
          </cell>
          <cell r="K351">
            <v>37377</v>
          </cell>
          <cell r="L351" t="str">
            <v>21</v>
          </cell>
          <cell r="M351" t="str">
            <v>A</v>
          </cell>
          <cell r="N351">
            <v>37377</v>
          </cell>
          <cell r="P351">
            <v>23</v>
          </cell>
          <cell r="Q351" t="str">
            <v>O</v>
          </cell>
          <cell r="R351" t="str">
            <v>N</v>
          </cell>
          <cell r="S351">
            <v>0</v>
          </cell>
          <cell r="T351" t="str">
            <v>M</v>
          </cell>
          <cell r="U351" t="str">
            <v>ABBOUDI FATIMA BENT MHAMMED</v>
          </cell>
          <cell r="X351">
            <v>5</v>
          </cell>
          <cell r="Y351">
            <v>5</v>
          </cell>
          <cell r="AB351" t="str">
            <v>X</v>
          </cell>
          <cell r="AC351" t="str">
            <v>X</v>
          </cell>
          <cell r="AD351" t="str">
            <v>X</v>
          </cell>
          <cell r="AH351" t="str">
            <v>N</v>
          </cell>
          <cell r="AI351" t="str">
            <v>N</v>
          </cell>
          <cell r="AK351" t="str">
            <v>916 VILLAGE O C.P HATTANE</v>
          </cell>
          <cell r="AL351" t="str">
            <v>ILLETTRE</v>
          </cell>
          <cell r="AP351" t="str">
            <v>Q 60767</v>
          </cell>
          <cell r="AQ351">
            <v>0</v>
          </cell>
          <cell r="AR351" t="str">
            <v>B</v>
          </cell>
          <cell r="AS351" t="str">
            <v>BMCE KHGA</v>
          </cell>
          <cell r="AT351" t="str">
            <v>40001200000607665</v>
          </cell>
          <cell r="AU351" t="str">
            <v>/  /</v>
          </cell>
          <cell r="AW351">
            <v>38899</v>
          </cell>
          <cell r="AY351" t="str">
            <v>XX</v>
          </cell>
          <cell r="BA351" t="str">
            <v>1</v>
          </cell>
          <cell r="BB351">
            <v>1</v>
          </cell>
          <cell r="BD351">
            <v>0</v>
          </cell>
          <cell r="BE351" t="str">
            <v>M</v>
          </cell>
          <cell r="BF351" t="str">
            <v>N</v>
          </cell>
          <cell r="BG351">
            <v>10</v>
          </cell>
          <cell r="BH351">
            <v>38899</v>
          </cell>
        </row>
        <row r="352">
          <cell r="A352">
            <v>71745</v>
          </cell>
          <cell r="B352">
            <v>418</v>
          </cell>
          <cell r="C352" t="str">
            <v>C2152</v>
          </cell>
          <cell r="D352" t="str">
            <v>MERROUCHI</v>
          </cell>
          <cell r="E352" t="str">
            <v>OMAR</v>
          </cell>
          <cell r="F352">
            <v>18809</v>
          </cell>
          <cell r="G352" t="str">
            <v>6</v>
          </cell>
          <cell r="H352" t="str">
            <v>OULED AZZOUZ</v>
          </cell>
          <cell r="I352" t="str">
            <v>D</v>
          </cell>
          <cell r="J352">
            <v>29272</v>
          </cell>
          <cell r="K352">
            <v>31472</v>
          </cell>
          <cell r="L352" t="str">
            <v>12</v>
          </cell>
          <cell r="M352" t="str">
            <v>C</v>
          </cell>
          <cell r="N352">
            <v>35855</v>
          </cell>
          <cell r="P352">
            <v>24</v>
          </cell>
          <cell r="Q352" t="str">
            <v>N</v>
          </cell>
          <cell r="R352" t="str">
            <v>O</v>
          </cell>
          <cell r="S352">
            <v>3</v>
          </cell>
          <cell r="T352" t="str">
            <v>M</v>
          </cell>
          <cell r="U352" t="str">
            <v>FATIMA BENT AHMED</v>
          </cell>
          <cell r="X352">
            <v>6</v>
          </cell>
          <cell r="Y352">
            <v>2</v>
          </cell>
          <cell r="AB352" t="str">
            <v>X</v>
          </cell>
          <cell r="AC352" t="str">
            <v>X</v>
          </cell>
          <cell r="AD352" t="str">
            <v>X</v>
          </cell>
          <cell r="AH352" t="str">
            <v>N</v>
          </cell>
          <cell r="AI352" t="str">
            <v>N</v>
          </cell>
          <cell r="AK352" t="str">
            <v>OULED CHAOUI OULED AZZOUZ</v>
          </cell>
          <cell r="AL352" t="str">
            <v>ILLETTRE</v>
          </cell>
          <cell r="AP352" t="str">
            <v>Q 80999</v>
          </cell>
          <cell r="AQ352">
            <v>0</v>
          </cell>
          <cell r="AR352" t="str">
            <v>C</v>
          </cell>
          <cell r="AU352" t="str">
            <v>/  /</v>
          </cell>
          <cell r="AW352">
            <v>38899</v>
          </cell>
          <cell r="AY352" t="str">
            <v>XX</v>
          </cell>
          <cell r="BA352" t="str">
            <v>1</v>
          </cell>
          <cell r="BB352">
            <v>1</v>
          </cell>
          <cell r="BD352">
            <v>0</v>
          </cell>
          <cell r="BE352" t="str">
            <v>M</v>
          </cell>
          <cell r="BF352" t="str">
            <v>N</v>
          </cell>
          <cell r="BG352">
            <v>0</v>
          </cell>
          <cell r="BH352">
            <v>38899</v>
          </cell>
          <cell r="BI352" t="str">
            <v>O</v>
          </cell>
        </row>
        <row r="353">
          <cell r="A353">
            <v>71716</v>
          </cell>
          <cell r="B353">
            <v>418</v>
          </cell>
          <cell r="C353" t="str">
            <v>C3152</v>
          </cell>
          <cell r="D353" t="str">
            <v>MEHSSOUN</v>
          </cell>
          <cell r="E353" t="str">
            <v>DRISS</v>
          </cell>
          <cell r="F353">
            <v>19905</v>
          </cell>
          <cell r="G353" t="str">
            <v>1</v>
          </cell>
          <cell r="H353" t="str">
            <v>OULED BHAR KBAR KHOURIBGA</v>
          </cell>
          <cell r="I353" t="str">
            <v>D</v>
          </cell>
          <cell r="J353">
            <v>29262</v>
          </cell>
          <cell r="K353">
            <v>35096</v>
          </cell>
          <cell r="L353" t="str">
            <v>21</v>
          </cell>
          <cell r="M353" t="str">
            <v>A</v>
          </cell>
          <cell r="N353">
            <v>35096</v>
          </cell>
          <cell r="P353">
            <v>24</v>
          </cell>
          <cell r="Q353" t="str">
            <v>O</v>
          </cell>
          <cell r="R353" t="str">
            <v>N</v>
          </cell>
          <cell r="S353">
            <v>0</v>
          </cell>
          <cell r="T353" t="str">
            <v>M</v>
          </cell>
          <cell r="U353" t="str">
            <v>KHADDOUJ BT EL AYACHI</v>
          </cell>
          <cell r="X353">
            <v>5</v>
          </cell>
          <cell r="Y353">
            <v>5</v>
          </cell>
          <cell r="AB353" t="str">
            <v>X</v>
          </cell>
          <cell r="AC353" t="str">
            <v>X</v>
          </cell>
          <cell r="AD353" t="str">
            <v>X</v>
          </cell>
          <cell r="AH353" t="str">
            <v>N</v>
          </cell>
          <cell r="AI353" t="str">
            <v>N</v>
          </cell>
          <cell r="AK353" t="str">
            <v>N° 102 DERB 7 - HATTANE</v>
          </cell>
          <cell r="AL353" t="str">
            <v>ILLETTRE</v>
          </cell>
          <cell r="AP353" t="str">
            <v>Q 12182</v>
          </cell>
          <cell r="AQ353">
            <v>0</v>
          </cell>
          <cell r="AR353" t="str">
            <v>C</v>
          </cell>
          <cell r="AS353" t="str">
            <v>CREDIT AGRIC-KHGA</v>
          </cell>
          <cell r="AT353" t="str">
            <v>0808261W601</v>
          </cell>
          <cell r="AU353" t="str">
            <v>/  /</v>
          </cell>
          <cell r="AW353">
            <v>38899</v>
          </cell>
          <cell r="AY353" t="str">
            <v>XX</v>
          </cell>
          <cell r="BA353" t="str">
            <v>1</v>
          </cell>
          <cell r="BB353">
            <v>1</v>
          </cell>
          <cell r="BD353">
            <v>0</v>
          </cell>
          <cell r="BE353" t="str">
            <v>M</v>
          </cell>
          <cell r="BF353" t="str">
            <v>N</v>
          </cell>
          <cell r="BG353">
            <v>10</v>
          </cell>
          <cell r="BH353">
            <v>38899</v>
          </cell>
          <cell r="BI353" t="str">
            <v>O</v>
          </cell>
        </row>
        <row r="354">
          <cell r="A354">
            <v>70553</v>
          </cell>
          <cell r="B354">
            <v>418</v>
          </cell>
          <cell r="C354" t="str">
            <v>C3152</v>
          </cell>
          <cell r="D354" t="str">
            <v>MARKOUCH</v>
          </cell>
          <cell r="E354" t="str">
            <v>EL ARBI</v>
          </cell>
          <cell r="F354">
            <v>18079</v>
          </cell>
          <cell r="G354" t="str">
            <v>3</v>
          </cell>
          <cell r="H354" t="str">
            <v>BENI IKHLEF</v>
          </cell>
          <cell r="I354" t="str">
            <v>D</v>
          </cell>
          <cell r="J354">
            <v>28615</v>
          </cell>
          <cell r="K354">
            <v>36526</v>
          </cell>
          <cell r="L354" t="str">
            <v>21</v>
          </cell>
          <cell r="M354" t="str">
            <v>B</v>
          </cell>
          <cell r="N354">
            <v>36526</v>
          </cell>
          <cell r="O354">
            <v>0</v>
          </cell>
          <cell r="P354">
            <v>24</v>
          </cell>
          <cell r="Q354" t="str">
            <v>O</v>
          </cell>
          <cell r="R354" t="str">
            <v>N</v>
          </cell>
          <cell r="S354">
            <v>0</v>
          </cell>
          <cell r="T354" t="str">
            <v>M</v>
          </cell>
          <cell r="U354" t="str">
            <v>FATNA BENT LAHCEN</v>
          </cell>
          <cell r="X354">
            <v>6</v>
          </cell>
          <cell r="Y354">
            <v>5</v>
          </cell>
          <cell r="AB354" t="str">
            <v>X</v>
          </cell>
          <cell r="AC354" t="str">
            <v>X</v>
          </cell>
          <cell r="AD354" t="str">
            <v>X</v>
          </cell>
          <cell r="AH354" t="str">
            <v>N</v>
          </cell>
          <cell r="AI354" t="str">
            <v>N</v>
          </cell>
          <cell r="AK354" t="str">
            <v>395 VILLAGE O.C.P - BOUJNIBA</v>
          </cell>
          <cell r="AL354" t="str">
            <v>ILLETTRE</v>
          </cell>
          <cell r="AP354" t="str">
            <v>Q 68911</v>
          </cell>
          <cell r="AQ354">
            <v>0</v>
          </cell>
          <cell r="AR354" t="str">
            <v>B</v>
          </cell>
          <cell r="AS354" t="str">
            <v>SGMB - KHGA</v>
          </cell>
          <cell r="AT354" t="str">
            <v>067000951785241</v>
          </cell>
          <cell r="AU354" t="str">
            <v>/  /</v>
          </cell>
          <cell r="AW354">
            <v>38169</v>
          </cell>
          <cell r="AY354" t="str">
            <v>XX</v>
          </cell>
          <cell r="BA354" t="str">
            <v>1</v>
          </cell>
          <cell r="BB354">
            <v>1</v>
          </cell>
          <cell r="BD354">
            <v>0</v>
          </cell>
          <cell r="BE354" t="str">
            <v>M</v>
          </cell>
          <cell r="BF354" t="str">
            <v>N</v>
          </cell>
          <cell r="BG354">
            <v>50</v>
          </cell>
          <cell r="BH354">
            <v>38169</v>
          </cell>
        </row>
        <row r="355">
          <cell r="A355">
            <v>71715</v>
          </cell>
          <cell r="B355">
            <v>418</v>
          </cell>
          <cell r="C355" t="str">
            <v>C2152</v>
          </cell>
          <cell r="D355" t="str">
            <v>CHEBLAOUI</v>
          </cell>
          <cell r="E355" t="str">
            <v>MOHAMED</v>
          </cell>
          <cell r="F355">
            <v>20180</v>
          </cell>
          <cell r="G355" t="str">
            <v>3</v>
          </cell>
          <cell r="H355" t="str">
            <v>BOUJNIBA</v>
          </cell>
          <cell r="I355" t="str">
            <v>D</v>
          </cell>
          <cell r="J355">
            <v>29262</v>
          </cell>
          <cell r="K355">
            <v>31472</v>
          </cell>
          <cell r="L355" t="str">
            <v>12</v>
          </cell>
          <cell r="M355" t="str">
            <v>C</v>
          </cell>
          <cell r="N355">
            <v>35855</v>
          </cell>
          <cell r="P355">
            <v>24</v>
          </cell>
          <cell r="Q355" t="str">
            <v>O</v>
          </cell>
          <cell r="R355" t="str">
            <v>N</v>
          </cell>
          <cell r="S355">
            <v>0</v>
          </cell>
          <cell r="T355" t="str">
            <v>M</v>
          </cell>
          <cell r="U355" t="str">
            <v>FATNA BENT MED</v>
          </cell>
          <cell r="X355">
            <v>5</v>
          </cell>
          <cell r="Y355">
            <v>5</v>
          </cell>
          <cell r="AB355" t="str">
            <v>X</v>
          </cell>
          <cell r="AC355" t="str">
            <v>X</v>
          </cell>
          <cell r="AD355" t="str">
            <v>X</v>
          </cell>
          <cell r="AH355" t="str">
            <v>O</v>
          </cell>
          <cell r="AI355" t="str">
            <v>N</v>
          </cell>
          <cell r="AK355" t="str">
            <v>N 608 VILLAGE O C P BOUJNIBA</v>
          </cell>
          <cell r="AL355" t="str">
            <v>ILLETTRE</v>
          </cell>
          <cell r="AP355" t="str">
            <v>Q 88582</v>
          </cell>
          <cell r="AQ355">
            <v>0</v>
          </cell>
          <cell r="AR355" t="str">
            <v>B</v>
          </cell>
          <cell r="AS355" t="str">
            <v>WAFABANK - KHGA</v>
          </cell>
          <cell r="AT355" t="str">
            <v>1220301312296</v>
          </cell>
          <cell r="AU355" t="str">
            <v>/  /</v>
          </cell>
          <cell r="AW355">
            <v>38899</v>
          </cell>
          <cell r="AY355" t="str">
            <v>XX</v>
          </cell>
          <cell r="BA355" t="str">
            <v>1</v>
          </cell>
          <cell r="BB355">
            <v>1</v>
          </cell>
          <cell r="BD355">
            <v>0</v>
          </cell>
          <cell r="BE355" t="str">
            <v>M</v>
          </cell>
          <cell r="BF355" t="str">
            <v>N</v>
          </cell>
          <cell r="BG355">
            <v>50</v>
          </cell>
          <cell r="BH355">
            <v>38899</v>
          </cell>
        </row>
        <row r="356">
          <cell r="A356">
            <v>70529</v>
          </cell>
          <cell r="B356">
            <v>446</v>
          </cell>
          <cell r="C356" t="str">
            <v>C3152</v>
          </cell>
          <cell r="D356" t="str">
            <v>KOTABI</v>
          </cell>
          <cell r="E356" t="str">
            <v>MOULAY DRISS</v>
          </cell>
          <cell r="F356">
            <v>19175</v>
          </cell>
          <cell r="H356" t="str">
            <v>SIDI HAJJAJ</v>
          </cell>
          <cell r="I356" t="str">
            <v>D</v>
          </cell>
          <cell r="J356">
            <v>28614</v>
          </cell>
          <cell r="K356">
            <v>37012</v>
          </cell>
          <cell r="L356" t="str">
            <v>21</v>
          </cell>
          <cell r="M356" t="str">
            <v>B</v>
          </cell>
          <cell r="N356">
            <v>37012</v>
          </cell>
          <cell r="P356">
            <v>24</v>
          </cell>
          <cell r="Q356" t="str">
            <v>O</v>
          </cell>
          <cell r="R356" t="str">
            <v>N</v>
          </cell>
          <cell r="S356">
            <v>0</v>
          </cell>
          <cell r="T356" t="str">
            <v>M</v>
          </cell>
          <cell r="U356" t="str">
            <v>RABHA BENT SALAH</v>
          </cell>
          <cell r="X356">
            <v>8</v>
          </cell>
          <cell r="Y356">
            <v>6</v>
          </cell>
          <cell r="AB356" t="str">
            <v>X</v>
          </cell>
          <cell r="AC356" t="str">
            <v>X</v>
          </cell>
          <cell r="AD356" t="str">
            <v>X</v>
          </cell>
          <cell r="AH356" t="str">
            <v>N</v>
          </cell>
          <cell r="AI356" t="str">
            <v>N</v>
          </cell>
          <cell r="AK356" t="str">
            <v>N 1187 VILLAGE O C P HATTANE</v>
          </cell>
          <cell r="AL356" t="str">
            <v>ILLETTRE</v>
          </cell>
          <cell r="AP356" t="str">
            <v>W 12834</v>
          </cell>
          <cell r="AQ356">
            <v>0</v>
          </cell>
          <cell r="AR356" t="str">
            <v>C</v>
          </cell>
          <cell r="AU356" t="str">
            <v>/  /</v>
          </cell>
          <cell r="AW356">
            <v>39878</v>
          </cell>
          <cell r="AX356">
            <v>39878</v>
          </cell>
          <cell r="AY356" t="str">
            <v>XX</v>
          </cell>
          <cell r="BA356" t="str">
            <v>1</v>
          </cell>
          <cell r="BB356">
            <v>1</v>
          </cell>
          <cell r="BD356">
            <v>0</v>
          </cell>
          <cell r="BE356" t="str">
            <v>M</v>
          </cell>
          <cell r="BF356" t="str">
            <v>N</v>
          </cell>
          <cell r="BG356">
            <v>10</v>
          </cell>
          <cell r="BH356">
            <v>38353</v>
          </cell>
        </row>
        <row r="357">
          <cell r="A357">
            <v>70527</v>
          </cell>
          <cell r="B357">
            <v>446</v>
          </cell>
          <cell r="C357" t="str">
            <v>C3200</v>
          </cell>
          <cell r="D357" t="str">
            <v>BAHADI</v>
          </cell>
          <cell r="E357" t="str">
            <v>BOUZEKRI</v>
          </cell>
          <cell r="F357">
            <v>18079</v>
          </cell>
          <cell r="G357" t="str">
            <v>6</v>
          </cell>
          <cell r="H357" t="str">
            <v>OULED AZZOUZ</v>
          </cell>
          <cell r="I357" t="str">
            <v>D</v>
          </cell>
          <cell r="J357">
            <v>28614</v>
          </cell>
          <cell r="K357">
            <v>37012</v>
          </cell>
          <cell r="L357" t="str">
            <v>21</v>
          </cell>
          <cell r="M357" t="str">
            <v>B</v>
          </cell>
          <cell r="N357">
            <v>37012</v>
          </cell>
          <cell r="P357">
            <v>24</v>
          </cell>
          <cell r="Q357" t="str">
            <v>O</v>
          </cell>
          <cell r="R357" t="str">
            <v>N</v>
          </cell>
          <cell r="S357">
            <v>0</v>
          </cell>
          <cell r="T357" t="str">
            <v>M</v>
          </cell>
          <cell r="U357" t="str">
            <v>MAHJOUBA BENT BOUZEKRI</v>
          </cell>
          <cell r="X357">
            <v>5</v>
          </cell>
          <cell r="Y357">
            <v>1</v>
          </cell>
          <cell r="AB357" t="str">
            <v>X</v>
          </cell>
          <cell r="AC357" t="str">
            <v>X</v>
          </cell>
          <cell r="AD357" t="str">
            <v>X</v>
          </cell>
          <cell r="AH357" t="str">
            <v>N</v>
          </cell>
          <cell r="AI357" t="str">
            <v>N</v>
          </cell>
          <cell r="AK357" t="str">
            <v>N° 2 DERB 7 - HATTANE</v>
          </cell>
          <cell r="AL357" t="str">
            <v>ILLETTRE</v>
          </cell>
          <cell r="AP357" t="str">
            <v>Q 56128</v>
          </cell>
          <cell r="AQ357">
            <v>0</v>
          </cell>
          <cell r="AR357" t="str">
            <v>B</v>
          </cell>
          <cell r="AS357" t="str">
            <v>C.N.C.A  KHGA</v>
          </cell>
          <cell r="AT357" t="str">
            <v>0806191X601</v>
          </cell>
          <cell r="AU357" t="str">
            <v>/  /</v>
          </cell>
          <cell r="AW357">
            <v>38169</v>
          </cell>
          <cell r="AY357" t="str">
            <v>XX</v>
          </cell>
          <cell r="BA357" t="str">
            <v>6</v>
          </cell>
          <cell r="BB357">
            <v>1</v>
          </cell>
          <cell r="BD357">
            <v>0</v>
          </cell>
          <cell r="BE357" t="str">
            <v>M</v>
          </cell>
          <cell r="BF357" t="str">
            <v>N</v>
          </cell>
          <cell r="BG357">
            <v>10</v>
          </cell>
          <cell r="BH357">
            <v>38169</v>
          </cell>
        </row>
        <row r="358">
          <cell r="A358">
            <v>71711</v>
          </cell>
          <cell r="B358">
            <v>411</v>
          </cell>
          <cell r="C358" t="str">
            <v>C3152</v>
          </cell>
          <cell r="D358" t="str">
            <v>EL GOUBI</v>
          </cell>
          <cell r="E358" t="str">
            <v>MOHAMED</v>
          </cell>
          <cell r="F358">
            <v>18809</v>
          </cell>
          <cell r="G358" t="str">
            <v>3</v>
          </cell>
          <cell r="H358" t="str">
            <v>BOUJNIBA</v>
          </cell>
          <cell r="I358" t="str">
            <v>D</v>
          </cell>
          <cell r="J358">
            <v>29257</v>
          </cell>
          <cell r="K358">
            <v>33420</v>
          </cell>
          <cell r="L358" t="str">
            <v>21</v>
          </cell>
          <cell r="M358" t="str">
            <v>C</v>
          </cell>
          <cell r="N358">
            <v>35612</v>
          </cell>
          <cell r="P358">
            <v>24</v>
          </cell>
          <cell r="Q358" t="str">
            <v>O</v>
          </cell>
          <cell r="R358" t="str">
            <v>N</v>
          </cell>
          <cell r="S358">
            <v>0</v>
          </cell>
          <cell r="T358" t="str">
            <v>M</v>
          </cell>
          <cell r="U358" t="str">
            <v>FATIMA BENT SALAH</v>
          </cell>
          <cell r="X358">
            <v>4</v>
          </cell>
          <cell r="Y358">
            <v>3</v>
          </cell>
          <cell r="AB358" t="str">
            <v>X</v>
          </cell>
          <cell r="AC358" t="str">
            <v>X</v>
          </cell>
          <cell r="AD358" t="str">
            <v>X</v>
          </cell>
          <cell r="AH358" t="str">
            <v>N</v>
          </cell>
          <cell r="AI358" t="str">
            <v>N</v>
          </cell>
          <cell r="AK358" t="str">
            <v>OD EL ATI OULED BRAHIM BOUJNIBA</v>
          </cell>
          <cell r="AL358" t="str">
            <v>ILLETTRE</v>
          </cell>
          <cell r="AP358" t="str">
            <v>Q 43369</v>
          </cell>
          <cell r="AQ358">
            <v>0</v>
          </cell>
          <cell r="AR358" t="str">
            <v>C</v>
          </cell>
          <cell r="AS358" t="str">
            <v>WAFA BANQUE-KHGA</v>
          </cell>
          <cell r="AT358" t="str">
            <v>122030139697-33</v>
          </cell>
          <cell r="AU358" t="str">
            <v>/  /</v>
          </cell>
          <cell r="AW358">
            <v>38899</v>
          </cell>
          <cell r="AY358" t="str">
            <v>XX</v>
          </cell>
          <cell r="BA358" t="str">
            <v>6</v>
          </cell>
          <cell r="BB358">
            <v>1</v>
          </cell>
          <cell r="BD358">
            <v>0</v>
          </cell>
          <cell r="BE358" t="str">
            <v>M</v>
          </cell>
          <cell r="BF358" t="str">
            <v>N</v>
          </cell>
          <cell r="BG358">
            <v>50</v>
          </cell>
          <cell r="BH358">
            <v>38899</v>
          </cell>
          <cell r="BI358" t="str">
            <v>O</v>
          </cell>
        </row>
        <row r="359">
          <cell r="A359">
            <v>70518</v>
          </cell>
          <cell r="B359">
            <v>411</v>
          </cell>
          <cell r="C359" t="str">
            <v>C7152</v>
          </cell>
          <cell r="D359" t="str">
            <v>SKITA</v>
          </cell>
          <cell r="E359" t="str">
            <v>EL MUSTAPHA</v>
          </cell>
          <cell r="F359">
            <v>19540</v>
          </cell>
          <cell r="G359" t="str">
            <v>5</v>
          </cell>
          <cell r="H359" t="str">
            <v>BOUJAAD</v>
          </cell>
          <cell r="I359" t="str">
            <v>D</v>
          </cell>
          <cell r="J359">
            <v>28613</v>
          </cell>
          <cell r="K359">
            <v>36526</v>
          </cell>
          <cell r="L359" t="str">
            <v>33</v>
          </cell>
          <cell r="M359" t="str">
            <v>A</v>
          </cell>
          <cell r="N359">
            <v>36526</v>
          </cell>
          <cell r="P359">
            <v>24</v>
          </cell>
          <cell r="Q359" t="str">
            <v>O</v>
          </cell>
          <cell r="R359" t="str">
            <v>N</v>
          </cell>
          <cell r="S359">
            <v>0</v>
          </cell>
          <cell r="T359" t="str">
            <v>M</v>
          </cell>
          <cell r="U359" t="str">
            <v>ATIKA BENT LAKBIR</v>
          </cell>
          <cell r="X359">
            <v>4</v>
          </cell>
          <cell r="Y359">
            <v>4</v>
          </cell>
          <cell r="AB359" t="str">
            <v>X</v>
          </cell>
          <cell r="AC359" t="str">
            <v>X</v>
          </cell>
          <cell r="AD359" t="str">
            <v>X</v>
          </cell>
          <cell r="AH359" t="str">
            <v>N</v>
          </cell>
          <cell r="AI359" t="str">
            <v>N</v>
          </cell>
          <cell r="AK359" t="str">
            <v>161 NELLE CONSTRUCTION KHGA</v>
          </cell>
          <cell r="AL359" t="str">
            <v>3AS</v>
          </cell>
          <cell r="AP359" t="str">
            <v>q 23447</v>
          </cell>
          <cell r="AQ359">
            <v>0</v>
          </cell>
          <cell r="AR359" t="str">
            <v>B</v>
          </cell>
          <cell r="AS359" t="str">
            <v>BMCE - KHGA</v>
          </cell>
          <cell r="AT359" t="str">
            <v>40001200000570320</v>
          </cell>
          <cell r="AU359" t="str">
            <v>/  /</v>
          </cell>
          <cell r="AW359">
            <v>38353</v>
          </cell>
          <cell r="AY359" t="str">
            <v>XX</v>
          </cell>
          <cell r="BA359" t="str">
            <v>6</v>
          </cell>
          <cell r="BB359">
            <v>1</v>
          </cell>
          <cell r="BD359">
            <v>0</v>
          </cell>
          <cell r="BE359" t="str">
            <v>M</v>
          </cell>
          <cell r="BF359" t="str">
            <v>N</v>
          </cell>
          <cell r="BG359">
            <v>2</v>
          </cell>
          <cell r="BH359">
            <v>38353</v>
          </cell>
        </row>
        <row r="360">
          <cell r="A360">
            <v>70128</v>
          </cell>
          <cell r="B360">
            <v>468</v>
          </cell>
          <cell r="C360" t="str">
            <v>C5102</v>
          </cell>
          <cell r="D360" t="str">
            <v>JALIL</v>
          </cell>
          <cell r="E360" t="str">
            <v>MOHAMED</v>
          </cell>
          <cell r="F360">
            <v>20910</v>
          </cell>
          <cell r="G360" t="str">
            <v>1</v>
          </cell>
          <cell r="H360" t="str">
            <v>KHOURIBGA</v>
          </cell>
          <cell r="I360" t="str">
            <v>D</v>
          </cell>
          <cell r="J360">
            <v>28488</v>
          </cell>
          <cell r="K360">
            <v>35462</v>
          </cell>
          <cell r="L360" t="str">
            <v>31</v>
          </cell>
          <cell r="M360" t="str">
            <v>A</v>
          </cell>
          <cell r="N360">
            <v>35462</v>
          </cell>
          <cell r="P360">
            <v>25</v>
          </cell>
          <cell r="Q360" t="str">
            <v>O</v>
          </cell>
          <cell r="R360" t="str">
            <v>N</v>
          </cell>
          <cell r="S360">
            <v>0</v>
          </cell>
          <cell r="T360" t="str">
            <v>M</v>
          </cell>
          <cell r="U360" t="str">
            <v>AZIZA BENT EL MATI</v>
          </cell>
          <cell r="X360">
            <v>5</v>
          </cell>
          <cell r="Y360">
            <v>5</v>
          </cell>
          <cell r="AB360" t="str">
            <v>X</v>
          </cell>
          <cell r="AC360" t="str">
            <v>X</v>
          </cell>
          <cell r="AD360" t="str">
            <v>X</v>
          </cell>
          <cell r="AH360" t="str">
            <v>N</v>
          </cell>
          <cell r="AI360" t="str">
            <v>N</v>
          </cell>
          <cell r="AK360" t="str">
            <v>N 161 ANCIENNE MEDINA KHGA</v>
          </cell>
          <cell r="AL360" t="str">
            <v>3AS</v>
          </cell>
          <cell r="AP360" t="str">
            <v>Q 31360</v>
          </cell>
          <cell r="AQ360">
            <v>0</v>
          </cell>
          <cell r="AR360" t="str">
            <v>B</v>
          </cell>
          <cell r="AS360" t="str">
            <v>CR.MAROC - KHGA</v>
          </cell>
          <cell r="AT360" t="str">
            <v>082001048481</v>
          </cell>
          <cell r="AU360" t="str">
            <v>/  /</v>
          </cell>
          <cell r="AW360">
            <v>39264</v>
          </cell>
          <cell r="AY360" t="str">
            <v>XX</v>
          </cell>
          <cell r="AZ360" t="str">
            <v>M</v>
          </cell>
          <cell r="BA360" t="str">
            <v>1</v>
          </cell>
          <cell r="BB360">
            <v>1</v>
          </cell>
          <cell r="BD360">
            <v>0</v>
          </cell>
          <cell r="BE360" t="str">
            <v>M</v>
          </cell>
          <cell r="BF360" t="str">
            <v>N</v>
          </cell>
          <cell r="BG360">
            <v>4</v>
          </cell>
          <cell r="BH360">
            <v>39264</v>
          </cell>
        </row>
        <row r="361">
          <cell r="A361">
            <v>69957</v>
          </cell>
          <cell r="B361">
            <v>418</v>
          </cell>
          <cell r="C361" t="str">
            <v>C3102</v>
          </cell>
          <cell r="D361" t="str">
            <v>HAILAM</v>
          </cell>
          <cell r="E361" t="str">
            <v>AHMED</v>
          </cell>
          <cell r="F361">
            <v>20270</v>
          </cell>
          <cell r="G361" t="str">
            <v>1</v>
          </cell>
          <cell r="H361" t="str">
            <v>OULED BHAR KBAR KHOURIBGA</v>
          </cell>
          <cell r="I361" t="str">
            <v>D</v>
          </cell>
          <cell r="J361">
            <v>28437</v>
          </cell>
          <cell r="K361">
            <v>37226</v>
          </cell>
          <cell r="L361" t="str">
            <v>21</v>
          </cell>
          <cell r="M361" t="str">
            <v>C</v>
          </cell>
          <cell r="N361">
            <v>37226</v>
          </cell>
          <cell r="O361">
            <v>0</v>
          </cell>
          <cell r="P361">
            <v>25</v>
          </cell>
          <cell r="Q361" t="str">
            <v>O</v>
          </cell>
          <cell r="R361" t="str">
            <v>N</v>
          </cell>
          <cell r="S361">
            <v>0</v>
          </cell>
          <cell r="T361" t="str">
            <v>M</v>
          </cell>
          <cell r="U361" t="str">
            <v>FATNA BENT MOHAMED</v>
          </cell>
          <cell r="X361">
            <v>5</v>
          </cell>
          <cell r="Y361">
            <v>6</v>
          </cell>
          <cell r="AB361" t="str">
            <v>X</v>
          </cell>
          <cell r="AC361" t="str">
            <v>X</v>
          </cell>
          <cell r="AD361" t="str">
            <v>X</v>
          </cell>
          <cell r="AH361" t="str">
            <v>N</v>
          </cell>
          <cell r="AI361" t="str">
            <v>N</v>
          </cell>
          <cell r="AK361" t="str">
            <v>114 VILLAGE O.C.P - BOUJNIBA</v>
          </cell>
          <cell r="AL361" t="str">
            <v>2AS</v>
          </cell>
          <cell r="AP361" t="str">
            <v>Q 85162</v>
          </cell>
          <cell r="AQ361">
            <v>0</v>
          </cell>
          <cell r="AR361" t="str">
            <v>B</v>
          </cell>
          <cell r="AS361" t="str">
            <v>C.N.C.A  KHGA</v>
          </cell>
          <cell r="AT361" t="str">
            <v>0806197V601</v>
          </cell>
          <cell r="AU361" t="str">
            <v>/  /</v>
          </cell>
          <cell r="AW361">
            <v>38534</v>
          </cell>
          <cell r="AY361" t="str">
            <v>XX</v>
          </cell>
          <cell r="BA361" t="str">
            <v>1</v>
          </cell>
          <cell r="BB361">
            <v>1</v>
          </cell>
          <cell r="BD361">
            <v>0</v>
          </cell>
          <cell r="BE361" t="str">
            <v>M</v>
          </cell>
          <cell r="BF361" t="str">
            <v>N</v>
          </cell>
          <cell r="BG361">
            <v>50</v>
          </cell>
          <cell r="BH361">
            <v>38534</v>
          </cell>
        </row>
        <row r="362">
          <cell r="A362">
            <v>67990</v>
          </cell>
          <cell r="B362">
            <v>403</v>
          </cell>
          <cell r="C362" t="str">
            <v>C3050</v>
          </cell>
          <cell r="D362" t="str">
            <v>KHOUDAIRA</v>
          </cell>
          <cell r="E362" t="str">
            <v>BOUCHAIB</v>
          </cell>
          <cell r="F362">
            <v>19268</v>
          </cell>
          <cell r="G362" t="str">
            <v>1</v>
          </cell>
          <cell r="H362" t="str">
            <v>OULED BHAR KBAR KHOURIBGA</v>
          </cell>
          <cell r="I362" t="str">
            <v>D</v>
          </cell>
          <cell r="J362">
            <v>27600</v>
          </cell>
          <cell r="K362">
            <v>36373</v>
          </cell>
          <cell r="L362" t="str">
            <v>21</v>
          </cell>
          <cell r="M362" t="str">
            <v>A</v>
          </cell>
          <cell r="N362">
            <v>36373</v>
          </cell>
          <cell r="O362">
            <v>0</v>
          </cell>
          <cell r="P362">
            <v>27</v>
          </cell>
          <cell r="Q362" t="str">
            <v>O</v>
          </cell>
          <cell r="R362" t="str">
            <v>N</v>
          </cell>
          <cell r="S362">
            <v>0</v>
          </cell>
          <cell r="T362" t="str">
            <v>M</v>
          </cell>
          <cell r="U362" t="str">
            <v>MERYEM BENT EL MOKHTAR</v>
          </cell>
          <cell r="X362">
            <v>1</v>
          </cell>
          <cell r="Y362">
            <v>1</v>
          </cell>
          <cell r="Z362" t="str">
            <v>O</v>
          </cell>
          <cell r="AA362" t="str">
            <v>02/06/92</v>
          </cell>
          <cell r="AB362" t="str">
            <v>X</v>
          </cell>
          <cell r="AC362" t="str">
            <v>X</v>
          </cell>
          <cell r="AD362" t="str">
            <v>X</v>
          </cell>
          <cell r="AH362" t="str">
            <v>O</v>
          </cell>
          <cell r="AI362" t="str">
            <v>N</v>
          </cell>
          <cell r="AK362" t="str">
            <v>936, VILLAGE O.C.P - BOULANOIR</v>
          </cell>
          <cell r="AL362" t="str">
            <v>3AS</v>
          </cell>
          <cell r="AP362" t="str">
            <v>Q 83275</v>
          </cell>
          <cell r="AQ362">
            <v>0</v>
          </cell>
          <cell r="AR362" t="str">
            <v>B</v>
          </cell>
          <cell r="AS362" t="str">
            <v>POPULAIRE  KHGA</v>
          </cell>
          <cell r="AT362" t="str">
            <v>2111112837270003</v>
          </cell>
          <cell r="AU362" t="str">
            <v>/  /</v>
          </cell>
          <cell r="AW362">
            <v>38551</v>
          </cell>
          <cell r="AX362">
            <v>38551</v>
          </cell>
          <cell r="AY362" t="str">
            <v>XX</v>
          </cell>
          <cell r="BA362" t="str">
            <v>2</v>
          </cell>
          <cell r="BB362">
            <v>0</v>
          </cell>
          <cell r="BD362">
            <v>0</v>
          </cell>
          <cell r="BE362" t="str">
            <v>M</v>
          </cell>
          <cell r="BF362" t="str">
            <v>N</v>
          </cell>
          <cell r="BG362">
            <v>40</v>
          </cell>
          <cell r="BH362">
            <v>37622</v>
          </cell>
        </row>
        <row r="363">
          <cell r="A363">
            <v>69413</v>
          </cell>
          <cell r="B363">
            <v>418</v>
          </cell>
          <cell r="C363" t="str">
            <v>C3152</v>
          </cell>
          <cell r="D363" t="str">
            <v>ER RAOUI</v>
          </cell>
          <cell r="E363" t="str">
            <v>MOHAMMED</v>
          </cell>
          <cell r="F363">
            <v>20372</v>
          </cell>
          <cell r="G363" t="str">
            <v>3</v>
          </cell>
          <cell r="H363" t="str">
            <v>BOUJNIBA</v>
          </cell>
          <cell r="I363" t="str">
            <v>D</v>
          </cell>
          <cell r="J363">
            <v>28285</v>
          </cell>
          <cell r="K363">
            <v>33420</v>
          </cell>
          <cell r="L363" t="str">
            <v>21</v>
          </cell>
          <cell r="M363" t="str">
            <v>A</v>
          </cell>
          <cell r="N363">
            <v>33420</v>
          </cell>
          <cell r="P363">
            <v>25</v>
          </cell>
          <cell r="Q363" t="str">
            <v>O</v>
          </cell>
          <cell r="R363" t="str">
            <v>N</v>
          </cell>
          <cell r="S363">
            <v>0</v>
          </cell>
          <cell r="T363" t="str">
            <v>M</v>
          </cell>
          <cell r="U363" t="str">
            <v>MTAHAR SALHA BENT KADDOUR</v>
          </cell>
          <cell r="X363">
            <v>4</v>
          </cell>
          <cell r="Y363">
            <v>4</v>
          </cell>
          <cell r="AB363" t="str">
            <v>X</v>
          </cell>
          <cell r="AC363" t="str">
            <v>X</v>
          </cell>
          <cell r="AD363" t="str">
            <v>X</v>
          </cell>
          <cell r="AH363" t="str">
            <v>N</v>
          </cell>
          <cell r="AI363" t="str">
            <v>N</v>
          </cell>
          <cell r="AK363" t="str">
            <v>189 VILLAGE OCP - BOUJNIBA</v>
          </cell>
          <cell r="AL363" t="str">
            <v>3AS</v>
          </cell>
          <cell r="AP363" t="str">
            <v>Q 88503</v>
          </cell>
          <cell r="AQ363">
            <v>0</v>
          </cell>
          <cell r="AR363" t="str">
            <v>B</v>
          </cell>
          <cell r="AS363" t="str">
            <v>WAFABANK - KHGA</v>
          </cell>
          <cell r="AT363" t="str">
            <v>122030129461787</v>
          </cell>
          <cell r="AU363" t="str">
            <v>/  /</v>
          </cell>
          <cell r="AW363">
            <v>40873</v>
          </cell>
          <cell r="AX363">
            <v>40873</v>
          </cell>
          <cell r="AY363" t="str">
            <v>XX</v>
          </cell>
          <cell r="BA363" t="str">
            <v>1</v>
          </cell>
          <cell r="BB363">
            <v>1</v>
          </cell>
          <cell r="BD363">
            <v>0</v>
          </cell>
          <cell r="BE363" t="str">
            <v>M</v>
          </cell>
          <cell r="BF363" t="str">
            <v>N</v>
          </cell>
          <cell r="BG363">
            <v>52</v>
          </cell>
          <cell r="BH363">
            <v>38718</v>
          </cell>
        </row>
        <row r="364">
          <cell r="A364">
            <v>70578</v>
          </cell>
          <cell r="B364">
            <v>403</v>
          </cell>
          <cell r="C364" t="str">
            <v>C3152</v>
          </cell>
          <cell r="D364" t="str">
            <v>MRINI</v>
          </cell>
          <cell r="E364" t="str">
            <v>AHMED</v>
          </cell>
          <cell r="F364">
            <v>18629</v>
          </cell>
          <cell r="H364" t="str">
            <v>BEN AHMED - SETTAT</v>
          </cell>
          <cell r="I364" t="str">
            <v>D</v>
          </cell>
          <cell r="J364">
            <v>28620</v>
          </cell>
          <cell r="K364">
            <v>35977</v>
          </cell>
          <cell r="L364" t="str">
            <v>21</v>
          </cell>
          <cell r="M364" t="str">
            <v>C</v>
          </cell>
          <cell r="N364">
            <v>35977</v>
          </cell>
          <cell r="P364">
            <v>24</v>
          </cell>
          <cell r="Q364" t="str">
            <v>O</v>
          </cell>
          <cell r="R364" t="str">
            <v>N</v>
          </cell>
          <cell r="S364">
            <v>0</v>
          </cell>
          <cell r="T364" t="str">
            <v>M</v>
          </cell>
          <cell r="U364" t="str">
            <v>KHALFOUF FATIMA</v>
          </cell>
          <cell r="X364">
            <v>4</v>
          </cell>
          <cell r="Y364">
            <v>4</v>
          </cell>
          <cell r="AB364" t="str">
            <v>X</v>
          </cell>
          <cell r="AC364" t="str">
            <v>X</v>
          </cell>
          <cell r="AD364" t="str">
            <v>X</v>
          </cell>
          <cell r="AH364" t="str">
            <v>N</v>
          </cell>
          <cell r="AI364" t="str">
            <v>N</v>
          </cell>
          <cell r="AK364" t="str">
            <v>726,VILLAGE O.C.P - BOULANOIR</v>
          </cell>
          <cell r="AL364" t="str">
            <v>ILLETTRE</v>
          </cell>
          <cell r="AP364" t="str">
            <v>Q 81323</v>
          </cell>
          <cell r="AQ364">
            <v>0</v>
          </cell>
          <cell r="AR364" t="str">
            <v>C</v>
          </cell>
          <cell r="AU364" t="str">
            <v>/  /</v>
          </cell>
          <cell r="AW364">
            <v>38353</v>
          </cell>
          <cell r="AY364" t="str">
            <v>XX</v>
          </cell>
          <cell r="BA364" t="str">
            <v>1</v>
          </cell>
          <cell r="BB364">
            <v>1</v>
          </cell>
          <cell r="BD364">
            <v>0</v>
          </cell>
          <cell r="BE364" t="str">
            <v>M</v>
          </cell>
          <cell r="BF364" t="str">
            <v>N</v>
          </cell>
          <cell r="BG364">
            <v>40</v>
          </cell>
          <cell r="BH364">
            <v>38353</v>
          </cell>
        </row>
        <row r="365">
          <cell r="A365">
            <v>68326</v>
          </cell>
          <cell r="B365">
            <v>411</v>
          </cell>
          <cell r="C365" t="str">
            <v>C4401</v>
          </cell>
          <cell r="D365" t="str">
            <v>BAHTAIN</v>
          </cell>
          <cell r="E365" t="str">
            <v>SAID</v>
          </cell>
          <cell r="F365">
            <v>19905</v>
          </cell>
          <cell r="H365" t="str">
            <v>TIZNIT</v>
          </cell>
          <cell r="I365" t="str">
            <v>D</v>
          </cell>
          <cell r="J365">
            <v>27838</v>
          </cell>
          <cell r="K365">
            <v>32478</v>
          </cell>
          <cell r="L365" t="str">
            <v>22</v>
          </cell>
          <cell r="M365" t="str">
            <v>D</v>
          </cell>
          <cell r="N365">
            <v>35612</v>
          </cell>
          <cell r="P365">
            <v>27</v>
          </cell>
          <cell r="Q365" t="str">
            <v>O</v>
          </cell>
          <cell r="R365" t="str">
            <v>N</v>
          </cell>
          <cell r="S365">
            <v>0</v>
          </cell>
          <cell r="T365" t="str">
            <v>M</v>
          </cell>
          <cell r="U365" t="str">
            <v>BELABBEZ FATIMA</v>
          </cell>
          <cell r="X365">
            <v>4</v>
          </cell>
          <cell r="Y365">
            <v>4</v>
          </cell>
          <cell r="AB365" t="str">
            <v>X</v>
          </cell>
          <cell r="AC365" t="str">
            <v>X</v>
          </cell>
          <cell r="AD365" t="str">
            <v>X</v>
          </cell>
          <cell r="AH365" t="str">
            <v>N</v>
          </cell>
          <cell r="AI365" t="str">
            <v>N</v>
          </cell>
          <cell r="AK365" t="str">
            <v>865 LOTISSEMENT AMAL QODS - KHGA</v>
          </cell>
          <cell r="AL365" t="str">
            <v>CM2</v>
          </cell>
          <cell r="AP365" t="str">
            <v>Q 45970</v>
          </cell>
          <cell r="AQ365">
            <v>0</v>
          </cell>
          <cell r="AR365" t="str">
            <v>B</v>
          </cell>
          <cell r="AS365" t="str">
            <v>POPULAIRE  KHGA</v>
          </cell>
          <cell r="AT365" t="str">
            <v>2111112842790003</v>
          </cell>
          <cell r="AU365" t="str">
            <v>02/06/13</v>
          </cell>
          <cell r="AW365">
            <v>38169</v>
          </cell>
          <cell r="AY365" t="str">
            <v>A+</v>
          </cell>
          <cell r="BA365" t="str">
            <v>0</v>
          </cell>
          <cell r="BB365">
            <v>1</v>
          </cell>
          <cell r="BD365">
            <v>0</v>
          </cell>
          <cell r="BE365" t="str">
            <v>M</v>
          </cell>
          <cell r="BF365" t="str">
            <v>N</v>
          </cell>
          <cell r="BG365">
            <v>1</v>
          </cell>
          <cell r="BH365">
            <v>38169</v>
          </cell>
          <cell r="BI365" t="str">
            <v>O</v>
          </cell>
        </row>
        <row r="366">
          <cell r="A366">
            <v>68600</v>
          </cell>
          <cell r="B366">
            <v>428</v>
          </cell>
          <cell r="C366" t="str">
            <v>C5411</v>
          </cell>
          <cell r="D366" t="str">
            <v>BEHHAR</v>
          </cell>
          <cell r="E366" t="str">
            <v>SALAH</v>
          </cell>
          <cell r="F366">
            <v>19669</v>
          </cell>
          <cell r="H366" t="str">
            <v>SETTAT</v>
          </cell>
          <cell r="I366" t="str">
            <v>D</v>
          </cell>
          <cell r="J366">
            <v>27936</v>
          </cell>
          <cell r="K366">
            <v>32690</v>
          </cell>
          <cell r="L366" t="str">
            <v>31</v>
          </cell>
          <cell r="M366" t="str">
            <v>A</v>
          </cell>
          <cell r="N366">
            <v>32690</v>
          </cell>
          <cell r="P366">
            <v>26</v>
          </cell>
          <cell r="Q366" t="str">
            <v>O</v>
          </cell>
          <cell r="R366" t="str">
            <v>N</v>
          </cell>
          <cell r="S366">
            <v>0</v>
          </cell>
          <cell r="T366" t="str">
            <v>M</v>
          </cell>
          <cell r="U366" t="str">
            <v>NOURY KHADIJA</v>
          </cell>
          <cell r="X366">
            <v>5</v>
          </cell>
          <cell r="Y366">
            <v>4</v>
          </cell>
          <cell r="AB366" t="str">
            <v>X</v>
          </cell>
          <cell r="AC366" t="str">
            <v>X</v>
          </cell>
          <cell r="AD366" t="str">
            <v>X</v>
          </cell>
          <cell r="AH366" t="str">
            <v>N</v>
          </cell>
          <cell r="AI366" t="str">
            <v>N</v>
          </cell>
          <cell r="AK366" t="str">
            <v>19 NOUVELLE EXTENSION OCP - KHGA</v>
          </cell>
          <cell r="AL366" t="str">
            <v>4AS</v>
          </cell>
          <cell r="AM366" t="str">
            <v>CEP</v>
          </cell>
          <cell r="AP366" t="str">
            <v>Q 71810</v>
          </cell>
          <cell r="AQ366">
            <v>0</v>
          </cell>
          <cell r="AR366" t="str">
            <v>b</v>
          </cell>
          <cell r="AS366" t="str">
            <v>CR. MAROC-KHGA</v>
          </cell>
          <cell r="AT366" t="str">
            <v>820010014845</v>
          </cell>
          <cell r="AU366" t="str">
            <v>/  /</v>
          </cell>
          <cell r="AW366">
            <v>37987</v>
          </cell>
          <cell r="AY366" t="str">
            <v>A+</v>
          </cell>
          <cell r="BA366" t="str">
            <v>0</v>
          </cell>
          <cell r="BB366">
            <v>1</v>
          </cell>
          <cell r="BD366">
            <v>0</v>
          </cell>
          <cell r="BE366" t="str">
            <v>M</v>
          </cell>
          <cell r="BF366" t="str">
            <v>N</v>
          </cell>
          <cell r="BG366">
            <v>4</v>
          </cell>
          <cell r="BH366">
            <v>37987</v>
          </cell>
        </row>
        <row r="367">
          <cell r="A367">
            <v>68695</v>
          </cell>
          <cell r="B367">
            <v>409</v>
          </cell>
          <cell r="C367" t="str">
            <v>C4401</v>
          </cell>
          <cell r="D367" t="str">
            <v>FAKHIR</v>
          </cell>
          <cell r="E367" t="str">
            <v>AHMED</v>
          </cell>
          <cell r="F367">
            <v>18079</v>
          </cell>
          <cell r="H367" t="str">
            <v>SETTAT</v>
          </cell>
          <cell r="I367" t="str">
            <v>D</v>
          </cell>
          <cell r="J367">
            <v>27988</v>
          </cell>
          <cell r="K367">
            <v>28946</v>
          </cell>
          <cell r="L367" t="str">
            <v>22</v>
          </cell>
          <cell r="M367" t="str">
            <v>E</v>
          </cell>
          <cell r="N367">
            <v>35612</v>
          </cell>
          <cell r="P367">
            <v>26</v>
          </cell>
          <cell r="Q367" t="str">
            <v>O</v>
          </cell>
          <cell r="R367" t="str">
            <v>N</v>
          </cell>
          <cell r="S367">
            <v>0</v>
          </cell>
          <cell r="T367" t="str">
            <v>M</v>
          </cell>
          <cell r="U367" t="str">
            <v>KHADDOUJ BENT BOUCHAIB</v>
          </cell>
          <cell r="X367">
            <v>6</v>
          </cell>
          <cell r="Y367">
            <v>1</v>
          </cell>
          <cell r="AB367" t="str">
            <v>X</v>
          </cell>
          <cell r="AC367" t="str">
            <v>X</v>
          </cell>
          <cell r="AD367" t="str">
            <v>X</v>
          </cell>
          <cell r="AH367" t="str">
            <v>N</v>
          </cell>
          <cell r="AI367" t="str">
            <v>O</v>
          </cell>
          <cell r="AJ367">
            <v>32508</v>
          </cell>
          <cell r="AK367" t="str">
            <v>N 128 LOTISSEMENT EL KARAM BLOC G KHGA</v>
          </cell>
          <cell r="AL367" t="str">
            <v>3AS</v>
          </cell>
          <cell r="AM367" t="str">
            <v>CEP</v>
          </cell>
          <cell r="AN367" t="str">
            <v>56═36═25</v>
          </cell>
          <cell r="AP367" t="str">
            <v>Q 50198</v>
          </cell>
          <cell r="AQ367">
            <v>0</v>
          </cell>
          <cell r="AR367" t="str">
            <v>B</v>
          </cell>
          <cell r="AS367" t="str">
            <v>WAFA BANQUE-KHGA</v>
          </cell>
          <cell r="AT367" t="str">
            <v>1220301403337</v>
          </cell>
          <cell r="AU367" t="str">
            <v>/  /</v>
          </cell>
          <cell r="AW367">
            <v>37622</v>
          </cell>
          <cell r="AY367" t="str">
            <v>O+</v>
          </cell>
          <cell r="BA367" t="str">
            <v>0</v>
          </cell>
          <cell r="BB367">
            <v>1</v>
          </cell>
          <cell r="BD367">
            <v>0</v>
          </cell>
          <cell r="BE367" t="str">
            <v>M</v>
          </cell>
          <cell r="BF367" t="str">
            <v>N</v>
          </cell>
          <cell r="BG367">
            <v>1</v>
          </cell>
          <cell r="BH367">
            <v>37622</v>
          </cell>
          <cell r="BI367" t="str">
            <v>O</v>
          </cell>
        </row>
        <row r="368">
          <cell r="A368">
            <v>70563</v>
          </cell>
          <cell r="B368">
            <v>411</v>
          </cell>
          <cell r="C368" t="str">
            <v>C3152</v>
          </cell>
          <cell r="D368" t="str">
            <v>EDDERBALI</v>
          </cell>
          <cell r="E368" t="str">
            <v>MOHAMMED</v>
          </cell>
          <cell r="F368">
            <v>18809</v>
          </cell>
          <cell r="G368" t="str">
            <v>6</v>
          </cell>
          <cell r="H368" t="str">
            <v>M'FASSIS</v>
          </cell>
          <cell r="I368" t="str">
            <v>D</v>
          </cell>
          <cell r="J368">
            <v>28618</v>
          </cell>
          <cell r="K368">
            <v>36526</v>
          </cell>
          <cell r="L368" t="str">
            <v>21</v>
          </cell>
          <cell r="M368" t="str">
            <v>B</v>
          </cell>
          <cell r="N368">
            <v>36526</v>
          </cell>
          <cell r="P368">
            <v>24</v>
          </cell>
          <cell r="Q368" t="str">
            <v>O</v>
          </cell>
          <cell r="R368" t="str">
            <v>N</v>
          </cell>
          <cell r="S368">
            <v>0</v>
          </cell>
          <cell r="T368" t="str">
            <v>M</v>
          </cell>
          <cell r="U368" t="str">
            <v>ZAHIA BENT MED</v>
          </cell>
          <cell r="X368">
            <v>6</v>
          </cell>
          <cell r="Y368">
            <v>6</v>
          </cell>
          <cell r="AB368" t="str">
            <v>X</v>
          </cell>
          <cell r="AC368" t="str">
            <v>X</v>
          </cell>
          <cell r="AD368" t="str">
            <v>X</v>
          </cell>
          <cell r="AH368" t="str">
            <v>N</v>
          </cell>
          <cell r="AI368" t="str">
            <v>N</v>
          </cell>
          <cell r="AK368" t="str">
            <v>1099 VILLAGE O.C.P - HATTANE</v>
          </cell>
          <cell r="AL368" t="str">
            <v>ILLETTRE</v>
          </cell>
          <cell r="AP368" t="str">
            <v>Q 28214</v>
          </cell>
          <cell r="AQ368">
            <v>0</v>
          </cell>
          <cell r="AR368" t="str">
            <v>B</v>
          </cell>
          <cell r="AS368" t="str">
            <v>POPULAIRE KHGA</v>
          </cell>
          <cell r="AT368" t="str">
            <v>2111112845650006</v>
          </cell>
          <cell r="AU368" t="str">
            <v>/  /</v>
          </cell>
          <cell r="AW368">
            <v>38353</v>
          </cell>
          <cell r="AY368" t="str">
            <v>XX</v>
          </cell>
          <cell r="AZ368" t="str">
            <v>K</v>
          </cell>
          <cell r="BA368" t="str">
            <v>1</v>
          </cell>
          <cell r="BB368">
            <v>1</v>
          </cell>
          <cell r="BD368">
            <v>0</v>
          </cell>
          <cell r="BE368" t="str">
            <v>M</v>
          </cell>
          <cell r="BF368" t="str">
            <v>N</v>
          </cell>
          <cell r="BG368">
            <v>10</v>
          </cell>
          <cell r="BH368">
            <v>38353</v>
          </cell>
        </row>
        <row r="369">
          <cell r="A369">
            <v>70559</v>
          </cell>
          <cell r="B369">
            <v>418</v>
          </cell>
          <cell r="C369" t="str">
            <v>C3152</v>
          </cell>
          <cell r="D369" t="str">
            <v>KETATNI</v>
          </cell>
          <cell r="E369" t="str">
            <v>MOHAMMED</v>
          </cell>
          <cell r="F369">
            <v>19511</v>
          </cell>
          <cell r="G369" t="str">
            <v>6</v>
          </cell>
          <cell r="H369" t="str">
            <v>HATTANE</v>
          </cell>
          <cell r="I369" t="str">
            <v>D</v>
          </cell>
          <cell r="J369">
            <v>28618</v>
          </cell>
          <cell r="K369">
            <v>36526</v>
          </cell>
          <cell r="L369" t="str">
            <v>21</v>
          </cell>
          <cell r="M369" t="str">
            <v>B</v>
          </cell>
          <cell r="N369">
            <v>36526</v>
          </cell>
          <cell r="P369">
            <v>24</v>
          </cell>
          <cell r="Q369" t="str">
            <v>O</v>
          </cell>
          <cell r="R369" t="str">
            <v>N</v>
          </cell>
          <cell r="S369">
            <v>0</v>
          </cell>
          <cell r="T369" t="str">
            <v>M</v>
          </cell>
          <cell r="U369" t="str">
            <v>DAHBI ES SAADIA</v>
          </cell>
          <cell r="X369">
            <v>5</v>
          </cell>
          <cell r="Y369">
            <v>5</v>
          </cell>
          <cell r="AB369" t="str">
            <v>X</v>
          </cell>
          <cell r="AC369" t="str">
            <v>X</v>
          </cell>
          <cell r="AD369" t="str">
            <v>X</v>
          </cell>
          <cell r="AH369" t="str">
            <v>N</v>
          </cell>
          <cell r="AI369" t="str">
            <v>N</v>
          </cell>
          <cell r="AK369" t="str">
            <v>998 VILLAGE OCP - HATTANE</v>
          </cell>
          <cell r="AL369" t="str">
            <v>CM2</v>
          </cell>
          <cell r="AP369" t="str">
            <v>Q 49728</v>
          </cell>
          <cell r="AQ369">
            <v>0</v>
          </cell>
          <cell r="AR369" t="str">
            <v>B</v>
          </cell>
          <cell r="AS369" t="str">
            <v>SGMB KHGA</v>
          </cell>
          <cell r="AT369" t="str">
            <v>670009024119</v>
          </cell>
          <cell r="AU369" t="str">
            <v>/  /</v>
          </cell>
          <cell r="AW369">
            <v>38353</v>
          </cell>
          <cell r="AY369" t="str">
            <v>XX</v>
          </cell>
          <cell r="BA369" t="str">
            <v>1</v>
          </cell>
          <cell r="BB369">
            <v>1</v>
          </cell>
          <cell r="BD369">
            <v>0</v>
          </cell>
          <cell r="BE369" t="str">
            <v>M</v>
          </cell>
          <cell r="BF369" t="str">
            <v>N</v>
          </cell>
          <cell r="BG369">
            <v>11</v>
          </cell>
          <cell r="BH369">
            <v>38353</v>
          </cell>
        </row>
        <row r="370">
          <cell r="A370">
            <v>69180</v>
          </cell>
          <cell r="B370">
            <v>411</v>
          </cell>
          <cell r="C370" t="str">
            <v>C4152</v>
          </cell>
          <cell r="D370" t="str">
            <v>AZDAOUI</v>
          </cell>
          <cell r="E370" t="str">
            <v>MOHAMMED</v>
          </cell>
          <cell r="F370">
            <v>21001</v>
          </cell>
          <cell r="G370" t="str">
            <v>1</v>
          </cell>
          <cell r="H370" t="str">
            <v>KHOURIBGA</v>
          </cell>
          <cell r="I370" t="str">
            <v>D</v>
          </cell>
          <cell r="J370">
            <v>28194</v>
          </cell>
          <cell r="K370">
            <v>36526</v>
          </cell>
          <cell r="L370" t="str">
            <v>22</v>
          </cell>
          <cell r="M370" t="str">
            <v>A</v>
          </cell>
          <cell r="N370">
            <v>36526</v>
          </cell>
          <cell r="P370">
            <v>26</v>
          </cell>
          <cell r="Q370" t="str">
            <v>O</v>
          </cell>
          <cell r="R370" t="str">
            <v>N</v>
          </cell>
          <cell r="S370">
            <v>0</v>
          </cell>
          <cell r="T370" t="str">
            <v>M</v>
          </cell>
          <cell r="U370" t="str">
            <v>ZITOUNIA BENT MED</v>
          </cell>
          <cell r="X370">
            <v>6</v>
          </cell>
          <cell r="Y370">
            <v>3</v>
          </cell>
          <cell r="AB370" t="str">
            <v>X</v>
          </cell>
          <cell r="AC370" t="str">
            <v>X</v>
          </cell>
          <cell r="AD370" t="str">
            <v>X</v>
          </cell>
          <cell r="AH370" t="str">
            <v>N</v>
          </cell>
          <cell r="AI370" t="str">
            <v>N</v>
          </cell>
          <cell r="AK370" t="str">
            <v>373 VILLAGE O.C.P - BOUJNIBA</v>
          </cell>
          <cell r="AL370" t="str">
            <v>1AS</v>
          </cell>
          <cell r="AP370" t="str">
            <v>Q 78254</v>
          </cell>
          <cell r="AQ370">
            <v>0</v>
          </cell>
          <cell r="AR370" t="str">
            <v>B</v>
          </cell>
          <cell r="AS370" t="str">
            <v>B.M.C.E - KHGA</v>
          </cell>
          <cell r="AT370" t="str">
            <v>40001200000912051</v>
          </cell>
          <cell r="AU370" t="str">
            <v>/  /</v>
          </cell>
          <cell r="AW370">
            <v>39264</v>
          </cell>
          <cell r="AY370" t="str">
            <v>XX</v>
          </cell>
          <cell r="BA370" t="str">
            <v>1</v>
          </cell>
          <cell r="BB370">
            <v>1</v>
          </cell>
          <cell r="BD370">
            <v>0</v>
          </cell>
          <cell r="BE370" t="str">
            <v>M</v>
          </cell>
          <cell r="BF370" t="str">
            <v>N</v>
          </cell>
          <cell r="BG370">
            <v>50</v>
          </cell>
          <cell r="BH370">
            <v>39264</v>
          </cell>
        </row>
        <row r="371">
          <cell r="A371">
            <v>68791</v>
          </cell>
          <cell r="B371">
            <v>421</v>
          </cell>
          <cell r="C371" t="str">
            <v>X3150</v>
          </cell>
          <cell r="D371" t="str">
            <v>NEBDAOUI</v>
          </cell>
          <cell r="E371" t="str">
            <v>AHMED</v>
          </cell>
          <cell r="F371">
            <v>20358</v>
          </cell>
          <cell r="G371" t="str">
            <v>1</v>
          </cell>
          <cell r="H371" t="str">
            <v>KHOURIBGA</v>
          </cell>
          <cell r="I371" t="str">
            <v>F</v>
          </cell>
          <cell r="J371">
            <v>28101</v>
          </cell>
          <cell r="K371">
            <v>34151</v>
          </cell>
          <cell r="L371" t="str">
            <v>41</v>
          </cell>
          <cell r="M371" t="str">
            <v>A</v>
          </cell>
          <cell r="N371">
            <v>34151</v>
          </cell>
          <cell r="P371">
            <v>26</v>
          </cell>
          <cell r="Q371" t="str">
            <v>O</v>
          </cell>
          <cell r="R371" t="str">
            <v>N</v>
          </cell>
          <cell r="S371">
            <v>0</v>
          </cell>
          <cell r="T371" t="str">
            <v>M</v>
          </cell>
          <cell r="U371" t="str">
            <v>KADIRI M'BARKA BT FATEH</v>
          </cell>
          <cell r="X371">
            <v>5</v>
          </cell>
          <cell r="Y371">
            <v>2</v>
          </cell>
          <cell r="AB371" t="str">
            <v>X</v>
          </cell>
          <cell r="AC371" t="str">
            <v>X</v>
          </cell>
          <cell r="AD371" t="str">
            <v>X</v>
          </cell>
          <cell r="AH371" t="str">
            <v>O</v>
          </cell>
          <cell r="AI371" t="str">
            <v>N</v>
          </cell>
          <cell r="AK371" t="str">
            <v>5 RUE MEDITERRANEE VILLE O.C.P - KHGA</v>
          </cell>
          <cell r="AL371" t="str">
            <v>4AS</v>
          </cell>
          <cell r="AM371" t="str">
            <v>CFP CQP</v>
          </cell>
          <cell r="AP371" t="str">
            <v>Q 19246</v>
          </cell>
          <cell r="AQ371">
            <v>0</v>
          </cell>
          <cell r="AR371" t="str">
            <v>B</v>
          </cell>
          <cell r="AS371" t="str">
            <v>B.M.C.E  KHGA</v>
          </cell>
          <cell r="AT371" t="str">
            <v>40001200000633467</v>
          </cell>
          <cell r="AU371" t="str">
            <v>/  /</v>
          </cell>
          <cell r="AW371">
            <v>38718</v>
          </cell>
          <cell r="AY371" t="str">
            <v>XX</v>
          </cell>
          <cell r="BA371" t="str">
            <v>1</v>
          </cell>
          <cell r="BB371">
            <v>1</v>
          </cell>
          <cell r="BD371">
            <v>0</v>
          </cell>
          <cell r="BE371" t="str">
            <v>M</v>
          </cell>
          <cell r="BF371" t="str">
            <v>N</v>
          </cell>
          <cell r="BG371">
            <v>1</v>
          </cell>
          <cell r="BH371">
            <v>38718</v>
          </cell>
        </row>
        <row r="372">
          <cell r="A372">
            <v>69362</v>
          </cell>
          <cell r="B372">
            <v>446</v>
          </cell>
          <cell r="C372" t="str">
            <v>C5152</v>
          </cell>
          <cell r="D372" t="str">
            <v>EL MANSOURI</v>
          </cell>
          <cell r="E372" t="str">
            <v>MOHAMED</v>
          </cell>
          <cell r="F372">
            <v>19767</v>
          </cell>
          <cell r="G372" t="str">
            <v>1</v>
          </cell>
          <cell r="H372" t="str">
            <v>OULED ABDOUNE</v>
          </cell>
          <cell r="I372" t="str">
            <v>D</v>
          </cell>
          <cell r="J372">
            <v>28272</v>
          </cell>
          <cell r="K372">
            <v>37073</v>
          </cell>
          <cell r="L372" t="str">
            <v>31</v>
          </cell>
          <cell r="M372" t="str">
            <v>A</v>
          </cell>
          <cell r="N372">
            <v>37073</v>
          </cell>
          <cell r="P372">
            <v>25</v>
          </cell>
          <cell r="Q372" t="str">
            <v>N</v>
          </cell>
          <cell r="R372" t="str">
            <v>O</v>
          </cell>
          <cell r="S372">
            <v>3</v>
          </cell>
          <cell r="T372" t="str">
            <v>M</v>
          </cell>
          <cell r="U372" t="str">
            <v>CHRICHEM FATIMA BENT MED</v>
          </cell>
          <cell r="V372" t="str">
            <v>WADIH SAADIA</v>
          </cell>
          <cell r="X372">
            <v>5</v>
          </cell>
          <cell r="Y372">
            <v>4</v>
          </cell>
          <cell r="AB372" t="str">
            <v>X</v>
          </cell>
          <cell r="AC372" t="str">
            <v>X</v>
          </cell>
          <cell r="AD372" t="str">
            <v>X</v>
          </cell>
          <cell r="AH372" t="str">
            <v>N</v>
          </cell>
          <cell r="AI372" t="str">
            <v>N</v>
          </cell>
          <cell r="AK372" t="str">
            <v>N 1272 VILLAGE O C P HATTANE</v>
          </cell>
          <cell r="AL372" t="str">
            <v>1AS</v>
          </cell>
          <cell r="AP372" t="str">
            <v>Q 5436</v>
          </cell>
          <cell r="AQ372">
            <v>0</v>
          </cell>
          <cell r="AR372" t="str">
            <v>B</v>
          </cell>
          <cell r="AS372" t="str">
            <v>SGMB KHGA</v>
          </cell>
          <cell r="AT372" t="str">
            <v>670009010733</v>
          </cell>
          <cell r="AU372" t="str">
            <v>/  /</v>
          </cell>
          <cell r="AW372">
            <v>38169</v>
          </cell>
          <cell r="AY372" t="str">
            <v>O</v>
          </cell>
          <cell r="BA372" t="str">
            <v>0</v>
          </cell>
          <cell r="BB372">
            <v>1</v>
          </cell>
          <cell r="BD372">
            <v>0</v>
          </cell>
          <cell r="BE372" t="str">
            <v>M</v>
          </cell>
          <cell r="BF372" t="str">
            <v>N</v>
          </cell>
          <cell r="BG372">
            <v>10</v>
          </cell>
          <cell r="BH372">
            <v>38169</v>
          </cell>
        </row>
        <row r="373">
          <cell r="A373">
            <v>69662</v>
          </cell>
          <cell r="B373">
            <v>403</v>
          </cell>
          <cell r="C373" t="str">
            <v>C3000</v>
          </cell>
          <cell r="D373" t="str">
            <v>DIRMI</v>
          </cell>
          <cell r="E373" t="str">
            <v>SALAH</v>
          </cell>
          <cell r="F373">
            <v>19175</v>
          </cell>
          <cell r="G373" t="str">
            <v>1</v>
          </cell>
          <cell r="H373" t="str">
            <v>OULED BHAR KBAR KHOURIBGA</v>
          </cell>
          <cell r="I373" t="str">
            <v>D</v>
          </cell>
          <cell r="J373">
            <v>28362</v>
          </cell>
          <cell r="K373">
            <v>30560</v>
          </cell>
          <cell r="L373" t="str">
            <v>21</v>
          </cell>
          <cell r="M373" t="str">
            <v>A</v>
          </cell>
          <cell r="N373">
            <v>37135</v>
          </cell>
          <cell r="P373">
            <v>25</v>
          </cell>
          <cell r="Q373" t="str">
            <v>O</v>
          </cell>
          <cell r="R373" t="str">
            <v>N</v>
          </cell>
          <cell r="S373">
            <v>0</v>
          </cell>
          <cell r="T373" t="str">
            <v>M</v>
          </cell>
          <cell r="U373" t="str">
            <v>FATIMA BENT MED</v>
          </cell>
          <cell r="V373" t="str">
            <v>JIHAZI FATIMA</v>
          </cell>
          <cell r="X373">
            <v>10</v>
          </cell>
          <cell r="Y373">
            <v>5</v>
          </cell>
          <cell r="AB373" t="str">
            <v>X</v>
          </cell>
          <cell r="AC373" t="str">
            <v>X</v>
          </cell>
          <cell r="AD373" t="str">
            <v>X</v>
          </cell>
          <cell r="AH373" t="str">
            <v>O</v>
          </cell>
          <cell r="AI373" t="str">
            <v>N</v>
          </cell>
          <cell r="AK373" t="str">
            <v>143, VILLAGE OCP BOULANOIR</v>
          </cell>
          <cell r="AL373" t="str">
            <v>2AS</v>
          </cell>
          <cell r="AP373" t="str">
            <v>Q 29660</v>
          </cell>
          <cell r="AQ373">
            <v>0</v>
          </cell>
          <cell r="AR373" t="str">
            <v>B</v>
          </cell>
          <cell r="AS373" t="str">
            <v>WAFABANK - KHGA</v>
          </cell>
          <cell r="AT373" t="str">
            <v>1220301251975</v>
          </cell>
          <cell r="AU373" t="str">
            <v>/  /</v>
          </cell>
          <cell r="AW373">
            <v>38169</v>
          </cell>
          <cell r="AY373" t="str">
            <v>XX</v>
          </cell>
          <cell r="BA373" t="str">
            <v>1</v>
          </cell>
          <cell r="BB373">
            <v>1</v>
          </cell>
          <cell r="BD373">
            <v>0</v>
          </cell>
          <cell r="BE373" t="str">
            <v>M</v>
          </cell>
          <cell r="BF373" t="str">
            <v>N</v>
          </cell>
          <cell r="BG373">
            <v>1</v>
          </cell>
          <cell r="BH373">
            <v>37987</v>
          </cell>
        </row>
        <row r="374">
          <cell r="A374">
            <v>69805</v>
          </cell>
          <cell r="B374">
            <v>418</v>
          </cell>
          <cell r="C374" t="str">
            <v>C4102</v>
          </cell>
          <cell r="D374" t="str">
            <v>HAMMOUCHA</v>
          </cell>
          <cell r="E374" t="str">
            <v>BENDAOUD</v>
          </cell>
          <cell r="F374">
            <v>19905</v>
          </cell>
          <cell r="G374" t="str">
            <v>4</v>
          </cell>
          <cell r="H374" t="str">
            <v>BOULANOIR</v>
          </cell>
          <cell r="I374" t="str">
            <v>D</v>
          </cell>
          <cell r="J374">
            <v>28382</v>
          </cell>
          <cell r="K374">
            <v>37012</v>
          </cell>
          <cell r="L374" t="str">
            <v>22</v>
          </cell>
          <cell r="M374" t="str">
            <v>A</v>
          </cell>
          <cell r="N374">
            <v>37012</v>
          </cell>
          <cell r="P374">
            <v>25</v>
          </cell>
          <cell r="Q374" t="str">
            <v>O</v>
          </cell>
          <cell r="R374" t="str">
            <v>N</v>
          </cell>
          <cell r="S374">
            <v>0</v>
          </cell>
          <cell r="T374" t="str">
            <v>M</v>
          </cell>
          <cell r="U374" t="str">
            <v>MALIKA BENT BOUAZZA</v>
          </cell>
          <cell r="X374">
            <v>4</v>
          </cell>
          <cell r="Y374">
            <v>4</v>
          </cell>
          <cell r="AB374" t="str">
            <v>X</v>
          </cell>
          <cell r="AC374" t="str">
            <v>X</v>
          </cell>
          <cell r="AD374" t="str">
            <v>X</v>
          </cell>
          <cell r="AH374" t="str">
            <v>N</v>
          </cell>
          <cell r="AI374" t="str">
            <v>N</v>
          </cell>
          <cell r="AK374" t="str">
            <v>N 1099 VILLAGE O C P BOULANOIR</v>
          </cell>
          <cell r="AL374" t="str">
            <v>1AS</v>
          </cell>
          <cell r="AP374" t="str">
            <v>Q 11341</v>
          </cell>
          <cell r="AQ374">
            <v>0</v>
          </cell>
          <cell r="AR374" t="str">
            <v>B</v>
          </cell>
          <cell r="AS374" t="str">
            <v>S.G.M.B - KHGA</v>
          </cell>
          <cell r="AT374" t="str">
            <v>670009217440</v>
          </cell>
          <cell r="AU374" t="str">
            <v>/  /</v>
          </cell>
          <cell r="AW374">
            <v>38169</v>
          </cell>
          <cell r="AY374" t="str">
            <v>XX</v>
          </cell>
          <cell r="BA374" t="str">
            <v>1</v>
          </cell>
          <cell r="BB374">
            <v>1</v>
          </cell>
          <cell r="BD374">
            <v>0</v>
          </cell>
          <cell r="BE374" t="str">
            <v>M</v>
          </cell>
          <cell r="BF374" t="str">
            <v>N</v>
          </cell>
          <cell r="BG374">
            <v>40</v>
          </cell>
          <cell r="BH374">
            <v>38169</v>
          </cell>
        </row>
        <row r="375">
          <cell r="A375">
            <v>70540</v>
          </cell>
          <cell r="B375">
            <v>411</v>
          </cell>
          <cell r="C375" t="str">
            <v>C3020</v>
          </cell>
          <cell r="D375" t="str">
            <v>ARGOUG</v>
          </cell>
          <cell r="E375" t="str">
            <v>ABDELKEBIR</v>
          </cell>
          <cell r="F375">
            <v>19540</v>
          </cell>
          <cell r="H375" t="str">
            <v>CHIADMA</v>
          </cell>
          <cell r="I375" t="str">
            <v>D</v>
          </cell>
          <cell r="J375">
            <v>28614</v>
          </cell>
          <cell r="K375">
            <v>35370</v>
          </cell>
          <cell r="L375" t="str">
            <v>21</v>
          </cell>
          <cell r="M375" t="str">
            <v>A</v>
          </cell>
          <cell r="N375">
            <v>35370</v>
          </cell>
          <cell r="P375">
            <v>24</v>
          </cell>
          <cell r="Q375" t="str">
            <v>O</v>
          </cell>
          <cell r="R375" t="str">
            <v>N</v>
          </cell>
          <cell r="S375">
            <v>0</v>
          </cell>
          <cell r="T375" t="str">
            <v>M</v>
          </cell>
          <cell r="U375" t="str">
            <v>MADAK FATIMA</v>
          </cell>
          <cell r="X375">
            <v>5</v>
          </cell>
          <cell r="Y375">
            <v>5</v>
          </cell>
          <cell r="AB375" t="str">
            <v>X</v>
          </cell>
          <cell r="AC375" t="str">
            <v>X</v>
          </cell>
          <cell r="AD375" t="str">
            <v>X</v>
          </cell>
          <cell r="AH375" t="str">
            <v>N</v>
          </cell>
          <cell r="AI375" t="str">
            <v>N</v>
          </cell>
          <cell r="AK375" t="str">
            <v>197 VILLAGE O.C.P - BOUJNIBA</v>
          </cell>
          <cell r="AL375" t="str">
            <v>ILLETTRE</v>
          </cell>
          <cell r="AP375" t="str">
            <v>Q 64398</v>
          </cell>
          <cell r="AQ375">
            <v>0</v>
          </cell>
          <cell r="AR375" t="str">
            <v>B</v>
          </cell>
          <cell r="AS375" t="str">
            <v>C.N.C.A  KHGA</v>
          </cell>
          <cell r="AT375" t="str">
            <v>0806157C601</v>
          </cell>
          <cell r="AU375" t="str">
            <v>/  /</v>
          </cell>
          <cell r="AW375">
            <v>38353</v>
          </cell>
          <cell r="AY375" t="str">
            <v>XX</v>
          </cell>
          <cell r="BA375" t="str">
            <v>0</v>
          </cell>
          <cell r="BB375">
            <v>1</v>
          </cell>
          <cell r="BD375">
            <v>0</v>
          </cell>
          <cell r="BE375" t="str">
            <v>M</v>
          </cell>
          <cell r="BF375" t="str">
            <v>N</v>
          </cell>
          <cell r="BG375">
            <v>50</v>
          </cell>
          <cell r="BH375">
            <v>38353</v>
          </cell>
          <cell r="BI375" t="str">
            <v>O</v>
          </cell>
        </row>
        <row r="376">
          <cell r="A376">
            <v>70552</v>
          </cell>
          <cell r="B376">
            <v>446</v>
          </cell>
          <cell r="C376" t="str">
            <v>C2000</v>
          </cell>
          <cell r="D376" t="str">
            <v>EL HNAOUI</v>
          </cell>
          <cell r="E376" t="str">
            <v>M HAMED</v>
          </cell>
          <cell r="F376">
            <v>18444</v>
          </cell>
          <cell r="G376" t="str">
            <v>3</v>
          </cell>
          <cell r="H376" t="str">
            <v>BOUJNIBA</v>
          </cell>
          <cell r="I376" t="str">
            <v>D</v>
          </cell>
          <cell r="J376">
            <v>28615</v>
          </cell>
          <cell r="K376">
            <v>30834</v>
          </cell>
          <cell r="L376" t="str">
            <v>12</v>
          </cell>
          <cell r="M376" t="str">
            <v>C</v>
          </cell>
          <cell r="N376">
            <v>35217</v>
          </cell>
          <cell r="P376">
            <v>24</v>
          </cell>
          <cell r="Q376" t="str">
            <v>O</v>
          </cell>
          <cell r="R376" t="str">
            <v>N</v>
          </cell>
          <cell r="S376">
            <v>0</v>
          </cell>
          <cell r="T376" t="str">
            <v>M</v>
          </cell>
          <cell r="U376" t="str">
            <v>EL MOULOUDIA BENT MED</v>
          </cell>
          <cell r="V376" t="str">
            <v>M BARKA BENT ABDELKADER</v>
          </cell>
          <cell r="X376">
            <v>8</v>
          </cell>
          <cell r="Y376">
            <v>4</v>
          </cell>
          <cell r="AB376" t="str">
            <v>X</v>
          </cell>
          <cell r="AC376" t="str">
            <v>X</v>
          </cell>
          <cell r="AD376" t="str">
            <v>X</v>
          </cell>
          <cell r="AH376" t="str">
            <v>N</v>
          </cell>
          <cell r="AI376" t="str">
            <v>N</v>
          </cell>
          <cell r="AK376" t="str">
            <v>282 DERB 1 LOTIS.BEN EL HADRI - BOUJNIBA</v>
          </cell>
          <cell r="AL376" t="str">
            <v>ILLETTRE</v>
          </cell>
          <cell r="AP376" t="str">
            <v>Q 82362</v>
          </cell>
          <cell r="AQ376">
            <v>0</v>
          </cell>
          <cell r="AR376" t="str">
            <v>B</v>
          </cell>
          <cell r="AS376" t="str">
            <v>C.N.C.A  KHGA</v>
          </cell>
          <cell r="AT376" t="str">
            <v>0806118D601</v>
          </cell>
          <cell r="AU376" t="str">
            <v>/  /</v>
          </cell>
          <cell r="AW376">
            <v>38353</v>
          </cell>
          <cell r="AY376" t="str">
            <v>XX</v>
          </cell>
          <cell r="BA376" t="str">
            <v>1</v>
          </cell>
          <cell r="BB376">
            <v>1</v>
          </cell>
          <cell r="BD376">
            <v>0</v>
          </cell>
          <cell r="BE376" t="str">
            <v>M</v>
          </cell>
          <cell r="BF376" t="str">
            <v>N</v>
          </cell>
          <cell r="BG376">
            <v>50</v>
          </cell>
          <cell r="BH376">
            <v>38353</v>
          </cell>
          <cell r="BI376" t="str">
            <v>O</v>
          </cell>
        </row>
        <row r="377">
          <cell r="A377">
            <v>70916</v>
          </cell>
          <cell r="B377">
            <v>411</v>
          </cell>
          <cell r="C377" t="str">
            <v>C6152</v>
          </cell>
          <cell r="D377" t="str">
            <v>JAMIL</v>
          </cell>
          <cell r="E377" t="str">
            <v>ABDELKBIR</v>
          </cell>
          <cell r="F377">
            <v>19916</v>
          </cell>
          <cell r="G377" t="str">
            <v>1</v>
          </cell>
          <cell r="H377" t="str">
            <v>KOURIBGA</v>
          </cell>
          <cell r="I377" t="str">
            <v>F</v>
          </cell>
          <cell r="J377">
            <v>28830</v>
          </cell>
          <cell r="K377">
            <v>28825</v>
          </cell>
          <cell r="L377" t="str">
            <v>32</v>
          </cell>
          <cell r="M377" t="str">
            <v>A</v>
          </cell>
          <cell r="N377">
            <v>28825</v>
          </cell>
          <cell r="P377">
            <v>24</v>
          </cell>
          <cell r="Q377" t="str">
            <v>O</v>
          </cell>
          <cell r="R377" t="str">
            <v>N</v>
          </cell>
          <cell r="S377">
            <v>0</v>
          </cell>
          <cell r="T377" t="str">
            <v>M</v>
          </cell>
          <cell r="U377" t="str">
            <v>EL KADIRI OUASSILLA BENT FATEH</v>
          </cell>
          <cell r="X377">
            <v>4</v>
          </cell>
          <cell r="Y377">
            <v>4</v>
          </cell>
          <cell r="AB377" t="str">
            <v>X</v>
          </cell>
          <cell r="AC377" t="str">
            <v>X</v>
          </cell>
          <cell r="AD377" t="str">
            <v>X</v>
          </cell>
          <cell r="AH377" t="str">
            <v>N</v>
          </cell>
          <cell r="AI377" t="str">
            <v>N</v>
          </cell>
          <cell r="AK377" t="str">
            <v>32 RUE DE LA MOSQUEE - KHGA</v>
          </cell>
          <cell r="AL377" t="str">
            <v>5AS</v>
          </cell>
          <cell r="AM377" t="str">
            <v>ELECTOMECANICIEN (TOUISSIT)</v>
          </cell>
          <cell r="AP377" t="str">
            <v>Q 60506</v>
          </cell>
          <cell r="AQ377">
            <v>0</v>
          </cell>
          <cell r="AR377" t="str">
            <v>B</v>
          </cell>
          <cell r="AS377" t="str">
            <v>B.M.C.E - KHGA</v>
          </cell>
          <cell r="AT377" t="str">
            <v>40001200000208122</v>
          </cell>
          <cell r="AU377" t="str">
            <v>/  /</v>
          </cell>
          <cell r="AW377">
            <v>38534</v>
          </cell>
          <cell r="AY377" t="str">
            <v>XX</v>
          </cell>
          <cell r="AZ377" t="str">
            <v>R</v>
          </cell>
          <cell r="BA377" t="str">
            <v>1</v>
          </cell>
          <cell r="BB377">
            <v>1</v>
          </cell>
          <cell r="BD377">
            <v>0</v>
          </cell>
          <cell r="BE377" t="str">
            <v>M</v>
          </cell>
          <cell r="BF377" t="str">
            <v>N</v>
          </cell>
          <cell r="BG377">
            <v>1</v>
          </cell>
          <cell r="BH377">
            <v>38534</v>
          </cell>
        </row>
        <row r="378">
          <cell r="A378">
            <v>68083</v>
          </cell>
          <cell r="B378">
            <v>411</v>
          </cell>
          <cell r="C378" t="str">
            <v>X3150</v>
          </cell>
          <cell r="D378" t="str">
            <v>AMER</v>
          </cell>
          <cell r="E378" t="str">
            <v>AHMED</v>
          </cell>
          <cell r="F378">
            <v>19540</v>
          </cell>
          <cell r="H378" t="str">
            <v>ZAOUIT CHEIKH</v>
          </cell>
          <cell r="I378" t="str">
            <v>F</v>
          </cell>
          <cell r="J378">
            <v>27590</v>
          </cell>
          <cell r="K378">
            <v>37073</v>
          </cell>
          <cell r="L378" t="str">
            <v>41</v>
          </cell>
          <cell r="M378" t="str">
            <v>A</v>
          </cell>
          <cell r="N378">
            <v>37073</v>
          </cell>
          <cell r="P378">
            <v>27</v>
          </cell>
          <cell r="Q378" t="str">
            <v>O</v>
          </cell>
          <cell r="R378" t="str">
            <v>N</v>
          </cell>
          <cell r="S378">
            <v>0</v>
          </cell>
          <cell r="T378" t="str">
            <v>M</v>
          </cell>
          <cell r="U378" t="str">
            <v>BADIAA BENT MED</v>
          </cell>
          <cell r="X378">
            <v>3</v>
          </cell>
          <cell r="Y378">
            <v>2</v>
          </cell>
          <cell r="AB378" t="str">
            <v>X</v>
          </cell>
          <cell r="AC378" t="str">
            <v>X</v>
          </cell>
          <cell r="AD378" t="str">
            <v>X</v>
          </cell>
          <cell r="AH378" t="str">
            <v>N</v>
          </cell>
          <cell r="AI378" t="str">
            <v>N</v>
          </cell>
          <cell r="AK378" t="str">
            <v>80 HAY EL AMAL COOPER.EL MOUSTAKBAL-KHGA</v>
          </cell>
          <cell r="AL378" t="str">
            <v>6TI</v>
          </cell>
          <cell r="AP378" t="str">
            <v>Q 8444</v>
          </cell>
          <cell r="AQ378">
            <v>0</v>
          </cell>
          <cell r="AR378" t="str">
            <v>B</v>
          </cell>
          <cell r="AS378" t="str">
            <v>POPULAIRE.KHGA</v>
          </cell>
          <cell r="AT378" t="str">
            <v>2111156493140000</v>
          </cell>
          <cell r="AU378" t="str">
            <v>/  /</v>
          </cell>
          <cell r="AW378">
            <v>37803</v>
          </cell>
          <cell r="AY378" t="str">
            <v>XX</v>
          </cell>
          <cell r="BA378" t="str">
            <v>1</v>
          </cell>
          <cell r="BB378">
            <v>1</v>
          </cell>
          <cell r="BC378" t="str">
            <v>N</v>
          </cell>
          <cell r="BD378">
            <v>0</v>
          </cell>
          <cell r="BE378" t="str">
            <v>M</v>
          </cell>
          <cell r="BF378" t="str">
            <v>N</v>
          </cell>
          <cell r="BG378">
            <v>1</v>
          </cell>
          <cell r="BH378">
            <v>37803</v>
          </cell>
          <cell r="BI378" t="str">
            <v>O</v>
          </cell>
        </row>
        <row r="379">
          <cell r="A379">
            <v>73713</v>
          </cell>
          <cell r="B379">
            <v>476</v>
          </cell>
          <cell r="C379" t="str">
            <v>C2152</v>
          </cell>
          <cell r="D379" t="str">
            <v>NAJILI</v>
          </cell>
          <cell r="E379" t="str">
            <v>EL ARBI</v>
          </cell>
          <cell r="F379">
            <v>20622</v>
          </cell>
          <cell r="G379" t="str">
            <v>1</v>
          </cell>
          <cell r="H379" t="str">
            <v>OULED BHAR KBAR KHOURIBGA</v>
          </cell>
          <cell r="I379" t="str">
            <v>D</v>
          </cell>
          <cell r="J379">
            <v>30244</v>
          </cell>
          <cell r="K379">
            <v>32387</v>
          </cell>
          <cell r="L379" t="str">
            <v>12</v>
          </cell>
          <cell r="M379" t="str">
            <v>C</v>
          </cell>
          <cell r="N379">
            <v>306</v>
          </cell>
          <cell r="P379">
            <v>20</v>
          </cell>
          <cell r="Q379" t="str">
            <v>N</v>
          </cell>
          <cell r="R379" t="str">
            <v>O</v>
          </cell>
          <cell r="S379">
            <v>3</v>
          </cell>
          <cell r="T379" t="str">
            <v>M</v>
          </cell>
          <cell r="U379" t="str">
            <v>ZAHRA BENT HADJ MATI</v>
          </cell>
          <cell r="X379">
            <v>7</v>
          </cell>
          <cell r="Y379">
            <v>5</v>
          </cell>
          <cell r="AB379" t="str">
            <v>X</v>
          </cell>
          <cell r="AC379" t="str">
            <v>X</v>
          </cell>
          <cell r="AD379" t="str">
            <v>X</v>
          </cell>
          <cell r="AH379" t="str">
            <v>N</v>
          </cell>
          <cell r="AI379" t="str">
            <v>N</v>
          </cell>
          <cell r="AK379" t="str">
            <v>264 VILLAGE OCP BOULANOIR</v>
          </cell>
          <cell r="AL379" t="str">
            <v>ILLETTRE</v>
          </cell>
          <cell r="AP379" t="str">
            <v>Q 81754</v>
          </cell>
          <cell r="AQ379">
            <v>0</v>
          </cell>
          <cell r="AR379" t="str">
            <v>B</v>
          </cell>
          <cell r="AS379" t="str">
            <v>BMCI - KHGA</v>
          </cell>
          <cell r="AT379" t="str">
            <v>0282117312330100001</v>
          </cell>
          <cell r="AU379" t="str">
            <v>/  /</v>
          </cell>
          <cell r="AW379">
            <v>39995</v>
          </cell>
          <cell r="AY379" t="str">
            <v>XX</v>
          </cell>
          <cell r="BA379" t="str">
            <v>1</v>
          </cell>
          <cell r="BB379">
            <v>1</v>
          </cell>
          <cell r="BC379" t="str">
            <v>N</v>
          </cell>
          <cell r="BD379">
            <v>0</v>
          </cell>
          <cell r="BE379" t="str">
            <v>M</v>
          </cell>
          <cell r="BF379" t="str">
            <v>N</v>
          </cell>
          <cell r="BG379">
            <v>0</v>
          </cell>
          <cell r="BH379">
            <v>39995</v>
          </cell>
          <cell r="BI379" t="str">
            <v>O</v>
          </cell>
        </row>
        <row r="380">
          <cell r="A380">
            <v>76411</v>
          </cell>
          <cell r="B380">
            <v>416</v>
          </cell>
          <cell r="C380" t="str">
            <v>C5050</v>
          </cell>
          <cell r="D380" t="str">
            <v>BADINE</v>
          </cell>
          <cell r="E380" t="str">
            <v>MOHAMED</v>
          </cell>
          <cell r="F380">
            <v>20190</v>
          </cell>
          <cell r="G380" t="str">
            <v>1</v>
          </cell>
          <cell r="H380" t="str">
            <v>OULED BHAR KBAR - KHOURIBGA</v>
          </cell>
          <cell r="I380" t="str">
            <v>D</v>
          </cell>
          <cell r="J380">
            <v>27767</v>
          </cell>
          <cell r="K380">
            <v>34151</v>
          </cell>
          <cell r="L380" t="str">
            <v>31</v>
          </cell>
          <cell r="M380" t="str">
            <v>A</v>
          </cell>
          <cell r="N380">
            <v>34151</v>
          </cell>
          <cell r="P380">
            <v>27</v>
          </cell>
          <cell r="Q380" t="str">
            <v>O</v>
          </cell>
          <cell r="R380" t="str">
            <v>N</v>
          </cell>
          <cell r="S380">
            <v>0</v>
          </cell>
          <cell r="T380" t="str">
            <v>M</v>
          </cell>
          <cell r="U380" t="str">
            <v>QABBAL RABIA</v>
          </cell>
          <cell r="X380">
            <v>5</v>
          </cell>
          <cell r="Y380">
            <v>5</v>
          </cell>
          <cell r="AB380" t="str">
            <v>X</v>
          </cell>
          <cell r="AC380" t="str">
            <v>X</v>
          </cell>
          <cell r="AD380" t="str">
            <v>X</v>
          </cell>
          <cell r="AH380" t="str">
            <v>N</v>
          </cell>
          <cell r="AI380" t="str">
            <v>N</v>
          </cell>
          <cell r="AK380" t="str">
            <v>645 VILLAGE OCP - BOUJNIBA</v>
          </cell>
          <cell r="AL380" t="str">
            <v>3AS</v>
          </cell>
          <cell r="AP380" t="str">
            <v>H 23236</v>
          </cell>
          <cell r="AQ380">
            <v>0</v>
          </cell>
          <cell r="AR380" t="str">
            <v>B</v>
          </cell>
          <cell r="AS380" t="str">
            <v>POPULAIRE  KHGA</v>
          </cell>
          <cell r="AT380" t="str">
            <v>2111112828920004</v>
          </cell>
          <cell r="AU380" t="str">
            <v>/  /</v>
          </cell>
          <cell r="AW380">
            <v>38534</v>
          </cell>
          <cell r="AY380" t="str">
            <v>XX</v>
          </cell>
          <cell r="BA380" t="str">
            <v>6</v>
          </cell>
          <cell r="BB380">
            <v>1</v>
          </cell>
          <cell r="BC380" t="str">
            <v>N</v>
          </cell>
          <cell r="BD380">
            <v>0</v>
          </cell>
          <cell r="BE380" t="str">
            <v>M</v>
          </cell>
          <cell r="BF380" t="str">
            <v>N</v>
          </cell>
          <cell r="BG380">
            <v>50</v>
          </cell>
          <cell r="BH380">
            <v>38534</v>
          </cell>
          <cell r="BI380" t="str">
            <v>O</v>
          </cell>
        </row>
        <row r="381">
          <cell r="A381">
            <v>87931</v>
          </cell>
          <cell r="B381">
            <v>428</v>
          </cell>
          <cell r="C381" t="str">
            <v>C6050</v>
          </cell>
          <cell r="D381" t="str">
            <v>EL MAGROUNI</v>
          </cell>
          <cell r="E381" t="str">
            <v>HAMID</v>
          </cell>
          <cell r="F381">
            <v>23621</v>
          </cell>
          <cell r="G381" t="str">
            <v>1</v>
          </cell>
          <cell r="H381" t="str">
            <v>OULED BHAR SGHAR KHOURIBGA</v>
          </cell>
          <cell r="I381" t="str">
            <v>F</v>
          </cell>
          <cell r="J381">
            <v>31831</v>
          </cell>
          <cell r="K381">
            <v>36526</v>
          </cell>
          <cell r="L381" t="str">
            <v>32</v>
          </cell>
          <cell r="M381" t="str">
            <v>A</v>
          </cell>
          <cell r="N381">
            <v>36526</v>
          </cell>
          <cell r="P381">
            <v>17</v>
          </cell>
          <cell r="Q381" t="str">
            <v>N</v>
          </cell>
          <cell r="R381" t="str">
            <v>O</v>
          </cell>
          <cell r="S381">
            <v>3</v>
          </cell>
          <cell r="T381" t="str">
            <v>M</v>
          </cell>
          <cell r="U381" t="str">
            <v>CHAKRANI SALHA BENT AHMED</v>
          </cell>
          <cell r="X381">
            <v>5</v>
          </cell>
          <cell r="Y381">
            <v>5</v>
          </cell>
          <cell r="AB381" t="str">
            <v>X</v>
          </cell>
          <cell r="AC381" t="str">
            <v>X</v>
          </cell>
          <cell r="AD381" t="str">
            <v>X</v>
          </cell>
          <cell r="AH381" t="str">
            <v>N</v>
          </cell>
          <cell r="AI381" t="str">
            <v>N</v>
          </cell>
          <cell r="AK381" t="str">
            <v>DOUAR OULED TAZI OULED AZZOUZ</v>
          </cell>
          <cell r="AL381" t="str">
            <v>7AS SC EX</v>
          </cell>
          <cell r="AM381" t="str">
            <v>CFO</v>
          </cell>
          <cell r="AP381" t="str">
            <v>Q 98460</v>
          </cell>
          <cell r="AQ381">
            <v>0</v>
          </cell>
          <cell r="AR381" t="str">
            <v>B</v>
          </cell>
          <cell r="AS381" t="str">
            <v>WAFABANK - KHGA</v>
          </cell>
          <cell r="AT381" t="str">
            <v>1220301229949</v>
          </cell>
          <cell r="AU381" t="str">
            <v>/  /</v>
          </cell>
          <cell r="AW381">
            <v>42005</v>
          </cell>
          <cell r="AY381" t="str">
            <v>XX</v>
          </cell>
          <cell r="BA381" t="str">
            <v>2</v>
          </cell>
          <cell r="BB381">
            <v>1</v>
          </cell>
          <cell r="BD381">
            <v>0</v>
          </cell>
          <cell r="BE381" t="str">
            <v>M</v>
          </cell>
          <cell r="BF381" t="str">
            <v>N</v>
          </cell>
          <cell r="BG381">
            <v>0</v>
          </cell>
          <cell r="BH381">
            <v>42005</v>
          </cell>
        </row>
        <row r="382">
          <cell r="A382">
            <v>66419</v>
          </cell>
          <cell r="B382">
            <v>412</v>
          </cell>
          <cell r="C382" t="str">
            <v>X3036</v>
          </cell>
          <cell r="D382" t="str">
            <v>JOUIDER</v>
          </cell>
          <cell r="E382" t="str">
            <v>EL KBIR</v>
          </cell>
          <cell r="F382">
            <v>19175</v>
          </cell>
          <cell r="G382" t="str">
            <v>1</v>
          </cell>
          <cell r="H382" t="str">
            <v>KHOURIBGA</v>
          </cell>
          <cell r="I382" t="str">
            <v>D</v>
          </cell>
          <cell r="J382">
            <v>27621</v>
          </cell>
          <cell r="K382">
            <v>37073</v>
          </cell>
          <cell r="L382" t="str">
            <v>41</v>
          </cell>
          <cell r="M382" t="str">
            <v>A</v>
          </cell>
          <cell r="N382">
            <v>37073</v>
          </cell>
          <cell r="P382">
            <v>27</v>
          </cell>
          <cell r="Q382" t="str">
            <v>O</v>
          </cell>
          <cell r="R382" t="str">
            <v>N</v>
          </cell>
          <cell r="S382">
            <v>0</v>
          </cell>
          <cell r="T382" t="str">
            <v>M</v>
          </cell>
          <cell r="U382" t="str">
            <v>FATIMA BENT MOHAMED</v>
          </cell>
          <cell r="X382">
            <v>4</v>
          </cell>
          <cell r="Y382">
            <v>3</v>
          </cell>
          <cell r="AB382" t="str">
            <v>X</v>
          </cell>
          <cell r="AC382" t="str">
            <v>X</v>
          </cell>
          <cell r="AD382" t="str">
            <v>X</v>
          </cell>
          <cell r="AH382" t="str">
            <v>N</v>
          </cell>
          <cell r="AI382" t="str">
            <v>N</v>
          </cell>
          <cell r="AK382" t="str">
            <v>17 RUE OUED CHERRAT PEPINIERE KHOURIBGA</v>
          </cell>
          <cell r="AL382" t="str">
            <v>4AS</v>
          </cell>
          <cell r="AM382" t="str">
            <v>CFO</v>
          </cell>
          <cell r="AP382" t="str">
            <v>Q 21859</v>
          </cell>
          <cell r="AQ382">
            <v>0</v>
          </cell>
          <cell r="AR382" t="str">
            <v>B</v>
          </cell>
          <cell r="AS382" t="str">
            <v>SGMB - KHGA</v>
          </cell>
          <cell r="AT382" t="str">
            <v>4000000670009358866</v>
          </cell>
          <cell r="AU382" t="str">
            <v>/  /</v>
          </cell>
          <cell r="AW382">
            <v>37438</v>
          </cell>
          <cell r="AY382" t="str">
            <v>XX</v>
          </cell>
          <cell r="AZ382" t="str">
            <v>R</v>
          </cell>
          <cell r="BA382" t="str">
            <v>2</v>
          </cell>
          <cell r="BB382">
            <v>1</v>
          </cell>
          <cell r="BD382">
            <v>0</v>
          </cell>
          <cell r="BE382" t="str">
            <v>M</v>
          </cell>
          <cell r="BF382" t="str">
            <v>N</v>
          </cell>
          <cell r="BG382">
            <v>1</v>
          </cell>
          <cell r="BH382">
            <v>37622</v>
          </cell>
        </row>
        <row r="383">
          <cell r="A383">
            <v>70441</v>
          </cell>
          <cell r="B383">
            <v>412</v>
          </cell>
          <cell r="C383" t="str">
            <v>C2609</v>
          </cell>
          <cell r="D383" t="str">
            <v>BENDEQ</v>
          </cell>
          <cell r="E383" t="str">
            <v>FATIMA</v>
          </cell>
          <cell r="F383">
            <v>21001</v>
          </cell>
          <cell r="G383" t="str">
            <v>1</v>
          </cell>
          <cell r="H383" t="str">
            <v>OULED BHAR KBAR KHOURIBGA</v>
          </cell>
          <cell r="I383" t="str">
            <v>D</v>
          </cell>
          <cell r="J383">
            <v>28564</v>
          </cell>
          <cell r="K383">
            <v>32690</v>
          </cell>
          <cell r="L383" t="str">
            <v>31</v>
          </cell>
          <cell r="M383" t="str">
            <v>B</v>
          </cell>
          <cell r="N383">
            <v>35612</v>
          </cell>
          <cell r="O383">
            <v>0</v>
          </cell>
          <cell r="P383">
            <v>25</v>
          </cell>
          <cell r="Q383" t="str">
            <v>O</v>
          </cell>
          <cell r="R383" t="str">
            <v>N</v>
          </cell>
          <cell r="S383">
            <v>0</v>
          </cell>
          <cell r="T383" t="str">
            <v>M</v>
          </cell>
          <cell r="U383" t="str">
            <v>BENDEQ AHMED</v>
          </cell>
          <cell r="X383">
            <v>3</v>
          </cell>
          <cell r="Y383">
            <v>3</v>
          </cell>
          <cell r="Z383" t="str">
            <v>N</v>
          </cell>
          <cell r="AB383" t="str">
            <v>X</v>
          </cell>
          <cell r="AC383" t="str">
            <v>X</v>
          </cell>
          <cell r="AD383" t="str">
            <v>X</v>
          </cell>
          <cell r="AE383" t="str">
            <v>MINIS.EDUC.NAT.</v>
          </cell>
          <cell r="AH383" t="str">
            <v>N</v>
          </cell>
          <cell r="AI383" t="str">
            <v>N</v>
          </cell>
          <cell r="AK383" t="str">
            <v>145 LOT KARAM KHGA</v>
          </cell>
          <cell r="AL383" t="str">
            <v>6AS</v>
          </cell>
          <cell r="AP383" t="str">
            <v>Q 10557</v>
          </cell>
          <cell r="AQ383">
            <v>0</v>
          </cell>
          <cell r="AR383" t="str">
            <v>B</v>
          </cell>
          <cell r="AS383" t="str">
            <v>C.I.H - KHGA</v>
          </cell>
          <cell r="AT383" t="str">
            <v>3194735211004700</v>
          </cell>
          <cell r="AU383" t="str">
            <v>/  /</v>
          </cell>
          <cell r="AW383">
            <v>39264</v>
          </cell>
          <cell r="AY383" t="str">
            <v>XX</v>
          </cell>
          <cell r="BA383" t="str">
            <v>2</v>
          </cell>
          <cell r="BB383">
            <v>1</v>
          </cell>
          <cell r="BD383">
            <v>0</v>
          </cell>
          <cell r="BE383" t="str">
            <v>F</v>
          </cell>
          <cell r="BF383" t="str">
            <v>N</v>
          </cell>
          <cell r="BG383">
            <v>1</v>
          </cell>
          <cell r="BH383">
            <v>39630</v>
          </cell>
        </row>
        <row r="384">
          <cell r="A384">
            <v>70451</v>
          </cell>
          <cell r="B384">
            <v>404</v>
          </cell>
          <cell r="C384" t="str">
            <v>C4609</v>
          </cell>
          <cell r="D384" t="str">
            <v>KHATIB</v>
          </cell>
          <cell r="E384" t="str">
            <v>AICHA</v>
          </cell>
          <cell r="F384">
            <v>19175</v>
          </cell>
          <cell r="G384" t="str">
            <v>3</v>
          </cell>
          <cell r="H384" t="str">
            <v>OULED BRAHIM</v>
          </cell>
          <cell r="I384" t="str">
            <v>D</v>
          </cell>
          <cell r="J384">
            <v>28567</v>
          </cell>
          <cell r="K384">
            <v>36526</v>
          </cell>
          <cell r="L384" t="str">
            <v>33</v>
          </cell>
          <cell r="M384" t="str">
            <v>D</v>
          </cell>
          <cell r="N384">
            <v>36526</v>
          </cell>
          <cell r="P384">
            <v>25</v>
          </cell>
          <cell r="Q384" t="str">
            <v>O</v>
          </cell>
          <cell r="R384" t="str">
            <v>N</v>
          </cell>
          <cell r="S384">
            <v>0</v>
          </cell>
          <cell r="T384" t="str">
            <v>D</v>
          </cell>
          <cell r="X384">
            <v>3</v>
          </cell>
          <cell r="Y384">
            <v>2</v>
          </cell>
          <cell r="AB384" t="str">
            <v>X</v>
          </cell>
          <cell r="AC384" t="str">
            <v>X</v>
          </cell>
          <cell r="AD384" t="str">
            <v>X</v>
          </cell>
          <cell r="AH384" t="str">
            <v>N</v>
          </cell>
          <cell r="AI384" t="str">
            <v>N</v>
          </cell>
          <cell r="AK384" t="str">
            <v>51 RUE MY HASSAN Q. ADMINISTRATIF - KHGA</v>
          </cell>
          <cell r="AL384" t="str">
            <v>5AS</v>
          </cell>
          <cell r="AP384" t="str">
            <v>Q 41034</v>
          </cell>
          <cell r="AQ384">
            <v>0</v>
          </cell>
          <cell r="AR384" t="str">
            <v>B</v>
          </cell>
          <cell r="AS384" t="str">
            <v>C.I.H - KHGA</v>
          </cell>
          <cell r="AT384" t="str">
            <v>9829763211004700</v>
          </cell>
          <cell r="AU384" t="str">
            <v>/  /</v>
          </cell>
          <cell r="AW384">
            <v>39264</v>
          </cell>
          <cell r="AY384" t="str">
            <v>XX</v>
          </cell>
          <cell r="BA384" t="str">
            <v>2</v>
          </cell>
          <cell r="BB384">
            <v>1</v>
          </cell>
          <cell r="BD384">
            <v>0</v>
          </cell>
          <cell r="BE384" t="str">
            <v>F</v>
          </cell>
          <cell r="BF384" t="str">
            <v>N</v>
          </cell>
          <cell r="BG384">
            <v>1</v>
          </cell>
          <cell r="BH384">
            <v>39264</v>
          </cell>
        </row>
        <row r="385">
          <cell r="A385">
            <v>66555</v>
          </cell>
          <cell r="B385">
            <v>415</v>
          </cell>
          <cell r="C385" t="str">
            <v>C7300</v>
          </cell>
          <cell r="D385" t="str">
            <v>BERSY</v>
          </cell>
          <cell r="E385" t="str">
            <v>ABDELHAK</v>
          </cell>
          <cell r="F385">
            <v>20196</v>
          </cell>
          <cell r="H385" t="str">
            <v>CASABLANCA</v>
          </cell>
          <cell r="I385" t="str">
            <v>F</v>
          </cell>
          <cell r="J385">
            <v>27299</v>
          </cell>
          <cell r="K385">
            <v>32448</v>
          </cell>
          <cell r="L385" t="str">
            <v>33</v>
          </cell>
          <cell r="M385" t="str">
            <v>A</v>
          </cell>
          <cell r="N385">
            <v>32448</v>
          </cell>
          <cell r="P385">
            <v>28</v>
          </cell>
          <cell r="Q385" t="str">
            <v>O</v>
          </cell>
          <cell r="R385" t="str">
            <v>N</v>
          </cell>
          <cell r="S385">
            <v>0</v>
          </cell>
          <cell r="T385" t="str">
            <v>M</v>
          </cell>
          <cell r="U385" t="str">
            <v>KATIM FATIMA</v>
          </cell>
          <cell r="X385">
            <v>4</v>
          </cell>
          <cell r="Y385">
            <v>3</v>
          </cell>
          <cell r="AB385" t="str">
            <v>X</v>
          </cell>
          <cell r="AC385" t="str">
            <v>X</v>
          </cell>
          <cell r="AD385" t="str">
            <v>X</v>
          </cell>
          <cell r="AH385" t="str">
            <v>N</v>
          </cell>
          <cell r="AI385" t="str">
            <v>N</v>
          </cell>
          <cell r="AK385" t="str">
            <v>40 BLOC 4 ENNAHDA - KHGA</v>
          </cell>
          <cell r="AL385" t="str">
            <v>4AS</v>
          </cell>
          <cell r="AM385" t="str">
            <v>CFO</v>
          </cell>
          <cell r="AP385" t="str">
            <v>Q 14164</v>
          </cell>
          <cell r="AQ385">
            <v>0</v>
          </cell>
          <cell r="AR385" t="str">
            <v>B</v>
          </cell>
          <cell r="AS385" t="str">
            <v>POPULAIRE  KHGA</v>
          </cell>
          <cell r="AT385" t="str">
            <v>211111276963000</v>
          </cell>
          <cell r="AU385" t="str">
            <v>/  /</v>
          </cell>
          <cell r="AW385">
            <v>38534</v>
          </cell>
          <cell r="AY385" t="str">
            <v>XX</v>
          </cell>
          <cell r="AZ385" t="str">
            <v>R</v>
          </cell>
          <cell r="BA385" t="str">
            <v>2</v>
          </cell>
          <cell r="BB385">
            <v>1</v>
          </cell>
          <cell r="BD385">
            <v>0</v>
          </cell>
          <cell r="BE385" t="str">
            <v>M</v>
          </cell>
          <cell r="BF385" t="str">
            <v>N</v>
          </cell>
          <cell r="BG385">
            <v>1</v>
          </cell>
          <cell r="BH385">
            <v>38534</v>
          </cell>
          <cell r="BI385" t="str">
            <v>O</v>
          </cell>
        </row>
        <row r="386">
          <cell r="A386">
            <v>68317</v>
          </cell>
          <cell r="B386">
            <v>405</v>
          </cell>
          <cell r="C386" t="str">
            <v>C6300</v>
          </cell>
          <cell r="D386" t="str">
            <v>SMAIDI</v>
          </cell>
          <cell r="E386" t="str">
            <v>AHMED</v>
          </cell>
          <cell r="F386">
            <v>19905</v>
          </cell>
          <cell r="H386" t="str">
            <v>OULED M'RAH - SETTAT</v>
          </cell>
          <cell r="I386" t="str">
            <v>D</v>
          </cell>
          <cell r="J386">
            <v>27792</v>
          </cell>
          <cell r="K386">
            <v>35065</v>
          </cell>
          <cell r="L386" t="str">
            <v>32</v>
          </cell>
          <cell r="M386" t="str">
            <v>A</v>
          </cell>
          <cell r="N386">
            <v>35065</v>
          </cell>
          <cell r="P386">
            <v>28</v>
          </cell>
          <cell r="Q386" t="str">
            <v>O</v>
          </cell>
          <cell r="R386" t="str">
            <v>N</v>
          </cell>
          <cell r="S386">
            <v>0</v>
          </cell>
          <cell r="T386" t="str">
            <v>M</v>
          </cell>
          <cell r="U386" t="str">
            <v>ZAHRA BENT AHMED</v>
          </cell>
          <cell r="X386">
            <v>5</v>
          </cell>
          <cell r="Y386">
            <v>3</v>
          </cell>
          <cell r="AB386" t="str">
            <v>X</v>
          </cell>
          <cell r="AC386" t="str">
            <v>X</v>
          </cell>
          <cell r="AD386" t="str">
            <v>X</v>
          </cell>
          <cell r="AH386" t="str">
            <v>N</v>
          </cell>
          <cell r="AI386" t="str">
            <v>N</v>
          </cell>
          <cell r="AK386" t="str">
            <v>623 TACHERON BOUJNIBA</v>
          </cell>
          <cell r="AL386" t="str">
            <v>4AS</v>
          </cell>
          <cell r="AM386" t="str">
            <v>CES. CFO</v>
          </cell>
          <cell r="AP386" t="str">
            <v>Q 17319</v>
          </cell>
          <cell r="AQ386">
            <v>0</v>
          </cell>
          <cell r="AR386" t="str">
            <v>B</v>
          </cell>
          <cell r="AS386" t="str">
            <v>C.N.C.A - KHGA</v>
          </cell>
          <cell r="AT386" t="str">
            <v>0806339J601</v>
          </cell>
          <cell r="AU386" t="str">
            <v>/  /</v>
          </cell>
          <cell r="AW386">
            <v>38169</v>
          </cell>
          <cell r="AY386" t="str">
            <v>XX</v>
          </cell>
          <cell r="BA386" t="str">
            <v>2</v>
          </cell>
          <cell r="BB386">
            <v>1</v>
          </cell>
          <cell r="BD386">
            <v>0</v>
          </cell>
          <cell r="BE386" t="str">
            <v>M</v>
          </cell>
          <cell r="BF386" t="str">
            <v>N</v>
          </cell>
          <cell r="BG386">
            <v>50</v>
          </cell>
          <cell r="BH386">
            <v>38169</v>
          </cell>
          <cell r="BI386" t="str">
            <v>O</v>
          </cell>
        </row>
        <row r="387">
          <cell r="A387">
            <v>68677</v>
          </cell>
          <cell r="B387">
            <v>415</v>
          </cell>
          <cell r="C387" t="str">
            <v>X3300</v>
          </cell>
          <cell r="D387" t="str">
            <v>MOUSTAOUI</v>
          </cell>
          <cell r="E387" t="str">
            <v>BRAHIM</v>
          </cell>
          <cell r="F387">
            <v>21001</v>
          </cell>
          <cell r="G387" t="str">
            <v>1</v>
          </cell>
          <cell r="H387" t="str">
            <v>OULED ABDOUNE</v>
          </cell>
          <cell r="I387" t="str">
            <v>D</v>
          </cell>
          <cell r="J387">
            <v>27982</v>
          </cell>
          <cell r="K387">
            <v>37073</v>
          </cell>
          <cell r="L387" t="str">
            <v>41</v>
          </cell>
          <cell r="M387" t="str">
            <v>A</v>
          </cell>
          <cell r="N387">
            <v>37073</v>
          </cell>
          <cell r="P387">
            <v>26</v>
          </cell>
          <cell r="Q387" t="str">
            <v>O</v>
          </cell>
          <cell r="R387" t="str">
            <v>N</v>
          </cell>
          <cell r="S387">
            <v>0</v>
          </cell>
          <cell r="T387" t="str">
            <v>M</v>
          </cell>
          <cell r="U387" t="str">
            <v>FATNA BENT DRISS</v>
          </cell>
          <cell r="X387">
            <v>4</v>
          </cell>
          <cell r="Y387">
            <v>4</v>
          </cell>
          <cell r="AB387" t="str">
            <v>X</v>
          </cell>
          <cell r="AC387" t="str">
            <v>X</v>
          </cell>
          <cell r="AD387" t="str">
            <v>X</v>
          </cell>
          <cell r="AH387" t="str">
            <v>N</v>
          </cell>
          <cell r="AI387" t="str">
            <v>N</v>
          </cell>
          <cell r="AK387" t="str">
            <v>41,RUE 5 DERB BOUAZZA BEN ALI KHOURIBGA</v>
          </cell>
          <cell r="AL387" t="str">
            <v>4AS</v>
          </cell>
          <cell r="AM387" t="str">
            <v>CFO</v>
          </cell>
          <cell r="AP387" t="str">
            <v>Q 21761</v>
          </cell>
          <cell r="AQ387">
            <v>0</v>
          </cell>
          <cell r="AR387" t="str">
            <v>B</v>
          </cell>
          <cell r="AS387" t="str">
            <v>BMCI - KHGA</v>
          </cell>
          <cell r="AT387" t="str">
            <v>0282118078630100001</v>
          </cell>
          <cell r="AU387" t="str">
            <v>/  /</v>
          </cell>
          <cell r="AW387">
            <v>39264</v>
          </cell>
          <cell r="AY387" t="str">
            <v>XX</v>
          </cell>
          <cell r="BA387" t="str">
            <v>2</v>
          </cell>
          <cell r="BB387">
            <v>1</v>
          </cell>
          <cell r="BD387">
            <v>0</v>
          </cell>
          <cell r="BE387" t="str">
            <v>M</v>
          </cell>
          <cell r="BF387" t="str">
            <v>N</v>
          </cell>
          <cell r="BG387">
            <v>1</v>
          </cell>
          <cell r="BH387">
            <v>39264</v>
          </cell>
          <cell r="BI387" t="str">
            <v>O</v>
          </cell>
        </row>
        <row r="388">
          <cell r="A388">
            <v>71193</v>
          </cell>
          <cell r="B388">
            <v>415</v>
          </cell>
          <cell r="C388" t="str">
            <v>C4300</v>
          </cell>
          <cell r="D388" t="str">
            <v>ENNAHI</v>
          </cell>
          <cell r="E388" t="str">
            <v>EL KBIR</v>
          </cell>
          <cell r="F388">
            <v>20541</v>
          </cell>
          <cell r="G388" t="str">
            <v>1</v>
          </cell>
          <cell r="H388" t="str">
            <v>OULED BHAR KBAR KHOURIBGA</v>
          </cell>
          <cell r="I388" t="str">
            <v>D</v>
          </cell>
          <cell r="J388">
            <v>29004</v>
          </cell>
          <cell r="K388">
            <v>36526</v>
          </cell>
          <cell r="L388" t="str">
            <v>22</v>
          </cell>
          <cell r="M388" t="str">
            <v>A</v>
          </cell>
          <cell r="N388">
            <v>36526</v>
          </cell>
          <cell r="P388">
            <v>23</v>
          </cell>
          <cell r="Q388" t="str">
            <v>O</v>
          </cell>
          <cell r="R388" t="str">
            <v>N</v>
          </cell>
          <cell r="S388">
            <v>0</v>
          </cell>
          <cell r="T388" t="str">
            <v>M</v>
          </cell>
          <cell r="U388" t="str">
            <v>MLIKI HAFIDA BENT MOHAMED</v>
          </cell>
          <cell r="X388">
            <v>1</v>
          </cell>
          <cell r="Y388">
            <v>1</v>
          </cell>
          <cell r="AB388" t="str">
            <v>X</v>
          </cell>
          <cell r="AC388" t="str">
            <v>X</v>
          </cell>
          <cell r="AD388" t="str">
            <v>X</v>
          </cell>
          <cell r="AH388" t="str">
            <v>N</v>
          </cell>
          <cell r="AI388" t="str">
            <v>N</v>
          </cell>
          <cell r="AK388" t="str">
            <v>226 DERB 4 BOUJNIBA</v>
          </cell>
          <cell r="AL388" t="str">
            <v>4AS</v>
          </cell>
          <cell r="AP388" t="str">
            <v>Q 42949</v>
          </cell>
          <cell r="AQ388">
            <v>0</v>
          </cell>
          <cell r="AR388" t="str">
            <v>B</v>
          </cell>
          <cell r="AS388" t="str">
            <v>B.M.C.E - KHGA</v>
          </cell>
          <cell r="AT388" t="str">
            <v>40001200000933197</v>
          </cell>
          <cell r="AU388" t="str">
            <v>/  /</v>
          </cell>
          <cell r="AW388">
            <v>38899</v>
          </cell>
          <cell r="AY388" t="str">
            <v>XX</v>
          </cell>
          <cell r="BA388" t="str">
            <v>2</v>
          </cell>
          <cell r="BB388">
            <v>1</v>
          </cell>
          <cell r="BD388">
            <v>0</v>
          </cell>
          <cell r="BE388" t="str">
            <v>M</v>
          </cell>
          <cell r="BF388" t="str">
            <v>N</v>
          </cell>
          <cell r="BG388">
            <v>50</v>
          </cell>
          <cell r="BH388">
            <v>38899</v>
          </cell>
        </row>
        <row r="389">
          <cell r="A389">
            <v>72930</v>
          </cell>
          <cell r="B389">
            <v>415</v>
          </cell>
          <cell r="C389" t="str">
            <v>C7300</v>
          </cell>
          <cell r="D389" t="str">
            <v>GHALLAM</v>
          </cell>
          <cell r="E389" t="str">
            <v>NAJIM</v>
          </cell>
          <cell r="F389">
            <v>20754</v>
          </cell>
          <cell r="H389" t="str">
            <v>CASABLANCA</v>
          </cell>
          <cell r="I389" t="str">
            <v>F</v>
          </cell>
          <cell r="J389">
            <v>29328</v>
          </cell>
          <cell r="K389">
            <v>36526</v>
          </cell>
          <cell r="L389" t="str">
            <v>33</v>
          </cell>
          <cell r="M389" t="str">
            <v>A</v>
          </cell>
          <cell r="N389">
            <v>36526</v>
          </cell>
          <cell r="P389">
            <v>23</v>
          </cell>
          <cell r="Q389" t="str">
            <v>O</v>
          </cell>
          <cell r="R389" t="str">
            <v>N</v>
          </cell>
          <cell r="S389">
            <v>0</v>
          </cell>
          <cell r="T389" t="str">
            <v>M</v>
          </cell>
          <cell r="U389" t="str">
            <v>KEBIRA BENT ALLAL</v>
          </cell>
          <cell r="X389">
            <v>3</v>
          </cell>
          <cell r="Y389">
            <v>3</v>
          </cell>
          <cell r="AB389" t="str">
            <v>X</v>
          </cell>
          <cell r="AC389" t="str">
            <v>X</v>
          </cell>
          <cell r="AD389" t="str">
            <v>X</v>
          </cell>
          <cell r="AH389" t="str">
            <v>N</v>
          </cell>
          <cell r="AI389" t="str">
            <v>N</v>
          </cell>
          <cell r="AK389" t="str">
            <v>121 BD ZALLAKA 3EME ETAGE KHOURIBGA</v>
          </cell>
          <cell r="AL389" t="str">
            <v>4AS</v>
          </cell>
          <cell r="AM389" t="str">
            <v>CFO</v>
          </cell>
          <cell r="AP389" t="str">
            <v>B 238515</v>
          </cell>
          <cell r="AQ389">
            <v>0</v>
          </cell>
          <cell r="AR389" t="str">
            <v>B</v>
          </cell>
          <cell r="AS389" t="str">
            <v>BMCE. KHGA</v>
          </cell>
          <cell r="AT389" t="str">
            <v>40001200000632691</v>
          </cell>
          <cell r="AU389" t="str">
            <v>/  /</v>
          </cell>
          <cell r="AW389">
            <v>39083</v>
          </cell>
          <cell r="AY389" t="str">
            <v>XX</v>
          </cell>
          <cell r="BA389" t="str">
            <v>2</v>
          </cell>
          <cell r="BB389">
            <v>1</v>
          </cell>
          <cell r="BD389">
            <v>0</v>
          </cell>
          <cell r="BE389" t="str">
            <v>M</v>
          </cell>
          <cell r="BF389" t="str">
            <v>N</v>
          </cell>
          <cell r="BG389">
            <v>1</v>
          </cell>
          <cell r="BH389">
            <v>39083</v>
          </cell>
        </row>
        <row r="390">
          <cell r="A390">
            <v>74209</v>
          </cell>
          <cell r="B390">
            <v>410</v>
          </cell>
          <cell r="C390" t="str">
            <v>C6017</v>
          </cell>
          <cell r="D390" t="str">
            <v>NAFIZI</v>
          </cell>
          <cell r="E390" t="str">
            <v>ABDELAATI</v>
          </cell>
          <cell r="F390">
            <v>21001</v>
          </cell>
          <cell r="H390" t="str">
            <v>OULED M'RAH - SETTAT</v>
          </cell>
          <cell r="I390" t="str">
            <v>F</v>
          </cell>
          <cell r="J390">
            <v>31246</v>
          </cell>
          <cell r="K390">
            <v>35065</v>
          </cell>
          <cell r="L390" t="str">
            <v>32</v>
          </cell>
          <cell r="M390" t="str">
            <v>A</v>
          </cell>
          <cell r="N390">
            <v>35065</v>
          </cell>
          <cell r="P390">
            <v>17</v>
          </cell>
          <cell r="Q390" t="str">
            <v>O</v>
          </cell>
          <cell r="R390" t="str">
            <v>N</v>
          </cell>
          <cell r="S390">
            <v>0</v>
          </cell>
          <cell r="T390" t="str">
            <v>M</v>
          </cell>
          <cell r="U390" t="str">
            <v>KHADDOUJ BENT BENDAOUD</v>
          </cell>
          <cell r="X390">
            <v>4</v>
          </cell>
          <cell r="Y390">
            <v>4</v>
          </cell>
          <cell r="Z390" t="str">
            <v>N</v>
          </cell>
          <cell r="AB390" t="str">
            <v>X</v>
          </cell>
          <cell r="AC390" t="str">
            <v>X</v>
          </cell>
          <cell r="AD390" t="str">
            <v>X</v>
          </cell>
          <cell r="AH390" t="str">
            <v>N</v>
          </cell>
          <cell r="AI390" t="str">
            <v>N</v>
          </cell>
          <cell r="AK390" t="str">
            <v>59 BLOC 9 KHOUADRIA JDAD KHGA</v>
          </cell>
          <cell r="AL390" t="str">
            <v>4AS</v>
          </cell>
          <cell r="AM390" t="str">
            <v>CQP.CFO</v>
          </cell>
          <cell r="AP390" t="str">
            <v>Q 66603</v>
          </cell>
          <cell r="AQ390">
            <v>0</v>
          </cell>
          <cell r="AR390" t="str">
            <v>B</v>
          </cell>
          <cell r="AS390" t="str">
            <v>BMCE . KHGA</v>
          </cell>
          <cell r="AT390" t="str">
            <v>40001200000607956</v>
          </cell>
          <cell r="AU390" t="str">
            <v>/  /</v>
          </cell>
          <cell r="AW390">
            <v>40909</v>
          </cell>
          <cell r="AY390" t="str">
            <v>XX</v>
          </cell>
          <cell r="AZ390" t="str">
            <v>R</v>
          </cell>
          <cell r="BA390" t="str">
            <v>2</v>
          </cell>
          <cell r="BB390">
            <v>1</v>
          </cell>
          <cell r="BD390">
            <v>0</v>
          </cell>
          <cell r="BE390" t="str">
            <v>M</v>
          </cell>
          <cell r="BF390" t="str">
            <v>N</v>
          </cell>
          <cell r="BG390">
            <v>1</v>
          </cell>
          <cell r="BH390">
            <v>40909</v>
          </cell>
        </row>
        <row r="391">
          <cell r="A391">
            <v>63595</v>
          </cell>
          <cell r="B391">
            <v>408</v>
          </cell>
          <cell r="C391" t="str">
            <v>X3156</v>
          </cell>
          <cell r="D391" t="str">
            <v>CHABALI</v>
          </cell>
          <cell r="E391" t="str">
            <v>SALAH</v>
          </cell>
          <cell r="F391">
            <v>18809</v>
          </cell>
          <cell r="G391" t="str">
            <v>1</v>
          </cell>
          <cell r="H391" t="str">
            <v>KHOURIBGA</v>
          </cell>
          <cell r="I391" t="str">
            <v>D</v>
          </cell>
          <cell r="J391">
            <v>26515</v>
          </cell>
          <cell r="K391">
            <v>37073</v>
          </cell>
          <cell r="L391" t="str">
            <v>41</v>
          </cell>
          <cell r="M391" t="str">
            <v>A</v>
          </cell>
          <cell r="N391">
            <v>37073</v>
          </cell>
          <cell r="P391">
            <v>30</v>
          </cell>
          <cell r="Q391" t="str">
            <v>O</v>
          </cell>
          <cell r="R391" t="str">
            <v>N</v>
          </cell>
          <cell r="S391">
            <v>0</v>
          </cell>
          <cell r="T391" t="str">
            <v>M</v>
          </cell>
          <cell r="U391" t="str">
            <v>SAADIA BENT EL MILOUDI</v>
          </cell>
          <cell r="X391">
            <v>4</v>
          </cell>
          <cell r="Y391">
            <v>5</v>
          </cell>
          <cell r="AB391" t="str">
            <v>X</v>
          </cell>
          <cell r="AC391" t="str">
            <v>X</v>
          </cell>
          <cell r="AD391" t="str">
            <v>X</v>
          </cell>
          <cell r="AH391" t="str">
            <v>N</v>
          </cell>
          <cell r="AI391" t="str">
            <v>N</v>
          </cell>
          <cell r="AK391" t="str">
            <v>277 NLLE MEDINA DE SECHAGE KHOURIBGA</v>
          </cell>
          <cell r="AL391" t="str">
            <v>3AS</v>
          </cell>
          <cell r="AM391" t="str">
            <v>CEP. CFO</v>
          </cell>
          <cell r="AP391" t="str">
            <v>Q 83814</v>
          </cell>
          <cell r="AQ391">
            <v>0</v>
          </cell>
          <cell r="AR391" t="str">
            <v>B</v>
          </cell>
          <cell r="AS391" t="str">
            <v>CR-MAROC - KHGA</v>
          </cell>
          <cell r="AT391" t="str">
            <v>0000082001079614</v>
          </cell>
          <cell r="AU391" t="str">
            <v>/  /</v>
          </cell>
          <cell r="AW391">
            <v>37622</v>
          </cell>
          <cell r="AX391">
            <v>37555</v>
          </cell>
          <cell r="AY391" t="str">
            <v>XX</v>
          </cell>
          <cell r="BA391" t="str">
            <v>1</v>
          </cell>
          <cell r="BB391">
            <v>1</v>
          </cell>
          <cell r="BD391">
            <v>0</v>
          </cell>
          <cell r="BE391" t="str">
            <v>M</v>
          </cell>
          <cell r="BF391" t="str">
            <v>N</v>
          </cell>
          <cell r="BG391">
            <v>1</v>
          </cell>
          <cell r="BH391">
            <v>37073</v>
          </cell>
        </row>
        <row r="392">
          <cell r="A392">
            <v>63599</v>
          </cell>
          <cell r="B392">
            <v>408</v>
          </cell>
          <cell r="C392" t="str">
            <v>C6156</v>
          </cell>
          <cell r="D392" t="str">
            <v>BHAIRI</v>
          </cell>
          <cell r="E392" t="str">
            <v>OMAR</v>
          </cell>
          <cell r="F392">
            <v>19207</v>
          </cell>
          <cell r="G392" t="str">
            <v>1</v>
          </cell>
          <cell r="H392" t="str">
            <v>OULED ABDOUNE</v>
          </cell>
          <cell r="I392" t="str">
            <v>D</v>
          </cell>
          <cell r="J392">
            <v>26515</v>
          </cell>
          <cell r="K392">
            <v>36526</v>
          </cell>
          <cell r="L392" t="str">
            <v>32</v>
          </cell>
          <cell r="M392" t="str">
            <v>A</v>
          </cell>
          <cell r="N392">
            <v>36526</v>
          </cell>
          <cell r="P392">
            <v>30</v>
          </cell>
          <cell r="Q392" t="str">
            <v>O</v>
          </cell>
          <cell r="R392" t="str">
            <v>N</v>
          </cell>
          <cell r="S392">
            <v>0</v>
          </cell>
          <cell r="T392" t="str">
            <v>M</v>
          </cell>
          <cell r="U392" t="str">
            <v>JANAH ZAHRA</v>
          </cell>
          <cell r="X392">
            <v>4</v>
          </cell>
          <cell r="Y392">
            <v>1</v>
          </cell>
          <cell r="AB392" t="str">
            <v>X</v>
          </cell>
          <cell r="AC392" t="str">
            <v>X</v>
          </cell>
          <cell r="AD392" t="str">
            <v>X</v>
          </cell>
          <cell r="AH392" t="str">
            <v>N</v>
          </cell>
          <cell r="AI392" t="str">
            <v>N</v>
          </cell>
          <cell r="AK392" t="str">
            <v>60.RUE 28 DERB HADJ HIRECH KHOURIBGA</v>
          </cell>
          <cell r="AL392" t="str">
            <v>3AS</v>
          </cell>
          <cell r="AP392" t="str">
            <v>Q 18167</v>
          </cell>
          <cell r="AQ392">
            <v>0</v>
          </cell>
          <cell r="AR392" t="str">
            <v>B</v>
          </cell>
          <cell r="AS392" t="str">
            <v>POPULAIRE</v>
          </cell>
          <cell r="AT392" t="str">
            <v>211111282190003</v>
          </cell>
          <cell r="AU392" t="str">
            <v>/  /</v>
          </cell>
          <cell r="AW392">
            <v>38551</v>
          </cell>
          <cell r="AX392">
            <v>38551</v>
          </cell>
          <cell r="AY392" t="str">
            <v>XX</v>
          </cell>
          <cell r="BA392" t="str">
            <v>1</v>
          </cell>
          <cell r="BB392">
            <v>1</v>
          </cell>
          <cell r="BD392">
            <v>0</v>
          </cell>
          <cell r="BE392" t="str">
            <v>M</v>
          </cell>
          <cell r="BF392" t="str">
            <v>N</v>
          </cell>
          <cell r="BG392">
            <v>1</v>
          </cell>
          <cell r="BH392">
            <v>37622</v>
          </cell>
          <cell r="BI392" t="str">
            <v>O</v>
          </cell>
        </row>
        <row r="393">
          <cell r="A393">
            <v>63608</v>
          </cell>
          <cell r="B393">
            <v>408</v>
          </cell>
          <cell r="C393" t="str">
            <v>C6156</v>
          </cell>
          <cell r="D393" t="str">
            <v>OUDAD</v>
          </cell>
          <cell r="E393" t="str">
            <v>MOHAMED</v>
          </cell>
          <cell r="F393">
            <v>19228</v>
          </cell>
          <cell r="G393" t="str">
            <v>1</v>
          </cell>
          <cell r="H393" t="str">
            <v>OULED BHAR KBAR KHOURIBGA</v>
          </cell>
          <cell r="I393" t="str">
            <v>D</v>
          </cell>
          <cell r="J393">
            <v>26518</v>
          </cell>
          <cell r="K393">
            <v>36526</v>
          </cell>
          <cell r="L393" t="str">
            <v>32</v>
          </cell>
          <cell r="M393" t="str">
            <v>A</v>
          </cell>
          <cell r="N393">
            <v>36526</v>
          </cell>
          <cell r="O393">
            <v>0</v>
          </cell>
          <cell r="P393">
            <v>30</v>
          </cell>
          <cell r="Q393" t="str">
            <v>O</v>
          </cell>
          <cell r="R393" t="str">
            <v>N</v>
          </cell>
          <cell r="S393">
            <v>0</v>
          </cell>
          <cell r="T393" t="str">
            <v>M</v>
          </cell>
          <cell r="U393" t="str">
            <v>FATIMA BENT OTMANE</v>
          </cell>
          <cell r="X393">
            <v>8</v>
          </cell>
          <cell r="Y393">
            <v>5</v>
          </cell>
          <cell r="AB393" t="str">
            <v>X</v>
          </cell>
          <cell r="AC393" t="str">
            <v>X</v>
          </cell>
          <cell r="AD393" t="str">
            <v>X</v>
          </cell>
          <cell r="AH393" t="str">
            <v>N</v>
          </cell>
          <cell r="AI393" t="str">
            <v>O</v>
          </cell>
          <cell r="AK393" t="str">
            <v>599 DERB 3 - BOUJNIBA</v>
          </cell>
          <cell r="AL393" t="str">
            <v>CM2</v>
          </cell>
          <cell r="AP393" t="str">
            <v>Q 13848</v>
          </cell>
          <cell r="AQ393">
            <v>0</v>
          </cell>
          <cell r="AR393" t="str">
            <v>B</v>
          </cell>
          <cell r="AS393" t="str">
            <v>B.M.C.E - KHGA</v>
          </cell>
          <cell r="AT393" t="str">
            <v>40001200000903321</v>
          </cell>
          <cell r="AU393" t="str">
            <v>/  /</v>
          </cell>
          <cell r="AW393">
            <v>37438</v>
          </cell>
          <cell r="AY393" t="str">
            <v>XX</v>
          </cell>
          <cell r="BA393" t="str">
            <v>1</v>
          </cell>
          <cell r="BB393">
            <v>1</v>
          </cell>
          <cell r="BD393">
            <v>0</v>
          </cell>
          <cell r="BE393" t="str">
            <v>M</v>
          </cell>
          <cell r="BF393" t="str">
            <v>N</v>
          </cell>
          <cell r="BG393">
            <v>50</v>
          </cell>
          <cell r="BH393">
            <v>37622</v>
          </cell>
          <cell r="BI393" t="str">
            <v>O</v>
          </cell>
        </row>
        <row r="394">
          <cell r="A394">
            <v>64148</v>
          </cell>
          <cell r="B394">
            <v>409</v>
          </cell>
          <cell r="C394" t="str">
            <v>C7002</v>
          </cell>
          <cell r="D394" t="str">
            <v>RAGOUB</v>
          </cell>
          <cell r="E394" t="str">
            <v>MUSTAPHA</v>
          </cell>
          <cell r="F394">
            <v>18775</v>
          </cell>
          <cell r="H394" t="str">
            <v>CASABLANCA</v>
          </cell>
          <cell r="I394" t="str">
            <v>D</v>
          </cell>
          <cell r="J394">
            <v>28984</v>
          </cell>
          <cell r="K394">
            <v>36526</v>
          </cell>
          <cell r="L394" t="str">
            <v>33</v>
          </cell>
          <cell r="M394" t="str">
            <v>A</v>
          </cell>
          <cell r="N394">
            <v>36526</v>
          </cell>
          <cell r="P394">
            <v>23</v>
          </cell>
          <cell r="Q394" t="str">
            <v>O</v>
          </cell>
          <cell r="R394" t="str">
            <v>N</v>
          </cell>
          <cell r="S394">
            <v>0</v>
          </cell>
          <cell r="T394" t="str">
            <v>M</v>
          </cell>
          <cell r="U394" t="str">
            <v>FATNA BENT MOHAMED</v>
          </cell>
          <cell r="X394">
            <v>7</v>
          </cell>
          <cell r="Y394">
            <v>2</v>
          </cell>
          <cell r="AB394" t="str">
            <v>X</v>
          </cell>
          <cell r="AC394" t="str">
            <v>X</v>
          </cell>
          <cell r="AD394" t="str">
            <v>X</v>
          </cell>
          <cell r="AH394" t="str">
            <v>N</v>
          </cell>
          <cell r="AI394" t="str">
            <v>N</v>
          </cell>
          <cell r="AK394" t="str">
            <v>11 NVX LOGEMENTS - KHGA</v>
          </cell>
          <cell r="AL394" t="str">
            <v>3AS</v>
          </cell>
          <cell r="AM394" t="str">
            <v>CET.</v>
          </cell>
          <cell r="AP394" t="str">
            <v>B 618666</v>
          </cell>
          <cell r="AQ394">
            <v>0</v>
          </cell>
          <cell r="AR394" t="str">
            <v>B</v>
          </cell>
          <cell r="AS394" t="str">
            <v>B.M.C.E  KHGA</v>
          </cell>
          <cell r="AT394" t="str">
            <v>40001200000854142</v>
          </cell>
          <cell r="AU394" t="str">
            <v>/  /</v>
          </cell>
          <cell r="AW394">
            <v>38718</v>
          </cell>
          <cell r="AY394" t="str">
            <v>XX</v>
          </cell>
          <cell r="AZ394" t="str">
            <v>R</v>
          </cell>
          <cell r="BA394" t="str">
            <v>2</v>
          </cell>
          <cell r="BB394">
            <v>1</v>
          </cell>
          <cell r="BD394">
            <v>0</v>
          </cell>
          <cell r="BE394" t="str">
            <v>M</v>
          </cell>
          <cell r="BF394" t="str">
            <v>N</v>
          </cell>
          <cell r="BG394">
            <v>1</v>
          </cell>
          <cell r="BH394">
            <v>38718</v>
          </cell>
        </row>
        <row r="395">
          <cell r="A395">
            <v>64560</v>
          </cell>
          <cell r="B395">
            <v>409</v>
          </cell>
          <cell r="C395" t="str">
            <v>C4002</v>
          </cell>
          <cell r="D395" t="str">
            <v>EL RHAZ</v>
          </cell>
          <cell r="E395" t="str">
            <v>AHMED</v>
          </cell>
          <cell r="F395">
            <v>19175</v>
          </cell>
          <cell r="G395" t="str">
            <v>1</v>
          </cell>
          <cell r="H395" t="str">
            <v>OULED BHAR KBAR KHOURIBGA</v>
          </cell>
          <cell r="I395" t="str">
            <v>D</v>
          </cell>
          <cell r="J395">
            <v>26838</v>
          </cell>
          <cell r="K395">
            <v>36526</v>
          </cell>
          <cell r="L395" t="str">
            <v>22</v>
          </cell>
          <cell r="M395" t="str">
            <v>B</v>
          </cell>
          <cell r="N395">
            <v>36526</v>
          </cell>
          <cell r="O395">
            <v>0</v>
          </cell>
          <cell r="P395">
            <v>29</v>
          </cell>
          <cell r="Q395" t="str">
            <v>O</v>
          </cell>
          <cell r="R395" t="str">
            <v>N</v>
          </cell>
          <cell r="S395">
            <v>0</v>
          </cell>
          <cell r="T395" t="str">
            <v>M</v>
          </cell>
          <cell r="U395" t="str">
            <v>BENKACEM SAADIA</v>
          </cell>
          <cell r="X395">
            <v>6</v>
          </cell>
          <cell r="Y395">
            <v>1</v>
          </cell>
          <cell r="AB395" t="str">
            <v>X</v>
          </cell>
          <cell r="AC395" t="str">
            <v>X</v>
          </cell>
          <cell r="AD395" t="str">
            <v>X</v>
          </cell>
          <cell r="AH395" t="str">
            <v>N</v>
          </cell>
          <cell r="AI395" t="str">
            <v>N</v>
          </cell>
          <cell r="AK395" t="str">
            <v>530 QODS-1  KHOURIBGA</v>
          </cell>
          <cell r="AL395" t="str">
            <v>1AS</v>
          </cell>
          <cell r="AN395" t="str">
            <v>49═73═08</v>
          </cell>
          <cell r="AP395" t="str">
            <v>Q 10503</v>
          </cell>
          <cell r="AQ395">
            <v>0</v>
          </cell>
          <cell r="AR395" t="str">
            <v>B</v>
          </cell>
          <cell r="AS395" t="str">
            <v>C I H KHGA</v>
          </cell>
          <cell r="AT395" t="str">
            <v>7290844211004700</v>
          </cell>
          <cell r="AU395" t="str">
            <v>/  /</v>
          </cell>
          <cell r="AW395">
            <v>37438</v>
          </cell>
          <cell r="AY395" t="str">
            <v>XX</v>
          </cell>
          <cell r="BA395" t="str">
            <v>2</v>
          </cell>
          <cell r="BB395">
            <v>1</v>
          </cell>
          <cell r="BD395">
            <v>0</v>
          </cell>
          <cell r="BE395" t="str">
            <v>M</v>
          </cell>
          <cell r="BF395" t="str">
            <v>N</v>
          </cell>
          <cell r="BG395">
            <v>1</v>
          </cell>
          <cell r="BH395">
            <v>37438</v>
          </cell>
          <cell r="BI395" t="str">
            <v>O</v>
          </cell>
        </row>
        <row r="396">
          <cell r="A396">
            <v>64856</v>
          </cell>
          <cell r="B396">
            <v>411</v>
          </cell>
          <cell r="C396" t="str">
            <v>C5001</v>
          </cell>
          <cell r="D396" t="str">
            <v>MOAARAF</v>
          </cell>
          <cell r="E396" t="str">
            <v>MOHAMED</v>
          </cell>
          <cell r="F396">
            <v>19540</v>
          </cell>
          <cell r="H396" t="str">
            <v>MAARIF - SETTAT</v>
          </cell>
          <cell r="I396" t="str">
            <v>D</v>
          </cell>
          <cell r="J396">
            <v>26919</v>
          </cell>
          <cell r="K396">
            <v>31625</v>
          </cell>
          <cell r="L396" t="str">
            <v>31</v>
          </cell>
          <cell r="M396" t="str">
            <v>D</v>
          </cell>
          <cell r="N396">
            <v>35612</v>
          </cell>
          <cell r="O396">
            <v>0</v>
          </cell>
          <cell r="P396">
            <v>29</v>
          </cell>
          <cell r="Q396" t="str">
            <v>O</v>
          </cell>
          <cell r="R396" t="str">
            <v>N</v>
          </cell>
          <cell r="S396">
            <v>0</v>
          </cell>
          <cell r="T396" t="str">
            <v>M</v>
          </cell>
          <cell r="U396" t="str">
            <v>ZOHRA BENT EL MADANI</v>
          </cell>
          <cell r="X396">
            <v>8</v>
          </cell>
          <cell r="Y396">
            <v>4</v>
          </cell>
          <cell r="AB396" t="str">
            <v>X</v>
          </cell>
          <cell r="AC396" t="str">
            <v>X</v>
          </cell>
          <cell r="AD396" t="str">
            <v>X</v>
          </cell>
          <cell r="AH396" t="str">
            <v>N</v>
          </cell>
          <cell r="AI396" t="str">
            <v>N</v>
          </cell>
          <cell r="AK396" t="str">
            <v>276 VILLAGE OCP - BOULANOIR</v>
          </cell>
          <cell r="AL396" t="str">
            <v>4AS</v>
          </cell>
          <cell r="AM396" t="str">
            <v>CFO</v>
          </cell>
          <cell r="AP396" t="str">
            <v>Q 39812</v>
          </cell>
          <cell r="AQ396">
            <v>0</v>
          </cell>
          <cell r="AR396" t="str">
            <v>B</v>
          </cell>
          <cell r="AS396" t="str">
            <v>WAFA BANQUE KHGA</v>
          </cell>
          <cell r="AT396" t="str">
            <v>1220301434962</v>
          </cell>
          <cell r="AU396" t="str">
            <v>/  /</v>
          </cell>
          <cell r="AW396">
            <v>37803</v>
          </cell>
          <cell r="AY396" t="str">
            <v>XX</v>
          </cell>
          <cell r="BA396" t="str">
            <v>6</v>
          </cell>
          <cell r="BB396">
            <v>1</v>
          </cell>
          <cell r="BD396">
            <v>0</v>
          </cell>
          <cell r="BE396" t="str">
            <v>M</v>
          </cell>
          <cell r="BF396" t="str">
            <v>N</v>
          </cell>
          <cell r="BG396">
            <v>40</v>
          </cell>
          <cell r="BH396">
            <v>37803</v>
          </cell>
        </row>
        <row r="397">
          <cell r="A397">
            <v>65407</v>
          </cell>
          <cell r="B397">
            <v>409</v>
          </cell>
          <cell r="C397" t="str">
            <v>C3152</v>
          </cell>
          <cell r="D397" t="str">
            <v>MELLATI</v>
          </cell>
          <cell r="E397" t="str">
            <v>EL MOULOUDI</v>
          </cell>
          <cell r="F397">
            <v>19540</v>
          </cell>
          <cell r="G397" t="str">
            <v>2</v>
          </cell>
          <cell r="H397" t="str">
            <v>DOUAR OULED CHAREF SMAALA</v>
          </cell>
          <cell r="I397" t="str">
            <v>D</v>
          </cell>
          <cell r="J397">
            <v>27095</v>
          </cell>
          <cell r="K397">
            <v>35886</v>
          </cell>
          <cell r="L397" t="str">
            <v>21</v>
          </cell>
          <cell r="M397" t="str">
            <v>D</v>
          </cell>
          <cell r="N397">
            <v>35886</v>
          </cell>
          <cell r="P397">
            <v>29</v>
          </cell>
          <cell r="Q397" t="str">
            <v>O</v>
          </cell>
          <cell r="R397" t="str">
            <v>N</v>
          </cell>
          <cell r="S397">
            <v>0</v>
          </cell>
          <cell r="T397" t="str">
            <v>M</v>
          </cell>
          <cell r="U397" t="str">
            <v>NAIMA BENT ABDELKADER</v>
          </cell>
          <cell r="X397">
            <v>3</v>
          </cell>
          <cell r="Y397">
            <v>1</v>
          </cell>
          <cell r="AB397" t="str">
            <v>X</v>
          </cell>
          <cell r="AC397" t="str">
            <v>X</v>
          </cell>
          <cell r="AD397" t="str">
            <v>X</v>
          </cell>
          <cell r="AH397" t="str">
            <v>N</v>
          </cell>
          <cell r="AI397" t="str">
            <v>N</v>
          </cell>
          <cell r="AK397" t="str">
            <v>92 RUE ERRACHIDIA HAY TAKADOUM KHGA</v>
          </cell>
          <cell r="AL397" t="str">
            <v>CEP</v>
          </cell>
          <cell r="AP397" t="str">
            <v>Q 34794</v>
          </cell>
          <cell r="AQ397">
            <v>0</v>
          </cell>
          <cell r="AR397" t="str">
            <v>B</v>
          </cell>
          <cell r="AS397" t="str">
            <v>C.I.H  KHGA</v>
          </cell>
          <cell r="AT397" t="str">
            <v>7939762211004700</v>
          </cell>
          <cell r="AU397" t="str">
            <v>/  /</v>
          </cell>
          <cell r="AW397">
            <v>37803</v>
          </cell>
          <cell r="AY397" t="str">
            <v>XX</v>
          </cell>
          <cell r="BA397" t="str">
            <v>1</v>
          </cell>
          <cell r="BB397">
            <v>1</v>
          </cell>
          <cell r="BD397">
            <v>0</v>
          </cell>
          <cell r="BE397" t="str">
            <v>M</v>
          </cell>
          <cell r="BF397" t="str">
            <v>N</v>
          </cell>
          <cell r="BG397">
            <v>1</v>
          </cell>
          <cell r="BH397">
            <v>37803</v>
          </cell>
          <cell r="BI397" t="str">
            <v>O</v>
          </cell>
        </row>
        <row r="398">
          <cell r="A398">
            <v>65417</v>
          </cell>
          <cell r="B398">
            <v>409</v>
          </cell>
          <cell r="C398" t="str">
            <v>C7001</v>
          </cell>
          <cell r="D398" t="str">
            <v>CHAIR</v>
          </cell>
          <cell r="E398" t="str">
            <v>MOHAMMED</v>
          </cell>
          <cell r="F398">
            <v>19540</v>
          </cell>
          <cell r="H398" t="str">
            <v>CASABLANCA</v>
          </cell>
          <cell r="I398" t="str">
            <v>D</v>
          </cell>
          <cell r="J398">
            <v>27096</v>
          </cell>
          <cell r="K398">
            <v>33573</v>
          </cell>
          <cell r="L398" t="str">
            <v>33</v>
          </cell>
          <cell r="M398" t="str">
            <v>B</v>
          </cell>
          <cell r="N398">
            <v>35612</v>
          </cell>
          <cell r="P398">
            <v>29</v>
          </cell>
          <cell r="Q398" t="str">
            <v>O</v>
          </cell>
          <cell r="R398" t="str">
            <v>N</v>
          </cell>
          <cell r="S398">
            <v>0</v>
          </cell>
          <cell r="T398" t="str">
            <v>M</v>
          </cell>
          <cell r="U398" t="str">
            <v>EL MILOUDIA BENT ABDESLAM</v>
          </cell>
          <cell r="X398">
            <v>5</v>
          </cell>
          <cell r="Y398">
            <v>2</v>
          </cell>
          <cell r="AB398" t="str">
            <v>X</v>
          </cell>
          <cell r="AC398" t="str">
            <v>X</v>
          </cell>
          <cell r="AD398" t="str">
            <v>X</v>
          </cell>
          <cell r="AH398" t="str">
            <v>N</v>
          </cell>
          <cell r="AI398" t="str">
            <v>N</v>
          </cell>
          <cell r="AK398" t="str">
            <v>85 AHMED RGUIBI BLOC A MASSIRA KHGA</v>
          </cell>
          <cell r="AL398" t="str">
            <v>3AS</v>
          </cell>
          <cell r="AM398" t="str">
            <v>CFO</v>
          </cell>
          <cell r="AN398" t="str">
            <v>49═91═62</v>
          </cell>
          <cell r="AP398" t="str">
            <v>Q 35739</v>
          </cell>
          <cell r="AQ398">
            <v>0</v>
          </cell>
          <cell r="AR398" t="str">
            <v>B</v>
          </cell>
          <cell r="AS398" t="str">
            <v>CIH KHGA</v>
          </cell>
          <cell r="AT398" t="str">
            <v>7931264213004700</v>
          </cell>
          <cell r="AU398" t="str">
            <v>/  /</v>
          </cell>
          <cell r="AW398">
            <v>37803</v>
          </cell>
          <cell r="AY398" t="str">
            <v>XX</v>
          </cell>
          <cell r="AZ398" t="str">
            <v>M</v>
          </cell>
          <cell r="BA398" t="str">
            <v>2</v>
          </cell>
          <cell r="BB398">
            <v>1</v>
          </cell>
          <cell r="BD398">
            <v>0</v>
          </cell>
          <cell r="BE398" t="str">
            <v>M</v>
          </cell>
          <cell r="BF398" t="str">
            <v>N</v>
          </cell>
          <cell r="BG398">
            <v>1</v>
          </cell>
          <cell r="BH398">
            <v>37803</v>
          </cell>
        </row>
        <row r="399">
          <cell r="A399">
            <v>67582</v>
          </cell>
          <cell r="B399">
            <v>409</v>
          </cell>
          <cell r="C399" t="str">
            <v>C3001</v>
          </cell>
          <cell r="D399" t="str">
            <v>OUARRAK</v>
          </cell>
          <cell r="E399" t="str">
            <v>DAHMANE</v>
          </cell>
          <cell r="F399">
            <v>20270</v>
          </cell>
          <cell r="G399" t="str">
            <v>1</v>
          </cell>
          <cell r="H399" t="str">
            <v>OULED BHAR KBAR KHOURIBGA</v>
          </cell>
          <cell r="I399" t="str">
            <v>D</v>
          </cell>
          <cell r="J399">
            <v>27488</v>
          </cell>
          <cell r="K399">
            <v>36281</v>
          </cell>
          <cell r="L399" t="str">
            <v>21</v>
          </cell>
          <cell r="M399" t="str">
            <v>B</v>
          </cell>
          <cell r="N399">
            <v>36281</v>
          </cell>
          <cell r="P399">
            <v>28</v>
          </cell>
          <cell r="Q399" t="str">
            <v>O</v>
          </cell>
          <cell r="R399" t="str">
            <v>N</v>
          </cell>
          <cell r="S399">
            <v>0</v>
          </cell>
          <cell r="T399" t="str">
            <v>M</v>
          </cell>
          <cell r="U399" t="str">
            <v>CHARKAOUI ZAHRA BT ABDELAZIZ</v>
          </cell>
          <cell r="X399">
            <v>4</v>
          </cell>
          <cell r="Y399">
            <v>4</v>
          </cell>
          <cell r="AB399" t="str">
            <v>X</v>
          </cell>
          <cell r="AC399" t="str">
            <v>X</v>
          </cell>
          <cell r="AD399" t="str">
            <v>X</v>
          </cell>
          <cell r="AH399" t="str">
            <v>N</v>
          </cell>
          <cell r="AI399" t="str">
            <v>N</v>
          </cell>
          <cell r="AK399" t="str">
            <v>279.NOUVELLE COSTRUCTION BOUJNIBA</v>
          </cell>
          <cell r="AL399" t="str">
            <v>3AS</v>
          </cell>
          <cell r="AP399" t="str">
            <v>Q 36501</v>
          </cell>
          <cell r="AQ399">
            <v>0</v>
          </cell>
          <cell r="AR399" t="str">
            <v>B</v>
          </cell>
          <cell r="AS399" t="str">
            <v>BCM KHGA</v>
          </cell>
          <cell r="AT399" t="str">
            <v>097C30314321110</v>
          </cell>
          <cell r="AU399" t="str">
            <v>/  /</v>
          </cell>
          <cell r="AW399">
            <v>38534</v>
          </cell>
          <cell r="AY399" t="str">
            <v>XX</v>
          </cell>
          <cell r="BA399" t="str">
            <v>2</v>
          </cell>
          <cell r="BB399">
            <v>1</v>
          </cell>
          <cell r="BD399">
            <v>0</v>
          </cell>
          <cell r="BE399" t="str">
            <v>M</v>
          </cell>
          <cell r="BF399" t="str">
            <v>N</v>
          </cell>
          <cell r="BG399">
            <v>50</v>
          </cell>
          <cell r="BH399">
            <v>38534</v>
          </cell>
        </row>
        <row r="400">
          <cell r="A400">
            <v>68327</v>
          </cell>
          <cell r="B400">
            <v>409</v>
          </cell>
          <cell r="C400" t="str">
            <v>C7001</v>
          </cell>
          <cell r="D400" t="str">
            <v>ARABI</v>
          </cell>
          <cell r="E400" t="str">
            <v>EL MOSTAFA</v>
          </cell>
          <cell r="F400">
            <v>21001</v>
          </cell>
          <cell r="G400" t="str">
            <v>1</v>
          </cell>
          <cell r="H400" t="str">
            <v>OULED BHAR KBAR KHOURIBGA</v>
          </cell>
          <cell r="I400" t="str">
            <v>D</v>
          </cell>
          <cell r="J400">
            <v>27806</v>
          </cell>
          <cell r="K400">
            <v>36526</v>
          </cell>
          <cell r="L400" t="str">
            <v>33</v>
          </cell>
          <cell r="M400" t="str">
            <v>A</v>
          </cell>
          <cell r="N400">
            <v>36526</v>
          </cell>
          <cell r="P400">
            <v>28</v>
          </cell>
          <cell r="Q400" t="str">
            <v>O</v>
          </cell>
          <cell r="R400" t="str">
            <v>N</v>
          </cell>
          <cell r="S400">
            <v>0</v>
          </cell>
          <cell r="T400" t="str">
            <v>M</v>
          </cell>
          <cell r="U400" t="str">
            <v>SAMIRA BENT BOUABID</v>
          </cell>
          <cell r="X400">
            <v>1</v>
          </cell>
          <cell r="Y400">
            <v>1</v>
          </cell>
          <cell r="AB400" t="str">
            <v>N</v>
          </cell>
          <cell r="AC400" t="str">
            <v>X</v>
          </cell>
          <cell r="AD400" t="str">
            <v>X</v>
          </cell>
          <cell r="AH400" t="str">
            <v>N</v>
          </cell>
          <cell r="AI400" t="str">
            <v>N</v>
          </cell>
          <cell r="AK400" t="str">
            <v>191 AHMED RGUIBI ELMASSIRA KHGA</v>
          </cell>
          <cell r="AL400" t="str">
            <v>CM2</v>
          </cell>
          <cell r="AM400" t="str">
            <v>CFO</v>
          </cell>
          <cell r="AP400" t="str">
            <v>Q 78615</v>
          </cell>
          <cell r="AQ400">
            <v>0</v>
          </cell>
          <cell r="AR400" t="str">
            <v>B</v>
          </cell>
          <cell r="AS400" t="str">
            <v>S.G.M.B  KHGA</v>
          </cell>
          <cell r="AT400" t="str">
            <v>670009101137</v>
          </cell>
          <cell r="AU400" t="str">
            <v>/  /</v>
          </cell>
          <cell r="AW400">
            <v>39264</v>
          </cell>
          <cell r="AZ400" t="str">
            <v>K</v>
          </cell>
          <cell r="BA400" t="str">
            <v>2</v>
          </cell>
          <cell r="BB400">
            <v>1</v>
          </cell>
          <cell r="BD400">
            <v>0</v>
          </cell>
          <cell r="BE400" t="str">
            <v>M</v>
          </cell>
          <cell r="BF400" t="str">
            <v>N</v>
          </cell>
          <cell r="BG400">
            <v>1</v>
          </cell>
          <cell r="BH400">
            <v>39264</v>
          </cell>
          <cell r="BI400" t="str">
            <v>O</v>
          </cell>
        </row>
        <row r="401">
          <cell r="A401">
            <v>68511</v>
          </cell>
          <cell r="B401">
            <v>409</v>
          </cell>
          <cell r="C401" t="str">
            <v>C7002</v>
          </cell>
          <cell r="D401" t="str">
            <v>MOUSTACHFA</v>
          </cell>
          <cell r="E401" t="str">
            <v>IZ-ELARAB</v>
          </cell>
          <cell r="F401">
            <v>20420</v>
          </cell>
          <cell r="H401" t="str">
            <v>FES</v>
          </cell>
          <cell r="I401" t="str">
            <v>F</v>
          </cell>
          <cell r="J401">
            <v>27879</v>
          </cell>
          <cell r="K401">
            <v>36526</v>
          </cell>
          <cell r="L401" t="str">
            <v>33</v>
          </cell>
          <cell r="M401" t="str">
            <v>A</v>
          </cell>
          <cell r="N401">
            <v>36526</v>
          </cell>
          <cell r="P401">
            <v>27</v>
          </cell>
          <cell r="Q401" t="str">
            <v>O</v>
          </cell>
          <cell r="R401" t="str">
            <v>N</v>
          </cell>
          <cell r="S401">
            <v>0</v>
          </cell>
          <cell r="T401" t="str">
            <v>M</v>
          </cell>
          <cell r="U401" t="str">
            <v>NAKHLA NAIMA</v>
          </cell>
          <cell r="X401">
            <v>3</v>
          </cell>
          <cell r="Y401">
            <v>3</v>
          </cell>
          <cell r="AB401" t="str">
            <v>X</v>
          </cell>
          <cell r="AC401" t="str">
            <v>X</v>
          </cell>
          <cell r="AD401" t="str">
            <v>X</v>
          </cell>
          <cell r="AH401" t="str">
            <v>N</v>
          </cell>
          <cell r="AI401" t="str">
            <v>N</v>
          </cell>
          <cell r="AK401" t="str">
            <v>5 VILLAGE OCP - BOULANOIR</v>
          </cell>
          <cell r="AL401" t="str">
            <v>4AS</v>
          </cell>
          <cell r="AM401" t="str">
            <v>CFP.CFO</v>
          </cell>
          <cell r="AP401" t="str">
            <v>C 9214</v>
          </cell>
          <cell r="AQ401">
            <v>0</v>
          </cell>
          <cell r="AR401" t="str">
            <v>B</v>
          </cell>
          <cell r="AS401" t="str">
            <v>BMCE - KHGA</v>
          </cell>
          <cell r="AT401" t="str">
            <v>40001200001240396</v>
          </cell>
          <cell r="AU401" t="str">
            <v>/  /</v>
          </cell>
          <cell r="AW401">
            <v>38718</v>
          </cell>
          <cell r="AY401" t="str">
            <v>XX</v>
          </cell>
          <cell r="BA401" t="str">
            <v>2</v>
          </cell>
          <cell r="BB401">
            <v>1</v>
          </cell>
          <cell r="BD401">
            <v>0</v>
          </cell>
          <cell r="BE401" t="str">
            <v>M</v>
          </cell>
          <cell r="BF401" t="str">
            <v>N</v>
          </cell>
          <cell r="BG401">
            <v>40</v>
          </cell>
          <cell r="BH401">
            <v>38718</v>
          </cell>
        </row>
        <row r="402">
          <cell r="A402">
            <v>70270</v>
          </cell>
          <cell r="B402">
            <v>409</v>
          </cell>
          <cell r="C402" t="str">
            <v>C7009</v>
          </cell>
          <cell r="D402" t="str">
            <v>LAKHAL</v>
          </cell>
          <cell r="E402" t="str">
            <v>AHMED</v>
          </cell>
          <cell r="F402">
            <v>18079</v>
          </cell>
          <cell r="H402" t="str">
            <v>SIDI SLIMANE</v>
          </cell>
          <cell r="I402" t="str">
            <v>F</v>
          </cell>
          <cell r="J402">
            <v>28504</v>
          </cell>
          <cell r="K402">
            <v>30133</v>
          </cell>
          <cell r="L402" t="str">
            <v>33</v>
          </cell>
          <cell r="M402" t="str">
            <v>D</v>
          </cell>
          <cell r="N402">
            <v>35612</v>
          </cell>
          <cell r="P402">
            <v>25</v>
          </cell>
          <cell r="Q402" t="str">
            <v>O</v>
          </cell>
          <cell r="R402" t="str">
            <v>N</v>
          </cell>
          <cell r="S402">
            <v>0</v>
          </cell>
          <cell r="T402" t="str">
            <v>D</v>
          </cell>
          <cell r="X402">
            <v>3</v>
          </cell>
          <cell r="Y402">
            <v>3</v>
          </cell>
          <cell r="AB402" t="str">
            <v>X</v>
          </cell>
          <cell r="AC402" t="str">
            <v>X</v>
          </cell>
          <cell r="AD402" t="str">
            <v>X</v>
          </cell>
          <cell r="AH402" t="str">
            <v>N</v>
          </cell>
          <cell r="AI402" t="str">
            <v>N</v>
          </cell>
          <cell r="AK402" t="str">
            <v>270 BLOC N NX LOGEMENT DE SECHAGE - KHGA</v>
          </cell>
          <cell r="AL402" t="str">
            <v>4AS</v>
          </cell>
          <cell r="AM402" t="str">
            <v>CES.CFP.CFO</v>
          </cell>
          <cell r="AN402" t="str">
            <v>49═32═64</v>
          </cell>
          <cell r="AP402" t="str">
            <v>G 2280</v>
          </cell>
          <cell r="AQ402">
            <v>0</v>
          </cell>
          <cell r="AR402" t="str">
            <v>B</v>
          </cell>
          <cell r="AS402" t="str">
            <v>POPULAIRE.KHGA</v>
          </cell>
          <cell r="AT402" t="str">
            <v>2111112772520008</v>
          </cell>
          <cell r="AU402" t="str">
            <v>/  /</v>
          </cell>
          <cell r="AW402">
            <v>38169</v>
          </cell>
          <cell r="AY402" t="str">
            <v>XX</v>
          </cell>
          <cell r="AZ402" t="str">
            <v>M</v>
          </cell>
          <cell r="BA402" t="str">
            <v>2</v>
          </cell>
          <cell r="BB402">
            <v>1</v>
          </cell>
          <cell r="BD402">
            <v>0</v>
          </cell>
          <cell r="BE402" t="str">
            <v>M</v>
          </cell>
          <cell r="BF402" t="str">
            <v>N</v>
          </cell>
          <cell r="BG402">
            <v>1</v>
          </cell>
          <cell r="BH402">
            <v>38169</v>
          </cell>
        </row>
        <row r="403">
          <cell r="A403">
            <v>70507</v>
          </cell>
          <cell r="B403">
            <v>409</v>
          </cell>
          <cell r="C403" t="str">
            <v>C3001</v>
          </cell>
          <cell r="D403" t="str">
            <v>DRIOUICH</v>
          </cell>
          <cell r="E403" t="str">
            <v>AHMED</v>
          </cell>
          <cell r="F403">
            <v>17714</v>
          </cell>
          <cell r="H403" t="str">
            <v>LOULAD - SETTAT</v>
          </cell>
          <cell r="I403" t="str">
            <v>D</v>
          </cell>
          <cell r="J403">
            <v>28595</v>
          </cell>
          <cell r="K403">
            <v>36526</v>
          </cell>
          <cell r="L403" t="str">
            <v>21</v>
          </cell>
          <cell r="M403" t="str">
            <v>C</v>
          </cell>
          <cell r="N403">
            <v>36526</v>
          </cell>
          <cell r="P403">
            <v>25</v>
          </cell>
          <cell r="Q403" t="str">
            <v>O</v>
          </cell>
          <cell r="R403" t="str">
            <v>N</v>
          </cell>
          <cell r="S403">
            <v>0</v>
          </cell>
          <cell r="T403" t="str">
            <v>M</v>
          </cell>
          <cell r="U403" t="str">
            <v>HADDA BENT LEMFADDEL</v>
          </cell>
          <cell r="X403">
            <v>5</v>
          </cell>
          <cell r="Y403">
            <v>1</v>
          </cell>
          <cell r="AB403" t="str">
            <v>X</v>
          </cell>
          <cell r="AC403" t="str">
            <v>X</v>
          </cell>
          <cell r="AD403" t="str">
            <v>X</v>
          </cell>
          <cell r="AH403" t="str">
            <v>N</v>
          </cell>
          <cell r="AI403" t="str">
            <v>N</v>
          </cell>
          <cell r="AK403" t="str">
            <v>1490 HAY EL AMAL ERAC - KHOURIBGA</v>
          </cell>
          <cell r="AL403" t="str">
            <v>3AS</v>
          </cell>
          <cell r="AP403" t="str">
            <v>B 349219</v>
          </cell>
          <cell r="AQ403">
            <v>0</v>
          </cell>
          <cell r="AR403" t="str">
            <v>C</v>
          </cell>
          <cell r="AU403" t="str">
            <v>/  /</v>
          </cell>
          <cell r="AW403">
            <v>37803</v>
          </cell>
          <cell r="AY403" t="str">
            <v>XX</v>
          </cell>
          <cell r="BA403" t="str">
            <v>2</v>
          </cell>
          <cell r="BB403">
            <v>1</v>
          </cell>
          <cell r="BD403">
            <v>0</v>
          </cell>
          <cell r="BE403" t="str">
            <v>M</v>
          </cell>
          <cell r="BF403" t="str">
            <v>N</v>
          </cell>
          <cell r="BG403">
            <v>1</v>
          </cell>
          <cell r="BH403">
            <v>37803</v>
          </cell>
          <cell r="BI403" t="str">
            <v>O</v>
          </cell>
        </row>
        <row r="404">
          <cell r="A404">
            <v>70574</v>
          </cell>
          <cell r="B404">
            <v>409</v>
          </cell>
          <cell r="C404" t="str">
            <v>C3002</v>
          </cell>
          <cell r="D404" t="str">
            <v>EL KHARBOUCHI</v>
          </cell>
          <cell r="E404" t="str">
            <v>MOHAMMED</v>
          </cell>
          <cell r="F404">
            <v>18809</v>
          </cell>
          <cell r="G404" t="str">
            <v>1</v>
          </cell>
          <cell r="H404" t="str">
            <v>OULED BHAR KBAR KHOURIBGA</v>
          </cell>
          <cell r="I404" t="str">
            <v>D</v>
          </cell>
          <cell r="J404">
            <v>28618</v>
          </cell>
          <cell r="K404">
            <v>36526</v>
          </cell>
          <cell r="L404" t="str">
            <v>21</v>
          </cell>
          <cell r="M404" t="str">
            <v>A</v>
          </cell>
          <cell r="N404">
            <v>36526</v>
          </cell>
          <cell r="P404">
            <v>24</v>
          </cell>
          <cell r="Q404" t="str">
            <v>O</v>
          </cell>
          <cell r="R404" t="str">
            <v>N</v>
          </cell>
          <cell r="S404">
            <v>0</v>
          </cell>
          <cell r="T404" t="str">
            <v>M</v>
          </cell>
          <cell r="U404" t="str">
            <v>FATNA BENT BOUAZZA</v>
          </cell>
          <cell r="X404">
            <v>4</v>
          </cell>
          <cell r="Y404">
            <v>3</v>
          </cell>
          <cell r="AB404" t="str">
            <v>X</v>
          </cell>
          <cell r="AC404" t="str">
            <v>X</v>
          </cell>
          <cell r="AD404" t="str">
            <v>X</v>
          </cell>
          <cell r="AH404" t="str">
            <v>N</v>
          </cell>
          <cell r="AI404" t="str">
            <v>N</v>
          </cell>
          <cell r="AK404" t="str">
            <v>413. DERB 4 - BOUJNIBA</v>
          </cell>
          <cell r="AL404" t="str">
            <v>ILLETTRE</v>
          </cell>
          <cell r="AP404" t="str">
            <v>Q 20334</v>
          </cell>
          <cell r="AQ404">
            <v>0</v>
          </cell>
          <cell r="AR404" t="str">
            <v>B</v>
          </cell>
          <cell r="AS404" t="str">
            <v>POPULAIRE.KHGA</v>
          </cell>
          <cell r="AT404" t="str">
            <v>2111112875030004</v>
          </cell>
          <cell r="AU404" t="str">
            <v>/  /</v>
          </cell>
          <cell r="AW404">
            <v>38353</v>
          </cell>
          <cell r="AY404" t="str">
            <v>XX</v>
          </cell>
          <cell r="BA404" t="str">
            <v>2</v>
          </cell>
          <cell r="BB404">
            <v>1</v>
          </cell>
          <cell r="BD404">
            <v>0</v>
          </cell>
          <cell r="BE404" t="str">
            <v>M</v>
          </cell>
          <cell r="BF404" t="str">
            <v>N</v>
          </cell>
          <cell r="BG404">
            <v>50</v>
          </cell>
          <cell r="BH404">
            <v>38353</v>
          </cell>
          <cell r="BI404" t="str">
            <v>O</v>
          </cell>
        </row>
        <row r="405">
          <cell r="A405">
            <v>71233</v>
          </cell>
          <cell r="B405">
            <v>409</v>
          </cell>
          <cell r="C405" t="str">
            <v>C5002</v>
          </cell>
          <cell r="D405" t="str">
            <v>EL MOUNFALOUTI</v>
          </cell>
          <cell r="E405" t="str">
            <v>NOUREDDINE</v>
          </cell>
          <cell r="F405">
            <v>20833</v>
          </cell>
          <cell r="G405" t="str">
            <v>6</v>
          </cell>
          <cell r="H405" t="str">
            <v>HATTANE</v>
          </cell>
          <cell r="I405" t="str">
            <v>F</v>
          </cell>
          <cell r="J405">
            <v>29047</v>
          </cell>
          <cell r="K405">
            <v>29068</v>
          </cell>
          <cell r="L405" t="str">
            <v>31</v>
          </cell>
          <cell r="M405" t="str">
            <v>A</v>
          </cell>
          <cell r="N405">
            <v>29068</v>
          </cell>
          <cell r="P405">
            <v>23</v>
          </cell>
          <cell r="Q405" t="str">
            <v>O</v>
          </cell>
          <cell r="R405" t="str">
            <v>N</v>
          </cell>
          <cell r="S405">
            <v>0</v>
          </cell>
          <cell r="T405" t="str">
            <v>M</v>
          </cell>
          <cell r="U405" t="str">
            <v>HSAINI HAYAT BENT DRISS</v>
          </cell>
          <cell r="X405">
            <v>2</v>
          </cell>
          <cell r="Y405">
            <v>3</v>
          </cell>
          <cell r="Z405" t="str">
            <v>N</v>
          </cell>
          <cell r="AA405" t="str">
            <v>14/07/87</v>
          </cell>
          <cell r="AB405" t="str">
            <v>X</v>
          </cell>
          <cell r="AC405" t="str">
            <v>X</v>
          </cell>
          <cell r="AD405" t="str">
            <v>X</v>
          </cell>
          <cell r="AH405" t="str">
            <v>N</v>
          </cell>
          <cell r="AI405" t="str">
            <v>N</v>
          </cell>
          <cell r="AK405" t="str">
            <v>8 NVX LOGEMENTS DE SECHAGE OCP - KHGA</v>
          </cell>
          <cell r="AL405" t="str">
            <v>4AS</v>
          </cell>
          <cell r="AM405" t="str">
            <v>CFO</v>
          </cell>
          <cell r="AP405" t="str">
            <v>Q 58837</v>
          </cell>
          <cell r="AQ405">
            <v>0</v>
          </cell>
          <cell r="AR405" t="str">
            <v>B</v>
          </cell>
          <cell r="AS405" t="str">
            <v>CRED.MAROC KHGA</v>
          </cell>
          <cell r="AT405" t="str">
            <v>820010004904</v>
          </cell>
          <cell r="AU405" t="str">
            <v>/  /</v>
          </cell>
          <cell r="AW405">
            <v>39264</v>
          </cell>
          <cell r="AY405" t="str">
            <v>XX</v>
          </cell>
          <cell r="AZ405" t="str">
            <v>R</v>
          </cell>
          <cell r="BA405" t="str">
            <v>2</v>
          </cell>
          <cell r="BB405">
            <v>1</v>
          </cell>
          <cell r="BD405">
            <v>0</v>
          </cell>
          <cell r="BE405" t="str">
            <v>M</v>
          </cell>
          <cell r="BF405" t="str">
            <v>N</v>
          </cell>
          <cell r="BG405">
            <v>1</v>
          </cell>
          <cell r="BH405">
            <v>39264</v>
          </cell>
        </row>
        <row r="406">
          <cell r="A406">
            <v>71580</v>
          </cell>
          <cell r="B406">
            <v>409</v>
          </cell>
          <cell r="C406" t="str">
            <v>C3001</v>
          </cell>
          <cell r="D406" t="str">
            <v>BCHIR</v>
          </cell>
          <cell r="E406" t="str">
            <v>EZZARI</v>
          </cell>
          <cell r="F406">
            <v>20636</v>
          </cell>
          <cell r="G406" t="str">
            <v>6</v>
          </cell>
          <cell r="H406" t="str">
            <v>M'FASSIS</v>
          </cell>
          <cell r="I406" t="str">
            <v>D</v>
          </cell>
          <cell r="J406">
            <v>29222</v>
          </cell>
          <cell r="K406">
            <v>36526</v>
          </cell>
          <cell r="L406" t="str">
            <v>21</v>
          </cell>
          <cell r="M406" t="str">
            <v>A</v>
          </cell>
          <cell r="N406">
            <v>36526</v>
          </cell>
          <cell r="P406">
            <v>23</v>
          </cell>
          <cell r="Q406" t="str">
            <v>O</v>
          </cell>
          <cell r="R406" t="str">
            <v>N</v>
          </cell>
          <cell r="S406">
            <v>0</v>
          </cell>
          <cell r="T406" t="str">
            <v>M</v>
          </cell>
          <cell r="U406" t="str">
            <v>HABIBA BENT MOHAMED</v>
          </cell>
          <cell r="X406">
            <v>4</v>
          </cell>
          <cell r="Y406">
            <v>4</v>
          </cell>
          <cell r="AB406" t="str">
            <v>X</v>
          </cell>
          <cell r="AC406" t="str">
            <v>X</v>
          </cell>
          <cell r="AD406" t="str">
            <v>X</v>
          </cell>
          <cell r="AH406" t="str">
            <v>N</v>
          </cell>
          <cell r="AI406" t="str">
            <v>N</v>
          </cell>
          <cell r="AK406" t="str">
            <v>487 VILLAGE O.C.P - BOUJNIBA</v>
          </cell>
          <cell r="AL406" t="str">
            <v>CM2</v>
          </cell>
          <cell r="AN406" t="str">
            <v>57═02═73</v>
          </cell>
          <cell r="AP406" t="str">
            <v>Q 16044</v>
          </cell>
          <cell r="AQ406">
            <v>0</v>
          </cell>
          <cell r="AR406" t="str">
            <v>C</v>
          </cell>
          <cell r="AU406" t="str">
            <v>/  /</v>
          </cell>
          <cell r="AW406">
            <v>38899</v>
          </cell>
          <cell r="AY406" t="str">
            <v>XX</v>
          </cell>
          <cell r="BA406" t="str">
            <v>2</v>
          </cell>
          <cell r="BB406">
            <v>1</v>
          </cell>
          <cell r="BD406">
            <v>0</v>
          </cell>
          <cell r="BE406" t="str">
            <v>M</v>
          </cell>
          <cell r="BF406" t="str">
            <v>N</v>
          </cell>
          <cell r="BG406">
            <v>50</v>
          </cell>
          <cell r="BH406">
            <v>38899</v>
          </cell>
        </row>
        <row r="407">
          <cell r="A407">
            <v>71852</v>
          </cell>
          <cell r="B407">
            <v>409</v>
          </cell>
          <cell r="C407" t="str">
            <v>C4002</v>
          </cell>
          <cell r="D407" t="str">
            <v>BAHR</v>
          </cell>
          <cell r="E407" t="str">
            <v>MOHAMED</v>
          </cell>
          <cell r="F407">
            <v>18510</v>
          </cell>
          <cell r="H407" t="str">
            <v>CASABLANCA</v>
          </cell>
          <cell r="I407" t="str">
            <v>D</v>
          </cell>
          <cell r="J407">
            <v>29333</v>
          </cell>
          <cell r="K407">
            <v>32448</v>
          </cell>
          <cell r="L407" t="str">
            <v>22</v>
          </cell>
          <cell r="M407" t="str">
            <v>B</v>
          </cell>
          <cell r="N407">
            <v>35612</v>
          </cell>
          <cell r="P407">
            <v>23</v>
          </cell>
          <cell r="Q407" t="str">
            <v>O</v>
          </cell>
          <cell r="R407" t="str">
            <v>N</v>
          </cell>
          <cell r="S407">
            <v>0</v>
          </cell>
          <cell r="T407" t="str">
            <v>M</v>
          </cell>
          <cell r="U407" t="str">
            <v>OUHANI KHADIJA BENT IDAR</v>
          </cell>
          <cell r="X407">
            <v>3</v>
          </cell>
          <cell r="Y407">
            <v>3</v>
          </cell>
          <cell r="AB407" t="str">
            <v>X</v>
          </cell>
          <cell r="AC407" t="str">
            <v>X</v>
          </cell>
          <cell r="AD407" t="str">
            <v>X</v>
          </cell>
          <cell r="AH407" t="str">
            <v>N</v>
          </cell>
          <cell r="AI407" t="str">
            <v>N</v>
          </cell>
          <cell r="AK407" t="str">
            <v>524 NOUVELLE MEDINA DE SECHAGE KHOURIBGA</v>
          </cell>
          <cell r="AL407" t="str">
            <v>CM2</v>
          </cell>
          <cell r="AP407" t="str">
            <v>B 209070</v>
          </cell>
          <cell r="AQ407">
            <v>0</v>
          </cell>
          <cell r="AR407" t="str">
            <v>C</v>
          </cell>
          <cell r="AU407" t="str">
            <v>/  /</v>
          </cell>
          <cell r="AW407">
            <v>38718</v>
          </cell>
          <cell r="AY407" t="str">
            <v>XX</v>
          </cell>
          <cell r="BA407" t="str">
            <v>2</v>
          </cell>
          <cell r="BB407">
            <v>1</v>
          </cell>
          <cell r="BD407">
            <v>0</v>
          </cell>
          <cell r="BE407" t="str">
            <v>M</v>
          </cell>
          <cell r="BF407" t="str">
            <v>N</v>
          </cell>
          <cell r="BG407">
            <v>1</v>
          </cell>
          <cell r="BH407">
            <v>38718</v>
          </cell>
        </row>
        <row r="408">
          <cell r="A408">
            <v>72194</v>
          </cell>
          <cell r="B408">
            <v>409</v>
          </cell>
          <cell r="C408" t="str">
            <v>C5152</v>
          </cell>
          <cell r="D408" t="str">
            <v>HEBRI</v>
          </cell>
          <cell r="E408" t="str">
            <v>SALAH</v>
          </cell>
          <cell r="F408">
            <v>22513</v>
          </cell>
          <cell r="H408" t="str">
            <v>BENI MELLAL</v>
          </cell>
          <cell r="I408" t="str">
            <v>D</v>
          </cell>
          <cell r="J408">
            <v>29455</v>
          </cell>
          <cell r="K408">
            <v>35431</v>
          </cell>
          <cell r="L408" t="str">
            <v>31</v>
          </cell>
          <cell r="M408" t="str">
            <v>A</v>
          </cell>
          <cell r="N408">
            <v>35431</v>
          </cell>
          <cell r="P408">
            <v>22</v>
          </cell>
          <cell r="Q408" t="str">
            <v>O</v>
          </cell>
          <cell r="R408" t="str">
            <v>N</v>
          </cell>
          <cell r="S408">
            <v>0</v>
          </cell>
          <cell r="T408" t="str">
            <v>M</v>
          </cell>
          <cell r="U408" t="str">
            <v>SAADIA BENT MOHAMED</v>
          </cell>
          <cell r="X408">
            <v>2</v>
          </cell>
          <cell r="Y408">
            <v>2</v>
          </cell>
          <cell r="AB408" t="str">
            <v>X</v>
          </cell>
          <cell r="AC408" t="str">
            <v>X</v>
          </cell>
          <cell r="AD408" t="str">
            <v>X</v>
          </cell>
          <cell r="AH408" t="str">
            <v>N</v>
          </cell>
          <cell r="AI408" t="str">
            <v>N</v>
          </cell>
          <cell r="AK408" t="str">
            <v>350 NOUVELLE MEDINA DE SECHAGE KHOURIBGA</v>
          </cell>
          <cell r="AL408" t="str">
            <v>CM2</v>
          </cell>
          <cell r="AN408" t="str">
            <v>49═48═39</v>
          </cell>
          <cell r="AP408" t="str">
            <v>I 66441</v>
          </cell>
          <cell r="AQ408">
            <v>0</v>
          </cell>
          <cell r="AR408" t="str">
            <v>B</v>
          </cell>
          <cell r="AS408" t="str">
            <v>CR.AGRIC - KHGA</v>
          </cell>
          <cell r="AT408" t="str">
            <v>08073520601</v>
          </cell>
          <cell r="AU408" t="str">
            <v>/  /</v>
          </cell>
          <cell r="AW408">
            <v>40909</v>
          </cell>
          <cell r="AY408" t="str">
            <v>XX</v>
          </cell>
          <cell r="AZ408" t="str">
            <v>M</v>
          </cell>
          <cell r="BA408" t="str">
            <v>1</v>
          </cell>
          <cell r="BB408">
            <v>1</v>
          </cell>
          <cell r="BD408">
            <v>0</v>
          </cell>
          <cell r="BE408" t="str">
            <v>M</v>
          </cell>
          <cell r="BF408" t="str">
            <v>N</v>
          </cell>
          <cell r="BG408">
            <v>1</v>
          </cell>
          <cell r="BH408">
            <v>40909</v>
          </cell>
          <cell r="BI408" t="str">
            <v>O</v>
          </cell>
        </row>
        <row r="409">
          <cell r="A409">
            <v>72437</v>
          </cell>
          <cell r="B409">
            <v>413</v>
          </cell>
          <cell r="C409" t="str">
            <v>C3200</v>
          </cell>
          <cell r="D409" t="str">
            <v>EL BELLARH</v>
          </cell>
          <cell r="E409" t="str">
            <v>AHMED</v>
          </cell>
          <cell r="F409">
            <v>21366</v>
          </cell>
          <cell r="G409" t="str">
            <v>3</v>
          </cell>
          <cell r="H409" t="str">
            <v>BOUJNIBA</v>
          </cell>
          <cell r="I409" t="str">
            <v>D</v>
          </cell>
          <cell r="J409">
            <v>29627</v>
          </cell>
          <cell r="K409">
            <v>35674</v>
          </cell>
          <cell r="L409" t="str">
            <v>21</v>
          </cell>
          <cell r="M409" t="str">
            <v>A</v>
          </cell>
          <cell r="N409">
            <v>35674</v>
          </cell>
          <cell r="P409">
            <v>23</v>
          </cell>
          <cell r="Q409" t="str">
            <v>O</v>
          </cell>
          <cell r="R409" t="str">
            <v>N</v>
          </cell>
          <cell r="S409">
            <v>0</v>
          </cell>
          <cell r="T409" t="str">
            <v>M</v>
          </cell>
          <cell r="U409" t="str">
            <v>HALIMA BENT EL MAATI</v>
          </cell>
          <cell r="X409">
            <v>6</v>
          </cell>
          <cell r="Y409">
            <v>6</v>
          </cell>
          <cell r="AB409" t="str">
            <v>X</v>
          </cell>
          <cell r="AC409" t="str">
            <v>X</v>
          </cell>
          <cell r="AD409" t="str">
            <v>X</v>
          </cell>
          <cell r="AH409" t="str">
            <v>N</v>
          </cell>
          <cell r="AI409" t="str">
            <v>N</v>
          </cell>
          <cell r="AK409" t="str">
            <v>625, NELLE CONSTRUCTION OCP BOUJNIBA</v>
          </cell>
          <cell r="AL409" t="str">
            <v>3AS</v>
          </cell>
          <cell r="AP409" t="str">
            <v>Q 19720</v>
          </cell>
          <cell r="AQ409">
            <v>0</v>
          </cell>
          <cell r="AR409" t="str">
            <v>B</v>
          </cell>
          <cell r="AS409" t="str">
            <v>CR.AGRICOLE - KHGA</v>
          </cell>
          <cell r="AT409" t="str">
            <v>0807275K</v>
          </cell>
          <cell r="AU409" t="str">
            <v>/  /</v>
          </cell>
          <cell r="AW409">
            <v>39630</v>
          </cell>
          <cell r="AY409" t="str">
            <v>XX</v>
          </cell>
          <cell r="BA409" t="str">
            <v>2</v>
          </cell>
          <cell r="BB409">
            <v>1</v>
          </cell>
          <cell r="BD409">
            <v>0</v>
          </cell>
          <cell r="BE409" t="str">
            <v>M</v>
          </cell>
          <cell r="BF409" t="str">
            <v>N</v>
          </cell>
          <cell r="BG409">
            <v>50</v>
          </cell>
          <cell r="BH409">
            <v>39630</v>
          </cell>
        </row>
        <row r="410">
          <cell r="A410">
            <v>72573</v>
          </cell>
          <cell r="B410">
            <v>409</v>
          </cell>
          <cell r="C410" t="str">
            <v>C7017</v>
          </cell>
          <cell r="D410" t="str">
            <v>HOUSSNI</v>
          </cell>
          <cell r="E410" t="str">
            <v>HASSAN</v>
          </cell>
          <cell r="F410">
            <v>21081</v>
          </cell>
          <cell r="G410" t="str">
            <v>1</v>
          </cell>
          <cell r="H410" t="str">
            <v>OULED BHAR SGHAR KHOURIBGA</v>
          </cell>
          <cell r="I410" t="str">
            <v>F</v>
          </cell>
          <cell r="J410">
            <v>29056</v>
          </cell>
          <cell r="K410">
            <v>36526</v>
          </cell>
          <cell r="L410" t="str">
            <v>33</v>
          </cell>
          <cell r="M410" t="str">
            <v>A</v>
          </cell>
          <cell r="N410">
            <v>36526</v>
          </cell>
          <cell r="P410">
            <v>23</v>
          </cell>
          <cell r="Q410" t="str">
            <v>O</v>
          </cell>
          <cell r="R410" t="str">
            <v>N</v>
          </cell>
          <cell r="S410">
            <v>0</v>
          </cell>
          <cell r="T410" t="str">
            <v>M</v>
          </cell>
          <cell r="U410" t="str">
            <v>FATIMA BENT  CHRIF</v>
          </cell>
          <cell r="X410">
            <v>4</v>
          </cell>
          <cell r="Y410">
            <v>4</v>
          </cell>
          <cell r="AB410" t="str">
            <v>X</v>
          </cell>
          <cell r="AC410" t="str">
            <v>X</v>
          </cell>
          <cell r="AD410" t="str">
            <v>X</v>
          </cell>
          <cell r="AH410" t="str">
            <v>N</v>
          </cell>
          <cell r="AI410" t="str">
            <v>N</v>
          </cell>
          <cell r="AK410" t="str">
            <v>60.NOUVEAUX LOGEMENTS KHOURIBGA</v>
          </cell>
          <cell r="AL410" t="str">
            <v>3AS</v>
          </cell>
          <cell r="AM410" t="str">
            <v>CFP CFO</v>
          </cell>
          <cell r="AN410" t="str">
            <v>49═46═97</v>
          </cell>
          <cell r="AP410" t="str">
            <v>Q 37304</v>
          </cell>
          <cell r="AQ410">
            <v>0</v>
          </cell>
          <cell r="AR410" t="str">
            <v>B</v>
          </cell>
          <cell r="AS410" t="str">
            <v>BMCE</v>
          </cell>
          <cell r="AT410" t="str">
            <v>40001200000282521</v>
          </cell>
          <cell r="AU410" t="str">
            <v>/  /</v>
          </cell>
          <cell r="AW410">
            <v>39448</v>
          </cell>
          <cell r="AY410" t="str">
            <v>XX</v>
          </cell>
          <cell r="BA410" t="str">
            <v>2</v>
          </cell>
          <cell r="BB410">
            <v>1</v>
          </cell>
          <cell r="BD410">
            <v>0</v>
          </cell>
          <cell r="BE410" t="str">
            <v>M</v>
          </cell>
          <cell r="BF410" t="str">
            <v>N</v>
          </cell>
          <cell r="BG410">
            <v>1</v>
          </cell>
          <cell r="BH410">
            <v>39448</v>
          </cell>
        </row>
        <row r="411">
          <cell r="A411">
            <v>72614</v>
          </cell>
          <cell r="B411">
            <v>409</v>
          </cell>
          <cell r="C411" t="str">
            <v>C3020</v>
          </cell>
          <cell r="D411" t="str">
            <v>EL GOUBI</v>
          </cell>
          <cell r="E411" t="str">
            <v>EL HOUSSINE</v>
          </cell>
          <cell r="F411">
            <v>20636</v>
          </cell>
          <cell r="G411" t="str">
            <v>1</v>
          </cell>
          <cell r="H411" t="str">
            <v>OULED BHAR KBAR KHOURIBGA</v>
          </cell>
          <cell r="I411" t="str">
            <v>D</v>
          </cell>
          <cell r="J411">
            <v>29746</v>
          </cell>
          <cell r="K411">
            <v>35370</v>
          </cell>
          <cell r="L411" t="str">
            <v>21</v>
          </cell>
          <cell r="M411" t="str">
            <v>A</v>
          </cell>
          <cell r="N411">
            <v>35370</v>
          </cell>
          <cell r="P411">
            <v>21</v>
          </cell>
          <cell r="Q411" t="str">
            <v>O</v>
          </cell>
          <cell r="R411" t="str">
            <v>N</v>
          </cell>
          <cell r="S411">
            <v>0</v>
          </cell>
          <cell r="T411" t="str">
            <v>M</v>
          </cell>
          <cell r="U411" t="str">
            <v>EL BZIMI RABHA</v>
          </cell>
          <cell r="X411">
            <v>6</v>
          </cell>
          <cell r="Y411">
            <v>6</v>
          </cell>
          <cell r="AB411" t="str">
            <v>X</v>
          </cell>
          <cell r="AC411" t="str">
            <v>X</v>
          </cell>
          <cell r="AD411" t="str">
            <v>X</v>
          </cell>
          <cell r="AH411" t="str">
            <v>N</v>
          </cell>
          <cell r="AI411" t="str">
            <v>N</v>
          </cell>
          <cell r="AK411" t="str">
            <v>507 VILLAGE OCP - BOUJNIBA</v>
          </cell>
          <cell r="AL411" t="str">
            <v>CM2</v>
          </cell>
          <cell r="AP411" t="str">
            <v>Q 80563</v>
          </cell>
          <cell r="AQ411">
            <v>0</v>
          </cell>
          <cell r="AR411" t="str">
            <v>B</v>
          </cell>
          <cell r="AS411" t="str">
            <v>WAFABANK - KHGA</v>
          </cell>
          <cell r="AT411" t="str">
            <v>1220301269153</v>
          </cell>
          <cell r="AU411" t="str">
            <v>/  /</v>
          </cell>
          <cell r="AW411">
            <v>39448</v>
          </cell>
          <cell r="AY411" t="str">
            <v>XX</v>
          </cell>
          <cell r="BA411" t="str">
            <v>0</v>
          </cell>
          <cell r="BB411">
            <v>1</v>
          </cell>
          <cell r="BD411">
            <v>0</v>
          </cell>
          <cell r="BE411" t="str">
            <v>M</v>
          </cell>
          <cell r="BF411" t="str">
            <v>N</v>
          </cell>
          <cell r="BG411">
            <v>50</v>
          </cell>
          <cell r="BH411">
            <v>39448</v>
          </cell>
        </row>
        <row r="412">
          <cell r="A412">
            <v>74445</v>
          </cell>
          <cell r="B412">
            <v>461</v>
          </cell>
          <cell r="C412" t="str">
            <v>C7017</v>
          </cell>
          <cell r="D412" t="str">
            <v>ECHCHIYAI</v>
          </cell>
          <cell r="E412" t="str">
            <v>EL MOSTAFA</v>
          </cell>
          <cell r="F412">
            <v>22097</v>
          </cell>
          <cell r="G412" t="str">
            <v>1</v>
          </cell>
          <cell r="H412" t="str">
            <v>KHOURIBGA</v>
          </cell>
          <cell r="I412" t="str">
            <v>F</v>
          </cell>
          <cell r="J412">
            <v>31623</v>
          </cell>
          <cell r="K412">
            <v>35096</v>
          </cell>
          <cell r="L412" t="str">
            <v>33</v>
          </cell>
          <cell r="M412" t="str">
            <v>A</v>
          </cell>
          <cell r="N412">
            <v>35096</v>
          </cell>
          <cell r="P412">
            <v>16</v>
          </cell>
          <cell r="Q412" t="str">
            <v>O</v>
          </cell>
          <cell r="R412" t="str">
            <v>N</v>
          </cell>
          <cell r="S412">
            <v>0</v>
          </cell>
          <cell r="T412" t="str">
            <v>M</v>
          </cell>
          <cell r="U412" t="str">
            <v>FATIHA BENT CHERKI</v>
          </cell>
          <cell r="X412">
            <v>4</v>
          </cell>
          <cell r="Y412">
            <v>4</v>
          </cell>
          <cell r="AB412" t="str">
            <v>X</v>
          </cell>
          <cell r="AC412" t="str">
            <v>X</v>
          </cell>
          <cell r="AD412" t="str">
            <v>X</v>
          </cell>
          <cell r="AH412" t="str">
            <v>N</v>
          </cell>
          <cell r="AI412" t="str">
            <v>N</v>
          </cell>
          <cell r="AK412" t="str">
            <v>593 ALQODS 2 - KHOURIBGA</v>
          </cell>
          <cell r="AL412" t="str">
            <v>4AS</v>
          </cell>
          <cell r="AM412" t="str">
            <v>CQP.CFO</v>
          </cell>
          <cell r="AN412" t="str">
            <v>49═65═28</v>
          </cell>
          <cell r="AP412" t="str">
            <v>Q 68547</v>
          </cell>
          <cell r="AQ412">
            <v>0</v>
          </cell>
          <cell r="AR412" t="str">
            <v>C</v>
          </cell>
          <cell r="AU412" t="str">
            <v>/  /</v>
          </cell>
          <cell r="AW412">
            <v>41275</v>
          </cell>
          <cell r="AY412" t="str">
            <v>XX</v>
          </cell>
          <cell r="BA412" t="str">
            <v>2</v>
          </cell>
          <cell r="BB412">
            <v>1</v>
          </cell>
          <cell r="BD412">
            <v>0</v>
          </cell>
          <cell r="BE412" t="str">
            <v>M</v>
          </cell>
          <cell r="BF412" t="str">
            <v>N</v>
          </cell>
          <cell r="BG412">
            <v>1</v>
          </cell>
          <cell r="BH412">
            <v>41275</v>
          </cell>
        </row>
        <row r="413">
          <cell r="A413">
            <v>79703</v>
          </cell>
          <cell r="B413">
            <v>409</v>
          </cell>
          <cell r="C413" t="str">
            <v>C5002</v>
          </cell>
          <cell r="D413" t="str">
            <v>EL YASSEM</v>
          </cell>
          <cell r="E413" t="str">
            <v>EL MOSTAFA</v>
          </cell>
          <cell r="F413">
            <v>21107</v>
          </cell>
          <cell r="G413" t="str">
            <v>1</v>
          </cell>
          <cell r="H413" t="str">
            <v>KHOURIBGA</v>
          </cell>
          <cell r="I413" t="str">
            <v>D</v>
          </cell>
          <cell r="J413">
            <v>29388</v>
          </cell>
          <cell r="K413">
            <v>37073</v>
          </cell>
          <cell r="L413" t="str">
            <v>31</v>
          </cell>
          <cell r="M413" t="str">
            <v>A</v>
          </cell>
          <cell r="N413">
            <v>37073</v>
          </cell>
          <cell r="P413">
            <v>22</v>
          </cell>
          <cell r="Q413" t="str">
            <v>O</v>
          </cell>
          <cell r="R413" t="str">
            <v>N</v>
          </cell>
          <cell r="S413">
            <v>0</v>
          </cell>
          <cell r="T413" t="str">
            <v>M</v>
          </cell>
          <cell r="U413" t="str">
            <v>MINA BENT MOHAMED</v>
          </cell>
          <cell r="X413">
            <v>2</v>
          </cell>
          <cell r="Y413">
            <v>2</v>
          </cell>
          <cell r="AB413" t="str">
            <v>X</v>
          </cell>
          <cell r="AC413" t="str">
            <v>X</v>
          </cell>
          <cell r="AD413" t="str">
            <v>X</v>
          </cell>
          <cell r="AH413" t="str">
            <v>N</v>
          </cell>
          <cell r="AI413" t="str">
            <v>N</v>
          </cell>
          <cell r="AK413" t="str">
            <v>154 AVENUE EL HOUDA - KHOURIBA</v>
          </cell>
          <cell r="AL413" t="str">
            <v>3AS</v>
          </cell>
          <cell r="AP413" t="str">
            <v>Q 10015</v>
          </cell>
          <cell r="AQ413">
            <v>0</v>
          </cell>
          <cell r="AR413" t="str">
            <v>B</v>
          </cell>
          <cell r="AS413" t="str">
            <v>CRED.MAROC KHGA</v>
          </cell>
          <cell r="AT413" t="str">
            <v>820010021132</v>
          </cell>
          <cell r="AU413" t="str">
            <v>/  /</v>
          </cell>
          <cell r="AW413">
            <v>39448</v>
          </cell>
          <cell r="AY413" t="str">
            <v>XX</v>
          </cell>
          <cell r="AZ413" t="str">
            <v>M</v>
          </cell>
          <cell r="BA413" t="str">
            <v>2</v>
          </cell>
          <cell r="BB413">
            <v>1</v>
          </cell>
          <cell r="BD413">
            <v>0</v>
          </cell>
          <cell r="BE413" t="str">
            <v>M</v>
          </cell>
          <cell r="BF413" t="str">
            <v>N</v>
          </cell>
          <cell r="BG413">
            <v>40</v>
          </cell>
          <cell r="BH413">
            <v>39448</v>
          </cell>
        </row>
        <row r="414">
          <cell r="A414">
            <v>68188</v>
          </cell>
          <cell r="B414">
            <v>412</v>
          </cell>
          <cell r="C414" t="str">
            <v>C7036</v>
          </cell>
          <cell r="D414" t="str">
            <v>NASSIR</v>
          </cell>
          <cell r="E414" t="str">
            <v>NOUREDDINE</v>
          </cell>
          <cell r="F414">
            <v>19475</v>
          </cell>
          <cell r="G414" t="str">
            <v>1</v>
          </cell>
          <cell r="H414" t="str">
            <v>KHOURIBGA</v>
          </cell>
          <cell r="I414" t="str">
            <v>F</v>
          </cell>
          <cell r="J414">
            <v>27666</v>
          </cell>
          <cell r="K414">
            <v>37043</v>
          </cell>
          <cell r="L414" t="str">
            <v>33</v>
          </cell>
          <cell r="M414" t="str">
            <v>A</v>
          </cell>
          <cell r="N414">
            <v>37043</v>
          </cell>
          <cell r="P414">
            <v>27</v>
          </cell>
          <cell r="Q414" t="str">
            <v>O</v>
          </cell>
          <cell r="R414" t="str">
            <v>N</v>
          </cell>
          <cell r="S414">
            <v>0</v>
          </cell>
          <cell r="T414" t="str">
            <v>M</v>
          </cell>
          <cell r="U414" t="str">
            <v>BELHADDAD MALIKA</v>
          </cell>
          <cell r="X414">
            <v>4</v>
          </cell>
          <cell r="Y414">
            <v>4</v>
          </cell>
          <cell r="AB414" t="str">
            <v>X</v>
          </cell>
          <cell r="AC414" t="str">
            <v>X</v>
          </cell>
          <cell r="AD414" t="str">
            <v>X</v>
          </cell>
          <cell r="AH414" t="str">
            <v>N</v>
          </cell>
          <cell r="AI414" t="str">
            <v>N</v>
          </cell>
          <cell r="AK414" t="str">
            <v>12 RUE MOULAY EL HASSAN - KHOURIBGA</v>
          </cell>
          <cell r="AL414" t="str">
            <v>4AS</v>
          </cell>
          <cell r="AM414" t="str">
            <v>CQP.CFO</v>
          </cell>
          <cell r="AP414" t="str">
            <v>Q 36864</v>
          </cell>
          <cell r="AQ414">
            <v>0</v>
          </cell>
          <cell r="AR414" t="str">
            <v>B</v>
          </cell>
          <cell r="AS414" t="str">
            <v>BMCE</v>
          </cell>
          <cell r="AT414" t="str">
            <v>40001200000694577</v>
          </cell>
          <cell r="AU414" t="str">
            <v>/  /</v>
          </cell>
          <cell r="AW414">
            <v>37803</v>
          </cell>
          <cell r="AY414" t="str">
            <v>XX</v>
          </cell>
          <cell r="BA414" t="str">
            <v>6</v>
          </cell>
          <cell r="BB414">
            <v>1</v>
          </cell>
          <cell r="BD414">
            <v>0</v>
          </cell>
          <cell r="BE414" t="str">
            <v>M</v>
          </cell>
          <cell r="BF414" t="str">
            <v>N</v>
          </cell>
          <cell r="BG414">
            <v>1</v>
          </cell>
          <cell r="BH414">
            <v>37803</v>
          </cell>
        </row>
        <row r="415">
          <cell r="A415">
            <v>68720</v>
          </cell>
          <cell r="B415">
            <v>412</v>
          </cell>
          <cell r="C415" t="str">
            <v>X4036</v>
          </cell>
          <cell r="D415" t="str">
            <v>ES-SAHEL</v>
          </cell>
          <cell r="E415" t="str">
            <v>SALAH</v>
          </cell>
          <cell r="F415">
            <v>19221</v>
          </cell>
          <cell r="G415" t="str">
            <v>1</v>
          </cell>
          <cell r="H415" t="str">
            <v>OULED BHAR KBAR KHOURIBGA</v>
          </cell>
          <cell r="I415" t="str">
            <v>D</v>
          </cell>
          <cell r="J415">
            <v>28047</v>
          </cell>
          <cell r="K415">
            <v>36526</v>
          </cell>
          <cell r="L415" t="str">
            <v>42</v>
          </cell>
          <cell r="M415" t="str">
            <v>A</v>
          </cell>
          <cell r="N415">
            <v>36526</v>
          </cell>
          <cell r="P415">
            <v>26</v>
          </cell>
          <cell r="Q415" t="str">
            <v>O</v>
          </cell>
          <cell r="R415" t="str">
            <v>N</v>
          </cell>
          <cell r="S415">
            <v>0</v>
          </cell>
          <cell r="T415" t="str">
            <v>M</v>
          </cell>
          <cell r="U415" t="str">
            <v>ABBARI HLIMA BENT BOUAZZA</v>
          </cell>
          <cell r="X415">
            <v>3</v>
          </cell>
          <cell r="Y415">
            <v>3</v>
          </cell>
          <cell r="AB415" t="str">
            <v>X</v>
          </cell>
          <cell r="AC415" t="str">
            <v>X</v>
          </cell>
          <cell r="AD415" t="str">
            <v>X</v>
          </cell>
          <cell r="AH415" t="str">
            <v>N</v>
          </cell>
          <cell r="AI415" t="str">
            <v>N</v>
          </cell>
          <cell r="AK415" t="str">
            <v>76.NOUVELLE CONSTRUCTION DE SECHAGE KHGA</v>
          </cell>
          <cell r="AL415" t="str">
            <v>4AS</v>
          </cell>
          <cell r="AM415" t="str">
            <v>CFO.</v>
          </cell>
          <cell r="AP415" t="str">
            <v>Q 88397</v>
          </cell>
          <cell r="AQ415">
            <v>0</v>
          </cell>
          <cell r="AR415" t="str">
            <v>B</v>
          </cell>
          <cell r="AS415" t="str">
            <v>B.M.C.E - KHGA</v>
          </cell>
          <cell r="AT415" t="str">
            <v>40001200000957156</v>
          </cell>
          <cell r="AU415" t="str">
            <v>/  /</v>
          </cell>
          <cell r="AW415">
            <v>37803</v>
          </cell>
          <cell r="AY415" t="str">
            <v>XX</v>
          </cell>
          <cell r="BA415" t="str">
            <v>2</v>
          </cell>
          <cell r="BB415">
            <v>1</v>
          </cell>
          <cell r="BD415">
            <v>0</v>
          </cell>
          <cell r="BE415" t="str">
            <v>M</v>
          </cell>
          <cell r="BF415" t="str">
            <v>N</v>
          </cell>
          <cell r="BG415">
            <v>1</v>
          </cell>
          <cell r="BH415">
            <v>38169</v>
          </cell>
          <cell r="BI415" t="str">
            <v>O</v>
          </cell>
        </row>
        <row r="416">
          <cell r="A416">
            <v>69560</v>
          </cell>
          <cell r="B416">
            <v>409</v>
          </cell>
          <cell r="C416" t="str">
            <v>C3754</v>
          </cell>
          <cell r="D416" t="str">
            <v>DIKRANE</v>
          </cell>
          <cell r="E416" t="str">
            <v>MOHAMMED</v>
          </cell>
          <cell r="F416">
            <v>19540</v>
          </cell>
          <cell r="G416" t="str">
            <v>1</v>
          </cell>
          <cell r="H416" t="str">
            <v>OULED BHAR KBAR KHOURIBGA</v>
          </cell>
          <cell r="I416" t="str">
            <v>D</v>
          </cell>
          <cell r="J416">
            <v>28342</v>
          </cell>
          <cell r="K416">
            <v>32356</v>
          </cell>
          <cell r="L416" t="str">
            <v>21</v>
          </cell>
          <cell r="M416" t="str">
            <v>C</v>
          </cell>
          <cell r="N416">
            <v>35612</v>
          </cell>
          <cell r="P416">
            <v>25</v>
          </cell>
          <cell r="Q416" t="str">
            <v>N</v>
          </cell>
          <cell r="R416" t="str">
            <v>0</v>
          </cell>
          <cell r="S416">
            <v>3</v>
          </cell>
          <cell r="T416" t="str">
            <v>M</v>
          </cell>
          <cell r="U416" t="str">
            <v>GHANNOU BENT MOHAMED</v>
          </cell>
          <cell r="X416">
            <v>6</v>
          </cell>
          <cell r="Y416">
            <v>4</v>
          </cell>
          <cell r="AB416" t="str">
            <v>X</v>
          </cell>
          <cell r="AC416" t="str">
            <v>X</v>
          </cell>
          <cell r="AD416" t="str">
            <v>X</v>
          </cell>
          <cell r="AH416" t="str">
            <v>N</v>
          </cell>
          <cell r="AI416" t="str">
            <v>N</v>
          </cell>
          <cell r="AK416" t="str">
            <v>BLOC B N° 144 HAY ED DAKHLA - BOUJNIBA</v>
          </cell>
          <cell r="AL416" t="str">
            <v>3AS</v>
          </cell>
          <cell r="AP416" t="str">
            <v>Q 50144</v>
          </cell>
          <cell r="AQ416">
            <v>0</v>
          </cell>
          <cell r="AR416" t="str">
            <v>B</v>
          </cell>
          <cell r="AS416" t="str">
            <v>CIH-KHGA</v>
          </cell>
          <cell r="AT416" t="str">
            <v>31948672110-04700</v>
          </cell>
          <cell r="AU416" t="str">
            <v>/  /</v>
          </cell>
          <cell r="AW416">
            <v>39214</v>
          </cell>
          <cell r="AX416">
            <v>39214</v>
          </cell>
          <cell r="AY416" t="str">
            <v>XX</v>
          </cell>
          <cell r="BA416" t="str">
            <v>2</v>
          </cell>
          <cell r="BB416">
            <v>1</v>
          </cell>
          <cell r="BD416">
            <v>0</v>
          </cell>
          <cell r="BE416" t="str">
            <v>M</v>
          </cell>
          <cell r="BF416" t="str">
            <v>N</v>
          </cell>
          <cell r="BG416">
            <v>0</v>
          </cell>
          <cell r="BH416">
            <v>37987</v>
          </cell>
          <cell r="BI416" t="str">
            <v>O</v>
          </cell>
        </row>
        <row r="417">
          <cell r="A417">
            <v>70430</v>
          </cell>
          <cell r="B417">
            <v>400</v>
          </cell>
          <cell r="C417" t="str">
            <v>X1601</v>
          </cell>
          <cell r="D417" t="str">
            <v>ES-SAHEL</v>
          </cell>
          <cell r="E417" t="str">
            <v>FATIMA</v>
          </cell>
          <cell r="F417">
            <v>19725</v>
          </cell>
          <cell r="G417" t="str">
            <v>1</v>
          </cell>
          <cell r="H417" t="str">
            <v>OULED BHAR KBAR KHOURIBGA</v>
          </cell>
          <cell r="I417" t="str">
            <v>D</v>
          </cell>
          <cell r="J417">
            <v>28551</v>
          </cell>
          <cell r="K417">
            <v>37073</v>
          </cell>
          <cell r="L417" t="str">
            <v>41</v>
          </cell>
          <cell r="M417" t="str">
            <v>A</v>
          </cell>
          <cell r="N417">
            <v>37073</v>
          </cell>
          <cell r="O417">
            <v>0</v>
          </cell>
          <cell r="P417">
            <v>25</v>
          </cell>
          <cell r="Q417" t="str">
            <v>O</v>
          </cell>
          <cell r="R417" t="str">
            <v>N</v>
          </cell>
          <cell r="S417">
            <v>0</v>
          </cell>
          <cell r="T417" t="str">
            <v>M</v>
          </cell>
          <cell r="U417" t="str">
            <v>ABDELHAK BEN AHMED</v>
          </cell>
          <cell r="X417">
            <v>2</v>
          </cell>
          <cell r="Y417">
            <v>2</v>
          </cell>
          <cell r="AB417" t="str">
            <v>X</v>
          </cell>
          <cell r="AC417" t="str">
            <v>X</v>
          </cell>
          <cell r="AD417" t="str">
            <v>X</v>
          </cell>
          <cell r="AE417" t="str">
            <v>RETRAITE OCP</v>
          </cell>
          <cell r="AH417" t="str">
            <v>N</v>
          </cell>
          <cell r="AI417" t="str">
            <v>N</v>
          </cell>
          <cell r="AK417" t="str">
            <v>66,COOP.BIR ANZARANE HAY SAADA KHOURIBGA</v>
          </cell>
          <cell r="AL417" t="str">
            <v>7AS</v>
          </cell>
          <cell r="AM417" t="str">
            <v>CES.</v>
          </cell>
          <cell r="AP417" t="str">
            <v>Q 22231</v>
          </cell>
          <cell r="AQ417">
            <v>0</v>
          </cell>
          <cell r="AR417" t="str">
            <v>B</v>
          </cell>
          <cell r="AS417" t="str">
            <v>BMCI - KHGA</v>
          </cell>
          <cell r="AT417" t="str">
            <v>02821147806301</v>
          </cell>
          <cell r="AU417" t="str">
            <v>/  /</v>
          </cell>
          <cell r="AW417">
            <v>39264</v>
          </cell>
          <cell r="AY417" t="str">
            <v>XX</v>
          </cell>
          <cell r="BA417" t="str">
            <v>2</v>
          </cell>
          <cell r="BB417">
            <v>1</v>
          </cell>
          <cell r="BD417">
            <v>0</v>
          </cell>
          <cell r="BE417" t="str">
            <v>F</v>
          </cell>
          <cell r="BF417" t="str">
            <v>O</v>
          </cell>
          <cell r="BG417">
            <v>1</v>
          </cell>
          <cell r="BH417">
            <v>39630</v>
          </cell>
          <cell r="BI417" t="str">
            <v>O</v>
          </cell>
        </row>
        <row r="418">
          <cell r="A418">
            <v>70542</v>
          </cell>
          <cell r="B418">
            <v>412</v>
          </cell>
          <cell r="C418" t="str">
            <v>C3152</v>
          </cell>
          <cell r="D418" t="str">
            <v>AZHARI</v>
          </cell>
          <cell r="E418" t="str">
            <v>HASSANE</v>
          </cell>
          <cell r="F418">
            <v>18809</v>
          </cell>
          <cell r="H418" t="str">
            <v>AIT ATAB</v>
          </cell>
          <cell r="I418" t="str">
            <v>D</v>
          </cell>
          <cell r="J418">
            <v>28615</v>
          </cell>
          <cell r="K418">
            <v>37012</v>
          </cell>
          <cell r="L418" t="str">
            <v>21</v>
          </cell>
          <cell r="M418" t="str">
            <v>C</v>
          </cell>
          <cell r="N418">
            <v>37012</v>
          </cell>
          <cell r="P418">
            <v>24</v>
          </cell>
          <cell r="Q418" t="str">
            <v>O</v>
          </cell>
          <cell r="R418" t="str">
            <v>N</v>
          </cell>
          <cell r="S418">
            <v>0</v>
          </cell>
          <cell r="T418" t="str">
            <v>M</v>
          </cell>
          <cell r="U418" t="str">
            <v>HLIMA BENT NACEUR</v>
          </cell>
          <cell r="X418">
            <v>7</v>
          </cell>
          <cell r="Y418">
            <v>5</v>
          </cell>
          <cell r="AB418" t="str">
            <v>X</v>
          </cell>
          <cell r="AC418" t="str">
            <v>X</v>
          </cell>
          <cell r="AD418" t="str">
            <v>X</v>
          </cell>
          <cell r="AH418" t="str">
            <v>N</v>
          </cell>
          <cell r="AI418" t="str">
            <v>N</v>
          </cell>
          <cell r="AK418" t="str">
            <v>604 NOUVEAU TACHERON BOUJNIBA</v>
          </cell>
          <cell r="AL418" t="str">
            <v>ILLETTRE</v>
          </cell>
          <cell r="AP418" t="str">
            <v>Q 81017</v>
          </cell>
          <cell r="AQ418">
            <v>0</v>
          </cell>
          <cell r="AR418" t="str">
            <v>B</v>
          </cell>
          <cell r="AS418" t="str">
            <v>C.N.C.A  KHGA</v>
          </cell>
          <cell r="AT418" t="str">
            <v>0806256P601</v>
          </cell>
          <cell r="AU418" t="str">
            <v>/  /</v>
          </cell>
          <cell r="AW418">
            <v>39878</v>
          </cell>
          <cell r="AX418">
            <v>39878</v>
          </cell>
          <cell r="AY418" t="str">
            <v>XX</v>
          </cell>
          <cell r="BA418" t="str">
            <v>1</v>
          </cell>
          <cell r="BB418">
            <v>1</v>
          </cell>
          <cell r="BD418">
            <v>0</v>
          </cell>
          <cell r="BE418" t="str">
            <v>M</v>
          </cell>
          <cell r="BF418" t="str">
            <v>N</v>
          </cell>
          <cell r="BG418">
            <v>50</v>
          </cell>
          <cell r="BH418">
            <v>38353</v>
          </cell>
        </row>
        <row r="419">
          <cell r="A419">
            <v>70587</v>
          </cell>
          <cell r="B419">
            <v>412</v>
          </cell>
          <cell r="C419" t="str">
            <v>C3152</v>
          </cell>
          <cell r="D419" t="str">
            <v>DERHANI</v>
          </cell>
          <cell r="E419" t="str">
            <v>EL MOSTAFA</v>
          </cell>
          <cell r="F419">
            <v>19978</v>
          </cell>
          <cell r="G419" t="str">
            <v>1</v>
          </cell>
          <cell r="H419" t="str">
            <v>OULED BHAR KBAR KHOURIBGA</v>
          </cell>
          <cell r="I419" t="str">
            <v>D</v>
          </cell>
          <cell r="J419">
            <v>28620</v>
          </cell>
          <cell r="K419">
            <v>36526</v>
          </cell>
          <cell r="L419" t="str">
            <v>21</v>
          </cell>
          <cell r="M419" t="str">
            <v>C</v>
          </cell>
          <cell r="N419">
            <v>36526</v>
          </cell>
          <cell r="P419">
            <v>24</v>
          </cell>
          <cell r="Q419" t="str">
            <v>N</v>
          </cell>
          <cell r="R419" t="str">
            <v>O</v>
          </cell>
          <cell r="S419">
            <v>3</v>
          </cell>
          <cell r="T419" t="str">
            <v>M</v>
          </cell>
          <cell r="U419" t="str">
            <v>FATNA BENT MOHAMED</v>
          </cell>
          <cell r="X419">
            <v>7</v>
          </cell>
          <cell r="Y419">
            <v>3</v>
          </cell>
          <cell r="AB419" t="str">
            <v>X</v>
          </cell>
          <cell r="AC419" t="str">
            <v>X</v>
          </cell>
          <cell r="AD419" t="str">
            <v>X</v>
          </cell>
          <cell r="AH419" t="str">
            <v>N</v>
          </cell>
          <cell r="AI419" t="str">
            <v>N</v>
          </cell>
          <cell r="AK419" t="str">
            <v>DOUAR LAKOUARA OULED AZZOUZ</v>
          </cell>
          <cell r="AL419" t="str">
            <v>CM2</v>
          </cell>
          <cell r="AP419" t="str">
            <v>Q 35315</v>
          </cell>
          <cell r="AQ419">
            <v>0</v>
          </cell>
          <cell r="AR419" t="str">
            <v>B</v>
          </cell>
          <cell r="AS419" t="str">
            <v>C.I.H - KHGA</v>
          </cell>
          <cell r="AT419" t="str">
            <v>0958545621100470081</v>
          </cell>
          <cell r="AU419" t="str">
            <v>/  /</v>
          </cell>
          <cell r="AW419">
            <v>38353</v>
          </cell>
          <cell r="AY419" t="str">
            <v>XX</v>
          </cell>
          <cell r="BA419" t="str">
            <v>1</v>
          </cell>
          <cell r="BB419">
            <v>1</v>
          </cell>
          <cell r="BD419">
            <v>0</v>
          </cell>
          <cell r="BE419" t="str">
            <v>M</v>
          </cell>
          <cell r="BF419" t="str">
            <v>N</v>
          </cell>
          <cell r="BG419">
            <v>0</v>
          </cell>
          <cell r="BH419">
            <v>38353</v>
          </cell>
          <cell r="BI419" t="str">
            <v>O</v>
          </cell>
        </row>
        <row r="420">
          <cell r="A420">
            <v>19075</v>
          </cell>
          <cell r="B420">
            <v>413</v>
          </cell>
          <cell r="C420" t="str">
            <v>C6200</v>
          </cell>
          <cell r="D420" t="str">
            <v>LIKRAM</v>
          </cell>
          <cell r="E420" t="str">
            <v>MOHAMED</v>
          </cell>
          <cell r="F420">
            <v>19540</v>
          </cell>
          <cell r="G420" t="str">
            <v>1</v>
          </cell>
          <cell r="H420" t="str">
            <v>OULED BHAR KBAR KHOURIBGA</v>
          </cell>
          <cell r="I420" t="str">
            <v>D</v>
          </cell>
          <cell r="J420">
            <v>28427</v>
          </cell>
          <cell r="K420">
            <v>33573</v>
          </cell>
          <cell r="L420" t="str">
            <v>32</v>
          </cell>
          <cell r="M420" t="str">
            <v>A</v>
          </cell>
          <cell r="N420">
            <v>33573</v>
          </cell>
          <cell r="P420">
            <v>25</v>
          </cell>
          <cell r="Q420" t="str">
            <v>O</v>
          </cell>
          <cell r="R420" t="str">
            <v>N</v>
          </cell>
          <cell r="S420">
            <v>0</v>
          </cell>
          <cell r="T420" t="str">
            <v>M</v>
          </cell>
          <cell r="U420" t="str">
            <v>KHADDOUJ BENT M'HAMED</v>
          </cell>
          <cell r="X420">
            <v>6</v>
          </cell>
          <cell r="Y420">
            <v>3</v>
          </cell>
          <cell r="AB420" t="str">
            <v>X</v>
          </cell>
          <cell r="AC420" t="str">
            <v>X</v>
          </cell>
          <cell r="AD420" t="str">
            <v>X</v>
          </cell>
          <cell r="AH420" t="str">
            <v>N</v>
          </cell>
          <cell r="AI420" t="str">
            <v>N</v>
          </cell>
          <cell r="AK420" t="str">
            <v>228.RUE ABTIH QUARTIER TAKADDOUM - KHGA</v>
          </cell>
          <cell r="AL420" t="str">
            <v>4AS</v>
          </cell>
          <cell r="AM420" t="str">
            <v>CEP.CFO</v>
          </cell>
          <cell r="AP420" t="str">
            <v>Q 6692</v>
          </cell>
          <cell r="AQ420">
            <v>0</v>
          </cell>
          <cell r="AR420" t="str">
            <v>B</v>
          </cell>
          <cell r="AS420" t="str">
            <v>POPULAIRE  KHGA</v>
          </cell>
          <cell r="AT420" t="str">
            <v>2111112832440007</v>
          </cell>
          <cell r="AU420" t="str">
            <v>/  /</v>
          </cell>
          <cell r="AW420">
            <v>37987</v>
          </cell>
          <cell r="AY420" t="str">
            <v>XX</v>
          </cell>
          <cell r="BA420" t="str">
            <v>2</v>
          </cell>
          <cell r="BB420">
            <v>1</v>
          </cell>
          <cell r="BD420">
            <v>0</v>
          </cell>
          <cell r="BE420" t="str">
            <v>M</v>
          </cell>
          <cell r="BF420" t="str">
            <v>N</v>
          </cell>
          <cell r="BG420">
            <v>1</v>
          </cell>
          <cell r="BH420">
            <v>38169</v>
          </cell>
        </row>
        <row r="421">
          <cell r="A421">
            <v>62615</v>
          </cell>
          <cell r="B421">
            <v>413</v>
          </cell>
          <cell r="C421" t="str">
            <v>C6200</v>
          </cell>
          <cell r="D421" t="str">
            <v>EL HOURRI</v>
          </cell>
          <cell r="E421" t="str">
            <v>MOHAMED</v>
          </cell>
          <cell r="F421">
            <v>18809</v>
          </cell>
          <cell r="G421" t="str">
            <v>3</v>
          </cell>
          <cell r="H421" t="str">
            <v>BOUJNIBA</v>
          </cell>
          <cell r="I421" t="str">
            <v>D</v>
          </cell>
          <cell r="J421">
            <v>25549</v>
          </cell>
          <cell r="K421">
            <v>33573</v>
          </cell>
          <cell r="L421" t="str">
            <v>32</v>
          </cell>
          <cell r="M421" t="str">
            <v>B</v>
          </cell>
          <cell r="N421">
            <v>35612</v>
          </cell>
          <cell r="O421">
            <v>0</v>
          </cell>
          <cell r="P421">
            <v>32</v>
          </cell>
          <cell r="Q421" t="str">
            <v>O</v>
          </cell>
          <cell r="R421" t="str">
            <v>N</v>
          </cell>
          <cell r="S421">
            <v>0</v>
          </cell>
          <cell r="T421" t="str">
            <v>M</v>
          </cell>
          <cell r="U421" t="str">
            <v>EL HOUSSI RACHIDA</v>
          </cell>
          <cell r="X421">
            <v>6</v>
          </cell>
          <cell r="Y421">
            <v>4</v>
          </cell>
          <cell r="AB421" t="str">
            <v>X</v>
          </cell>
          <cell r="AC421" t="str">
            <v>X</v>
          </cell>
          <cell r="AD421" t="str">
            <v>X</v>
          </cell>
          <cell r="AH421" t="str">
            <v>N</v>
          </cell>
          <cell r="AI421" t="str">
            <v>O</v>
          </cell>
          <cell r="AJ421">
            <v>36161</v>
          </cell>
          <cell r="AK421" t="str">
            <v>4.BLOC J RUE LAAYOUNE NAHDA KHOURIBGA</v>
          </cell>
          <cell r="AL421" t="str">
            <v>3AS</v>
          </cell>
          <cell r="AM421" t="str">
            <v>CFO</v>
          </cell>
          <cell r="AP421" t="str">
            <v>Q 36119</v>
          </cell>
          <cell r="AQ421">
            <v>0</v>
          </cell>
          <cell r="AR421" t="str">
            <v>B</v>
          </cell>
          <cell r="AS421" t="str">
            <v>S.G.M.B - KHGA</v>
          </cell>
          <cell r="AT421" t="str">
            <v>067009068448</v>
          </cell>
          <cell r="AU421" t="str">
            <v>/  /</v>
          </cell>
          <cell r="AW421">
            <v>37622</v>
          </cell>
          <cell r="AX421">
            <v>37555</v>
          </cell>
          <cell r="AY421" t="str">
            <v>XX</v>
          </cell>
          <cell r="BA421" t="str">
            <v>2</v>
          </cell>
          <cell r="BB421">
            <v>1</v>
          </cell>
          <cell r="BD421">
            <v>0</v>
          </cell>
          <cell r="BE421" t="str">
            <v>M</v>
          </cell>
          <cell r="BF421" t="str">
            <v>N</v>
          </cell>
          <cell r="BG421">
            <v>1</v>
          </cell>
          <cell r="BH421">
            <v>37073</v>
          </cell>
          <cell r="BI421" t="str">
            <v>O</v>
          </cell>
        </row>
        <row r="422">
          <cell r="A422">
            <v>63776</v>
          </cell>
          <cell r="B422">
            <v>413</v>
          </cell>
          <cell r="C422" t="str">
            <v>C6200</v>
          </cell>
          <cell r="D422" t="str">
            <v>MOUALLEK</v>
          </cell>
          <cell r="E422" t="str">
            <v>ALI</v>
          </cell>
          <cell r="F422">
            <v>19237</v>
          </cell>
          <cell r="H422" t="str">
            <v>AGADIR</v>
          </cell>
          <cell r="I422" t="str">
            <v>D</v>
          </cell>
          <cell r="J422">
            <v>26592</v>
          </cell>
          <cell r="K422">
            <v>33573</v>
          </cell>
          <cell r="L422" t="str">
            <v>32</v>
          </cell>
          <cell r="M422" t="str">
            <v>A</v>
          </cell>
          <cell r="N422">
            <v>33573</v>
          </cell>
          <cell r="P422">
            <v>30</v>
          </cell>
          <cell r="Q422" t="str">
            <v>O</v>
          </cell>
          <cell r="R422" t="str">
            <v>N</v>
          </cell>
          <cell r="S422">
            <v>0</v>
          </cell>
          <cell r="T422" t="str">
            <v>M</v>
          </cell>
          <cell r="U422" t="str">
            <v>NASSIR SAADIA BENT MAHMOUD</v>
          </cell>
          <cell r="X422">
            <v>4</v>
          </cell>
          <cell r="Y422">
            <v>4</v>
          </cell>
          <cell r="AB422" t="str">
            <v>N</v>
          </cell>
          <cell r="AC422" t="str">
            <v>X</v>
          </cell>
          <cell r="AD422" t="str">
            <v>X</v>
          </cell>
          <cell r="AH422" t="str">
            <v>N</v>
          </cell>
          <cell r="AI422" t="str">
            <v>N</v>
          </cell>
          <cell r="AK422" t="str">
            <v>1170 HAY EL AMAL ERAC - KHOURIBGA</v>
          </cell>
          <cell r="AL422" t="str">
            <v>3AS</v>
          </cell>
          <cell r="AM422" t="str">
            <v>CFO</v>
          </cell>
          <cell r="AP422" t="str">
            <v>H 93625</v>
          </cell>
          <cell r="AQ422">
            <v>0</v>
          </cell>
          <cell r="AR422" t="str">
            <v>B</v>
          </cell>
          <cell r="AS422" t="str">
            <v>POPULAIRE  KHGA</v>
          </cell>
          <cell r="AT422" t="str">
            <v>2111112814880022</v>
          </cell>
          <cell r="AU422" t="str">
            <v>/  /</v>
          </cell>
          <cell r="AW422">
            <v>37622</v>
          </cell>
          <cell r="AY422" t="str">
            <v>XX</v>
          </cell>
          <cell r="BA422" t="str">
            <v>2</v>
          </cell>
          <cell r="BB422">
            <v>1</v>
          </cell>
          <cell r="BD422">
            <v>0</v>
          </cell>
          <cell r="BE422" t="str">
            <v>M</v>
          </cell>
          <cell r="BF422" t="str">
            <v>N</v>
          </cell>
          <cell r="BG422">
            <v>1</v>
          </cell>
          <cell r="BH422">
            <v>37622</v>
          </cell>
        </row>
        <row r="423">
          <cell r="A423">
            <v>63920</v>
          </cell>
          <cell r="B423">
            <v>413</v>
          </cell>
          <cell r="C423" t="str">
            <v>C6200</v>
          </cell>
          <cell r="D423" t="str">
            <v>ZAIDA</v>
          </cell>
          <cell r="E423" t="str">
            <v>SALAH</v>
          </cell>
          <cell r="F423">
            <v>19305</v>
          </cell>
          <cell r="G423" t="str">
            <v>1</v>
          </cell>
          <cell r="H423" t="str">
            <v>OULED BHAR SGHAR KHOURIBGA</v>
          </cell>
          <cell r="I423" t="str">
            <v>D</v>
          </cell>
          <cell r="J423">
            <v>26658</v>
          </cell>
          <cell r="K423">
            <v>35065</v>
          </cell>
          <cell r="L423" t="str">
            <v>32</v>
          </cell>
          <cell r="M423" t="str">
            <v>A</v>
          </cell>
          <cell r="N423">
            <v>35065</v>
          </cell>
          <cell r="P423">
            <v>30</v>
          </cell>
          <cell r="Q423" t="str">
            <v>N</v>
          </cell>
          <cell r="R423" t="str">
            <v>O</v>
          </cell>
          <cell r="S423">
            <v>3</v>
          </cell>
          <cell r="T423" t="str">
            <v>M</v>
          </cell>
          <cell r="U423" t="str">
            <v>FATNA BENT AHMED</v>
          </cell>
          <cell r="V423" t="str">
            <v>EL KBIRA BENT AHMED</v>
          </cell>
          <cell r="X423">
            <v>10</v>
          </cell>
          <cell r="Y423">
            <v>6</v>
          </cell>
          <cell r="AB423" t="str">
            <v>X</v>
          </cell>
          <cell r="AC423" t="str">
            <v>X</v>
          </cell>
          <cell r="AD423" t="str">
            <v>X</v>
          </cell>
          <cell r="AH423" t="str">
            <v>N</v>
          </cell>
          <cell r="AI423" t="str">
            <v>N</v>
          </cell>
          <cell r="AK423" t="str">
            <v>DOUAR OULED AMAR M'FASSIS</v>
          </cell>
          <cell r="AL423" t="str">
            <v>4AS</v>
          </cell>
          <cell r="AM423" t="str">
            <v>CFA</v>
          </cell>
          <cell r="AP423" t="str">
            <v>Q 35348</v>
          </cell>
          <cell r="AQ423">
            <v>0</v>
          </cell>
          <cell r="AR423" t="str">
            <v>B</v>
          </cell>
          <cell r="AS423" t="str">
            <v>WAFABANK - KHGA</v>
          </cell>
          <cell r="AT423" t="str">
            <v>1220301179429</v>
          </cell>
          <cell r="AU423" t="str">
            <v>/  /</v>
          </cell>
          <cell r="AW423">
            <v>38551</v>
          </cell>
          <cell r="AX423">
            <v>38551</v>
          </cell>
          <cell r="AY423" t="str">
            <v>XX</v>
          </cell>
          <cell r="BA423" t="str">
            <v>2</v>
          </cell>
          <cell r="BB423">
            <v>1</v>
          </cell>
          <cell r="BD423">
            <v>0</v>
          </cell>
          <cell r="BE423" t="str">
            <v>M</v>
          </cell>
          <cell r="BF423" t="str">
            <v>N</v>
          </cell>
          <cell r="BG423">
            <v>0</v>
          </cell>
          <cell r="BH423">
            <v>37622</v>
          </cell>
        </row>
        <row r="424">
          <cell r="A424">
            <v>45732</v>
          </cell>
          <cell r="B424">
            <v>413</v>
          </cell>
          <cell r="C424" t="str">
            <v>C7200</v>
          </cell>
          <cell r="D424" t="str">
            <v>BAYAD</v>
          </cell>
          <cell r="E424" t="str">
            <v>AHMED</v>
          </cell>
          <cell r="F424">
            <v>18809</v>
          </cell>
          <cell r="H424" t="str">
            <v>OULED M'RAH</v>
          </cell>
          <cell r="I424" t="str">
            <v>D</v>
          </cell>
          <cell r="J424">
            <v>26681</v>
          </cell>
          <cell r="K424">
            <v>33573</v>
          </cell>
          <cell r="L424" t="str">
            <v>33</v>
          </cell>
          <cell r="M424" t="str">
            <v>B</v>
          </cell>
          <cell r="N424">
            <v>35612</v>
          </cell>
          <cell r="O424">
            <v>0</v>
          </cell>
          <cell r="P424">
            <v>30</v>
          </cell>
          <cell r="Q424" t="str">
            <v>O</v>
          </cell>
          <cell r="R424" t="str">
            <v>N</v>
          </cell>
          <cell r="S424">
            <v>0</v>
          </cell>
          <cell r="T424" t="str">
            <v>M</v>
          </cell>
          <cell r="U424" t="str">
            <v>FATNA BENT ABDESLAM</v>
          </cell>
          <cell r="V424" t="str">
            <v>EL HARCHADI RKIA</v>
          </cell>
          <cell r="X424">
            <v>7</v>
          </cell>
          <cell r="Y424">
            <v>6</v>
          </cell>
          <cell r="AB424" t="str">
            <v>X</v>
          </cell>
          <cell r="AC424" t="str">
            <v>X</v>
          </cell>
          <cell r="AD424" t="str">
            <v>X</v>
          </cell>
          <cell r="AF424" t="str">
            <v>O N C F</v>
          </cell>
          <cell r="AH424" t="str">
            <v>N</v>
          </cell>
          <cell r="AI424" t="str">
            <v>N</v>
          </cell>
          <cell r="AK424" t="str">
            <v>118.QUARTIER IQBAL EL MASSIRA KHOURIBGA</v>
          </cell>
          <cell r="AL424" t="str">
            <v>3AS</v>
          </cell>
          <cell r="AM424" t="str">
            <v>CEP.</v>
          </cell>
          <cell r="AP424" t="str">
            <v>Q 88839</v>
          </cell>
          <cell r="AQ424">
            <v>0</v>
          </cell>
          <cell r="AR424" t="str">
            <v>B</v>
          </cell>
          <cell r="AS424" t="str">
            <v>BCM</v>
          </cell>
          <cell r="AT424" t="str">
            <v>00097 A 300891</v>
          </cell>
          <cell r="AU424" t="str">
            <v>/  /</v>
          </cell>
          <cell r="AW424">
            <v>37622</v>
          </cell>
          <cell r="AX424">
            <v>37555</v>
          </cell>
          <cell r="AY424" t="str">
            <v>XX</v>
          </cell>
          <cell r="AZ424" t="str">
            <v>M</v>
          </cell>
          <cell r="BA424" t="str">
            <v>2</v>
          </cell>
          <cell r="BB424">
            <v>1</v>
          </cell>
          <cell r="BD424">
            <v>0</v>
          </cell>
          <cell r="BE424" t="str">
            <v>M</v>
          </cell>
          <cell r="BF424" t="str">
            <v>N</v>
          </cell>
          <cell r="BG424">
            <v>1</v>
          </cell>
          <cell r="BH424">
            <v>37073</v>
          </cell>
          <cell r="BI424" t="str">
            <v>O</v>
          </cell>
        </row>
        <row r="425">
          <cell r="A425">
            <v>64292</v>
          </cell>
          <cell r="B425">
            <v>413</v>
          </cell>
          <cell r="C425" t="str">
            <v>C6200</v>
          </cell>
          <cell r="D425" t="str">
            <v>EL MAKHFI</v>
          </cell>
          <cell r="E425" t="str">
            <v>HASSAN</v>
          </cell>
          <cell r="F425">
            <v>18809</v>
          </cell>
          <cell r="G425" t="str">
            <v>4</v>
          </cell>
          <cell r="H425" t="str">
            <v>BOULANOUAR</v>
          </cell>
          <cell r="I425" t="str">
            <v>D</v>
          </cell>
          <cell r="J425">
            <v>30329</v>
          </cell>
          <cell r="K425">
            <v>32478</v>
          </cell>
          <cell r="L425" t="str">
            <v>32</v>
          </cell>
          <cell r="M425" t="str">
            <v>B</v>
          </cell>
          <cell r="N425">
            <v>35612</v>
          </cell>
          <cell r="P425">
            <v>20</v>
          </cell>
          <cell r="Q425" t="str">
            <v>O</v>
          </cell>
          <cell r="R425" t="str">
            <v>N</v>
          </cell>
          <cell r="S425">
            <v>0</v>
          </cell>
          <cell r="T425" t="str">
            <v>M</v>
          </cell>
          <cell r="U425" t="str">
            <v>SEKKAKI FATIMA BENT MOHAMED</v>
          </cell>
          <cell r="X425">
            <v>4</v>
          </cell>
          <cell r="Y425">
            <v>4</v>
          </cell>
          <cell r="AB425" t="str">
            <v>X</v>
          </cell>
          <cell r="AC425" t="str">
            <v>X</v>
          </cell>
          <cell r="AD425" t="str">
            <v>X</v>
          </cell>
          <cell r="AH425" t="str">
            <v>N</v>
          </cell>
          <cell r="AI425" t="str">
            <v>N</v>
          </cell>
          <cell r="AK425" t="str">
            <v>401 BENI AMIR DB OULED EL AROUI - KHGA</v>
          </cell>
          <cell r="AL425" t="str">
            <v>3AS</v>
          </cell>
          <cell r="AM425" t="str">
            <v>CET.</v>
          </cell>
          <cell r="AP425" t="str">
            <v>Q 48620</v>
          </cell>
          <cell r="AQ425">
            <v>0</v>
          </cell>
          <cell r="AR425" t="str">
            <v>B</v>
          </cell>
          <cell r="AS425" t="str">
            <v>CR.MAROC - KHGA</v>
          </cell>
          <cell r="AT425" t="str">
            <v>820010014671</v>
          </cell>
          <cell r="AU425" t="str">
            <v>/  /</v>
          </cell>
          <cell r="AW425">
            <v>38899</v>
          </cell>
          <cell r="AX425">
            <v>38899</v>
          </cell>
          <cell r="AY425" t="str">
            <v>XX</v>
          </cell>
          <cell r="BA425" t="str">
            <v>8</v>
          </cell>
          <cell r="BB425">
            <v>1</v>
          </cell>
          <cell r="BD425">
            <v>0</v>
          </cell>
          <cell r="BE425" t="str">
            <v>M</v>
          </cell>
          <cell r="BF425" t="str">
            <v>N</v>
          </cell>
          <cell r="BG425">
            <v>1</v>
          </cell>
          <cell r="BH425">
            <v>38899</v>
          </cell>
        </row>
        <row r="426">
          <cell r="A426">
            <v>64434</v>
          </cell>
          <cell r="B426">
            <v>413</v>
          </cell>
          <cell r="C426" t="str">
            <v>C3754</v>
          </cell>
          <cell r="D426" t="str">
            <v>KHAYOUB</v>
          </cell>
          <cell r="E426" t="str">
            <v>MOHAMMED</v>
          </cell>
          <cell r="F426">
            <v>17714</v>
          </cell>
          <cell r="G426" t="str">
            <v>1</v>
          </cell>
          <cell r="H426" t="str">
            <v>OULED BHAR KBAR KHOURIBGA</v>
          </cell>
          <cell r="I426" t="str">
            <v>D</v>
          </cell>
          <cell r="J426">
            <v>29319</v>
          </cell>
          <cell r="K426">
            <v>37012</v>
          </cell>
          <cell r="L426" t="str">
            <v>21</v>
          </cell>
          <cell r="M426" t="str">
            <v>A</v>
          </cell>
          <cell r="N426">
            <v>37012</v>
          </cell>
          <cell r="P426">
            <v>23</v>
          </cell>
          <cell r="Q426" t="str">
            <v>O</v>
          </cell>
          <cell r="R426" t="str">
            <v>N</v>
          </cell>
          <cell r="S426">
            <v>0</v>
          </cell>
          <cell r="T426" t="str">
            <v>M</v>
          </cell>
          <cell r="U426" t="str">
            <v>MAHJOUBA BENT M'BAREK</v>
          </cell>
          <cell r="X426">
            <v>8</v>
          </cell>
          <cell r="Y426">
            <v>4</v>
          </cell>
          <cell r="AB426" t="str">
            <v>X</v>
          </cell>
          <cell r="AC426" t="str">
            <v>X</v>
          </cell>
          <cell r="AD426" t="str">
            <v>X</v>
          </cell>
          <cell r="AH426" t="str">
            <v>N</v>
          </cell>
          <cell r="AI426" t="str">
            <v>N</v>
          </cell>
          <cell r="AK426" t="str">
            <v>237 ANCIEN TACHERON OCP - BOUJNIBA</v>
          </cell>
          <cell r="AL426" t="str">
            <v>ILLETTRE</v>
          </cell>
          <cell r="AP426" t="str">
            <v>Q 99090</v>
          </cell>
          <cell r="AQ426">
            <v>0</v>
          </cell>
          <cell r="AR426" t="str">
            <v>B</v>
          </cell>
          <cell r="AS426" t="str">
            <v>BMCE- KHGA</v>
          </cell>
          <cell r="AT426" t="str">
            <v>4000001200001428188</v>
          </cell>
          <cell r="AU426" t="str">
            <v>/  /</v>
          </cell>
          <cell r="AW426">
            <v>37438</v>
          </cell>
          <cell r="AY426" t="str">
            <v>XX</v>
          </cell>
          <cell r="BA426" t="str">
            <v>6</v>
          </cell>
          <cell r="BB426">
            <v>1</v>
          </cell>
          <cell r="BD426">
            <v>0</v>
          </cell>
          <cell r="BE426" t="str">
            <v>M</v>
          </cell>
          <cell r="BF426" t="str">
            <v>N</v>
          </cell>
          <cell r="BG426">
            <v>50</v>
          </cell>
          <cell r="BH426">
            <v>37803</v>
          </cell>
        </row>
        <row r="427">
          <cell r="A427">
            <v>66393</v>
          </cell>
          <cell r="B427">
            <v>413</v>
          </cell>
          <cell r="C427" t="str">
            <v>X3200</v>
          </cell>
          <cell r="D427" t="str">
            <v>MARIANI</v>
          </cell>
          <cell r="E427" t="str">
            <v>ABDERRAHMAN</v>
          </cell>
          <cell r="F427">
            <v>19905</v>
          </cell>
          <cell r="G427" t="str">
            <v>1</v>
          </cell>
          <cell r="H427" t="str">
            <v>OULED BHAR KBAR KHOURIBGA</v>
          </cell>
          <cell r="I427" t="str">
            <v>D</v>
          </cell>
          <cell r="J427">
            <v>27281</v>
          </cell>
          <cell r="K427">
            <v>37073</v>
          </cell>
          <cell r="L427" t="str">
            <v>41</v>
          </cell>
          <cell r="M427" t="str">
            <v>A</v>
          </cell>
          <cell r="N427">
            <v>37073</v>
          </cell>
          <cell r="P427">
            <v>28</v>
          </cell>
          <cell r="Q427" t="str">
            <v>O</v>
          </cell>
          <cell r="R427" t="str">
            <v>N</v>
          </cell>
          <cell r="S427">
            <v>0</v>
          </cell>
          <cell r="T427" t="str">
            <v>M</v>
          </cell>
          <cell r="U427" t="str">
            <v>FATTOUMA BENT EL MILOUDI</v>
          </cell>
          <cell r="X427">
            <v>3</v>
          </cell>
          <cell r="Y427">
            <v>2</v>
          </cell>
          <cell r="AB427" t="str">
            <v>X</v>
          </cell>
          <cell r="AC427" t="str">
            <v>X</v>
          </cell>
          <cell r="AD427" t="str">
            <v>X</v>
          </cell>
          <cell r="AH427" t="str">
            <v>N</v>
          </cell>
          <cell r="AI427" t="str">
            <v>N</v>
          </cell>
          <cell r="AK427" t="str">
            <v>N° 194 BLOC 3 - BOUJNIBA</v>
          </cell>
          <cell r="AL427" t="str">
            <v>2AS</v>
          </cell>
          <cell r="AM427" t="str">
            <v>CFO</v>
          </cell>
          <cell r="AP427" t="str">
            <v>Q 25575</v>
          </cell>
          <cell r="AQ427">
            <v>0</v>
          </cell>
          <cell r="AR427" t="str">
            <v>B</v>
          </cell>
          <cell r="AS427" t="str">
            <v>BCM - KHGA</v>
          </cell>
          <cell r="AT427" t="str">
            <v>097H305494</v>
          </cell>
          <cell r="AU427" t="str">
            <v>/  /</v>
          </cell>
          <cell r="AW427">
            <v>38169</v>
          </cell>
          <cell r="AY427" t="str">
            <v>XX</v>
          </cell>
          <cell r="BA427" t="str">
            <v>2</v>
          </cell>
          <cell r="BB427">
            <v>1</v>
          </cell>
          <cell r="BD427">
            <v>0</v>
          </cell>
          <cell r="BE427" t="str">
            <v>M</v>
          </cell>
          <cell r="BF427" t="str">
            <v>N</v>
          </cell>
          <cell r="BG427">
            <v>50</v>
          </cell>
          <cell r="BH427">
            <v>38169</v>
          </cell>
          <cell r="BI427" t="str">
            <v>O</v>
          </cell>
        </row>
        <row r="428">
          <cell r="A428">
            <v>66455</v>
          </cell>
          <cell r="B428">
            <v>413</v>
          </cell>
          <cell r="C428" t="str">
            <v>C4200</v>
          </cell>
          <cell r="D428" t="str">
            <v>JAIL</v>
          </cell>
          <cell r="E428" t="str">
            <v>ABDELKADER</v>
          </cell>
          <cell r="F428">
            <v>19905</v>
          </cell>
          <cell r="G428" t="str">
            <v>1</v>
          </cell>
          <cell r="H428" t="str">
            <v>KHOURIBGA</v>
          </cell>
          <cell r="I428" t="str">
            <v>D</v>
          </cell>
          <cell r="J428">
            <v>27290</v>
          </cell>
          <cell r="K428">
            <v>36526</v>
          </cell>
          <cell r="L428" t="str">
            <v>22</v>
          </cell>
          <cell r="M428" t="str">
            <v>A</v>
          </cell>
          <cell r="N428">
            <v>36526</v>
          </cell>
          <cell r="P428">
            <v>28</v>
          </cell>
          <cell r="Q428" t="str">
            <v>O</v>
          </cell>
          <cell r="R428" t="str">
            <v>N</v>
          </cell>
          <cell r="S428">
            <v>0</v>
          </cell>
          <cell r="T428" t="str">
            <v>M</v>
          </cell>
          <cell r="U428" t="str">
            <v>INABI HABIBA BT EL KHADIR</v>
          </cell>
          <cell r="X428">
            <v>6</v>
          </cell>
          <cell r="Y428">
            <v>3</v>
          </cell>
          <cell r="AB428" t="str">
            <v>X</v>
          </cell>
          <cell r="AC428" t="str">
            <v>X</v>
          </cell>
          <cell r="AD428" t="str">
            <v>X</v>
          </cell>
          <cell r="AH428" t="str">
            <v>N</v>
          </cell>
          <cell r="AI428" t="str">
            <v>N</v>
          </cell>
          <cell r="AK428" t="str">
            <v>19 ANCIENNE MEDINA KHOURIBGA</v>
          </cell>
          <cell r="AL428" t="str">
            <v>2AS</v>
          </cell>
          <cell r="AM428" t="str">
            <v>CEP</v>
          </cell>
          <cell r="AP428" t="str">
            <v>Q 34834</v>
          </cell>
          <cell r="AQ428">
            <v>0</v>
          </cell>
          <cell r="AR428" t="str">
            <v>B</v>
          </cell>
          <cell r="AS428" t="str">
            <v>CRED MAROC KHGA</v>
          </cell>
          <cell r="AT428" t="str">
            <v>820010025444</v>
          </cell>
          <cell r="AU428" t="str">
            <v>/  /</v>
          </cell>
          <cell r="AW428">
            <v>38169</v>
          </cell>
          <cell r="AY428" t="str">
            <v>XX</v>
          </cell>
          <cell r="BA428" t="str">
            <v>2</v>
          </cell>
          <cell r="BB428">
            <v>1</v>
          </cell>
          <cell r="BD428">
            <v>0</v>
          </cell>
          <cell r="BE428" t="str">
            <v>M</v>
          </cell>
          <cell r="BF428" t="str">
            <v>N</v>
          </cell>
          <cell r="BG428">
            <v>1</v>
          </cell>
          <cell r="BH428">
            <v>38169</v>
          </cell>
        </row>
        <row r="429">
          <cell r="A429">
            <v>67383</v>
          </cell>
          <cell r="B429">
            <v>413</v>
          </cell>
          <cell r="C429" t="str">
            <v>C4200</v>
          </cell>
          <cell r="D429" t="str">
            <v>KLEM</v>
          </cell>
          <cell r="E429" t="str">
            <v>EL MOSTAFA</v>
          </cell>
          <cell r="F429">
            <v>20228</v>
          </cell>
          <cell r="G429" t="str">
            <v>1</v>
          </cell>
          <cell r="H429" t="str">
            <v>OULED ABDOUNE</v>
          </cell>
          <cell r="I429" t="str">
            <v>D</v>
          </cell>
          <cell r="J429">
            <v>27450</v>
          </cell>
          <cell r="K429">
            <v>36526</v>
          </cell>
          <cell r="L429" t="str">
            <v>22</v>
          </cell>
          <cell r="M429" t="str">
            <v>A</v>
          </cell>
          <cell r="N429">
            <v>36526</v>
          </cell>
          <cell r="P429">
            <v>29</v>
          </cell>
          <cell r="Q429" t="str">
            <v>O</v>
          </cell>
          <cell r="R429" t="str">
            <v>N</v>
          </cell>
          <cell r="S429">
            <v>0</v>
          </cell>
          <cell r="T429" t="str">
            <v>M</v>
          </cell>
          <cell r="U429" t="str">
            <v>ESSAKTA HABIBA</v>
          </cell>
          <cell r="X429">
            <v>0</v>
          </cell>
          <cell r="Y429">
            <v>0</v>
          </cell>
          <cell r="AB429" t="str">
            <v>N</v>
          </cell>
          <cell r="AC429" t="str">
            <v>X</v>
          </cell>
          <cell r="AD429" t="str">
            <v>X</v>
          </cell>
          <cell r="AH429" t="str">
            <v>N</v>
          </cell>
          <cell r="AI429" t="str">
            <v>N</v>
          </cell>
          <cell r="AK429" t="str">
            <v>40 NOUVELLE MEDINA ,SECHAGE KHOURIBGA</v>
          </cell>
          <cell r="AL429" t="str">
            <v>3AS</v>
          </cell>
          <cell r="AP429" t="str">
            <v>Q 57137</v>
          </cell>
          <cell r="AQ429">
            <v>0</v>
          </cell>
          <cell r="AR429" t="str">
            <v>B</v>
          </cell>
          <cell r="AS429" t="str">
            <v>CRED.MAROC KHGA</v>
          </cell>
          <cell r="AT429" t="str">
            <v>820010021736</v>
          </cell>
          <cell r="AU429" t="str">
            <v>/  /</v>
          </cell>
          <cell r="AW429">
            <v>38534</v>
          </cell>
          <cell r="AY429" t="str">
            <v>XX</v>
          </cell>
          <cell r="BA429" t="str">
            <v>2</v>
          </cell>
          <cell r="BB429">
            <v>1</v>
          </cell>
          <cell r="BD429">
            <v>0</v>
          </cell>
          <cell r="BE429" t="str">
            <v>M</v>
          </cell>
          <cell r="BF429" t="str">
            <v>N</v>
          </cell>
          <cell r="BG429">
            <v>1</v>
          </cell>
          <cell r="BH429">
            <v>38534</v>
          </cell>
        </row>
        <row r="430">
          <cell r="A430">
            <v>67622</v>
          </cell>
          <cell r="B430">
            <v>413</v>
          </cell>
          <cell r="C430" t="str">
            <v>C6200</v>
          </cell>
          <cell r="D430" t="str">
            <v>SAAD</v>
          </cell>
          <cell r="E430" t="str">
            <v>ABDERRAHIM</v>
          </cell>
          <cell r="F430">
            <v>20788</v>
          </cell>
          <cell r="G430" t="str">
            <v>1</v>
          </cell>
          <cell r="H430" t="str">
            <v>KHOURIBGA</v>
          </cell>
          <cell r="I430" t="str">
            <v>D</v>
          </cell>
          <cell r="J430">
            <v>27494</v>
          </cell>
          <cell r="K430">
            <v>37043</v>
          </cell>
          <cell r="L430" t="str">
            <v>32</v>
          </cell>
          <cell r="M430" t="str">
            <v>A</v>
          </cell>
          <cell r="N430">
            <v>37043</v>
          </cell>
          <cell r="P430">
            <v>28</v>
          </cell>
          <cell r="Q430" t="str">
            <v>O</v>
          </cell>
          <cell r="R430" t="str">
            <v>N</v>
          </cell>
          <cell r="S430">
            <v>0</v>
          </cell>
          <cell r="T430" t="str">
            <v>M</v>
          </cell>
          <cell r="U430" t="str">
            <v>KHADOUJ BENT AHMED</v>
          </cell>
          <cell r="X430">
            <v>2</v>
          </cell>
          <cell r="Y430">
            <v>2</v>
          </cell>
          <cell r="Z430" t="str">
            <v>N</v>
          </cell>
          <cell r="AA430" t="str">
            <v>29/07/86</v>
          </cell>
          <cell r="AB430" t="str">
            <v>X</v>
          </cell>
          <cell r="AC430" t="str">
            <v>X</v>
          </cell>
          <cell r="AD430" t="str">
            <v>X</v>
          </cell>
          <cell r="AH430" t="str">
            <v>N</v>
          </cell>
          <cell r="AI430" t="str">
            <v>N</v>
          </cell>
          <cell r="AK430" t="str">
            <v>283.NOUVELLE CONSTRUCTION KHOURIBGA</v>
          </cell>
          <cell r="AL430" t="str">
            <v>4AS</v>
          </cell>
          <cell r="AM430" t="str">
            <v>CFO.</v>
          </cell>
          <cell r="AP430" t="str">
            <v>Q 8132</v>
          </cell>
          <cell r="AQ430">
            <v>0</v>
          </cell>
          <cell r="AR430" t="str">
            <v>B</v>
          </cell>
          <cell r="AS430" t="str">
            <v>CREDIT.MAR.KHGA</v>
          </cell>
          <cell r="AT430" t="str">
            <v>0820010027892</v>
          </cell>
          <cell r="AU430" t="str">
            <v>/  /</v>
          </cell>
          <cell r="AW430">
            <v>41073</v>
          </cell>
          <cell r="AX430">
            <v>41073</v>
          </cell>
          <cell r="AY430" t="str">
            <v>XX</v>
          </cell>
          <cell r="BA430" t="str">
            <v>2</v>
          </cell>
          <cell r="BB430">
            <v>1</v>
          </cell>
          <cell r="BD430">
            <v>0</v>
          </cell>
          <cell r="BE430" t="str">
            <v>M</v>
          </cell>
          <cell r="BF430" t="str">
            <v>N</v>
          </cell>
          <cell r="BG430">
            <v>1</v>
          </cell>
          <cell r="BH430">
            <v>39083</v>
          </cell>
        </row>
        <row r="431">
          <cell r="A431">
            <v>67715</v>
          </cell>
          <cell r="B431">
            <v>413</v>
          </cell>
          <cell r="C431" t="str">
            <v>C3000</v>
          </cell>
          <cell r="D431" t="str">
            <v>MOUNJID</v>
          </cell>
          <cell r="E431" t="str">
            <v>EL MATI</v>
          </cell>
          <cell r="F431">
            <v>19948</v>
          </cell>
          <cell r="G431" t="str">
            <v>3</v>
          </cell>
          <cell r="H431" t="str">
            <v>BOUJNIBA</v>
          </cell>
          <cell r="I431" t="str">
            <v>D</v>
          </cell>
          <cell r="J431">
            <v>27523</v>
          </cell>
          <cell r="K431">
            <v>36312</v>
          </cell>
          <cell r="L431" t="str">
            <v>21</v>
          </cell>
          <cell r="M431" t="str">
            <v>C</v>
          </cell>
          <cell r="N431">
            <v>36312</v>
          </cell>
          <cell r="P431">
            <v>27</v>
          </cell>
          <cell r="Q431" t="str">
            <v>O</v>
          </cell>
          <cell r="R431" t="str">
            <v>N</v>
          </cell>
          <cell r="S431">
            <v>0</v>
          </cell>
          <cell r="T431" t="str">
            <v>M</v>
          </cell>
          <cell r="U431" t="str">
            <v>EL KBIRA BENT MOHAMED</v>
          </cell>
          <cell r="X431">
            <v>3</v>
          </cell>
          <cell r="Y431">
            <v>3</v>
          </cell>
          <cell r="AB431" t="str">
            <v>X</v>
          </cell>
          <cell r="AC431" t="str">
            <v>X</v>
          </cell>
          <cell r="AD431" t="str">
            <v>X</v>
          </cell>
          <cell r="AH431" t="str">
            <v>N</v>
          </cell>
          <cell r="AI431" t="str">
            <v>N</v>
          </cell>
          <cell r="AK431" t="str">
            <v>46 VILLAGE OCP BOULANOUAR KHGA</v>
          </cell>
          <cell r="AL431" t="str">
            <v>4AS</v>
          </cell>
          <cell r="AM431" t="str">
            <v>CEP</v>
          </cell>
          <cell r="AP431" t="str">
            <v>Q 15606</v>
          </cell>
          <cell r="AQ431">
            <v>0</v>
          </cell>
          <cell r="AR431" t="str">
            <v>B</v>
          </cell>
          <cell r="AS431" t="str">
            <v>CR-MAROC - KHGA</v>
          </cell>
          <cell r="AT431" t="str">
            <v>082001076853</v>
          </cell>
          <cell r="AU431" t="str">
            <v>/  /</v>
          </cell>
          <cell r="AW431">
            <v>38353</v>
          </cell>
          <cell r="AY431" t="str">
            <v>XX</v>
          </cell>
          <cell r="AZ431" t="str">
            <v>R</v>
          </cell>
          <cell r="BA431" t="str">
            <v>6</v>
          </cell>
          <cell r="BB431">
            <v>1</v>
          </cell>
          <cell r="BD431">
            <v>0</v>
          </cell>
          <cell r="BE431" t="str">
            <v>M</v>
          </cell>
          <cell r="BF431" t="str">
            <v>N</v>
          </cell>
          <cell r="BG431">
            <v>40</v>
          </cell>
          <cell r="BH431">
            <v>38353</v>
          </cell>
        </row>
        <row r="432">
          <cell r="A432">
            <v>68853</v>
          </cell>
          <cell r="B432">
            <v>413</v>
          </cell>
          <cell r="C432" t="str">
            <v>X3200</v>
          </cell>
          <cell r="D432" t="str">
            <v>BAZZARI</v>
          </cell>
          <cell r="E432" t="str">
            <v>EL MOSTAFA</v>
          </cell>
          <cell r="F432">
            <v>19905</v>
          </cell>
          <cell r="G432" t="str">
            <v>1</v>
          </cell>
          <cell r="H432" t="str">
            <v>OULED BHAR KBAR KHOURIBGA</v>
          </cell>
          <cell r="I432" t="str">
            <v>F</v>
          </cell>
          <cell r="J432">
            <v>28108</v>
          </cell>
          <cell r="K432">
            <v>37073</v>
          </cell>
          <cell r="L432" t="str">
            <v>41</v>
          </cell>
          <cell r="M432" t="str">
            <v>A</v>
          </cell>
          <cell r="N432">
            <v>37073</v>
          </cell>
          <cell r="P432">
            <v>26</v>
          </cell>
          <cell r="Q432" t="str">
            <v>O</v>
          </cell>
          <cell r="R432" t="str">
            <v>N</v>
          </cell>
          <cell r="S432">
            <v>0</v>
          </cell>
          <cell r="T432" t="str">
            <v>M</v>
          </cell>
          <cell r="U432" t="str">
            <v>SOULAMI FATIMA</v>
          </cell>
          <cell r="X432">
            <v>6</v>
          </cell>
          <cell r="Y432">
            <v>5</v>
          </cell>
          <cell r="AB432" t="str">
            <v>X</v>
          </cell>
          <cell r="AC432" t="str">
            <v>X</v>
          </cell>
          <cell r="AD432" t="str">
            <v>X</v>
          </cell>
          <cell r="AH432" t="str">
            <v>N</v>
          </cell>
          <cell r="AI432" t="str">
            <v>N</v>
          </cell>
          <cell r="AK432" t="str">
            <v>27 RUE OULED AYAD HAY EL HASSANIA - KHGA</v>
          </cell>
          <cell r="AL432" t="str">
            <v>5 SC.EX.</v>
          </cell>
          <cell r="AM432" t="str">
            <v>CFO</v>
          </cell>
          <cell r="AP432" t="str">
            <v>Q 38595</v>
          </cell>
          <cell r="AQ432">
            <v>0</v>
          </cell>
          <cell r="AR432" t="str">
            <v>B</v>
          </cell>
          <cell r="AS432" t="str">
            <v>POPULAIRE-KHOURIBGA</v>
          </cell>
          <cell r="AT432" t="str">
            <v>2111112836160007</v>
          </cell>
          <cell r="AU432" t="str">
            <v>/  /</v>
          </cell>
          <cell r="AW432">
            <v>39546</v>
          </cell>
          <cell r="AX432">
            <v>39546</v>
          </cell>
          <cell r="AY432" t="str">
            <v>XX</v>
          </cell>
          <cell r="BA432" t="str">
            <v>2</v>
          </cell>
          <cell r="BB432">
            <v>1</v>
          </cell>
          <cell r="BD432">
            <v>0</v>
          </cell>
          <cell r="BE432" t="str">
            <v>M</v>
          </cell>
          <cell r="BF432" t="str">
            <v>N</v>
          </cell>
          <cell r="BG432">
            <v>1</v>
          </cell>
          <cell r="BH432">
            <v>38169</v>
          </cell>
        </row>
        <row r="433">
          <cell r="A433">
            <v>69537</v>
          </cell>
          <cell r="B433">
            <v>413</v>
          </cell>
          <cell r="C433" t="str">
            <v>C3152</v>
          </cell>
          <cell r="D433" t="str">
            <v>HALLOUL</v>
          </cell>
          <cell r="E433" t="str">
            <v>ABDELILAH</v>
          </cell>
          <cell r="F433">
            <v>20162</v>
          </cell>
          <cell r="H433" t="str">
            <v>CASABLANCA</v>
          </cell>
          <cell r="I433" t="str">
            <v>D</v>
          </cell>
          <cell r="J433">
            <v>28332</v>
          </cell>
          <cell r="K433">
            <v>33420</v>
          </cell>
          <cell r="L433" t="str">
            <v>21</v>
          </cell>
          <cell r="M433" t="str">
            <v>A</v>
          </cell>
          <cell r="N433">
            <v>33420</v>
          </cell>
          <cell r="P433">
            <v>25</v>
          </cell>
          <cell r="Q433" t="str">
            <v>O</v>
          </cell>
          <cell r="R433" t="str">
            <v>N</v>
          </cell>
          <cell r="S433">
            <v>0</v>
          </cell>
          <cell r="T433" t="str">
            <v>M</v>
          </cell>
          <cell r="U433" t="str">
            <v>KHANANI AMINA</v>
          </cell>
          <cell r="X433">
            <v>3</v>
          </cell>
          <cell r="Y433">
            <v>3</v>
          </cell>
          <cell r="AB433" t="str">
            <v>X</v>
          </cell>
          <cell r="AC433" t="str">
            <v>X</v>
          </cell>
          <cell r="AD433" t="str">
            <v>X</v>
          </cell>
          <cell r="AH433" t="str">
            <v>N</v>
          </cell>
          <cell r="AI433" t="str">
            <v>N</v>
          </cell>
          <cell r="AK433" t="str">
            <v>495 VILLAGE OCP - BOUJNIBA</v>
          </cell>
          <cell r="AL433" t="str">
            <v>3AS</v>
          </cell>
          <cell r="AP433" t="str">
            <v>Q 171153</v>
          </cell>
          <cell r="AQ433">
            <v>0</v>
          </cell>
          <cell r="AR433" t="str">
            <v>C</v>
          </cell>
          <cell r="AU433" t="str">
            <v>/  /</v>
          </cell>
          <cell r="AW433">
            <v>40210</v>
          </cell>
          <cell r="AX433">
            <v>40210</v>
          </cell>
          <cell r="AY433" t="str">
            <v>XX</v>
          </cell>
          <cell r="BA433" t="str">
            <v>1</v>
          </cell>
          <cell r="BB433">
            <v>1</v>
          </cell>
          <cell r="BD433">
            <v>0</v>
          </cell>
          <cell r="BE433" t="str">
            <v>M</v>
          </cell>
          <cell r="BF433" t="str">
            <v>N</v>
          </cell>
          <cell r="BG433">
            <v>50</v>
          </cell>
          <cell r="BH433">
            <v>38534</v>
          </cell>
        </row>
        <row r="434">
          <cell r="A434">
            <v>69633</v>
          </cell>
          <cell r="B434">
            <v>413</v>
          </cell>
          <cell r="C434" t="str">
            <v>X3200</v>
          </cell>
          <cell r="D434" t="str">
            <v>ABID</v>
          </cell>
          <cell r="E434" t="str">
            <v>BOUABID</v>
          </cell>
          <cell r="F434">
            <v>20636</v>
          </cell>
          <cell r="G434" t="str">
            <v>1</v>
          </cell>
          <cell r="H434" t="str">
            <v>OULED BHAR KBAR KHOURIBGA</v>
          </cell>
          <cell r="I434" t="str">
            <v>D</v>
          </cell>
          <cell r="J434">
            <v>28359</v>
          </cell>
          <cell r="K434">
            <v>37073</v>
          </cell>
          <cell r="L434" t="str">
            <v>41</v>
          </cell>
          <cell r="M434" t="str">
            <v>A</v>
          </cell>
          <cell r="N434">
            <v>37073</v>
          </cell>
          <cell r="O434">
            <v>0</v>
          </cell>
          <cell r="P434">
            <v>25</v>
          </cell>
          <cell r="Q434" t="str">
            <v>O</v>
          </cell>
          <cell r="R434" t="str">
            <v>N</v>
          </cell>
          <cell r="S434">
            <v>0</v>
          </cell>
          <cell r="T434" t="str">
            <v>M</v>
          </cell>
          <cell r="U434" t="str">
            <v>DININI RABIAA</v>
          </cell>
          <cell r="X434">
            <v>5</v>
          </cell>
          <cell r="Y434">
            <v>3</v>
          </cell>
          <cell r="AB434" t="str">
            <v>X</v>
          </cell>
          <cell r="AC434" t="str">
            <v>X</v>
          </cell>
          <cell r="AD434" t="str">
            <v>X</v>
          </cell>
          <cell r="AH434" t="str">
            <v>N</v>
          </cell>
          <cell r="AI434" t="str">
            <v>N</v>
          </cell>
          <cell r="AK434" t="str">
            <v>528 DERB 3 - BOUJNIBA</v>
          </cell>
          <cell r="AL434" t="str">
            <v>4AS</v>
          </cell>
          <cell r="AM434" t="str">
            <v>CFO</v>
          </cell>
          <cell r="AP434" t="str">
            <v>Q 83806</v>
          </cell>
          <cell r="AQ434">
            <v>0</v>
          </cell>
          <cell r="AR434" t="str">
            <v>B</v>
          </cell>
          <cell r="AS434" t="str">
            <v>C.AGRICOLE KHGA</v>
          </cell>
          <cell r="AT434" t="str">
            <v>0805716B601</v>
          </cell>
          <cell r="AU434" t="str">
            <v>/  /</v>
          </cell>
          <cell r="AW434">
            <v>38899</v>
          </cell>
          <cell r="AY434" t="str">
            <v>XX</v>
          </cell>
          <cell r="BA434" t="str">
            <v>2</v>
          </cell>
          <cell r="BB434">
            <v>1</v>
          </cell>
          <cell r="BD434">
            <v>0</v>
          </cell>
          <cell r="BE434" t="str">
            <v>M</v>
          </cell>
          <cell r="BF434" t="str">
            <v>N</v>
          </cell>
          <cell r="BG434">
            <v>50</v>
          </cell>
          <cell r="BH434">
            <v>38899</v>
          </cell>
          <cell r="BI434" t="str">
            <v>O</v>
          </cell>
        </row>
        <row r="435">
          <cell r="A435">
            <v>70350</v>
          </cell>
          <cell r="B435">
            <v>423</v>
          </cell>
          <cell r="C435" t="str">
            <v>C6200</v>
          </cell>
          <cell r="D435" t="str">
            <v>HAMIDI</v>
          </cell>
          <cell r="E435" t="str">
            <v>MOHAMMED</v>
          </cell>
          <cell r="F435">
            <v>19175</v>
          </cell>
          <cell r="G435" t="str">
            <v>5</v>
          </cell>
          <cell r="H435" t="str">
            <v>BOUJAAD</v>
          </cell>
          <cell r="I435" t="str">
            <v>D</v>
          </cell>
          <cell r="J435">
            <v>28524</v>
          </cell>
          <cell r="K435">
            <v>33573</v>
          </cell>
          <cell r="L435" t="str">
            <v>32</v>
          </cell>
          <cell r="M435" t="str">
            <v>A</v>
          </cell>
          <cell r="N435">
            <v>33573</v>
          </cell>
          <cell r="P435">
            <v>26</v>
          </cell>
          <cell r="Q435" t="str">
            <v>O</v>
          </cell>
          <cell r="R435" t="str">
            <v>N</v>
          </cell>
          <cell r="S435">
            <v>0</v>
          </cell>
          <cell r="T435" t="str">
            <v>M</v>
          </cell>
          <cell r="U435" t="str">
            <v>OUANJINE RACHIDA</v>
          </cell>
          <cell r="X435">
            <v>5</v>
          </cell>
          <cell r="Y435">
            <v>4</v>
          </cell>
          <cell r="AB435" t="str">
            <v>X</v>
          </cell>
          <cell r="AC435" t="str">
            <v>X</v>
          </cell>
          <cell r="AD435" t="str">
            <v>X</v>
          </cell>
          <cell r="AH435" t="str">
            <v>N</v>
          </cell>
          <cell r="AI435" t="str">
            <v>N</v>
          </cell>
          <cell r="AK435" t="str">
            <v>13 RUE EL ASNI QUARTIER EL FATH - KHGA</v>
          </cell>
          <cell r="AL435" t="str">
            <v>4AS</v>
          </cell>
          <cell r="AM435" t="str">
            <v>CFO.</v>
          </cell>
          <cell r="AP435" t="str">
            <v>Q 130009</v>
          </cell>
          <cell r="AQ435">
            <v>0</v>
          </cell>
          <cell r="AR435" t="str">
            <v>B</v>
          </cell>
          <cell r="AS435" t="str">
            <v>SGMB.KHGA</v>
          </cell>
          <cell r="AT435" t="str">
            <v>067009282624</v>
          </cell>
          <cell r="AU435" t="str">
            <v>/  /</v>
          </cell>
          <cell r="AW435">
            <v>39546</v>
          </cell>
          <cell r="AX435">
            <v>39546</v>
          </cell>
          <cell r="AY435" t="str">
            <v>XX</v>
          </cell>
          <cell r="AZ435" t="str">
            <v>R</v>
          </cell>
          <cell r="BA435" t="str">
            <v>2</v>
          </cell>
          <cell r="BB435">
            <v>1</v>
          </cell>
          <cell r="BD435">
            <v>0</v>
          </cell>
          <cell r="BE435" t="str">
            <v>M</v>
          </cell>
          <cell r="BF435" t="str">
            <v>N</v>
          </cell>
          <cell r="BG435">
            <v>4</v>
          </cell>
          <cell r="BH435">
            <v>38169</v>
          </cell>
          <cell r="BI435" t="str">
            <v>O</v>
          </cell>
        </row>
        <row r="436">
          <cell r="A436">
            <v>70697</v>
          </cell>
          <cell r="B436">
            <v>423</v>
          </cell>
          <cell r="C436" t="str">
            <v>C3200</v>
          </cell>
          <cell r="D436" t="str">
            <v>EL HAOUARI</v>
          </cell>
          <cell r="E436" t="str">
            <v>ERRAFA</v>
          </cell>
          <cell r="F436">
            <v>20636</v>
          </cell>
          <cell r="G436" t="str">
            <v>6</v>
          </cell>
          <cell r="H436" t="str">
            <v>M'FASSIS</v>
          </cell>
          <cell r="I436" t="str">
            <v>D</v>
          </cell>
          <cell r="J436">
            <v>28681</v>
          </cell>
          <cell r="K436">
            <v>35674</v>
          </cell>
          <cell r="L436" t="str">
            <v>21</v>
          </cell>
          <cell r="M436" t="str">
            <v>A</v>
          </cell>
          <cell r="N436">
            <v>35674</v>
          </cell>
          <cell r="P436">
            <v>24</v>
          </cell>
          <cell r="Q436" t="str">
            <v>O</v>
          </cell>
          <cell r="R436" t="str">
            <v>N</v>
          </cell>
          <cell r="S436">
            <v>0</v>
          </cell>
          <cell r="T436" t="str">
            <v>M</v>
          </cell>
          <cell r="U436" t="str">
            <v>FATNA BENT MOHAMED</v>
          </cell>
          <cell r="X436">
            <v>0</v>
          </cell>
          <cell r="Y436">
            <v>0</v>
          </cell>
          <cell r="AB436" t="str">
            <v>N</v>
          </cell>
          <cell r="AC436" t="str">
            <v>X</v>
          </cell>
          <cell r="AD436" t="str">
            <v>X</v>
          </cell>
          <cell r="AH436" t="str">
            <v>N</v>
          </cell>
          <cell r="AI436" t="str">
            <v>N</v>
          </cell>
          <cell r="AK436" t="str">
            <v>890 VILLAGE OCP HATTANE</v>
          </cell>
          <cell r="AL436" t="str">
            <v>3AS</v>
          </cell>
          <cell r="AP436" t="str">
            <v>Q 46820</v>
          </cell>
          <cell r="AQ436">
            <v>0</v>
          </cell>
          <cell r="AR436" t="str">
            <v>C</v>
          </cell>
          <cell r="AU436" t="str">
            <v>/  /</v>
          </cell>
          <cell r="AW436">
            <v>38899</v>
          </cell>
          <cell r="AY436" t="str">
            <v>XX</v>
          </cell>
          <cell r="BA436" t="str">
            <v>2</v>
          </cell>
          <cell r="BB436">
            <v>1</v>
          </cell>
          <cell r="BD436">
            <v>0</v>
          </cell>
          <cell r="BE436" t="str">
            <v>M</v>
          </cell>
          <cell r="BF436" t="str">
            <v>N</v>
          </cell>
          <cell r="BG436">
            <v>10</v>
          </cell>
          <cell r="BH436">
            <v>38899</v>
          </cell>
        </row>
        <row r="437">
          <cell r="A437">
            <v>71746</v>
          </cell>
          <cell r="B437">
            <v>413</v>
          </cell>
          <cell r="C437" t="str">
            <v>C7200</v>
          </cell>
          <cell r="D437" t="str">
            <v>BOUDLAL</v>
          </cell>
          <cell r="E437" t="str">
            <v>AZEDDINE</v>
          </cell>
          <cell r="F437">
            <v>20525</v>
          </cell>
          <cell r="G437" t="str">
            <v>1</v>
          </cell>
          <cell r="H437" t="str">
            <v>KHOURIBGA</v>
          </cell>
          <cell r="I437" t="str">
            <v>D</v>
          </cell>
          <cell r="J437">
            <v>29270</v>
          </cell>
          <cell r="K437">
            <v>35065</v>
          </cell>
          <cell r="L437" t="str">
            <v>33</v>
          </cell>
          <cell r="M437" t="str">
            <v>A</v>
          </cell>
          <cell r="N437">
            <v>35065</v>
          </cell>
          <cell r="P437">
            <v>24</v>
          </cell>
          <cell r="Q437" t="str">
            <v>O</v>
          </cell>
          <cell r="R437" t="str">
            <v>N</v>
          </cell>
          <cell r="S437">
            <v>0</v>
          </cell>
          <cell r="T437" t="str">
            <v>M</v>
          </cell>
          <cell r="U437" t="str">
            <v>SERKOUH HLIMA</v>
          </cell>
          <cell r="X437">
            <v>5</v>
          </cell>
          <cell r="Y437">
            <v>3</v>
          </cell>
          <cell r="AB437" t="str">
            <v>X</v>
          </cell>
          <cell r="AC437" t="str">
            <v>X</v>
          </cell>
          <cell r="AD437" t="str">
            <v>X</v>
          </cell>
          <cell r="AH437" t="str">
            <v>N</v>
          </cell>
          <cell r="AI437" t="str">
            <v>N</v>
          </cell>
          <cell r="AK437" t="str">
            <v>94 R.IMAM SAYOUTI DB MED B/BOUCHAIB KHGA</v>
          </cell>
          <cell r="AL437" t="str">
            <v>4AS</v>
          </cell>
          <cell r="AM437" t="str">
            <v>CAP.CFO</v>
          </cell>
          <cell r="AP437" t="str">
            <v>Q 5624</v>
          </cell>
          <cell r="AQ437">
            <v>0</v>
          </cell>
          <cell r="AR437" t="str">
            <v>B</v>
          </cell>
          <cell r="AS437" t="str">
            <v>BMCE.KHGA</v>
          </cell>
          <cell r="AT437" t="str">
            <v>40001200000815148</v>
          </cell>
          <cell r="AU437" t="str">
            <v>/  /</v>
          </cell>
          <cell r="AW437">
            <v>38899</v>
          </cell>
          <cell r="AY437" t="str">
            <v>XX</v>
          </cell>
          <cell r="BA437" t="str">
            <v>2</v>
          </cell>
          <cell r="BB437">
            <v>1</v>
          </cell>
          <cell r="BD437">
            <v>0</v>
          </cell>
          <cell r="BE437" t="str">
            <v>M</v>
          </cell>
          <cell r="BF437" t="str">
            <v>N</v>
          </cell>
          <cell r="BG437">
            <v>1</v>
          </cell>
          <cell r="BH437">
            <v>38899</v>
          </cell>
        </row>
        <row r="438">
          <cell r="A438">
            <v>72908</v>
          </cell>
          <cell r="B438">
            <v>413</v>
          </cell>
          <cell r="C438" t="str">
            <v>C6200</v>
          </cell>
          <cell r="D438" t="str">
            <v>DJEMAMAR</v>
          </cell>
          <cell r="E438" t="str">
            <v>ABDELMOUJOUD</v>
          </cell>
          <cell r="F438">
            <v>21669</v>
          </cell>
          <cell r="H438" t="str">
            <v>MARRAKECH</v>
          </cell>
          <cell r="I438" t="str">
            <v>F</v>
          </cell>
          <cell r="J438">
            <v>29825</v>
          </cell>
          <cell r="K438">
            <v>36526</v>
          </cell>
          <cell r="L438" t="str">
            <v>32</v>
          </cell>
          <cell r="M438" t="str">
            <v>A</v>
          </cell>
          <cell r="N438">
            <v>36526</v>
          </cell>
          <cell r="P438">
            <v>21</v>
          </cell>
          <cell r="Q438" t="str">
            <v>O</v>
          </cell>
          <cell r="R438" t="str">
            <v>N</v>
          </cell>
          <cell r="S438">
            <v>0</v>
          </cell>
          <cell r="T438" t="str">
            <v>M</v>
          </cell>
          <cell r="U438" t="str">
            <v>FATNA BENT ABDELKADER</v>
          </cell>
          <cell r="X438">
            <v>3</v>
          </cell>
          <cell r="Y438">
            <v>3</v>
          </cell>
          <cell r="AB438" t="str">
            <v>X</v>
          </cell>
          <cell r="AC438" t="str">
            <v>X</v>
          </cell>
          <cell r="AD438" t="str">
            <v>X</v>
          </cell>
          <cell r="AH438" t="str">
            <v>N</v>
          </cell>
          <cell r="AI438" t="str">
            <v>N</v>
          </cell>
          <cell r="AK438" t="str">
            <v>216 NVX LOGEMENTS O.C.P - KHGA</v>
          </cell>
          <cell r="AL438" t="str">
            <v>3AS</v>
          </cell>
          <cell r="AM438" t="str">
            <v>CFP.CFO</v>
          </cell>
          <cell r="AP438" t="str">
            <v>E 101218</v>
          </cell>
          <cell r="AQ438">
            <v>0</v>
          </cell>
          <cell r="AR438" t="str">
            <v>B</v>
          </cell>
          <cell r="AS438" t="str">
            <v>BMCE - KHGA</v>
          </cell>
          <cell r="AT438" t="str">
            <v>40001200000403092</v>
          </cell>
          <cell r="AU438" t="str">
            <v>/  /</v>
          </cell>
          <cell r="AW438">
            <v>39995</v>
          </cell>
          <cell r="AY438" t="str">
            <v>XX</v>
          </cell>
          <cell r="BA438" t="str">
            <v>2</v>
          </cell>
          <cell r="BB438">
            <v>1</v>
          </cell>
          <cell r="BD438">
            <v>0</v>
          </cell>
          <cell r="BE438" t="str">
            <v>M</v>
          </cell>
          <cell r="BF438" t="str">
            <v>N</v>
          </cell>
          <cell r="BG438">
            <v>1</v>
          </cell>
          <cell r="BH438">
            <v>39995</v>
          </cell>
        </row>
        <row r="439">
          <cell r="A439">
            <v>73166</v>
          </cell>
          <cell r="B439">
            <v>413</v>
          </cell>
          <cell r="C439" t="str">
            <v>C4200</v>
          </cell>
          <cell r="D439" t="str">
            <v>HARRAT</v>
          </cell>
          <cell r="E439" t="str">
            <v>AHMED</v>
          </cell>
          <cell r="F439">
            <v>18537</v>
          </cell>
          <cell r="G439" t="str">
            <v>6</v>
          </cell>
          <cell r="H439" t="str">
            <v>M'FASSIS</v>
          </cell>
          <cell r="I439" t="str">
            <v>D</v>
          </cell>
          <cell r="J439">
            <v>29964</v>
          </cell>
          <cell r="K439">
            <v>36526</v>
          </cell>
          <cell r="L439" t="str">
            <v>22</v>
          </cell>
          <cell r="M439" t="str">
            <v>A</v>
          </cell>
          <cell r="N439">
            <v>36526</v>
          </cell>
          <cell r="P439">
            <v>21</v>
          </cell>
          <cell r="Q439" t="str">
            <v>O</v>
          </cell>
          <cell r="R439" t="str">
            <v>N</v>
          </cell>
          <cell r="S439">
            <v>0</v>
          </cell>
          <cell r="T439" t="str">
            <v>M</v>
          </cell>
          <cell r="U439" t="str">
            <v>FATNA BENT M'HAMED</v>
          </cell>
          <cell r="X439">
            <v>6</v>
          </cell>
          <cell r="Y439">
            <v>2</v>
          </cell>
          <cell r="AB439" t="str">
            <v>X</v>
          </cell>
          <cell r="AC439" t="str">
            <v>X</v>
          </cell>
          <cell r="AD439" t="str">
            <v>X</v>
          </cell>
          <cell r="AH439" t="str">
            <v>N</v>
          </cell>
          <cell r="AI439" t="str">
            <v>N</v>
          </cell>
          <cell r="AK439" t="str">
            <v>923 VILLAGE O.C.P - HATTANE</v>
          </cell>
          <cell r="AL439" t="str">
            <v>CM2</v>
          </cell>
          <cell r="AP439" t="str">
            <v>Q 80349</v>
          </cell>
          <cell r="AQ439">
            <v>0</v>
          </cell>
          <cell r="AR439" t="str">
            <v>C</v>
          </cell>
          <cell r="AU439" t="str">
            <v>/  /</v>
          </cell>
          <cell r="AW439">
            <v>38718</v>
          </cell>
          <cell r="AY439" t="str">
            <v>XX</v>
          </cell>
          <cell r="BA439" t="str">
            <v>2</v>
          </cell>
          <cell r="BB439">
            <v>1</v>
          </cell>
          <cell r="BD439">
            <v>0</v>
          </cell>
          <cell r="BE439" t="str">
            <v>M</v>
          </cell>
          <cell r="BF439" t="str">
            <v>N</v>
          </cell>
          <cell r="BG439">
            <v>10</v>
          </cell>
          <cell r="BH439">
            <v>38718</v>
          </cell>
        </row>
        <row r="440">
          <cell r="A440">
            <v>74453</v>
          </cell>
          <cell r="B440">
            <v>413</v>
          </cell>
          <cell r="C440" t="str">
            <v>C7200</v>
          </cell>
          <cell r="D440" t="str">
            <v>HAMDAN</v>
          </cell>
          <cell r="E440" t="str">
            <v>ABDESLAM</v>
          </cell>
          <cell r="F440">
            <v>23558</v>
          </cell>
          <cell r="H440" t="str">
            <v>TAOUNATE</v>
          </cell>
          <cell r="I440" t="str">
            <v>F</v>
          </cell>
          <cell r="J440">
            <v>31623</v>
          </cell>
          <cell r="K440">
            <v>36526</v>
          </cell>
          <cell r="L440" t="str">
            <v>33</v>
          </cell>
          <cell r="M440" t="str">
            <v>A</v>
          </cell>
          <cell r="N440">
            <v>36526</v>
          </cell>
          <cell r="P440">
            <v>16</v>
          </cell>
          <cell r="Q440" t="str">
            <v>O</v>
          </cell>
          <cell r="R440" t="str">
            <v>N</v>
          </cell>
          <cell r="S440">
            <v>0</v>
          </cell>
          <cell r="T440" t="str">
            <v>M</v>
          </cell>
          <cell r="U440" t="str">
            <v>NADIA BT AHMED</v>
          </cell>
          <cell r="X440">
            <v>1</v>
          </cell>
          <cell r="Y440">
            <v>1</v>
          </cell>
          <cell r="AB440" t="str">
            <v>X</v>
          </cell>
          <cell r="AC440" t="str">
            <v>X</v>
          </cell>
          <cell r="AD440" t="str">
            <v>X</v>
          </cell>
          <cell r="AH440" t="str">
            <v>N</v>
          </cell>
          <cell r="AI440" t="str">
            <v>N</v>
          </cell>
          <cell r="AK440" t="str">
            <v>9 BLOC U NAHDA - KHOURIBGA</v>
          </cell>
          <cell r="AL440" t="str">
            <v>4AS</v>
          </cell>
          <cell r="AM440" t="str">
            <v>CQP.CFO</v>
          </cell>
          <cell r="AP440" t="str">
            <v>C 228750</v>
          </cell>
          <cell r="AQ440">
            <v>0</v>
          </cell>
          <cell r="AR440" t="str">
            <v>B</v>
          </cell>
          <cell r="AS440" t="str">
            <v>POPULAIRE - KHGA</v>
          </cell>
          <cell r="AT440" t="str">
            <v>2111112886470009</v>
          </cell>
          <cell r="AU440" t="str">
            <v>/  /</v>
          </cell>
          <cell r="AW440">
            <v>43811</v>
          </cell>
          <cell r="AX440">
            <v>43811</v>
          </cell>
          <cell r="AY440" t="str">
            <v>XX</v>
          </cell>
          <cell r="BA440" t="str">
            <v>2</v>
          </cell>
          <cell r="BB440">
            <v>1</v>
          </cell>
          <cell r="BD440">
            <v>0</v>
          </cell>
          <cell r="BE440" t="str">
            <v>M</v>
          </cell>
          <cell r="BF440" t="str">
            <v>N</v>
          </cell>
          <cell r="BG440">
            <v>1</v>
          </cell>
          <cell r="BH440">
            <v>41821</v>
          </cell>
        </row>
        <row r="441">
          <cell r="A441">
            <v>74455</v>
          </cell>
          <cell r="B441">
            <v>413</v>
          </cell>
          <cell r="C441" t="str">
            <v>C6200</v>
          </cell>
          <cell r="D441" t="str">
            <v>ASMI</v>
          </cell>
          <cell r="E441" t="str">
            <v>ABDESSELAM</v>
          </cell>
          <cell r="F441">
            <v>21273</v>
          </cell>
          <cell r="G441" t="str">
            <v>1</v>
          </cell>
          <cell r="H441" t="str">
            <v>KHOURIBGA</v>
          </cell>
          <cell r="I441" t="str">
            <v>F</v>
          </cell>
          <cell r="J441">
            <v>31623</v>
          </cell>
          <cell r="K441">
            <v>35065</v>
          </cell>
          <cell r="L441" t="str">
            <v>32</v>
          </cell>
          <cell r="M441" t="str">
            <v>A</v>
          </cell>
          <cell r="N441">
            <v>35065</v>
          </cell>
          <cell r="P441">
            <v>16</v>
          </cell>
          <cell r="Q441" t="str">
            <v>O</v>
          </cell>
          <cell r="R441" t="str">
            <v>N</v>
          </cell>
          <cell r="S441">
            <v>0</v>
          </cell>
          <cell r="T441" t="str">
            <v>M</v>
          </cell>
          <cell r="U441" t="str">
            <v>NEZZAA AICHA BENT AHMED</v>
          </cell>
          <cell r="X441">
            <v>4</v>
          </cell>
          <cell r="Y441">
            <v>4</v>
          </cell>
          <cell r="Z441" t="str">
            <v>O</v>
          </cell>
          <cell r="AA441" t="str">
            <v>25/05/90</v>
          </cell>
          <cell r="AB441" t="str">
            <v>X</v>
          </cell>
          <cell r="AC441" t="str">
            <v>X</v>
          </cell>
          <cell r="AD441" t="str">
            <v>X</v>
          </cell>
          <cell r="AH441" t="str">
            <v>N</v>
          </cell>
          <cell r="AI441" t="str">
            <v>N</v>
          </cell>
          <cell r="AK441" t="str">
            <v>86 RUE IMAME ECHAFFYI HAY EL FATH - KHGA</v>
          </cell>
          <cell r="AL441" t="str">
            <v>7SE</v>
          </cell>
          <cell r="AM441" t="str">
            <v>ITA.CFO</v>
          </cell>
          <cell r="AP441" t="str">
            <v>Q 66831</v>
          </cell>
          <cell r="AQ441">
            <v>0</v>
          </cell>
          <cell r="AR441" t="str">
            <v>B</v>
          </cell>
          <cell r="AS441" t="str">
            <v>BMCI-KHGA</v>
          </cell>
          <cell r="AT441" t="str">
            <v>02820832168301</v>
          </cell>
          <cell r="AU441" t="str">
            <v>/  /</v>
          </cell>
          <cell r="AW441">
            <v>41275</v>
          </cell>
          <cell r="AY441" t="str">
            <v>XX</v>
          </cell>
          <cell r="BA441" t="str">
            <v>2</v>
          </cell>
          <cell r="BB441">
            <v>1</v>
          </cell>
          <cell r="BD441">
            <v>0</v>
          </cell>
          <cell r="BE441" t="str">
            <v>M</v>
          </cell>
          <cell r="BF441" t="str">
            <v>N</v>
          </cell>
          <cell r="BG441">
            <v>1</v>
          </cell>
          <cell r="BH441">
            <v>41275</v>
          </cell>
        </row>
        <row r="442">
          <cell r="A442">
            <v>74457</v>
          </cell>
          <cell r="B442">
            <v>916</v>
          </cell>
          <cell r="C442" t="str">
            <v>C5036</v>
          </cell>
          <cell r="D442" t="str">
            <v>MRABBI</v>
          </cell>
          <cell r="E442" t="str">
            <v>EL MOSTAFA</v>
          </cell>
          <cell r="F442">
            <v>23148</v>
          </cell>
          <cell r="G442" t="str">
            <v>1</v>
          </cell>
          <cell r="H442" t="str">
            <v>KHOURIBGA</v>
          </cell>
          <cell r="I442" t="str">
            <v>F</v>
          </cell>
          <cell r="J442">
            <v>31623</v>
          </cell>
          <cell r="K442">
            <v>31625</v>
          </cell>
          <cell r="L442" t="str">
            <v>31</v>
          </cell>
          <cell r="M442" t="str">
            <v>A</v>
          </cell>
          <cell r="N442">
            <v>31625</v>
          </cell>
          <cell r="P442">
            <v>17</v>
          </cell>
          <cell r="Q442" t="str">
            <v>O</v>
          </cell>
          <cell r="R442" t="str">
            <v>N</v>
          </cell>
          <cell r="S442">
            <v>0</v>
          </cell>
          <cell r="T442" t="str">
            <v>M</v>
          </cell>
          <cell r="U442" t="str">
            <v>DAIR NADIA BT SALAH</v>
          </cell>
          <cell r="X442">
            <v>4</v>
          </cell>
          <cell r="Y442">
            <v>4</v>
          </cell>
          <cell r="Z442" t="str">
            <v>N</v>
          </cell>
          <cell r="AB442" t="str">
            <v>X</v>
          </cell>
          <cell r="AC442" t="str">
            <v>X</v>
          </cell>
          <cell r="AD442" t="str">
            <v>X</v>
          </cell>
          <cell r="AH442" t="str">
            <v>N</v>
          </cell>
          <cell r="AI442" t="str">
            <v>N</v>
          </cell>
          <cell r="AK442" t="str">
            <v>11 NOUVELLE CONSTRUCTION SECHAGE KHORIBA</v>
          </cell>
          <cell r="AL442" t="str">
            <v>5AS</v>
          </cell>
          <cell r="AM442" t="str">
            <v>CQP.CFO</v>
          </cell>
          <cell r="AP442" t="str">
            <v>Q 106858</v>
          </cell>
          <cell r="AQ442">
            <v>0</v>
          </cell>
          <cell r="AR442" t="str">
            <v>B</v>
          </cell>
          <cell r="AS442" t="str">
            <v>BMCE</v>
          </cell>
          <cell r="AT442" t="str">
            <v>400011200000642294</v>
          </cell>
          <cell r="AU442" t="str">
            <v>/  /</v>
          </cell>
          <cell r="AW442">
            <v>41456</v>
          </cell>
          <cell r="AY442" t="str">
            <v>XX</v>
          </cell>
          <cell r="AZ442" t="str">
            <v>R</v>
          </cell>
          <cell r="BA442" t="str">
            <v>6</v>
          </cell>
          <cell r="BB442">
            <v>1</v>
          </cell>
          <cell r="BD442">
            <v>0</v>
          </cell>
          <cell r="BE442" t="str">
            <v>M</v>
          </cell>
          <cell r="BF442" t="str">
            <v>N</v>
          </cell>
          <cell r="BG442">
            <v>1</v>
          </cell>
          <cell r="BH442">
            <v>41456</v>
          </cell>
        </row>
        <row r="443">
          <cell r="A443">
            <v>74459</v>
          </cell>
          <cell r="B443">
            <v>413</v>
          </cell>
          <cell r="C443" t="str">
            <v>C7200</v>
          </cell>
          <cell r="D443" t="str">
            <v>TANJI</v>
          </cell>
          <cell r="E443" t="str">
            <v>M'HAMED</v>
          </cell>
          <cell r="F443">
            <v>22097</v>
          </cell>
          <cell r="H443" t="str">
            <v>OULED M'RAH - SETTAT</v>
          </cell>
          <cell r="I443" t="str">
            <v>F</v>
          </cell>
          <cell r="J443">
            <v>31623</v>
          </cell>
          <cell r="K443">
            <v>36526</v>
          </cell>
          <cell r="L443" t="str">
            <v>33</v>
          </cell>
          <cell r="M443" t="str">
            <v>A</v>
          </cell>
          <cell r="N443">
            <v>36526</v>
          </cell>
          <cell r="P443">
            <v>16</v>
          </cell>
          <cell r="Q443" t="str">
            <v>O</v>
          </cell>
          <cell r="R443" t="str">
            <v>N</v>
          </cell>
          <cell r="S443">
            <v>0</v>
          </cell>
          <cell r="T443" t="str">
            <v>M</v>
          </cell>
          <cell r="U443" t="str">
            <v>SAADIA BENT EL ARBI</v>
          </cell>
          <cell r="X443">
            <v>4</v>
          </cell>
          <cell r="Y443">
            <v>4</v>
          </cell>
          <cell r="AB443" t="str">
            <v>X</v>
          </cell>
          <cell r="AC443" t="str">
            <v>X</v>
          </cell>
          <cell r="AD443" t="str">
            <v>X</v>
          </cell>
          <cell r="AH443" t="str">
            <v>N</v>
          </cell>
          <cell r="AI443" t="str">
            <v>N</v>
          </cell>
          <cell r="AK443" t="str">
            <v>156 NOUVELLE CONSTRUCTION -  KHGA</v>
          </cell>
          <cell r="AL443" t="str">
            <v>4AS</v>
          </cell>
          <cell r="AM443" t="str">
            <v>E.P.M.T ( TOUISSIT).CQP.CFO</v>
          </cell>
          <cell r="AP443" t="str">
            <v>W 25798</v>
          </cell>
          <cell r="AQ443">
            <v>0</v>
          </cell>
          <cell r="AR443" t="str">
            <v>B</v>
          </cell>
          <cell r="AS443" t="str">
            <v>WAFABANK - KHGA</v>
          </cell>
          <cell r="AT443" t="str">
            <v>1220301226212</v>
          </cell>
          <cell r="AU443" t="str">
            <v>/  /</v>
          </cell>
          <cell r="AW443">
            <v>43265</v>
          </cell>
          <cell r="AX443">
            <v>43265</v>
          </cell>
          <cell r="AY443" t="str">
            <v>XX</v>
          </cell>
          <cell r="BA443" t="str">
            <v>2</v>
          </cell>
          <cell r="BB443">
            <v>1</v>
          </cell>
          <cell r="BD443">
            <v>0</v>
          </cell>
          <cell r="BE443" t="str">
            <v>M</v>
          </cell>
          <cell r="BF443" t="str">
            <v>N</v>
          </cell>
          <cell r="BG443">
            <v>1</v>
          </cell>
          <cell r="BH443">
            <v>41275</v>
          </cell>
        </row>
        <row r="444">
          <cell r="A444">
            <v>74525</v>
          </cell>
          <cell r="B444">
            <v>413</v>
          </cell>
          <cell r="C444" t="str">
            <v>C4200</v>
          </cell>
          <cell r="D444" t="str">
            <v>RHALIB</v>
          </cell>
          <cell r="E444" t="str">
            <v>MOHAMED</v>
          </cell>
          <cell r="F444">
            <v>22462</v>
          </cell>
          <cell r="G444" t="str">
            <v>1</v>
          </cell>
          <cell r="H444" t="str">
            <v>OULED BHAR SGHAR KHOURIBGA</v>
          </cell>
          <cell r="I444" t="str">
            <v>D</v>
          </cell>
          <cell r="J444">
            <v>31723</v>
          </cell>
          <cell r="K444">
            <v>36526</v>
          </cell>
          <cell r="L444" t="str">
            <v>22</v>
          </cell>
          <cell r="M444" t="str">
            <v>A</v>
          </cell>
          <cell r="N444">
            <v>36526</v>
          </cell>
          <cell r="P444">
            <v>16</v>
          </cell>
          <cell r="Q444" t="str">
            <v>O</v>
          </cell>
          <cell r="R444" t="str">
            <v>N</v>
          </cell>
          <cell r="S444">
            <v>0</v>
          </cell>
          <cell r="T444" t="str">
            <v>M</v>
          </cell>
          <cell r="U444" t="str">
            <v>TALABI FATIMA</v>
          </cell>
          <cell r="X444">
            <v>4</v>
          </cell>
          <cell r="Y444">
            <v>4</v>
          </cell>
          <cell r="AB444" t="str">
            <v>X</v>
          </cell>
          <cell r="AC444" t="str">
            <v>X</v>
          </cell>
          <cell r="AD444" t="str">
            <v>X</v>
          </cell>
          <cell r="AH444" t="str">
            <v>N</v>
          </cell>
          <cell r="AI444" t="str">
            <v>N</v>
          </cell>
          <cell r="AK444" t="str">
            <v>718.VILLAGE OCP HATTANE</v>
          </cell>
          <cell r="AL444" t="str">
            <v>7.SC.EX</v>
          </cell>
          <cell r="AM444" t="str">
            <v>CQP.</v>
          </cell>
          <cell r="AP444" t="str">
            <v>Q 66287</v>
          </cell>
          <cell r="AQ444">
            <v>0</v>
          </cell>
          <cell r="AR444" t="str">
            <v>B</v>
          </cell>
          <cell r="AS444" t="str">
            <v>CR.MAROC - KHGA</v>
          </cell>
          <cell r="AT444" t="str">
            <v>2140082001001734101</v>
          </cell>
          <cell r="AU444" t="str">
            <v>/  /</v>
          </cell>
          <cell r="AW444">
            <v>41456</v>
          </cell>
          <cell r="AY444" t="str">
            <v>XX</v>
          </cell>
          <cell r="AZ444" t="str">
            <v>R</v>
          </cell>
          <cell r="BA444" t="str">
            <v>2</v>
          </cell>
          <cell r="BB444">
            <v>1</v>
          </cell>
          <cell r="BD444">
            <v>0</v>
          </cell>
          <cell r="BE444" t="str">
            <v>M</v>
          </cell>
          <cell r="BF444" t="str">
            <v>N</v>
          </cell>
          <cell r="BG444">
            <v>10</v>
          </cell>
          <cell r="BH444">
            <v>41456</v>
          </cell>
        </row>
        <row r="445">
          <cell r="A445">
            <v>21814</v>
          </cell>
          <cell r="B445">
            <v>414</v>
          </cell>
          <cell r="C445" t="str">
            <v>X3210</v>
          </cell>
          <cell r="D445" t="str">
            <v>NAZIH</v>
          </cell>
          <cell r="E445" t="str">
            <v>MOHAMMED</v>
          </cell>
          <cell r="F445">
            <v>22462</v>
          </cell>
          <cell r="G445" t="str">
            <v>1</v>
          </cell>
          <cell r="H445" t="str">
            <v>KHOURIBGA</v>
          </cell>
          <cell r="I445" t="str">
            <v>F</v>
          </cell>
          <cell r="J445">
            <v>31618</v>
          </cell>
          <cell r="K445">
            <v>37073</v>
          </cell>
          <cell r="L445" t="str">
            <v>41</v>
          </cell>
          <cell r="M445" t="str">
            <v>A</v>
          </cell>
          <cell r="N445">
            <v>37073</v>
          </cell>
          <cell r="P445">
            <v>16</v>
          </cell>
          <cell r="Q445" t="str">
            <v>O</v>
          </cell>
          <cell r="R445" t="str">
            <v>N</v>
          </cell>
          <cell r="S445">
            <v>0</v>
          </cell>
          <cell r="T445" t="str">
            <v>M</v>
          </cell>
          <cell r="U445" t="str">
            <v>NADIR ZAHRA BENT MOHAMED</v>
          </cell>
          <cell r="X445">
            <v>2</v>
          </cell>
          <cell r="Y445">
            <v>2</v>
          </cell>
          <cell r="Z445" t="str">
            <v>N</v>
          </cell>
          <cell r="AB445" t="str">
            <v>X</v>
          </cell>
          <cell r="AC445" t="str">
            <v>X</v>
          </cell>
          <cell r="AD445" t="str">
            <v>X</v>
          </cell>
          <cell r="AH445" t="str">
            <v>N</v>
          </cell>
          <cell r="AI445" t="str">
            <v>N</v>
          </cell>
          <cell r="AK445" t="str">
            <v>10,RUE HAY EL KARAM NAHDA KHOURIBGA</v>
          </cell>
          <cell r="AL445" t="str">
            <v>1 A.FAC</v>
          </cell>
          <cell r="AM445" t="str">
            <v>BAC.CFO</v>
          </cell>
          <cell r="AP445" t="str">
            <v>Q 67264</v>
          </cell>
          <cell r="AQ445">
            <v>0</v>
          </cell>
          <cell r="AR445" t="str">
            <v>B</v>
          </cell>
          <cell r="AS445" t="str">
            <v>S.G.M.B - KHGA</v>
          </cell>
          <cell r="AT445" t="str">
            <v>670009099488</v>
          </cell>
          <cell r="AU445" t="str">
            <v>/  /</v>
          </cell>
          <cell r="AW445">
            <v>41275</v>
          </cell>
          <cell r="AY445" t="str">
            <v>XX</v>
          </cell>
          <cell r="BA445" t="str">
            <v>2</v>
          </cell>
          <cell r="BB445">
            <v>1</v>
          </cell>
          <cell r="BC445" t="str">
            <v>N</v>
          </cell>
          <cell r="BD445">
            <v>0</v>
          </cell>
          <cell r="BE445" t="str">
            <v>M</v>
          </cell>
          <cell r="BF445" t="str">
            <v>N</v>
          </cell>
          <cell r="BG445">
            <v>1</v>
          </cell>
          <cell r="BH445">
            <v>41640</v>
          </cell>
          <cell r="BI445" t="str">
            <v>N</v>
          </cell>
        </row>
        <row r="446">
          <cell r="A446">
            <v>64890</v>
          </cell>
          <cell r="B446">
            <v>404</v>
          </cell>
          <cell r="C446" t="str">
            <v>C3754</v>
          </cell>
          <cell r="D446" t="str">
            <v>TRACHI</v>
          </cell>
          <cell r="E446" t="str">
            <v>EL ARBI</v>
          </cell>
          <cell r="F446">
            <v>19175</v>
          </cell>
          <cell r="G446" t="str">
            <v>3</v>
          </cell>
          <cell r="H446" t="str">
            <v>OULED BRAHIM - BOUJNIBA</v>
          </cell>
          <cell r="I446" t="str">
            <v>D</v>
          </cell>
          <cell r="J446">
            <v>26926</v>
          </cell>
          <cell r="K446">
            <v>35704</v>
          </cell>
          <cell r="L446" t="str">
            <v>21</v>
          </cell>
          <cell r="M446" t="str">
            <v>F</v>
          </cell>
          <cell r="N446">
            <v>34516</v>
          </cell>
          <cell r="P446">
            <v>29</v>
          </cell>
          <cell r="Q446" t="str">
            <v>N</v>
          </cell>
          <cell r="R446" t="str">
            <v>0</v>
          </cell>
          <cell r="S446">
            <v>0</v>
          </cell>
          <cell r="T446" t="str">
            <v>M</v>
          </cell>
          <cell r="U446" t="str">
            <v>FATIMA BENT AHMED</v>
          </cell>
          <cell r="X446">
            <v>7</v>
          </cell>
          <cell r="Y446">
            <v>3</v>
          </cell>
          <cell r="AB446" t="str">
            <v>X</v>
          </cell>
          <cell r="AC446" t="str">
            <v>X</v>
          </cell>
          <cell r="AD446" t="str">
            <v>X</v>
          </cell>
          <cell r="AH446" t="str">
            <v>N</v>
          </cell>
          <cell r="AI446" t="str">
            <v>N</v>
          </cell>
          <cell r="AK446" t="str">
            <v>26 DERB 7 - HATTANE</v>
          </cell>
          <cell r="AL446" t="str">
            <v>1AS</v>
          </cell>
          <cell r="AM446" t="str">
            <v>CEP</v>
          </cell>
          <cell r="AP446" t="str">
            <v>Q 29497</v>
          </cell>
          <cell r="AQ446">
            <v>0</v>
          </cell>
          <cell r="AR446" t="str">
            <v>B</v>
          </cell>
          <cell r="AS446" t="str">
            <v>CNCA - KHGA</v>
          </cell>
          <cell r="AT446" t="str">
            <v>805304 P 601</v>
          </cell>
          <cell r="AU446" t="str">
            <v>/  /</v>
          </cell>
          <cell r="AW446">
            <v>38219</v>
          </cell>
          <cell r="AX446">
            <v>38219</v>
          </cell>
          <cell r="AY446" t="str">
            <v>XX</v>
          </cell>
          <cell r="BA446" t="str">
            <v>6</v>
          </cell>
          <cell r="BB446">
            <v>1</v>
          </cell>
          <cell r="BD446">
            <v>0</v>
          </cell>
          <cell r="BE446" t="str">
            <v>M</v>
          </cell>
          <cell r="BF446" t="str">
            <v>N</v>
          </cell>
          <cell r="BG446">
            <v>0</v>
          </cell>
          <cell r="BH446">
            <v>37438</v>
          </cell>
        </row>
        <row r="447">
          <cell r="A447">
            <v>69565</v>
          </cell>
          <cell r="B447">
            <v>414</v>
          </cell>
          <cell r="C447" t="str">
            <v>C3200</v>
          </cell>
          <cell r="D447" t="str">
            <v>EL HAMZI</v>
          </cell>
          <cell r="E447" t="str">
            <v>AZEDINE</v>
          </cell>
          <cell r="F447">
            <v>21001</v>
          </cell>
          <cell r="G447" t="str">
            <v>1</v>
          </cell>
          <cell r="H447" t="str">
            <v>KHOURIBGA</v>
          </cell>
          <cell r="I447" t="str">
            <v>D</v>
          </cell>
          <cell r="J447">
            <v>28340</v>
          </cell>
          <cell r="K447">
            <v>35096</v>
          </cell>
          <cell r="L447" t="str">
            <v>21</v>
          </cell>
          <cell r="M447" t="str">
            <v>A</v>
          </cell>
          <cell r="N447">
            <v>35096</v>
          </cell>
          <cell r="P447">
            <v>25</v>
          </cell>
          <cell r="Q447" t="str">
            <v>O</v>
          </cell>
          <cell r="R447" t="str">
            <v>N</v>
          </cell>
          <cell r="S447">
            <v>0</v>
          </cell>
          <cell r="T447" t="str">
            <v>M</v>
          </cell>
          <cell r="U447" t="str">
            <v>MINA BENT BOUCHAIB</v>
          </cell>
          <cell r="X447">
            <v>2</v>
          </cell>
          <cell r="Y447">
            <v>2</v>
          </cell>
          <cell r="AB447" t="str">
            <v>X</v>
          </cell>
          <cell r="AC447" t="str">
            <v>X</v>
          </cell>
          <cell r="AD447" t="str">
            <v>X</v>
          </cell>
          <cell r="AE447" t="str">
            <v>MINI.EDUC.NATLE</v>
          </cell>
          <cell r="AH447" t="str">
            <v>N</v>
          </cell>
          <cell r="AI447" t="str">
            <v>N</v>
          </cell>
          <cell r="AK447" t="str">
            <v>N° 11 BIS BLOC F ANCIEN SOUK - KHOURIBGA</v>
          </cell>
          <cell r="AL447" t="str">
            <v>2AS</v>
          </cell>
          <cell r="AP447" t="str">
            <v>Q 19482</v>
          </cell>
          <cell r="AQ447">
            <v>0</v>
          </cell>
          <cell r="AR447" t="str">
            <v>B</v>
          </cell>
          <cell r="AS447" t="str">
            <v>BMCE</v>
          </cell>
          <cell r="AT447" t="str">
            <v>40001200000210256</v>
          </cell>
          <cell r="AU447" t="str">
            <v>/  /</v>
          </cell>
          <cell r="AW447">
            <v>39264</v>
          </cell>
          <cell r="AY447" t="str">
            <v>XX</v>
          </cell>
          <cell r="BA447" t="str">
            <v>2</v>
          </cell>
          <cell r="BB447">
            <v>1</v>
          </cell>
          <cell r="BD447">
            <v>0</v>
          </cell>
          <cell r="BE447" t="str">
            <v>M</v>
          </cell>
          <cell r="BF447" t="str">
            <v>N</v>
          </cell>
          <cell r="BG447">
            <v>1</v>
          </cell>
          <cell r="BH447">
            <v>39264</v>
          </cell>
          <cell r="BI447" t="str">
            <v>O</v>
          </cell>
        </row>
        <row r="448">
          <cell r="A448">
            <v>71465</v>
          </cell>
          <cell r="B448">
            <v>414</v>
          </cell>
          <cell r="C448" t="str">
            <v>C3200</v>
          </cell>
          <cell r="D448" t="str">
            <v>EN-NAHI</v>
          </cell>
          <cell r="E448" t="str">
            <v>OMAR</v>
          </cell>
          <cell r="F448">
            <v>20461</v>
          </cell>
          <cell r="G448" t="str">
            <v>1</v>
          </cell>
          <cell r="H448" t="str">
            <v>OULED BHAR KBAR KHOURIBGA</v>
          </cell>
          <cell r="I448" t="str">
            <v>D</v>
          </cell>
          <cell r="J448">
            <v>29157</v>
          </cell>
          <cell r="K448">
            <v>35096</v>
          </cell>
          <cell r="L448" t="str">
            <v>21</v>
          </cell>
          <cell r="M448" t="str">
            <v>A</v>
          </cell>
          <cell r="N448">
            <v>35096</v>
          </cell>
          <cell r="P448">
            <v>23</v>
          </cell>
          <cell r="Q448" t="str">
            <v>O</v>
          </cell>
          <cell r="R448" t="str">
            <v>N</v>
          </cell>
          <cell r="S448">
            <v>0</v>
          </cell>
          <cell r="T448" t="str">
            <v>M</v>
          </cell>
          <cell r="U448" t="str">
            <v>ES-SAADIA BENT LARBI</v>
          </cell>
          <cell r="X448">
            <v>5</v>
          </cell>
          <cell r="Y448">
            <v>5</v>
          </cell>
          <cell r="AB448" t="str">
            <v>X</v>
          </cell>
          <cell r="AC448" t="str">
            <v>X</v>
          </cell>
          <cell r="AD448" t="str">
            <v>X</v>
          </cell>
          <cell r="AH448" t="str">
            <v>N</v>
          </cell>
          <cell r="AI448" t="str">
            <v>N</v>
          </cell>
          <cell r="AK448" t="str">
            <v>508 VILLAGE O.C.P BOUJNIBA</v>
          </cell>
          <cell r="AL448" t="str">
            <v>2AS</v>
          </cell>
          <cell r="AP448" t="str">
            <v>Q 6983</v>
          </cell>
          <cell r="AQ448">
            <v>0</v>
          </cell>
          <cell r="AR448" t="str">
            <v>B</v>
          </cell>
          <cell r="AS448" t="str">
            <v>BCM - KHGA</v>
          </cell>
          <cell r="AT448" t="str">
            <v>097E304405</v>
          </cell>
          <cell r="AU448" t="str">
            <v>/  /</v>
          </cell>
          <cell r="AW448">
            <v>38899</v>
          </cell>
          <cell r="AY448" t="str">
            <v>XX</v>
          </cell>
          <cell r="BA448" t="str">
            <v>2</v>
          </cell>
          <cell r="BB448">
            <v>1</v>
          </cell>
          <cell r="BD448">
            <v>0</v>
          </cell>
          <cell r="BE448" t="str">
            <v>M</v>
          </cell>
          <cell r="BF448" t="str">
            <v>N</v>
          </cell>
          <cell r="BG448">
            <v>50</v>
          </cell>
          <cell r="BH448">
            <v>38899</v>
          </cell>
        </row>
        <row r="449">
          <cell r="A449">
            <v>73631</v>
          </cell>
          <cell r="B449">
            <v>414</v>
          </cell>
          <cell r="C449" t="str">
            <v>C7210</v>
          </cell>
          <cell r="D449" t="str">
            <v>OMRACHI</v>
          </cell>
          <cell r="E449" t="str">
            <v>BOUCHTA</v>
          </cell>
          <cell r="F449">
            <v>19175</v>
          </cell>
          <cell r="H449" t="str">
            <v>BENI AMIR - FQUIH BEN SALAH</v>
          </cell>
          <cell r="I449" t="str">
            <v>F</v>
          </cell>
          <cell r="J449">
            <v>28083</v>
          </cell>
          <cell r="K449">
            <v>37043</v>
          </cell>
          <cell r="L449" t="str">
            <v>33</v>
          </cell>
          <cell r="M449" t="str">
            <v>A</v>
          </cell>
          <cell r="N449">
            <v>37043</v>
          </cell>
          <cell r="P449">
            <v>26</v>
          </cell>
          <cell r="Q449" t="str">
            <v>O</v>
          </cell>
          <cell r="R449" t="str">
            <v>N</v>
          </cell>
          <cell r="S449">
            <v>0</v>
          </cell>
          <cell r="T449" t="str">
            <v>M</v>
          </cell>
          <cell r="U449" t="str">
            <v>JARDOUH RACHIDA</v>
          </cell>
          <cell r="X449">
            <v>0</v>
          </cell>
          <cell r="Y449">
            <v>0</v>
          </cell>
          <cell r="Z449" t="str">
            <v>N</v>
          </cell>
          <cell r="AB449" t="str">
            <v>X</v>
          </cell>
          <cell r="AC449" t="str">
            <v>X</v>
          </cell>
          <cell r="AD449" t="str">
            <v>X</v>
          </cell>
          <cell r="AH449" t="str">
            <v>N</v>
          </cell>
          <cell r="AI449" t="str">
            <v>N</v>
          </cell>
          <cell r="AK449" t="str">
            <v>155 VILLAGE OCP - BOULANOUAR</v>
          </cell>
          <cell r="AL449" t="str">
            <v>7 SC.EXP</v>
          </cell>
          <cell r="AM449" t="str">
            <v>CES.CFO</v>
          </cell>
          <cell r="AP449" t="str">
            <v>Q 82897</v>
          </cell>
          <cell r="AQ449">
            <v>0</v>
          </cell>
          <cell r="AR449" t="str">
            <v>B</v>
          </cell>
          <cell r="AS449" t="str">
            <v>BMCE - KHGA</v>
          </cell>
          <cell r="AT449" t="str">
            <v>4000001200001434202</v>
          </cell>
          <cell r="AU449" t="str">
            <v>/  /</v>
          </cell>
          <cell r="AW449">
            <v>37803</v>
          </cell>
          <cell r="AY449" t="str">
            <v>XX</v>
          </cell>
          <cell r="BA449" t="str">
            <v>2</v>
          </cell>
          <cell r="BB449">
            <v>0</v>
          </cell>
          <cell r="BD449">
            <v>0</v>
          </cell>
          <cell r="BE449" t="str">
            <v>M</v>
          </cell>
          <cell r="BF449" t="str">
            <v>N</v>
          </cell>
          <cell r="BG449">
            <v>1</v>
          </cell>
          <cell r="BH449">
            <v>37803</v>
          </cell>
        </row>
        <row r="450">
          <cell r="A450">
            <v>73984</v>
          </cell>
          <cell r="B450">
            <v>414</v>
          </cell>
          <cell r="C450" t="str">
            <v>C5210</v>
          </cell>
          <cell r="D450" t="str">
            <v>LAHKIM</v>
          </cell>
          <cell r="E450" t="str">
            <v>ABDALLAH</v>
          </cell>
          <cell r="F450">
            <v>21170</v>
          </cell>
          <cell r="G450" t="str">
            <v>1</v>
          </cell>
          <cell r="H450" t="str">
            <v>KHOURIBGA</v>
          </cell>
          <cell r="I450" t="str">
            <v>F</v>
          </cell>
          <cell r="J450">
            <v>30159</v>
          </cell>
          <cell r="K450">
            <v>30164</v>
          </cell>
          <cell r="L450" t="str">
            <v>31</v>
          </cell>
          <cell r="M450" t="str">
            <v>A</v>
          </cell>
          <cell r="N450">
            <v>30164</v>
          </cell>
          <cell r="P450">
            <v>20</v>
          </cell>
          <cell r="Q450" t="str">
            <v>O</v>
          </cell>
          <cell r="R450" t="str">
            <v>N</v>
          </cell>
          <cell r="S450">
            <v>0</v>
          </cell>
          <cell r="T450" t="str">
            <v>M</v>
          </cell>
          <cell r="U450" t="str">
            <v>HOUJRI SOUAD</v>
          </cell>
          <cell r="X450">
            <v>4</v>
          </cell>
          <cell r="Y450">
            <v>4</v>
          </cell>
          <cell r="AB450" t="str">
            <v>X</v>
          </cell>
          <cell r="AC450" t="str">
            <v>X</v>
          </cell>
          <cell r="AD450" t="str">
            <v>X</v>
          </cell>
          <cell r="AH450" t="str">
            <v>N</v>
          </cell>
          <cell r="AI450" t="str">
            <v>N</v>
          </cell>
          <cell r="AK450" t="str">
            <v>67,NX LOGEMENTS DE SECHAGE OCP KHOURIBGA</v>
          </cell>
          <cell r="AL450" t="str">
            <v>7 SC.EX</v>
          </cell>
          <cell r="AM450" t="str">
            <v>CES.CFO</v>
          </cell>
          <cell r="AP450" t="str">
            <v>Q 66801</v>
          </cell>
          <cell r="AQ450">
            <v>0</v>
          </cell>
          <cell r="AR450" t="str">
            <v>B</v>
          </cell>
          <cell r="AS450" t="str">
            <v>BMCE - KHGA</v>
          </cell>
          <cell r="AT450" t="str">
            <v>400001200001489383</v>
          </cell>
          <cell r="AU450" t="str">
            <v>/  /</v>
          </cell>
          <cell r="AW450">
            <v>39814</v>
          </cell>
          <cell r="AY450" t="str">
            <v>XX</v>
          </cell>
          <cell r="AZ450" t="str">
            <v>R</v>
          </cell>
          <cell r="BA450" t="str">
            <v>2</v>
          </cell>
          <cell r="BB450">
            <v>1</v>
          </cell>
          <cell r="BD450">
            <v>0</v>
          </cell>
          <cell r="BE450" t="str">
            <v>M</v>
          </cell>
          <cell r="BF450" t="str">
            <v>N</v>
          </cell>
          <cell r="BG450">
            <v>1</v>
          </cell>
          <cell r="BH450">
            <v>39814</v>
          </cell>
        </row>
        <row r="451">
          <cell r="A451">
            <v>74003</v>
          </cell>
          <cell r="B451">
            <v>414</v>
          </cell>
          <cell r="C451" t="str">
            <v>C6200</v>
          </cell>
          <cell r="D451" t="str">
            <v>DERHOUMI</v>
          </cell>
          <cell r="E451" t="str">
            <v>EL MOSTAFA</v>
          </cell>
          <cell r="F451">
            <v>21642</v>
          </cell>
          <cell r="G451" t="str">
            <v>1</v>
          </cell>
          <cell r="H451" t="str">
            <v>KHOURIBGA</v>
          </cell>
          <cell r="I451" t="str">
            <v>F</v>
          </cell>
          <cell r="J451">
            <v>30517</v>
          </cell>
          <cell r="K451">
            <v>36526</v>
          </cell>
          <cell r="L451" t="str">
            <v>32</v>
          </cell>
          <cell r="M451" t="str">
            <v>A</v>
          </cell>
          <cell r="N451">
            <v>36526</v>
          </cell>
          <cell r="P451">
            <v>19</v>
          </cell>
          <cell r="Q451" t="str">
            <v>O</v>
          </cell>
          <cell r="R451" t="str">
            <v>N</v>
          </cell>
          <cell r="S451">
            <v>0</v>
          </cell>
          <cell r="T451" t="str">
            <v>M</v>
          </cell>
          <cell r="U451" t="str">
            <v>JAMILA BENT ABDELKADER</v>
          </cell>
          <cell r="X451">
            <v>3</v>
          </cell>
          <cell r="Y451">
            <v>3</v>
          </cell>
          <cell r="AB451" t="str">
            <v>X</v>
          </cell>
          <cell r="AC451" t="str">
            <v>X</v>
          </cell>
          <cell r="AD451" t="str">
            <v>X</v>
          </cell>
          <cell r="AH451" t="str">
            <v>N</v>
          </cell>
          <cell r="AI451" t="str">
            <v>N</v>
          </cell>
          <cell r="AK451" t="str">
            <v>1 OUED LAABID PEPINIERE OCP - KHGA</v>
          </cell>
          <cell r="AL451" t="str">
            <v>7 SC EXP</v>
          </cell>
          <cell r="AM451" t="str">
            <v>CFO</v>
          </cell>
          <cell r="AP451" t="str">
            <v>Q 54931</v>
          </cell>
          <cell r="AQ451">
            <v>0</v>
          </cell>
          <cell r="AR451" t="str">
            <v>B</v>
          </cell>
          <cell r="AS451" t="str">
            <v>CREDIT DU MAROC</v>
          </cell>
          <cell r="AT451" t="str">
            <v>820010004011</v>
          </cell>
          <cell r="AU451" t="str">
            <v>/  /</v>
          </cell>
          <cell r="AW451">
            <v>40179</v>
          </cell>
          <cell r="AY451" t="str">
            <v>XX</v>
          </cell>
          <cell r="BA451" t="str">
            <v>2</v>
          </cell>
          <cell r="BB451">
            <v>1</v>
          </cell>
          <cell r="BC451" t="str">
            <v>O</v>
          </cell>
          <cell r="BD451">
            <v>3</v>
          </cell>
          <cell r="BE451" t="str">
            <v>M</v>
          </cell>
          <cell r="BF451" t="str">
            <v>N</v>
          </cell>
          <cell r="BG451">
            <v>40</v>
          </cell>
          <cell r="BH451">
            <v>40179</v>
          </cell>
        </row>
        <row r="452">
          <cell r="A452">
            <v>74474</v>
          </cell>
          <cell r="B452">
            <v>414</v>
          </cell>
          <cell r="C452" t="str">
            <v>C6210</v>
          </cell>
          <cell r="D452" t="str">
            <v>MRABET</v>
          </cell>
          <cell r="E452" t="str">
            <v>ABDELAZIZ</v>
          </cell>
          <cell r="F452">
            <v>22034</v>
          </cell>
          <cell r="H452" t="str">
            <v>GHAFSAI - TAOUNATE</v>
          </cell>
          <cell r="I452" t="str">
            <v>F</v>
          </cell>
          <cell r="J452">
            <v>31623</v>
          </cell>
          <cell r="K452">
            <v>35065</v>
          </cell>
          <cell r="L452" t="str">
            <v>32</v>
          </cell>
          <cell r="M452" t="str">
            <v>A</v>
          </cell>
          <cell r="N452">
            <v>35065</v>
          </cell>
          <cell r="P452">
            <v>16</v>
          </cell>
          <cell r="Q452" t="str">
            <v>O</v>
          </cell>
          <cell r="R452" t="str">
            <v>N</v>
          </cell>
          <cell r="S452">
            <v>0</v>
          </cell>
          <cell r="T452" t="str">
            <v>M</v>
          </cell>
          <cell r="U452" t="str">
            <v>EL MONTTAKI FATIHA BT ABDERRAH</v>
          </cell>
          <cell r="X452">
            <v>2</v>
          </cell>
          <cell r="Y452">
            <v>2</v>
          </cell>
          <cell r="Z452" t="str">
            <v>N</v>
          </cell>
          <cell r="AB452" t="str">
            <v>X</v>
          </cell>
          <cell r="AC452" t="str">
            <v>X</v>
          </cell>
          <cell r="AD452" t="str">
            <v>X</v>
          </cell>
          <cell r="AH452" t="str">
            <v>N</v>
          </cell>
          <cell r="AI452" t="str">
            <v>N</v>
          </cell>
          <cell r="AK452" t="str">
            <v>85,2EME ETAGE RUE MOULAY EL HASSAN KHGA</v>
          </cell>
          <cell r="AL452" t="str">
            <v>1A FAC</v>
          </cell>
          <cell r="AM452" t="str">
            <v>BAC.CFO</v>
          </cell>
          <cell r="AP452" t="str">
            <v>C 204397</v>
          </cell>
          <cell r="AQ452">
            <v>0</v>
          </cell>
          <cell r="AR452" t="str">
            <v>B</v>
          </cell>
          <cell r="AS452" t="str">
            <v>BMCE - KHGA</v>
          </cell>
          <cell r="AT452" t="str">
            <v>40001200000588362</v>
          </cell>
          <cell r="AU452" t="str">
            <v>/  /</v>
          </cell>
          <cell r="AW452">
            <v>43265</v>
          </cell>
          <cell r="AX452">
            <v>43265</v>
          </cell>
          <cell r="AY452" t="str">
            <v>XX</v>
          </cell>
          <cell r="BA452" t="str">
            <v>2</v>
          </cell>
          <cell r="BB452">
            <v>1</v>
          </cell>
          <cell r="BD452">
            <v>0</v>
          </cell>
          <cell r="BE452" t="str">
            <v>M</v>
          </cell>
          <cell r="BF452" t="str">
            <v>N</v>
          </cell>
          <cell r="BG452">
            <v>1</v>
          </cell>
          <cell r="BH452">
            <v>41275</v>
          </cell>
        </row>
        <row r="453">
          <cell r="A453">
            <v>74545</v>
          </cell>
          <cell r="B453">
            <v>414</v>
          </cell>
          <cell r="C453" t="str">
            <v>C5210</v>
          </cell>
          <cell r="D453" t="str">
            <v>SHAMI</v>
          </cell>
          <cell r="E453" t="str">
            <v>ABDELOUAHED</v>
          </cell>
          <cell r="F453">
            <v>22827</v>
          </cell>
          <cell r="G453" t="str">
            <v>1</v>
          </cell>
          <cell r="H453" t="str">
            <v>OULED BHAR SGHAR KHOURIBGA</v>
          </cell>
          <cell r="I453" t="str">
            <v>F</v>
          </cell>
          <cell r="J453">
            <v>31929</v>
          </cell>
          <cell r="K453">
            <v>31929</v>
          </cell>
          <cell r="L453" t="str">
            <v>31</v>
          </cell>
          <cell r="M453" t="str">
            <v>B</v>
          </cell>
          <cell r="N453">
            <v>35612</v>
          </cell>
          <cell r="P453">
            <v>15</v>
          </cell>
          <cell r="Q453" t="str">
            <v>O</v>
          </cell>
          <cell r="R453" t="str">
            <v>N</v>
          </cell>
          <cell r="S453">
            <v>0</v>
          </cell>
          <cell r="T453" t="str">
            <v>M</v>
          </cell>
          <cell r="U453" t="str">
            <v>KASBI LATIFA BENT SMAIL</v>
          </cell>
          <cell r="X453">
            <v>2</v>
          </cell>
          <cell r="Y453">
            <v>2</v>
          </cell>
          <cell r="Z453" t="str">
            <v>N</v>
          </cell>
          <cell r="AB453" t="str">
            <v>X</v>
          </cell>
          <cell r="AC453" t="str">
            <v>X</v>
          </cell>
          <cell r="AD453" t="str">
            <v>X</v>
          </cell>
          <cell r="AH453" t="str">
            <v>N</v>
          </cell>
          <cell r="AI453" t="str">
            <v>N</v>
          </cell>
          <cell r="AK453" t="str">
            <v>23.RUE 4 FERME OCP KHOURIBGA</v>
          </cell>
          <cell r="AL453" t="str">
            <v>1A FAC</v>
          </cell>
          <cell r="AM453" t="str">
            <v>ITA.BAC.CFO</v>
          </cell>
          <cell r="AP453" t="str">
            <v>Q 60826</v>
          </cell>
          <cell r="AQ453">
            <v>0</v>
          </cell>
          <cell r="AR453" t="str">
            <v>B</v>
          </cell>
          <cell r="AS453" t="str">
            <v>B.M.C.E  KHGA</v>
          </cell>
          <cell r="AT453" t="str">
            <v>40001200000684683</v>
          </cell>
          <cell r="AU453" t="str">
            <v>/  /</v>
          </cell>
          <cell r="AW453">
            <v>41640</v>
          </cell>
          <cell r="AY453" t="str">
            <v>XX</v>
          </cell>
          <cell r="BA453" t="str">
            <v>2</v>
          </cell>
          <cell r="BB453">
            <v>1</v>
          </cell>
          <cell r="BD453">
            <v>0</v>
          </cell>
          <cell r="BE453" t="str">
            <v>M</v>
          </cell>
          <cell r="BF453" t="str">
            <v>N</v>
          </cell>
          <cell r="BG453">
            <v>1</v>
          </cell>
          <cell r="BH453">
            <v>41640</v>
          </cell>
        </row>
        <row r="454">
          <cell r="A454">
            <v>74547</v>
          </cell>
          <cell r="B454">
            <v>414</v>
          </cell>
          <cell r="C454" t="str">
            <v>C7210</v>
          </cell>
          <cell r="D454" t="str">
            <v>GRAR</v>
          </cell>
          <cell r="E454" t="str">
            <v>SAID</v>
          </cell>
          <cell r="F454">
            <v>23645</v>
          </cell>
          <cell r="H454" t="str">
            <v>OULED SAID - SETTAT</v>
          </cell>
          <cell r="I454" t="str">
            <v>F</v>
          </cell>
          <cell r="J454">
            <v>31929</v>
          </cell>
          <cell r="K454">
            <v>36526</v>
          </cell>
          <cell r="L454" t="str">
            <v>33</v>
          </cell>
          <cell r="M454" t="str">
            <v>A</v>
          </cell>
          <cell r="N454">
            <v>36526</v>
          </cell>
          <cell r="P454">
            <v>15</v>
          </cell>
          <cell r="Q454" t="str">
            <v>O</v>
          </cell>
          <cell r="R454" t="str">
            <v>N</v>
          </cell>
          <cell r="S454">
            <v>0</v>
          </cell>
          <cell r="T454" t="str">
            <v>M</v>
          </cell>
          <cell r="U454" t="str">
            <v>BENHAMDOUCH ILHAM</v>
          </cell>
          <cell r="X454">
            <v>2</v>
          </cell>
          <cell r="Y454">
            <v>2</v>
          </cell>
          <cell r="AB454" t="str">
            <v>X</v>
          </cell>
          <cell r="AC454" t="str">
            <v>X</v>
          </cell>
          <cell r="AD454" t="str">
            <v>X</v>
          </cell>
          <cell r="AH454" t="str">
            <v>N</v>
          </cell>
          <cell r="AI454" t="str">
            <v>N</v>
          </cell>
          <cell r="AK454" t="str">
            <v>27 RUE MARRAKECH KHOURIBGA</v>
          </cell>
          <cell r="AL454" t="str">
            <v>1 A.FAC</v>
          </cell>
          <cell r="AM454" t="str">
            <v>BAC.CFO</v>
          </cell>
          <cell r="AP454" t="str">
            <v>BH 24747</v>
          </cell>
          <cell r="AQ454">
            <v>0</v>
          </cell>
          <cell r="AR454" t="str">
            <v>B</v>
          </cell>
          <cell r="AS454" t="str">
            <v>S.G.M.B</v>
          </cell>
          <cell r="AT454" t="str">
            <v>670009081931</v>
          </cell>
          <cell r="AU454" t="str">
            <v>/  /</v>
          </cell>
          <cell r="AW454">
            <v>42005</v>
          </cell>
          <cell r="AY454" t="str">
            <v>XX</v>
          </cell>
          <cell r="BA454" t="str">
            <v>2</v>
          </cell>
          <cell r="BB454">
            <v>1</v>
          </cell>
          <cell r="BD454">
            <v>0</v>
          </cell>
          <cell r="BE454" t="str">
            <v>M</v>
          </cell>
          <cell r="BF454" t="str">
            <v>N</v>
          </cell>
          <cell r="BG454">
            <v>1</v>
          </cell>
          <cell r="BH454">
            <v>42005</v>
          </cell>
        </row>
        <row r="455">
          <cell r="A455">
            <v>74550</v>
          </cell>
          <cell r="B455">
            <v>414</v>
          </cell>
          <cell r="C455" t="str">
            <v>C7210</v>
          </cell>
          <cell r="D455" t="str">
            <v>ET-TABTI</v>
          </cell>
          <cell r="E455" t="str">
            <v>SAID</v>
          </cell>
          <cell r="F455">
            <v>22923</v>
          </cell>
          <cell r="G455" t="str">
            <v>6</v>
          </cell>
          <cell r="H455" t="str">
            <v>HATTANE</v>
          </cell>
          <cell r="I455" t="str">
            <v>F</v>
          </cell>
          <cell r="J455">
            <v>31929</v>
          </cell>
          <cell r="K455">
            <v>36526</v>
          </cell>
          <cell r="L455" t="str">
            <v>33</v>
          </cell>
          <cell r="M455" t="str">
            <v>A</v>
          </cell>
          <cell r="N455">
            <v>36526</v>
          </cell>
          <cell r="P455">
            <v>15</v>
          </cell>
          <cell r="Q455" t="str">
            <v>O</v>
          </cell>
          <cell r="R455" t="str">
            <v>N</v>
          </cell>
          <cell r="S455">
            <v>0</v>
          </cell>
          <cell r="T455" t="str">
            <v>M</v>
          </cell>
          <cell r="U455" t="str">
            <v>KAKI NAJIA</v>
          </cell>
          <cell r="X455">
            <v>0</v>
          </cell>
          <cell r="Y455">
            <v>0</v>
          </cell>
          <cell r="AB455" t="str">
            <v>X</v>
          </cell>
          <cell r="AC455" t="str">
            <v>X</v>
          </cell>
          <cell r="AD455" t="str">
            <v>X</v>
          </cell>
          <cell r="AH455" t="str">
            <v>O</v>
          </cell>
          <cell r="AI455" t="str">
            <v>N</v>
          </cell>
          <cell r="AK455" t="str">
            <v>34 RUE  EL ANOUAR VILLE OCP KHOURIBGA</v>
          </cell>
          <cell r="AL455" t="str">
            <v>7 AS</v>
          </cell>
          <cell r="AM455" t="str">
            <v>BAC.ITA.CFO</v>
          </cell>
          <cell r="AP455" t="str">
            <v>Q 73003</v>
          </cell>
          <cell r="AQ455">
            <v>0</v>
          </cell>
          <cell r="AR455" t="str">
            <v>B</v>
          </cell>
          <cell r="AS455" t="str">
            <v>SGMB-KHOURIBGA</v>
          </cell>
          <cell r="AT455" t="str">
            <v>06700924915941</v>
          </cell>
          <cell r="AU455" t="str">
            <v>/  /</v>
          </cell>
          <cell r="AW455">
            <v>43630</v>
          </cell>
          <cell r="AX455">
            <v>43630</v>
          </cell>
          <cell r="AY455" t="str">
            <v>XX</v>
          </cell>
          <cell r="BA455" t="str">
            <v>2</v>
          </cell>
          <cell r="BB455">
            <v>0</v>
          </cell>
          <cell r="BD455">
            <v>0</v>
          </cell>
          <cell r="BE455" t="str">
            <v>M</v>
          </cell>
          <cell r="BF455" t="str">
            <v>N</v>
          </cell>
          <cell r="BG455">
            <v>1</v>
          </cell>
          <cell r="BH455">
            <v>41640</v>
          </cell>
        </row>
        <row r="456">
          <cell r="A456">
            <v>68171</v>
          </cell>
          <cell r="B456">
            <v>405</v>
          </cell>
          <cell r="C456" t="str">
            <v>X3300</v>
          </cell>
          <cell r="D456" t="str">
            <v>LAROUSSI</v>
          </cell>
          <cell r="E456" t="str">
            <v>MOHAMED</v>
          </cell>
          <cell r="F456">
            <v>20636</v>
          </cell>
          <cell r="G456" t="str">
            <v>6</v>
          </cell>
          <cell r="H456" t="str">
            <v>M'FASSIS</v>
          </cell>
          <cell r="I456" t="str">
            <v>F</v>
          </cell>
          <cell r="J456">
            <v>27663</v>
          </cell>
          <cell r="K456">
            <v>33420</v>
          </cell>
          <cell r="L456" t="str">
            <v>41</v>
          </cell>
          <cell r="M456" t="str">
            <v>A</v>
          </cell>
          <cell r="N456">
            <v>33420</v>
          </cell>
          <cell r="O456">
            <v>0</v>
          </cell>
          <cell r="P456">
            <v>27</v>
          </cell>
          <cell r="Q456" t="str">
            <v>O</v>
          </cell>
          <cell r="R456" t="str">
            <v>N</v>
          </cell>
          <cell r="S456">
            <v>0</v>
          </cell>
          <cell r="T456" t="str">
            <v>M</v>
          </cell>
          <cell r="U456" t="str">
            <v>CHITANI NAIMA</v>
          </cell>
          <cell r="X456">
            <v>5</v>
          </cell>
          <cell r="Y456">
            <v>5</v>
          </cell>
          <cell r="AB456" t="str">
            <v>X</v>
          </cell>
          <cell r="AC456" t="str">
            <v>X</v>
          </cell>
          <cell r="AD456" t="str">
            <v>X</v>
          </cell>
          <cell r="AH456" t="str">
            <v>N</v>
          </cell>
          <cell r="AI456" t="str">
            <v>N</v>
          </cell>
          <cell r="AK456" t="str">
            <v>29 COOPERATIVE BIR ANZANRANE - KHGA</v>
          </cell>
          <cell r="AL456" t="str">
            <v>7.SC.EX</v>
          </cell>
          <cell r="AM456" t="str">
            <v>CFO</v>
          </cell>
          <cell r="AP456" t="str">
            <v>Q 39515</v>
          </cell>
          <cell r="AQ456">
            <v>0</v>
          </cell>
          <cell r="AR456" t="str">
            <v>B</v>
          </cell>
          <cell r="AS456" t="str">
            <v>C.I.H. KHOURIBGA</v>
          </cell>
          <cell r="AT456" t="str">
            <v>7940828211004700</v>
          </cell>
          <cell r="AU456" t="str">
            <v>/  /</v>
          </cell>
          <cell r="AW456">
            <v>38899</v>
          </cell>
          <cell r="AY456" t="str">
            <v>XX</v>
          </cell>
          <cell r="BA456" t="str">
            <v>2</v>
          </cell>
          <cell r="BB456">
            <v>1</v>
          </cell>
          <cell r="BD456">
            <v>0</v>
          </cell>
          <cell r="BE456" t="str">
            <v>M</v>
          </cell>
          <cell r="BF456" t="str">
            <v>N</v>
          </cell>
          <cell r="BG456">
            <v>1</v>
          </cell>
          <cell r="BH456">
            <v>38899</v>
          </cell>
          <cell r="BI456" t="str">
            <v>O</v>
          </cell>
        </row>
        <row r="457">
          <cell r="A457">
            <v>69281</v>
          </cell>
          <cell r="B457">
            <v>415</v>
          </cell>
          <cell r="C457" t="str">
            <v>C4300</v>
          </cell>
          <cell r="D457" t="str">
            <v>EL HIBARI</v>
          </cell>
          <cell r="E457" t="str">
            <v>BOUCHTA</v>
          </cell>
          <cell r="F457">
            <v>20852</v>
          </cell>
          <cell r="G457" t="str">
            <v>3</v>
          </cell>
          <cell r="H457" t="str">
            <v>BOUJNIBA</v>
          </cell>
          <cell r="I457" t="str">
            <v>D</v>
          </cell>
          <cell r="J457">
            <v>28226</v>
          </cell>
          <cell r="K457">
            <v>36526</v>
          </cell>
          <cell r="L457" t="str">
            <v>22</v>
          </cell>
          <cell r="M457" t="str">
            <v>A</v>
          </cell>
          <cell r="N457">
            <v>36526</v>
          </cell>
          <cell r="O457">
            <v>0</v>
          </cell>
          <cell r="P457">
            <v>26</v>
          </cell>
          <cell r="Q457" t="str">
            <v>O</v>
          </cell>
          <cell r="R457" t="str">
            <v>N</v>
          </cell>
          <cell r="S457">
            <v>0</v>
          </cell>
          <cell r="T457" t="str">
            <v>M</v>
          </cell>
          <cell r="U457" t="str">
            <v>JABRANE RACHIDA</v>
          </cell>
          <cell r="X457">
            <v>4</v>
          </cell>
          <cell r="Y457">
            <v>2</v>
          </cell>
          <cell r="AB457" t="str">
            <v>X</v>
          </cell>
          <cell r="AC457" t="str">
            <v>X</v>
          </cell>
          <cell r="AD457" t="str">
            <v>X</v>
          </cell>
          <cell r="AH457" t="str">
            <v>N</v>
          </cell>
          <cell r="AI457" t="str">
            <v>N</v>
          </cell>
          <cell r="AK457" t="str">
            <v>647.NOUVELLE MEDINA DE SECHAGE KOURIBGA</v>
          </cell>
          <cell r="AL457" t="str">
            <v>4 AS</v>
          </cell>
          <cell r="AP457" t="str">
            <v>Q 81133</v>
          </cell>
          <cell r="AQ457">
            <v>0</v>
          </cell>
          <cell r="AR457" t="str">
            <v>B</v>
          </cell>
          <cell r="AS457" t="str">
            <v>B.M.C.E  KHGA</v>
          </cell>
          <cell r="AT457" t="str">
            <v>40001200000726005</v>
          </cell>
          <cell r="AU457" t="str">
            <v>/  /</v>
          </cell>
          <cell r="AW457">
            <v>39264</v>
          </cell>
          <cell r="AY457" t="str">
            <v>XX</v>
          </cell>
          <cell r="BA457" t="str">
            <v>2</v>
          </cell>
          <cell r="BB457">
            <v>1</v>
          </cell>
          <cell r="BD457">
            <v>0</v>
          </cell>
          <cell r="BE457" t="str">
            <v>M</v>
          </cell>
          <cell r="BF457" t="str">
            <v>N</v>
          </cell>
          <cell r="BG457">
            <v>1</v>
          </cell>
          <cell r="BH457">
            <v>39264</v>
          </cell>
          <cell r="BI457" t="str">
            <v>O</v>
          </cell>
        </row>
        <row r="458">
          <cell r="A458">
            <v>74199</v>
          </cell>
          <cell r="B458">
            <v>405</v>
          </cell>
          <cell r="C458" t="str">
            <v>C5300</v>
          </cell>
          <cell r="D458" t="str">
            <v>MEDQOUN</v>
          </cell>
          <cell r="E458" t="str">
            <v>SALAH</v>
          </cell>
          <cell r="F458">
            <v>21828</v>
          </cell>
          <cell r="G458" t="str">
            <v>1</v>
          </cell>
          <cell r="H458" t="str">
            <v>OULED BHAR KBAR KHOURIBGA</v>
          </cell>
          <cell r="I458" t="str">
            <v>F</v>
          </cell>
          <cell r="J458">
            <v>31240</v>
          </cell>
          <cell r="K458">
            <v>31260</v>
          </cell>
          <cell r="L458" t="str">
            <v>31</v>
          </cell>
          <cell r="M458" t="str">
            <v>A</v>
          </cell>
          <cell r="N458">
            <v>31260</v>
          </cell>
          <cell r="P458">
            <v>17</v>
          </cell>
          <cell r="Q458" t="str">
            <v>O</v>
          </cell>
          <cell r="R458" t="str">
            <v>N</v>
          </cell>
          <cell r="S458">
            <v>0</v>
          </cell>
          <cell r="T458" t="str">
            <v>M</v>
          </cell>
          <cell r="U458" t="str">
            <v>YAKOUTI HABIBA BENT BOUCHTA</v>
          </cell>
          <cell r="X458">
            <v>4</v>
          </cell>
          <cell r="Y458">
            <v>4</v>
          </cell>
          <cell r="AB458" t="str">
            <v>X</v>
          </cell>
          <cell r="AC458" t="str">
            <v>X</v>
          </cell>
          <cell r="AD458" t="str">
            <v>X</v>
          </cell>
          <cell r="AH458" t="str">
            <v>N</v>
          </cell>
          <cell r="AI458" t="str">
            <v>N</v>
          </cell>
          <cell r="AK458" t="str">
            <v>287 DERB 1 - BOUJNIBA</v>
          </cell>
          <cell r="AL458" t="str">
            <v>7 AS.SC.EX</v>
          </cell>
          <cell r="AM458" t="str">
            <v>CFO.</v>
          </cell>
          <cell r="AP458" t="str">
            <v>Q 20481</v>
          </cell>
          <cell r="AQ458">
            <v>0</v>
          </cell>
          <cell r="AR458" t="str">
            <v>B</v>
          </cell>
          <cell r="AS458" t="str">
            <v>CNCA  - KHGA</v>
          </cell>
          <cell r="AT458" t="str">
            <v>0806458J601</v>
          </cell>
          <cell r="AU458" t="str">
            <v>/  /</v>
          </cell>
          <cell r="AW458">
            <v>42899</v>
          </cell>
          <cell r="AX458">
            <v>42899</v>
          </cell>
          <cell r="AY458" t="str">
            <v>XX</v>
          </cell>
          <cell r="AZ458" t="str">
            <v>R</v>
          </cell>
          <cell r="BA458" t="str">
            <v>6</v>
          </cell>
          <cell r="BB458">
            <v>1</v>
          </cell>
          <cell r="BD458">
            <v>0</v>
          </cell>
          <cell r="BE458" t="str">
            <v>M</v>
          </cell>
          <cell r="BF458" t="str">
            <v>N</v>
          </cell>
          <cell r="BG458">
            <v>50</v>
          </cell>
          <cell r="BH458">
            <v>40909</v>
          </cell>
          <cell r="BI458" t="str">
            <v>O</v>
          </cell>
        </row>
        <row r="459">
          <cell r="A459">
            <v>79694</v>
          </cell>
          <cell r="B459">
            <v>435</v>
          </cell>
          <cell r="C459" t="str">
            <v>C4300</v>
          </cell>
          <cell r="D459" t="str">
            <v>CHAMCHOUM</v>
          </cell>
          <cell r="E459" t="str">
            <v>EL MOSTAFA</v>
          </cell>
          <cell r="F459">
            <v>20903</v>
          </cell>
          <cell r="G459" t="str">
            <v>1</v>
          </cell>
          <cell r="H459" t="str">
            <v>KHOURIBGA</v>
          </cell>
          <cell r="I459" t="str">
            <v>F</v>
          </cell>
          <cell r="J459">
            <v>29388</v>
          </cell>
          <cell r="K459">
            <v>33573</v>
          </cell>
          <cell r="L459" t="str">
            <v>22</v>
          </cell>
          <cell r="M459" t="str">
            <v>A</v>
          </cell>
          <cell r="N459">
            <v>33573</v>
          </cell>
          <cell r="P459">
            <v>22</v>
          </cell>
          <cell r="Q459" t="str">
            <v>N</v>
          </cell>
          <cell r="R459" t="str">
            <v>N</v>
          </cell>
          <cell r="S459">
            <v>0</v>
          </cell>
          <cell r="T459" t="str">
            <v>M</v>
          </cell>
          <cell r="U459" t="str">
            <v>AKIF MALIKA</v>
          </cell>
          <cell r="X459">
            <v>3</v>
          </cell>
          <cell r="Y459">
            <v>3</v>
          </cell>
          <cell r="AB459" t="str">
            <v>X</v>
          </cell>
          <cell r="AC459" t="str">
            <v>X</v>
          </cell>
          <cell r="AD459" t="str">
            <v>X</v>
          </cell>
          <cell r="AH459" t="str">
            <v>N</v>
          </cell>
          <cell r="AI459" t="str">
            <v>N</v>
          </cell>
          <cell r="AK459" t="str">
            <v>87 ANCIENNE MEDINA DE SECHAGE KHOURIBGA</v>
          </cell>
          <cell r="AL459" t="str">
            <v>3AS</v>
          </cell>
          <cell r="AM459" t="str">
            <v>CFP.</v>
          </cell>
          <cell r="AP459" t="str">
            <v>Q 8550</v>
          </cell>
          <cell r="AQ459">
            <v>0</v>
          </cell>
          <cell r="AR459" t="str">
            <v>C</v>
          </cell>
          <cell r="AU459" t="str">
            <v>/  /</v>
          </cell>
          <cell r="AW459">
            <v>39264</v>
          </cell>
          <cell r="AY459" t="str">
            <v>XX</v>
          </cell>
          <cell r="BA459" t="str">
            <v>2</v>
          </cell>
          <cell r="BB459">
            <v>1</v>
          </cell>
          <cell r="BD459">
            <v>0</v>
          </cell>
          <cell r="BE459" t="str">
            <v>M</v>
          </cell>
          <cell r="BF459" t="str">
            <v>N</v>
          </cell>
          <cell r="BG459">
            <v>0</v>
          </cell>
          <cell r="BH459">
            <v>39264</v>
          </cell>
        </row>
        <row r="460">
          <cell r="A460">
            <v>66386</v>
          </cell>
          <cell r="B460">
            <v>406</v>
          </cell>
          <cell r="C460" t="str">
            <v>C3152</v>
          </cell>
          <cell r="D460" t="str">
            <v>BAZZARI</v>
          </cell>
          <cell r="E460" t="str">
            <v>AHMED</v>
          </cell>
          <cell r="F460">
            <v>19175</v>
          </cell>
          <cell r="G460" t="str">
            <v>1</v>
          </cell>
          <cell r="H460" t="str">
            <v>OULED BHAR KBAR KHOURIBGA</v>
          </cell>
          <cell r="I460" t="str">
            <v>D</v>
          </cell>
          <cell r="J460">
            <v>27282</v>
          </cell>
          <cell r="K460">
            <v>33420</v>
          </cell>
          <cell r="L460" t="str">
            <v>21</v>
          </cell>
          <cell r="M460" t="str">
            <v>A</v>
          </cell>
          <cell r="N460">
            <v>33420</v>
          </cell>
          <cell r="P460">
            <v>28</v>
          </cell>
          <cell r="Q460" t="str">
            <v>O</v>
          </cell>
          <cell r="R460" t="str">
            <v>N</v>
          </cell>
          <cell r="S460">
            <v>0</v>
          </cell>
          <cell r="T460" t="str">
            <v>M</v>
          </cell>
          <cell r="U460" t="str">
            <v>BELBSIR TOURIA</v>
          </cell>
          <cell r="X460">
            <v>4</v>
          </cell>
          <cell r="Y460">
            <v>2</v>
          </cell>
          <cell r="AB460" t="str">
            <v>X</v>
          </cell>
          <cell r="AC460" t="str">
            <v>X</v>
          </cell>
          <cell r="AD460" t="str">
            <v>X</v>
          </cell>
          <cell r="AH460" t="str">
            <v>N</v>
          </cell>
          <cell r="AI460" t="str">
            <v>N</v>
          </cell>
          <cell r="AK460" t="str">
            <v>19 RUE 16 MSALLA KDIMA OUED ZEM</v>
          </cell>
          <cell r="AL460" t="str">
            <v>3 AS</v>
          </cell>
          <cell r="AM460" t="str">
            <v>CEP</v>
          </cell>
          <cell r="AP460" t="str">
            <v>Q 20456</v>
          </cell>
          <cell r="AQ460">
            <v>0</v>
          </cell>
          <cell r="AR460" t="str">
            <v>B</v>
          </cell>
          <cell r="AS460" t="str">
            <v>B.M.C.I - O.ZEM</v>
          </cell>
          <cell r="AT460" t="str">
            <v>02521773214301</v>
          </cell>
          <cell r="AU460" t="str">
            <v>/  /</v>
          </cell>
          <cell r="AW460">
            <v>37438</v>
          </cell>
          <cell r="AY460" t="str">
            <v>XX</v>
          </cell>
          <cell r="BA460" t="str">
            <v>1</v>
          </cell>
          <cell r="BB460">
            <v>1</v>
          </cell>
          <cell r="BD460">
            <v>0</v>
          </cell>
          <cell r="BE460" t="str">
            <v>M</v>
          </cell>
          <cell r="BF460" t="str">
            <v>N</v>
          </cell>
          <cell r="BG460">
            <v>30</v>
          </cell>
          <cell r="BH460">
            <v>37438</v>
          </cell>
          <cell r="BI460" t="str">
            <v>O</v>
          </cell>
        </row>
        <row r="461">
          <cell r="A461">
            <v>63639</v>
          </cell>
          <cell r="B461">
            <v>423</v>
          </cell>
          <cell r="C461" t="str">
            <v>C6200</v>
          </cell>
          <cell r="D461" t="str">
            <v>HAFFOUDI</v>
          </cell>
          <cell r="E461" t="str">
            <v>ABDELKADER</v>
          </cell>
          <cell r="F461">
            <v>19175</v>
          </cell>
          <cell r="G461" t="str">
            <v>4</v>
          </cell>
          <cell r="H461" t="str">
            <v>BOULANOUAR</v>
          </cell>
          <cell r="I461" t="str">
            <v>D</v>
          </cell>
          <cell r="J461">
            <v>26532</v>
          </cell>
          <cell r="K461">
            <v>36526</v>
          </cell>
          <cell r="L461" t="str">
            <v>32</v>
          </cell>
          <cell r="M461" t="str">
            <v>A</v>
          </cell>
          <cell r="N461">
            <v>36526</v>
          </cell>
          <cell r="P461">
            <v>30</v>
          </cell>
          <cell r="Q461" t="str">
            <v>O</v>
          </cell>
          <cell r="R461" t="str">
            <v>N</v>
          </cell>
          <cell r="S461">
            <v>0</v>
          </cell>
          <cell r="T461" t="str">
            <v>M</v>
          </cell>
          <cell r="U461" t="str">
            <v>GUENNAI EL KHAOUDA</v>
          </cell>
          <cell r="X461">
            <v>5</v>
          </cell>
          <cell r="Y461">
            <v>3</v>
          </cell>
          <cell r="AB461" t="str">
            <v>X</v>
          </cell>
          <cell r="AC461" t="str">
            <v>X</v>
          </cell>
          <cell r="AD461" t="str">
            <v>X</v>
          </cell>
          <cell r="AH461" t="str">
            <v>N</v>
          </cell>
          <cell r="AI461" t="str">
            <v>N</v>
          </cell>
          <cell r="AK461" t="str">
            <v>390.BLOC 16 KHOUADRIA JDAD KHOURIBGA</v>
          </cell>
          <cell r="AL461" t="str">
            <v>5 AS.LM</v>
          </cell>
          <cell r="AM461" t="str">
            <v>CES</v>
          </cell>
          <cell r="AP461" t="str">
            <v>Q 6283</v>
          </cell>
          <cell r="AQ461">
            <v>0</v>
          </cell>
          <cell r="AR461" t="str">
            <v>B</v>
          </cell>
          <cell r="AS461" t="str">
            <v>BMCE - KHGA</v>
          </cell>
          <cell r="AT461" t="str">
            <v>40001200001339433</v>
          </cell>
          <cell r="AU461" t="str">
            <v>/  /</v>
          </cell>
          <cell r="AW461">
            <v>38219</v>
          </cell>
          <cell r="AX461">
            <v>38219</v>
          </cell>
          <cell r="AY461" t="str">
            <v>XX</v>
          </cell>
          <cell r="BA461" t="str">
            <v>2</v>
          </cell>
          <cell r="BB461">
            <v>1</v>
          </cell>
          <cell r="BC461" t="str">
            <v>O</v>
          </cell>
          <cell r="BD461">
            <v>4</v>
          </cell>
          <cell r="BE461" t="str">
            <v>M</v>
          </cell>
          <cell r="BF461" t="str">
            <v>N</v>
          </cell>
          <cell r="BG461">
            <v>4</v>
          </cell>
          <cell r="BH461">
            <v>37438</v>
          </cell>
        </row>
        <row r="462">
          <cell r="A462">
            <v>66818</v>
          </cell>
          <cell r="B462">
            <v>423</v>
          </cell>
          <cell r="C462" t="str">
            <v>C6200</v>
          </cell>
          <cell r="D462" t="str">
            <v>MEGRINI</v>
          </cell>
          <cell r="E462" t="str">
            <v>JILALI</v>
          </cell>
          <cell r="F462">
            <v>19175</v>
          </cell>
          <cell r="G462" t="str">
            <v>5</v>
          </cell>
          <cell r="H462" t="str">
            <v>OULED YOUSSEF - BOUJAD</v>
          </cell>
          <cell r="I462" t="str">
            <v>D</v>
          </cell>
          <cell r="J462">
            <v>28284</v>
          </cell>
          <cell r="K462">
            <v>32478</v>
          </cell>
          <cell r="L462" t="str">
            <v>32</v>
          </cell>
          <cell r="M462" t="str">
            <v>A</v>
          </cell>
          <cell r="N462">
            <v>32478</v>
          </cell>
          <cell r="P462">
            <v>25</v>
          </cell>
          <cell r="Q462" t="str">
            <v>O</v>
          </cell>
          <cell r="R462" t="str">
            <v>N</v>
          </cell>
          <cell r="S462">
            <v>0</v>
          </cell>
          <cell r="T462" t="str">
            <v>M</v>
          </cell>
          <cell r="U462" t="str">
            <v>LAROUSSI FATIMA BENT ALI</v>
          </cell>
          <cell r="X462">
            <v>4</v>
          </cell>
          <cell r="Y462">
            <v>2</v>
          </cell>
          <cell r="AB462" t="str">
            <v>X</v>
          </cell>
          <cell r="AC462" t="str">
            <v>X</v>
          </cell>
          <cell r="AD462" t="str">
            <v>X</v>
          </cell>
          <cell r="AH462" t="str">
            <v>N</v>
          </cell>
          <cell r="AI462" t="str">
            <v>N</v>
          </cell>
          <cell r="AK462" t="str">
            <v>182 BLOC A HAY EL WAHDA  OUED ZEM</v>
          </cell>
          <cell r="AL462" t="str">
            <v>5 AS</v>
          </cell>
          <cell r="AM462" t="str">
            <v>CES</v>
          </cell>
          <cell r="AP462" t="str">
            <v>Q 23051</v>
          </cell>
          <cell r="AQ462">
            <v>0</v>
          </cell>
          <cell r="AR462" t="str">
            <v>B</v>
          </cell>
          <cell r="AS462" t="str">
            <v>POPULAIRE-O.ZEM</v>
          </cell>
          <cell r="AT462" t="str">
            <v>2111113066350003</v>
          </cell>
          <cell r="AU462" t="str">
            <v>/  /</v>
          </cell>
          <cell r="AW462">
            <v>37438</v>
          </cell>
          <cell r="AY462" t="str">
            <v>XX</v>
          </cell>
          <cell r="AZ462" t="str">
            <v>R</v>
          </cell>
          <cell r="BA462" t="str">
            <v>2</v>
          </cell>
          <cell r="BB462">
            <v>1</v>
          </cell>
          <cell r="BD462">
            <v>0</v>
          </cell>
          <cell r="BE462" t="str">
            <v>M</v>
          </cell>
          <cell r="BF462" t="str">
            <v>N</v>
          </cell>
          <cell r="BG462">
            <v>30</v>
          </cell>
          <cell r="BH462">
            <v>37987</v>
          </cell>
        </row>
        <row r="463">
          <cell r="A463">
            <v>66821</v>
          </cell>
          <cell r="B463">
            <v>423</v>
          </cell>
          <cell r="C463" t="str">
            <v>C7200</v>
          </cell>
          <cell r="D463" t="str">
            <v>EL KOUKH</v>
          </cell>
          <cell r="E463" t="str">
            <v>HAMMOU</v>
          </cell>
          <cell r="F463">
            <v>20270</v>
          </cell>
          <cell r="G463" t="str">
            <v>1</v>
          </cell>
          <cell r="H463" t="str">
            <v>OULED BHAR KBAR KHOURIBGA</v>
          </cell>
          <cell r="I463" t="str">
            <v>D</v>
          </cell>
          <cell r="J463">
            <v>27339</v>
          </cell>
          <cell r="K463">
            <v>35065</v>
          </cell>
          <cell r="L463" t="str">
            <v>33</v>
          </cell>
          <cell r="M463" t="str">
            <v>A</v>
          </cell>
          <cell r="N463">
            <v>35065</v>
          </cell>
          <cell r="O463">
            <v>0</v>
          </cell>
          <cell r="P463">
            <v>28</v>
          </cell>
          <cell r="Q463" t="str">
            <v>O</v>
          </cell>
          <cell r="R463" t="str">
            <v>N</v>
          </cell>
          <cell r="S463">
            <v>0</v>
          </cell>
          <cell r="T463" t="str">
            <v>M</v>
          </cell>
          <cell r="U463" t="str">
            <v>ABOU-ZAHID HADDA</v>
          </cell>
          <cell r="X463">
            <v>5</v>
          </cell>
          <cell r="Y463">
            <v>3</v>
          </cell>
          <cell r="AB463" t="str">
            <v>X</v>
          </cell>
          <cell r="AC463" t="str">
            <v>X</v>
          </cell>
          <cell r="AD463" t="str">
            <v>X</v>
          </cell>
          <cell r="AH463" t="str">
            <v>N</v>
          </cell>
          <cell r="AI463" t="str">
            <v>N</v>
          </cell>
          <cell r="AK463" t="str">
            <v>N° 566 DERB 3 - BOUJNIBA</v>
          </cell>
          <cell r="AL463" t="str">
            <v>3 AS</v>
          </cell>
          <cell r="AM463" t="str">
            <v>CFO.</v>
          </cell>
          <cell r="AP463" t="str">
            <v>Q 36546</v>
          </cell>
          <cell r="AQ463">
            <v>0</v>
          </cell>
          <cell r="AR463" t="str">
            <v>B</v>
          </cell>
          <cell r="AS463" t="str">
            <v>C.N.C.A  KHGA</v>
          </cell>
          <cell r="AT463" t="str">
            <v>0805939B601</v>
          </cell>
          <cell r="AU463" t="str">
            <v>/  /</v>
          </cell>
          <cell r="AW463">
            <v>38534</v>
          </cell>
          <cell r="AY463" t="str">
            <v>XX</v>
          </cell>
          <cell r="BA463" t="str">
            <v>2</v>
          </cell>
          <cell r="BB463">
            <v>1</v>
          </cell>
          <cell r="BC463" t="str">
            <v>N</v>
          </cell>
          <cell r="BD463">
            <v>0</v>
          </cell>
          <cell r="BE463" t="str">
            <v>M</v>
          </cell>
          <cell r="BF463" t="str">
            <v>N</v>
          </cell>
          <cell r="BG463">
            <v>52</v>
          </cell>
          <cell r="BH463">
            <v>38534</v>
          </cell>
          <cell r="BI463" t="str">
            <v>O</v>
          </cell>
        </row>
        <row r="464">
          <cell r="A464">
            <v>68220</v>
          </cell>
          <cell r="B464">
            <v>423</v>
          </cell>
          <cell r="C464" t="str">
            <v>C7200</v>
          </cell>
          <cell r="D464" t="str">
            <v>SAADA</v>
          </cell>
          <cell r="E464" t="str">
            <v>MOHAMMED</v>
          </cell>
          <cell r="F464">
            <v>19175</v>
          </cell>
          <cell r="G464" t="str">
            <v>2</v>
          </cell>
          <cell r="H464" t="str">
            <v>BENI SMIR</v>
          </cell>
          <cell r="I464" t="str">
            <v>D</v>
          </cell>
          <cell r="J464">
            <v>27729</v>
          </cell>
          <cell r="K464">
            <v>36526</v>
          </cell>
          <cell r="L464" t="str">
            <v>33</v>
          </cell>
          <cell r="M464" t="str">
            <v>A</v>
          </cell>
          <cell r="N464">
            <v>36526</v>
          </cell>
          <cell r="P464">
            <v>27</v>
          </cell>
          <cell r="Q464" t="str">
            <v>O</v>
          </cell>
          <cell r="R464" t="str">
            <v>N</v>
          </cell>
          <cell r="S464">
            <v>0</v>
          </cell>
          <cell r="T464" t="str">
            <v>M</v>
          </cell>
          <cell r="U464" t="str">
            <v>HALIMA BENT ABDELLAH</v>
          </cell>
          <cell r="X464">
            <v>3</v>
          </cell>
          <cell r="Y464">
            <v>3</v>
          </cell>
          <cell r="AB464" t="str">
            <v>X</v>
          </cell>
          <cell r="AC464" t="str">
            <v>X</v>
          </cell>
          <cell r="AD464" t="str">
            <v>X</v>
          </cell>
          <cell r="AH464" t="str">
            <v>N</v>
          </cell>
          <cell r="AI464" t="str">
            <v>N</v>
          </cell>
          <cell r="AK464" t="str">
            <v>143 RUE 19 KOREA OUED ZEM</v>
          </cell>
          <cell r="AL464" t="str">
            <v>2 AS</v>
          </cell>
          <cell r="AM464" t="str">
            <v>CFO</v>
          </cell>
          <cell r="AP464" t="str">
            <v>Q 90990</v>
          </cell>
          <cell r="AQ464">
            <v>0</v>
          </cell>
          <cell r="AR464" t="str">
            <v>B</v>
          </cell>
          <cell r="AS464" t="str">
            <v>BMCI  OUED-ZEM</v>
          </cell>
          <cell r="AT464" t="str">
            <v>02521364747301</v>
          </cell>
          <cell r="AU464" t="str">
            <v>/  /</v>
          </cell>
          <cell r="AW464">
            <v>38219</v>
          </cell>
          <cell r="AX464">
            <v>38219</v>
          </cell>
          <cell r="AY464" t="str">
            <v>XX</v>
          </cell>
          <cell r="BA464" t="str">
            <v>2</v>
          </cell>
          <cell r="BB464">
            <v>1</v>
          </cell>
          <cell r="BD464">
            <v>0</v>
          </cell>
          <cell r="BE464" t="str">
            <v>M</v>
          </cell>
          <cell r="BF464" t="str">
            <v>N</v>
          </cell>
          <cell r="BG464">
            <v>30</v>
          </cell>
          <cell r="BH464">
            <v>37438</v>
          </cell>
          <cell r="BI464" t="str">
            <v>O</v>
          </cell>
        </row>
        <row r="465">
          <cell r="A465">
            <v>68944</v>
          </cell>
          <cell r="B465">
            <v>423</v>
          </cell>
          <cell r="C465" t="str">
            <v>C4200</v>
          </cell>
          <cell r="D465" t="str">
            <v>M'HAMDI</v>
          </cell>
          <cell r="E465" t="str">
            <v>MOHAMMED</v>
          </cell>
          <cell r="F465">
            <v>18809</v>
          </cell>
          <cell r="G465" t="str">
            <v>2</v>
          </cell>
          <cell r="H465" t="str">
            <v>OUED-ZEM</v>
          </cell>
          <cell r="I465" t="str">
            <v>D</v>
          </cell>
          <cell r="J465">
            <v>28163</v>
          </cell>
          <cell r="K465">
            <v>36526</v>
          </cell>
          <cell r="L465" t="str">
            <v>22</v>
          </cell>
          <cell r="M465" t="str">
            <v>A</v>
          </cell>
          <cell r="N465">
            <v>36526</v>
          </cell>
          <cell r="P465">
            <v>27</v>
          </cell>
          <cell r="Q465" t="str">
            <v>O</v>
          </cell>
          <cell r="R465" t="str">
            <v>N</v>
          </cell>
          <cell r="S465">
            <v>0</v>
          </cell>
          <cell r="T465" t="str">
            <v>M</v>
          </cell>
          <cell r="U465" t="str">
            <v>ZEMMOURI SAADIA</v>
          </cell>
          <cell r="X465">
            <v>6</v>
          </cell>
          <cell r="Y465">
            <v>4</v>
          </cell>
          <cell r="AB465" t="str">
            <v>X</v>
          </cell>
          <cell r="AC465" t="str">
            <v>X</v>
          </cell>
          <cell r="AD465" t="str">
            <v>X</v>
          </cell>
          <cell r="AH465" t="str">
            <v>N</v>
          </cell>
          <cell r="AI465" t="str">
            <v>N</v>
          </cell>
          <cell r="AK465" t="str">
            <v>1018 VILLAGE O.C.P - HATTANE</v>
          </cell>
          <cell r="AL465" t="str">
            <v>2 AS</v>
          </cell>
          <cell r="AP465" t="str">
            <v>Q 44961</v>
          </cell>
          <cell r="AQ465">
            <v>0</v>
          </cell>
          <cell r="AR465" t="str">
            <v>B</v>
          </cell>
          <cell r="AS465" t="str">
            <v>POPULAIRE - O.ZEM</v>
          </cell>
          <cell r="AT465" t="str">
            <v>2111113033070007</v>
          </cell>
          <cell r="AU465" t="str">
            <v>/  /</v>
          </cell>
          <cell r="AW465">
            <v>37803</v>
          </cell>
          <cell r="AY465" t="str">
            <v>XX</v>
          </cell>
          <cell r="BA465" t="str">
            <v>2</v>
          </cell>
          <cell r="BB465">
            <v>1</v>
          </cell>
          <cell r="BD465">
            <v>0</v>
          </cell>
          <cell r="BE465" t="str">
            <v>M</v>
          </cell>
          <cell r="BF465" t="str">
            <v>N</v>
          </cell>
          <cell r="BG465">
            <v>11</v>
          </cell>
          <cell r="BH465">
            <v>37803</v>
          </cell>
          <cell r="BI465" t="str">
            <v>O</v>
          </cell>
        </row>
        <row r="466">
          <cell r="A466">
            <v>69126</v>
          </cell>
          <cell r="B466">
            <v>423</v>
          </cell>
          <cell r="C466" t="str">
            <v>C3152</v>
          </cell>
          <cell r="D466" t="str">
            <v>SAHIMI</v>
          </cell>
          <cell r="E466" t="str">
            <v>EL RHEZOUANI</v>
          </cell>
          <cell r="F466">
            <v>19540</v>
          </cell>
          <cell r="G466" t="str">
            <v>1</v>
          </cell>
          <cell r="H466" t="str">
            <v>OULED BHAR KBAR KHOURIBGA</v>
          </cell>
          <cell r="I466" t="str">
            <v>D</v>
          </cell>
          <cell r="J466">
            <v>28184</v>
          </cell>
          <cell r="K466">
            <v>33420</v>
          </cell>
          <cell r="L466" t="str">
            <v>21</v>
          </cell>
          <cell r="M466" t="str">
            <v>A</v>
          </cell>
          <cell r="N466">
            <v>33420</v>
          </cell>
          <cell r="P466">
            <v>27</v>
          </cell>
          <cell r="Q466" t="str">
            <v>O</v>
          </cell>
          <cell r="R466" t="str">
            <v>N</v>
          </cell>
          <cell r="S466">
            <v>0</v>
          </cell>
          <cell r="T466" t="str">
            <v>M</v>
          </cell>
          <cell r="U466" t="str">
            <v>GOUTAYA FATNA</v>
          </cell>
          <cell r="X466">
            <v>5</v>
          </cell>
          <cell r="Y466">
            <v>4</v>
          </cell>
          <cell r="AB466" t="str">
            <v>X</v>
          </cell>
          <cell r="AC466" t="str">
            <v>X</v>
          </cell>
          <cell r="AD466" t="str">
            <v>X</v>
          </cell>
          <cell r="AH466" t="str">
            <v>N</v>
          </cell>
          <cell r="AI466" t="str">
            <v>N</v>
          </cell>
          <cell r="AK466" t="str">
            <v>626 VILLAGE OCP - BOUJNIBA</v>
          </cell>
          <cell r="AL466" t="str">
            <v>4AS</v>
          </cell>
          <cell r="AP466" t="str">
            <v>Q 82780</v>
          </cell>
          <cell r="AQ466">
            <v>0</v>
          </cell>
          <cell r="AR466" t="str">
            <v>C</v>
          </cell>
          <cell r="AU466" t="str">
            <v>/  /</v>
          </cell>
          <cell r="AW466">
            <v>37803</v>
          </cell>
          <cell r="AY466" t="str">
            <v>XX</v>
          </cell>
          <cell r="BA466" t="str">
            <v>1</v>
          </cell>
          <cell r="BB466">
            <v>1</v>
          </cell>
          <cell r="BD466">
            <v>0</v>
          </cell>
          <cell r="BE466" t="str">
            <v>M</v>
          </cell>
          <cell r="BF466" t="str">
            <v>N</v>
          </cell>
          <cell r="BG466">
            <v>52</v>
          </cell>
          <cell r="BH466">
            <v>37803</v>
          </cell>
        </row>
        <row r="467">
          <cell r="A467">
            <v>69280</v>
          </cell>
          <cell r="B467">
            <v>413</v>
          </cell>
          <cell r="C467" t="str">
            <v>C3200</v>
          </cell>
          <cell r="D467" t="str">
            <v>MAZLADI</v>
          </cell>
          <cell r="E467" t="str">
            <v>BOUCHTA</v>
          </cell>
          <cell r="F467">
            <v>19905</v>
          </cell>
          <cell r="G467" t="str">
            <v>1</v>
          </cell>
          <cell r="H467" t="str">
            <v>OULED BHAR KBAR KHOURIBGA</v>
          </cell>
          <cell r="I467" t="str">
            <v>D</v>
          </cell>
          <cell r="J467">
            <v>28226</v>
          </cell>
          <cell r="K467">
            <v>35096</v>
          </cell>
          <cell r="L467" t="str">
            <v>21</v>
          </cell>
          <cell r="M467" t="str">
            <v>B</v>
          </cell>
          <cell r="N467">
            <v>35096</v>
          </cell>
          <cell r="P467">
            <v>26</v>
          </cell>
          <cell r="Q467" t="str">
            <v>O</v>
          </cell>
          <cell r="R467" t="str">
            <v>N</v>
          </cell>
          <cell r="S467">
            <v>0</v>
          </cell>
          <cell r="T467" t="str">
            <v>M</v>
          </cell>
          <cell r="U467" t="str">
            <v>EDDARI MALIKA BENT LEBSIR</v>
          </cell>
          <cell r="X467">
            <v>4</v>
          </cell>
          <cell r="Y467">
            <v>2</v>
          </cell>
          <cell r="AB467" t="str">
            <v>X</v>
          </cell>
          <cell r="AC467" t="str">
            <v>X</v>
          </cell>
          <cell r="AD467" t="str">
            <v>X</v>
          </cell>
          <cell r="AH467" t="str">
            <v>N</v>
          </cell>
          <cell r="AI467" t="str">
            <v>N</v>
          </cell>
          <cell r="AK467" t="str">
            <v>404.VILLAGE OCP BOUJNIBA</v>
          </cell>
          <cell r="AL467" t="str">
            <v>3 AS</v>
          </cell>
          <cell r="AP467" t="str">
            <v>Q 61492</v>
          </cell>
          <cell r="AQ467">
            <v>0</v>
          </cell>
          <cell r="AR467" t="str">
            <v>C</v>
          </cell>
          <cell r="AU467" t="str">
            <v>/  /</v>
          </cell>
          <cell r="AW467">
            <v>38169</v>
          </cell>
          <cell r="AY467" t="str">
            <v>XX</v>
          </cell>
          <cell r="BA467" t="str">
            <v>2</v>
          </cell>
          <cell r="BB467">
            <v>1</v>
          </cell>
          <cell r="BD467">
            <v>0</v>
          </cell>
          <cell r="BE467" t="str">
            <v>M</v>
          </cell>
          <cell r="BF467" t="str">
            <v>N</v>
          </cell>
          <cell r="BG467">
            <v>52</v>
          </cell>
          <cell r="BH467">
            <v>38169</v>
          </cell>
        </row>
        <row r="468">
          <cell r="A468">
            <v>69993</v>
          </cell>
          <cell r="B468">
            <v>423</v>
          </cell>
          <cell r="C468" t="str">
            <v>C5200</v>
          </cell>
          <cell r="D468" t="str">
            <v>BENALI</v>
          </cell>
          <cell r="E468" t="str">
            <v>AZIZ</v>
          </cell>
          <cell r="F468">
            <v>19175</v>
          </cell>
          <cell r="G468" t="str">
            <v>2</v>
          </cell>
          <cell r="H468" t="str">
            <v>BENI SMIR</v>
          </cell>
          <cell r="I468" t="str">
            <v>D</v>
          </cell>
          <cell r="J468">
            <v>28443</v>
          </cell>
          <cell r="K468">
            <v>30864</v>
          </cell>
          <cell r="L468" t="str">
            <v>31</v>
          </cell>
          <cell r="M468" t="str">
            <v>A</v>
          </cell>
          <cell r="N468">
            <v>30864</v>
          </cell>
          <cell r="P468">
            <v>25</v>
          </cell>
          <cell r="Q468" t="str">
            <v>O</v>
          </cell>
          <cell r="R468" t="str">
            <v>N</v>
          </cell>
          <cell r="S468">
            <v>0</v>
          </cell>
          <cell r="T468" t="str">
            <v>M</v>
          </cell>
          <cell r="U468" t="str">
            <v>MAHDAD ZOHRA</v>
          </cell>
          <cell r="X468">
            <v>4</v>
          </cell>
          <cell r="Y468">
            <v>3</v>
          </cell>
          <cell r="AB468" t="str">
            <v>X</v>
          </cell>
          <cell r="AC468" t="str">
            <v>X</v>
          </cell>
          <cell r="AD468" t="str">
            <v>X</v>
          </cell>
          <cell r="AH468" t="str">
            <v>N</v>
          </cell>
          <cell r="AI468" t="str">
            <v>N</v>
          </cell>
          <cell r="AK468" t="str">
            <v>12.RUE AHMED RACHDI OUED ZEM</v>
          </cell>
          <cell r="AL468" t="str">
            <v>5 AS</v>
          </cell>
          <cell r="AM468" t="str">
            <v>CES.CFO</v>
          </cell>
          <cell r="AP468" t="str">
            <v>Q 597</v>
          </cell>
          <cell r="AQ468">
            <v>0</v>
          </cell>
          <cell r="AR468" t="str">
            <v>B</v>
          </cell>
          <cell r="AS468" t="str">
            <v>POPULAIRE-OUED ZEM</v>
          </cell>
          <cell r="AT468" t="str">
            <v>1211111307108000952</v>
          </cell>
          <cell r="AU468" t="str">
            <v>/  /</v>
          </cell>
          <cell r="AW468">
            <v>38169</v>
          </cell>
          <cell r="AY468" t="str">
            <v>XX</v>
          </cell>
          <cell r="AZ468" t="str">
            <v>R</v>
          </cell>
          <cell r="BA468" t="str">
            <v>2</v>
          </cell>
          <cell r="BB468">
            <v>1</v>
          </cell>
          <cell r="BD468">
            <v>0</v>
          </cell>
          <cell r="BE468" t="str">
            <v>M</v>
          </cell>
          <cell r="BF468" t="str">
            <v>N</v>
          </cell>
          <cell r="BG468">
            <v>30</v>
          </cell>
          <cell r="BH468">
            <v>38169</v>
          </cell>
        </row>
        <row r="469">
          <cell r="A469">
            <v>70426</v>
          </cell>
          <cell r="B469">
            <v>423</v>
          </cell>
          <cell r="C469" t="str">
            <v>C7200</v>
          </cell>
          <cell r="D469" t="str">
            <v>EL RHAZZAI</v>
          </cell>
          <cell r="E469" t="str">
            <v>CHERKI</v>
          </cell>
          <cell r="F469">
            <v>20472</v>
          </cell>
          <cell r="G469" t="str">
            <v>6</v>
          </cell>
          <cell r="H469" t="str">
            <v>M'FASSIS</v>
          </cell>
          <cell r="I469" t="str">
            <v>D</v>
          </cell>
          <cell r="J469">
            <v>28550</v>
          </cell>
          <cell r="K469">
            <v>36526</v>
          </cell>
          <cell r="L469" t="str">
            <v>33</v>
          </cell>
          <cell r="M469" t="str">
            <v>A</v>
          </cell>
          <cell r="N469">
            <v>36526</v>
          </cell>
          <cell r="P469">
            <v>25</v>
          </cell>
          <cell r="Q469" t="str">
            <v>O</v>
          </cell>
          <cell r="R469" t="str">
            <v>N</v>
          </cell>
          <cell r="S469">
            <v>0</v>
          </cell>
          <cell r="T469" t="str">
            <v>M</v>
          </cell>
          <cell r="U469" t="str">
            <v>FATNA BENT LEKBIR</v>
          </cell>
          <cell r="X469">
            <v>4</v>
          </cell>
          <cell r="Y469">
            <v>4</v>
          </cell>
          <cell r="AB469" t="str">
            <v>X</v>
          </cell>
          <cell r="AC469" t="str">
            <v>X</v>
          </cell>
          <cell r="AD469" t="str">
            <v>X</v>
          </cell>
          <cell r="AH469" t="str">
            <v>N</v>
          </cell>
          <cell r="AI469" t="str">
            <v>N</v>
          </cell>
          <cell r="AK469" t="str">
            <v>DOUAR SOUKKANE M'FASSIS</v>
          </cell>
          <cell r="AL469" t="str">
            <v>4 AS</v>
          </cell>
          <cell r="AM469" t="str">
            <v>CQP.CFO</v>
          </cell>
          <cell r="AP469" t="str">
            <v>Q 53557</v>
          </cell>
          <cell r="AQ469">
            <v>0</v>
          </cell>
          <cell r="AR469" t="str">
            <v>C</v>
          </cell>
          <cell r="AU469" t="str">
            <v>/  /</v>
          </cell>
          <cell r="AW469">
            <v>38899</v>
          </cell>
          <cell r="AY469" t="str">
            <v>XX</v>
          </cell>
          <cell r="BA469" t="str">
            <v>2</v>
          </cell>
          <cell r="BB469">
            <v>1</v>
          </cell>
          <cell r="BD469">
            <v>0</v>
          </cell>
          <cell r="BE469" t="str">
            <v>M</v>
          </cell>
          <cell r="BF469" t="str">
            <v>N</v>
          </cell>
          <cell r="BG469">
            <v>11</v>
          </cell>
          <cell r="BH469">
            <v>38899</v>
          </cell>
          <cell r="BI469" t="str">
            <v>O</v>
          </cell>
        </row>
        <row r="470">
          <cell r="A470">
            <v>73313</v>
          </cell>
          <cell r="B470">
            <v>423</v>
          </cell>
          <cell r="C470" t="str">
            <v>C6200</v>
          </cell>
          <cell r="D470" t="str">
            <v>KHACHCHABI</v>
          </cell>
          <cell r="E470" t="str">
            <v>EL ARBI</v>
          </cell>
          <cell r="F470">
            <v>21366</v>
          </cell>
          <cell r="G470" t="str">
            <v>3</v>
          </cell>
          <cell r="H470" t="str">
            <v>DOUAR M'SAADA OULED BRAHIM</v>
          </cell>
          <cell r="I470" t="str">
            <v>D</v>
          </cell>
          <cell r="J470">
            <v>30043</v>
          </cell>
          <cell r="K470">
            <v>33573</v>
          </cell>
          <cell r="L470" t="str">
            <v>32</v>
          </cell>
          <cell r="M470" t="str">
            <v>A</v>
          </cell>
          <cell r="N470">
            <v>33573</v>
          </cell>
          <cell r="P470">
            <v>21</v>
          </cell>
          <cell r="Q470" t="str">
            <v>O</v>
          </cell>
          <cell r="R470" t="str">
            <v>N</v>
          </cell>
          <cell r="S470">
            <v>0</v>
          </cell>
          <cell r="T470" t="str">
            <v>M</v>
          </cell>
          <cell r="U470" t="str">
            <v>SAADIA BENT SALAH</v>
          </cell>
          <cell r="X470">
            <v>6</v>
          </cell>
          <cell r="Y470">
            <v>6</v>
          </cell>
          <cell r="AB470" t="str">
            <v>X</v>
          </cell>
          <cell r="AC470" t="str">
            <v>X</v>
          </cell>
          <cell r="AD470" t="str">
            <v>X</v>
          </cell>
          <cell r="AH470" t="str">
            <v>N</v>
          </cell>
          <cell r="AI470" t="str">
            <v>N</v>
          </cell>
          <cell r="AK470" t="str">
            <v>DOUAR M'SSAADA OULED BRAHIM</v>
          </cell>
          <cell r="AL470" t="str">
            <v>5 AS</v>
          </cell>
          <cell r="AM470" t="str">
            <v>CES.CFP.CFO</v>
          </cell>
          <cell r="AP470" t="str">
            <v>Q 80443</v>
          </cell>
          <cell r="AQ470">
            <v>0</v>
          </cell>
          <cell r="AR470" t="str">
            <v>C</v>
          </cell>
          <cell r="AU470" t="str">
            <v>/  /</v>
          </cell>
          <cell r="AW470">
            <v>39630</v>
          </cell>
          <cell r="AY470" t="str">
            <v>XX</v>
          </cell>
          <cell r="BA470" t="str">
            <v>2</v>
          </cell>
          <cell r="BB470">
            <v>1</v>
          </cell>
          <cell r="BD470">
            <v>0</v>
          </cell>
          <cell r="BE470" t="str">
            <v>M</v>
          </cell>
          <cell r="BF470" t="str">
            <v>N</v>
          </cell>
          <cell r="BG470">
            <v>11</v>
          </cell>
          <cell r="BH470">
            <v>39814</v>
          </cell>
          <cell r="BI470" t="str">
            <v>O</v>
          </cell>
        </row>
        <row r="471">
          <cell r="A471">
            <v>74454</v>
          </cell>
          <cell r="B471">
            <v>423</v>
          </cell>
          <cell r="C471" t="str">
            <v>C6200</v>
          </cell>
          <cell r="D471" t="str">
            <v>MEZGUI</v>
          </cell>
          <cell r="E471" t="str">
            <v>LAHCEN</v>
          </cell>
          <cell r="F471">
            <v>23588</v>
          </cell>
          <cell r="H471" t="str">
            <v>KASBAT TADLA</v>
          </cell>
          <cell r="I471" t="str">
            <v>F</v>
          </cell>
          <cell r="J471">
            <v>31623</v>
          </cell>
          <cell r="K471">
            <v>36526</v>
          </cell>
          <cell r="L471" t="str">
            <v>32</v>
          </cell>
          <cell r="M471" t="str">
            <v>A</v>
          </cell>
          <cell r="N471">
            <v>36526</v>
          </cell>
          <cell r="P471">
            <v>16</v>
          </cell>
          <cell r="Q471" t="str">
            <v>O</v>
          </cell>
          <cell r="R471" t="str">
            <v>N</v>
          </cell>
          <cell r="S471">
            <v>0</v>
          </cell>
          <cell r="T471" t="str">
            <v>M</v>
          </cell>
          <cell r="U471" t="str">
            <v>AMAZIANE FOUZIA</v>
          </cell>
          <cell r="X471">
            <v>3</v>
          </cell>
          <cell r="Y471">
            <v>3</v>
          </cell>
          <cell r="AB471" t="str">
            <v>X</v>
          </cell>
          <cell r="AC471" t="str">
            <v>X</v>
          </cell>
          <cell r="AD471" t="str">
            <v>X</v>
          </cell>
          <cell r="AH471" t="str">
            <v>N</v>
          </cell>
          <cell r="AI471" t="str">
            <v>N</v>
          </cell>
          <cell r="AK471" t="str">
            <v>BLOC B N°10 QUARTIER CEREALIER  KHGA</v>
          </cell>
          <cell r="AL471" t="str">
            <v>4 AS</v>
          </cell>
          <cell r="AM471" t="str">
            <v>CQP.CFO</v>
          </cell>
          <cell r="AP471" t="str">
            <v>I 113764</v>
          </cell>
          <cell r="AQ471">
            <v>0</v>
          </cell>
          <cell r="AR471" t="str">
            <v>B</v>
          </cell>
          <cell r="AS471" t="str">
            <v>BMCE - KHGA</v>
          </cell>
          <cell r="AT471" t="str">
            <v>40001200000695547</v>
          </cell>
          <cell r="AU471" t="str">
            <v>/  /</v>
          </cell>
          <cell r="AW471">
            <v>42005</v>
          </cell>
          <cell r="AY471" t="str">
            <v>XX</v>
          </cell>
          <cell r="BA471" t="str">
            <v>2</v>
          </cell>
          <cell r="BB471">
            <v>1</v>
          </cell>
          <cell r="BC471" t="str">
            <v>O</v>
          </cell>
          <cell r="BD471">
            <v>4</v>
          </cell>
          <cell r="BE471" t="str">
            <v>M</v>
          </cell>
          <cell r="BF471" t="str">
            <v>N</v>
          </cell>
          <cell r="BG471">
            <v>4</v>
          </cell>
          <cell r="BH471">
            <v>42005</v>
          </cell>
        </row>
        <row r="472">
          <cell r="A472">
            <v>68463</v>
          </cell>
          <cell r="B472">
            <v>419</v>
          </cell>
          <cell r="C472" t="str">
            <v>C7003</v>
          </cell>
          <cell r="D472" t="str">
            <v>BENAICH</v>
          </cell>
          <cell r="E472" t="str">
            <v>M'BAREK</v>
          </cell>
          <cell r="F472">
            <v>19175</v>
          </cell>
          <cell r="H472" t="str">
            <v>AIT ALI OULACEN - KHEMISSET</v>
          </cell>
          <cell r="I472" t="str">
            <v>F</v>
          </cell>
          <cell r="J472">
            <v>29488</v>
          </cell>
          <cell r="K472">
            <v>35065</v>
          </cell>
          <cell r="L472" t="str">
            <v>33</v>
          </cell>
          <cell r="M472" t="str">
            <v>A</v>
          </cell>
          <cell r="N472">
            <v>35065</v>
          </cell>
          <cell r="P472">
            <v>22</v>
          </cell>
          <cell r="Q472" t="str">
            <v>O</v>
          </cell>
          <cell r="R472" t="str">
            <v>N</v>
          </cell>
          <cell r="S472">
            <v>0</v>
          </cell>
          <cell r="T472" t="str">
            <v>M</v>
          </cell>
          <cell r="U472" t="str">
            <v>KHARBOUCH KHADIJA</v>
          </cell>
          <cell r="X472">
            <v>4</v>
          </cell>
          <cell r="Y472">
            <v>4</v>
          </cell>
          <cell r="AB472" t="str">
            <v>X</v>
          </cell>
          <cell r="AC472" t="str">
            <v>X</v>
          </cell>
          <cell r="AD472" t="str">
            <v>X</v>
          </cell>
          <cell r="AH472" t="str">
            <v>N</v>
          </cell>
          <cell r="AI472" t="str">
            <v>N</v>
          </cell>
          <cell r="AK472" t="str">
            <v>197BIS BLOC11 KHOUADR.JDAD HAY RIAD KHGA</v>
          </cell>
          <cell r="AL472" t="str">
            <v>4 AS</v>
          </cell>
          <cell r="AM472" t="str">
            <v>CES.CFP.CQP.CFO</v>
          </cell>
          <cell r="AP472" t="str">
            <v>A 515945</v>
          </cell>
          <cell r="AQ472">
            <v>0</v>
          </cell>
          <cell r="AR472" t="str">
            <v>B</v>
          </cell>
          <cell r="AS472" t="str">
            <v>SGMB - KHGA</v>
          </cell>
          <cell r="AT472" t="str">
            <v>0670009305419</v>
          </cell>
          <cell r="AU472" t="str">
            <v>/  /</v>
          </cell>
          <cell r="AW472">
            <v>39083</v>
          </cell>
          <cell r="AY472" t="str">
            <v>XX</v>
          </cell>
          <cell r="BA472" t="str">
            <v>2</v>
          </cell>
          <cell r="BB472">
            <v>1</v>
          </cell>
          <cell r="BD472">
            <v>0</v>
          </cell>
          <cell r="BE472" t="str">
            <v>M</v>
          </cell>
          <cell r="BF472" t="str">
            <v>N</v>
          </cell>
          <cell r="BG472">
            <v>1</v>
          </cell>
          <cell r="BH472">
            <v>39264</v>
          </cell>
        </row>
        <row r="473">
          <cell r="A473">
            <v>71494</v>
          </cell>
          <cell r="B473">
            <v>419</v>
          </cell>
          <cell r="C473" t="str">
            <v>C3001</v>
          </cell>
          <cell r="D473" t="str">
            <v>MECHATE</v>
          </cell>
          <cell r="E473" t="str">
            <v>EL MOSTAFA</v>
          </cell>
          <cell r="F473">
            <v>20444</v>
          </cell>
          <cell r="G473" t="str">
            <v>1</v>
          </cell>
          <cell r="H473" t="str">
            <v>KHOURIBGA</v>
          </cell>
          <cell r="I473" t="str">
            <v>D</v>
          </cell>
          <cell r="J473">
            <v>29172</v>
          </cell>
          <cell r="K473">
            <v>36526</v>
          </cell>
          <cell r="L473" t="str">
            <v>21</v>
          </cell>
          <cell r="M473" t="str">
            <v>A</v>
          </cell>
          <cell r="N473">
            <v>36526</v>
          </cell>
          <cell r="P473">
            <v>23</v>
          </cell>
          <cell r="Q473" t="str">
            <v>O</v>
          </cell>
          <cell r="R473" t="str">
            <v>N</v>
          </cell>
          <cell r="S473">
            <v>0</v>
          </cell>
          <cell r="T473" t="str">
            <v>M</v>
          </cell>
          <cell r="U473" t="str">
            <v>NAJAT BENT EL MEHDI</v>
          </cell>
          <cell r="X473">
            <v>3</v>
          </cell>
          <cell r="Y473">
            <v>3</v>
          </cell>
          <cell r="AB473" t="str">
            <v>X</v>
          </cell>
          <cell r="AC473" t="str">
            <v>X</v>
          </cell>
          <cell r="AD473" t="str">
            <v>X</v>
          </cell>
          <cell r="AH473" t="str">
            <v>N</v>
          </cell>
          <cell r="AI473" t="str">
            <v>N</v>
          </cell>
          <cell r="AK473" t="str">
            <v>347 BLOC 15 KHOUADRIA JDAD - KHGA</v>
          </cell>
          <cell r="AL473" t="str">
            <v>CM2</v>
          </cell>
          <cell r="AP473" t="str">
            <v>Q 27243</v>
          </cell>
          <cell r="AQ473">
            <v>0</v>
          </cell>
          <cell r="AR473" t="str">
            <v>B</v>
          </cell>
          <cell r="AS473" t="str">
            <v>SGMB - KHGA</v>
          </cell>
          <cell r="AT473" t="str">
            <v>0670009440637</v>
          </cell>
          <cell r="AU473" t="str">
            <v>/  /</v>
          </cell>
          <cell r="AW473">
            <v>38899</v>
          </cell>
          <cell r="AY473" t="str">
            <v>XX</v>
          </cell>
          <cell r="BA473" t="str">
            <v>2</v>
          </cell>
          <cell r="BB473">
            <v>1</v>
          </cell>
          <cell r="BD473">
            <v>0</v>
          </cell>
          <cell r="BE473" t="str">
            <v>M</v>
          </cell>
          <cell r="BF473" t="str">
            <v>N</v>
          </cell>
          <cell r="BG473">
            <v>1</v>
          </cell>
          <cell r="BH473">
            <v>38899</v>
          </cell>
          <cell r="BI473" t="str">
            <v>O</v>
          </cell>
        </row>
        <row r="474">
          <cell r="A474">
            <v>72991</v>
          </cell>
          <cell r="B474">
            <v>409</v>
          </cell>
          <cell r="C474" t="str">
            <v>C4001</v>
          </cell>
          <cell r="D474" t="str">
            <v>MRIZIG</v>
          </cell>
          <cell r="E474" t="str">
            <v>M'HAMED</v>
          </cell>
          <cell r="F474">
            <v>18079</v>
          </cell>
          <cell r="H474" t="str">
            <v>OULED M'RAH - SETTAT</v>
          </cell>
          <cell r="I474" t="str">
            <v>D</v>
          </cell>
          <cell r="J474">
            <v>29881</v>
          </cell>
          <cell r="K474">
            <v>35065</v>
          </cell>
          <cell r="L474" t="str">
            <v>22</v>
          </cell>
          <cell r="M474" t="str">
            <v>A</v>
          </cell>
          <cell r="N474">
            <v>35065</v>
          </cell>
          <cell r="P474">
            <v>21</v>
          </cell>
          <cell r="Q474" t="str">
            <v>N</v>
          </cell>
          <cell r="R474" t="str">
            <v>N</v>
          </cell>
          <cell r="S474">
            <v>0</v>
          </cell>
          <cell r="T474" t="str">
            <v>M</v>
          </cell>
          <cell r="U474" t="str">
            <v>FATIMA BENT AHMED</v>
          </cell>
          <cell r="X474">
            <v>2</v>
          </cell>
          <cell r="Y474">
            <v>2</v>
          </cell>
          <cell r="AB474" t="str">
            <v>X</v>
          </cell>
          <cell r="AC474" t="str">
            <v>X</v>
          </cell>
          <cell r="AD474" t="str">
            <v>X</v>
          </cell>
          <cell r="AH474" t="str">
            <v>N</v>
          </cell>
          <cell r="AI474" t="str">
            <v>N</v>
          </cell>
          <cell r="AK474" t="str">
            <v>305 BIS RUE MOUKHTAR SOUSSI NAHDA - KHGA</v>
          </cell>
          <cell r="AL474" t="str">
            <v>ILLETTRE</v>
          </cell>
          <cell r="AP474" t="str">
            <v>Q 81291</v>
          </cell>
          <cell r="AQ474">
            <v>0</v>
          </cell>
          <cell r="AR474" t="str">
            <v>C</v>
          </cell>
          <cell r="AU474" t="str">
            <v>/  /</v>
          </cell>
          <cell r="AW474">
            <v>38169</v>
          </cell>
          <cell r="AY474" t="str">
            <v>XX</v>
          </cell>
          <cell r="BA474" t="str">
            <v>1</v>
          </cell>
          <cell r="BB474">
            <v>1</v>
          </cell>
          <cell r="BD474">
            <v>0</v>
          </cell>
          <cell r="BE474" t="str">
            <v>M</v>
          </cell>
          <cell r="BF474" t="str">
            <v>N</v>
          </cell>
          <cell r="BG474">
            <v>0</v>
          </cell>
          <cell r="BH474">
            <v>38169</v>
          </cell>
        </row>
        <row r="475">
          <cell r="A475">
            <v>73312</v>
          </cell>
          <cell r="B475">
            <v>421</v>
          </cell>
          <cell r="C475" t="str">
            <v>C3020</v>
          </cell>
          <cell r="D475" t="str">
            <v>BOUKRIM</v>
          </cell>
          <cell r="E475" t="str">
            <v>SALAH</v>
          </cell>
          <cell r="F475">
            <v>20322</v>
          </cell>
          <cell r="G475" t="str">
            <v>1</v>
          </cell>
          <cell r="H475" t="str">
            <v>OULED ABDOUNE</v>
          </cell>
          <cell r="I475" t="str">
            <v>D</v>
          </cell>
          <cell r="J475">
            <v>30036</v>
          </cell>
          <cell r="K475">
            <v>33664</v>
          </cell>
          <cell r="L475" t="str">
            <v>21</v>
          </cell>
          <cell r="M475" t="str">
            <v>A</v>
          </cell>
          <cell r="N475">
            <v>33664</v>
          </cell>
          <cell r="P475">
            <v>21</v>
          </cell>
          <cell r="Q475" t="str">
            <v>O</v>
          </cell>
          <cell r="R475" t="str">
            <v>N</v>
          </cell>
          <cell r="S475">
            <v>0</v>
          </cell>
          <cell r="T475" t="str">
            <v>M</v>
          </cell>
          <cell r="U475" t="str">
            <v>AMAOUI MALIKA</v>
          </cell>
          <cell r="X475">
            <v>4</v>
          </cell>
          <cell r="Y475">
            <v>4</v>
          </cell>
          <cell r="AB475" t="str">
            <v>X</v>
          </cell>
          <cell r="AC475" t="str">
            <v>X</v>
          </cell>
          <cell r="AD475" t="str">
            <v>X</v>
          </cell>
          <cell r="AH475" t="str">
            <v>N</v>
          </cell>
          <cell r="AI475" t="str">
            <v>N</v>
          </cell>
          <cell r="AK475" t="str">
            <v>DOUAR OULED MESSOUD OULED ABDOUNE - KHGA</v>
          </cell>
          <cell r="AL475" t="str">
            <v>CM2.</v>
          </cell>
          <cell r="AP475" t="str">
            <v>Q 36090</v>
          </cell>
          <cell r="AQ475">
            <v>0</v>
          </cell>
          <cell r="AR475" t="str">
            <v>B</v>
          </cell>
          <cell r="AS475" t="str">
            <v>BMCE - KHGA</v>
          </cell>
          <cell r="AT475" t="str">
            <v>40001200001131659</v>
          </cell>
          <cell r="AU475" t="str">
            <v>/  /</v>
          </cell>
          <cell r="AW475">
            <v>39630</v>
          </cell>
          <cell r="AY475" t="str">
            <v>O+</v>
          </cell>
          <cell r="BA475" t="str">
            <v>0</v>
          </cell>
          <cell r="BB475">
            <v>1</v>
          </cell>
          <cell r="BD475">
            <v>0</v>
          </cell>
          <cell r="BE475" t="str">
            <v>M</v>
          </cell>
          <cell r="BF475" t="str">
            <v>N</v>
          </cell>
          <cell r="BG475">
            <v>4</v>
          </cell>
          <cell r="BH475">
            <v>39630</v>
          </cell>
          <cell r="BI475" t="str">
            <v>O</v>
          </cell>
        </row>
        <row r="476">
          <cell r="A476">
            <v>79771</v>
          </cell>
          <cell r="B476">
            <v>419</v>
          </cell>
          <cell r="C476" t="str">
            <v>C7006</v>
          </cell>
          <cell r="D476" t="str">
            <v>KAMAL</v>
          </cell>
          <cell r="E476" t="str">
            <v>MOHAMED</v>
          </cell>
          <cell r="F476">
            <v>20636</v>
          </cell>
          <cell r="H476" t="str">
            <v>OULED M'BAREK - BENI MELLAL</v>
          </cell>
          <cell r="I476" t="str">
            <v>F</v>
          </cell>
          <cell r="J476">
            <v>29554</v>
          </cell>
          <cell r="K476">
            <v>35065</v>
          </cell>
          <cell r="L476" t="str">
            <v>33</v>
          </cell>
          <cell r="M476" t="str">
            <v>A</v>
          </cell>
          <cell r="N476">
            <v>35065</v>
          </cell>
          <cell r="P476">
            <v>22</v>
          </cell>
          <cell r="Q476" t="str">
            <v>O</v>
          </cell>
          <cell r="R476" t="str">
            <v>N</v>
          </cell>
          <cell r="S476">
            <v>0</v>
          </cell>
          <cell r="T476" t="str">
            <v>M</v>
          </cell>
          <cell r="U476" t="str">
            <v>LIDAME HADDA</v>
          </cell>
          <cell r="X476">
            <v>5</v>
          </cell>
          <cell r="Y476">
            <v>5</v>
          </cell>
          <cell r="AB476" t="str">
            <v>X</v>
          </cell>
          <cell r="AC476" t="str">
            <v>X</v>
          </cell>
          <cell r="AD476" t="str">
            <v>X</v>
          </cell>
          <cell r="AH476" t="str">
            <v>N</v>
          </cell>
          <cell r="AI476" t="str">
            <v>N</v>
          </cell>
          <cell r="AK476" t="str">
            <v>178 VILLAGE O.C.P - BOULANOUAR</v>
          </cell>
          <cell r="AL476" t="str">
            <v>4 AS</v>
          </cell>
          <cell r="AM476" t="str">
            <v>CQP.</v>
          </cell>
          <cell r="AP476" t="str">
            <v>I 79520</v>
          </cell>
          <cell r="AQ476">
            <v>0</v>
          </cell>
          <cell r="AR476" t="str">
            <v>B</v>
          </cell>
          <cell r="AS476" t="str">
            <v>POPULAIRE.KHGA</v>
          </cell>
          <cell r="AT476" t="str">
            <v>2111113117830003</v>
          </cell>
          <cell r="AU476" t="str">
            <v>/  /</v>
          </cell>
          <cell r="AW476">
            <v>38899</v>
          </cell>
          <cell r="AY476" t="str">
            <v>XX</v>
          </cell>
          <cell r="BA476" t="str">
            <v>2</v>
          </cell>
          <cell r="BB476">
            <v>1</v>
          </cell>
          <cell r="BD476">
            <v>0</v>
          </cell>
          <cell r="BE476" t="str">
            <v>M</v>
          </cell>
          <cell r="BF476" t="str">
            <v>N</v>
          </cell>
          <cell r="BG476">
            <v>40</v>
          </cell>
          <cell r="BH476">
            <v>39264</v>
          </cell>
        </row>
        <row r="477">
          <cell r="A477">
            <v>64141</v>
          </cell>
          <cell r="B477">
            <v>408</v>
          </cell>
          <cell r="C477" t="str">
            <v>C7152</v>
          </cell>
          <cell r="D477" t="str">
            <v>MEDKOUR</v>
          </cell>
          <cell r="E477" t="str">
            <v>EL MOSTAFA</v>
          </cell>
          <cell r="F477">
            <v>19069</v>
          </cell>
          <cell r="G477" t="str">
            <v>4</v>
          </cell>
          <cell r="H477" t="str">
            <v>BOULANOUAR</v>
          </cell>
          <cell r="I477" t="str">
            <v>D</v>
          </cell>
          <cell r="J477">
            <v>26747</v>
          </cell>
          <cell r="K477">
            <v>35065</v>
          </cell>
          <cell r="L477" t="str">
            <v>33</v>
          </cell>
          <cell r="M477" t="str">
            <v>A</v>
          </cell>
          <cell r="N477">
            <v>35065</v>
          </cell>
          <cell r="P477">
            <v>30</v>
          </cell>
          <cell r="Q477" t="str">
            <v>O</v>
          </cell>
          <cell r="R477" t="str">
            <v>N</v>
          </cell>
          <cell r="S477">
            <v>0</v>
          </cell>
          <cell r="T477" t="str">
            <v>M</v>
          </cell>
          <cell r="U477" t="str">
            <v>ZOHRA BENT SALAH</v>
          </cell>
          <cell r="X477">
            <v>6</v>
          </cell>
          <cell r="Y477">
            <v>2</v>
          </cell>
          <cell r="AB477" t="str">
            <v>X</v>
          </cell>
          <cell r="AC477" t="str">
            <v>X</v>
          </cell>
          <cell r="AD477" t="str">
            <v>X</v>
          </cell>
          <cell r="AH477" t="str">
            <v>N</v>
          </cell>
          <cell r="AI477" t="str">
            <v>O</v>
          </cell>
          <cell r="AJ477">
            <v>32508</v>
          </cell>
          <cell r="AK477" t="str">
            <v>32.BLOC E LOTISSEMENT RIAD KHOURIBGA</v>
          </cell>
          <cell r="AL477" t="str">
            <v>3 AS</v>
          </cell>
          <cell r="AM477" t="str">
            <v>CEP.</v>
          </cell>
          <cell r="AP477" t="str">
            <v>Q 84205</v>
          </cell>
          <cell r="AQ477">
            <v>0</v>
          </cell>
          <cell r="AR477" t="str">
            <v>B</v>
          </cell>
          <cell r="AS477" t="str">
            <v>S.G.M.B KHGA</v>
          </cell>
          <cell r="AT477" t="str">
            <v>670009077857</v>
          </cell>
          <cell r="AU477" t="str">
            <v>/  /</v>
          </cell>
          <cell r="AW477">
            <v>37438</v>
          </cell>
          <cell r="AY477" t="str">
            <v>XX</v>
          </cell>
          <cell r="BA477" t="str">
            <v>1</v>
          </cell>
          <cell r="BB477">
            <v>1</v>
          </cell>
          <cell r="BD477">
            <v>0</v>
          </cell>
          <cell r="BE477" t="str">
            <v>M</v>
          </cell>
          <cell r="BF477" t="str">
            <v>N</v>
          </cell>
          <cell r="BG477">
            <v>1</v>
          </cell>
          <cell r="BH477">
            <v>37438</v>
          </cell>
          <cell r="BI477" t="str">
            <v>O</v>
          </cell>
        </row>
        <row r="478">
          <cell r="A478">
            <v>64475</v>
          </cell>
          <cell r="B478">
            <v>408</v>
          </cell>
          <cell r="C478" t="str">
            <v>X2156</v>
          </cell>
          <cell r="D478" t="str">
            <v>FENNANI</v>
          </cell>
          <cell r="E478" t="str">
            <v>MOHAMMED</v>
          </cell>
          <cell r="F478">
            <v>18809</v>
          </cell>
          <cell r="G478" t="str">
            <v>1</v>
          </cell>
          <cell r="H478" t="str">
            <v>OULED BHAR SGHAR KHOURIBGA</v>
          </cell>
          <cell r="I478" t="str">
            <v>D</v>
          </cell>
          <cell r="J478">
            <v>26828</v>
          </cell>
          <cell r="K478">
            <v>35065</v>
          </cell>
          <cell r="L478" t="str">
            <v>33</v>
          </cell>
          <cell r="M478" t="str">
            <v>A</v>
          </cell>
          <cell r="N478">
            <v>35065</v>
          </cell>
          <cell r="O478">
            <v>0</v>
          </cell>
          <cell r="P478">
            <v>29</v>
          </cell>
          <cell r="Q478" t="str">
            <v>O</v>
          </cell>
          <cell r="R478" t="str">
            <v>N</v>
          </cell>
          <cell r="S478">
            <v>0</v>
          </cell>
          <cell r="T478" t="str">
            <v>M</v>
          </cell>
          <cell r="U478" t="str">
            <v>ELMOUCHTAHIQ ZAHRA B ABDELKADR</v>
          </cell>
          <cell r="X478">
            <v>6</v>
          </cell>
          <cell r="Y478">
            <v>3</v>
          </cell>
          <cell r="AB478" t="str">
            <v>X</v>
          </cell>
          <cell r="AC478" t="str">
            <v>X</v>
          </cell>
          <cell r="AD478" t="str">
            <v>X</v>
          </cell>
          <cell r="AH478" t="str">
            <v>N</v>
          </cell>
          <cell r="AI478" t="str">
            <v>N</v>
          </cell>
          <cell r="AK478" t="str">
            <v>27 RUE BENI SMIR HAY EL FATH KHOURIBGA</v>
          </cell>
          <cell r="AL478" t="str">
            <v>3 AS</v>
          </cell>
          <cell r="AP478" t="str">
            <v>Q 21743</v>
          </cell>
          <cell r="AQ478">
            <v>0</v>
          </cell>
          <cell r="AR478" t="str">
            <v>B</v>
          </cell>
          <cell r="AS478" t="str">
            <v>C.N.C.A  KHGA</v>
          </cell>
          <cell r="AT478" t="str">
            <v>0806137Y601</v>
          </cell>
          <cell r="AU478" t="str">
            <v>/  /</v>
          </cell>
          <cell r="AW478">
            <v>37622</v>
          </cell>
          <cell r="AX478">
            <v>37555</v>
          </cell>
          <cell r="AY478" t="str">
            <v>XX</v>
          </cell>
          <cell r="BA478" t="str">
            <v>1</v>
          </cell>
          <cell r="BB478">
            <v>1</v>
          </cell>
          <cell r="BD478">
            <v>0</v>
          </cell>
          <cell r="BE478" t="str">
            <v>M</v>
          </cell>
          <cell r="BF478" t="str">
            <v>N</v>
          </cell>
          <cell r="BG478">
            <v>1</v>
          </cell>
          <cell r="BH478">
            <v>37073</v>
          </cell>
        </row>
        <row r="479">
          <cell r="A479">
            <v>65908</v>
          </cell>
          <cell r="B479">
            <v>410</v>
          </cell>
          <cell r="C479" t="str">
            <v>C3152</v>
          </cell>
          <cell r="D479" t="str">
            <v>ENNAJAOUI</v>
          </cell>
          <cell r="E479" t="str">
            <v>MAATI</v>
          </cell>
          <cell r="F479">
            <v>18809</v>
          </cell>
          <cell r="H479" t="str">
            <v>BENI MESKINE</v>
          </cell>
          <cell r="I479" t="str">
            <v>D</v>
          </cell>
          <cell r="J479">
            <v>29049</v>
          </cell>
          <cell r="K479">
            <v>37012</v>
          </cell>
          <cell r="L479" t="str">
            <v>21</v>
          </cell>
          <cell r="M479" t="str">
            <v>B</v>
          </cell>
          <cell r="N479">
            <v>37012</v>
          </cell>
          <cell r="P479">
            <v>23</v>
          </cell>
          <cell r="Q479" t="str">
            <v>O</v>
          </cell>
          <cell r="R479" t="str">
            <v>N</v>
          </cell>
          <cell r="S479">
            <v>0</v>
          </cell>
          <cell r="T479" t="str">
            <v>M</v>
          </cell>
          <cell r="U479" t="str">
            <v>AMINA BENT AHMED</v>
          </cell>
          <cell r="X479">
            <v>7</v>
          </cell>
          <cell r="Y479">
            <v>5</v>
          </cell>
          <cell r="AB479" t="str">
            <v>X</v>
          </cell>
          <cell r="AC479" t="str">
            <v>X</v>
          </cell>
          <cell r="AD479" t="str">
            <v>X</v>
          </cell>
          <cell r="AH479" t="str">
            <v>N</v>
          </cell>
          <cell r="AI479" t="str">
            <v>N</v>
          </cell>
          <cell r="AK479" t="str">
            <v>279 ANCIENNE MEDINA SECHAGE - KHGA</v>
          </cell>
          <cell r="AL479" t="str">
            <v>3 AS</v>
          </cell>
          <cell r="AP479" t="str">
            <v>Q 83559</v>
          </cell>
          <cell r="AQ479">
            <v>0</v>
          </cell>
          <cell r="AR479" t="str">
            <v>B</v>
          </cell>
          <cell r="AS479" t="str">
            <v>SGMB - KHGA</v>
          </cell>
          <cell r="AT479" t="str">
            <v>0670009352561</v>
          </cell>
          <cell r="AU479" t="str">
            <v>/  /</v>
          </cell>
          <cell r="AW479">
            <v>38718</v>
          </cell>
          <cell r="AY479" t="str">
            <v>XX</v>
          </cell>
          <cell r="BA479" t="str">
            <v>1</v>
          </cell>
          <cell r="BB479">
            <v>1</v>
          </cell>
          <cell r="BD479">
            <v>0</v>
          </cell>
          <cell r="BE479" t="str">
            <v>M</v>
          </cell>
          <cell r="BF479" t="str">
            <v>N</v>
          </cell>
          <cell r="BG479">
            <v>1</v>
          </cell>
          <cell r="BH479">
            <v>38718</v>
          </cell>
        </row>
        <row r="480">
          <cell r="A480">
            <v>66342</v>
          </cell>
          <cell r="B480">
            <v>408</v>
          </cell>
          <cell r="C480" t="str">
            <v>C3152</v>
          </cell>
          <cell r="D480" t="str">
            <v>EL JOUADI</v>
          </cell>
          <cell r="E480" t="str">
            <v>EL MAHJOUB</v>
          </cell>
          <cell r="F480">
            <v>19977</v>
          </cell>
          <cell r="G480" t="str">
            <v>6</v>
          </cell>
          <cell r="H480" t="str">
            <v>M'FASSIS</v>
          </cell>
          <cell r="I480" t="str">
            <v>D</v>
          </cell>
          <cell r="J480">
            <v>27276</v>
          </cell>
          <cell r="K480">
            <v>35977</v>
          </cell>
          <cell r="L480" t="str">
            <v>21</v>
          </cell>
          <cell r="M480" t="str">
            <v>D</v>
          </cell>
          <cell r="N480">
            <v>35977</v>
          </cell>
          <cell r="P480">
            <v>28</v>
          </cell>
          <cell r="Q480" t="str">
            <v>O</v>
          </cell>
          <cell r="R480" t="str">
            <v>N</v>
          </cell>
          <cell r="S480">
            <v>0</v>
          </cell>
          <cell r="T480" t="str">
            <v>M</v>
          </cell>
          <cell r="U480" t="str">
            <v>EL GHYATI SAADIA BENT LARBI</v>
          </cell>
          <cell r="X480">
            <v>0</v>
          </cell>
          <cell r="Y480">
            <v>0</v>
          </cell>
          <cell r="AB480" t="str">
            <v>X</v>
          </cell>
          <cell r="AC480" t="str">
            <v>X</v>
          </cell>
          <cell r="AD480" t="str">
            <v>X</v>
          </cell>
          <cell r="AH480" t="str">
            <v>N</v>
          </cell>
          <cell r="AI480" t="str">
            <v>N</v>
          </cell>
          <cell r="AK480" t="str">
            <v>187 ANCIENNE MEDINA DE SECHAGE - KHGA</v>
          </cell>
          <cell r="AL480" t="str">
            <v>CM2.</v>
          </cell>
          <cell r="AP480" t="str">
            <v>Q 51917</v>
          </cell>
          <cell r="AQ480">
            <v>0</v>
          </cell>
          <cell r="AR480" t="str">
            <v>B</v>
          </cell>
          <cell r="AS480" t="str">
            <v>BMCE - KHGA</v>
          </cell>
          <cell r="AT480" t="str">
            <v>4000001200001239426</v>
          </cell>
          <cell r="AU480" t="str">
            <v>/  /</v>
          </cell>
          <cell r="AW480">
            <v>38353</v>
          </cell>
          <cell r="AY480" t="str">
            <v>XX</v>
          </cell>
          <cell r="BA480" t="str">
            <v>1</v>
          </cell>
          <cell r="BB480">
            <v>1</v>
          </cell>
          <cell r="BD480">
            <v>0</v>
          </cell>
          <cell r="BE480" t="str">
            <v>M</v>
          </cell>
          <cell r="BF480" t="str">
            <v>N</v>
          </cell>
          <cell r="BG480">
            <v>1</v>
          </cell>
          <cell r="BH480">
            <v>38353</v>
          </cell>
          <cell r="BI480" t="str">
            <v>O</v>
          </cell>
        </row>
        <row r="481">
          <cell r="A481">
            <v>67809</v>
          </cell>
          <cell r="B481">
            <v>408</v>
          </cell>
          <cell r="C481" t="str">
            <v>C5156</v>
          </cell>
          <cell r="D481" t="str">
            <v>NAZIH</v>
          </cell>
          <cell r="E481" t="str">
            <v>ABDELKRIM</v>
          </cell>
          <cell r="F481">
            <v>19905</v>
          </cell>
          <cell r="G481" t="str">
            <v>1</v>
          </cell>
          <cell r="H481" t="str">
            <v>KHOURIBGA</v>
          </cell>
          <cell r="I481" t="str">
            <v>D</v>
          </cell>
          <cell r="J481">
            <v>27564</v>
          </cell>
          <cell r="K481">
            <v>37073</v>
          </cell>
          <cell r="L481" t="str">
            <v>31</v>
          </cell>
          <cell r="M481" t="str">
            <v>A</v>
          </cell>
          <cell r="N481">
            <v>37073</v>
          </cell>
          <cell r="P481">
            <v>27</v>
          </cell>
          <cell r="Q481" t="str">
            <v>O</v>
          </cell>
          <cell r="R481" t="str">
            <v>N</v>
          </cell>
          <cell r="S481">
            <v>0</v>
          </cell>
          <cell r="T481" t="str">
            <v>M</v>
          </cell>
          <cell r="U481" t="str">
            <v>HANIDI AMAL</v>
          </cell>
          <cell r="X481">
            <v>3</v>
          </cell>
          <cell r="Y481">
            <v>3</v>
          </cell>
          <cell r="Z481" t="str">
            <v>N</v>
          </cell>
          <cell r="AA481" t="str">
            <v>01/10/94</v>
          </cell>
          <cell r="AB481" t="str">
            <v>X</v>
          </cell>
          <cell r="AC481" t="str">
            <v>X</v>
          </cell>
          <cell r="AD481" t="str">
            <v>X</v>
          </cell>
          <cell r="AH481" t="str">
            <v>N</v>
          </cell>
          <cell r="AI481" t="str">
            <v>N</v>
          </cell>
          <cell r="AK481" t="str">
            <v>BLOC 9 N°85 BIS KHOUADRIA JDAD  KHGA</v>
          </cell>
          <cell r="AL481" t="str">
            <v>3 AS</v>
          </cell>
          <cell r="AP481" t="str">
            <v>Q 46637</v>
          </cell>
          <cell r="AQ481">
            <v>0</v>
          </cell>
          <cell r="AR481" t="str">
            <v>B</v>
          </cell>
          <cell r="AS481" t="str">
            <v>S.G.M.B KHGA</v>
          </cell>
          <cell r="AT481" t="str">
            <v>670009074656</v>
          </cell>
          <cell r="AU481" t="str">
            <v>/  /</v>
          </cell>
          <cell r="AW481">
            <v>39546</v>
          </cell>
          <cell r="AX481">
            <v>39546</v>
          </cell>
          <cell r="AY481" t="str">
            <v>XX</v>
          </cell>
          <cell r="BA481" t="str">
            <v>1</v>
          </cell>
          <cell r="BB481">
            <v>0</v>
          </cell>
          <cell r="BD481">
            <v>0</v>
          </cell>
          <cell r="BE481" t="str">
            <v>M</v>
          </cell>
          <cell r="BF481" t="str">
            <v>N</v>
          </cell>
          <cell r="BG481">
            <v>1</v>
          </cell>
          <cell r="BH481">
            <v>38169</v>
          </cell>
          <cell r="BI481" t="str">
            <v>O</v>
          </cell>
        </row>
        <row r="482">
          <cell r="A482">
            <v>69469</v>
          </cell>
          <cell r="B482">
            <v>408</v>
          </cell>
          <cell r="C482" t="str">
            <v>X3156</v>
          </cell>
          <cell r="D482" t="str">
            <v>EDDAHBI</v>
          </cell>
          <cell r="E482" t="str">
            <v>EL KBIR</v>
          </cell>
          <cell r="F482">
            <v>19241</v>
          </cell>
          <cell r="G482" t="str">
            <v>6</v>
          </cell>
          <cell r="H482" t="str">
            <v>HATTANE</v>
          </cell>
          <cell r="I482" t="str">
            <v>F</v>
          </cell>
          <cell r="J482">
            <v>28297</v>
          </cell>
          <cell r="K482">
            <v>37073</v>
          </cell>
          <cell r="L482" t="str">
            <v>41</v>
          </cell>
          <cell r="M482" t="str">
            <v>A</v>
          </cell>
          <cell r="N482">
            <v>37073</v>
          </cell>
          <cell r="O482">
            <v>0</v>
          </cell>
          <cell r="P482">
            <v>25</v>
          </cell>
          <cell r="Q482" t="str">
            <v>O</v>
          </cell>
          <cell r="R482" t="str">
            <v>N</v>
          </cell>
          <cell r="S482">
            <v>0</v>
          </cell>
          <cell r="T482" t="str">
            <v>M</v>
          </cell>
          <cell r="U482" t="str">
            <v>BISSAOUI FATIMA BENT LAHCEN</v>
          </cell>
          <cell r="X482">
            <v>5</v>
          </cell>
          <cell r="Y482">
            <v>4</v>
          </cell>
          <cell r="AB482" t="str">
            <v>X</v>
          </cell>
          <cell r="AC482" t="str">
            <v>X</v>
          </cell>
          <cell r="AD482" t="str">
            <v>X</v>
          </cell>
          <cell r="AH482" t="str">
            <v>O</v>
          </cell>
          <cell r="AI482" t="str">
            <v>N</v>
          </cell>
          <cell r="AK482" t="str">
            <v>26,RUE EL ANOUAR OCP KHOURIBGA</v>
          </cell>
          <cell r="AL482" t="str">
            <v>5 AS</v>
          </cell>
          <cell r="AM482" t="str">
            <v>CFO.</v>
          </cell>
          <cell r="AP482" t="str">
            <v>Q 8732</v>
          </cell>
          <cell r="AQ482">
            <v>0</v>
          </cell>
          <cell r="AR482" t="str">
            <v>B</v>
          </cell>
          <cell r="AS482" t="str">
            <v>CR.AGRICOLE - KHGA</v>
          </cell>
          <cell r="AT482" t="str">
            <v>0805831X601</v>
          </cell>
          <cell r="AU482" t="str">
            <v>/  /</v>
          </cell>
          <cell r="AW482">
            <v>39546</v>
          </cell>
          <cell r="AX482">
            <v>39546</v>
          </cell>
          <cell r="AY482" t="str">
            <v>XX</v>
          </cell>
          <cell r="BA482" t="str">
            <v>1</v>
          </cell>
          <cell r="BB482">
            <v>1</v>
          </cell>
          <cell r="BD482">
            <v>0</v>
          </cell>
          <cell r="BE482" t="str">
            <v>M</v>
          </cell>
          <cell r="BF482" t="str">
            <v>N</v>
          </cell>
          <cell r="BG482">
            <v>11</v>
          </cell>
          <cell r="BH482">
            <v>38353</v>
          </cell>
          <cell r="BI482" t="str">
            <v>O</v>
          </cell>
        </row>
        <row r="483">
          <cell r="A483">
            <v>69614</v>
          </cell>
          <cell r="B483">
            <v>408</v>
          </cell>
          <cell r="C483" t="str">
            <v>C3156</v>
          </cell>
          <cell r="D483" t="str">
            <v>AIT EDDIF</v>
          </cell>
          <cell r="E483" t="str">
            <v>AHMED</v>
          </cell>
          <cell r="F483">
            <v>19540</v>
          </cell>
          <cell r="H483" t="str">
            <v>MESFIOUA - MARRAKECH</v>
          </cell>
          <cell r="I483" t="str">
            <v>D</v>
          </cell>
          <cell r="J483">
            <v>28355</v>
          </cell>
          <cell r="K483">
            <v>36526</v>
          </cell>
          <cell r="L483" t="str">
            <v>21</v>
          </cell>
          <cell r="M483" t="str">
            <v>A</v>
          </cell>
          <cell r="N483">
            <v>36526</v>
          </cell>
          <cell r="P483">
            <v>25</v>
          </cell>
          <cell r="Q483" t="str">
            <v>O</v>
          </cell>
          <cell r="R483" t="str">
            <v>N</v>
          </cell>
          <cell r="S483">
            <v>0</v>
          </cell>
          <cell r="T483" t="str">
            <v>M</v>
          </cell>
          <cell r="U483" t="str">
            <v>AICHA BENT SALAH</v>
          </cell>
          <cell r="X483">
            <v>6</v>
          </cell>
          <cell r="Y483">
            <v>4</v>
          </cell>
          <cell r="AB483" t="str">
            <v>X</v>
          </cell>
          <cell r="AC483" t="str">
            <v>X</v>
          </cell>
          <cell r="AD483" t="str">
            <v>X</v>
          </cell>
          <cell r="AH483" t="str">
            <v>N</v>
          </cell>
          <cell r="AI483" t="str">
            <v>N</v>
          </cell>
          <cell r="AK483" t="str">
            <v>1458 BLOC D4 HAY AMAL KHOURIBGA</v>
          </cell>
          <cell r="AL483" t="str">
            <v>ILLETTRE</v>
          </cell>
          <cell r="AP483" t="str">
            <v>Q 13176</v>
          </cell>
          <cell r="AQ483">
            <v>0</v>
          </cell>
          <cell r="AR483" t="str">
            <v>B</v>
          </cell>
          <cell r="AS483" t="str">
            <v>POPULAIRE-KHGA</v>
          </cell>
          <cell r="AT483" t="str">
            <v>2111112844340005</v>
          </cell>
          <cell r="AU483" t="str">
            <v>/  /</v>
          </cell>
          <cell r="AW483">
            <v>37987</v>
          </cell>
          <cell r="AY483" t="str">
            <v>XX</v>
          </cell>
          <cell r="BA483" t="str">
            <v>1</v>
          </cell>
          <cell r="BB483">
            <v>1</v>
          </cell>
          <cell r="BD483">
            <v>0</v>
          </cell>
          <cell r="BE483" t="str">
            <v>M</v>
          </cell>
          <cell r="BF483" t="str">
            <v>N</v>
          </cell>
          <cell r="BG483">
            <v>1</v>
          </cell>
          <cell r="BH483">
            <v>37987</v>
          </cell>
          <cell r="BI483" t="str">
            <v>O</v>
          </cell>
        </row>
        <row r="484">
          <cell r="A484">
            <v>70548</v>
          </cell>
          <cell r="B484">
            <v>410</v>
          </cell>
          <cell r="C484" t="str">
            <v>C3260</v>
          </cell>
          <cell r="D484" t="str">
            <v>TAJAOUI</v>
          </cell>
          <cell r="E484" t="str">
            <v>MOHAMED</v>
          </cell>
          <cell r="F484">
            <v>18079</v>
          </cell>
          <cell r="G484" t="str">
            <v>6</v>
          </cell>
          <cell r="H484" t="str">
            <v>M'FASSIS</v>
          </cell>
          <cell r="I484" t="str">
            <v>D</v>
          </cell>
          <cell r="J484">
            <v>28615</v>
          </cell>
          <cell r="K484">
            <v>36526</v>
          </cell>
          <cell r="L484" t="str">
            <v>21</v>
          </cell>
          <cell r="M484" t="str">
            <v>B</v>
          </cell>
          <cell r="N484">
            <v>36526</v>
          </cell>
          <cell r="P484">
            <v>24</v>
          </cell>
          <cell r="Q484" t="str">
            <v>O</v>
          </cell>
          <cell r="R484" t="str">
            <v>N</v>
          </cell>
          <cell r="S484">
            <v>0</v>
          </cell>
          <cell r="T484" t="str">
            <v>M</v>
          </cell>
          <cell r="U484" t="str">
            <v>FATIMA BENT AHMED</v>
          </cell>
          <cell r="X484">
            <v>6</v>
          </cell>
          <cell r="Y484">
            <v>2</v>
          </cell>
          <cell r="AB484" t="str">
            <v>X</v>
          </cell>
          <cell r="AC484" t="str">
            <v>X</v>
          </cell>
          <cell r="AD484" t="str">
            <v>X</v>
          </cell>
          <cell r="AH484" t="str">
            <v>N</v>
          </cell>
          <cell r="AI484" t="str">
            <v>N</v>
          </cell>
          <cell r="AK484" t="str">
            <v>N° 12 DERB 7 - HATTANE</v>
          </cell>
          <cell r="AL484" t="str">
            <v>ILLETTRE</v>
          </cell>
          <cell r="AP484" t="str">
            <v>Q 80787</v>
          </cell>
          <cell r="AQ484">
            <v>0</v>
          </cell>
          <cell r="AR484" t="str">
            <v>C</v>
          </cell>
          <cell r="AU484" t="str">
            <v>/  /</v>
          </cell>
          <cell r="AW484">
            <v>38169</v>
          </cell>
          <cell r="AY484" t="str">
            <v>XX</v>
          </cell>
          <cell r="BA484" t="str">
            <v>1</v>
          </cell>
          <cell r="BB484">
            <v>1</v>
          </cell>
          <cell r="BD484">
            <v>0</v>
          </cell>
          <cell r="BE484" t="str">
            <v>M</v>
          </cell>
          <cell r="BF484" t="str">
            <v>N</v>
          </cell>
          <cell r="BG484">
            <v>10</v>
          </cell>
          <cell r="BH484">
            <v>38169</v>
          </cell>
          <cell r="BI484" t="str">
            <v>O</v>
          </cell>
        </row>
        <row r="485">
          <cell r="A485">
            <v>70558</v>
          </cell>
          <cell r="B485">
            <v>410</v>
          </cell>
          <cell r="C485" t="str">
            <v>C4260</v>
          </cell>
          <cell r="D485" t="str">
            <v>ZOULIKH</v>
          </cell>
          <cell r="E485" t="str">
            <v>EL ARBI</v>
          </cell>
          <cell r="F485">
            <v>18444</v>
          </cell>
          <cell r="G485" t="str">
            <v>1</v>
          </cell>
          <cell r="H485" t="str">
            <v>OULED BHAR KBAR KHOURIBGA</v>
          </cell>
          <cell r="I485" t="str">
            <v>D</v>
          </cell>
          <cell r="J485">
            <v>28615</v>
          </cell>
          <cell r="K485">
            <v>35065</v>
          </cell>
          <cell r="L485" t="str">
            <v>22</v>
          </cell>
          <cell r="M485" t="str">
            <v>A</v>
          </cell>
          <cell r="N485">
            <v>35065</v>
          </cell>
          <cell r="P485">
            <v>24</v>
          </cell>
          <cell r="Q485" t="str">
            <v>O</v>
          </cell>
          <cell r="R485" t="str">
            <v>N</v>
          </cell>
          <cell r="S485">
            <v>0</v>
          </cell>
          <cell r="T485" t="str">
            <v>M</v>
          </cell>
          <cell r="U485" t="str">
            <v>AICHA BENT HADJ BOUCHAIB</v>
          </cell>
          <cell r="X485">
            <v>10</v>
          </cell>
          <cell r="Y485">
            <v>4</v>
          </cell>
          <cell r="AB485" t="str">
            <v>X</v>
          </cell>
          <cell r="AC485" t="str">
            <v>X</v>
          </cell>
          <cell r="AD485" t="str">
            <v>X</v>
          </cell>
          <cell r="AH485" t="str">
            <v>N</v>
          </cell>
          <cell r="AI485" t="str">
            <v>N</v>
          </cell>
          <cell r="AK485" t="str">
            <v>1123,VILLAGE OCP HATTANE</v>
          </cell>
          <cell r="AL485" t="str">
            <v>ILLETTRE</v>
          </cell>
          <cell r="AP485" t="str">
            <v>Q 46446</v>
          </cell>
          <cell r="AQ485">
            <v>0</v>
          </cell>
          <cell r="AR485" t="str">
            <v>C</v>
          </cell>
          <cell r="AU485" t="str">
            <v>/  /</v>
          </cell>
          <cell r="AW485">
            <v>38353</v>
          </cell>
          <cell r="AY485" t="str">
            <v>XX</v>
          </cell>
          <cell r="BA485" t="str">
            <v>1</v>
          </cell>
          <cell r="BB485">
            <v>1</v>
          </cell>
          <cell r="BD485">
            <v>0</v>
          </cell>
          <cell r="BE485" t="str">
            <v>M</v>
          </cell>
          <cell r="BF485" t="str">
            <v>N</v>
          </cell>
          <cell r="BG485">
            <v>10</v>
          </cell>
          <cell r="BH485">
            <v>38353</v>
          </cell>
        </row>
        <row r="486">
          <cell r="A486">
            <v>71064</v>
          </cell>
          <cell r="B486">
            <v>410</v>
          </cell>
          <cell r="C486" t="str">
            <v>C3260</v>
          </cell>
          <cell r="D486" t="str">
            <v>GERROUGI</v>
          </cell>
          <cell r="E486" t="str">
            <v>EL MILOUDI</v>
          </cell>
          <cell r="F486">
            <v>19175</v>
          </cell>
          <cell r="G486" t="str">
            <v>4</v>
          </cell>
          <cell r="H486" t="str">
            <v>BOULANOUAR</v>
          </cell>
          <cell r="I486" t="str">
            <v>D</v>
          </cell>
          <cell r="J486">
            <v>28949</v>
          </cell>
          <cell r="K486">
            <v>37012</v>
          </cell>
          <cell r="L486" t="str">
            <v>21</v>
          </cell>
          <cell r="M486" t="str">
            <v>A</v>
          </cell>
          <cell r="N486">
            <v>37012</v>
          </cell>
          <cell r="P486">
            <v>24</v>
          </cell>
          <cell r="Q486" t="str">
            <v>O</v>
          </cell>
          <cell r="R486" t="str">
            <v>N</v>
          </cell>
          <cell r="S486">
            <v>0</v>
          </cell>
          <cell r="T486" t="str">
            <v>M</v>
          </cell>
          <cell r="U486" t="str">
            <v>EL BOUCHTAOUIA BT MOHAMED</v>
          </cell>
          <cell r="X486">
            <v>8</v>
          </cell>
          <cell r="Y486">
            <v>4</v>
          </cell>
          <cell r="Z486" t="str">
            <v>O</v>
          </cell>
          <cell r="AB486" t="str">
            <v>X</v>
          </cell>
          <cell r="AC486" t="str">
            <v>X</v>
          </cell>
          <cell r="AD486" t="str">
            <v>X</v>
          </cell>
          <cell r="AH486" t="str">
            <v>N</v>
          </cell>
          <cell r="AI486" t="str">
            <v>N</v>
          </cell>
          <cell r="AK486" t="str">
            <v>404 VILLAGE OCP - BOULANOUAR</v>
          </cell>
          <cell r="AL486" t="str">
            <v>ILLETTRE</v>
          </cell>
          <cell r="AP486" t="str">
            <v>Q 37874</v>
          </cell>
          <cell r="AQ486">
            <v>0</v>
          </cell>
          <cell r="AR486" t="str">
            <v>C</v>
          </cell>
          <cell r="AU486" t="str">
            <v>/  /</v>
          </cell>
          <cell r="AW486">
            <v>38534</v>
          </cell>
          <cell r="AY486" t="str">
            <v>XX</v>
          </cell>
          <cell r="BA486" t="str">
            <v>1</v>
          </cell>
          <cell r="BB486">
            <v>0</v>
          </cell>
          <cell r="BD486">
            <v>0</v>
          </cell>
          <cell r="BE486" t="str">
            <v>M</v>
          </cell>
          <cell r="BF486" t="str">
            <v>N</v>
          </cell>
          <cell r="BG486">
            <v>40</v>
          </cell>
          <cell r="BH486">
            <v>38718</v>
          </cell>
        </row>
        <row r="487">
          <cell r="A487">
            <v>71116</v>
          </cell>
          <cell r="B487">
            <v>410</v>
          </cell>
          <cell r="C487" t="str">
            <v>C3260</v>
          </cell>
          <cell r="D487" t="str">
            <v>ADNA</v>
          </cell>
          <cell r="E487" t="str">
            <v>SALAH</v>
          </cell>
          <cell r="F487">
            <v>19175</v>
          </cell>
          <cell r="H487" t="str">
            <v>LOULAD - SETTAT</v>
          </cell>
          <cell r="I487" t="str">
            <v>D</v>
          </cell>
          <cell r="J487">
            <v>28961</v>
          </cell>
          <cell r="K487">
            <v>36526</v>
          </cell>
          <cell r="L487" t="str">
            <v>21</v>
          </cell>
          <cell r="M487" t="str">
            <v>A</v>
          </cell>
          <cell r="N487">
            <v>36526</v>
          </cell>
          <cell r="P487">
            <v>24</v>
          </cell>
          <cell r="Q487" t="str">
            <v>O</v>
          </cell>
          <cell r="R487" t="str">
            <v>N</v>
          </cell>
          <cell r="S487">
            <v>0</v>
          </cell>
          <cell r="T487" t="str">
            <v>M</v>
          </cell>
          <cell r="U487" t="str">
            <v>SEMSAM AICHA</v>
          </cell>
          <cell r="X487">
            <v>5</v>
          </cell>
          <cell r="Y487">
            <v>4</v>
          </cell>
          <cell r="AB487" t="str">
            <v>X</v>
          </cell>
          <cell r="AC487" t="str">
            <v>X</v>
          </cell>
          <cell r="AD487" t="str">
            <v>X</v>
          </cell>
          <cell r="AH487" t="str">
            <v>N</v>
          </cell>
          <cell r="AI487" t="str">
            <v>N</v>
          </cell>
          <cell r="AK487" t="str">
            <v>521 NOUVEAU TACHERON OCP - BOUJNIBA</v>
          </cell>
          <cell r="AL487" t="str">
            <v>CE2.</v>
          </cell>
          <cell r="AP487" t="str">
            <v>Q 14384</v>
          </cell>
          <cell r="AQ487">
            <v>0</v>
          </cell>
          <cell r="AR487" t="str">
            <v>B</v>
          </cell>
          <cell r="AS487" t="str">
            <v>POPULAIRE.KHGA</v>
          </cell>
          <cell r="AT487" t="str">
            <v>2111136311560001</v>
          </cell>
          <cell r="AU487" t="str">
            <v>/  /</v>
          </cell>
          <cell r="AW487">
            <v>38718</v>
          </cell>
          <cell r="AY487" t="str">
            <v>XX</v>
          </cell>
          <cell r="BA487" t="str">
            <v>1</v>
          </cell>
          <cell r="BB487">
            <v>1</v>
          </cell>
          <cell r="BD487">
            <v>0</v>
          </cell>
          <cell r="BE487" t="str">
            <v>M</v>
          </cell>
          <cell r="BF487" t="str">
            <v>N</v>
          </cell>
          <cell r="BG487">
            <v>50</v>
          </cell>
          <cell r="BH487">
            <v>38718</v>
          </cell>
        </row>
        <row r="488">
          <cell r="A488">
            <v>72011</v>
          </cell>
          <cell r="B488">
            <v>410</v>
          </cell>
          <cell r="C488" t="str">
            <v>C5262</v>
          </cell>
          <cell r="D488" t="str">
            <v>KHDIM</v>
          </cell>
          <cell r="E488" t="str">
            <v>MOSTAFA</v>
          </cell>
          <cell r="F488">
            <v>19540</v>
          </cell>
          <cell r="H488" t="str">
            <v>CASABLANCA</v>
          </cell>
          <cell r="I488" t="str">
            <v>D</v>
          </cell>
          <cell r="J488">
            <v>29416</v>
          </cell>
          <cell r="K488">
            <v>35431</v>
          </cell>
          <cell r="L488" t="str">
            <v>31</v>
          </cell>
          <cell r="M488" t="str">
            <v>A</v>
          </cell>
          <cell r="N488">
            <v>35431</v>
          </cell>
          <cell r="P488">
            <v>22</v>
          </cell>
          <cell r="Q488" t="str">
            <v>O</v>
          </cell>
          <cell r="R488" t="str">
            <v>N</v>
          </cell>
          <cell r="S488">
            <v>0</v>
          </cell>
          <cell r="T488" t="str">
            <v>M</v>
          </cell>
          <cell r="U488" t="str">
            <v>KENDY RITA BENT MOHAMED</v>
          </cell>
          <cell r="X488">
            <v>2</v>
          </cell>
          <cell r="Y488">
            <v>2</v>
          </cell>
          <cell r="AB488" t="str">
            <v>X</v>
          </cell>
          <cell r="AC488" t="str">
            <v>X</v>
          </cell>
          <cell r="AD488" t="str">
            <v>X</v>
          </cell>
          <cell r="AH488" t="str">
            <v>N</v>
          </cell>
          <cell r="AI488" t="str">
            <v>N</v>
          </cell>
          <cell r="AK488" t="str">
            <v>682.VILLAGE OCP BOUJNIBA</v>
          </cell>
          <cell r="AL488" t="str">
            <v>2 AS</v>
          </cell>
          <cell r="AP488" t="str">
            <v>Q 94033</v>
          </cell>
          <cell r="AQ488">
            <v>0</v>
          </cell>
          <cell r="AR488" t="str">
            <v>B</v>
          </cell>
          <cell r="AS488" t="str">
            <v>WAFABANK - KHGA</v>
          </cell>
          <cell r="AT488" t="str">
            <v>1220301299768</v>
          </cell>
          <cell r="AU488" t="str">
            <v>/  /</v>
          </cell>
          <cell r="AW488">
            <v>39083</v>
          </cell>
          <cell r="AY488" t="str">
            <v>XX</v>
          </cell>
          <cell r="AZ488" t="str">
            <v>M</v>
          </cell>
          <cell r="BA488" t="str">
            <v>1</v>
          </cell>
          <cell r="BB488">
            <v>1</v>
          </cell>
          <cell r="BD488">
            <v>0</v>
          </cell>
          <cell r="BE488" t="str">
            <v>M</v>
          </cell>
          <cell r="BF488" t="str">
            <v>N</v>
          </cell>
          <cell r="BG488">
            <v>50</v>
          </cell>
          <cell r="BH488">
            <v>39083</v>
          </cell>
        </row>
        <row r="489">
          <cell r="A489">
            <v>72211</v>
          </cell>
          <cell r="B489">
            <v>410</v>
          </cell>
          <cell r="C489" t="str">
            <v>C4007</v>
          </cell>
          <cell r="D489" t="str">
            <v>NESKIB</v>
          </cell>
          <cell r="E489" t="str">
            <v>EL MOSTAFA</v>
          </cell>
          <cell r="F489">
            <v>20192</v>
          </cell>
          <cell r="G489" t="str">
            <v>4</v>
          </cell>
          <cell r="H489" t="str">
            <v>BOULANOUAR</v>
          </cell>
          <cell r="I489" t="str">
            <v>D</v>
          </cell>
          <cell r="J489">
            <v>29466</v>
          </cell>
          <cell r="K489">
            <v>33573</v>
          </cell>
          <cell r="L489" t="str">
            <v>22</v>
          </cell>
          <cell r="M489" t="str">
            <v>C</v>
          </cell>
          <cell r="N489">
            <v>35612</v>
          </cell>
          <cell r="P489">
            <v>22</v>
          </cell>
          <cell r="Q489" t="str">
            <v>O</v>
          </cell>
          <cell r="R489" t="str">
            <v>N</v>
          </cell>
          <cell r="S489">
            <v>0</v>
          </cell>
          <cell r="T489" t="str">
            <v>M</v>
          </cell>
          <cell r="U489" t="str">
            <v>ABARKA NAIMA BENT LAHCEN</v>
          </cell>
          <cell r="X489">
            <v>4</v>
          </cell>
          <cell r="Y489">
            <v>4</v>
          </cell>
          <cell r="AB489" t="str">
            <v>X</v>
          </cell>
          <cell r="AC489" t="str">
            <v>X</v>
          </cell>
          <cell r="AD489" t="str">
            <v>X</v>
          </cell>
          <cell r="AH489" t="str">
            <v>N</v>
          </cell>
          <cell r="AI489" t="str">
            <v>N</v>
          </cell>
          <cell r="AK489" t="str">
            <v>105 ANCIENNE MEDINA SECHAGE KHGA</v>
          </cell>
          <cell r="AL489" t="str">
            <v>CM2.</v>
          </cell>
          <cell r="AP489" t="str">
            <v>Q 62856</v>
          </cell>
          <cell r="AQ489">
            <v>0</v>
          </cell>
          <cell r="AR489" t="str">
            <v>B</v>
          </cell>
          <cell r="AS489" t="str">
            <v>BMCE.KHGA</v>
          </cell>
          <cell r="AT489" t="str">
            <v>40001200000253324</v>
          </cell>
          <cell r="AU489" t="str">
            <v>/  /</v>
          </cell>
          <cell r="AW489">
            <v>39083</v>
          </cell>
          <cell r="AY489" t="str">
            <v>XX</v>
          </cell>
          <cell r="BA489" t="str">
            <v>2</v>
          </cell>
          <cell r="BB489">
            <v>1</v>
          </cell>
          <cell r="BD489">
            <v>0</v>
          </cell>
          <cell r="BE489" t="str">
            <v>M</v>
          </cell>
          <cell r="BF489" t="str">
            <v>N</v>
          </cell>
          <cell r="BG489">
            <v>1</v>
          </cell>
          <cell r="BH489">
            <v>39264</v>
          </cell>
        </row>
        <row r="490">
          <cell r="A490">
            <v>74527</v>
          </cell>
          <cell r="B490">
            <v>408</v>
          </cell>
          <cell r="C490" t="str">
            <v>C7152</v>
          </cell>
          <cell r="D490" t="str">
            <v>MEZRAOUI</v>
          </cell>
          <cell r="E490" t="str">
            <v>ABDELGHANI</v>
          </cell>
          <cell r="F490">
            <v>22225</v>
          </cell>
          <cell r="G490" t="str">
            <v>5</v>
          </cell>
          <cell r="H490" t="str">
            <v>BOUJAAD</v>
          </cell>
          <cell r="I490" t="str">
            <v>F</v>
          </cell>
          <cell r="J490">
            <v>30823</v>
          </cell>
          <cell r="K490">
            <v>36526</v>
          </cell>
          <cell r="L490" t="str">
            <v>33</v>
          </cell>
          <cell r="M490" t="str">
            <v>A</v>
          </cell>
          <cell r="N490">
            <v>36526</v>
          </cell>
          <cell r="P490">
            <v>18</v>
          </cell>
          <cell r="Q490" t="str">
            <v>O</v>
          </cell>
          <cell r="R490" t="str">
            <v>N</v>
          </cell>
          <cell r="S490">
            <v>0</v>
          </cell>
          <cell r="T490" t="str">
            <v>M</v>
          </cell>
          <cell r="U490" t="str">
            <v>LAAROUSSI EZZOHRA BENT ALI</v>
          </cell>
          <cell r="X490">
            <v>3</v>
          </cell>
          <cell r="Y490">
            <v>3</v>
          </cell>
          <cell r="Z490" t="str">
            <v>N</v>
          </cell>
          <cell r="AB490" t="str">
            <v>X</v>
          </cell>
          <cell r="AC490" t="str">
            <v>X</v>
          </cell>
          <cell r="AD490" t="str">
            <v>X</v>
          </cell>
          <cell r="AH490" t="str">
            <v>N</v>
          </cell>
          <cell r="AI490" t="str">
            <v>N</v>
          </cell>
          <cell r="AK490" t="str">
            <v>57 NOUVEAUX LOGEMENTS O.C.P - KHGA</v>
          </cell>
          <cell r="AL490" t="str">
            <v>4 AS</v>
          </cell>
          <cell r="AM490" t="str">
            <v>CQP.CFO</v>
          </cell>
          <cell r="AP490" t="str">
            <v>Q 55725</v>
          </cell>
          <cell r="AQ490">
            <v>0</v>
          </cell>
          <cell r="AR490" t="str">
            <v>B</v>
          </cell>
          <cell r="AS490" t="str">
            <v>BMCE . KHGA</v>
          </cell>
          <cell r="AT490" t="str">
            <v>40001200000588168</v>
          </cell>
          <cell r="AU490" t="str">
            <v>/  /</v>
          </cell>
          <cell r="AW490">
            <v>40544</v>
          </cell>
          <cell r="AY490" t="str">
            <v>XX</v>
          </cell>
          <cell r="BA490" t="str">
            <v>1</v>
          </cell>
          <cell r="BB490">
            <v>1</v>
          </cell>
          <cell r="BD490">
            <v>0</v>
          </cell>
          <cell r="BE490" t="str">
            <v>M</v>
          </cell>
          <cell r="BF490" t="str">
            <v>N</v>
          </cell>
          <cell r="BG490">
            <v>1</v>
          </cell>
          <cell r="BH490">
            <v>40544</v>
          </cell>
        </row>
        <row r="491">
          <cell r="A491">
            <v>63871</v>
          </cell>
          <cell r="B491">
            <v>408</v>
          </cell>
          <cell r="C491" t="str">
            <v>C5156</v>
          </cell>
          <cell r="D491" t="str">
            <v>EL ACHHAM</v>
          </cell>
          <cell r="E491" t="str">
            <v>MOHAMMED</v>
          </cell>
          <cell r="F491">
            <v>19175</v>
          </cell>
          <cell r="G491" t="str">
            <v>1</v>
          </cell>
          <cell r="H491" t="str">
            <v>OULED BHAR KBAR KHOURIBGA</v>
          </cell>
          <cell r="I491" t="str">
            <v>D</v>
          </cell>
          <cell r="J491">
            <v>26630</v>
          </cell>
          <cell r="K491">
            <v>35431</v>
          </cell>
          <cell r="L491" t="str">
            <v>31</v>
          </cell>
          <cell r="M491" t="str">
            <v>A</v>
          </cell>
          <cell r="N491">
            <v>35431</v>
          </cell>
          <cell r="P491">
            <v>30</v>
          </cell>
          <cell r="Q491" t="str">
            <v>O</v>
          </cell>
          <cell r="R491" t="str">
            <v>N</v>
          </cell>
          <cell r="S491">
            <v>0</v>
          </cell>
          <cell r="T491" t="str">
            <v>M</v>
          </cell>
          <cell r="U491" t="str">
            <v>ALLAOUI JEMAA BENT EL HAJ</v>
          </cell>
          <cell r="X491">
            <v>5</v>
          </cell>
          <cell r="Y491">
            <v>3</v>
          </cell>
          <cell r="AB491" t="str">
            <v>X</v>
          </cell>
          <cell r="AC491" t="str">
            <v>X</v>
          </cell>
          <cell r="AD491" t="str">
            <v>X</v>
          </cell>
          <cell r="AH491" t="str">
            <v>N</v>
          </cell>
          <cell r="AI491" t="str">
            <v>N</v>
          </cell>
          <cell r="AK491" t="str">
            <v>346 VILLAGE O.C.P - BOUJNIBA</v>
          </cell>
          <cell r="AL491" t="str">
            <v>2 AS</v>
          </cell>
          <cell r="AM491" t="str">
            <v>CEP</v>
          </cell>
          <cell r="AP491" t="str">
            <v>Q 73883</v>
          </cell>
          <cell r="AQ491">
            <v>0</v>
          </cell>
          <cell r="AR491" t="str">
            <v>B</v>
          </cell>
          <cell r="AS491" t="str">
            <v>CR-AGRIC.- KHGA</v>
          </cell>
          <cell r="AT491" t="str">
            <v>0805373 K 601</v>
          </cell>
          <cell r="AU491" t="str">
            <v>/  /</v>
          </cell>
          <cell r="AW491">
            <v>38219</v>
          </cell>
          <cell r="AX491">
            <v>38219</v>
          </cell>
          <cell r="AY491" t="str">
            <v>XX</v>
          </cell>
          <cell r="AZ491" t="str">
            <v>M</v>
          </cell>
          <cell r="BA491" t="str">
            <v>1</v>
          </cell>
          <cell r="BB491">
            <v>1</v>
          </cell>
          <cell r="BD491">
            <v>0</v>
          </cell>
          <cell r="BE491" t="str">
            <v>M</v>
          </cell>
          <cell r="BF491" t="str">
            <v>N</v>
          </cell>
          <cell r="BG491">
            <v>50</v>
          </cell>
          <cell r="BH491">
            <v>37438</v>
          </cell>
          <cell r="BI491" t="str">
            <v>O</v>
          </cell>
        </row>
        <row r="492">
          <cell r="A492">
            <v>63922</v>
          </cell>
          <cell r="B492">
            <v>408</v>
          </cell>
          <cell r="C492" t="str">
            <v>C5156</v>
          </cell>
          <cell r="D492" t="str">
            <v>EL ARISSI</v>
          </cell>
          <cell r="E492" t="str">
            <v>MOHAMMED</v>
          </cell>
          <cell r="F492">
            <v>19175</v>
          </cell>
          <cell r="G492" t="str">
            <v>1</v>
          </cell>
          <cell r="H492" t="str">
            <v>OULED BHAR KBAR KHOURIBGA</v>
          </cell>
          <cell r="I492" t="str">
            <v>D</v>
          </cell>
          <cell r="J492">
            <v>26658</v>
          </cell>
          <cell r="K492">
            <v>33420</v>
          </cell>
          <cell r="L492" t="str">
            <v>31</v>
          </cell>
          <cell r="M492" t="str">
            <v>A</v>
          </cell>
          <cell r="N492">
            <v>33420</v>
          </cell>
          <cell r="P492">
            <v>30</v>
          </cell>
          <cell r="Q492" t="str">
            <v>O</v>
          </cell>
          <cell r="R492" t="str">
            <v>N</v>
          </cell>
          <cell r="S492">
            <v>0</v>
          </cell>
          <cell r="T492" t="str">
            <v>M</v>
          </cell>
          <cell r="U492" t="str">
            <v>RKIA BENT HADJ HAFIANE</v>
          </cell>
          <cell r="X492">
            <v>5</v>
          </cell>
          <cell r="Y492">
            <v>2</v>
          </cell>
          <cell r="AB492" t="str">
            <v>X</v>
          </cell>
          <cell r="AC492" t="str">
            <v>X</v>
          </cell>
          <cell r="AD492" t="str">
            <v>X</v>
          </cell>
          <cell r="AH492" t="str">
            <v>N</v>
          </cell>
          <cell r="AI492" t="str">
            <v>N</v>
          </cell>
          <cell r="AK492" t="str">
            <v>249. DERB 2 - BOUJNIBA</v>
          </cell>
          <cell r="AL492" t="str">
            <v>3 AS</v>
          </cell>
          <cell r="AM492" t="str">
            <v>CEP.</v>
          </cell>
          <cell r="AP492" t="str">
            <v>Q 81322</v>
          </cell>
          <cell r="AQ492">
            <v>0</v>
          </cell>
          <cell r="AR492" t="str">
            <v>B</v>
          </cell>
          <cell r="AS492" t="str">
            <v>CREDIT AGRICOLE</v>
          </cell>
          <cell r="AT492" t="str">
            <v>805306 R 601</v>
          </cell>
          <cell r="AU492" t="str">
            <v>/  /</v>
          </cell>
          <cell r="AW492">
            <v>37438</v>
          </cell>
          <cell r="AY492" t="str">
            <v>XX</v>
          </cell>
          <cell r="BA492" t="str">
            <v>2ID</v>
          </cell>
          <cell r="BB492">
            <v>1</v>
          </cell>
          <cell r="BD492">
            <v>0</v>
          </cell>
          <cell r="BE492" t="str">
            <v>M</v>
          </cell>
          <cell r="BF492" t="str">
            <v>N</v>
          </cell>
          <cell r="BG492">
            <v>50</v>
          </cell>
          <cell r="BH492">
            <v>37438</v>
          </cell>
        </row>
        <row r="493">
          <cell r="A493">
            <v>66209</v>
          </cell>
          <cell r="B493">
            <v>408</v>
          </cell>
          <cell r="C493" t="str">
            <v>C6156</v>
          </cell>
          <cell r="D493" t="str">
            <v>HAMIDI</v>
          </cell>
          <cell r="E493" t="str">
            <v>CHERKI</v>
          </cell>
          <cell r="F493">
            <v>19540</v>
          </cell>
          <cell r="G493" t="str">
            <v>1</v>
          </cell>
          <cell r="H493" t="str">
            <v>OULED BHAR KBAR KHOURIBGA</v>
          </cell>
          <cell r="I493" t="str">
            <v>D</v>
          </cell>
          <cell r="J493">
            <v>27248</v>
          </cell>
          <cell r="K493">
            <v>36526</v>
          </cell>
          <cell r="L493" t="str">
            <v>32</v>
          </cell>
          <cell r="M493" t="str">
            <v>A</v>
          </cell>
          <cell r="N493">
            <v>36526</v>
          </cell>
          <cell r="P493">
            <v>28</v>
          </cell>
          <cell r="Q493" t="str">
            <v>O</v>
          </cell>
          <cell r="R493" t="str">
            <v>N</v>
          </cell>
          <cell r="S493">
            <v>0</v>
          </cell>
          <cell r="T493" t="str">
            <v>M</v>
          </cell>
          <cell r="U493" t="str">
            <v>FATNA BENT M'HAMED</v>
          </cell>
          <cell r="X493">
            <v>6</v>
          </cell>
          <cell r="Y493">
            <v>4</v>
          </cell>
          <cell r="AB493" t="str">
            <v>X</v>
          </cell>
          <cell r="AC493" t="str">
            <v>X</v>
          </cell>
          <cell r="AD493" t="str">
            <v>X</v>
          </cell>
          <cell r="AH493" t="str">
            <v>N</v>
          </cell>
          <cell r="AI493" t="str">
            <v>N</v>
          </cell>
          <cell r="AK493" t="str">
            <v>DERB 3 N°518 BOUJNIBA</v>
          </cell>
          <cell r="AL493" t="str">
            <v>2 AS</v>
          </cell>
          <cell r="AP493" t="str">
            <v>Q 24530</v>
          </cell>
          <cell r="AQ493">
            <v>0</v>
          </cell>
          <cell r="AR493" t="str">
            <v>B</v>
          </cell>
          <cell r="AS493" t="str">
            <v>S.G.M.B  KHGA</v>
          </cell>
          <cell r="AT493" t="str">
            <v>0670009183490</v>
          </cell>
          <cell r="AU493" t="str">
            <v>/  /</v>
          </cell>
          <cell r="AW493">
            <v>37803</v>
          </cell>
          <cell r="AY493" t="str">
            <v>XX</v>
          </cell>
          <cell r="BA493" t="str">
            <v>1</v>
          </cell>
          <cell r="BB493">
            <v>1</v>
          </cell>
          <cell r="BD493">
            <v>0</v>
          </cell>
          <cell r="BE493" t="str">
            <v>M</v>
          </cell>
          <cell r="BF493" t="str">
            <v>N</v>
          </cell>
          <cell r="BG493">
            <v>50</v>
          </cell>
          <cell r="BH493">
            <v>37803</v>
          </cell>
          <cell r="BI493" t="str">
            <v>O</v>
          </cell>
        </row>
        <row r="494">
          <cell r="A494">
            <v>66518</v>
          </cell>
          <cell r="B494">
            <v>408</v>
          </cell>
          <cell r="C494" t="str">
            <v>C4152</v>
          </cell>
          <cell r="D494" t="str">
            <v>MAMDOUHI</v>
          </cell>
          <cell r="E494" t="str">
            <v>M'HAMED</v>
          </cell>
          <cell r="F494">
            <v>19540</v>
          </cell>
          <cell r="G494" t="str">
            <v>1</v>
          </cell>
          <cell r="H494" t="str">
            <v>OULED BHAR KBAR KHOURIBGA</v>
          </cell>
          <cell r="I494" t="str">
            <v>D</v>
          </cell>
          <cell r="J494">
            <v>27297</v>
          </cell>
          <cell r="K494">
            <v>36526</v>
          </cell>
          <cell r="L494" t="str">
            <v>22</v>
          </cell>
          <cell r="M494" t="str">
            <v>A</v>
          </cell>
          <cell r="N494">
            <v>36526</v>
          </cell>
          <cell r="P494">
            <v>28</v>
          </cell>
          <cell r="Q494" t="str">
            <v>O</v>
          </cell>
          <cell r="R494" t="str">
            <v>N</v>
          </cell>
          <cell r="S494">
            <v>0</v>
          </cell>
          <cell r="T494" t="str">
            <v>M</v>
          </cell>
          <cell r="U494" t="str">
            <v>FOUZIA BENT LARBI</v>
          </cell>
          <cell r="X494">
            <v>7</v>
          </cell>
          <cell r="Y494">
            <v>5</v>
          </cell>
          <cell r="AB494" t="str">
            <v>X</v>
          </cell>
          <cell r="AC494" t="str">
            <v>X</v>
          </cell>
          <cell r="AD494" t="str">
            <v>X</v>
          </cell>
          <cell r="AH494" t="str">
            <v>N</v>
          </cell>
          <cell r="AI494" t="str">
            <v>N</v>
          </cell>
          <cell r="AK494" t="str">
            <v>195 ANCIEN TACHERON O.C.P - BOUJNIBA</v>
          </cell>
          <cell r="AL494" t="str">
            <v>CM2.</v>
          </cell>
          <cell r="AP494" t="str">
            <v>Q 27696</v>
          </cell>
          <cell r="AQ494">
            <v>0</v>
          </cell>
          <cell r="AR494" t="str">
            <v>B</v>
          </cell>
          <cell r="AS494" t="str">
            <v>S.G.M.B   KHGA</v>
          </cell>
          <cell r="AT494" t="str">
            <v>670009180677</v>
          </cell>
          <cell r="AU494" t="str">
            <v>/  /</v>
          </cell>
          <cell r="AW494">
            <v>37803</v>
          </cell>
          <cell r="AY494" t="str">
            <v>XX</v>
          </cell>
          <cell r="BA494" t="str">
            <v>6</v>
          </cell>
          <cell r="BB494">
            <v>1</v>
          </cell>
          <cell r="BD494">
            <v>0</v>
          </cell>
          <cell r="BE494" t="str">
            <v>M</v>
          </cell>
          <cell r="BF494" t="str">
            <v>N</v>
          </cell>
          <cell r="BG494">
            <v>50</v>
          </cell>
          <cell r="BH494">
            <v>37803</v>
          </cell>
        </row>
        <row r="495">
          <cell r="A495">
            <v>67080</v>
          </cell>
          <cell r="B495">
            <v>410</v>
          </cell>
          <cell r="C495" t="str">
            <v>C4007</v>
          </cell>
          <cell r="D495" t="str">
            <v>GHAZOUN</v>
          </cell>
          <cell r="E495" t="str">
            <v>MOHAMED</v>
          </cell>
          <cell r="F495">
            <v>18444</v>
          </cell>
          <cell r="H495" t="str">
            <v>AIT ATAB</v>
          </cell>
          <cell r="I495" t="str">
            <v>D</v>
          </cell>
          <cell r="J495">
            <v>27379</v>
          </cell>
          <cell r="K495">
            <v>28764</v>
          </cell>
          <cell r="L495" t="str">
            <v>22</v>
          </cell>
          <cell r="M495" t="str">
            <v>D</v>
          </cell>
          <cell r="N495">
            <v>35612</v>
          </cell>
          <cell r="P495">
            <v>28</v>
          </cell>
          <cell r="Q495" t="str">
            <v>O</v>
          </cell>
          <cell r="R495" t="str">
            <v>N</v>
          </cell>
          <cell r="S495">
            <v>0</v>
          </cell>
          <cell r="T495" t="str">
            <v>M</v>
          </cell>
          <cell r="U495" t="str">
            <v>ZHOUR BENT EL MAATI</v>
          </cell>
          <cell r="X495">
            <v>5</v>
          </cell>
          <cell r="Y495">
            <v>3</v>
          </cell>
          <cell r="AB495" t="str">
            <v>X</v>
          </cell>
          <cell r="AC495" t="str">
            <v>X</v>
          </cell>
          <cell r="AD495" t="str">
            <v>X</v>
          </cell>
          <cell r="AH495" t="str">
            <v>N</v>
          </cell>
          <cell r="AI495" t="str">
            <v>N</v>
          </cell>
          <cell r="AK495" t="str">
            <v>817 VILLAGE OCP BOULANOIR</v>
          </cell>
          <cell r="AL495" t="str">
            <v>CM1</v>
          </cell>
          <cell r="AP495" t="str">
            <v>Q 53854</v>
          </cell>
          <cell r="AQ495">
            <v>0</v>
          </cell>
          <cell r="AR495" t="str">
            <v>B</v>
          </cell>
          <cell r="AS495" t="str">
            <v>WAFABANK - KHGA</v>
          </cell>
          <cell r="AT495" t="str">
            <v>1220301069594</v>
          </cell>
          <cell r="AU495" t="str">
            <v>/  /</v>
          </cell>
          <cell r="AW495">
            <v>37622</v>
          </cell>
          <cell r="AX495">
            <v>37555</v>
          </cell>
          <cell r="AY495" t="str">
            <v>XX</v>
          </cell>
          <cell r="BA495" t="str">
            <v>2</v>
          </cell>
          <cell r="BB495">
            <v>1</v>
          </cell>
          <cell r="BD495">
            <v>0</v>
          </cell>
          <cell r="BE495" t="str">
            <v>M</v>
          </cell>
          <cell r="BF495" t="str">
            <v>N</v>
          </cell>
          <cell r="BG495">
            <v>40</v>
          </cell>
          <cell r="BH495">
            <v>37073</v>
          </cell>
        </row>
        <row r="496">
          <cell r="A496">
            <v>67395</v>
          </cell>
          <cell r="B496">
            <v>413</v>
          </cell>
          <cell r="C496" t="str">
            <v>C3200</v>
          </cell>
          <cell r="D496" t="str">
            <v>DEBBARH</v>
          </cell>
          <cell r="E496" t="str">
            <v>ETTAMI</v>
          </cell>
          <cell r="F496">
            <v>20167</v>
          </cell>
          <cell r="G496" t="str">
            <v>1</v>
          </cell>
          <cell r="H496" t="str">
            <v>KHOURIBGA</v>
          </cell>
          <cell r="I496" t="str">
            <v>D</v>
          </cell>
          <cell r="J496">
            <v>27452</v>
          </cell>
          <cell r="K496">
            <v>35674</v>
          </cell>
          <cell r="L496" t="str">
            <v>21</v>
          </cell>
          <cell r="M496" t="str">
            <v>B</v>
          </cell>
          <cell r="N496">
            <v>35674</v>
          </cell>
          <cell r="P496">
            <v>29</v>
          </cell>
          <cell r="Q496" t="str">
            <v>O</v>
          </cell>
          <cell r="R496" t="str">
            <v>N</v>
          </cell>
          <cell r="S496">
            <v>0</v>
          </cell>
          <cell r="T496" t="str">
            <v>D</v>
          </cell>
          <cell r="X496">
            <v>2</v>
          </cell>
          <cell r="Y496">
            <v>2</v>
          </cell>
          <cell r="AB496" t="str">
            <v>X</v>
          </cell>
          <cell r="AC496" t="str">
            <v>X</v>
          </cell>
          <cell r="AD496" t="str">
            <v>X</v>
          </cell>
          <cell r="AH496" t="str">
            <v>N</v>
          </cell>
          <cell r="AI496" t="str">
            <v>N</v>
          </cell>
          <cell r="AK496" t="str">
            <v>627.NOUVELLE MEDINA KHOURIBGA</v>
          </cell>
          <cell r="AL496" t="str">
            <v>CM2</v>
          </cell>
          <cell r="AP496" t="str">
            <v>Q 84809</v>
          </cell>
          <cell r="AQ496">
            <v>0</v>
          </cell>
          <cell r="AR496" t="str">
            <v>C</v>
          </cell>
          <cell r="AU496" t="str">
            <v>/  /</v>
          </cell>
          <cell r="AW496">
            <v>38534</v>
          </cell>
          <cell r="AY496" t="str">
            <v>XX</v>
          </cell>
          <cell r="BA496" t="str">
            <v>2</v>
          </cell>
          <cell r="BB496">
            <v>1</v>
          </cell>
          <cell r="BD496">
            <v>0</v>
          </cell>
          <cell r="BE496" t="str">
            <v>M</v>
          </cell>
          <cell r="BF496" t="str">
            <v>N</v>
          </cell>
          <cell r="BG496">
            <v>1</v>
          </cell>
          <cell r="BH496">
            <v>38534</v>
          </cell>
        </row>
        <row r="497">
          <cell r="A497">
            <v>67604</v>
          </cell>
          <cell r="B497">
            <v>410</v>
          </cell>
          <cell r="C497" t="str">
            <v>C5260</v>
          </cell>
          <cell r="D497" t="str">
            <v>EL GHAZALI</v>
          </cell>
          <cell r="E497" t="str">
            <v>MOHAMMED</v>
          </cell>
          <cell r="F497">
            <v>19905</v>
          </cell>
          <cell r="G497" t="str">
            <v>1</v>
          </cell>
          <cell r="H497" t="str">
            <v>KHOURIBGA</v>
          </cell>
          <cell r="I497" t="str">
            <v>D</v>
          </cell>
          <cell r="J497">
            <v>27495</v>
          </cell>
          <cell r="K497">
            <v>37073</v>
          </cell>
          <cell r="L497" t="str">
            <v>31</v>
          </cell>
          <cell r="M497" t="str">
            <v>A</v>
          </cell>
          <cell r="N497">
            <v>37073</v>
          </cell>
          <cell r="P497">
            <v>28</v>
          </cell>
          <cell r="Q497" t="str">
            <v>O</v>
          </cell>
          <cell r="R497" t="str">
            <v>N</v>
          </cell>
          <cell r="S497">
            <v>0</v>
          </cell>
          <cell r="T497" t="str">
            <v>M</v>
          </cell>
          <cell r="U497" t="str">
            <v>AARBIA BENT BOUCHTA</v>
          </cell>
          <cell r="X497">
            <v>3</v>
          </cell>
          <cell r="Y497">
            <v>3</v>
          </cell>
          <cell r="AB497" t="str">
            <v>X</v>
          </cell>
          <cell r="AC497" t="str">
            <v>X</v>
          </cell>
          <cell r="AD497" t="str">
            <v>X</v>
          </cell>
          <cell r="AH497" t="str">
            <v>N</v>
          </cell>
          <cell r="AI497" t="str">
            <v>N</v>
          </cell>
          <cell r="AK497" t="str">
            <v>362 NOUVEAU TACHERON OCP - BOUJNIBA</v>
          </cell>
          <cell r="AL497" t="str">
            <v>2 AS</v>
          </cell>
          <cell r="AP497" t="str">
            <v>Q 32449</v>
          </cell>
          <cell r="AQ497">
            <v>0</v>
          </cell>
          <cell r="AR497" t="str">
            <v>B</v>
          </cell>
          <cell r="AS497" t="str">
            <v>S.G.M.B - KHGA</v>
          </cell>
          <cell r="AT497" t="str">
            <v>0670009232863</v>
          </cell>
          <cell r="AU497" t="str">
            <v>/  /</v>
          </cell>
          <cell r="AW497">
            <v>38169</v>
          </cell>
          <cell r="AY497" t="str">
            <v>XX</v>
          </cell>
          <cell r="BA497" t="str">
            <v>1</v>
          </cell>
          <cell r="BB497">
            <v>1</v>
          </cell>
          <cell r="BD497">
            <v>0</v>
          </cell>
          <cell r="BE497" t="str">
            <v>M</v>
          </cell>
          <cell r="BF497" t="str">
            <v>N</v>
          </cell>
          <cell r="BG497">
            <v>50</v>
          </cell>
          <cell r="BH497">
            <v>38169</v>
          </cell>
          <cell r="BI497" t="str">
            <v>O</v>
          </cell>
        </row>
        <row r="498">
          <cell r="A498">
            <v>67688</v>
          </cell>
          <cell r="B498">
            <v>410</v>
          </cell>
          <cell r="C498" t="str">
            <v>C5260</v>
          </cell>
          <cell r="D498" t="str">
            <v>EL AMOUD</v>
          </cell>
          <cell r="E498" t="str">
            <v>CHERKI</v>
          </cell>
          <cell r="F498">
            <v>19175</v>
          </cell>
          <cell r="G498" t="str">
            <v>1</v>
          </cell>
          <cell r="H498" t="str">
            <v>OULED BHAR KBAR KHOURIBGA</v>
          </cell>
          <cell r="I498" t="str">
            <v>D</v>
          </cell>
          <cell r="J498">
            <v>27510</v>
          </cell>
          <cell r="K498">
            <v>35431</v>
          </cell>
          <cell r="L498" t="str">
            <v>31</v>
          </cell>
          <cell r="M498" t="str">
            <v>A</v>
          </cell>
          <cell r="N498">
            <v>35431</v>
          </cell>
          <cell r="O498">
            <v>0</v>
          </cell>
          <cell r="P498">
            <v>28</v>
          </cell>
          <cell r="Q498" t="str">
            <v>O</v>
          </cell>
          <cell r="R498" t="str">
            <v>N</v>
          </cell>
          <cell r="S498">
            <v>0</v>
          </cell>
          <cell r="T498" t="str">
            <v>M</v>
          </cell>
          <cell r="U498" t="str">
            <v>MALIKA BENT EL AYACHI</v>
          </cell>
          <cell r="X498">
            <v>4</v>
          </cell>
          <cell r="Y498">
            <v>2</v>
          </cell>
          <cell r="AB498" t="str">
            <v>X</v>
          </cell>
          <cell r="AC498" t="str">
            <v>X</v>
          </cell>
          <cell r="AD498" t="str">
            <v>X</v>
          </cell>
          <cell r="AH498" t="str">
            <v>N</v>
          </cell>
          <cell r="AI498" t="str">
            <v>N</v>
          </cell>
          <cell r="AK498" t="str">
            <v>269 ANCIEN TACHERON OCP - BOUJNIBA</v>
          </cell>
          <cell r="AL498" t="str">
            <v>4 AS</v>
          </cell>
          <cell r="AP498" t="str">
            <v>Q 69724</v>
          </cell>
          <cell r="AQ498">
            <v>0</v>
          </cell>
          <cell r="AR498" t="str">
            <v>B</v>
          </cell>
          <cell r="AS498" t="str">
            <v>BCM - KHGA</v>
          </cell>
          <cell r="AT498" t="str">
            <v>233C300405</v>
          </cell>
          <cell r="AU498" t="str">
            <v>/  /</v>
          </cell>
          <cell r="AW498">
            <v>37438</v>
          </cell>
          <cell r="AY498" t="str">
            <v>XX</v>
          </cell>
          <cell r="AZ498" t="str">
            <v>R</v>
          </cell>
          <cell r="BA498" t="str">
            <v>1</v>
          </cell>
          <cell r="BB498">
            <v>1</v>
          </cell>
          <cell r="BD498">
            <v>0</v>
          </cell>
          <cell r="BE498" t="str">
            <v>M</v>
          </cell>
          <cell r="BF498" t="str">
            <v>N</v>
          </cell>
          <cell r="BG498">
            <v>50</v>
          </cell>
          <cell r="BH498">
            <v>37438</v>
          </cell>
          <cell r="BI498" t="str">
            <v>O</v>
          </cell>
        </row>
        <row r="499">
          <cell r="A499">
            <v>68209</v>
          </cell>
          <cell r="B499">
            <v>408</v>
          </cell>
          <cell r="C499" t="str">
            <v>C3156</v>
          </cell>
          <cell r="D499" t="str">
            <v>TANGI</v>
          </cell>
          <cell r="E499" t="str">
            <v>AHMED</v>
          </cell>
          <cell r="F499">
            <v>18809</v>
          </cell>
          <cell r="G499" t="str">
            <v>6</v>
          </cell>
          <cell r="H499" t="str">
            <v>M'FASSIS</v>
          </cell>
          <cell r="I499" t="str">
            <v>D</v>
          </cell>
          <cell r="J499">
            <v>27711</v>
          </cell>
          <cell r="K499">
            <v>36495</v>
          </cell>
          <cell r="L499" t="str">
            <v>21</v>
          </cell>
          <cell r="M499" t="str">
            <v>C</v>
          </cell>
          <cell r="N499">
            <v>36495</v>
          </cell>
          <cell r="P499">
            <v>27</v>
          </cell>
          <cell r="Q499" t="str">
            <v>N</v>
          </cell>
          <cell r="R499" t="str">
            <v>O</v>
          </cell>
          <cell r="S499">
            <v>3</v>
          </cell>
          <cell r="T499" t="str">
            <v>M</v>
          </cell>
          <cell r="U499" t="str">
            <v>MALIKA BENT EL MAATI</v>
          </cell>
          <cell r="X499">
            <v>7</v>
          </cell>
          <cell r="Y499">
            <v>5</v>
          </cell>
          <cell r="AB499" t="str">
            <v>X</v>
          </cell>
          <cell r="AC499" t="str">
            <v>X</v>
          </cell>
          <cell r="AD499" t="str">
            <v>X</v>
          </cell>
          <cell r="AH499" t="str">
            <v>N</v>
          </cell>
          <cell r="AI499" t="str">
            <v>N</v>
          </cell>
          <cell r="AK499" t="str">
            <v>DOUAR OULED AMAR MFASSIS</v>
          </cell>
          <cell r="AL499" t="str">
            <v>CM2.</v>
          </cell>
          <cell r="AP499" t="str">
            <v>Q 10663</v>
          </cell>
          <cell r="AQ499">
            <v>0</v>
          </cell>
          <cell r="AR499" t="str">
            <v>B</v>
          </cell>
          <cell r="AS499" t="str">
            <v>BMCE - KHGA</v>
          </cell>
          <cell r="AT499" t="str">
            <v>40001200001476882</v>
          </cell>
          <cell r="AU499" t="str">
            <v>/  /</v>
          </cell>
          <cell r="AW499">
            <v>37887</v>
          </cell>
          <cell r="AX499">
            <v>37887</v>
          </cell>
          <cell r="AY499" t="str">
            <v>XX</v>
          </cell>
          <cell r="BA499" t="str">
            <v>1</v>
          </cell>
          <cell r="BB499">
            <v>1</v>
          </cell>
          <cell r="BD499">
            <v>0</v>
          </cell>
          <cell r="BE499" t="str">
            <v>M</v>
          </cell>
          <cell r="BF499" t="str">
            <v>N</v>
          </cell>
          <cell r="BG499">
            <v>0</v>
          </cell>
          <cell r="BH499">
            <v>37438</v>
          </cell>
          <cell r="BI499" t="str">
            <v>O</v>
          </cell>
        </row>
        <row r="500">
          <cell r="A500">
            <v>70522</v>
          </cell>
          <cell r="B500">
            <v>410</v>
          </cell>
          <cell r="C500" t="str">
            <v>C4262</v>
          </cell>
          <cell r="D500" t="str">
            <v>MOUHTADI</v>
          </cell>
          <cell r="E500" t="str">
            <v>EL HACHMI</v>
          </cell>
          <cell r="F500">
            <v>16983</v>
          </cell>
          <cell r="G500" t="str">
            <v>1</v>
          </cell>
          <cell r="H500" t="str">
            <v>KHOURIBGA</v>
          </cell>
          <cell r="I500" t="str">
            <v>D</v>
          </cell>
          <cell r="J500">
            <v>28612</v>
          </cell>
          <cell r="K500">
            <v>33573</v>
          </cell>
          <cell r="L500" t="str">
            <v>22</v>
          </cell>
          <cell r="M500" t="str">
            <v>A</v>
          </cell>
          <cell r="N500">
            <v>33573</v>
          </cell>
          <cell r="P500">
            <v>24</v>
          </cell>
          <cell r="Q500" t="str">
            <v>O</v>
          </cell>
          <cell r="R500" t="str">
            <v>N</v>
          </cell>
          <cell r="S500">
            <v>0</v>
          </cell>
          <cell r="T500" t="str">
            <v>M</v>
          </cell>
          <cell r="U500" t="str">
            <v>KERROUM FATNA</v>
          </cell>
          <cell r="X500">
            <v>7</v>
          </cell>
          <cell r="Y500">
            <v>6</v>
          </cell>
          <cell r="AB500" t="str">
            <v>X</v>
          </cell>
          <cell r="AC500" t="str">
            <v>X</v>
          </cell>
          <cell r="AD500" t="str">
            <v>X</v>
          </cell>
          <cell r="AH500" t="str">
            <v>N</v>
          </cell>
          <cell r="AI500" t="str">
            <v>N</v>
          </cell>
          <cell r="AK500" t="str">
            <v>136.NOUVEAUX LOGEMENTS OCP KHGA</v>
          </cell>
          <cell r="AL500" t="str">
            <v>CM2.</v>
          </cell>
          <cell r="AP500" t="str">
            <v>Q 122064</v>
          </cell>
          <cell r="AQ500">
            <v>0</v>
          </cell>
          <cell r="AR500" t="str">
            <v>C</v>
          </cell>
          <cell r="AU500" t="str">
            <v>/  /</v>
          </cell>
          <cell r="AW500">
            <v>37561</v>
          </cell>
          <cell r="AX500">
            <v>37555</v>
          </cell>
          <cell r="AY500" t="str">
            <v>XX</v>
          </cell>
          <cell r="BA500" t="str">
            <v>2</v>
          </cell>
          <cell r="BB500">
            <v>1</v>
          </cell>
          <cell r="BD500">
            <v>0</v>
          </cell>
          <cell r="BE500" t="str">
            <v>M</v>
          </cell>
          <cell r="BF500" t="str">
            <v>N</v>
          </cell>
          <cell r="BG500">
            <v>1</v>
          </cell>
          <cell r="BH500">
            <v>37073</v>
          </cell>
          <cell r="BI500" t="str">
            <v>O</v>
          </cell>
        </row>
        <row r="501">
          <cell r="A501">
            <v>70556</v>
          </cell>
          <cell r="B501">
            <v>410</v>
          </cell>
          <cell r="C501" t="str">
            <v>C3260</v>
          </cell>
          <cell r="D501" t="str">
            <v>AFIDI</v>
          </cell>
          <cell r="E501" t="str">
            <v>EL MAHJOUB</v>
          </cell>
          <cell r="F501">
            <v>17714</v>
          </cell>
          <cell r="G501" t="str">
            <v>3</v>
          </cell>
          <cell r="H501" t="str">
            <v>FOKRA - BENI KHLEF</v>
          </cell>
          <cell r="I501" t="str">
            <v>D</v>
          </cell>
          <cell r="J501">
            <v>28615</v>
          </cell>
          <cell r="K501">
            <v>35096</v>
          </cell>
          <cell r="L501" t="str">
            <v>21</v>
          </cell>
          <cell r="M501" t="str">
            <v>A</v>
          </cell>
          <cell r="N501">
            <v>35096</v>
          </cell>
          <cell r="P501">
            <v>24</v>
          </cell>
          <cell r="Q501" t="str">
            <v>O</v>
          </cell>
          <cell r="R501" t="str">
            <v>N</v>
          </cell>
          <cell r="S501">
            <v>0</v>
          </cell>
          <cell r="T501" t="str">
            <v>M</v>
          </cell>
          <cell r="U501" t="str">
            <v>RKIA BENT MOHAMED</v>
          </cell>
          <cell r="X501">
            <v>5</v>
          </cell>
          <cell r="Y501">
            <v>5</v>
          </cell>
          <cell r="AB501" t="str">
            <v>X</v>
          </cell>
          <cell r="AC501" t="str">
            <v>X</v>
          </cell>
          <cell r="AD501" t="str">
            <v>X</v>
          </cell>
          <cell r="AH501" t="str">
            <v>N</v>
          </cell>
          <cell r="AI501" t="str">
            <v>N</v>
          </cell>
          <cell r="AK501" t="str">
            <v>427 VILLAGE OCP BOUJNIBA</v>
          </cell>
          <cell r="AL501" t="str">
            <v>ILLETTRE</v>
          </cell>
          <cell r="AP501" t="str">
            <v>Q 42626</v>
          </cell>
          <cell r="AQ501">
            <v>0</v>
          </cell>
          <cell r="AR501" t="str">
            <v>C</v>
          </cell>
          <cell r="AU501" t="str">
            <v>/  /</v>
          </cell>
          <cell r="AW501">
            <v>37803</v>
          </cell>
          <cell r="AY501" t="str">
            <v>XX</v>
          </cell>
          <cell r="BA501" t="str">
            <v>1</v>
          </cell>
          <cell r="BB501">
            <v>1</v>
          </cell>
          <cell r="BD501">
            <v>0</v>
          </cell>
          <cell r="BE501" t="str">
            <v>M</v>
          </cell>
          <cell r="BF501" t="str">
            <v>N</v>
          </cell>
          <cell r="BG501">
            <v>50</v>
          </cell>
          <cell r="BH501">
            <v>37803</v>
          </cell>
        </row>
        <row r="502">
          <cell r="A502">
            <v>70588</v>
          </cell>
          <cell r="B502">
            <v>405</v>
          </cell>
          <cell r="C502" t="str">
            <v>C3262</v>
          </cell>
          <cell r="D502" t="str">
            <v>GUERMOUMEN</v>
          </cell>
          <cell r="E502" t="str">
            <v>ALI</v>
          </cell>
          <cell r="F502">
            <v>18444</v>
          </cell>
          <cell r="H502" t="str">
            <v>OULED M'RAH</v>
          </cell>
          <cell r="I502" t="str">
            <v>D</v>
          </cell>
          <cell r="J502">
            <v>28620</v>
          </cell>
          <cell r="K502">
            <v>32356</v>
          </cell>
          <cell r="L502" t="str">
            <v>21</v>
          </cell>
          <cell r="M502" t="str">
            <v>A</v>
          </cell>
          <cell r="N502">
            <v>32356</v>
          </cell>
          <cell r="P502">
            <v>24</v>
          </cell>
          <cell r="Q502" t="str">
            <v>O</v>
          </cell>
          <cell r="R502" t="str">
            <v>N</v>
          </cell>
          <cell r="S502">
            <v>0</v>
          </cell>
          <cell r="T502" t="str">
            <v>M</v>
          </cell>
          <cell r="U502" t="str">
            <v>MALIKA BENT EL MILOUDI</v>
          </cell>
          <cell r="X502">
            <v>10</v>
          </cell>
          <cell r="Y502">
            <v>3</v>
          </cell>
          <cell r="AB502" t="str">
            <v>X</v>
          </cell>
          <cell r="AC502" t="str">
            <v>X</v>
          </cell>
          <cell r="AD502" t="str">
            <v>X</v>
          </cell>
          <cell r="AH502" t="str">
            <v>N</v>
          </cell>
          <cell r="AI502" t="str">
            <v>N</v>
          </cell>
          <cell r="AK502" t="str">
            <v>1373.AL QODS KHOURIBGA</v>
          </cell>
          <cell r="AL502" t="str">
            <v>ILLETTRE</v>
          </cell>
          <cell r="AP502" t="str">
            <v>Q 34191</v>
          </cell>
          <cell r="AQ502">
            <v>0</v>
          </cell>
          <cell r="AR502" t="str">
            <v>B</v>
          </cell>
          <cell r="AS502" t="str">
            <v>S.G.M.B - KHGA</v>
          </cell>
          <cell r="AT502" t="str">
            <v>670009223066</v>
          </cell>
          <cell r="AU502" t="str">
            <v>/  /</v>
          </cell>
          <cell r="AW502">
            <v>39878</v>
          </cell>
          <cell r="AX502">
            <v>39878</v>
          </cell>
          <cell r="AY502" t="str">
            <v>XX</v>
          </cell>
          <cell r="BA502" t="str">
            <v>6ID</v>
          </cell>
          <cell r="BB502">
            <v>1</v>
          </cell>
          <cell r="BD502">
            <v>0</v>
          </cell>
          <cell r="BE502" t="str">
            <v>M</v>
          </cell>
          <cell r="BF502" t="str">
            <v>N</v>
          </cell>
          <cell r="BG502">
            <v>1</v>
          </cell>
          <cell r="BH502">
            <v>38353</v>
          </cell>
          <cell r="BI502" t="str">
            <v>O</v>
          </cell>
        </row>
        <row r="503">
          <cell r="A503">
            <v>70606</v>
          </cell>
          <cell r="B503">
            <v>418</v>
          </cell>
          <cell r="C503" t="str">
            <v>C3152</v>
          </cell>
          <cell r="D503" t="str">
            <v>FADLI</v>
          </cell>
          <cell r="E503" t="str">
            <v>ABDELKADER</v>
          </cell>
          <cell r="F503">
            <v>18444</v>
          </cell>
          <cell r="H503" t="str">
            <v>OULED AMER - BEN AHMED</v>
          </cell>
          <cell r="I503" t="str">
            <v>D</v>
          </cell>
          <cell r="J503">
            <v>28622</v>
          </cell>
          <cell r="K503">
            <v>37012</v>
          </cell>
          <cell r="L503" t="str">
            <v>21</v>
          </cell>
          <cell r="M503" t="str">
            <v>A</v>
          </cell>
          <cell r="N503">
            <v>37012</v>
          </cell>
          <cell r="P503">
            <v>24</v>
          </cell>
          <cell r="Q503" t="str">
            <v>O</v>
          </cell>
          <cell r="R503" t="str">
            <v>N</v>
          </cell>
          <cell r="S503">
            <v>0</v>
          </cell>
          <cell r="T503" t="str">
            <v>M</v>
          </cell>
          <cell r="U503" t="str">
            <v>NAIMA BENT LAHCEN</v>
          </cell>
          <cell r="X503">
            <v>8</v>
          </cell>
          <cell r="Y503">
            <v>4</v>
          </cell>
          <cell r="AB503" t="str">
            <v>X</v>
          </cell>
          <cell r="AC503" t="str">
            <v>X</v>
          </cell>
          <cell r="AD503" t="str">
            <v>X</v>
          </cell>
          <cell r="AH503" t="str">
            <v>N</v>
          </cell>
          <cell r="AI503" t="str">
            <v>N</v>
          </cell>
          <cell r="AK503" t="str">
            <v>512 HAY AMAL - KHGA</v>
          </cell>
          <cell r="AL503" t="str">
            <v>ILLETTRE</v>
          </cell>
          <cell r="AP503" t="str">
            <v>W 21684</v>
          </cell>
          <cell r="AQ503">
            <v>0</v>
          </cell>
          <cell r="AR503" t="str">
            <v>B</v>
          </cell>
          <cell r="AS503" t="str">
            <v>WAFABANK - KHGA</v>
          </cell>
          <cell r="AT503" t="str">
            <v>1220301094351</v>
          </cell>
          <cell r="AU503" t="str">
            <v>/  /</v>
          </cell>
          <cell r="AW503">
            <v>38353</v>
          </cell>
          <cell r="AY503" t="str">
            <v>XX</v>
          </cell>
          <cell r="BA503" t="str">
            <v>6</v>
          </cell>
          <cell r="BB503">
            <v>1</v>
          </cell>
          <cell r="BD503">
            <v>0</v>
          </cell>
          <cell r="BE503" t="str">
            <v>M</v>
          </cell>
          <cell r="BF503" t="str">
            <v>N</v>
          </cell>
          <cell r="BG503">
            <v>1</v>
          </cell>
          <cell r="BH503">
            <v>38353</v>
          </cell>
          <cell r="BI503" t="str">
            <v>O</v>
          </cell>
        </row>
        <row r="504">
          <cell r="A504">
            <v>71254</v>
          </cell>
          <cell r="B504">
            <v>418</v>
          </cell>
          <cell r="C504" t="str">
            <v>C3050</v>
          </cell>
          <cell r="D504" t="str">
            <v>SAID</v>
          </cell>
          <cell r="E504" t="str">
            <v>AHMED</v>
          </cell>
          <cell r="F504">
            <v>18809</v>
          </cell>
          <cell r="G504" t="str">
            <v>1</v>
          </cell>
          <cell r="H504" t="str">
            <v>OULED BHAR KBAR KHOURIBGA</v>
          </cell>
          <cell r="I504" t="str">
            <v>D</v>
          </cell>
          <cell r="J504">
            <v>29049</v>
          </cell>
          <cell r="K504">
            <v>37377</v>
          </cell>
          <cell r="L504" t="str">
            <v>21</v>
          </cell>
          <cell r="M504" t="str">
            <v>A</v>
          </cell>
          <cell r="N504">
            <v>37377</v>
          </cell>
          <cell r="P504">
            <v>23</v>
          </cell>
          <cell r="Q504" t="str">
            <v>N</v>
          </cell>
          <cell r="R504" t="str">
            <v>O</v>
          </cell>
          <cell r="S504">
            <v>3</v>
          </cell>
          <cell r="T504" t="str">
            <v>M</v>
          </cell>
          <cell r="U504" t="str">
            <v>ABIDATE MALIKA</v>
          </cell>
          <cell r="X504">
            <v>5</v>
          </cell>
          <cell r="Y504">
            <v>1</v>
          </cell>
          <cell r="AB504" t="str">
            <v>X</v>
          </cell>
          <cell r="AC504" t="str">
            <v>X</v>
          </cell>
          <cell r="AD504" t="str">
            <v>X</v>
          </cell>
          <cell r="AH504" t="str">
            <v>N</v>
          </cell>
          <cell r="AI504" t="str">
            <v>N</v>
          </cell>
          <cell r="AK504" t="str">
            <v>36 DERB 4 DR EL ARBI HAJ CHARKI BOUJNIBA</v>
          </cell>
          <cell r="AL504" t="str">
            <v>ILLETTRE</v>
          </cell>
          <cell r="AP504" t="str">
            <v>Q 60972</v>
          </cell>
          <cell r="AQ504">
            <v>0</v>
          </cell>
          <cell r="AR504" t="str">
            <v>B</v>
          </cell>
          <cell r="AS504" t="str">
            <v>C.I.H - KHGA</v>
          </cell>
          <cell r="AT504" t="str">
            <v>9831280</v>
          </cell>
          <cell r="AU504" t="str">
            <v>/  /</v>
          </cell>
          <cell r="AW504">
            <v>38718</v>
          </cell>
          <cell r="AY504" t="str">
            <v>XX</v>
          </cell>
          <cell r="AZ504" t="str">
            <v>K</v>
          </cell>
          <cell r="BA504" t="str">
            <v>2</v>
          </cell>
          <cell r="BB504">
            <v>1</v>
          </cell>
          <cell r="BD504">
            <v>0</v>
          </cell>
          <cell r="BE504" t="str">
            <v>M</v>
          </cell>
          <cell r="BF504" t="str">
            <v>N</v>
          </cell>
          <cell r="BG504">
            <v>0</v>
          </cell>
          <cell r="BH504">
            <v>38718</v>
          </cell>
          <cell r="BI504" t="str">
            <v>O</v>
          </cell>
        </row>
        <row r="505">
          <cell r="A505">
            <v>71552</v>
          </cell>
          <cell r="B505">
            <v>410</v>
          </cell>
          <cell r="C505" t="str">
            <v>C4260</v>
          </cell>
          <cell r="D505" t="str">
            <v>HABBACHE</v>
          </cell>
          <cell r="E505" t="str">
            <v>MUSTAPHA</v>
          </cell>
          <cell r="F505">
            <v>19540</v>
          </cell>
          <cell r="H505" t="str">
            <v>LOULAD - SETTAT</v>
          </cell>
          <cell r="I505" t="str">
            <v>D</v>
          </cell>
          <cell r="J505">
            <v>29195</v>
          </cell>
          <cell r="K505">
            <v>35065</v>
          </cell>
          <cell r="L505" t="str">
            <v>22</v>
          </cell>
          <cell r="M505" t="str">
            <v>A</v>
          </cell>
          <cell r="N505">
            <v>35065</v>
          </cell>
          <cell r="P505">
            <v>23</v>
          </cell>
          <cell r="Q505" t="str">
            <v>O</v>
          </cell>
          <cell r="R505" t="str">
            <v>N</v>
          </cell>
          <cell r="S505">
            <v>0</v>
          </cell>
          <cell r="T505" t="str">
            <v>M</v>
          </cell>
          <cell r="U505" t="str">
            <v>EL JABIRI EL KBIRA</v>
          </cell>
          <cell r="X505">
            <v>2</v>
          </cell>
          <cell r="Y505">
            <v>2</v>
          </cell>
          <cell r="AB505" t="str">
            <v>X</v>
          </cell>
          <cell r="AC505" t="str">
            <v>X</v>
          </cell>
          <cell r="AD505" t="str">
            <v>X</v>
          </cell>
          <cell r="AH505" t="str">
            <v>N</v>
          </cell>
          <cell r="AI505" t="str">
            <v>N</v>
          </cell>
          <cell r="AK505" t="str">
            <v>271 BLOC Q RUE MOKHTAR SOUSSI NAHDA KHGA</v>
          </cell>
          <cell r="AL505" t="str">
            <v>ILLETTRE</v>
          </cell>
          <cell r="AP505" t="str">
            <v>Q 7582</v>
          </cell>
          <cell r="AQ505">
            <v>0</v>
          </cell>
          <cell r="AR505" t="str">
            <v>B</v>
          </cell>
          <cell r="AS505" t="str">
            <v>B.C.M  KHGA</v>
          </cell>
          <cell r="AT505" t="str">
            <v>097E302704</v>
          </cell>
          <cell r="AU505" t="str">
            <v>/  /</v>
          </cell>
          <cell r="AW505">
            <v>38899</v>
          </cell>
          <cell r="AY505" t="str">
            <v>XX</v>
          </cell>
          <cell r="BA505" t="str">
            <v>1</v>
          </cell>
          <cell r="BB505">
            <v>1</v>
          </cell>
          <cell r="BD505">
            <v>0</v>
          </cell>
          <cell r="BE505" t="str">
            <v>M</v>
          </cell>
          <cell r="BF505" t="str">
            <v>N</v>
          </cell>
          <cell r="BG505">
            <v>1</v>
          </cell>
          <cell r="BH505">
            <v>38899</v>
          </cell>
          <cell r="BI505" t="str">
            <v>O</v>
          </cell>
        </row>
        <row r="506">
          <cell r="A506">
            <v>72185</v>
          </cell>
          <cell r="B506">
            <v>410</v>
          </cell>
          <cell r="C506" t="str">
            <v>C4260</v>
          </cell>
          <cell r="D506" t="str">
            <v>TAYANI</v>
          </cell>
          <cell r="E506" t="str">
            <v>ABDELLAH</v>
          </cell>
          <cell r="F506">
            <v>19905</v>
          </cell>
          <cell r="G506" t="str">
            <v>1</v>
          </cell>
          <cell r="H506" t="str">
            <v>OULED ABDOUNE</v>
          </cell>
          <cell r="I506" t="str">
            <v>D</v>
          </cell>
          <cell r="J506">
            <v>29455</v>
          </cell>
          <cell r="K506">
            <v>36526</v>
          </cell>
          <cell r="L506" t="str">
            <v>22</v>
          </cell>
          <cell r="M506" t="str">
            <v>A</v>
          </cell>
          <cell r="N506">
            <v>36526</v>
          </cell>
          <cell r="P506">
            <v>22</v>
          </cell>
          <cell r="Q506" t="str">
            <v>O</v>
          </cell>
          <cell r="R506" t="str">
            <v>N</v>
          </cell>
          <cell r="S506">
            <v>0</v>
          </cell>
          <cell r="T506" t="str">
            <v>M</v>
          </cell>
          <cell r="U506" t="str">
            <v>EL HASNABI MINA BENT ABDESLAM</v>
          </cell>
          <cell r="X506">
            <v>5</v>
          </cell>
          <cell r="Y506">
            <v>4</v>
          </cell>
          <cell r="AB506" t="str">
            <v>X</v>
          </cell>
          <cell r="AC506" t="str">
            <v>X</v>
          </cell>
          <cell r="AD506" t="str">
            <v>X</v>
          </cell>
          <cell r="AH506" t="str">
            <v>N</v>
          </cell>
          <cell r="AI506" t="str">
            <v>N</v>
          </cell>
          <cell r="AK506" t="str">
            <v>669.NOUVELLE MEDINA DE SECHAGE KHOURIBGA</v>
          </cell>
          <cell r="AL506" t="str">
            <v>ILLETTRE</v>
          </cell>
          <cell r="AP506" t="str">
            <v>Q 68654</v>
          </cell>
          <cell r="AQ506">
            <v>0</v>
          </cell>
          <cell r="AR506" t="str">
            <v>B</v>
          </cell>
          <cell r="AS506" t="str">
            <v>POPULAIRE.KHGA</v>
          </cell>
          <cell r="AT506" t="str">
            <v>211113631802000983</v>
          </cell>
          <cell r="AU506" t="str">
            <v>/  /</v>
          </cell>
          <cell r="AW506">
            <v>39083</v>
          </cell>
          <cell r="AY506" t="str">
            <v>XX</v>
          </cell>
          <cell r="AZ506" t="str">
            <v>K</v>
          </cell>
          <cell r="BA506" t="str">
            <v>1</v>
          </cell>
          <cell r="BB506">
            <v>1</v>
          </cell>
          <cell r="BD506">
            <v>0</v>
          </cell>
          <cell r="BE506" t="str">
            <v>M</v>
          </cell>
          <cell r="BF506" t="str">
            <v>N</v>
          </cell>
          <cell r="BG506">
            <v>1</v>
          </cell>
          <cell r="BH506">
            <v>39083</v>
          </cell>
        </row>
        <row r="507">
          <cell r="A507">
            <v>72296</v>
          </cell>
          <cell r="B507">
            <v>408</v>
          </cell>
          <cell r="C507" t="str">
            <v>C3156</v>
          </cell>
          <cell r="D507" t="str">
            <v>MOUHALLIL</v>
          </cell>
          <cell r="E507" t="str">
            <v>MOHAMED</v>
          </cell>
          <cell r="F507">
            <v>21045</v>
          </cell>
          <cell r="G507" t="str">
            <v>3</v>
          </cell>
          <cell r="H507" t="str">
            <v>BOUJNIBA</v>
          </cell>
          <cell r="I507" t="str">
            <v>D</v>
          </cell>
          <cell r="J507">
            <v>29510</v>
          </cell>
          <cell r="K507">
            <v>37377</v>
          </cell>
          <cell r="L507" t="str">
            <v>21</v>
          </cell>
          <cell r="M507" t="str">
            <v>A</v>
          </cell>
          <cell r="N507">
            <v>37377</v>
          </cell>
          <cell r="P507">
            <v>22</v>
          </cell>
          <cell r="Q507" t="str">
            <v>O</v>
          </cell>
          <cell r="R507" t="str">
            <v>N</v>
          </cell>
          <cell r="S507">
            <v>0</v>
          </cell>
          <cell r="T507" t="str">
            <v>M</v>
          </cell>
          <cell r="U507" t="str">
            <v>FATIMA BENT HADJ MOHAMED</v>
          </cell>
          <cell r="X507">
            <v>1</v>
          </cell>
          <cell r="Y507">
            <v>1</v>
          </cell>
          <cell r="Z507" t="str">
            <v>N</v>
          </cell>
          <cell r="AB507" t="str">
            <v>X</v>
          </cell>
          <cell r="AC507" t="str">
            <v>X</v>
          </cell>
          <cell r="AD507" t="str">
            <v>X</v>
          </cell>
          <cell r="AH507" t="str">
            <v>N</v>
          </cell>
          <cell r="AI507" t="str">
            <v>N</v>
          </cell>
          <cell r="AK507" t="str">
            <v>324 VILLAGE O.C.P - BOUJNIBA</v>
          </cell>
          <cell r="AL507" t="str">
            <v>CM1</v>
          </cell>
          <cell r="AP507" t="str">
            <v>Q 84377</v>
          </cell>
          <cell r="AQ507">
            <v>0</v>
          </cell>
          <cell r="AR507" t="str">
            <v>B</v>
          </cell>
          <cell r="AS507" t="str">
            <v>S.G.M.B - KHGA</v>
          </cell>
          <cell r="AT507" t="str">
            <v>067000923121441</v>
          </cell>
          <cell r="AU507" t="str">
            <v>/  /</v>
          </cell>
          <cell r="AW507">
            <v>39448</v>
          </cell>
          <cell r="AY507" t="str">
            <v>XX</v>
          </cell>
          <cell r="AZ507" t="str">
            <v>K</v>
          </cell>
          <cell r="BA507" t="str">
            <v>1</v>
          </cell>
          <cell r="BB507">
            <v>1</v>
          </cell>
          <cell r="BD507">
            <v>0</v>
          </cell>
          <cell r="BE507" t="str">
            <v>M</v>
          </cell>
          <cell r="BF507" t="str">
            <v>N</v>
          </cell>
          <cell r="BG507">
            <v>50</v>
          </cell>
          <cell r="BH507">
            <v>39448</v>
          </cell>
        </row>
        <row r="508">
          <cell r="A508">
            <v>72635</v>
          </cell>
          <cell r="B508">
            <v>410</v>
          </cell>
          <cell r="C508" t="str">
            <v>C3260</v>
          </cell>
          <cell r="D508" t="str">
            <v>BELKARKOR</v>
          </cell>
          <cell r="E508" t="str">
            <v>AHMED</v>
          </cell>
          <cell r="F508">
            <v>19905</v>
          </cell>
          <cell r="G508" t="str">
            <v>3</v>
          </cell>
          <cell r="H508" t="str">
            <v>DOUAR M'SAADA OULED BRAHIM</v>
          </cell>
          <cell r="I508" t="str">
            <v>D</v>
          </cell>
          <cell r="J508">
            <v>29746</v>
          </cell>
          <cell r="K508">
            <v>37012</v>
          </cell>
          <cell r="L508" t="str">
            <v>21</v>
          </cell>
          <cell r="M508" t="str">
            <v>A</v>
          </cell>
          <cell r="N508">
            <v>37012</v>
          </cell>
          <cell r="P508">
            <v>21</v>
          </cell>
          <cell r="Q508" t="str">
            <v>O</v>
          </cell>
          <cell r="R508" t="str">
            <v>N</v>
          </cell>
          <cell r="S508">
            <v>0</v>
          </cell>
          <cell r="T508" t="str">
            <v>M</v>
          </cell>
          <cell r="U508" t="str">
            <v>FATIMA BENT EL MILOUDI</v>
          </cell>
          <cell r="X508">
            <v>6</v>
          </cell>
          <cell r="Y508">
            <v>3</v>
          </cell>
          <cell r="AB508" t="str">
            <v>X</v>
          </cell>
          <cell r="AC508" t="str">
            <v>X</v>
          </cell>
          <cell r="AD508" t="str">
            <v>X</v>
          </cell>
          <cell r="AH508" t="str">
            <v>N</v>
          </cell>
          <cell r="AI508" t="str">
            <v>N</v>
          </cell>
          <cell r="AK508" t="str">
            <v>1300 VILLAGE OCP HATTANE</v>
          </cell>
          <cell r="AL508" t="str">
            <v>ILLETTRE</v>
          </cell>
          <cell r="AP508" t="str">
            <v>Q 82902</v>
          </cell>
          <cell r="AQ508">
            <v>0</v>
          </cell>
          <cell r="AR508" t="str">
            <v>C</v>
          </cell>
          <cell r="AU508" t="str">
            <v>/  /</v>
          </cell>
          <cell r="AW508">
            <v>39448</v>
          </cell>
          <cell r="AY508" t="str">
            <v>XX</v>
          </cell>
          <cell r="BA508" t="str">
            <v>1</v>
          </cell>
          <cell r="BB508">
            <v>1</v>
          </cell>
          <cell r="BD508">
            <v>0</v>
          </cell>
          <cell r="BE508" t="str">
            <v>M</v>
          </cell>
          <cell r="BF508" t="str">
            <v>N</v>
          </cell>
          <cell r="BG508">
            <v>10</v>
          </cell>
          <cell r="BH508">
            <v>39448</v>
          </cell>
        </row>
        <row r="509">
          <cell r="A509">
            <v>73063</v>
          </cell>
          <cell r="B509">
            <v>410</v>
          </cell>
          <cell r="C509" t="str">
            <v>C3260</v>
          </cell>
          <cell r="D509" t="str">
            <v>KABBORI</v>
          </cell>
          <cell r="E509" t="str">
            <v>BOUABID</v>
          </cell>
          <cell r="F509">
            <v>18444</v>
          </cell>
          <cell r="G509" t="str">
            <v>1</v>
          </cell>
          <cell r="H509" t="str">
            <v>OULED BHAR KBAR KHOURIBGA</v>
          </cell>
          <cell r="I509" t="str">
            <v>D</v>
          </cell>
          <cell r="J509">
            <v>29900</v>
          </cell>
          <cell r="K509">
            <v>37012</v>
          </cell>
          <cell r="L509" t="str">
            <v>21</v>
          </cell>
          <cell r="M509" t="str">
            <v>A</v>
          </cell>
          <cell r="N509">
            <v>37012</v>
          </cell>
          <cell r="P509">
            <v>21</v>
          </cell>
          <cell r="Q509" t="str">
            <v>O</v>
          </cell>
          <cell r="R509" t="str">
            <v>N</v>
          </cell>
          <cell r="S509">
            <v>0</v>
          </cell>
          <cell r="T509" t="str">
            <v>M</v>
          </cell>
          <cell r="U509" t="str">
            <v>TABIT AICHA BENT HAMOU</v>
          </cell>
          <cell r="X509">
            <v>5</v>
          </cell>
          <cell r="Y509">
            <v>3</v>
          </cell>
          <cell r="AB509" t="str">
            <v>X</v>
          </cell>
          <cell r="AC509" t="str">
            <v>X</v>
          </cell>
          <cell r="AD509" t="str">
            <v>X</v>
          </cell>
          <cell r="AH509" t="str">
            <v>N</v>
          </cell>
          <cell r="AI509" t="str">
            <v>N</v>
          </cell>
          <cell r="AK509" t="str">
            <v>265 DERB 2 LOT. EL FATH - BOUJNIBA</v>
          </cell>
          <cell r="AL509" t="str">
            <v>3 AS</v>
          </cell>
          <cell r="AP509" t="str">
            <v>Q 24101</v>
          </cell>
          <cell r="AQ509">
            <v>0</v>
          </cell>
          <cell r="AR509" t="str">
            <v>B</v>
          </cell>
          <cell r="AS509" t="str">
            <v>C.N.C.A  KHGA</v>
          </cell>
          <cell r="AT509" t="str">
            <v>0805956C601</v>
          </cell>
          <cell r="AU509" t="str">
            <v>/  /</v>
          </cell>
          <cell r="AW509">
            <v>38534</v>
          </cell>
          <cell r="AY509" t="str">
            <v>XX</v>
          </cell>
          <cell r="BA509" t="str">
            <v>1</v>
          </cell>
          <cell r="BB509">
            <v>1</v>
          </cell>
          <cell r="BD509">
            <v>0</v>
          </cell>
          <cell r="BE509" t="str">
            <v>M</v>
          </cell>
          <cell r="BF509" t="str">
            <v>N</v>
          </cell>
          <cell r="BG509">
            <v>50</v>
          </cell>
          <cell r="BH509">
            <v>38534</v>
          </cell>
          <cell r="BI509" t="str">
            <v>O</v>
          </cell>
        </row>
        <row r="510">
          <cell r="A510">
            <v>87528</v>
          </cell>
          <cell r="B510">
            <v>408</v>
          </cell>
          <cell r="C510" t="str">
            <v>C5156</v>
          </cell>
          <cell r="D510" t="str">
            <v>BELBSIR</v>
          </cell>
          <cell r="E510" t="str">
            <v>SALAH</v>
          </cell>
          <cell r="F510">
            <v>22298</v>
          </cell>
          <cell r="G510" t="str">
            <v>4</v>
          </cell>
          <cell r="H510" t="str">
            <v>BOULANOUAR</v>
          </cell>
          <cell r="I510" t="str">
            <v>F</v>
          </cell>
          <cell r="J510">
            <v>31600</v>
          </cell>
          <cell r="K510">
            <v>35431</v>
          </cell>
          <cell r="L510" t="str">
            <v>31</v>
          </cell>
          <cell r="M510" t="str">
            <v>A</v>
          </cell>
          <cell r="N510">
            <v>35431</v>
          </cell>
          <cell r="P510">
            <v>16</v>
          </cell>
          <cell r="Q510" t="str">
            <v>O</v>
          </cell>
          <cell r="R510" t="str">
            <v>N</v>
          </cell>
          <cell r="S510">
            <v>0</v>
          </cell>
          <cell r="T510" t="str">
            <v>M</v>
          </cell>
          <cell r="U510" t="str">
            <v>BATTACHE MALIKA BENT MOHAMED</v>
          </cell>
          <cell r="X510">
            <v>2</v>
          </cell>
          <cell r="Y510">
            <v>2</v>
          </cell>
          <cell r="Z510" t="str">
            <v>N</v>
          </cell>
          <cell r="AB510" t="str">
            <v>X</v>
          </cell>
          <cell r="AC510" t="str">
            <v>X</v>
          </cell>
          <cell r="AD510" t="str">
            <v>X</v>
          </cell>
          <cell r="AH510" t="str">
            <v>N</v>
          </cell>
          <cell r="AI510" t="str">
            <v>N</v>
          </cell>
          <cell r="AK510" t="str">
            <v>1113 VILLAGE OCP - HATTANE</v>
          </cell>
          <cell r="AL510" t="str">
            <v>6 SC.EX.</v>
          </cell>
          <cell r="AM510" t="str">
            <v>CQP.CFO</v>
          </cell>
          <cell r="AP510" t="str">
            <v>Q 95282</v>
          </cell>
          <cell r="AQ510">
            <v>0</v>
          </cell>
          <cell r="AR510" t="str">
            <v>B</v>
          </cell>
          <cell r="AS510" t="str">
            <v>CR.-AGR. - KHGA</v>
          </cell>
          <cell r="AT510" t="str">
            <v>0807340Y601</v>
          </cell>
          <cell r="AU510" t="str">
            <v>/  /</v>
          </cell>
          <cell r="AW510">
            <v>41275</v>
          </cell>
          <cell r="AY510" t="str">
            <v>XX</v>
          </cell>
          <cell r="AZ510" t="str">
            <v>M</v>
          </cell>
          <cell r="BA510" t="str">
            <v>1</v>
          </cell>
          <cell r="BB510">
            <v>1</v>
          </cell>
          <cell r="BD510">
            <v>0</v>
          </cell>
          <cell r="BE510" t="str">
            <v>M</v>
          </cell>
          <cell r="BF510" t="str">
            <v>N</v>
          </cell>
          <cell r="BG510">
            <v>10</v>
          </cell>
          <cell r="BH510">
            <v>41275</v>
          </cell>
        </row>
        <row r="511">
          <cell r="A511">
            <v>17404</v>
          </cell>
          <cell r="B511">
            <v>463</v>
          </cell>
          <cell r="C511" t="str">
            <v>C5200</v>
          </cell>
          <cell r="D511" t="str">
            <v>EL HAJJAM</v>
          </cell>
          <cell r="E511" t="str">
            <v>MOHAMMED</v>
          </cell>
          <cell r="F511">
            <v>19905</v>
          </cell>
          <cell r="G511" t="str">
            <v>1</v>
          </cell>
          <cell r="H511" t="str">
            <v>OULED BHAR KBAR KHOURIBGA</v>
          </cell>
          <cell r="I511" t="str">
            <v>D</v>
          </cell>
          <cell r="J511">
            <v>27207</v>
          </cell>
          <cell r="K511">
            <v>37073</v>
          </cell>
          <cell r="L511" t="str">
            <v>31</v>
          </cell>
          <cell r="M511" t="str">
            <v>A</v>
          </cell>
          <cell r="N511">
            <v>37073</v>
          </cell>
          <cell r="P511">
            <v>28</v>
          </cell>
          <cell r="Q511" t="str">
            <v>O</v>
          </cell>
          <cell r="R511" t="str">
            <v>N</v>
          </cell>
          <cell r="S511">
            <v>0</v>
          </cell>
          <cell r="T511" t="str">
            <v>M</v>
          </cell>
          <cell r="U511" t="str">
            <v>HLIMA BENT BOUCHAIB</v>
          </cell>
          <cell r="X511">
            <v>6</v>
          </cell>
          <cell r="Y511">
            <v>4</v>
          </cell>
          <cell r="AB511" t="str">
            <v>X</v>
          </cell>
          <cell r="AC511" t="str">
            <v>X</v>
          </cell>
          <cell r="AD511" t="str">
            <v>X</v>
          </cell>
          <cell r="AH511" t="str">
            <v>N</v>
          </cell>
          <cell r="AI511" t="str">
            <v>N</v>
          </cell>
          <cell r="AK511" t="str">
            <v>111 VILLAGE OCP OUED ZEM</v>
          </cell>
          <cell r="AL511" t="str">
            <v>3AS</v>
          </cell>
          <cell r="AP511" t="str">
            <v>Q 54188</v>
          </cell>
          <cell r="AQ511">
            <v>0</v>
          </cell>
          <cell r="AR511" t="str">
            <v>B</v>
          </cell>
          <cell r="AS511" t="str">
            <v>SGMB KHGA</v>
          </cell>
          <cell r="AT511" t="str">
            <v>670009048078</v>
          </cell>
          <cell r="AU511" t="str">
            <v>/  /</v>
          </cell>
          <cell r="AW511">
            <v>38169</v>
          </cell>
          <cell r="AY511" t="str">
            <v>XX</v>
          </cell>
          <cell r="BA511" t="str">
            <v>8</v>
          </cell>
          <cell r="BB511">
            <v>1</v>
          </cell>
          <cell r="BD511">
            <v>0</v>
          </cell>
          <cell r="BE511" t="str">
            <v>M</v>
          </cell>
          <cell r="BF511" t="str">
            <v>N</v>
          </cell>
          <cell r="BG511">
            <v>31</v>
          </cell>
          <cell r="BH511">
            <v>38169</v>
          </cell>
          <cell r="BI511" t="str">
            <v>N</v>
          </cell>
        </row>
        <row r="512">
          <cell r="A512">
            <v>19509</v>
          </cell>
          <cell r="B512">
            <v>437</v>
          </cell>
          <cell r="C512" t="str">
            <v>X1450</v>
          </cell>
          <cell r="D512" t="str">
            <v>EZ-ZHER</v>
          </cell>
          <cell r="E512" t="str">
            <v>MOHAMMED</v>
          </cell>
          <cell r="F512">
            <v>19792</v>
          </cell>
          <cell r="G512" t="str">
            <v>1</v>
          </cell>
          <cell r="H512" t="str">
            <v>KHOURIBGA</v>
          </cell>
          <cell r="I512" t="str">
            <v>F</v>
          </cell>
          <cell r="J512">
            <v>28675</v>
          </cell>
          <cell r="K512">
            <v>37043</v>
          </cell>
          <cell r="L512" t="str">
            <v>32</v>
          </cell>
          <cell r="M512" t="str">
            <v>C</v>
          </cell>
          <cell r="N512">
            <v>37043</v>
          </cell>
          <cell r="P512">
            <v>24</v>
          </cell>
          <cell r="Q512" t="str">
            <v>O</v>
          </cell>
          <cell r="R512" t="str">
            <v>N</v>
          </cell>
          <cell r="S512">
            <v>0</v>
          </cell>
          <cell r="T512" t="str">
            <v>M</v>
          </cell>
          <cell r="U512" t="str">
            <v>SAADIA BENT LAKBIR</v>
          </cell>
          <cell r="X512">
            <v>3</v>
          </cell>
          <cell r="Y512">
            <v>3</v>
          </cell>
          <cell r="AB512" t="str">
            <v>X</v>
          </cell>
          <cell r="AC512" t="str">
            <v>X</v>
          </cell>
          <cell r="AD512" t="str">
            <v>X</v>
          </cell>
          <cell r="AH512" t="str">
            <v>N</v>
          </cell>
          <cell r="AI512" t="str">
            <v>N</v>
          </cell>
          <cell r="AK512" t="str">
            <v>1662,HAY EL FATH KHOURIBGA</v>
          </cell>
          <cell r="AL512" t="str">
            <v>7AS</v>
          </cell>
          <cell r="AM512" t="str">
            <v>CFO</v>
          </cell>
          <cell r="AP512" t="str">
            <v>Q 16020</v>
          </cell>
          <cell r="AQ512">
            <v>0</v>
          </cell>
          <cell r="AR512" t="str">
            <v>B</v>
          </cell>
          <cell r="AS512" t="str">
            <v>SGMB - KHOURIBGA</v>
          </cell>
          <cell r="AT512" t="str">
            <v>067000949815841</v>
          </cell>
          <cell r="AU512" t="str">
            <v>/  /</v>
          </cell>
          <cell r="AW512">
            <v>38353</v>
          </cell>
          <cell r="AY512" t="str">
            <v>XX</v>
          </cell>
          <cell r="BA512" t="str">
            <v>2</v>
          </cell>
          <cell r="BB512">
            <v>1</v>
          </cell>
          <cell r="BD512">
            <v>0</v>
          </cell>
          <cell r="BE512" t="str">
            <v>M</v>
          </cell>
          <cell r="BF512" t="str">
            <v>N</v>
          </cell>
          <cell r="BG512">
            <v>41</v>
          </cell>
          <cell r="BH512">
            <v>38718</v>
          </cell>
          <cell r="BI512" t="str">
            <v>O</v>
          </cell>
        </row>
        <row r="513">
          <cell r="A513">
            <v>19541</v>
          </cell>
          <cell r="B513">
            <v>421</v>
          </cell>
          <cell r="C513" t="str">
            <v>X3150</v>
          </cell>
          <cell r="D513" t="str">
            <v>ABBOURI</v>
          </cell>
          <cell r="E513" t="str">
            <v>EL HOUCINE</v>
          </cell>
          <cell r="F513">
            <v>19540</v>
          </cell>
          <cell r="G513" t="str">
            <v>1</v>
          </cell>
          <cell r="H513" t="str">
            <v>OULED BHAR SEGHAR KHOURIBGA</v>
          </cell>
          <cell r="I513" t="str">
            <v>D</v>
          </cell>
          <cell r="J513">
            <v>28762</v>
          </cell>
          <cell r="K513">
            <v>37073</v>
          </cell>
          <cell r="L513" t="str">
            <v>41</v>
          </cell>
          <cell r="M513" t="str">
            <v>A</v>
          </cell>
          <cell r="N513">
            <v>37073</v>
          </cell>
          <cell r="P513">
            <v>24</v>
          </cell>
          <cell r="Q513" t="str">
            <v>O</v>
          </cell>
          <cell r="R513" t="str">
            <v>N</v>
          </cell>
          <cell r="S513">
            <v>0</v>
          </cell>
          <cell r="T513" t="str">
            <v>M</v>
          </cell>
          <cell r="U513" t="str">
            <v>SGHIRA BENT AHMED</v>
          </cell>
          <cell r="X513">
            <v>4</v>
          </cell>
          <cell r="Y513">
            <v>4</v>
          </cell>
          <cell r="AB513" t="str">
            <v>X</v>
          </cell>
          <cell r="AC513" t="str">
            <v>X</v>
          </cell>
          <cell r="AD513" t="str">
            <v>X</v>
          </cell>
          <cell r="AH513" t="str">
            <v>N</v>
          </cell>
          <cell r="AI513" t="str">
            <v>N</v>
          </cell>
          <cell r="AK513" t="str">
            <v>28 BLOC M RUE ZAIR NAHDA KHGA</v>
          </cell>
          <cell r="AL513" t="str">
            <v>6 SC.EX</v>
          </cell>
          <cell r="AM513" t="str">
            <v>CES.EPMT</v>
          </cell>
          <cell r="AP513" t="str">
            <v>B 300122</v>
          </cell>
          <cell r="AQ513">
            <v>0</v>
          </cell>
          <cell r="AR513" t="str">
            <v>B</v>
          </cell>
          <cell r="AS513" t="str">
            <v>BCM - KHGA</v>
          </cell>
          <cell r="AT513" t="str">
            <v>097V305755</v>
          </cell>
          <cell r="AU513" t="str">
            <v>/  /</v>
          </cell>
          <cell r="AW513">
            <v>38353</v>
          </cell>
          <cell r="AY513" t="str">
            <v>XX</v>
          </cell>
          <cell r="AZ513" t="str">
            <v>M</v>
          </cell>
          <cell r="BA513" t="str">
            <v>1</v>
          </cell>
          <cell r="BB513">
            <v>1</v>
          </cell>
          <cell r="BD513">
            <v>0</v>
          </cell>
          <cell r="BE513" t="str">
            <v>M</v>
          </cell>
          <cell r="BF513" t="str">
            <v>N</v>
          </cell>
          <cell r="BG513">
            <v>4</v>
          </cell>
          <cell r="BH513">
            <v>38899</v>
          </cell>
        </row>
        <row r="514">
          <cell r="A514">
            <v>19542</v>
          </cell>
          <cell r="B514">
            <v>421</v>
          </cell>
          <cell r="C514" t="str">
            <v>C7152</v>
          </cell>
          <cell r="D514" t="str">
            <v>EL ARICHE</v>
          </cell>
          <cell r="E514" t="str">
            <v>MOHAMMED</v>
          </cell>
          <cell r="F514">
            <v>19175</v>
          </cell>
          <cell r="G514" t="str">
            <v>3</v>
          </cell>
          <cell r="H514" t="str">
            <v>BOUJNIBA</v>
          </cell>
          <cell r="I514" t="str">
            <v>D</v>
          </cell>
          <cell r="J514">
            <v>28752</v>
          </cell>
          <cell r="K514">
            <v>36526</v>
          </cell>
          <cell r="L514" t="str">
            <v>33</v>
          </cell>
          <cell r="M514" t="str">
            <v>C</v>
          </cell>
          <cell r="N514">
            <v>36526</v>
          </cell>
          <cell r="P514">
            <v>24</v>
          </cell>
          <cell r="Q514" t="str">
            <v>O</v>
          </cell>
          <cell r="R514" t="str">
            <v>N</v>
          </cell>
          <cell r="S514">
            <v>0</v>
          </cell>
          <cell r="T514" t="str">
            <v>M</v>
          </cell>
          <cell r="U514" t="str">
            <v>FATIMA BENT MOHAMED</v>
          </cell>
          <cell r="X514">
            <v>5</v>
          </cell>
          <cell r="Y514">
            <v>2</v>
          </cell>
          <cell r="AB514" t="str">
            <v>X</v>
          </cell>
          <cell r="AC514" t="str">
            <v>X</v>
          </cell>
          <cell r="AD514" t="str">
            <v>X</v>
          </cell>
          <cell r="AH514" t="str">
            <v>N</v>
          </cell>
          <cell r="AI514" t="str">
            <v>N</v>
          </cell>
          <cell r="AK514" t="str">
            <v>RUE 20 N 33 QUARTIER KOREA OUED ZEM</v>
          </cell>
          <cell r="AL514" t="str">
            <v>5 TI</v>
          </cell>
          <cell r="AM514" t="str">
            <v>ELECTRONICIEN DE TOUISSIT</v>
          </cell>
          <cell r="AP514" t="str">
            <v>Q 4587</v>
          </cell>
          <cell r="AQ514">
            <v>0</v>
          </cell>
          <cell r="AR514" t="str">
            <v>B</v>
          </cell>
          <cell r="AS514" t="str">
            <v>BMCE. OUED ZEM</v>
          </cell>
          <cell r="AT514" t="str">
            <v>41101200000231878</v>
          </cell>
          <cell r="AU514" t="str">
            <v>/  /</v>
          </cell>
          <cell r="AW514">
            <v>38353</v>
          </cell>
          <cell r="AY514" t="str">
            <v>XX</v>
          </cell>
          <cell r="BA514" t="str">
            <v>1</v>
          </cell>
          <cell r="BB514">
            <v>1</v>
          </cell>
          <cell r="BD514">
            <v>0</v>
          </cell>
          <cell r="BE514" t="str">
            <v>M</v>
          </cell>
          <cell r="BF514" t="str">
            <v>N</v>
          </cell>
          <cell r="BG514">
            <v>30</v>
          </cell>
          <cell r="BH514">
            <v>38534</v>
          </cell>
        </row>
        <row r="515">
          <cell r="A515">
            <v>20714</v>
          </cell>
          <cell r="B515">
            <v>463</v>
          </cell>
          <cell r="C515" t="str">
            <v>C6200</v>
          </cell>
          <cell r="D515" t="str">
            <v>GRAIN</v>
          </cell>
          <cell r="E515" t="str">
            <v>HASSAN</v>
          </cell>
          <cell r="F515">
            <v>20651</v>
          </cell>
          <cell r="H515" t="str">
            <v>KENITRA</v>
          </cell>
          <cell r="I515" t="str">
            <v>F</v>
          </cell>
          <cell r="J515">
            <v>29570</v>
          </cell>
          <cell r="K515">
            <v>36526</v>
          </cell>
          <cell r="L515" t="str">
            <v>32</v>
          </cell>
          <cell r="M515" t="str">
            <v>A</v>
          </cell>
          <cell r="N515">
            <v>36526</v>
          </cell>
          <cell r="P515">
            <v>22</v>
          </cell>
          <cell r="Q515" t="str">
            <v>O</v>
          </cell>
          <cell r="R515" t="str">
            <v>N</v>
          </cell>
          <cell r="S515">
            <v>0</v>
          </cell>
          <cell r="T515" t="str">
            <v>M</v>
          </cell>
          <cell r="U515" t="str">
            <v>FARKOUKI SAIDA</v>
          </cell>
          <cell r="X515">
            <v>4</v>
          </cell>
          <cell r="Y515">
            <v>4</v>
          </cell>
          <cell r="Z515" t="str">
            <v>N</v>
          </cell>
          <cell r="AA515" t="str">
            <v>20/12/87</v>
          </cell>
          <cell r="AB515" t="str">
            <v>X</v>
          </cell>
          <cell r="AC515" t="str">
            <v>X</v>
          </cell>
          <cell r="AD515" t="str">
            <v>X</v>
          </cell>
          <cell r="AH515" t="str">
            <v>N</v>
          </cell>
          <cell r="AI515" t="str">
            <v>N</v>
          </cell>
          <cell r="AK515" t="str">
            <v>28.BOULVARD .ALLAL FASSI BLOC Q KHGA</v>
          </cell>
          <cell r="AL515" t="str">
            <v>4AS</v>
          </cell>
          <cell r="AM515" t="str">
            <v>DAP.CFO</v>
          </cell>
          <cell r="AP515" t="str">
            <v>G 42378</v>
          </cell>
          <cell r="AQ515">
            <v>0</v>
          </cell>
          <cell r="AR515" t="str">
            <v>B</v>
          </cell>
          <cell r="AS515" t="str">
            <v>BCM . KHGA</v>
          </cell>
          <cell r="AT515" t="str">
            <v>97 A 302446</v>
          </cell>
          <cell r="AU515" t="str">
            <v>/  /</v>
          </cell>
          <cell r="AW515">
            <v>39264</v>
          </cell>
          <cell r="AY515" t="str">
            <v>XX</v>
          </cell>
          <cell r="BA515" t="str">
            <v>2</v>
          </cell>
          <cell r="BB515">
            <v>1</v>
          </cell>
          <cell r="BC515" t="str">
            <v>O</v>
          </cell>
          <cell r="BD515">
            <v>4</v>
          </cell>
          <cell r="BE515" t="str">
            <v>M</v>
          </cell>
          <cell r="BF515" t="str">
            <v>N</v>
          </cell>
          <cell r="BG515">
            <v>5</v>
          </cell>
          <cell r="BH515">
            <v>39264</v>
          </cell>
          <cell r="BI515" t="str">
            <v>N</v>
          </cell>
        </row>
        <row r="516">
          <cell r="A516">
            <v>21049</v>
          </cell>
          <cell r="B516">
            <v>468</v>
          </cell>
          <cell r="C516" t="str">
            <v>X3150</v>
          </cell>
          <cell r="D516" t="str">
            <v>ZOUHRI</v>
          </cell>
          <cell r="E516" t="str">
            <v>ABDERRAHIM</v>
          </cell>
          <cell r="F516">
            <v>20945</v>
          </cell>
          <cell r="H516" t="str">
            <v>CASABLANCA</v>
          </cell>
          <cell r="I516" t="str">
            <v>F</v>
          </cell>
          <cell r="J516">
            <v>29817</v>
          </cell>
          <cell r="K516">
            <v>37073</v>
          </cell>
          <cell r="L516" t="str">
            <v>41</v>
          </cell>
          <cell r="M516" t="str">
            <v>A</v>
          </cell>
          <cell r="N516">
            <v>37073</v>
          </cell>
          <cell r="P516">
            <v>21</v>
          </cell>
          <cell r="Q516" t="str">
            <v>O</v>
          </cell>
          <cell r="R516" t="str">
            <v>N</v>
          </cell>
          <cell r="S516">
            <v>0</v>
          </cell>
          <cell r="T516" t="str">
            <v>M</v>
          </cell>
          <cell r="U516" t="str">
            <v>EDDAQQAQ IZZA</v>
          </cell>
          <cell r="X516">
            <v>2</v>
          </cell>
          <cell r="Y516">
            <v>2</v>
          </cell>
          <cell r="AB516" t="str">
            <v>O</v>
          </cell>
          <cell r="AC516" t="str">
            <v>X</v>
          </cell>
          <cell r="AD516" t="str">
            <v>X</v>
          </cell>
          <cell r="AE516" t="str">
            <v>O C P 71273-456</v>
          </cell>
          <cell r="AH516" t="str">
            <v>N</v>
          </cell>
          <cell r="AI516" t="str">
            <v>N</v>
          </cell>
          <cell r="AK516" t="str">
            <v>27,RUE KALAAT MAGGOUNA IQBAL  KHOURIBGA</v>
          </cell>
          <cell r="AL516" t="str">
            <v>7.SC.EX</v>
          </cell>
          <cell r="AM516" t="str">
            <v>CES.CFO</v>
          </cell>
          <cell r="AP516" t="str">
            <v>B 587840</v>
          </cell>
          <cell r="AQ516">
            <v>0</v>
          </cell>
          <cell r="AR516" t="str">
            <v>B</v>
          </cell>
          <cell r="AS516" t="str">
            <v>C.I.H  KHGA</v>
          </cell>
          <cell r="AT516" t="str">
            <v>7934508213004700</v>
          </cell>
          <cell r="AU516" t="str">
            <v>/  /</v>
          </cell>
          <cell r="AW516">
            <v>39448</v>
          </cell>
          <cell r="AY516" t="str">
            <v>XX</v>
          </cell>
          <cell r="BA516" t="str">
            <v>2</v>
          </cell>
          <cell r="BB516">
            <v>1</v>
          </cell>
          <cell r="BD516">
            <v>0</v>
          </cell>
          <cell r="BE516" t="str">
            <v>M</v>
          </cell>
          <cell r="BF516" t="str">
            <v>O</v>
          </cell>
          <cell r="BG516">
            <v>5</v>
          </cell>
          <cell r="BH516">
            <v>39814</v>
          </cell>
          <cell r="BI516" t="str">
            <v>N</v>
          </cell>
        </row>
        <row r="517">
          <cell r="A517">
            <v>61908</v>
          </cell>
          <cell r="B517">
            <v>463</v>
          </cell>
          <cell r="C517" t="str">
            <v>C6200</v>
          </cell>
          <cell r="D517" t="str">
            <v>EL FOUL</v>
          </cell>
          <cell r="E517" t="str">
            <v>MOHAMED</v>
          </cell>
          <cell r="F517">
            <v>22827</v>
          </cell>
          <cell r="G517" t="str">
            <v>1</v>
          </cell>
          <cell r="H517" t="str">
            <v>OULED BHAR KBAR KHOURIBGA</v>
          </cell>
          <cell r="I517" t="str">
            <v>F</v>
          </cell>
          <cell r="J517">
            <v>30522</v>
          </cell>
          <cell r="K517">
            <v>36526</v>
          </cell>
          <cell r="L517" t="str">
            <v>32</v>
          </cell>
          <cell r="M517" t="str">
            <v>A</v>
          </cell>
          <cell r="N517">
            <v>36526</v>
          </cell>
          <cell r="P517">
            <v>19</v>
          </cell>
          <cell r="Q517" t="str">
            <v>O</v>
          </cell>
          <cell r="R517" t="str">
            <v>N</v>
          </cell>
          <cell r="S517">
            <v>0</v>
          </cell>
          <cell r="T517" t="str">
            <v>M</v>
          </cell>
          <cell r="U517" t="str">
            <v>KHADOUJ BENT M'HAMED</v>
          </cell>
          <cell r="X517">
            <v>3</v>
          </cell>
          <cell r="Y517">
            <v>3</v>
          </cell>
          <cell r="Z517" t="str">
            <v>O</v>
          </cell>
          <cell r="AA517" t="str">
            <v>21/10/94</v>
          </cell>
          <cell r="AB517" t="str">
            <v>X</v>
          </cell>
          <cell r="AC517" t="str">
            <v>X</v>
          </cell>
          <cell r="AD517" t="str">
            <v>X</v>
          </cell>
          <cell r="AH517" t="str">
            <v>N</v>
          </cell>
          <cell r="AI517" t="str">
            <v>N</v>
          </cell>
          <cell r="AK517" t="str">
            <v>DR M'SAADA OULED BRAHIM - BIR MEZOUI</v>
          </cell>
          <cell r="AL517" t="str">
            <v>5.SC EX</v>
          </cell>
          <cell r="AM517" t="str">
            <v>CQP.CFO</v>
          </cell>
          <cell r="AP517" t="str">
            <v>SH 46216</v>
          </cell>
          <cell r="AQ517">
            <v>0</v>
          </cell>
          <cell r="AR517" t="str">
            <v>B</v>
          </cell>
          <cell r="AS517" t="str">
            <v>SGMB.KHGA</v>
          </cell>
          <cell r="AT517" t="str">
            <v>067009283885</v>
          </cell>
          <cell r="AU517" t="str">
            <v>/  /</v>
          </cell>
          <cell r="AW517">
            <v>41091</v>
          </cell>
          <cell r="AY517" t="str">
            <v>XX</v>
          </cell>
          <cell r="BA517" t="str">
            <v>2</v>
          </cell>
          <cell r="BB517">
            <v>1</v>
          </cell>
          <cell r="BD517">
            <v>0</v>
          </cell>
          <cell r="BE517" t="str">
            <v>M</v>
          </cell>
          <cell r="BF517" t="str">
            <v>N</v>
          </cell>
          <cell r="BG517">
            <v>60</v>
          </cell>
          <cell r="BH517">
            <v>41091</v>
          </cell>
        </row>
        <row r="518">
          <cell r="A518">
            <v>62542</v>
          </cell>
          <cell r="B518">
            <v>419</v>
          </cell>
          <cell r="C518" t="str">
            <v>C4200</v>
          </cell>
          <cell r="D518" t="str">
            <v>SABATI</v>
          </cell>
          <cell r="E518" t="str">
            <v>SALAH</v>
          </cell>
          <cell r="F518">
            <v>17714</v>
          </cell>
          <cell r="H518" t="str">
            <v>OULED M'RAH - SETTAT</v>
          </cell>
          <cell r="I518" t="str">
            <v>D</v>
          </cell>
          <cell r="J518">
            <v>28284</v>
          </cell>
          <cell r="K518">
            <v>29342</v>
          </cell>
          <cell r="L518" t="str">
            <v>22</v>
          </cell>
          <cell r="M518" t="str">
            <v>F</v>
          </cell>
          <cell r="N518">
            <v>35612</v>
          </cell>
          <cell r="P518">
            <v>25</v>
          </cell>
          <cell r="Q518" t="str">
            <v>O</v>
          </cell>
          <cell r="R518" t="str">
            <v>N</v>
          </cell>
          <cell r="S518">
            <v>0</v>
          </cell>
          <cell r="T518" t="str">
            <v>M</v>
          </cell>
          <cell r="U518" t="str">
            <v>FATNA BENT EL HOUCINE</v>
          </cell>
          <cell r="X518">
            <v>5</v>
          </cell>
          <cell r="Y518">
            <v>1</v>
          </cell>
          <cell r="AB518" t="str">
            <v>X</v>
          </cell>
          <cell r="AC518" t="str">
            <v>X</v>
          </cell>
          <cell r="AD518" t="str">
            <v>X</v>
          </cell>
          <cell r="AH518" t="str">
            <v>N</v>
          </cell>
          <cell r="AI518" t="str">
            <v>N</v>
          </cell>
          <cell r="AK518" t="str">
            <v>263 NOUVEAUX LOGEMENTS OCP KHGA</v>
          </cell>
          <cell r="AL518" t="str">
            <v>CM2</v>
          </cell>
          <cell r="AP518" t="str">
            <v>Q 82230</v>
          </cell>
          <cell r="AQ518">
            <v>0</v>
          </cell>
          <cell r="AR518" t="str">
            <v>c</v>
          </cell>
          <cell r="AU518" t="str">
            <v>/  /</v>
          </cell>
          <cell r="AW518">
            <v>37803</v>
          </cell>
          <cell r="AY518" t="str">
            <v>XX</v>
          </cell>
          <cell r="AZ518" t="str">
            <v>M</v>
          </cell>
          <cell r="BA518" t="str">
            <v>2</v>
          </cell>
          <cell r="BB518">
            <v>1</v>
          </cell>
          <cell r="BD518">
            <v>0</v>
          </cell>
          <cell r="BE518" t="str">
            <v>M</v>
          </cell>
          <cell r="BF518" t="str">
            <v>N</v>
          </cell>
          <cell r="BG518">
            <v>1</v>
          </cell>
          <cell r="BH518">
            <v>37803</v>
          </cell>
        </row>
        <row r="519">
          <cell r="A519">
            <v>63266</v>
          </cell>
          <cell r="B519">
            <v>401</v>
          </cell>
          <cell r="C519" t="str">
            <v>C4754</v>
          </cell>
          <cell r="D519" t="str">
            <v>ASSAB</v>
          </cell>
          <cell r="E519" t="str">
            <v>HAJJAJ</v>
          </cell>
          <cell r="F519">
            <v>18809</v>
          </cell>
          <cell r="G519" t="str">
            <v>1</v>
          </cell>
          <cell r="H519" t="str">
            <v>OULED BHAR SGHAR KHOURIBGA</v>
          </cell>
          <cell r="I519" t="str">
            <v>D</v>
          </cell>
          <cell r="J519">
            <v>26378</v>
          </cell>
          <cell r="K519">
            <v>37012</v>
          </cell>
          <cell r="L519" t="str">
            <v>22</v>
          </cell>
          <cell r="M519" t="str">
            <v>A</v>
          </cell>
          <cell r="N519">
            <v>37012</v>
          </cell>
          <cell r="O519">
            <v>0</v>
          </cell>
          <cell r="P519">
            <v>31</v>
          </cell>
          <cell r="Q519" t="str">
            <v>N</v>
          </cell>
          <cell r="R519" t="str">
            <v>O</v>
          </cell>
          <cell r="S519">
            <v>3</v>
          </cell>
          <cell r="T519" t="str">
            <v>M</v>
          </cell>
          <cell r="U519" t="str">
            <v>ZAHRA BENT SALAH</v>
          </cell>
          <cell r="X519">
            <v>7</v>
          </cell>
          <cell r="Y519">
            <v>3</v>
          </cell>
          <cell r="AB519" t="str">
            <v>X</v>
          </cell>
          <cell r="AC519" t="str">
            <v>X</v>
          </cell>
          <cell r="AD519" t="str">
            <v>X</v>
          </cell>
          <cell r="AH519" t="str">
            <v>N</v>
          </cell>
          <cell r="AI519" t="str">
            <v>N</v>
          </cell>
          <cell r="AK519" t="str">
            <v>596 VILLAGE OCP BOULANOUAR</v>
          </cell>
          <cell r="AL519" t="str">
            <v>2 A.S</v>
          </cell>
          <cell r="AP519" t="str">
            <v>Q 63222</v>
          </cell>
          <cell r="AQ519">
            <v>0</v>
          </cell>
          <cell r="AR519" t="str">
            <v>B</v>
          </cell>
          <cell r="AS519" t="str">
            <v>B.M.C.E   KHGA</v>
          </cell>
          <cell r="AT519" t="str">
            <v>40001200000878974</v>
          </cell>
          <cell r="AU519" t="str">
            <v>/  /</v>
          </cell>
          <cell r="AW519">
            <v>37622</v>
          </cell>
          <cell r="AX519">
            <v>37555</v>
          </cell>
          <cell r="AY519" t="str">
            <v>XX</v>
          </cell>
          <cell r="BA519" t="str">
            <v>4</v>
          </cell>
          <cell r="BB519">
            <v>1</v>
          </cell>
          <cell r="BD519">
            <v>0</v>
          </cell>
          <cell r="BE519" t="str">
            <v>M</v>
          </cell>
          <cell r="BF519" t="str">
            <v>N</v>
          </cell>
          <cell r="BG519">
            <v>41</v>
          </cell>
          <cell r="BH519">
            <v>37073</v>
          </cell>
        </row>
        <row r="520">
          <cell r="A520">
            <v>63586</v>
          </cell>
          <cell r="B520">
            <v>461</v>
          </cell>
          <cell r="C520" t="str">
            <v>C4152</v>
          </cell>
          <cell r="D520" t="str">
            <v>KADMIRI</v>
          </cell>
          <cell r="E520" t="str">
            <v>EL MOSTAFA</v>
          </cell>
          <cell r="F520">
            <v>19175</v>
          </cell>
          <cell r="G520" t="str">
            <v>1</v>
          </cell>
          <cell r="H520" t="str">
            <v>KHOURIBGA</v>
          </cell>
          <cell r="I520" t="str">
            <v>D</v>
          </cell>
          <cell r="J520">
            <v>26514</v>
          </cell>
          <cell r="K520">
            <v>33573</v>
          </cell>
          <cell r="L520" t="str">
            <v>22</v>
          </cell>
          <cell r="M520" t="str">
            <v>A</v>
          </cell>
          <cell r="N520">
            <v>33573</v>
          </cell>
          <cell r="P520">
            <v>30</v>
          </cell>
          <cell r="Q520" t="str">
            <v>O</v>
          </cell>
          <cell r="R520" t="str">
            <v>N</v>
          </cell>
          <cell r="S520">
            <v>0</v>
          </cell>
          <cell r="T520" t="str">
            <v>M</v>
          </cell>
          <cell r="U520" t="str">
            <v>MALIKA BENT EL FEKKAK</v>
          </cell>
          <cell r="X520">
            <v>4</v>
          </cell>
          <cell r="Y520">
            <v>1</v>
          </cell>
          <cell r="AB520" t="str">
            <v>X</v>
          </cell>
          <cell r="AC520" t="str">
            <v>X</v>
          </cell>
          <cell r="AD520" t="str">
            <v>X</v>
          </cell>
          <cell r="AH520" t="str">
            <v>N</v>
          </cell>
          <cell r="AI520" t="str">
            <v>N</v>
          </cell>
          <cell r="AK520" t="str">
            <v>657 VILLAGE OCP BOUJNIBA</v>
          </cell>
          <cell r="AL520" t="str">
            <v>3AS</v>
          </cell>
          <cell r="AP520" t="str">
            <v>Q 36580</v>
          </cell>
          <cell r="AQ520">
            <v>0</v>
          </cell>
          <cell r="AR520" t="str">
            <v>B</v>
          </cell>
          <cell r="AS520" t="str">
            <v>WAFABANK - KHGA</v>
          </cell>
          <cell r="AT520" t="str">
            <v>1220301130424</v>
          </cell>
          <cell r="AU520" t="str">
            <v>/  /</v>
          </cell>
          <cell r="AW520">
            <v>37438</v>
          </cell>
          <cell r="AY520" t="str">
            <v>XX</v>
          </cell>
          <cell r="AZ520" t="str">
            <v>M</v>
          </cell>
          <cell r="BA520" t="str">
            <v>1</v>
          </cell>
          <cell r="BB520">
            <v>1</v>
          </cell>
          <cell r="BD520">
            <v>0</v>
          </cell>
          <cell r="BE520" t="str">
            <v>M</v>
          </cell>
          <cell r="BF520" t="str">
            <v>N</v>
          </cell>
          <cell r="BG520">
            <v>51</v>
          </cell>
          <cell r="BH520">
            <v>37438</v>
          </cell>
        </row>
        <row r="521">
          <cell r="A521">
            <v>63593</v>
          </cell>
          <cell r="B521">
            <v>421</v>
          </cell>
          <cell r="C521" t="str">
            <v>C4152</v>
          </cell>
          <cell r="D521" t="str">
            <v>EL ARAMRAM</v>
          </cell>
          <cell r="E521" t="str">
            <v>MUSTAPHA</v>
          </cell>
          <cell r="F521">
            <v>19257</v>
          </cell>
          <cell r="G521" t="str">
            <v>4</v>
          </cell>
          <cell r="H521" t="str">
            <v>BOULANOUAR</v>
          </cell>
          <cell r="I521" t="str">
            <v>D</v>
          </cell>
          <cell r="J521">
            <v>26513</v>
          </cell>
          <cell r="K521">
            <v>32843</v>
          </cell>
          <cell r="L521" t="str">
            <v>22</v>
          </cell>
          <cell r="M521" t="str">
            <v>C</v>
          </cell>
          <cell r="N521">
            <v>35612</v>
          </cell>
          <cell r="P521">
            <v>30</v>
          </cell>
          <cell r="Q521" t="str">
            <v>O</v>
          </cell>
          <cell r="R521" t="str">
            <v>N</v>
          </cell>
          <cell r="S521">
            <v>0</v>
          </cell>
          <cell r="T521" t="str">
            <v>M</v>
          </cell>
          <cell r="U521" t="str">
            <v>MARBOUH NAJIA</v>
          </cell>
          <cell r="X521">
            <v>6</v>
          </cell>
          <cell r="Y521">
            <v>2</v>
          </cell>
          <cell r="AB521" t="str">
            <v>X</v>
          </cell>
          <cell r="AC521" t="str">
            <v>X</v>
          </cell>
          <cell r="AD521" t="str">
            <v>X</v>
          </cell>
          <cell r="AH521" t="str">
            <v>N</v>
          </cell>
          <cell r="AI521" t="str">
            <v>N</v>
          </cell>
          <cell r="AK521" t="str">
            <v>210 NOUVEAUX LOGEMENTS OCP KHGA</v>
          </cell>
          <cell r="AL521" t="str">
            <v>2AS</v>
          </cell>
          <cell r="AP521" t="str">
            <v>Q 31439</v>
          </cell>
          <cell r="AQ521">
            <v>0</v>
          </cell>
          <cell r="AR521" t="str">
            <v>B</v>
          </cell>
          <cell r="AS521" t="str">
            <v>C.I.H - KHGA</v>
          </cell>
          <cell r="AT521" t="str">
            <v>9153768</v>
          </cell>
          <cell r="AU521" t="str">
            <v>/  /</v>
          </cell>
          <cell r="AW521">
            <v>37622</v>
          </cell>
          <cell r="AY521" t="str">
            <v>XX</v>
          </cell>
          <cell r="AZ521" t="str">
            <v>M</v>
          </cell>
          <cell r="BA521" t="str">
            <v>6</v>
          </cell>
          <cell r="BB521">
            <v>1</v>
          </cell>
          <cell r="BD521">
            <v>0</v>
          </cell>
          <cell r="BE521" t="str">
            <v>M</v>
          </cell>
          <cell r="BF521" t="str">
            <v>N</v>
          </cell>
          <cell r="BG521">
            <v>4</v>
          </cell>
          <cell r="BH521">
            <v>37622</v>
          </cell>
        </row>
        <row r="522">
          <cell r="A522">
            <v>63600</v>
          </cell>
          <cell r="B522">
            <v>426</v>
          </cell>
          <cell r="C522" t="str">
            <v>C5050</v>
          </cell>
          <cell r="D522" t="str">
            <v>EN-NOUIGED</v>
          </cell>
          <cell r="E522" t="str">
            <v>MOHAMMED</v>
          </cell>
          <cell r="F522">
            <v>19264</v>
          </cell>
          <cell r="G522" t="str">
            <v>1</v>
          </cell>
          <cell r="H522" t="str">
            <v>KHOURIBGA</v>
          </cell>
          <cell r="I522" t="str">
            <v>D</v>
          </cell>
          <cell r="J522">
            <v>26515</v>
          </cell>
          <cell r="K522">
            <v>34151</v>
          </cell>
          <cell r="L522" t="str">
            <v>31</v>
          </cell>
          <cell r="M522" t="str">
            <v>A</v>
          </cell>
          <cell r="N522">
            <v>34151</v>
          </cell>
          <cell r="P522">
            <v>30</v>
          </cell>
          <cell r="Q522" t="str">
            <v>O</v>
          </cell>
          <cell r="R522" t="str">
            <v>N</v>
          </cell>
          <cell r="S522">
            <v>0</v>
          </cell>
          <cell r="T522" t="str">
            <v>M</v>
          </cell>
          <cell r="U522" t="str">
            <v>SAADIA BENT AHMED</v>
          </cell>
          <cell r="X522">
            <v>5</v>
          </cell>
          <cell r="Y522">
            <v>2</v>
          </cell>
          <cell r="AB522" t="str">
            <v>X</v>
          </cell>
          <cell r="AC522" t="str">
            <v>X</v>
          </cell>
          <cell r="AD522" t="str">
            <v>X</v>
          </cell>
          <cell r="AH522" t="str">
            <v>N</v>
          </cell>
          <cell r="AI522" t="str">
            <v>N</v>
          </cell>
          <cell r="AK522" t="str">
            <v>265 NOUVEAUX LOGEMENTS OCP KHGA</v>
          </cell>
          <cell r="AL522" t="str">
            <v>3AS</v>
          </cell>
          <cell r="AM522" t="str">
            <v>CEP</v>
          </cell>
          <cell r="AP522" t="str">
            <v>Q 0006557</v>
          </cell>
          <cell r="AQ522">
            <v>0</v>
          </cell>
          <cell r="AR522" t="str">
            <v>B</v>
          </cell>
          <cell r="AS522" t="str">
            <v>POPULAIRE KHGA</v>
          </cell>
          <cell r="AT522" t="str">
            <v>2111112851220009</v>
          </cell>
          <cell r="AU522" t="str">
            <v>/  /</v>
          </cell>
          <cell r="AW522">
            <v>37622</v>
          </cell>
          <cell r="AY522" t="str">
            <v>XX</v>
          </cell>
          <cell r="BA522" t="str">
            <v>2</v>
          </cell>
          <cell r="BB522">
            <v>1</v>
          </cell>
          <cell r="BD522">
            <v>0</v>
          </cell>
          <cell r="BE522" t="str">
            <v>M</v>
          </cell>
          <cell r="BF522" t="str">
            <v>N</v>
          </cell>
          <cell r="BG522">
            <v>4</v>
          </cell>
          <cell r="BH522">
            <v>37622</v>
          </cell>
        </row>
        <row r="523">
          <cell r="A523">
            <v>63601</v>
          </cell>
          <cell r="B523">
            <v>438</v>
          </cell>
          <cell r="C523" t="str">
            <v>C4754</v>
          </cell>
          <cell r="D523" t="str">
            <v>HERRAT</v>
          </cell>
          <cell r="E523" t="str">
            <v>KADDOUR</v>
          </cell>
          <cell r="F523">
            <v>19175</v>
          </cell>
          <cell r="G523" t="str">
            <v>1</v>
          </cell>
          <cell r="H523" t="str">
            <v>OOULED BHAR SGHAR KHOURIBGA</v>
          </cell>
          <cell r="I523" t="str">
            <v>D</v>
          </cell>
          <cell r="J523">
            <v>26514</v>
          </cell>
          <cell r="K523">
            <v>33573</v>
          </cell>
          <cell r="L523" t="str">
            <v>22</v>
          </cell>
          <cell r="M523" t="str">
            <v>B</v>
          </cell>
          <cell r="N523">
            <v>35612</v>
          </cell>
          <cell r="P523">
            <v>30</v>
          </cell>
          <cell r="Q523" t="str">
            <v>N</v>
          </cell>
          <cell r="R523" t="str">
            <v>N</v>
          </cell>
          <cell r="S523">
            <v>0</v>
          </cell>
          <cell r="T523" t="str">
            <v>M</v>
          </cell>
          <cell r="U523" t="str">
            <v>SADIK ITTO</v>
          </cell>
          <cell r="X523">
            <v>6</v>
          </cell>
          <cell r="Y523">
            <v>4</v>
          </cell>
          <cell r="AB523" t="str">
            <v>X</v>
          </cell>
          <cell r="AC523" t="str">
            <v>X</v>
          </cell>
          <cell r="AD523" t="str">
            <v>X</v>
          </cell>
          <cell r="AH523" t="str">
            <v>N</v>
          </cell>
          <cell r="AI523" t="str">
            <v>N</v>
          </cell>
          <cell r="AK523" t="str">
            <v>576 NLLE MEDINA DE SECHAGE KHGA</v>
          </cell>
          <cell r="AL523" t="str">
            <v>1AS</v>
          </cell>
          <cell r="AP523" t="str">
            <v>Q 17877</v>
          </cell>
          <cell r="AQ523">
            <v>0</v>
          </cell>
          <cell r="AR523" t="str">
            <v>B</v>
          </cell>
          <cell r="AS523" t="str">
            <v>S.G.M.B - KHGA</v>
          </cell>
          <cell r="AT523" t="str">
            <v>0670009232281</v>
          </cell>
          <cell r="AU523" t="str">
            <v>/  /</v>
          </cell>
          <cell r="AW523">
            <v>37438</v>
          </cell>
          <cell r="AY523" t="str">
            <v>XX</v>
          </cell>
          <cell r="AZ523" t="str">
            <v>M</v>
          </cell>
          <cell r="BA523" t="str">
            <v>6</v>
          </cell>
          <cell r="BB523">
            <v>1</v>
          </cell>
          <cell r="BD523">
            <v>0</v>
          </cell>
          <cell r="BE523" t="str">
            <v>M</v>
          </cell>
          <cell r="BF523" t="str">
            <v>N</v>
          </cell>
          <cell r="BG523">
            <v>0</v>
          </cell>
          <cell r="BH523">
            <v>37438</v>
          </cell>
        </row>
        <row r="524">
          <cell r="A524">
            <v>63762</v>
          </cell>
          <cell r="B524">
            <v>413</v>
          </cell>
          <cell r="C524" t="str">
            <v>C4200</v>
          </cell>
          <cell r="D524" t="str">
            <v>BAZRHOUNA</v>
          </cell>
          <cell r="E524" t="str">
            <v>ECHCHERKI</v>
          </cell>
          <cell r="F524">
            <v>19315</v>
          </cell>
          <cell r="G524" t="str">
            <v>6</v>
          </cell>
          <cell r="H524" t="str">
            <v>HATTANE</v>
          </cell>
          <cell r="I524" t="str">
            <v>D</v>
          </cell>
          <cell r="J524">
            <v>26592</v>
          </cell>
          <cell r="K524">
            <v>33573</v>
          </cell>
          <cell r="L524" t="str">
            <v>22</v>
          </cell>
          <cell r="M524" t="str">
            <v>A</v>
          </cell>
          <cell r="N524">
            <v>33573</v>
          </cell>
          <cell r="P524">
            <v>30</v>
          </cell>
          <cell r="Q524" t="str">
            <v>O</v>
          </cell>
          <cell r="R524" t="str">
            <v>N</v>
          </cell>
          <cell r="S524">
            <v>0</v>
          </cell>
          <cell r="T524" t="str">
            <v>M</v>
          </cell>
          <cell r="U524" t="str">
            <v>BOUMAHDI THAMIA BENT MOHAMED</v>
          </cell>
          <cell r="X524">
            <v>5</v>
          </cell>
          <cell r="Y524">
            <v>3</v>
          </cell>
          <cell r="AB524" t="str">
            <v>X</v>
          </cell>
          <cell r="AC524" t="str">
            <v>X</v>
          </cell>
          <cell r="AD524" t="str">
            <v>X</v>
          </cell>
          <cell r="AH524" t="str">
            <v>N</v>
          </cell>
          <cell r="AI524" t="str">
            <v>N</v>
          </cell>
          <cell r="AK524" t="str">
            <v>10 HAY ESSALEM LAMRAHNA KHGA</v>
          </cell>
          <cell r="AL524" t="str">
            <v>3AS</v>
          </cell>
          <cell r="AP524" t="str">
            <v>Q 69356</v>
          </cell>
          <cell r="AQ524">
            <v>0</v>
          </cell>
          <cell r="AR524" t="str">
            <v>B</v>
          </cell>
          <cell r="AS524" t="str">
            <v>CRED.MAROC KHGA</v>
          </cell>
          <cell r="AT524" t="str">
            <v>082001028212</v>
          </cell>
          <cell r="AU524" t="str">
            <v>/  /</v>
          </cell>
          <cell r="AW524">
            <v>37622</v>
          </cell>
          <cell r="AY524" t="str">
            <v>XX</v>
          </cell>
          <cell r="AZ524" t="str">
            <v>M</v>
          </cell>
          <cell r="BA524" t="str">
            <v>2</v>
          </cell>
          <cell r="BB524">
            <v>1</v>
          </cell>
          <cell r="BD524">
            <v>0</v>
          </cell>
          <cell r="BE524" t="str">
            <v>M</v>
          </cell>
          <cell r="BF524" t="str">
            <v>N</v>
          </cell>
          <cell r="BG524">
            <v>1</v>
          </cell>
          <cell r="BH524">
            <v>37622</v>
          </cell>
          <cell r="BI524" t="str">
            <v>O</v>
          </cell>
        </row>
        <row r="525">
          <cell r="A525">
            <v>63779</v>
          </cell>
          <cell r="B525">
            <v>418</v>
          </cell>
          <cell r="C525" t="str">
            <v>C4102</v>
          </cell>
          <cell r="D525" t="str">
            <v>SAKOUTI</v>
          </cell>
          <cell r="E525" t="str">
            <v>EL ARBI</v>
          </cell>
          <cell r="F525">
            <v>19175</v>
          </cell>
          <cell r="G525" t="str">
            <v>1</v>
          </cell>
          <cell r="H525" t="str">
            <v>OULED BHAR KBAR KHOURIBGA</v>
          </cell>
          <cell r="I525" t="str">
            <v>D</v>
          </cell>
          <cell r="J525">
            <v>26595</v>
          </cell>
          <cell r="K525">
            <v>37012</v>
          </cell>
          <cell r="L525" t="str">
            <v>22</v>
          </cell>
          <cell r="M525" t="str">
            <v>B</v>
          </cell>
          <cell r="N525">
            <v>37012</v>
          </cell>
          <cell r="P525">
            <v>30</v>
          </cell>
          <cell r="Q525" t="str">
            <v>O</v>
          </cell>
          <cell r="R525" t="str">
            <v>N</v>
          </cell>
          <cell r="S525">
            <v>0</v>
          </cell>
          <cell r="T525" t="str">
            <v>M</v>
          </cell>
          <cell r="U525" t="str">
            <v>HORMI RABIA</v>
          </cell>
          <cell r="X525">
            <v>6</v>
          </cell>
          <cell r="Y525">
            <v>3</v>
          </cell>
          <cell r="AB525" t="str">
            <v>X</v>
          </cell>
          <cell r="AC525" t="str">
            <v>X</v>
          </cell>
          <cell r="AD525" t="str">
            <v>X</v>
          </cell>
          <cell r="AH525" t="str">
            <v>N</v>
          </cell>
          <cell r="AI525" t="str">
            <v>N</v>
          </cell>
          <cell r="AK525" t="str">
            <v>169 VILLAGE O.C.P - BOUJNIBA</v>
          </cell>
          <cell r="AL525" t="str">
            <v>CM2</v>
          </cell>
          <cell r="AP525" t="str">
            <v>Q 13279</v>
          </cell>
          <cell r="AQ525">
            <v>0</v>
          </cell>
          <cell r="AR525" t="str">
            <v>B</v>
          </cell>
          <cell r="AS525" t="str">
            <v>SGMB - KHGA</v>
          </cell>
          <cell r="AT525" t="str">
            <v>0670009370506</v>
          </cell>
          <cell r="AU525" t="str">
            <v>/  /</v>
          </cell>
          <cell r="AW525">
            <v>37438</v>
          </cell>
          <cell r="AY525" t="str">
            <v>XX</v>
          </cell>
          <cell r="BA525" t="str">
            <v>1</v>
          </cell>
          <cell r="BB525">
            <v>1</v>
          </cell>
          <cell r="BD525">
            <v>0</v>
          </cell>
          <cell r="BE525" t="str">
            <v>M</v>
          </cell>
          <cell r="BF525" t="str">
            <v>N</v>
          </cell>
          <cell r="BG525">
            <v>50</v>
          </cell>
          <cell r="BH525">
            <v>37438</v>
          </cell>
          <cell r="BI525" t="str">
            <v>O</v>
          </cell>
        </row>
        <row r="526">
          <cell r="A526">
            <v>63787</v>
          </cell>
          <cell r="B526">
            <v>418</v>
          </cell>
          <cell r="C526" t="str">
            <v>C6102</v>
          </cell>
          <cell r="D526" t="str">
            <v>LEBBABI</v>
          </cell>
          <cell r="E526" t="str">
            <v>MOHAMED</v>
          </cell>
          <cell r="F526">
            <v>19175</v>
          </cell>
          <cell r="G526" t="str">
            <v>1</v>
          </cell>
          <cell r="H526" t="str">
            <v>OULED BHAR SGHAR KHOURIBGA</v>
          </cell>
          <cell r="I526" t="str">
            <v>D</v>
          </cell>
          <cell r="J526">
            <v>26599</v>
          </cell>
          <cell r="K526">
            <v>36526</v>
          </cell>
          <cell r="L526" t="str">
            <v>32</v>
          </cell>
          <cell r="M526" t="str">
            <v>A</v>
          </cell>
          <cell r="N526">
            <v>36526</v>
          </cell>
          <cell r="P526">
            <v>30</v>
          </cell>
          <cell r="Q526" t="str">
            <v>O</v>
          </cell>
          <cell r="R526" t="str">
            <v>N</v>
          </cell>
          <cell r="S526">
            <v>0</v>
          </cell>
          <cell r="T526" t="str">
            <v>M</v>
          </cell>
          <cell r="U526" t="str">
            <v>CHEKHANI HALIMA</v>
          </cell>
          <cell r="V526" t="str">
            <v>CHTAIRI FATIMA</v>
          </cell>
          <cell r="X526">
            <v>6</v>
          </cell>
          <cell r="Y526">
            <v>4</v>
          </cell>
          <cell r="AB526" t="str">
            <v>X</v>
          </cell>
          <cell r="AC526" t="str">
            <v>X</v>
          </cell>
          <cell r="AD526" t="str">
            <v>X</v>
          </cell>
          <cell r="AH526" t="str">
            <v>N</v>
          </cell>
          <cell r="AI526" t="str">
            <v>N</v>
          </cell>
          <cell r="AK526" t="str">
            <v>285 NOUVELLE CONSTRUCTION   KHGA</v>
          </cell>
          <cell r="AL526" t="str">
            <v>4AS</v>
          </cell>
          <cell r="AM526" t="str">
            <v>CFO</v>
          </cell>
          <cell r="AP526" t="str">
            <v>Q 35988</v>
          </cell>
          <cell r="AQ526">
            <v>0</v>
          </cell>
          <cell r="AR526" t="str">
            <v>B</v>
          </cell>
          <cell r="AS526" t="str">
            <v>S.G.M.B - KHGA</v>
          </cell>
          <cell r="AT526" t="str">
            <v>000670009267007</v>
          </cell>
          <cell r="AU526" t="str">
            <v>/  /</v>
          </cell>
          <cell r="AW526">
            <v>37438</v>
          </cell>
          <cell r="AY526" t="str">
            <v>XX</v>
          </cell>
          <cell r="BA526" t="str">
            <v>2</v>
          </cell>
          <cell r="BB526">
            <v>1</v>
          </cell>
          <cell r="BC526" t="str">
            <v>O</v>
          </cell>
          <cell r="BD526">
            <v>4</v>
          </cell>
          <cell r="BE526" t="str">
            <v>M</v>
          </cell>
          <cell r="BF526" t="str">
            <v>N</v>
          </cell>
          <cell r="BG526">
            <v>1</v>
          </cell>
          <cell r="BH526">
            <v>37438</v>
          </cell>
        </row>
        <row r="527">
          <cell r="A527">
            <v>63790</v>
          </cell>
          <cell r="B527">
            <v>421</v>
          </cell>
          <cell r="C527" t="str">
            <v>C4152</v>
          </cell>
          <cell r="D527" t="str">
            <v>MODIF</v>
          </cell>
          <cell r="E527" t="str">
            <v>MOHAMMED</v>
          </cell>
          <cell r="F527">
            <v>19081</v>
          </cell>
          <cell r="G527" t="str">
            <v>1</v>
          </cell>
          <cell r="H527" t="str">
            <v>KHOURIBGA</v>
          </cell>
          <cell r="I527" t="str">
            <v>D</v>
          </cell>
          <cell r="J527">
            <v>26599</v>
          </cell>
          <cell r="K527">
            <v>36526</v>
          </cell>
          <cell r="L527" t="str">
            <v>22</v>
          </cell>
          <cell r="M527" t="str">
            <v>B</v>
          </cell>
          <cell r="N527">
            <v>36526</v>
          </cell>
          <cell r="P527">
            <v>30</v>
          </cell>
          <cell r="Q527" t="str">
            <v>O</v>
          </cell>
          <cell r="R527" t="str">
            <v>N</v>
          </cell>
          <cell r="S527">
            <v>0</v>
          </cell>
          <cell r="T527" t="str">
            <v>M</v>
          </cell>
          <cell r="U527" t="str">
            <v>FATIMA BENT M'BAREK</v>
          </cell>
          <cell r="X527">
            <v>4</v>
          </cell>
          <cell r="Y527">
            <v>2</v>
          </cell>
          <cell r="AB527" t="str">
            <v>X</v>
          </cell>
          <cell r="AC527" t="str">
            <v>X</v>
          </cell>
          <cell r="AD527" t="str">
            <v>X</v>
          </cell>
          <cell r="AH527" t="str">
            <v>N</v>
          </cell>
          <cell r="AI527" t="str">
            <v>N</v>
          </cell>
          <cell r="AK527" t="str">
            <v>112 NLLE CONSTRUCTION OCP  KHGA</v>
          </cell>
          <cell r="AL527" t="str">
            <v>3AS</v>
          </cell>
          <cell r="AP527" t="str">
            <v>Q 39365</v>
          </cell>
          <cell r="AQ527">
            <v>0</v>
          </cell>
          <cell r="AR527" t="str">
            <v>B</v>
          </cell>
          <cell r="AS527" t="str">
            <v>BMCE - KHGA</v>
          </cell>
          <cell r="AT527" t="str">
            <v>4000001200001185397</v>
          </cell>
          <cell r="AU527" t="str">
            <v>/  /</v>
          </cell>
          <cell r="AW527">
            <v>37438</v>
          </cell>
          <cell r="AY527" t="str">
            <v>XX</v>
          </cell>
          <cell r="BA527" t="str">
            <v>1</v>
          </cell>
          <cell r="BB527">
            <v>1</v>
          </cell>
          <cell r="BD527">
            <v>0</v>
          </cell>
          <cell r="BE527" t="str">
            <v>M</v>
          </cell>
          <cell r="BF527" t="str">
            <v>N</v>
          </cell>
          <cell r="BG527">
            <v>4</v>
          </cell>
          <cell r="BH527">
            <v>37438</v>
          </cell>
        </row>
        <row r="528">
          <cell r="A528">
            <v>63814</v>
          </cell>
          <cell r="B528">
            <v>426</v>
          </cell>
          <cell r="C528" t="str">
            <v>C6050</v>
          </cell>
          <cell r="D528" t="str">
            <v>BAHAMMA</v>
          </cell>
          <cell r="E528" t="str">
            <v>BRAHIM</v>
          </cell>
          <cell r="F528">
            <v>18809</v>
          </cell>
          <cell r="G528" t="str">
            <v>1</v>
          </cell>
          <cell r="H528" t="str">
            <v>KHOURIBGA</v>
          </cell>
          <cell r="I528" t="str">
            <v>F</v>
          </cell>
          <cell r="J528">
            <v>26604</v>
          </cell>
          <cell r="K528">
            <v>35065</v>
          </cell>
          <cell r="L528" t="str">
            <v>32</v>
          </cell>
          <cell r="M528" t="str">
            <v>C</v>
          </cell>
          <cell r="N528">
            <v>35065</v>
          </cell>
          <cell r="P528">
            <v>30</v>
          </cell>
          <cell r="Q528" t="str">
            <v>O</v>
          </cell>
          <cell r="R528" t="str">
            <v>N</v>
          </cell>
          <cell r="S528">
            <v>0</v>
          </cell>
          <cell r="T528" t="str">
            <v>M</v>
          </cell>
          <cell r="U528" t="str">
            <v>HLIMA BENT MUSTAPHA</v>
          </cell>
          <cell r="X528">
            <v>3</v>
          </cell>
          <cell r="Y528">
            <v>3</v>
          </cell>
          <cell r="AB528" t="str">
            <v>X</v>
          </cell>
          <cell r="AC528" t="str">
            <v>X</v>
          </cell>
          <cell r="AD528" t="str">
            <v>X</v>
          </cell>
          <cell r="AH528" t="str">
            <v>O</v>
          </cell>
          <cell r="AI528" t="str">
            <v>N</v>
          </cell>
          <cell r="AK528" t="str">
            <v>206 NLLE CONSTRUCTION SECHAGE - KHGA</v>
          </cell>
          <cell r="AL528" t="str">
            <v>3AS</v>
          </cell>
          <cell r="AM528" t="str">
            <v>CFO</v>
          </cell>
          <cell r="AP528" t="str">
            <v>Q 5362</v>
          </cell>
          <cell r="AQ528">
            <v>0</v>
          </cell>
          <cell r="AR528" t="str">
            <v>B</v>
          </cell>
          <cell r="AS528" t="str">
            <v>CIH - KHGA</v>
          </cell>
          <cell r="AT528" t="str">
            <v>9828690</v>
          </cell>
          <cell r="AU528" t="str">
            <v>/  /</v>
          </cell>
          <cell r="AW528">
            <v>37622</v>
          </cell>
          <cell r="AX528">
            <v>37555</v>
          </cell>
          <cell r="AY528" t="str">
            <v>XX</v>
          </cell>
          <cell r="BA528" t="str">
            <v>2</v>
          </cell>
          <cell r="BB528">
            <v>1</v>
          </cell>
          <cell r="BC528" t="str">
            <v>O</v>
          </cell>
          <cell r="BD528">
            <v>4</v>
          </cell>
          <cell r="BE528" t="str">
            <v>M</v>
          </cell>
          <cell r="BF528" t="str">
            <v>N</v>
          </cell>
          <cell r="BG528">
            <v>4</v>
          </cell>
          <cell r="BH528">
            <v>37073</v>
          </cell>
        </row>
        <row r="529">
          <cell r="A529">
            <v>63815</v>
          </cell>
          <cell r="B529">
            <v>468</v>
          </cell>
          <cell r="C529" t="str">
            <v>C6050</v>
          </cell>
          <cell r="D529" t="str">
            <v>EL ADRAOUI</v>
          </cell>
          <cell r="E529" t="str">
            <v>ABBES</v>
          </cell>
          <cell r="F529">
            <v>19175</v>
          </cell>
          <cell r="G529" t="str">
            <v>1</v>
          </cell>
          <cell r="H529" t="str">
            <v>KHOURIBGA</v>
          </cell>
          <cell r="I529" t="str">
            <v>D</v>
          </cell>
          <cell r="J529">
            <v>26604</v>
          </cell>
          <cell r="K529">
            <v>36526</v>
          </cell>
          <cell r="L529" t="str">
            <v>32</v>
          </cell>
          <cell r="M529" t="str">
            <v>A</v>
          </cell>
          <cell r="N529">
            <v>36526</v>
          </cell>
          <cell r="P529">
            <v>30</v>
          </cell>
          <cell r="Q529" t="str">
            <v>O</v>
          </cell>
          <cell r="R529" t="str">
            <v>N</v>
          </cell>
          <cell r="S529">
            <v>0</v>
          </cell>
          <cell r="T529" t="str">
            <v>M</v>
          </cell>
          <cell r="U529" t="str">
            <v>NAKHLA ZOHRA</v>
          </cell>
          <cell r="X529">
            <v>5</v>
          </cell>
          <cell r="Y529">
            <v>1</v>
          </cell>
          <cell r="AB529" t="str">
            <v>X</v>
          </cell>
          <cell r="AC529" t="str">
            <v>X</v>
          </cell>
          <cell r="AD529" t="str">
            <v>X</v>
          </cell>
          <cell r="AH529" t="str">
            <v>N</v>
          </cell>
          <cell r="AI529" t="str">
            <v>N</v>
          </cell>
          <cell r="AK529" t="str">
            <v>100 NOUVEAUX LOGEMENTS SECHAGE  KHGA</v>
          </cell>
          <cell r="AL529" t="str">
            <v>4AS</v>
          </cell>
          <cell r="AM529" t="str">
            <v>CFO</v>
          </cell>
          <cell r="AP529" t="str">
            <v>Q 43282</v>
          </cell>
          <cell r="AQ529">
            <v>0</v>
          </cell>
          <cell r="AR529" t="str">
            <v>B</v>
          </cell>
          <cell r="AS529" t="str">
            <v>POPULAIRE KHGA</v>
          </cell>
          <cell r="AT529" t="str">
            <v>2111112760850003</v>
          </cell>
          <cell r="AU529" t="str">
            <v>/  /</v>
          </cell>
          <cell r="AW529">
            <v>37438</v>
          </cell>
          <cell r="AY529" t="str">
            <v>XX</v>
          </cell>
          <cell r="BA529" t="str">
            <v>6</v>
          </cell>
          <cell r="BB529">
            <v>1</v>
          </cell>
          <cell r="BC529" t="str">
            <v>O</v>
          </cell>
          <cell r="BD529">
            <v>4</v>
          </cell>
          <cell r="BE529" t="str">
            <v>M</v>
          </cell>
          <cell r="BF529" t="str">
            <v>N</v>
          </cell>
          <cell r="BG529">
            <v>5</v>
          </cell>
          <cell r="BH529">
            <v>37438</v>
          </cell>
        </row>
        <row r="530">
          <cell r="A530">
            <v>63820</v>
          </cell>
          <cell r="B530">
            <v>421</v>
          </cell>
          <cell r="C530" t="str">
            <v>C6050</v>
          </cell>
          <cell r="D530" t="str">
            <v>TALBI</v>
          </cell>
          <cell r="E530" t="str">
            <v>FARID</v>
          </cell>
          <cell r="F530">
            <v>18678</v>
          </cell>
          <cell r="G530" t="str">
            <v>1</v>
          </cell>
          <cell r="H530" t="str">
            <v>KHOURIBGA</v>
          </cell>
          <cell r="I530" t="str">
            <v>D</v>
          </cell>
          <cell r="J530">
            <v>28992</v>
          </cell>
          <cell r="K530">
            <v>35065</v>
          </cell>
          <cell r="L530" t="str">
            <v>32</v>
          </cell>
          <cell r="M530" t="str">
            <v>A</v>
          </cell>
          <cell r="N530">
            <v>35065</v>
          </cell>
          <cell r="P530">
            <v>23</v>
          </cell>
          <cell r="Q530" t="str">
            <v>O</v>
          </cell>
          <cell r="R530" t="str">
            <v>N</v>
          </cell>
          <cell r="S530">
            <v>0</v>
          </cell>
          <cell r="T530" t="str">
            <v>M</v>
          </cell>
          <cell r="U530" t="str">
            <v>SLIMANI LATIFA</v>
          </cell>
          <cell r="X530">
            <v>2</v>
          </cell>
          <cell r="Y530">
            <v>2</v>
          </cell>
          <cell r="AB530" t="str">
            <v>X</v>
          </cell>
          <cell r="AC530" t="str">
            <v>X</v>
          </cell>
          <cell r="AD530" t="str">
            <v>X</v>
          </cell>
          <cell r="AH530" t="str">
            <v>N</v>
          </cell>
          <cell r="AI530" t="str">
            <v>N</v>
          </cell>
          <cell r="AK530" t="str">
            <v>13 BLOC D QUARTIER CEREALIER KHGA</v>
          </cell>
          <cell r="AL530" t="str">
            <v>3AS</v>
          </cell>
          <cell r="AM530" t="str">
            <v>CFO</v>
          </cell>
          <cell r="AO530" t="str">
            <v>OOOO</v>
          </cell>
          <cell r="AP530" t="str">
            <v>W 18456</v>
          </cell>
          <cell r="AQ530">
            <v>0</v>
          </cell>
          <cell r="AR530" t="str">
            <v>B</v>
          </cell>
          <cell r="AS530" t="str">
            <v>BMCE - KHGA</v>
          </cell>
          <cell r="AT530" t="str">
            <v>4000001200001479016</v>
          </cell>
          <cell r="AU530" t="str">
            <v>/  /</v>
          </cell>
          <cell r="AW530">
            <v>40578</v>
          </cell>
          <cell r="AX530">
            <v>40578</v>
          </cell>
          <cell r="AY530" t="str">
            <v>XX</v>
          </cell>
          <cell r="BA530" t="str">
            <v>2</v>
          </cell>
          <cell r="BB530">
            <v>1</v>
          </cell>
          <cell r="BC530" t="str">
            <v>O</v>
          </cell>
          <cell r="BD530">
            <v>4</v>
          </cell>
          <cell r="BE530" t="str">
            <v>M</v>
          </cell>
          <cell r="BF530" t="str">
            <v>N</v>
          </cell>
          <cell r="BG530">
            <v>4</v>
          </cell>
          <cell r="BH530">
            <v>38718</v>
          </cell>
        </row>
        <row r="531">
          <cell r="A531">
            <v>63823</v>
          </cell>
          <cell r="B531">
            <v>428</v>
          </cell>
          <cell r="C531" t="str">
            <v>C5050</v>
          </cell>
          <cell r="D531" t="str">
            <v>YAQINE</v>
          </cell>
          <cell r="E531" t="str">
            <v>M'HAMMED</v>
          </cell>
          <cell r="F531">
            <v>19067</v>
          </cell>
          <cell r="G531" t="str">
            <v>1</v>
          </cell>
          <cell r="H531" t="str">
            <v>KHOURIBGA</v>
          </cell>
          <cell r="I531" t="str">
            <v>D</v>
          </cell>
          <cell r="J531">
            <v>26604</v>
          </cell>
          <cell r="K531">
            <v>29403</v>
          </cell>
          <cell r="L531" t="str">
            <v>31</v>
          </cell>
          <cell r="M531" t="str">
            <v>E</v>
          </cell>
          <cell r="N531">
            <v>35612</v>
          </cell>
          <cell r="P531">
            <v>30</v>
          </cell>
          <cell r="Q531" t="str">
            <v>O</v>
          </cell>
          <cell r="R531" t="str">
            <v>N</v>
          </cell>
          <cell r="S531">
            <v>0</v>
          </cell>
          <cell r="T531" t="str">
            <v>M</v>
          </cell>
          <cell r="U531" t="str">
            <v>MALIKA BENT BOUABID</v>
          </cell>
          <cell r="X531">
            <v>6</v>
          </cell>
          <cell r="Y531">
            <v>3</v>
          </cell>
          <cell r="AB531" t="str">
            <v>X</v>
          </cell>
          <cell r="AC531" t="str">
            <v>X</v>
          </cell>
          <cell r="AD531" t="str">
            <v>X</v>
          </cell>
          <cell r="AH531" t="str">
            <v>N</v>
          </cell>
          <cell r="AI531" t="str">
            <v>N</v>
          </cell>
          <cell r="AK531" t="str">
            <v>29 RUE BNI CHEGDAL DB.OD.LAROUI KHGA</v>
          </cell>
          <cell r="AL531" t="str">
            <v>5AS</v>
          </cell>
          <cell r="AM531" t="str">
            <v>CFO.</v>
          </cell>
          <cell r="AP531" t="str">
            <v>Q 8694</v>
          </cell>
          <cell r="AQ531">
            <v>0</v>
          </cell>
          <cell r="AR531" t="str">
            <v>B</v>
          </cell>
          <cell r="AS531" t="str">
            <v>POPULAIRE-KHGA</v>
          </cell>
          <cell r="AT531" t="str">
            <v>2111112883590007</v>
          </cell>
          <cell r="AU531" t="str">
            <v>/  /</v>
          </cell>
          <cell r="AW531">
            <v>37438</v>
          </cell>
          <cell r="AY531" t="str">
            <v>XX</v>
          </cell>
          <cell r="BA531" t="str">
            <v>2</v>
          </cell>
          <cell r="BB531">
            <v>1</v>
          </cell>
          <cell r="BC531" t="str">
            <v>O</v>
          </cell>
          <cell r="BD531">
            <v>4</v>
          </cell>
          <cell r="BE531" t="str">
            <v>M</v>
          </cell>
          <cell r="BF531" t="str">
            <v>N</v>
          </cell>
          <cell r="BG531">
            <v>4</v>
          </cell>
          <cell r="BH531">
            <v>37438</v>
          </cell>
        </row>
        <row r="532">
          <cell r="A532">
            <v>64068</v>
          </cell>
          <cell r="B532">
            <v>465</v>
          </cell>
          <cell r="C532" t="str">
            <v>C5300</v>
          </cell>
          <cell r="D532" t="str">
            <v>HLIB</v>
          </cell>
          <cell r="E532" t="str">
            <v>SALAH</v>
          </cell>
          <cell r="F532">
            <v>19361</v>
          </cell>
          <cell r="G532" t="str">
            <v>1</v>
          </cell>
          <cell r="H532" t="str">
            <v>KHOURIBGA</v>
          </cell>
          <cell r="I532" t="str">
            <v>D</v>
          </cell>
          <cell r="J532">
            <v>29217</v>
          </cell>
          <cell r="K532">
            <v>37073</v>
          </cell>
          <cell r="L532" t="str">
            <v>31</v>
          </cell>
          <cell r="M532" t="str">
            <v>A</v>
          </cell>
          <cell r="N532">
            <v>37073</v>
          </cell>
          <cell r="P532">
            <v>23</v>
          </cell>
          <cell r="Q532" t="str">
            <v>O</v>
          </cell>
          <cell r="R532" t="str">
            <v>N</v>
          </cell>
          <cell r="S532">
            <v>0</v>
          </cell>
          <cell r="T532" t="str">
            <v>M</v>
          </cell>
          <cell r="U532" t="str">
            <v>CHEDDANI ZOHRA BT AHMED</v>
          </cell>
          <cell r="V532" t="str">
            <v>KARBOUB SALHA</v>
          </cell>
          <cell r="X532">
            <v>9</v>
          </cell>
          <cell r="Y532">
            <v>4</v>
          </cell>
          <cell r="Z532" t="str">
            <v>N</v>
          </cell>
          <cell r="AB532" t="str">
            <v>X</v>
          </cell>
          <cell r="AC532" t="str">
            <v>X</v>
          </cell>
          <cell r="AD532" t="str">
            <v>X</v>
          </cell>
          <cell r="AH532" t="str">
            <v>N</v>
          </cell>
          <cell r="AI532" t="str">
            <v>N</v>
          </cell>
          <cell r="AK532" t="str">
            <v>86 RUE OULED ABDOUNE HAY EL FATH KHGA</v>
          </cell>
          <cell r="AL532" t="str">
            <v>CM2</v>
          </cell>
          <cell r="AP532" t="str">
            <v>Q 76507</v>
          </cell>
          <cell r="AQ532">
            <v>0</v>
          </cell>
          <cell r="AR532" t="str">
            <v>B</v>
          </cell>
          <cell r="AS532" t="str">
            <v>POPULAIRE.KHGA</v>
          </cell>
          <cell r="AT532" t="str">
            <v>2111136315790000</v>
          </cell>
          <cell r="AU532" t="str">
            <v>/  /</v>
          </cell>
          <cell r="AW532">
            <v>37803</v>
          </cell>
          <cell r="AY532" t="str">
            <v>XX</v>
          </cell>
          <cell r="AZ532" t="str">
            <v>M</v>
          </cell>
          <cell r="BA532" t="str">
            <v>6</v>
          </cell>
          <cell r="BB532">
            <v>1</v>
          </cell>
          <cell r="BD532">
            <v>0</v>
          </cell>
          <cell r="BE532" t="str">
            <v>M</v>
          </cell>
          <cell r="BF532" t="str">
            <v>N</v>
          </cell>
          <cell r="BG532">
            <v>40</v>
          </cell>
          <cell r="BH532">
            <v>38899</v>
          </cell>
        </row>
        <row r="533">
          <cell r="A533">
            <v>64163</v>
          </cell>
          <cell r="B533">
            <v>413</v>
          </cell>
          <cell r="C533" t="str">
            <v>C3200</v>
          </cell>
          <cell r="D533" t="str">
            <v>KARAMATE</v>
          </cell>
          <cell r="E533" t="str">
            <v>ECH-CHERKI</v>
          </cell>
          <cell r="F533">
            <v>18438</v>
          </cell>
          <cell r="G533" t="str">
            <v>1</v>
          </cell>
          <cell r="H533" t="str">
            <v>KHOURIBGA</v>
          </cell>
          <cell r="I533" t="str">
            <v>D</v>
          </cell>
          <cell r="J533">
            <v>28892</v>
          </cell>
          <cell r="K533">
            <v>35674</v>
          </cell>
          <cell r="L533" t="str">
            <v>21</v>
          </cell>
          <cell r="M533" t="str">
            <v>A</v>
          </cell>
          <cell r="N533">
            <v>35674</v>
          </cell>
          <cell r="P533">
            <v>25</v>
          </cell>
          <cell r="Q533" t="str">
            <v>O</v>
          </cell>
          <cell r="R533" t="str">
            <v>N</v>
          </cell>
          <cell r="S533">
            <v>0</v>
          </cell>
          <cell r="T533" t="str">
            <v>M</v>
          </cell>
          <cell r="U533" t="str">
            <v>AOUAMI FDILA</v>
          </cell>
          <cell r="X533">
            <v>3</v>
          </cell>
          <cell r="Y533">
            <v>3</v>
          </cell>
          <cell r="AB533" t="str">
            <v>X</v>
          </cell>
          <cell r="AC533" t="str">
            <v>X</v>
          </cell>
          <cell r="AD533" t="str">
            <v>X</v>
          </cell>
          <cell r="AH533" t="str">
            <v>N</v>
          </cell>
          <cell r="AI533" t="str">
            <v>N</v>
          </cell>
          <cell r="AK533" t="str">
            <v>229 VILLAGE OCP - BOUJNIBA</v>
          </cell>
          <cell r="AL533" t="str">
            <v>3AS</v>
          </cell>
          <cell r="AM533" t="str">
            <v>CEP.</v>
          </cell>
          <cell r="AP533" t="str">
            <v>N 5127</v>
          </cell>
          <cell r="AQ533">
            <v>0</v>
          </cell>
          <cell r="AR533" t="str">
            <v>B</v>
          </cell>
          <cell r="AS533" t="str">
            <v>B.M.C.E - KHGA</v>
          </cell>
          <cell r="AT533" t="str">
            <v>400001200000903418</v>
          </cell>
          <cell r="AU533" t="str">
            <v>/  /</v>
          </cell>
          <cell r="AW533">
            <v>40210</v>
          </cell>
          <cell r="AX533">
            <v>40210</v>
          </cell>
          <cell r="AY533" t="str">
            <v>XX</v>
          </cell>
          <cell r="BA533" t="str">
            <v>2</v>
          </cell>
          <cell r="BB533">
            <v>1</v>
          </cell>
          <cell r="BD533">
            <v>0</v>
          </cell>
          <cell r="BE533" t="str">
            <v>M</v>
          </cell>
          <cell r="BF533" t="str">
            <v>N</v>
          </cell>
          <cell r="BG533">
            <v>51</v>
          </cell>
          <cell r="BH533">
            <v>38534</v>
          </cell>
        </row>
        <row r="534">
          <cell r="A534">
            <v>64173</v>
          </cell>
          <cell r="B534">
            <v>421</v>
          </cell>
          <cell r="C534" t="str">
            <v>C5152</v>
          </cell>
          <cell r="D534" t="str">
            <v>EL BAOUDI</v>
          </cell>
          <cell r="E534" t="str">
            <v>MOHAMMED</v>
          </cell>
          <cell r="F534">
            <v>19115</v>
          </cell>
          <cell r="G534" t="str">
            <v>1</v>
          </cell>
          <cell r="H534" t="str">
            <v>OULED BHAR KBAR KHOURIBGA</v>
          </cell>
          <cell r="I534" t="str">
            <v>D</v>
          </cell>
          <cell r="J534">
            <v>26759</v>
          </cell>
          <cell r="K534">
            <v>35431</v>
          </cell>
          <cell r="L534" t="str">
            <v>31</v>
          </cell>
          <cell r="M534" t="str">
            <v>A</v>
          </cell>
          <cell r="N534">
            <v>35431</v>
          </cell>
          <cell r="P534">
            <v>30</v>
          </cell>
          <cell r="Q534" t="str">
            <v>N</v>
          </cell>
          <cell r="R534" t="str">
            <v>O</v>
          </cell>
          <cell r="S534">
            <v>3</v>
          </cell>
          <cell r="T534" t="str">
            <v>M</v>
          </cell>
          <cell r="U534" t="str">
            <v>FATIMA BENT MOHAMED</v>
          </cell>
          <cell r="X534">
            <v>6</v>
          </cell>
          <cell r="Y534">
            <v>3</v>
          </cell>
          <cell r="AB534" t="str">
            <v>X</v>
          </cell>
          <cell r="AC534" t="str">
            <v>X</v>
          </cell>
          <cell r="AD534" t="str">
            <v>X</v>
          </cell>
          <cell r="AH534" t="str">
            <v>N</v>
          </cell>
          <cell r="AI534" t="str">
            <v>N</v>
          </cell>
          <cell r="AK534" t="str">
            <v>DOUAR M'SAADA OULED BRAHIM</v>
          </cell>
          <cell r="AL534" t="str">
            <v>2 AS</v>
          </cell>
          <cell r="AM534" t="str">
            <v>CEP.</v>
          </cell>
          <cell r="AP534" t="str">
            <v>Q 30345</v>
          </cell>
          <cell r="AQ534">
            <v>0</v>
          </cell>
          <cell r="AR534" t="str">
            <v>C</v>
          </cell>
          <cell r="AS534" t="str">
            <v>C.I.H - KHGA</v>
          </cell>
          <cell r="AT534" t="str">
            <v>9831520211004700</v>
          </cell>
          <cell r="AU534" t="str">
            <v>/  /</v>
          </cell>
          <cell r="AW534">
            <v>38219</v>
          </cell>
          <cell r="AX534">
            <v>38219</v>
          </cell>
          <cell r="AY534" t="str">
            <v>XX</v>
          </cell>
          <cell r="AZ534" t="str">
            <v>M</v>
          </cell>
          <cell r="BA534" t="str">
            <v>1</v>
          </cell>
          <cell r="BB534">
            <v>1</v>
          </cell>
          <cell r="BD534">
            <v>0</v>
          </cell>
          <cell r="BE534" t="str">
            <v>M</v>
          </cell>
          <cell r="BF534" t="str">
            <v>N</v>
          </cell>
          <cell r="BG534">
            <v>0</v>
          </cell>
          <cell r="BH534">
            <v>37438</v>
          </cell>
          <cell r="BI534" t="str">
            <v>O</v>
          </cell>
        </row>
        <row r="535">
          <cell r="A535">
            <v>64176</v>
          </cell>
          <cell r="B535">
            <v>406</v>
          </cell>
          <cell r="C535" t="str">
            <v>C4050</v>
          </cell>
          <cell r="D535" t="str">
            <v>TABIT</v>
          </cell>
          <cell r="E535" t="str">
            <v>BOUCHTA</v>
          </cell>
          <cell r="F535">
            <v>19540</v>
          </cell>
          <cell r="G535" t="str">
            <v>1</v>
          </cell>
          <cell r="H535" t="str">
            <v>OULED BHAR KBAR KHOURIBGA</v>
          </cell>
          <cell r="I535" t="str">
            <v>D</v>
          </cell>
          <cell r="J535">
            <v>26758</v>
          </cell>
          <cell r="K535">
            <v>35065</v>
          </cell>
          <cell r="L535" t="str">
            <v>22</v>
          </cell>
          <cell r="M535" t="str">
            <v>B</v>
          </cell>
          <cell r="N535">
            <v>35065</v>
          </cell>
          <cell r="P535">
            <v>30</v>
          </cell>
          <cell r="Q535" t="str">
            <v>O</v>
          </cell>
          <cell r="R535" t="str">
            <v>N</v>
          </cell>
          <cell r="S535">
            <v>0</v>
          </cell>
          <cell r="T535" t="str">
            <v>M</v>
          </cell>
          <cell r="U535" t="str">
            <v>KARCHAOUI EL KBIRA</v>
          </cell>
          <cell r="X535">
            <v>4</v>
          </cell>
          <cell r="Y535">
            <v>1</v>
          </cell>
          <cell r="AB535" t="str">
            <v>X</v>
          </cell>
          <cell r="AC535" t="str">
            <v>X</v>
          </cell>
          <cell r="AD535" t="str">
            <v>X</v>
          </cell>
          <cell r="AH535" t="str">
            <v>N</v>
          </cell>
          <cell r="AI535" t="str">
            <v>N</v>
          </cell>
          <cell r="AK535" t="str">
            <v>25 BLOC J HAY EL MASSIRA KHGA</v>
          </cell>
          <cell r="AL535" t="str">
            <v>3AS</v>
          </cell>
          <cell r="AN535" t="str">
            <v>49═93═60</v>
          </cell>
          <cell r="AP535" t="str">
            <v>Q 10876</v>
          </cell>
          <cell r="AQ535">
            <v>0</v>
          </cell>
          <cell r="AR535" t="str">
            <v>B</v>
          </cell>
          <cell r="AS535" t="str">
            <v>BMCE - KHGA</v>
          </cell>
          <cell r="AT535" t="str">
            <v>4000001200001245343</v>
          </cell>
          <cell r="AU535" t="str">
            <v>/  /</v>
          </cell>
          <cell r="AW535">
            <v>37803</v>
          </cell>
          <cell r="AY535" t="str">
            <v>XX</v>
          </cell>
          <cell r="BA535" t="str">
            <v>2</v>
          </cell>
          <cell r="BB535">
            <v>1</v>
          </cell>
          <cell r="BD535">
            <v>0</v>
          </cell>
          <cell r="BE535" t="str">
            <v>M</v>
          </cell>
          <cell r="BF535" t="str">
            <v>N</v>
          </cell>
          <cell r="BG535">
            <v>4</v>
          </cell>
          <cell r="BH535">
            <v>37803</v>
          </cell>
          <cell r="BI535" t="str">
            <v>O</v>
          </cell>
        </row>
        <row r="536">
          <cell r="A536">
            <v>64187</v>
          </cell>
          <cell r="B536">
            <v>468</v>
          </cell>
          <cell r="C536" t="str">
            <v>C3152</v>
          </cell>
          <cell r="D536" t="str">
            <v>JABNI</v>
          </cell>
          <cell r="E536" t="str">
            <v>SALAH</v>
          </cell>
          <cell r="F536">
            <v>19175</v>
          </cell>
          <cell r="G536" t="str">
            <v>1</v>
          </cell>
          <cell r="H536" t="str">
            <v>OULED BHAR KBAR KHOURIBGA</v>
          </cell>
          <cell r="I536" t="str">
            <v>D</v>
          </cell>
          <cell r="J536">
            <v>26759</v>
          </cell>
          <cell r="K536">
            <v>35551</v>
          </cell>
          <cell r="L536" t="str">
            <v>21</v>
          </cell>
          <cell r="M536" t="str">
            <v>D</v>
          </cell>
          <cell r="N536">
            <v>35551</v>
          </cell>
          <cell r="P536">
            <v>30</v>
          </cell>
          <cell r="Q536" t="str">
            <v>O</v>
          </cell>
          <cell r="R536" t="str">
            <v>N</v>
          </cell>
          <cell r="S536">
            <v>0</v>
          </cell>
          <cell r="T536" t="str">
            <v>M</v>
          </cell>
          <cell r="U536" t="str">
            <v>EL MAAKOULI EL MILOUDIA</v>
          </cell>
          <cell r="V536" t="str">
            <v>EL ATIA KHADDOUJ</v>
          </cell>
          <cell r="W536" t="str">
            <v>CHABLAOUI FATNA</v>
          </cell>
          <cell r="X536">
            <v>8</v>
          </cell>
          <cell r="Y536">
            <v>1</v>
          </cell>
          <cell r="AB536" t="str">
            <v>X</v>
          </cell>
          <cell r="AC536" t="str">
            <v>X</v>
          </cell>
          <cell r="AD536" t="str">
            <v>X</v>
          </cell>
          <cell r="AH536" t="str">
            <v>N</v>
          </cell>
          <cell r="AI536" t="str">
            <v>O</v>
          </cell>
          <cell r="AJ536">
            <v>32507</v>
          </cell>
          <cell r="AK536" t="str">
            <v>185 DERB 2 BOUJNIBA</v>
          </cell>
          <cell r="AL536" t="str">
            <v>1AS</v>
          </cell>
          <cell r="AP536" t="str">
            <v>Q 70892</v>
          </cell>
          <cell r="AQ536">
            <v>0</v>
          </cell>
          <cell r="AR536" t="str">
            <v>B</v>
          </cell>
          <cell r="AS536" t="str">
            <v>B.POPULAIRE -KHGA-</v>
          </cell>
          <cell r="AT536" t="str">
            <v>2111172877540004</v>
          </cell>
          <cell r="AU536" t="str">
            <v>/  /</v>
          </cell>
          <cell r="AW536">
            <v>37438</v>
          </cell>
          <cell r="AY536" t="str">
            <v>XX</v>
          </cell>
          <cell r="BA536" t="str">
            <v>1</v>
          </cell>
          <cell r="BB536">
            <v>1</v>
          </cell>
          <cell r="BD536">
            <v>0</v>
          </cell>
          <cell r="BE536" t="str">
            <v>M</v>
          </cell>
          <cell r="BF536" t="str">
            <v>N</v>
          </cell>
          <cell r="BG536">
            <v>51</v>
          </cell>
          <cell r="BH536">
            <v>37438</v>
          </cell>
          <cell r="BI536" t="str">
            <v>O</v>
          </cell>
        </row>
        <row r="537">
          <cell r="A537">
            <v>64243</v>
          </cell>
          <cell r="B537">
            <v>421</v>
          </cell>
          <cell r="C537" t="str">
            <v>C3152</v>
          </cell>
          <cell r="D537" t="str">
            <v>ZRIBTOU</v>
          </cell>
          <cell r="E537" t="str">
            <v>EL BOUAZZAOUI</v>
          </cell>
          <cell r="F537">
            <v>18809</v>
          </cell>
          <cell r="G537" t="str">
            <v>1</v>
          </cell>
          <cell r="H537" t="str">
            <v>KHOURIBGA</v>
          </cell>
          <cell r="I537" t="str">
            <v>D</v>
          </cell>
          <cell r="J537">
            <v>28121</v>
          </cell>
          <cell r="K537">
            <v>32325</v>
          </cell>
          <cell r="L537" t="str">
            <v>21</v>
          </cell>
          <cell r="M537" t="str">
            <v>B</v>
          </cell>
          <cell r="N537">
            <v>34516</v>
          </cell>
          <cell r="P537">
            <v>26</v>
          </cell>
          <cell r="Q537" t="str">
            <v>O</v>
          </cell>
          <cell r="R537" t="str">
            <v>N</v>
          </cell>
          <cell r="S537">
            <v>0</v>
          </cell>
          <cell r="T537" t="str">
            <v>M</v>
          </cell>
          <cell r="U537" t="str">
            <v>FATNA BENT EL KBIR</v>
          </cell>
          <cell r="X537">
            <v>5</v>
          </cell>
          <cell r="Y537">
            <v>2</v>
          </cell>
          <cell r="AB537" t="str">
            <v>X</v>
          </cell>
          <cell r="AC537" t="str">
            <v>X</v>
          </cell>
          <cell r="AD537" t="str">
            <v>X</v>
          </cell>
          <cell r="AH537" t="str">
            <v>N</v>
          </cell>
          <cell r="AI537" t="str">
            <v>N</v>
          </cell>
          <cell r="AK537" t="str">
            <v>303 ANCIENNE MEDINA DE SECHAGE KHGA</v>
          </cell>
          <cell r="AL537" t="str">
            <v>1AS</v>
          </cell>
          <cell r="AM537" t="str">
            <v>CQP.</v>
          </cell>
          <cell r="AP537" t="str">
            <v>Q 81418</v>
          </cell>
          <cell r="AQ537">
            <v>0</v>
          </cell>
          <cell r="AR537" t="str">
            <v>B</v>
          </cell>
          <cell r="AS537" t="str">
            <v>WAFABANK - KHGA</v>
          </cell>
          <cell r="AT537" t="str">
            <v>1220301282590</v>
          </cell>
          <cell r="AU537" t="str">
            <v>/  /</v>
          </cell>
          <cell r="AW537">
            <v>37803</v>
          </cell>
          <cell r="AY537" t="str">
            <v>XX</v>
          </cell>
          <cell r="AZ537" t="str">
            <v>R</v>
          </cell>
          <cell r="BA537" t="str">
            <v>1</v>
          </cell>
          <cell r="BB537">
            <v>1</v>
          </cell>
          <cell r="BD537">
            <v>0</v>
          </cell>
          <cell r="BE537" t="str">
            <v>M</v>
          </cell>
          <cell r="BF537" t="str">
            <v>N</v>
          </cell>
          <cell r="BG537">
            <v>4</v>
          </cell>
          <cell r="BH537">
            <v>37803</v>
          </cell>
        </row>
        <row r="538">
          <cell r="A538">
            <v>64268</v>
          </cell>
          <cell r="B538">
            <v>421</v>
          </cell>
          <cell r="C538" t="str">
            <v>C7002</v>
          </cell>
          <cell r="D538" t="str">
            <v>NOUIGA</v>
          </cell>
          <cell r="E538" t="str">
            <v>ABDELLAH</v>
          </cell>
          <cell r="F538">
            <v>18809</v>
          </cell>
          <cell r="H538" t="str">
            <v>TAZA</v>
          </cell>
          <cell r="I538" t="str">
            <v>D</v>
          </cell>
          <cell r="J538">
            <v>26774</v>
          </cell>
          <cell r="K538">
            <v>33573</v>
          </cell>
          <cell r="L538" t="str">
            <v>33</v>
          </cell>
          <cell r="M538" t="str">
            <v>A</v>
          </cell>
          <cell r="N538">
            <v>33573</v>
          </cell>
          <cell r="P538">
            <v>30</v>
          </cell>
          <cell r="Q538" t="str">
            <v>O</v>
          </cell>
          <cell r="R538" t="str">
            <v>N</v>
          </cell>
          <cell r="S538">
            <v>0</v>
          </cell>
          <cell r="T538" t="str">
            <v>M</v>
          </cell>
          <cell r="U538" t="str">
            <v>KABBOUR MALIKA BENT M'HAMED</v>
          </cell>
          <cell r="X538">
            <v>4</v>
          </cell>
          <cell r="Y538">
            <v>3</v>
          </cell>
          <cell r="AB538" t="str">
            <v>X</v>
          </cell>
          <cell r="AC538" t="str">
            <v>X</v>
          </cell>
          <cell r="AD538" t="str">
            <v>X</v>
          </cell>
          <cell r="AH538" t="str">
            <v>N</v>
          </cell>
          <cell r="AI538" t="str">
            <v>N</v>
          </cell>
          <cell r="AK538" t="str">
            <v>5 OUED NOUN PEPINIERE O.C.P - KHGA</v>
          </cell>
          <cell r="AL538" t="str">
            <v>3AS</v>
          </cell>
          <cell r="AM538" t="str">
            <v>CEP.CFO</v>
          </cell>
          <cell r="AO538" t="str">
            <v>OOOO</v>
          </cell>
          <cell r="AP538" t="str">
            <v>Q 41661</v>
          </cell>
          <cell r="AQ538">
            <v>0</v>
          </cell>
          <cell r="AR538" t="str">
            <v>B</v>
          </cell>
          <cell r="AS538" t="str">
            <v>C.I.H - KHGA</v>
          </cell>
          <cell r="AT538" t="str">
            <v>9388331</v>
          </cell>
          <cell r="AU538" t="str">
            <v>/  /</v>
          </cell>
          <cell r="AW538">
            <v>37622</v>
          </cell>
          <cell r="AX538">
            <v>37555</v>
          </cell>
          <cell r="AY538" t="str">
            <v>XX</v>
          </cell>
          <cell r="AZ538" t="str">
            <v>M</v>
          </cell>
          <cell r="BA538" t="str">
            <v>2</v>
          </cell>
          <cell r="BB538">
            <v>1</v>
          </cell>
          <cell r="BC538" t="str">
            <v>O</v>
          </cell>
          <cell r="BD538">
            <v>4</v>
          </cell>
          <cell r="BE538" t="str">
            <v>M</v>
          </cell>
          <cell r="BF538" t="str">
            <v>N</v>
          </cell>
          <cell r="BG538">
            <v>4</v>
          </cell>
          <cell r="BH538">
            <v>37073</v>
          </cell>
        </row>
        <row r="539">
          <cell r="A539">
            <v>64447</v>
          </cell>
          <cell r="B539">
            <v>403</v>
          </cell>
          <cell r="C539" t="str">
            <v>C6050</v>
          </cell>
          <cell r="D539" t="str">
            <v>EL KHEIR</v>
          </cell>
          <cell r="E539" t="str">
            <v>EL HAJ</v>
          </cell>
          <cell r="F539">
            <v>19175</v>
          </cell>
          <cell r="G539" t="str">
            <v>1</v>
          </cell>
          <cell r="H539" t="str">
            <v>OULED BHAR SGHAR KHOURIBGA</v>
          </cell>
          <cell r="I539" t="str">
            <v>D</v>
          </cell>
          <cell r="J539">
            <v>26819</v>
          </cell>
          <cell r="K539">
            <v>36526</v>
          </cell>
          <cell r="L539" t="str">
            <v>32</v>
          </cell>
          <cell r="M539" t="str">
            <v>A</v>
          </cell>
          <cell r="N539">
            <v>36526</v>
          </cell>
          <cell r="P539">
            <v>29</v>
          </cell>
          <cell r="Q539" t="str">
            <v>O</v>
          </cell>
          <cell r="R539" t="str">
            <v>N</v>
          </cell>
          <cell r="S539">
            <v>0</v>
          </cell>
          <cell r="T539" t="str">
            <v>M</v>
          </cell>
          <cell r="U539" t="str">
            <v>EL BOUCHTAOUIA BENT SALAH</v>
          </cell>
          <cell r="X539">
            <v>4</v>
          </cell>
          <cell r="Y539">
            <v>2</v>
          </cell>
          <cell r="AB539" t="str">
            <v>X</v>
          </cell>
          <cell r="AC539" t="str">
            <v>X</v>
          </cell>
          <cell r="AD539" t="str">
            <v>X</v>
          </cell>
          <cell r="AH539" t="str">
            <v>N</v>
          </cell>
          <cell r="AI539" t="str">
            <v>N</v>
          </cell>
          <cell r="AK539" t="str">
            <v>115 NELLE EXTENSION KHGA</v>
          </cell>
          <cell r="AL539" t="str">
            <v>3AS</v>
          </cell>
          <cell r="AM539" t="str">
            <v>CEP.</v>
          </cell>
          <cell r="AO539" t="str">
            <v>3223</v>
          </cell>
          <cell r="AP539" t="str">
            <v>Q 35164</v>
          </cell>
          <cell r="AQ539">
            <v>0</v>
          </cell>
          <cell r="AR539" t="str">
            <v>B</v>
          </cell>
          <cell r="AS539" t="str">
            <v>BMCI  KHGA</v>
          </cell>
          <cell r="AT539" t="str">
            <v>282686421301</v>
          </cell>
          <cell r="AU539" t="str">
            <v>/  /</v>
          </cell>
          <cell r="AW539">
            <v>37438</v>
          </cell>
          <cell r="AY539" t="str">
            <v>XX</v>
          </cell>
          <cell r="BA539" t="str">
            <v>2</v>
          </cell>
          <cell r="BB539">
            <v>1</v>
          </cell>
          <cell r="BD539">
            <v>0</v>
          </cell>
          <cell r="BE539" t="str">
            <v>M</v>
          </cell>
          <cell r="BF539" t="str">
            <v>N</v>
          </cell>
          <cell r="BG539">
            <v>1</v>
          </cell>
          <cell r="BH539">
            <v>37438</v>
          </cell>
        </row>
        <row r="540">
          <cell r="A540">
            <v>64460</v>
          </cell>
          <cell r="B540">
            <v>426</v>
          </cell>
          <cell r="C540" t="str">
            <v>C5050</v>
          </cell>
          <cell r="D540" t="str">
            <v>JAIDANE</v>
          </cell>
          <cell r="E540" t="str">
            <v>ABDELMOULA</v>
          </cell>
          <cell r="F540">
            <v>19175</v>
          </cell>
          <cell r="G540" t="str">
            <v>1</v>
          </cell>
          <cell r="H540" t="str">
            <v>KHOURIBGA</v>
          </cell>
          <cell r="I540" t="str">
            <v>D</v>
          </cell>
          <cell r="J540">
            <v>26826</v>
          </cell>
          <cell r="K540">
            <v>37073</v>
          </cell>
          <cell r="L540" t="str">
            <v>31</v>
          </cell>
          <cell r="M540" t="str">
            <v>A</v>
          </cell>
          <cell r="N540">
            <v>37073</v>
          </cell>
          <cell r="P540">
            <v>29</v>
          </cell>
          <cell r="Q540" t="str">
            <v>O</v>
          </cell>
          <cell r="R540" t="str">
            <v>N</v>
          </cell>
          <cell r="S540">
            <v>0</v>
          </cell>
          <cell r="T540" t="str">
            <v>M</v>
          </cell>
          <cell r="U540" t="str">
            <v>SAMRANI SAADIA</v>
          </cell>
          <cell r="X540">
            <v>11</v>
          </cell>
          <cell r="Y540">
            <v>6</v>
          </cell>
          <cell r="AB540" t="str">
            <v>X</v>
          </cell>
          <cell r="AC540" t="str">
            <v>X</v>
          </cell>
          <cell r="AD540" t="str">
            <v>X</v>
          </cell>
          <cell r="AH540" t="str">
            <v>N</v>
          </cell>
          <cell r="AI540" t="str">
            <v>N</v>
          </cell>
          <cell r="AK540" t="str">
            <v>353 NOUVEAUX LOGEMENTS OCP KHGA</v>
          </cell>
          <cell r="AL540" t="str">
            <v>3AS</v>
          </cell>
          <cell r="AP540" t="str">
            <v>Q 29653</v>
          </cell>
          <cell r="AQ540">
            <v>0</v>
          </cell>
          <cell r="AR540" t="str">
            <v>B</v>
          </cell>
          <cell r="AS540" t="str">
            <v>POPULAIRE KHGA</v>
          </cell>
          <cell r="AT540" t="str">
            <v>2111112851380001</v>
          </cell>
          <cell r="AU540" t="str">
            <v>/  /</v>
          </cell>
          <cell r="AW540">
            <v>38219</v>
          </cell>
          <cell r="AX540">
            <v>38219</v>
          </cell>
          <cell r="AY540" t="str">
            <v>XX</v>
          </cell>
          <cell r="AZ540" t="str">
            <v>M</v>
          </cell>
          <cell r="BA540" t="str">
            <v>2</v>
          </cell>
          <cell r="BB540">
            <v>1</v>
          </cell>
          <cell r="BD540">
            <v>0</v>
          </cell>
          <cell r="BE540" t="str">
            <v>M</v>
          </cell>
          <cell r="BF540" t="str">
            <v>N</v>
          </cell>
          <cell r="BG540">
            <v>4</v>
          </cell>
          <cell r="BH540">
            <v>37438</v>
          </cell>
        </row>
        <row r="541">
          <cell r="A541">
            <v>64469</v>
          </cell>
          <cell r="B541">
            <v>418</v>
          </cell>
          <cell r="C541" t="str">
            <v>C5152</v>
          </cell>
          <cell r="D541" t="str">
            <v>BENABOUD</v>
          </cell>
          <cell r="E541" t="str">
            <v>SALAH</v>
          </cell>
          <cell r="F541">
            <v>19710</v>
          </cell>
          <cell r="G541" t="str">
            <v>1</v>
          </cell>
          <cell r="H541" t="str">
            <v>OULED BHAR KBAR KHOURIBGA</v>
          </cell>
          <cell r="I541" t="str">
            <v>D</v>
          </cell>
          <cell r="J541">
            <v>26826</v>
          </cell>
          <cell r="K541">
            <v>37073</v>
          </cell>
          <cell r="L541" t="str">
            <v>31</v>
          </cell>
          <cell r="M541" t="str">
            <v>A</v>
          </cell>
          <cell r="N541">
            <v>37073</v>
          </cell>
          <cell r="P541">
            <v>29</v>
          </cell>
          <cell r="Q541" t="str">
            <v>O</v>
          </cell>
          <cell r="R541" t="str">
            <v>N</v>
          </cell>
          <cell r="S541">
            <v>0</v>
          </cell>
          <cell r="T541" t="str">
            <v>M</v>
          </cell>
          <cell r="U541" t="str">
            <v>KHATIB SAADIA</v>
          </cell>
          <cell r="X541">
            <v>5</v>
          </cell>
          <cell r="Y541">
            <v>3</v>
          </cell>
          <cell r="AB541" t="str">
            <v>X</v>
          </cell>
          <cell r="AC541" t="str">
            <v>X</v>
          </cell>
          <cell r="AD541" t="str">
            <v>X</v>
          </cell>
          <cell r="AH541" t="str">
            <v>N</v>
          </cell>
          <cell r="AI541" t="str">
            <v>N</v>
          </cell>
          <cell r="AK541" t="str">
            <v>40 ANCIENNE MEDINA - BOUJNIBA</v>
          </cell>
          <cell r="AL541" t="str">
            <v>CM2</v>
          </cell>
          <cell r="AP541" t="str">
            <v>Q 18917</v>
          </cell>
          <cell r="AQ541">
            <v>0</v>
          </cell>
          <cell r="AR541" t="str">
            <v>B</v>
          </cell>
          <cell r="AS541" t="str">
            <v>CNCA. KHGA</v>
          </cell>
          <cell r="AT541" t="str">
            <v>0805582 W 601</v>
          </cell>
          <cell r="AU541" t="str">
            <v>/  /</v>
          </cell>
          <cell r="AW541">
            <v>37987</v>
          </cell>
          <cell r="AY541" t="str">
            <v>O+</v>
          </cell>
          <cell r="BA541" t="str">
            <v>1</v>
          </cell>
          <cell r="BB541">
            <v>1</v>
          </cell>
          <cell r="BD541">
            <v>0</v>
          </cell>
          <cell r="BE541" t="str">
            <v>M</v>
          </cell>
          <cell r="BF541" t="str">
            <v>N</v>
          </cell>
          <cell r="BG541">
            <v>50</v>
          </cell>
          <cell r="BH541">
            <v>38169</v>
          </cell>
          <cell r="BI541" t="str">
            <v>O</v>
          </cell>
        </row>
        <row r="542">
          <cell r="A542">
            <v>64493</v>
          </cell>
          <cell r="B542">
            <v>428</v>
          </cell>
          <cell r="C542" t="str">
            <v>C4411</v>
          </cell>
          <cell r="D542" t="str">
            <v>EN-NAMI</v>
          </cell>
          <cell r="E542" t="str">
            <v>MOHAMED</v>
          </cell>
          <cell r="F542">
            <v>19006</v>
          </cell>
          <cell r="G542" t="str">
            <v>1</v>
          </cell>
          <cell r="H542" t="str">
            <v>OULED BHAR KBAR KHOURIBGA</v>
          </cell>
          <cell r="I542" t="str">
            <v>D</v>
          </cell>
          <cell r="J542">
            <v>26827</v>
          </cell>
          <cell r="K542">
            <v>33573</v>
          </cell>
          <cell r="L542" t="str">
            <v>22</v>
          </cell>
          <cell r="M542" t="str">
            <v>B</v>
          </cell>
          <cell r="N542">
            <v>35612</v>
          </cell>
          <cell r="P542">
            <v>29</v>
          </cell>
          <cell r="Q542" t="str">
            <v>O</v>
          </cell>
          <cell r="R542" t="str">
            <v>N</v>
          </cell>
          <cell r="S542">
            <v>0</v>
          </cell>
          <cell r="T542" t="str">
            <v>M</v>
          </cell>
          <cell r="U542" t="str">
            <v>JEMAA BENT CHERKI</v>
          </cell>
          <cell r="X542">
            <v>7</v>
          </cell>
          <cell r="Y542">
            <v>3</v>
          </cell>
          <cell r="AB542" t="str">
            <v>X</v>
          </cell>
          <cell r="AC542" t="str">
            <v>X</v>
          </cell>
          <cell r="AD542" t="str">
            <v>X</v>
          </cell>
          <cell r="AH542" t="str">
            <v>N</v>
          </cell>
          <cell r="AI542" t="str">
            <v>N</v>
          </cell>
          <cell r="AK542" t="str">
            <v>246 NELLE CONSTRUCTION DE SECHAGE KHGA</v>
          </cell>
          <cell r="AL542" t="str">
            <v>1AS</v>
          </cell>
          <cell r="AP542" t="str">
            <v>Q 16271</v>
          </cell>
          <cell r="AQ542">
            <v>0</v>
          </cell>
          <cell r="AR542" t="str">
            <v>B</v>
          </cell>
          <cell r="AS542" t="str">
            <v>BMCE. KHGA</v>
          </cell>
          <cell r="AT542" t="str">
            <v>40001200000613970</v>
          </cell>
          <cell r="AU542" t="str">
            <v>22/01/11</v>
          </cell>
          <cell r="AW542">
            <v>37438</v>
          </cell>
          <cell r="AY542" t="str">
            <v>XX</v>
          </cell>
          <cell r="AZ542" t="str">
            <v>M</v>
          </cell>
          <cell r="BA542" t="str">
            <v>0</v>
          </cell>
          <cell r="BB542">
            <v>1</v>
          </cell>
          <cell r="BD542">
            <v>0</v>
          </cell>
          <cell r="BE542" t="str">
            <v>M</v>
          </cell>
          <cell r="BF542" t="str">
            <v>N</v>
          </cell>
          <cell r="BG542">
            <v>4</v>
          </cell>
          <cell r="BH542">
            <v>37438</v>
          </cell>
        </row>
        <row r="543">
          <cell r="A543">
            <v>64858</v>
          </cell>
          <cell r="B543">
            <v>412</v>
          </cell>
          <cell r="C543" t="str">
            <v>C6036</v>
          </cell>
          <cell r="D543" t="str">
            <v>TAOUIL</v>
          </cell>
          <cell r="E543" t="str">
            <v>AHMED</v>
          </cell>
          <cell r="F543">
            <v>19348</v>
          </cell>
          <cell r="G543" t="str">
            <v>1</v>
          </cell>
          <cell r="H543" t="str">
            <v>KHOURIBGA</v>
          </cell>
          <cell r="I543" t="str">
            <v>D</v>
          </cell>
          <cell r="J543">
            <v>26921</v>
          </cell>
          <cell r="K543">
            <v>32448</v>
          </cell>
          <cell r="L543" t="str">
            <v>32</v>
          </cell>
          <cell r="M543" t="str">
            <v>A</v>
          </cell>
          <cell r="N543">
            <v>32448</v>
          </cell>
          <cell r="P543">
            <v>29</v>
          </cell>
          <cell r="Q543" t="str">
            <v>O</v>
          </cell>
          <cell r="R543" t="str">
            <v>N</v>
          </cell>
          <cell r="S543">
            <v>0</v>
          </cell>
          <cell r="T543" t="str">
            <v>M</v>
          </cell>
          <cell r="U543" t="str">
            <v>MOUCHIR MINA</v>
          </cell>
          <cell r="X543">
            <v>5</v>
          </cell>
          <cell r="Y543">
            <v>2</v>
          </cell>
          <cell r="AB543" t="str">
            <v>X</v>
          </cell>
          <cell r="AC543" t="str">
            <v>X</v>
          </cell>
          <cell r="AD543" t="str">
            <v>X</v>
          </cell>
          <cell r="AH543" t="str">
            <v>N</v>
          </cell>
          <cell r="AI543" t="str">
            <v>O</v>
          </cell>
          <cell r="AJ543">
            <v>32507</v>
          </cell>
          <cell r="AK543" t="str">
            <v>17 RUE 45 QUARTIER NAJIOULLAH KHGA</v>
          </cell>
          <cell r="AL543" t="str">
            <v>4 AS</v>
          </cell>
          <cell r="AM543" t="str">
            <v>CES.CFO</v>
          </cell>
          <cell r="AP543" t="str">
            <v>Q 83888</v>
          </cell>
          <cell r="AQ543">
            <v>0</v>
          </cell>
          <cell r="AR543" t="str">
            <v>B</v>
          </cell>
          <cell r="AS543" t="str">
            <v>WAFABANK - KHGA</v>
          </cell>
          <cell r="AT543" t="str">
            <v>1220301301687</v>
          </cell>
          <cell r="AU543" t="str">
            <v>/  /</v>
          </cell>
          <cell r="AW543">
            <v>37622</v>
          </cell>
          <cell r="AY543" t="str">
            <v>XX</v>
          </cell>
          <cell r="AZ543" t="str">
            <v>R</v>
          </cell>
          <cell r="BA543" t="str">
            <v>2</v>
          </cell>
          <cell r="BB543">
            <v>1</v>
          </cell>
          <cell r="BD543">
            <v>0</v>
          </cell>
          <cell r="BE543" t="str">
            <v>M</v>
          </cell>
          <cell r="BF543" t="str">
            <v>N</v>
          </cell>
          <cell r="BG543">
            <v>1</v>
          </cell>
          <cell r="BH543">
            <v>37803</v>
          </cell>
          <cell r="BI543" t="str">
            <v>O</v>
          </cell>
        </row>
        <row r="544">
          <cell r="A544">
            <v>64863</v>
          </cell>
          <cell r="B544">
            <v>457</v>
          </cell>
          <cell r="C544" t="str">
            <v>C3000</v>
          </cell>
          <cell r="D544" t="str">
            <v>INOUSS</v>
          </cell>
          <cell r="E544" t="str">
            <v>MOHAMMED</v>
          </cell>
          <cell r="F544">
            <v>19178</v>
          </cell>
          <cell r="G544" t="str">
            <v>1</v>
          </cell>
          <cell r="H544" t="str">
            <v>KHOURIBGA</v>
          </cell>
          <cell r="I544" t="str">
            <v>D</v>
          </cell>
          <cell r="J544">
            <v>26924</v>
          </cell>
          <cell r="K544">
            <v>35704</v>
          </cell>
          <cell r="L544" t="str">
            <v>21</v>
          </cell>
          <cell r="M544" t="str">
            <v>F</v>
          </cell>
          <cell r="N544">
            <v>35612</v>
          </cell>
          <cell r="P544">
            <v>29</v>
          </cell>
          <cell r="Q544" t="str">
            <v>O</v>
          </cell>
          <cell r="R544" t="str">
            <v>N</v>
          </cell>
          <cell r="S544">
            <v>0</v>
          </cell>
          <cell r="T544" t="str">
            <v>M</v>
          </cell>
          <cell r="U544" t="str">
            <v>RABHA BENT EL KBIR</v>
          </cell>
          <cell r="X544">
            <v>4</v>
          </cell>
          <cell r="Y544">
            <v>4</v>
          </cell>
          <cell r="AB544" t="str">
            <v>X</v>
          </cell>
          <cell r="AC544" t="str">
            <v>X</v>
          </cell>
          <cell r="AD544" t="str">
            <v>X</v>
          </cell>
          <cell r="AH544" t="str">
            <v>N</v>
          </cell>
          <cell r="AI544" t="str">
            <v>N</v>
          </cell>
          <cell r="AK544" t="str">
            <v>319 NLLE MEDINA DE SECHAGE OCP KHGA</v>
          </cell>
          <cell r="AL544" t="str">
            <v>CM2</v>
          </cell>
          <cell r="AP544" t="str">
            <v>Q 80052</v>
          </cell>
          <cell r="AQ544">
            <v>0</v>
          </cell>
          <cell r="AR544" t="str">
            <v>B</v>
          </cell>
          <cell r="AS544" t="str">
            <v>POPULAIRE.KHGA</v>
          </cell>
          <cell r="AT544" t="str">
            <v>2111136313980009</v>
          </cell>
          <cell r="AU544" t="str">
            <v>/  /</v>
          </cell>
          <cell r="AW544">
            <v>37622</v>
          </cell>
          <cell r="AY544" t="str">
            <v>XX</v>
          </cell>
          <cell r="AZ544" t="str">
            <v>R</v>
          </cell>
          <cell r="BA544" t="str">
            <v>6</v>
          </cell>
          <cell r="BB544">
            <v>1</v>
          </cell>
          <cell r="BD544">
            <v>0</v>
          </cell>
          <cell r="BE544" t="str">
            <v>M</v>
          </cell>
          <cell r="BF544" t="str">
            <v>N</v>
          </cell>
          <cell r="BG544">
            <v>5</v>
          </cell>
          <cell r="BH544">
            <v>37622</v>
          </cell>
        </row>
        <row r="545">
          <cell r="A545">
            <v>64879</v>
          </cell>
          <cell r="B545">
            <v>403</v>
          </cell>
          <cell r="C545" t="str">
            <v>C4001</v>
          </cell>
          <cell r="D545" t="str">
            <v>AMMOURI</v>
          </cell>
          <cell r="E545" t="str">
            <v>ABDELLAH</v>
          </cell>
          <cell r="F545">
            <v>19175</v>
          </cell>
          <cell r="G545" t="str">
            <v>1</v>
          </cell>
          <cell r="H545" t="str">
            <v>OULED BHAR SGHAR KHOURIBGA</v>
          </cell>
          <cell r="I545" t="str">
            <v>D</v>
          </cell>
          <cell r="J545">
            <v>26926</v>
          </cell>
          <cell r="K545">
            <v>37012</v>
          </cell>
          <cell r="L545" t="str">
            <v>22</v>
          </cell>
          <cell r="M545" t="str">
            <v>A</v>
          </cell>
          <cell r="N545">
            <v>37012</v>
          </cell>
          <cell r="P545">
            <v>29</v>
          </cell>
          <cell r="Q545" t="str">
            <v>O</v>
          </cell>
          <cell r="R545" t="str">
            <v>N</v>
          </cell>
          <cell r="S545">
            <v>0</v>
          </cell>
          <cell r="T545" t="str">
            <v>M</v>
          </cell>
          <cell r="U545" t="str">
            <v>AYOUBI SAMIRA BENT MOHAMED</v>
          </cell>
          <cell r="X545">
            <v>3</v>
          </cell>
          <cell r="Y545">
            <v>3</v>
          </cell>
          <cell r="Z545" t="str">
            <v>N</v>
          </cell>
          <cell r="AB545" t="str">
            <v>X</v>
          </cell>
          <cell r="AC545" t="str">
            <v>X</v>
          </cell>
          <cell r="AD545" t="str">
            <v>X</v>
          </cell>
          <cell r="AH545" t="str">
            <v>N</v>
          </cell>
          <cell r="AI545" t="str">
            <v>N</v>
          </cell>
          <cell r="AK545" t="str">
            <v>166 ANCIENNE MEDINA DE SECHAGE KHGA</v>
          </cell>
          <cell r="AL545" t="str">
            <v>3AS</v>
          </cell>
          <cell r="AP545" t="str">
            <v>Q 71172</v>
          </cell>
          <cell r="AQ545">
            <v>0</v>
          </cell>
          <cell r="AR545" t="str">
            <v>B</v>
          </cell>
          <cell r="AS545" t="str">
            <v>BMCE. KHGA</v>
          </cell>
          <cell r="AT545" t="str">
            <v>40001200000687690</v>
          </cell>
          <cell r="AU545" t="str">
            <v>/  /</v>
          </cell>
          <cell r="AW545">
            <v>37438</v>
          </cell>
          <cell r="AY545" t="str">
            <v>XX</v>
          </cell>
          <cell r="BA545" t="str">
            <v>2</v>
          </cell>
          <cell r="BB545">
            <v>1</v>
          </cell>
          <cell r="BD545">
            <v>0</v>
          </cell>
          <cell r="BE545" t="str">
            <v>M</v>
          </cell>
          <cell r="BF545" t="str">
            <v>N</v>
          </cell>
          <cell r="BG545">
            <v>1</v>
          </cell>
          <cell r="BH545">
            <v>37438</v>
          </cell>
        </row>
        <row r="546">
          <cell r="A546">
            <v>64888</v>
          </cell>
          <cell r="B546">
            <v>438</v>
          </cell>
          <cell r="C546" t="str">
            <v>C3050</v>
          </cell>
          <cell r="D546" t="str">
            <v>EL HIBARI</v>
          </cell>
          <cell r="E546" t="str">
            <v>CHERKI</v>
          </cell>
          <cell r="F546">
            <v>19540</v>
          </cell>
          <cell r="G546" t="str">
            <v>1</v>
          </cell>
          <cell r="H546" t="str">
            <v>OULED BHAR KBAR KHOURIBGA</v>
          </cell>
          <cell r="I546" t="str">
            <v>D</v>
          </cell>
          <cell r="J546">
            <v>28521</v>
          </cell>
          <cell r="K546">
            <v>37012</v>
          </cell>
          <cell r="L546" t="str">
            <v>21</v>
          </cell>
          <cell r="M546" t="str">
            <v>A</v>
          </cell>
          <cell r="N546">
            <v>37012</v>
          </cell>
          <cell r="P546">
            <v>25</v>
          </cell>
          <cell r="Q546" t="str">
            <v>O</v>
          </cell>
          <cell r="R546" t="str">
            <v>N</v>
          </cell>
          <cell r="S546">
            <v>0</v>
          </cell>
          <cell r="T546" t="str">
            <v>M</v>
          </cell>
          <cell r="U546" t="str">
            <v>YASSIM FATIMA</v>
          </cell>
          <cell r="X546">
            <v>4</v>
          </cell>
          <cell r="Y546">
            <v>2</v>
          </cell>
          <cell r="AB546" t="str">
            <v>X</v>
          </cell>
          <cell r="AC546" t="str">
            <v>X</v>
          </cell>
          <cell r="AD546" t="str">
            <v>X</v>
          </cell>
          <cell r="AH546" t="str">
            <v>N</v>
          </cell>
          <cell r="AI546" t="str">
            <v>N</v>
          </cell>
          <cell r="AK546" t="str">
            <v>409 NELLE MEDINA DE SECHAGE KHGA</v>
          </cell>
          <cell r="AL546" t="str">
            <v>CM2</v>
          </cell>
          <cell r="AP546" t="str">
            <v>Q 52995</v>
          </cell>
          <cell r="AQ546">
            <v>0</v>
          </cell>
          <cell r="AR546" t="str">
            <v>B</v>
          </cell>
          <cell r="AS546" t="str">
            <v>B.M.C.E - KHGA</v>
          </cell>
          <cell r="AT546" t="str">
            <v>40001200000545682</v>
          </cell>
          <cell r="AU546" t="str">
            <v>/  /</v>
          </cell>
          <cell r="AW546">
            <v>37803</v>
          </cell>
          <cell r="AY546" t="str">
            <v>XX</v>
          </cell>
          <cell r="BA546" t="str">
            <v>2</v>
          </cell>
          <cell r="BB546">
            <v>1</v>
          </cell>
          <cell r="BD546">
            <v>0</v>
          </cell>
          <cell r="BE546" t="str">
            <v>M</v>
          </cell>
          <cell r="BF546" t="str">
            <v>N</v>
          </cell>
          <cell r="BG546">
            <v>4</v>
          </cell>
          <cell r="BH546">
            <v>38169</v>
          </cell>
        </row>
        <row r="547">
          <cell r="A547">
            <v>64891</v>
          </cell>
          <cell r="B547">
            <v>468</v>
          </cell>
          <cell r="C547" t="str">
            <v>C4102</v>
          </cell>
          <cell r="D547" t="str">
            <v>SALAMA</v>
          </cell>
          <cell r="E547" t="str">
            <v>MOHAMMED</v>
          </cell>
          <cell r="F547">
            <v>19140</v>
          </cell>
          <cell r="G547" t="str">
            <v>1</v>
          </cell>
          <cell r="H547" t="str">
            <v>KHOURIBGA</v>
          </cell>
          <cell r="I547" t="str">
            <v>D</v>
          </cell>
          <cell r="J547">
            <v>26926</v>
          </cell>
          <cell r="K547">
            <v>33573</v>
          </cell>
          <cell r="L547" t="str">
            <v>22</v>
          </cell>
          <cell r="M547" t="str">
            <v>A</v>
          </cell>
          <cell r="N547">
            <v>33573</v>
          </cell>
          <cell r="P547">
            <v>29</v>
          </cell>
          <cell r="Q547" t="str">
            <v>O</v>
          </cell>
          <cell r="R547" t="str">
            <v>N</v>
          </cell>
          <cell r="S547">
            <v>0</v>
          </cell>
          <cell r="T547" t="str">
            <v>M</v>
          </cell>
          <cell r="U547" t="str">
            <v>CHATOUANE AICHA</v>
          </cell>
          <cell r="X547">
            <v>5</v>
          </cell>
          <cell r="Y547">
            <v>3</v>
          </cell>
          <cell r="AB547" t="str">
            <v>X</v>
          </cell>
          <cell r="AC547" t="str">
            <v>X</v>
          </cell>
          <cell r="AD547" t="str">
            <v>X</v>
          </cell>
          <cell r="AH547" t="str">
            <v>N</v>
          </cell>
          <cell r="AI547" t="str">
            <v>N</v>
          </cell>
          <cell r="AK547" t="str">
            <v>44 NELLE COSTRUCTION DE SECHAGE KHGA</v>
          </cell>
          <cell r="AL547" t="str">
            <v>3 AS</v>
          </cell>
          <cell r="AP547" t="str">
            <v>Q 39645</v>
          </cell>
          <cell r="AQ547">
            <v>0</v>
          </cell>
          <cell r="AR547" t="str">
            <v>B</v>
          </cell>
          <cell r="AS547" t="str">
            <v>BMCI-KHOURIBGA</v>
          </cell>
          <cell r="AT547" t="str">
            <v>02821088539301</v>
          </cell>
          <cell r="AU547" t="str">
            <v>22/05/84</v>
          </cell>
          <cell r="AW547">
            <v>37438</v>
          </cell>
          <cell r="AY547" t="str">
            <v>XX</v>
          </cell>
          <cell r="AZ547" t="str">
            <v>M</v>
          </cell>
          <cell r="BA547" t="str">
            <v>1</v>
          </cell>
          <cell r="BB547">
            <v>1</v>
          </cell>
          <cell r="BD547">
            <v>0</v>
          </cell>
          <cell r="BE547" t="str">
            <v>M</v>
          </cell>
          <cell r="BF547" t="str">
            <v>N</v>
          </cell>
          <cell r="BG547">
            <v>5</v>
          </cell>
          <cell r="BH547">
            <v>37438</v>
          </cell>
        </row>
        <row r="548">
          <cell r="A548">
            <v>64894</v>
          </cell>
          <cell r="B548">
            <v>466</v>
          </cell>
          <cell r="C548" t="str">
            <v>C4050</v>
          </cell>
          <cell r="D548" t="str">
            <v>SENNAA</v>
          </cell>
          <cell r="E548" t="str">
            <v>EL MOSTAFA</v>
          </cell>
          <cell r="F548">
            <v>19343</v>
          </cell>
          <cell r="G548" t="str">
            <v>1</v>
          </cell>
          <cell r="H548" t="str">
            <v>OULED BHAR SGHAR KHOURIBGA</v>
          </cell>
          <cell r="I548" t="str">
            <v>D</v>
          </cell>
          <cell r="J548">
            <v>26926</v>
          </cell>
          <cell r="K548">
            <v>33573</v>
          </cell>
          <cell r="L548" t="str">
            <v>22</v>
          </cell>
          <cell r="M548" t="str">
            <v>A</v>
          </cell>
          <cell r="N548">
            <v>33573</v>
          </cell>
          <cell r="P548">
            <v>29</v>
          </cell>
          <cell r="Q548" t="str">
            <v>O</v>
          </cell>
          <cell r="R548" t="str">
            <v>N</v>
          </cell>
          <cell r="S548">
            <v>0</v>
          </cell>
          <cell r="T548" t="str">
            <v>M</v>
          </cell>
          <cell r="U548" t="str">
            <v>EL BOUCHTAOUI FATIMA</v>
          </cell>
          <cell r="X548">
            <v>5</v>
          </cell>
          <cell r="Y548">
            <v>5</v>
          </cell>
          <cell r="AB548" t="str">
            <v>X</v>
          </cell>
          <cell r="AC548" t="str">
            <v>X</v>
          </cell>
          <cell r="AD548" t="str">
            <v>X</v>
          </cell>
          <cell r="AH548" t="str">
            <v>N</v>
          </cell>
          <cell r="AI548" t="str">
            <v>N</v>
          </cell>
          <cell r="AK548" t="str">
            <v>156 VILLAGE O.C.P - OUED ZEM</v>
          </cell>
          <cell r="AL548" t="str">
            <v>1 AS</v>
          </cell>
          <cell r="AP548" t="str">
            <v>Q 36286</v>
          </cell>
          <cell r="AQ548">
            <v>0</v>
          </cell>
          <cell r="AR548" t="str">
            <v>B</v>
          </cell>
          <cell r="AS548" t="str">
            <v>POPULAIRE.O-ZEM</v>
          </cell>
          <cell r="AT548" t="str">
            <v>2111136286180009</v>
          </cell>
          <cell r="AU548" t="str">
            <v>/  /</v>
          </cell>
          <cell r="AW548">
            <v>37622</v>
          </cell>
          <cell r="AY548" t="str">
            <v>XX</v>
          </cell>
          <cell r="BA548" t="str">
            <v>2</v>
          </cell>
          <cell r="BB548">
            <v>1</v>
          </cell>
          <cell r="BD548">
            <v>0</v>
          </cell>
          <cell r="BE548" t="str">
            <v>M</v>
          </cell>
          <cell r="BF548" t="str">
            <v>N</v>
          </cell>
          <cell r="BG548">
            <v>31</v>
          </cell>
          <cell r="BH548">
            <v>37803</v>
          </cell>
          <cell r="BI548" t="str">
            <v>O</v>
          </cell>
        </row>
        <row r="549">
          <cell r="A549">
            <v>64945</v>
          </cell>
          <cell r="B549">
            <v>403</v>
          </cell>
          <cell r="C549" t="str">
            <v>C4152</v>
          </cell>
          <cell r="D549" t="str">
            <v>DINI</v>
          </cell>
          <cell r="E549" t="str">
            <v>MOHAMMED</v>
          </cell>
          <cell r="F549">
            <v>19540</v>
          </cell>
          <cell r="G549" t="str">
            <v>3</v>
          </cell>
          <cell r="H549" t="str">
            <v>BOUJNIBA</v>
          </cell>
          <cell r="I549" t="str">
            <v>D</v>
          </cell>
          <cell r="J549">
            <v>26927</v>
          </cell>
          <cell r="K549">
            <v>37012</v>
          </cell>
          <cell r="L549" t="str">
            <v>22</v>
          </cell>
          <cell r="M549" t="str">
            <v>A</v>
          </cell>
          <cell r="N549">
            <v>37012</v>
          </cell>
          <cell r="P549">
            <v>29</v>
          </cell>
          <cell r="Q549" t="str">
            <v>O</v>
          </cell>
          <cell r="R549" t="str">
            <v>N</v>
          </cell>
          <cell r="S549">
            <v>0</v>
          </cell>
          <cell r="T549" t="str">
            <v>M</v>
          </cell>
          <cell r="U549" t="str">
            <v>ZOUBIDA BENT MOHAMED</v>
          </cell>
          <cell r="X549">
            <v>7</v>
          </cell>
          <cell r="Y549">
            <v>6</v>
          </cell>
          <cell r="AB549" t="str">
            <v>X</v>
          </cell>
          <cell r="AC549" t="str">
            <v>X</v>
          </cell>
          <cell r="AD549" t="str">
            <v>X</v>
          </cell>
          <cell r="AH549" t="str">
            <v>N</v>
          </cell>
          <cell r="AI549" t="str">
            <v>N</v>
          </cell>
          <cell r="AK549" t="str">
            <v>615 VILLAGE O.C.P - BOUJNIBA</v>
          </cell>
          <cell r="AL549" t="str">
            <v>2AS</v>
          </cell>
          <cell r="AP549" t="str">
            <v>Q 66169</v>
          </cell>
          <cell r="AQ549">
            <v>0</v>
          </cell>
          <cell r="AR549" t="str">
            <v>C</v>
          </cell>
          <cell r="AU549" t="str">
            <v>/  /</v>
          </cell>
          <cell r="AW549">
            <v>37803</v>
          </cell>
          <cell r="AY549" t="str">
            <v>XX</v>
          </cell>
          <cell r="BA549" t="str">
            <v>1</v>
          </cell>
          <cell r="BB549">
            <v>1</v>
          </cell>
          <cell r="BD549">
            <v>0</v>
          </cell>
          <cell r="BE549" t="str">
            <v>M</v>
          </cell>
          <cell r="BF549" t="str">
            <v>N</v>
          </cell>
          <cell r="BG549">
            <v>50</v>
          </cell>
          <cell r="BH549">
            <v>37803</v>
          </cell>
        </row>
        <row r="550">
          <cell r="A550">
            <v>64971</v>
          </cell>
          <cell r="B550">
            <v>437</v>
          </cell>
          <cell r="C550" t="str">
            <v>C5450</v>
          </cell>
          <cell r="D550" t="str">
            <v>SIF</v>
          </cell>
          <cell r="E550" t="str">
            <v>M'HAMED</v>
          </cell>
          <cell r="F550">
            <v>18809</v>
          </cell>
          <cell r="G550" t="str">
            <v>1</v>
          </cell>
          <cell r="H550" t="str">
            <v>OULED BHAR SGHAR KHOURIBGA</v>
          </cell>
          <cell r="I550" t="str">
            <v>D</v>
          </cell>
          <cell r="J550">
            <v>26929</v>
          </cell>
          <cell r="K550">
            <v>34151</v>
          </cell>
          <cell r="L550" t="str">
            <v>31</v>
          </cell>
          <cell r="M550" t="str">
            <v>A</v>
          </cell>
          <cell r="N550">
            <v>34151</v>
          </cell>
          <cell r="P550">
            <v>29</v>
          </cell>
          <cell r="Q550" t="str">
            <v>N</v>
          </cell>
          <cell r="R550" t="str">
            <v>O</v>
          </cell>
          <cell r="S550">
            <v>3</v>
          </cell>
          <cell r="T550" t="str">
            <v>M</v>
          </cell>
          <cell r="U550" t="str">
            <v>MINA BENT LAHCEN</v>
          </cell>
          <cell r="X550">
            <v>2</v>
          </cell>
          <cell r="Y550">
            <v>1</v>
          </cell>
          <cell r="AB550" t="str">
            <v>X</v>
          </cell>
          <cell r="AC550" t="str">
            <v>X</v>
          </cell>
          <cell r="AD550" t="str">
            <v>X</v>
          </cell>
          <cell r="AH550" t="str">
            <v>N</v>
          </cell>
          <cell r="AI550" t="str">
            <v>N</v>
          </cell>
          <cell r="AK550" t="str">
            <v>DOUAR OULED CHEIKH ALI OULED ABDOUNE KHA</v>
          </cell>
          <cell r="AL550" t="str">
            <v>3AS</v>
          </cell>
          <cell r="AN550" t="str">
            <v>49═72═69</v>
          </cell>
          <cell r="AP550" t="str">
            <v>Q 951</v>
          </cell>
          <cell r="AQ550">
            <v>0</v>
          </cell>
          <cell r="AR550" t="str">
            <v>B</v>
          </cell>
          <cell r="AS550" t="str">
            <v>POPULAIRE.KHGA</v>
          </cell>
          <cell r="AT550" t="str">
            <v>0211113630478000453</v>
          </cell>
          <cell r="AU550" t="str">
            <v>/  /</v>
          </cell>
          <cell r="AW550">
            <v>37622</v>
          </cell>
          <cell r="AX550">
            <v>37555</v>
          </cell>
          <cell r="AY550" t="str">
            <v>XX</v>
          </cell>
          <cell r="BA550" t="str">
            <v>2</v>
          </cell>
          <cell r="BB550">
            <v>1</v>
          </cell>
          <cell r="BD550">
            <v>0</v>
          </cell>
          <cell r="BE550" t="str">
            <v>M</v>
          </cell>
          <cell r="BF550" t="str">
            <v>N</v>
          </cell>
          <cell r="BG550">
            <v>0</v>
          </cell>
          <cell r="BH550">
            <v>37073</v>
          </cell>
          <cell r="BI550" t="str">
            <v>O</v>
          </cell>
        </row>
        <row r="551">
          <cell r="A551">
            <v>64983</v>
          </cell>
          <cell r="B551">
            <v>461</v>
          </cell>
          <cell r="C551" t="str">
            <v>C4152</v>
          </cell>
          <cell r="D551" t="str">
            <v>EL MAHJOUR</v>
          </cell>
          <cell r="E551" t="str">
            <v>EL MAATI</v>
          </cell>
          <cell r="F551">
            <v>19384</v>
          </cell>
          <cell r="G551" t="str">
            <v>3</v>
          </cell>
          <cell r="H551" t="str">
            <v>BOUJNIBA</v>
          </cell>
          <cell r="I551" t="str">
            <v>D</v>
          </cell>
          <cell r="J551">
            <v>26935</v>
          </cell>
          <cell r="K551">
            <v>37012</v>
          </cell>
          <cell r="L551" t="str">
            <v>22</v>
          </cell>
          <cell r="M551" t="str">
            <v>A</v>
          </cell>
          <cell r="N551">
            <v>37012</v>
          </cell>
          <cell r="P551">
            <v>29</v>
          </cell>
          <cell r="Q551" t="str">
            <v>O</v>
          </cell>
          <cell r="R551" t="str">
            <v>N</v>
          </cell>
          <cell r="S551">
            <v>0</v>
          </cell>
          <cell r="T551" t="str">
            <v>M</v>
          </cell>
          <cell r="U551" t="str">
            <v>EDDAHBI FATIMA BENT SALAH</v>
          </cell>
          <cell r="X551">
            <v>8</v>
          </cell>
          <cell r="Y551">
            <v>6</v>
          </cell>
          <cell r="AB551" t="str">
            <v>X</v>
          </cell>
          <cell r="AC551" t="str">
            <v>X</v>
          </cell>
          <cell r="AD551" t="str">
            <v>X</v>
          </cell>
          <cell r="AH551" t="str">
            <v>N</v>
          </cell>
          <cell r="AI551" t="str">
            <v>N</v>
          </cell>
          <cell r="AK551" t="str">
            <v>525 NLE CONSTRUCTION VILLAGE OCP BOUNIBA</v>
          </cell>
          <cell r="AL551" t="str">
            <v>CM2</v>
          </cell>
          <cell r="AP551" t="str">
            <v>Q 25363</v>
          </cell>
          <cell r="AQ551">
            <v>0</v>
          </cell>
          <cell r="AR551" t="str">
            <v>C</v>
          </cell>
          <cell r="AU551" t="str">
            <v>/  /</v>
          </cell>
          <cell r="AW551">
            <v>37803</v>
          </cell>
          <cell r="AY551" t="str">
            <v>XX</v>
          </cell>
          <cell r="BA551" t="str">
            <v>0</v>
          </cell>
          <cell r="BB551">
            <v>1</v>
          </cell>
          <cell r="BD551">
            <v>0</v>
          </cell>
          <cell r="BE551" t="str">
            <v>M</v>
          </cell>
          <cell r="BF551" t="str">
            <v>N</v>
          </cell>
          <cell r="BG551">
            <v>51</v>
          </cell>
          <cell r="BH551">
            <v>37803</v>
          </cell>
        </row>
        <row r="552">
          <cell r="A552">
            <v>65015</v>
          </cell>
          <cell r="B552">
            <v>437</v>
          </cell>
          <cell r="C552" t="str">
            <v>C3450</v>
          </cell>
          <cell r="D552" t="str">
            <v>EL YAMINE</v>
          </cell>
          <cell r="E552" t="str">
            <v>MOHAMMED</v>
          </cell>
          <cell r="F552">
            <v>19175</v>
          </cell>
          <cell r="G552" t="str">
            <v>4</v>
          </cell>
          <cell r="H552" t="str">
            <v>BOULANOUAR</v>
          </cell>
          <cell r="I552" t="str">
            <v>D</v>
          </cell>
          <cell r="J552">
            <v>26952</v>
          </cell>
          <cell r="K552">
            <v>35977</v>
          </cell>
          <cell r="L552" t="str">
            <v>21</v>
          </cell>
          <cell r="M552" t="str">
            <v>D</v>
          </cell>
          <cell r="N552">
            <v>35977</v>
          </cell>
          <cell r="P552">
            <v>29</v>
          </cell>
          <cell r="Q552" t="str">
            <v>O</v>
          </cell>
          <cell r="R552" t="str">
            <v>N</v>
          </cell>
          <cell r="S552">
            <v>0</v>
          </cell>
          <cell r="T552" t="str">
            <v>M</v>
          </cell>
          <cell r="U552" t="str">
            <v>RAIF FATIMA</v>
          </cell>
          <cell r="X552">
            <v>6</v>
          </cell>
          <cell r="Y552">
            <v>5</v>
          </cell>
          <cell r="AB552" t="str">
            <v>X</v>
          </cell>
          <cell r="AC552" t="str">
            <v>X</v>
          </cell>
          <cell r="AD552" t="str">
            <v>X</v>
          </cell>
          <cell r="AH552" t="str">
            <v>N</v>
          </cell>
          <cell r="AI552" t="str">
            <v>N</v>
          </cell>
          <cell r="AK552" t="str">
            <v>1050 VILLAGE O.C.P - BOULANOIR</v>
          </cell>
          <cell r="AL552" t="str">
            <v>CM2</v>
          </cell>
          <cell r="AP552" t="str">
            <v>Q 83852</v>
          </cell>
          <cell r="AQ552">
            <v>0</v>
          </cell>
          <cell r="AR552" t="str">
            <v>B</v>
          </cell>
          <cell r="AS552" t="str">
            <v>SGMB - KHGA</v>
          </cell>
          <cell r="AT552" t="str">
            <v>06700093890941</v>
          </cell>
          <cell r="AU552" t="str">
            <v>/  /</v>
          </cell>
          <cell r="AW552">
            <v>37438</v>
          </cell>
          <cell r="AY552" t="str">
            <v>XX</v>
          </cell>
          <cell r="BA552" t="str">
            <v>2</v>
          </cell>
          <cell r="BB552">
            <v>1</v>
          </cell>
          <cell r="BD552">
            <v>0</v>
          </cell>
          <cell r="BE552" t="str">
            <v>M</v>
          </cell>
          <cell r="BF552" t="str">
            <v>N</v>
          </cell>
          <cell r="BG552">
            <v>41</v>
          </cell>
          <cell r="BH552">
            <v>37438</v>
          </cell>
        </row>
        <row r="553">
          <cell r="A553">
            <v>65110</v>
          </cell>
          <cell r="B553">
            <v>421</v>
          </cell>
          <cell r="C553" t="str">
            <v>C6152</v>
          </cell>
          <cell r="D553" t="str">
            <v>CHAMRAH</v>
          </cell>
          <cell r="E553" t="str">
            <v>MOHAMMED</v>
          </cell>
          <cell r="F553">
            <v>19360</v>
          </cell>
          <cell r="G553" t="str">
            <v>4</v>
          </cell>
          <cell r="H553" t="str">
            <v>BOULANOUAR</v>
          </cell>
          <cell r="I553" t="str">
            <v>D</v>
          </cell>
          <cell r="J553">
            <v>26975</v>
          </cell>
          <cell r="K553">
            <v>36526</v>
          </cell>
          <cell r="L553" t="str">
            <v>32</v>
          </cell>
          <cell r="M553" t="str">
            <v>A</v>
          </cell>
          <cell r="N553">
            <v>36526</v>
          </cell>
          <cell r="P553">
            <v>29</v>
          </cell>
          <cell r="Q553" t="str">
            <v>O</v>
          </cell>
          <cell r="R553" t="str">
            <v>N</v>
          </cell>
          <cell r="S553">
            <v>0</v>
          </cell>
          <cell r="T553" t="str">
            <v>M</v>
          </cell>
          <cell r="U553" t="str">
            <v>NAJEH BAHIJA</v>
          </cell>
          <cell r="X553">
            <v>4</v>
          </cell>
          <cell r="Y553">
            <v>4</v>
          </cell>
          <cell r="AB553" t="str">
            <v>X</v>
          </cell>
          <cell r="AC553" t="str">
            <v>X</v>
          </cell>
          <cell r="AD553" t="str">
            <v>X</v>
          </cell>
          <cell r="AH553" t="str">
            <v>N</v>
          </cell>
          <cell r="AI553" t="str">
            <v>N</v>
          </cell>
          <cell r="AK553" t="str">
            <v>103 NELLE EXTENSION SECHAGE KHGA</v>
          </cell>
          <cell r="AL553" t="str">
            <v>1AS</v>
          </cell>
          <cell r="AM553" t="str">
            <v>CFP.CFO</v>
          </cell>
          <cell r="AP553" t="str">
            <v>Q 112223</v>
          </cell>
          <cell r="AQ553">
            <v>0</v>
          </cell>
          <cell r="AR553" t="str">
            <v>B</v>
          </cell>
          <cell r="AS553" t="str">
            <v>BMCE - KHGA</v>
          </cell>
          <cell r="AT553" t="str">
            <v>400010296001184912</v>
          </cell>
          <cell r="AU553" t="str">
            <v>/  /</v>
          </cell>
          <cell r="AW553">
            <v>37803</v>
          </cell>
          <cell r="AY553" t="str">
            <v>XX</v>
          </cell>
          <cell r="BA553" t="str">
            <v>6</v>
          </cell>
          <cell r="BB553">
            <v>1</v>
          </cell>
          <cell r="BC553" t="str">
            <v>O</v>
          </cell>
          <cell r="BD553">
            <v>4</v>
          </cell>
          <cell r="BE553" t="str">
            <v>M</v>
          </cell>
          <cell r="BF553" t="str">
            <v>N</v>
          </cell>
          <cell r="BG553">
            <v>4</v>
          </cell>
          <cell r="BH553">
            <v>37803</v>
          </cell>
        </row>
        <row r="554">
          <cell r="A554">
            <v>65214</v>
          </cell>
          <cell r="B554">
            <v>421</v>
          </cell>
          <cell r="C554" t="str">
            <v>C5152</v>
          </cell>
          <cell r="D554" t="str">
            <v>SAMAA</v>
          </cell>
          <cell r="E554" t="str">
            <v>ABDESSLAM</v>
          </cell>
          <cell r="F554">
            <v>19175</v>
          </cell>
          <cell r="G554" t="str">
            <v>1</v>
          </cell>
          <cell r="H554" t="str">
            <v>BOIJNIBA</v>
          </cell>
          <cell r="I554" t="str">
            <v>D</v>
          </cell>
          <cell r="J554">
            <v>27052</v>
          </cell>
          <cell r="K554">
            <v>35431</v>
          </cell>
          <cell r="L554" t="str">
            <v>31</v>
          </cell>
          <cell r="M554" t="str">
            <v>A</v>
          </cell>
          <cell r="N554">
            <v>35431</v>
          </cell>
          <cell r="P554">
            <v>29</v>
          </cell>
          <cell r="Q554" t="str">
            <v>O</v>
          </cell>
          <cell r="R554" t="str">
            <v>N</v>
          </cell>
          <cell r="S554">
            <v>0</v>
          </cell>
          <cell r="T554" t="str">
            <v>M</v>
          </cell>
          <cell r="U554" t="str">
            <v>BENTASQI ZAHRA</v>
          </cell>
          <cell r="X554">
            <v>5</v>
          </cell>
          <cell r="Y554">
            <v>5</v>
          </cell>
          <cell r="AB554" t="str">
            <v>X</v>
          </cell>
          <cell r="AC554" t="str">
            <v>X</v>
          </cell>
          <cell r="AD554" t="str">
            <v>X</v>
          </cell>
          <cell r="AH554" t="str">
            <v>N</v>
          </cell>
          <cell r="AI554" t="str">
            <v>N</v>
          </cell>
          <cell r="AK554" t="str">
            <v>56 NOUVELLE MEDINA SECHAGE - KHGA</v>
          </cell>
          <cell r="AL554" t="str">
            <v>3AS</v>
          </cell>
          <cell r="AP554" t="str">
            <v>Q 71082</v>
          </cell>
          <cell r="AQ554">
            <v>0</v>
          </cell>
          <cell r="AR554" t="str">
            <v>B</v>
          </cell>
          <cell r="AS554" t="str">
            <v>CR.MAROC - KHGA</v>
          </cell>
          <cell r="AT554" t="str">
            <v>082001057812</v>
          </cell>
          <cell r="AU554" t="str">
            <v>/  /</v>
          </cell>
          <cell r="AW554">
            <v>38219</v>
          </cell>
          <cell r="AX554">
            <v>38219</v>
          </cell>
          <cell r="AY554" t="str">
            <v>XX</v>
          </cell>
          <cell r="AZ554" t="str">
            <v>M</v>
          </cell>
          <cell r="BA554" t="str">
            <v>1</v>
          </cell>
          <cell r="BB554">
            <v>1</v>
          </cell>
          <cell r="BD554">
            <v>0</v>
          </cell>
          <cell r="BE554" t="str">
            <v>M</v>
          </cell>
          <cell r="BF554" t="str">
            <v>N</v>
          </cell>
          <cell r="BG554">
            <v>4</v>
          </cell>
          <cell r="BH554">
            <v>37438</v>
          </cell>
          <cell r="BI554" t="str">
            <v>O</v>
          </cell>
        </row>
        <row r="555">
          <cell r="A555">
            <v>65275</v>
          </cell>
          <cell r="B555">
            <v>421</v>
          </cell>
          <cell r="C555" t="str">
            <v>C4017</v>
          </cell>
          <cell r="D555" t="str">
            <v>EL OUANNAS</v>
          </cell>
          <cell r="E555" t="str">
            <v>YOUNES</v>
          </cell>
          <cell r="F555">
            <v>19175</v>
          </cell>
          <cell r="G555" t="str">
            <v>2</v>
          </cell>
          <cell r="H555" t="str">
            <v>OUED-ZEM</v>
          </cell>
          <cell r="I555" t="str">
            <v>D</v>
          </cell>
          <cell r="J555">
            <v>27066</v>
          </cell>
          <cell r="K555">
            <v>32448</v>
          </cell>
          <cell r="L555" t="str">
            <v>22</v>
          </cell>
          <cell r="M555" t="str">
            <v>C</v>
          </cell>
          <cell r="N555">
            <v>35612</v>
          </cell>
          <cell r="P555">
            <v>30</v>
          </cell>
          <cell r="Q555" t="str">
            <v>O</v>
          </cell>
          <cell r="R555" t="str">
            <v>N</v>
          </cell>
          <cell r="S555">
            <v>0</v>
          </cell>
          <cell r="T555" t="str">
            <v>M</v>
          </cell>
          <cell r="U555" t="str">
            <v>JADILI IZZA</v>
          </cell>
          <cell r="X555">
            <v>1</v>
          </cell>
          <cell r="Y555">
            <v>0</v>
          </cell>
          <cell r="AB555" t="str">
            <v>N</v>
          </cell>
          <cell r="AC555" t="str">
            <v>X</v>
          </cell>
          <cell r="AD555" t="str">
            <v>X</v>
          </cell>
          <cell r="AH555" t="str">
            <v>N</v>
          </cell>
          <cell r="AI555" t="str">
            <v>N</v>
          </cell>
          <cell r="AK555" t="str">
            <v>46 DERB OULED EL KHOU OUED ZEM</v>
          </cell>
          <cell r="AL555" t="str">
            <v>CM2</v>
          </cell>
          <cell r="AP555" t="str">
            <v>Q 18154</v>
          </cell>
          <cell r="AQ555">
            <v>0</v>
          </cell>
          <cell r="AR555" t="str">
            <v>C</v>
          </cell>
          <cell r="AU555" t="str">
            <v>/  /</v>
          </cell>
          <cell r="AW555">
            <v>37438</v>
          </cell>
          <cell r="AY555" t="str">
            <v>XX</v>
          </cell>
          <cell r="BA555" t="str">
            <v>2</v>
          </cell>
          <cell r="BB555">
            <v>1</v>
          </cell>
          <cell r="BD555">
            <v>0</v>
          </cell>
          <cell r="BE555" t="str">
            <v>M</v>
          </cell>
          <cell r="BF555" t="str">
            <v>N</v>
          </cell>
          <cell r="BG555">
            <v>30</v>
          </cell>
          <cell r="BH555">
            <v>37438</v>
          </cell>
          <cell r="BI555" t="str">
            <v>O</v>
          </cell>
        </row>
        <row r="556">
          <cell r="A556">
            <v>65359</v>
          </cell>
          <cell r="B556">
            <v>403</v>
          </cell>
          <cell r="C556" t="str">
            <v>C6801</v>
          </cell>
          <cell r="D556" t="str">
            <v>EL MORNAN</v>
          </cell>
          <cell r="E556" t="str">
            <v>M'HAMMED</v>
          </cell>
          <cell r="F556">
            <v>19444</v>
          </cell>
          <cell r="G556" t="str">
            <v>6</v>
          </cell>
          <cell r="H556" t="str">
            <v>M'FASSIS</v>
          </cell>
          <cell r="I556" t="str">
            <v>D</v>
          </cell>
          <cell r="J556">
            <v>27089</v>
          </cell>
          <cell r="K556">
            <v>37043</v>
          </cell>
          <cell r="L556" t="str">
            <v>32</v>
          </cell>
          <cell r="M556" t="str">
            <v>A</v>
          </cell>
          <cell r="N556">
            <v>37043</v>
          </cell>
          <cell r="P556">
            <v>29</v>
          </cell>
          <cell r="Q556" t="str">
            <v>O</v>
          </cell>
          <cell r="R556" t="str">
            <v>N</v>
          </cell>
          <cell r="S556">
            <v>0</v>
          </cell>
          <cell r="T556" t="str">
            <v>M</v>
          </cell>
          <cell r="U556" t="str">
            <v>DARAJA IZZA</v>
          </cell>
          <cell r="X556">
            <v>5</v>
          </cell>
          <cell r="Y556">
            <v>5</v>
          </cell>
          <cell r="AB556" t="str">
            <v>X</v>
          </cell>
          <cell r="AC556" t="str">
            <v>X</v>
          </cell>
          <cell r="AD556" t="str">
            <v>X</v>
          </cell>
          <cell r="AH556" t="str">
            <v>N</v>
          </cell>
          <cell r="AI556" t="str">
            <v>N</v>
          </cell>
          <cell r="AK556" t="str">
            <v>312 NOUVELLE CONSTRUCTION OCP - KHGA</v>
          </cell>
          <cell r="AL556" t="str">
            <v>3AS</v>
          </cell>
          <cell r="AM556" t="str">
            <v>CFO.</v>
          </cell>
          <cell r="AP556" t="str">
            <v>Q 67188</v>
          </cell>
          <cell r="AQ556">
            <v>0</v>
          </cell>
          <cell r="AR556" t="str">
            <v>B</v>
          </cell>
          <cell r="AS556" t="str">
            <v>POPULAIRE .KHGA</v>
          </cell>
          <cell r="AT556" t="str">
            <v>2111112831750000</v>
          </cell>
          <cell r="AU556" t="str">
            <v>28/12/96</v>
          </cell>
          <cell r="AW556">
            <v>38882</v>
          </cell>
          <cell r="AX556">
            <v>38882</v>
          </cell>
          <cell r="AY556" t="str">
            <v>XX</v>
          </cell>
          <cell r="BA556" t="str">
            <v>0</v>
          </cell>
          <cell r="BB556">
            <v>1</v>
          </cell>
          <cell r="BD556">
            <v>0</v>
          </cell>
          <cell r="BE556" t="str">
            <v>M</v>
          </cell>
          <cell r="BF556" t="str">
            <v>N</v>
          </cell>
          <cell r="BG556">
            <v>1</v>
          </cell>
          <cell r="BH556">
            <v>37803</v>
          </cell>
        </row>
        <row r="557">
          <cell r="A557">
            <v>65360</v>
          </cell>
          <cell r="B557">
            <v>461</v>
          </cell>
          <cell r="C557" t="str">
            <v>C4401</v>
          </cell>
          <cell r="D557" t="str">
            <v>DANIANE</v>
          </cell>
          <cell r="E557" t="str">
            <v>MOHAMED</v>
          </cell>
          <cell r="F557">
            <v>19398</v>
          </cell>
          <cell r="G557" t="str">
            <v>1</v>
          </cell>
          <cell r="H557" t="str">
            <v>OULED BHAR SGHAR KHOURIBGA</v>
          </cell>
          <cell r="I557" t="str">
            <v>D</v>
          </cell>
          <cell r="J557">
            <v>27089</v>
          </cell>
          <cell r="K557">
            <v>32478</v>
          </cell>
          <cell r="L557" t="str">
            <v>22</v>
          </cell>
          <cell r="M557" t="str">
            <v>D</v>
          </cell>
          <cell r="N557">
            <v>35612</v>
          </cell>
          <cell r="P557">
            <v>29</v>
          </cell>
          <cell r="Q557" t="str">
            <v>O</v>
          </cell>
          <cell r="R557" t="str">
            <v>N</v>
          </cell>
          <cell r="S557">
            <v>0</v>
          </cell>
          <cell r="T557" t="str">
            <v>M</v>
          </cell>
          <cell r="U557" t="str">
            <v>SAMAA ZOUBIDA</v>
          </cell>
          <cell r="X557">
            <v>6</v>
          </cell>
          <cell r="Y557">
            <v>3</v>
          </cell>
          <cell r="AB557" t="str">
            <v>X</v>
          </cell>
          <cell r="AC557" t="str">
            <v>X</v>
          </cell>
          <cell r="AD557" t="str">
            <v>X</v>
          </cell>
          <cell r="AH557" t="str">
            <v>N</v>
          </cell>
          <cell r="AI557" t="str">
            <v>N</v>
          </cell>
          <cell r="AK557" t="str">
            <v>3 HAY AMAL - KHOURIBGA</v>
          </cell>
          <cell r="AL557" t="str">
            <v>CM2</v>
          </cell>
          <cell r="AP557" t="str">
            <v>Q 34837</v>
          </cell>
          <cell r="AQ557">
            <v>0</v>
          </cell>
          <cell r="AR557" t="str">
            <v>C</v>
          </cell>
          <cell r="AU557" t="str">
            <v>/  /</v>
          </cell>
          <cell r="AW557">
            <v>37803</v>
          </cell>
          <cell r="AY557" t="str">
            <v>XX</v>
          </cell>
          <cell r="BA557" t="str">
            <v>0</v>
          </cell>
          <cell r="BB557">
            <v>1</v>
          </cell>
          <cell r="BD557">
            <v>0</v>
          </cell>
          <cell r="BE557" t="str">
            <v>M</v>
          </cell>
          <cell r="BF557" t="str">
            <v>N</v>
          </cell>
          <cell r="BG557">
            <v>4</v>
          </cell>
          <cell r="BH557">
            <v>37803</v>
          </cell>
          <cell r="BI557" t="str">
            <v>O</v>
          </cell>
        </row>
        <row r="558">
          <cell r="A558">
            <v>65371</v>
          </cell>
          <cell r="B558">
            <v>468</v>
          </cell>
          <cell r="C558" t="str">
            <v>C4102</v>
          </cell>
          <cell r="D558" t="str">
            <v>ZAKI</v>
          </cell>
          <cell r="E558" t="str">
            <v>EL MATI</v>
          </cell>
          <cell r="F558">
            <v>19157</v>
          </cell>
          <cell r="H558" t="str">
            <v>SIDI BENDAOUD - SETTAT</v>
          </cell>
          <cell r="I558" t="str">
            <v>D</v>
          </cell>
          <cell r="J558">
            <v>27093</v>
          </cell>
          <cell r="K558">
            <v>33573</v>
          </cell>
          <cell r="L558" t="str">
            <v>22</v>
          </cell>
          <cell r="M558" t="str">
            <v>C</v>
          </cell>
          <cell r="N558">
            <v>35612</v>
          </cell>
          <cell r="P558">
            <v>29</v>
          </cell>
          <cell r="Q558" t="str">
            <v>O</v>
          </cell>
          <cell r="R558" t="str">
            <v>N</v>
          </cell>
          <cell r="S558">
            <v>0</v>
          </cell>
          <cell r="T558" t="str">
            <v>M</v>
          </cell>
          <cell r="U558" t="str">
            <v>FATNA BENT MOHAMMED</v>
          </cell>
          <cell r="X558">
            <v>6</v>
          </cell>
          <cell r="Y558">
            <v>4</v>
          </cell>
          <cell r="AB558" t="str">
            <v>X</v>
          </cell>
          <cell r="AC558" t="str">
            <v>X</v>
          </cell>
          <cell r="AD558" t="str">
            <v>X</v>
          </cell>
          <cell r="AH558" t="str">
            <v>N</v>
          </cell>
          <cell r="AI558" t="str">
            <v>N</v>
          </cell>
          <cell r="AK558" t="str">
            <v>344 BLOC A EL WAHDA OUED ZEM</v>
          </cell>
          <cell r="AL558" t="str">
            <v>3AS</v>
          </cell>
          <cell r="AM558" t="str">
            <v>CEP.</v>
          </cell>
          <cell r="AP558" t="str">
            <v>Q 17044</v>
          </cell>
          <cell r="AQ558">
            <v>0</v>
          </cell>
          <cell r="AR558" t="str">
            <v>B</v>
          </cell>
          <cell r="AS558" t="str">
            <v>BMCE- O-ZEM</v>
          </cell>
          <cell r="AT558" t="str">
            <v>4110001200000533936</v>
          </cell>
          <cell r="AU558" t="str">
            <v>10/05/96</v>
          </cell>
          <cell r="AW558">
            <v>37438</v>
          </cell>
          <cell r="AY558" t="str">
            <v>XX</v>
          </cell>
          <cell r="AZ558" t="str">
            <v>M</v>
          </cell>
          <cell r="BA558" t="str">
            <v>1</v>
          </cell>
          <cell r="BB558">
            <v>1</v>
          </cell>
          <cell r="BD558">
            <v>0</v>
          </cell>
          <cell r="BE558" t="str">
            <v>M</v>
          </cell>
          <cell r="BF558" t="str">
            <v>N</v>
          </cell>
          <cell r="BG558">
            <v>31</v>
          </cell>
          <cell r="BH558">
            <v>37438</v>
          </cell>
          <cell r="BI558" t="str">
            <v>O</v>
          </cell>
        </row>
        <row r="559">
          <cell r="A559">
            <v>65542</v>
          </cell>
          <cell r="B559">
            <v>421</v>
          </cell>
          <cell r="C559" t="str">
            <v>C7001</v>
          </cell>
          <cell r="D559" t="str">
            <v>EZ-ZAID</v>
          </cell>
          <cell r="E559" t="str">
            <v>MOHAMED</v>
          </cell>
          <cell r="F559">
            <v>19335</v>
          </cell>
          <cell r="G559" t="str">
            <v>3</v>
          </cell>
          <cell r="H559" t="str">
            <v>BOUJNIBA</v>
          </cell>
          <cell r="I559" t="str">
            <v>D</v>
          </cell>
          <cell r="J559">
            <v>27120</v>
          </cell>
          <cell r="K559">
            <v>37043</v>
          </cell>
          <cell r="L559" t="str">
            <v>33</v>
          </cell>
          <cell r="M559" t="str">
            <v>A</v>
          </cell>
          <cell r="N559">
            <v>37043</v>
          </cell>
          <cell r="P559">
            <v>29</v>
          </cell>
          <cell r="Q559" t="str">
            <v>O</v>
          </cell>
          <cell r="R559" t="str">
            <v>N</v>
          </cell>
          <cell r="S559">
            <v>0</v>
          </cell>
          <cell r="T559" t="str">
            <v>M</v>
          </cell>
          <cell r="U559" t="str">
            <v>TOURI SALHA</v>
          </cell>
          <cell r="X559">
            <v>4</v>
          </cell>
          <cell r="Y559">
            <v>2</v>
          </cell>
          <cell r="AB559" t="str">
            <v>X</v>
          </cell>
          <cell r="AC559" t="str">
            <v>X</v>
          </cell>
          <cell r="AD559" t="str">
            <v>X</v>
          </cell>
          <cell r="AH559" t="str">
            <v>N</v>
          </cell>
          <cell r="AI559" t="str">
            <v>N</v>
          </cell>
          <cell r="AK559" t="str">
            <v>54 NOUVEAU SOUK LAKTAOURA OUED ZEM</v>
          </cell>
          <cell r="AL559" t="str">
            <v>3AS</v>
          </cell>
          <cell r="AM559" t="str">
            <v>CFO.</v>
          </cell>
          <cell r="AP559" t="str">
            <v>Q 91620</v>
          </cell>
          <cell r="AQ559">
            <v>0</v>
          </cell>
          <cell r="AR559" t="str">
            <v>B</v>
          </cell>
          <cell r="AS559" t="str">
            <v>CR-MAROC - KHGA</v>
          </cell>
          <cell r="AT559" t="str">
            <v>08200105080752</v>
          </cell>
          <cell r="AU559" t="str">
            <v>/  /</v>
          </cell>
          <cell r="AW559">
            <v>37622</v>
          </cell>
          <cell r="AY559" t="str">
            <v>XX</v>
          </cell>
          <cell r="AZ559" t="str">
            <v>R</v>
          </cell>
          <cell r="BA559" t="str">
            <v>2</v>
          </cell>
          <cell r="BB559">
            <v>1</v>
          </cell>
          <cell r="BD559">
            <v>0</v>
          </cell>
          <cell r="BE559" t="str">
            <v>M</v>
          </cell>
          <cell r="BF559" t="str">
            <v>N</v>
          </cell>
          <cell r="BG559">
            <v>31</v>
          </cell>
          <cell r="BH559">
            <v>37803</v>
          </cell>
        </row>
        <row r="560">
          <cell r="A560">
            <v>65544</v>
          </cell>
          <cell r="B560">
            <v>409</v>
          </cell>
          <cell r="C560" t="str">
            <v>C7001</v>
          </cell>
          <cell r="D560" t="str">
            <v>EL BHIRI</v>
          </cell>
          <cell r="E560" t="str">
            <v>MOHAMED</v>
          </cell>
          <cell r="F560">
            <v>19641</v>
          </cell>
          <cell r="G560" t="str">
            <v>3</v>
          </cell>
          <cell r="H560" t="str">
            <v>BOUJNIBA</v>
          </cell>
          <cell r="I560" t="str">
            <v>D</v>
          </cell>
          <cell r="J560">
            <v>27121</v>
          </cell>
          <cell r="K560">
            <v>36526</v>
          </cell>
          <cell r="L560" t="str">
            <v>33</v>
          </cell>
          <cell r="M560" t="str">
            <v>A</v>
          </cell>
          <cell r="N560">
            <v>36526</v>
          </cell>
          <cell r="P560">
            <v>29</v>
          </cell>
          <cell r="Q560" t="str">
            <v>O</v>
          </cell>
          <cell r="R560" t="str">
            <v>N</v>
          </cell>
          <cell r="S560">
            <v>0</v>
          </cell>
          <cell r="T560" t="str">
            <v>M</v>
          </cell>
          <cell r="U560" t="str">
            <v>HABIBA BENT EL BAHLOUL</v>
          </cell>
          <cell r="X560">
            <v>4</v>
          </cell>
          <cell r="Y560">
            <v>2</v>
          </cell>
          <cell r="AB560" t="str">
            <v>X</v>
          </cell>
          <cell r="AC560" t="str">
            <v>X</v>
          </cell>
          <cell r="AD560" t="str">
            <v>X</v>
          </cell>
          <cell r="AH560" t="str">
            <v>N</v>
          </cell>
          <cell r="AI560" t="str">
            <v>N</v>
          </cell>
          <cell r="AK560" t="str">
            <v>276 NELLE CONSTRUCTION DE SECHAGE KHGA</v>
          </cell>
          <cell r="AL560" t="str">
            <v>CM2</v>
          </cell>
          <cell r="AN560" t="str">
            <v>49═11═50</v>
          </cell>
          <cell r="AP560" t="str">
            <v>Q 0004057</v>
          </cell>
          <cell r="AQ560">
            <v>0</v>
          </cell>
          <cell r="AR560" t="str">
            <v>B</v>
          </cell>
          <cell r="AS560" t="str">
            <v>BMCE.KHGA</v>
          </cell>
          <cell r="AT560" t="str">
            <v>40001200000562075</v>
          </cell>
          <cell r="AU560" t="str">
            <v>/  /</v>
          </cell>
          <cell r="AW560">
            <v>37987</v>
          </cell>
          <cell r="AY560" t="str">
            <v>XX</v>
          </cell>
          <cell r="BA560" t="str">
            <v>6</v>
          </cell>
          <cell r="BB560">
            <v>1</v>
          </cell>
          <cell r="BD560">
            <v>0</v>
          </cell>
          <cell r="BE560" t="str">
            <v>M</v>
          </cell>
          <cell r="BF560" t="str">
            <v>N</v>
          </cell>
          <cell r="BG560">
            <v>1</v>
          </cell>
          <cell r="BH560">
            <v>37987</v>
          </cell>
        </row>
        <row r="561">
          <cell r="A561">
            <v>65555</v>
          </cell>
          <cell r="B561">
            <v>463</v>
          </cell>
          <cell r="C561" t="str">
            <v>X3200</v>
          </cell>
          <cell r="D561" t="str">
            <v>EL BAROUNI</v>
          </cell>
          <cell r="E561" t="str">
            <v>BELKACEM</v>
          </cell>
          <cell r="F561">
            <v>19175</v>
          </cell>
          <cell r="G561" t="str">
            <v>1</v>
          </cell>
          <cell r="H561" t="str">
            <v>OULED BHAR KBAR KHOURIBGA</v>
          </cell>
          <cell r="I561" t="str">
            <v>D</v>
          </cell>
          <cell r="J561">
            <v>27124</v>
          </cell>
          <cell r="K561">
            <v>37073</v>
          </cell>
          <cell r="L561" t="str">
            <v>41</v>
          </cell>
          <cell r="M561" t="str">
            <v>A</v>
          </cell>
          <cell r="N561">
            <v>37073</v>
          </cell>
          <cell r="P561">
            <v>29</v>
          </cell>
          <cell r="Q561" t="str">
            <v>O</v>
          </cell>
          <cell r="R561" t="str">
            <v>N</v>
          </cell>
          <cell r="S561">
            <v>0</v>
          </cell>
          <cell r="T561" t="str">
            <v>M</v>
          </cell>
          <cell r="U561" t="str">
            <v>BEN SABRA MERYEM</v>
          </cell>
          <cell r="V561" t="str">
            <v>M'HAIRICH FATIHA</v>
          </cell>
          <cell r="X561">
            <v>12</v>
          </cell>
          <cell r="Y561">
            <v>6</v>
          </cell>
          <cell r="AB561" t="str">
            <v>X</v>
          </cell>
          <cell r="AC561" t="str">
            <v>X</v>
          </cell>
          <cell r="AD561" t="str">
            <v>X</v>
          </cell>
          <cell r="AH561" t="str">
            <v>N</v>
          </cell>
          <cell r="AI561" t="str">
            <v>N</v>
          </cell>
          <cell r="AJ561">
            <v>36161</v>
          </cell>
          <cell r="AK561" t="str">
            <v>223 BIS DERB 4 BOUJNIBA</v>
          </cell>
          <cell r="AL561" t="str">
            <v>4AS</v>
          </cell>
          <cell r="AM561" t="str">
            <v>CES.CFO</v>
          </cell>
          <cell r="AP561" t="str">
            <v>Q 32749</v>
          </cell>
          <cell r="AQ561">
            <v>0</v>
          </cell>
          <cell r="AR561" t="str">
            <v>B</v>
          </cell>
          <cell r="AS561" t="str">
            <v>WAFABANK - KHGA</v>
          </cell>
          <cell r="AT561" t="str">
            <v>1220301319168</v>
          </cell>
          <cell r="AU561" t="str">
            <v>/  /</v>
          </cell>
          <cell r="AW561">
            <v>37438</v>
          </cell>
          <cell r="AY561" t="str">
            <v>XX</v>
          </cell>
          <cell r="BA561" t="str">
            <v>2</v>
          </cell>
          <cell r="BB561">
            <v>1</v>
          </cell>
          <cell r="BD561">
            <v>0</v>
          </cell>
          <cell r="BE561" t="str">
            <v>M</v>
          </cell>
          <cell r="BF561" t="str">
            <v>N</v>
          </cell>
          <cell r="BG561">
            <v>51</v>
          </cell>
          <cell r="BH561">
            <v>37438</v>
          </cell>
          <cell r="BI561" t="str">
            <v>O</v>
          </cell>
        </row>
        <row r="562">
          <cell r="A562">
            <v>65629</v>
          </cell>
          <cell r="B562">
            <v>421</v>
          </cell>
          <cell r="C562" t="str">
            <v>C7152</v>
          </cell>
          <cell r="D562" t="str">
            <v>MOUSABBIH</v>
          </cell>
          <cell r="E562" t="str">
            <v>MOHAMMED</v>
          </cell>
          <cell r="F562">
            <v>19460</v>
          </cell>
          <cell r="G562" t="str">
            <v>4</v>
          </cell>
          <cell r="H562" t="str">
            <v>BOULANOUAR</v>
          </cell>
          <cell r="I562" t="str">
            <v>D</v>
          </cell>
          <cell r="J562">
            <v>27142</v>
          </cell>
          <cell r="K562">
            <v>35065</v>
          </cell>
          <cell r="L562" t="str">
            <v>33</v>
          </cell>
          <cell r="M562" t="str">
            <v>A</v>
          </cell>
          <cell r="N562">
            <v>35065</v>
          </cell>
          <cell r="P562">
            <v>29</v>
          </cell>
          <cell r="Q562" t="str">
            <v>O</v>
          </cell>
          <cell r="R562" t="str">
            <v>N</v>
          </cell>
          <cell r="S562">
            <v>0</v>
          </cell>
          <cell r="T562" t="str">
            <v>M</v>
          </cell>
          <cell r="U562" t="str">
            <v>KHARBOUCHI ZAHRA</v>
          </cell>
          <cell r="X562">
            <v>5</v>
          </cell>
          <cell r="Y562">
            <v>3</v>
          </cell>
          <cell r="AB562" t="str">
            <v>X</v>
          </cell>
          <cell r="AC562" t="str">
            <v>X</v>
          </cell>
          <cell r="AD562" t="str">
            <v>X</v>
          </cell>
          <cell r="AH562" t="str">
            <v>N</v>
          </cell>
          <cell r="AI562" t="str">
            <v>N</v>
          </cell>
          <cell r="AK562" t="str">
            <v>67 LOTISSEMENT AL QODS KHOURIBGA</v>
          </cell>
          <cell r="AL562" t="str">
            <v>3AS</v>
          </cell>
          <cell r="AM562" t="str">
            <v>CFO.</v>
          </cell>
          <cell r="AP562" t="str">
            <v>Q 58432</v>
          </cell>
          <cell r="AQ562">
            <v>0</v>
          </cell>
          <cell r="AR562" t="str">
            <v>B</v>
          </cell>
          <cell r="AS562" t="str">
            <v>B.M.C.E. KHGA</v>
          </cell>
          <cell r="AT562" t="str">
            <v>400001200000768685</v>
          </cell>
          <cell r="AU562" t="str">
            <v>/  /</v>
          </cell>
          <cell r="AW562">
            <v>37803</v>
          </cell>
          <cell r="AY562" t="str">
            <v>XX</v>
          </cell>
          <cell r="BA562" t="str">
            <v>1</v>
          </cell>
          <cell r="BB562">
            <v>1</v>
          </cell>
          <cell r="BC562" t="str">
            <v>O</v>
          </cell>
          <cell r="BD562">
            <v>4</v>
          </cell>
          <cell r="BE562" t="str">
            <v>M</v>
          </cell>
          <cell r="BF562" t="str">
            <v>N</v>
          </cell>
          <cell r="BG562">
            <v>4</v>
          </cell>
          <cell r="BH562">
            <v>37803</v>
          </cell>
          <cell r="BI562" t="str">
            <v>O</v>
          </cell>
        </row>
        <row r="563">
          <cell r="A563">
            <v>65643</v>
          </cell>
          <cell r="B563">
            <v>428</v>
          </cell>
          <cell r="C563" t="str">
            <v>C5152</v>
          </cell>
          <cell r="D563" t="str">
            <v>HAFFANE</v>
          </cell>
          <cell r="E563" t="str">
            <v>EL MOKHTAR</v>
          </cell>
          <cell r="F563">
            <v>20066</v>
          </cell>
          <cell r="G563" t="str">
            <v>1</v>
          </cell>
          <cell r="H563" t="str">
            <v>OULED ABDOUNE</v>
          </cell>
          <cell r="I563" t="str">
            <v>D</v>
          </cell>
          <cell r="J563">
            <v>27144</v>
          </cell>
          <cell r="K563">
            <v>37073</v>
          </cell>
          <cell r="L563" t="str">
            <v>31</v>
          </cell>
          <cell r="M563" t="str">
            <v>A</v>
          </cell>
          <cell r="N563">
            <v>37073</v>
          </cell>
          <cell r="P563">
            <v>29</v>
          </cell>
          <cell r="Q563" t="str">
            <v>O</v>
          </cell>
          <cell r="R563" t="str">
            <v>N</v>
          </cell>
          <cell r="S563">
            <v>0</v>
          </cell>
          <cell r="T563" t="str">
            <v>M</v>
          </cell>
          <cell r="U563" t="str">
            <v>MALIKA BENT MOHAMED</v>
          </cell>
          <cell r="X563">
            <v>6</v>
          </cell>
          <cell r="Y563">
            <v>2</v>
          </cell>
          <cell r="AB563" t="str">
            <v>X</v>
          </cell>
          <cell r="AC563" t="str">
            <v>X</v>
          </cell>
          <cell r="AD563" t="str">
            <v>X</v>
          </cell>
          <cell r="AH563" t="str">
            <v>N</v>
          </cell>
          <cell r="AI563" t="str">
            <v>N</v>
          </cell>
          <cell r="AK563" t="str">
            <v>DOUAR OULED AHMED OULED ABDOUNE</v>
          </cell>
          <cell r="AL563" t="str">
            <v>3AS</v>
          </cell>
          <cell r="AP563" t="str">
            <v>Q 20354</v>
          </cell>
          <cell r="AQ563">
            <v>0</v>
          </cell>
          <cell r="AR563" t="str">
            <v>B</v>
          </cell>
          <cell r="AS563" t="str">
            <v>CR.MAROC - KHGA</v>
          </cell>
          <cell r="AT563" t="str">
            <v>820010007921</v>
          </cell>
          <cell r="AU563" t="str">
            <v>/  /</v>
          </cell>
          <cell r="AW563">
            <v>38353</v>
          </cell>
          <cell r="AY563" t="str">
            <v>XX</v>
          </cell>
          <cell r="AZ563" t="str">
            <v>M</v>
          </cell>
          <cell r="BA563" t="str">
            <v>0</v>
          </cell>
          <cell r="BB563">
            <v>1</v>
          </cell>
          <cell r="BD563">
            <v>0</v>
          </cell>
          <cell r="BE563" t="str">
            <v>M</v>
          </cell>
          <cell r="BF563" t="str">
            <v>N</v>
          </cell>
          <cell r="BG563">
            <v>4</v>
          </cell>
          <cell r="BH563">
            <v>38534</v>
          </cell>
          <cell r="BI563" t="str">
            <v>O</v>
          </cell>
        </row>
        <row r="564">
          <cell r="A564">
            <v>65706</v>
          </cell>
          <cell r="B564">
            <v>403</v>
          </cell>
          <cell r="C564" t="str">
            <v>C4801</v>
          </cell>
          <cell r="D564" t="str">
            <v>KARMI</v>
          </cell>
          <cell r="E564" t="str">
            <v>EL MOSTAFA</v>
          </cell>
          <cell r="F564">
            <v>19540</v>
          </cell>
          <cell r="G564" t="str">
            <v>1</v>
          </cell>
          <cell r="H564" t="str">
            <v>OULED ABDOUNE</v>
          </cell>
          <cell r="I564" t="str">
            <v>D</v>
          </cell>
          <cell r="J564">
            <v>27152</v>
          </cell>
          <cell r="K564">
            <v>33573</v>
          </cell>
          <cell r="L564" t="str">
            <v>22</v>
          </cell>
          <cell r="M564" t="str">
            <v>A</v>
          </cell>
          <cell r="N564">
            <v>33573</v>
          </cell>
          <cell r="P564">
            <v>28</v>
          </cell>
          <cell r="Q564" t="str">
            <v>N</v>
          </cell>
          <cell r="R564" t="str">
            <v>O</v>
          </cell>
          <cell r="S564">
            <v>3</v>
          </cell>
          <cell r="T564" t="str">
            <v>M</v>
          </cell>
          <cell r="U564" t="str">
            <v>FATIMA BENT MOHAMED</v>
          </cell>
          <cell r="X564">
            <v>5</v>
          </cell>
          <cell r="Y564">
            <v>2</v>
          </cell>
          <cell r="AB564" t="str">
            <v>X</v>
          </cell>
          <cell r="AC564" t="str">
            <v>X</v>
          </cell>
          <cell r="AD564" t="str">
            <v>X</v>
          </cell>
          <cell r="AH564" t="str">
            <v>N</v>
          </cell>
          <cell r="AI564" t="str">
            <v>N</v>
          </cell>
          <cell r="AK564" t="str">
            <v>DR LAMRAHNA OULED ABDOUNE  KHGA</v>
          </cell>
          <cell r="AL564" t="str">
            <v>3AS</v>
          </cell>
          <cell r="AM564" t="str">
            <v>CEP.</v>
          </cell>
          <cell r="AP564" t="str">
            <v>Q 50752</v>
          </cell>
          <cell r="AQ564">
            <v>0</v>
          </cell>
          <cell r="AR564" t="str">
            <v>B</v>
          </cell>
          <cell r="AS564" t="str">
            <v>SGMB - KHGA</v>
          </cell>
          <cell r="AT564" t="str">
            <v>067000945402341</v>
          </cell>
          <cell r="AU564" t="str">
            <v>16/10/97</v>
          </cell>
          <cell r="AW564">
            <v>37803</v>
          </cell>
          <cell r="AY564" t="str">
            <v>A+</v>
          </cell>
          <cell r="AZ564" t="str">
            <v>M</v>
          </cell>
          <cell r="BA564" t="str">
            <v>0</v>
          </cell>
          <cell r="BB564">
            <v>1</v>
          </cell>
          <cell r="BD564">
            <v>0</v>
          </cell>
          <cell r="BE564" t="str">
            <v>M</v>
          </cell>
          <cell r="BF564" t="str">
            <v>N</v>
          </cell>
          <cell r="BG564">
            <v>0</v>
          </cell>
          <cell r="BH564">
            <v>37803</v>
          </cell>
          <cell r="BI564" t="str">
            <v>O</v>
          </cell>
        </row>
        <row r="565">
          <cell r="A565">
            <v>65735</v>
          </cell>
          <cell r="B565">
            <v>457</v>
          </cell>
          <cell r="C565" t="str">
            <v>C4050</v>
          </cell>
          <cell r="D565" t="str">
            <v>HAOUBAR</v>
          </cell>
          <cell r="E565" t="str">
            <v>AHMED</v>
          </cell>
          <cell r="F565">
            <v>19175</v>
          </cell>
          <cell r="G565" t="str">
            <v>6</v>
          </cell>
          <cell r="H565" t="str">
            <v>M'FASSIS</v>
          </cell>
          <cell r="I565" t="str">
            <v>D</v>
          </cell>
          <cell r="J565">
            <v>27156</v>
          </cell>
          <cell r="K565">
            <v>35065</v>
          </cell>
          <cell r="L565" t="str">
            <v>22</v>
          </cell>
          <cell r="M565" t="str">
            <v>A</v>
          </cell>
          <cell r="N565">
            <v>35065</v>
          </cell>
          <cell r="P565">
            <v>28</v>
          </cell>
          <cell r="Q565" t="str">
            <v>O</v>
          </cell>
          <cell r="R565" t="str">
            <v>N</v>
          </cell>
          <cell r="S565">
            <v>0</v>
          </cell>
          <cell r="T565" t="str">
            <v>M</v>
          </cell>
          <cell r="U565" t="str">
            <v>EZZAHRA BENT MOHAMED</v>
          </cell>
          <cell r="X565">
            <v>5</v>
          </cell>
          <cell r="Y565">
            <v>4</v>
          </cell>
          <cell r="AB565" t="str">
            <v>X</v>
          </cell>
          <cell r="AC565" t="str">
            <v>X</v>
          </cell>
          <cell r="AD565" t="str">
            <v>X</v>
          </cell>
          <cell r="AH565" t="str">
            <v>N</v>
          </cell>
          <cell r="AI565" t="str">
            <v>N</v>
          </cell>
          <cell r="AK565" t="str">
            <v>104 VILLAGE OCP OUED ZEM</v>
          </cell>
          <cell r="AL565" t="str">
            <v>3 AS</v>
          </cell>
          <cell r="AM565" t="str">
            <v>CEP.</v>
          </cell>
          <cell r="AP565" t="str">
            <v>Q 70943</v>
          </cell>
          <cell r="AQ565">
            <v>0</v>
          </cell>
          <cell r="AR565" t="str">
            <v>B</v>
          </cell>
          <cell r="AS565" t="str">
            <v>BMCE.OUED ZEM</v>
          </cell>
          <cell r="AT565" t="str">
            <v>0041101200000208889</v>
          </cell>
          <cell r="AU565" t="str">
            <v>/  /</v>
          </cell>
          <cell r="AW565">
            <v>37438</v>
          </cell>
          <cell r="AY565" t="str">
            <v>XX</v>
          </cell>
          <cell r="BA565" t="str">
            <v>2</v>
          </cell>
          <cell r="BB565">
            <v>1</v>
          </cell>
          <cell r="BD565">
            <v>0</v>
          </cell>
          <cell r="BE565" t="str">
            <v>M</v>
          </cell>
          <cell r="BF565" t="str">
            <v>N</v>
          </cell>
          <cell r="BG565">
            <v>31</v>
          </cell>
          <cell r="BH565">
            <v>37438</v>
          </cell>
        </row>
        <row r="566">
          <cell r="A566">
            <v>65840</v>
          </cell>
          <cell r="B566">
            <v>426</v>
          </cell>
          <cell r="C566" t="str">
            <v>C3000</v>
          </cell>
          <cell r="D566" t="str">
            <v>AGGADI</v>
          </cell>
          <cell r="E566" t="str">
            <v>SALAH</v>
          </cell>
          <cell r="F566">
            <v>19480</v>
          </cell>
          <cell r="G566" t="str">
            <v>6</v>
          </cell>
          <cell r="H566" t="str">
            <v>M'FASSIS</v>
          </cell>
          <cell r="I566" t="str">
            <v>D</v>
          </cell>
          <cell r="J566">
            <v>27170</v>
          </cell>
          <cell r="K566">
            <v>35947</v>
          </cell>
          <cell r="L566" t="str">
            <v>21</v>
          </cell>
          <cell r="M566" t="str">
            <v>D</v>
          </cell>
          <cell r="N566">
            <v>34516</v>
          </cell>
          <cell r="P566">
            <v>28</v>
          </cell>
          <cell r="Q566" t="str">
            <v>O</v>
          </cell>
          <cell r="R566" t="str">
            <v>N</v>
          </cell>
          <cell r="S566">
            <v>0</v>
          </cell>
          <cell r="T566" t="str">
            <v>M</v>
          </cell>
          <cell r="U566" t="str">
            <v>TEFFAHI SAADIA</v>
          </cell>
          <cell r="X566">
            <v>6</v>
          </cell>
          <cell r="Y566">
            <v>3</v>
          </cell>
          <cell r="AB566" t="str">
            <v>X</v>
          </cell>
          <cell r="AC566" t="str">
            <v>X</v>
          </cell>
          <cell r="AD566" t="str">
            <v>X</v>
          </cell>
          <cell r="AH566" t="str">
            <v>N</v>
          </cell>
          <cell r="AI566" t="str">
            <v>N</v>
          </cell>
          <cell r="AK566" t="str">
            <v>113 RUE 113 VILLAGE OCP HATTANE</v>
          </cell>
          <cell r="AL566" t="str">
            <v>1AS</v>
          </cell>
          <cell r="AP566" t="str">
            <v>Q 30890</v>
          </cell>
          <cell r="AQ566">
            <v>0</v>
          </cell>
          <cell r="AR566" t="str">
            <v>C</v>
          </cell>
          <cell r="AU566" t="str">
            <v>/  /</v>
          </cell>
          <cell r="AW566">
            <v>37803</v>
          </cell>
          <cell r="AY566" t="str">
            <v>XX</v>
          </cell>
          <cell r="BA566" t="str">
            <v>8</v>
          </cell>
          <cell r="BB566">
            <v>1</v>
          </cell>
          <cell r="BD566">
            <v>0</v>
          </cell>
          <cell r="BE566" t="str">
            <v>M</v>
          </cell>
          <cell r="BF566" t="str">
            <v>N</v>
          </cell>
          <cell r="BG566">
            <v>11</v>
          </cell>
          <cell r="BH566">
            <v>37803</v>
          </cell>
        </row>
        <row r="567">
          <cell r="A567">
            <v>65889</v>
          </cell>
          <cell r="B567">
            <v>428</v>
          </cell>
          <cell r="C567" t="str">
            <v>C6152</v>
          </cell>
          <cell r="D567" t="str">
            <v>EL ASSIOUI</v>
          </cell>
          <cell r="E567" t="str">
            <v>MOHAMMED</v>
          </cell>
          <cell r="F567">
            <v>19175</v>
          </cell>
          <cell r="G567" t="str">
            <v>2</v>
          </cell>
          <cell r="H567" t="str">
            <v>BENI KHIRANE - KHOURIBGA</v>
          </cell>
          <cell r="I567" t="str">
            <v>D</v>
          </cell>
          <cell r="J567">
            <v>27183</v>
          </cell>
          <cell r="K567">
            <v>36526</v>
          </cell>
          <cell r="L567" t="str">
            <v>32</v>
          </cell>
          <cell r="M567" t="str">
            <v>A</v>
          </cell>
          <cell r="N567">
            <v>36526</v>
          </cell>
          <cell r="O567">
            <v>0</v>
          </cell>
          <cell r="P567">
            <v>28</v>
          </cell>
          <cell r="Q567" t="str">
            <v>O</v>
          </cell>
          <cell r="R567" t="str">
            <v>N</v>
          </cell>
          <cell r="S567">
            <v>0</v>
          </cell>
          <cell r="T567" t="str">
            <v>M</v>
          </cell>
          <cell r="U567" t="str">
            <v>TAIBI M'BARKA</v>
          </cell>
          <cell r="X567">
            <v>3</v>
          </cell>
          <cell r="Y567">
            <v>3</v>
          </cell>
          <cell r="AB567" t="str">
            <v>X</v>
          </cell>
          <cell r="AC567" t="str">
            <v>X</v>
          </cell>
          <cell r="AD567" t="str">
            <v>X</v>
          </cell>
          <cell r="AH567" t="str">
            <v>N</v>
          </cell>
          <cell r="AI567" t="str">
            <v>N</v>
          </cell>
          <cell r="AK567" t="str">
            <v>571 BLOC A EL WAHDA HABITAT OUED ZEM</v>
          </cell>
          <cell r="AL567" t="str">
            <v>CM2</v>
          </cell>
          <cell r="AP567" t="str">
            <v>Q 32477</v>
          </cell>
          <cell r="AQ567">
            <v>0</v>
          </cell>
          <cell r="AR567" t="str">
            <v>B</v>
          </cell>
          <cell r="AS567" t="str">
            <v>POPULAIRE.O.ZEM</v>
          </cell>
          <cell r="AT567" t="str">
            <v>2111113027880007</v>
          </cell>
          <cell r="AU567" t="str">
            <v>/  /</v>
          </cell>
          <cell r="AW567">
            <v>37438</v>
          </cell>
          <cell r="AY567" t="str">
            <v>XX</v>
          </cell>
          <cell r="BA567" t="str">
            <v>0</v>
          </cell>
          <cell r="BB567">
            <v>1</v>
          </cell>
          <cell r="BD567">
            <v>0</v>
          </cell>
          <cell r="BE567" t="str">
            <v>M</v>
          </cell>
          <cell r="BF567" t="str">
            <v>N</v>
          </cell>
          <cell r="BG567">
            <v>30</v>
          </cell>
          <cell r="BH567">
            <v>37438</v>
          </cell>
          <cell r="BI567" t="str">
            <v>O</v>
          </cell>
        </row>
        <row r="568">
          <cell r="A568">
            <v>65890</v>
          </cell>
          <cell r="B568">
            <v>428</v>
          </cell>
          <cell r="C568" t="str">
            <v>C3152</v>
          </cell>
          <cell r="D568" t="str">
            <v>ANBRI</v>
          </cell>
          <cell r="E568" t="str">
            <v>EL MOULOUDI</v>
          </cell>
          <cell r="F568">
            <v>19175</v>
          </cell>
          <cell r="G568" t="str">
            <v>1</v>
          </cell>
          <cell r="H568" t="str">
            <v>OULED BHAR SGHAR KHOURIBGA</v>
          </cell>
          <cell r="I568" t="str">
            <v>D</v>
          </cell>
          <cell r="J568">
            <v>27183</v>
          </cell>
          <cell r="K568">
            <v>35977</v>
          </cell>
          <cell r="L568" t="str">
            <v>21</v>
          </cell>
          <cell r="M568" t="str">
            <v>C</v>
          </cell>
          <cell r="N568">
            <v>35977</v>
          </cell>
          <cell r="P568">
            <v>28</v>
          </cell>
          <cell r="Q568" t="str">
            <v>O</v>
          </cell>
          <cell r="R568" t="str">
            <v>N</v>
          </cell>
          <cell r="S568">
            <v>0</v>
          </cell>
          <cell r="T568" t="str">
            <v>M</v>
          </cell>
          <cell r="U568" t="str">
            <v>AMRI FATNA</v>
          </cell>
          <cell r="X568">
            <v>5</v>
          </cell>
          <cell r="Y568">
            <v>2</v>
          </cell>
          <cell r="AB568" t="str">
            <v>X</v>
          </cell>
          <cell r="AC568" t="str">
            <v>X</v>
          </cell>
          <cell r="AD568" t="str">
            <v>X</v>
          </cell>
          <cell r="AH568" t="str">
            <v>N</v>
          </cell>
          <cell r="AI568" t="str">
            <v>N</v>
          </cell>
          <cell r="AK568" t="str">
            <v>205 BLOC A EL WAHDA OUED ZEM</v>
          </cell>
          <cell r="AL568" t="str">
            <v>CM2</v>
          </cell>
          <cell r="AP568" t="str">
            <v>Q 90000</v>
          </cell>
          <cell r="AQ568">
            <v>0</v>
          </cell>
          <cell r="AR568" t="str">
            <v>C</v>
          </cell>
          <cell r="AU568" t="str">
            <v>/  /</v>
          </cell>
          <cell r="AW568">
            <v>37438</v>
          </cell>
          <cell r="AY568" t="str">
            <v>XX</v>
          </cell>
          <cell r="BA568" t="str">
            <v>6</v>
          </cell>
          <cell r="BB568">
            <v>1</v>
          </cell>
          <cell r="BD568">
            <v>0</v>
          </cell>
          <cell r="BE568" t="str">
            <v>M</v>
          </cell>
          <cell r="BF568" t="str">
            <v>N</v>
          </cell>
          <cell r="BG568">
            <v>30</v>
          </cell>
          <cell r="BH568">
            <v>37438</v>
          </cell>
          <cell r="BI568" t="str">
            <v>O</v>
          </cell>
        </row>
        <row r="569">
          <cell r="A569">
            <v>65903</v>
          </cell>
          <cell r="B569">
            <v>426</v>
          </cell>
          <cell r="C569" t="str">
            <v>C4050</v>
          </cell>
          <cell r="D569" t="str">
            <v>ATAFI</v>
          </cell>
          <cell r="E569" t="str">
            <v>MOHAMED</v>
          </cell>
          <cell r="F569">
            <v>19905</v>
          </cell>
          <cell r="G569" t="str">
            <v>6</v>
          </cell>
          <cell r="H569" t="str">
            <v>OULED AZZOUZ</v>
          </cell>
          <cell r="I569" t="str">
            <v>D</v>
          </cell>
          <cell r="J569">
            <v>27184</v>
          </cell>
          <cell r="K569">
            <v>35065</v>
          </cell>
          <cell r="L569" t="str">
            <v>22</v>
          </cell>
          <cell r="M569" t="str">
            <v>A</v>
          </cell>
          <cell r="N569">
            <v>35065</v>
          </cell>
          <cell r="P569">
            <v>28</v>
          </cell>
          <cell r="Q569" t="str">
            <v>O</v>
          </cell>
          <cell r="R569" t="str">
            <v>N</v>
          </cell>
          <cell r="S569">
            <v>0</v>
          </cell>
          <cell r="T569" t="str">
            <v>M</v>
          </cell>
          <cell r="U569" t="str">
            <v>YAMNA BENT MOHAMED</v>
          </cell>
          <cell r="X569">
            <v>4</v>
          </cell>
          <cell r="Y569">
            <v>4</v>
          </cell>
          <cell r="AB569" t="str">
            <v>X</v>
          </cell>
          <cell r="AC569" t="str">
            <v>X</v>
          </cell>
          <cell r="AD569" t="str">
            <v>X</v>
          </cell>
          <cell r="AH569" t="str">
            <v>N</v>
          </cell>
          <cell r="AI569" t="str">
            <v>N</v>
          </cell>
          <cell r="AK569" t="str">
            <v>301 QUARTIER ELOUAHDA OUED ZEM</v>
          </cell>
          <cell r="AL569" t="str">
            <v>3AS</v>
          </cell>
          <cell r="AM569" t="str">
            <v>CEP.</v>
          </cell>
          <cell r="AP569" t="str">
            <v>Q 26986</v>
          </cell>
          <cell r="AQ569">
            <v>0</v>
          </cell>
          <cell r="AR569" t="str">
            <v>C</v>
          </cell>
          <cell r="AU569" t="str">
            <v>/  /</v>
          </cell>
          <cell r="AW569">
            <v>38169</v>
          </cell>
          <cell r="AY569" t="str">
            <v>XX</v>
          </cell>
          <cell r="BA569" t="str">
            <v>2</v>
          </cell>
          <cell r="BB569">
            <v>1</v>
          </cell>
          <cell r="BD569">
            <v>0</v>
          </cell>
          <cell r="BE569" t="str">
            <v>M</v>
          </cell>
          <cell r="BF569" t="str">
            <v>N</v>
          </cell>
          <cell r="BG569">
            <v>30</v>
          </cell>
          <cell r="BH569">
            <v>38169</v>
          </cell>
          <cell r="BI569" t="str">
            <v>O</v>
          </cell>
        </row>
        <row r="570">
          <cell r="A570">
            <v>65913</v>
          </cell>
          <cell r="B570">
            <v>468</v>
          </cell>
          <cell r="C570" t="str">
            <v>C4050</v>
          </cell>
          <cell r="D570" t="str">
            <v>MRABBI</v>
          </cell>
          <cell r="E570" t="str">
            <v>EL KBIR</v>
          </cell>
          <cell r="F570">
            <v>19229</v>
          </cell>
          <cell r="G570" t="str">
            <v>1</v>
          </cell>
          <cell r="H570" t="str">
            <v>KHOURIBGA</v>
          </cell>
          <cell r="I570" t="str">
            <v>D</v>
          </cell>
          <cell r="J570">
            <v>27186</v>
          </cell>
          <cell r="K570">
            <v>35065</v>
          </cell>
          <cell r="L570" t="str">
            <v>22</v>
          </cell>
          <cell r="M570" t="str">
            <v>A</v>
          </cell>
          <cell r="N570">
            <v>35065</v>
          </cell>
          <cell r="P570">
            <v>28</v>
          </cell>
          <cell r="Q570" t="str">
            <v>O</v>
          </cell>
          <cell r="R570" t="str">
            <v>N</v>
          </cell>
          <cell r="S570">
            <v>0</v>
          </cell>
          <cell r="T570" t="str">
            <v>M</v>
          </cell>
          <cell r="U570" t="str">
            <v>MOUBARIK MALIKA</v>
          </cell>
          <cell r="X570">
            <v>4</v>
          </cell>
          <cell r="Y570">
            <v>4</v>
          </cell>
          <cell r="AB570" t="str">
            <v>N</v>
          </cell>
          <cell r="AC570" t="str">
            <v>X</v>
          </cell>
          <cell r="AD570" t="str">
            <v>X</v>
          </cell>
          <cell r="AH570" t="str">
            <v>N</v>
          </cell>
          <cell r="AI570" t="str">
            <v>N</v>
          </cell>
          <cell r="AK570" t="str">
            <v>11 NELLE CONSTRUCTION DE SECHAGE KHGA</v>
          </cell>
          <cell r="AL570" t="str">
            <v>CM2</v>
          </cell>
          <cell r="AP570" t="str">
            <v>Q 17880</v>
          </cell>
          <cell r="AQ570">
            <v>0</v>
          </cell>
          <cell r="AR570" t="str">
            <v>B</v>
          </cell>
          <cell r="AS570" t="str">
            <v>CR.MAROC - KHGA</v>
          </cell>
          <cell r="AT570" t="str">
            <v>082001050427</v>
          </cell>
          <cell r="AU570" t="str">
            <v>/  /</v>
          </cell>
          <cell r="AW570">
            <v>37622</v>
          </cell>
          <cell r="AY570" t="str">
            <v>XX</v>
          </cell>
          <cell r="BA570" t="str">
            <v>2</v>
          </cell>
          <cell r="BB570">
            <v>1</v>
          </cell>
          <cell r="BD570">
            <v>0</v>
          </cell>
          <cell r="BE570" t="str">
            <v>M</v>
          </cell>
          <cell r="BF570" t="str">
            <v>N</v>
          </cell>
          <cell r="BG570">
            <v>5</v>
          </cell>
          <cell r="BH570">
            <v>37622</v>
          </cell>
        </row>
        <row r="571">
          <cell r="A571">
            <v>65914</v>
          </cell>
          <cell r="B571">
            <v>461</v>
          </cell>
          <cell r="C571" t="str">
            <v>C5152</v>
          </cell>
          <cell r="D571" t="str">
            <v>EL MJABBER</v>
          </cell>
          <cell r="E571" t="str">
            <v>M'HAMMED</v>
          </cell>
          <cell r="F571">
            <v>19540</v>
          </cell>
          <cell r="G571" t="str">
            <v>1</v>
          </cell>
          <cell r="H571" t="str">
            <v>OULED BHAR KBAR KHOURIBGA</v>
          </cell>
          <cell r="I571" t="str">
            <v>D</v>
          </cell>
          <cell r="J571">
            <v>27186</v>
          </cell>
          <cell r="K571">
            <v>34151</v>
          </cell>
          <cell r="L571" t="str">
            <v>31</v>
          </cell>
          <cell r="M571" t="str">
            <v>A</v>
          </cell>
          <cell r="N571">
            <v>34151</v>
          </cell>
          <cell r="P571">
            <v>28</v>
          </cell>
          <cell r="Q571" t="str">
            <v>O</v>
          </cell>
          <cell r="R571" t="str">
            <v>N</v>
          </cell>
          <cell r="S571">
            <v>0</v>
          </cell>
          <cell r="T571" t="str">
            <v>M</v>
          </cell>
          <cell r="U571" t="str">
            <v>SAADIA BENT EL ARBI</v>
          </cell>
          <cell r="X571">
            <v>6</v>
          </cell>
          <cell r="Y571">
            <v>4</v>
          </cell>
          <cell r="AB571" t="str">
            <v>X</v>
          </cell>
          <cell r="AC571" t="str">
            <v>X</v>
          </cell>
          <cell r="AD571" t="str">
            <v>X</v>
          </cell>
          <cell r="AH571" t="str">
            <v>N</v>
          </cell>
          <cell r="AI571" t="str">
            <v>N</v>
          </cell>
          <cell r="AK571" t="str">
            <v>543 NOUVEAU TACHERON BOUJNIBA</v>
          </cell>
          <cell r="AL571" t="str">
            <v>3AS</v>
          </cell>
          <cell r="AP571" t="str">
            <v>Q 80703</v>
          </cell>
          <cell r="AQ571">
            <v>0</v>
          </cell>
          <cell r="AR571" t="str">
            <v>B</v>
          </cell>
          <cell r="AS571" t="str">
            <v>WAFABANK - KHGA</v>
          </cell>
          <cell r="AT571" t="str">
            <v>1220301166291</v>
          </cell>
          <cell r="AU571" t="str">
            <v>/  /</v>
          </cell>
          <cell r="AW571">
            <v>37803</v>
          </cell>
          <cell r="AY571" t="str">
            <v>XX</v>
          </cell>
          <cell r="BA571" t="str">
            <v>1</v>
          </cell>
          <cell r="BB571">
            <v>1</v>
          </cell>
          <cell r="BD571">
            <v>0</v>
          </cell>
          <cell r="BE571" t="str">
            <v>M</v>
          </cell>
          <cell r="BF571" t="str">
            <v>N</v>
          </cell>
          <cell r="BG571">
            <v>51</v>
          </cell>
          <cell r="BH571">
            <v>37803</v>
          </cell>
        </row>
        <row r="572">
          <cell r="A572">
            <v>65940</v>
          </cell>
          <cell r="B572">
            <v>428</v>
          </cell>
          <cell r="C572" t="str">
            <v>C4411</v>
          </cell>
          <cell r="D572" t="str">
            <v>FAHIM</v>
          </cell>
          <cell r="E572" t="str">
            <v>MOSTAFA</v>
          </cell>
          <cell r="F572">
            <v>19175</v>
          </cell>
          <cell r="H572" t="str">
            <v>CASABLANCA</v>
          </cell>
          <cell r="I572" t="str">
            <v>D</v>
          </cell>
          <cell r="J572">
            <v>27193</v>
          </cell>
          <cell r="K572">
            <v>34547</v>
          </cell>
          <cell r="L572" t="str">
            <v>22</v>
          </cell>
          <cell r="M572" t="str">
            <v>A</v>
          </cell>
          <cell r="N572">
            <v>34547</v>
          </cell>
          <cell r="P572">
            <v>28</v>
          </cell>
          <cell r="Q572" t="str">
            <v>O</v>
          </cell>
          <cell r="R572" t="str">
            <v>N</v>
          </cell>
          <cell r="S572">
            <v>0</v>
          </cell>
          <cell r="T572" t="str">
            <v>M</v>
          </cell>
          <cell r="U572" t="str">
            <v>EL KHOUMARI FATIMA</v>
          </cell>
          <cell r="X572">
            <v>4</v>
          </cell>
          <cell r="Y572">
            <v>2</v>
          </cell>
          <cell r="AB572" t="str">
            <v>X</v>
          </cell>
          <cell r="AC572" t="str">
            <v>X</v>
          </cell>
          <cell r="AD572" t="str">
            <v>X</v>
          </cell>
          <cell r="AH572" t="str">
            <v>N</v>
          </cell>
          <cell r="AI572" t="str">
            <v>N</v>
          </cell>
          <cell r="AK572" t="str">
            <v>228 ANCIENNE MEDINA DE SECHAGE KHGA</v>
          </cell>
          <cell r="AL572" t="str">
            <v>3AS</v>
          </cell>
          <cell r="AM572" t="str">
            <v>CEP.</v>
          </cell>
          <cell r="AP572" t="str">
            <v>Q 37157</v>
          </cell>
          <cell r="AQ572">
            <v>0</v>
          </cell>
          <cell r="AR572" t="str">
            <v>B</v>
          </cell>
          <cell r="AS572" t="str">
            <v>WAFABANK- KHGA</v>
          </cell>
          <cell r="AT572" t="str">
            <v>13703-95</v>
          </cell>
          <cell r="AU572" t="str">
            <v>/  /</v>
          </cell>
          <cell r="AW572">
            <v>37438</v>
          </cell>
          <cell r="AY572" t="str">
            <v>XX</v>
          </cell>
          <cell r="AZ572" t="str">
            <v>M</v>
          </cell>
          <cell r="BA572" t="str">
            <v>0</v>
          </cell>
          <cell r="BB572">
            <v>1</v>
          </cell>
          <cell r="BD572">
            <v>0</v>
          </cell>
          <cell r="BE572" t="str">
            <v>M</v>
          </cell>
          <cell r="BF572" t="str">
            <v>N</v>
          </cell>
          <cell r="BG572">
            <v>4</v>
          </cell>
          <cell r="BH572">
            <v>37438</v>
          </cell>
        </row>
        <row r="573">
          <cell r="A573">
            <v>65944</v>
          </cell>
          <cell r="B573">
            <v>403</v>
          </cell>
          <cell r="C573" t="str">
            <v>C3152</v>
          </cell>
          <cell r="D573" t="str">
            <v>ZAAIOUTE</v>
          </cell>
          <cell r="E573" t="str">
            <v>MOHAMED</v>
          </cell>
          <cell r="F573">
            <v>19524</v>
          </cell>
          <cell r="G573" t="str">
            <v>1</v>
          </cell>
          <cell r="H573" t="str">
            <v>OULED BHAR KBAR KHOURIBGA</v>
          </cell>
          <cell r="I573" t="str">
            <v>D</v>
          </cell>
          <cell r="J573">
            <v>27190</v>
          </cell>
          <cell r="K573">
            <v>33420</v>
          </cell>
          <cell r="L573" t="str">
            <v>21</v>
          </cell>
          <cell r="M573" t="str">
            <v>C</v>
          </cell>
          <cell r="N573">
            <v>34516</v>
          </cell>
          <cell r="P573">
            <v>28</v>
          </cell>
          <cell r="S573">
            <v>0</v>
          </cell>
          <cell r="T573" t="str">
            <v>M</v>
          </cell>
          <cell r="U573" t="str">
            <v>R'MILI JEMAA</v>
          </cell>
          <cell r="X573">
            <v>6</v>
          </cell>
          <cell r="Y573">
            <v>4</v>
          </cell>
          <cell r="AB573" t="str">
            <v>X</v>
          </cell>
          <cell r="AC573" t="str">
            <v>X</v>
          </cell>
          <cell r="AD573" t="str">
            <v>X</v>
          </cell>
          <cell r="AH573" t="str">
            <v>N</v>
          </cell>
          <cell r="AI573" t="str">
            <v>N</v>
          </cell>
          <cell r="AK573" t="str">
            <v>3 LOTISSEMENT BIR MEZOUI OD SGHIR O.BRAH</v>
          </cell>
          <cell r="AL573" t="str">
            <v>CM2</v>
          </cell>
          <cell r="AP573" t="str">
            <v>Q 32716</v>
          </cell>
          <cell r="AQ573">
            <v>0</v>
          </cell>
          <cell r="AR573" t="str">
            <v>B</v>
          </cell>
          <cell r="AS573" t="str">
            <v>CNCA.KHGA</v>
          </cell>
          <cell r="AT573" t="str">
            <v>805321 F 601</v>
          </cell>
          <cell r="AU573" t="str">
            <v>/  /</v>
          </cell>
          <cell r="AW573">
            <v>37803</v>
          </cell>
          <cell r="AY573" t="str">
            <v>XX</v>
          </cell>
          <cell r="BA573" t="str">
            <v>1</v>
          </cell>
          <cell r="BB573">
            <v>1</v>
          </cell>
          <cell r="BD573">
            <v>0</v>
          </cell>
          <cell r="BE573" t="str">
            <v>M</v>
          </cell>
          <cell r="BF573" t="str">
            <v>N</v>
          </cell>
          <cell r="BG573">
            <v>60</v>
          </cell>
          <cell r="BH573">
            <v>37803</v>
          </cell>
          <cell r="BI573" t="str">
            <v>O</v>
          </cell>
        </row>
        <row r="574">
          <cell r="A574">
            <v>65953</v>
          </cell>
          <cell r="B574">
            <v>406</v>
          </cell>
          <cell r="C574" t="str">
            <v>C4152</v>
          </cell>
          <cell r="D574" t="str">
            <v>KHABLA</v>
          </cell>
          <cell r="E574" t="str">
            <v>EL KBIR</v>
          </cell>
          <cell r="F574">
            <v>19540</v>
          </cell>
          <cell r="G574" t="str">
            <v>1</v>
          </cell>
          <cell r="H574" t="str">
            <v>OULED BHAR KBAR KHOURIBGA</v>
          </cell>
          <cell r="I574" t="str">
            <v>D</v>
          </cell>
          <cell r="J574">
            <v>27194</v>
          </cell>
          <cell r="K574">
            <v>35065</v>
          </cell>
          <cell r="L574" t="str">
            <v>22</v>
          </cell>
          <cell r="M574" t="str">
            <v>A</v>
          </cell>
          <cell r="N574">
            <v>35065</v>
          </cell>
          <cell r="P574">
            <v>28</v>
          </cell>
          <cell r="Q574" t="str">
            <v>O</v>
          </cell>
          <cell r="R574" t="str">
            <v>N</v>
          </cell>
          <cell r="S574">
            <v>0</v>
          </cell>
          <cell r="T574" t="str">
            <v>M</v>
          </cell>
          <cell r="U574" t="str">
            <v>TAFIH KHADDOUJ</v>
          </cell>
          <cell r="X574">
            <v>5</v>
          </cell>
          <cell r="Y574">
            <v>3</v>
          </cell>
          <cell r="AB574" t="str">
            <v>X</v>
          </cell>
          <cell r="AC574" t="str">
            <v>X</v>
          </cell>
          <cell r="AD574" t="str">
            <v>X</v>
          </cell>
          <cell r="AH574" t="str">
            <v>N</v>
          </cell>
          <cell r="AI574" t="str">
            <v>N</v>
          </cell>
          <cell r="AK574" t="str">
            <v>687, NOUVELLE MEDINA DE SECHAGE - KHGA</v>
          </cell>
          <cell r="AL574" t="str">
            <v>CM2</v>
          </cell>
          <cell r="AP574" t="str">
            <v>Q 66803</v>
          </cell>
          <cell r="AQ574">
            <v>0</v>
          </cell>
          <cell r="AR574" t="str">
            <v>B</v>
          </cell>
          <cell r="AS574" t="str">
            <v>POPULAIRE.KHGA</v>
          </cell>
          <cell r="AT574" t="str">
            <v>2111112810110002</v>
          </cell>
          <cell r="AU574" t="str">
            <v>/  /</v>
          </cell>
          <cell r="AW574">
            <v>37803</v>
          </cell>
          <cell r="AY574" t="str">
            <v>XX</v>
          </cell>
          <cell r="BA574" t="str">
            <v>1</v>
          </cell>
          <cell r="BB574">
            <v>1</v>
          </cell>
          <cell r="BD574">
            <v>0</v>
          </cell>
          <cell r="BE574" t="str">
            <v>M</v>
          </cell>
          <cell r="BF574" t="str">
            <v>N</v>
          </cell>
          <cell r="BG574">
            <v>4</v>
          </cell>
          <cell r="BH574">
            <v>37803</v>
          </cell>
        </row>
        <row r="575">
          <cell r="A575">
            <v>65993</v>
          </cell>
          <cell r="B575">
            <v>403</v>
          </cell>
          <cell r="C575" t="str">
            <v>C6801</v>
          </cell>
          <cell r="D575" t="str">
            <v>EL GOUBI</v>
          </cell>
          <cell r="E575" t="str">
            <v>EL HOUSSINE</v>
          </cell>
          <cell r="F575">
            <v>19874</v>
          </cell>
          <cell r="G575" t="str">
            <v>3</v>
          </cell>
          <cell r="H575" t="str">
            <v>BOUJNIBA</v>
          </cell>
          <cell r="I575" t="str">
            <v>D</v>
          </cell>
          <cell r="J575">
            <v>27200</v>
          </cell>
          <cell r="K575">
            <v>36526</v>
          </cell>
          <cell r="L575" t="str">
            <v>32</v>
          </cell>
          <cell r="M575" t="str">
            <v>C</v>
          </cell>
          <cell r="N575">
            <v>36526</v>
          </cell>
          <cell r="P575">
            <v>28</v>
          </cell>
          <cell r="Q575" t="str">
            <v>O</v>
          </cell>
          <cell r="R575" t="str">
            <v>N</v>
          </cell>
          <cell r="S575">
            <v>0</v>
          </cell>
          <cell r="T575" t="str">
            <v>M</v>
          </cell>
          <cell r="U575" t="str">
            <v>BAHDINE MALIKA</v>
          </cell>
          <cell r="X575">
            <v>6</v>
          </cell>
          <cell r="Y575">
            <v>3</v>
          </cell>
          <cell r="Z575" t="str">
            <v>N</v>
          </cell>
          <cell r="AA575" t="str">
            <v>24/04/94</v>
          </cell>
          <cell r="AB575" t="str">
            <v>X</v>
          </cell>
          <cell r="AC575" t="str">
            <v>X</v>
          </cell>
          <cell r="AD575" t="str">
            <v>X</v>
          </cell>
          <cell r="AH575" t="str">
            <v>N</v>
          </cell>
          <cell r="AI575" t="str">
            <v>N</v>
          </cell>
          <cell r="AK575" t="str">
            <v>87 BLOC H HAY EDDAKHLA BOUJNIBA</v>
          </cell>
          <cell r="AL575" t="str">
            <v>3AS</v>
          </cell>
          <cell r="AM575" t="str">
            <v>CES.CFO</v>
          </cell>
          <cell r="AP575" t="str">
            <v>Q 25725</v>
          </cell>
          <cell r="AQ575">
            <v>0</v>
          </cell>
          <cell r="AR575" t="str">
            <v>C</v>
          </cell>
          <cell r="AU575" t="str">
            <v>/  /</v>
          </cell>
          <cell r="AW575">
            <v>38169</v>
          </cell>
          <cell r="AY575" t="str">
            <v>XX</v>
          </cell>
          <cell r="BA575" t="str">
            <v>0</v>
          </cell>
          <cell r="BB575">
            <v>1</v>
          </cell>
          <cell r="BD575">
            <v>0</v>
          </cell>
          <cell r="BE575" t="str">
            <v>M</v>
          </cell>
          <cell r="BF575" t="str">
            <v>N</v>
          </cell>
          <cell r="BG575">
            <v>50</v>
          </cell>
          <cell r="BH575">
            <v>38169</v>
          </cell>
        </row>
        <row r="576">
          <cell r="A576">
            <v>65994</v>
          </cell>
          <cell r="B576">
            <v>403</v>
          </cell>
          <cell r="C576" t="str">
            <v>C3050</v>
          </cell>
          <cell r="D576" t="str">
            <v>EL BATOUNI</v>
          </cell>
          <cell r="E576" t="str">
            <v>MOHAMED</v>
          </cell>
          <cell r="F576">
            <v>19175</v>
          </cell>
          <cell r="G576" t="str">
            <v>1</v>
          </cell>
          <cell r="H576" t="str">
            <v>OULED BHAR KBAR KHOURIBGA</v>
          </cell>
          <cell r="I576" t="str">
            <v>D</v>
          </cell>
          <cell r="J576">
            <v>27204</v>
          </cell>
          <cell r="K576">
            <v>35977</v>
          </cell>
          <cell r="L576" t="str">
            <v>21</v>
          </cell>
          <cell r="M576" t="str">
            <v>C</v>
          </cell>
          <cell r="N576">
            <v>35977</v>
          </cell>
          <cell r="P576">
            <v>28</v>
          </cell>
          <cell r="R576" t="str">
            <v>N</v>
          </cell>
          <cell r="S576">
            <v>0</v>
          </cell>
          <cell r="T576" t="str">
            <v>M</v>
          </cell>
          <cell r="U576" t="str">
            <v>ESSOFI FATNA</v>
          </cell>
          <cell r="X576">
            <v>5</v>
          </cell>
          <cell r="Y576">
            <v>2</v>
          </cell>
          <cell r="AB576" t="str">
            <v>X</v>
          </cell>
          <cell r="AC576" t="str">
            <v>X</v>
          </cell>
          <cell r="AD576" t="str">
            <v>X</v>
          </cell>
          <cell r="AH576" t="str">
            <v>N</v>
          </cell>
          <cell r="AI576" t="str">
            <v>N</v>
          </cell>
          <cell r="AK576" t="str">
            <v>N° 2000 RUE 17 MSALLA KDIMA OUED ZEM</v>
          </cell>
          <cell r="AL576" t="str">
            <v>CM2</v>
          </cell>
          <cell r="AP576" t="str">
            <v>Q 19512</v>
          </cell>
          <cell r="AQ576">
            <v>0</v>
          </cell>
          <cell r="AR576" t="str">
            <v>B</v>
          </cell>
          <cell r="AS576" t="str">
            <v>POPULAIRE-O.ZEM</v>
          </cell>
          <cell r="AT576" t="str">
            <v>2111136290270002</v>
          </cell>
          <cell r="AU576" t="str">
            <v>/  /</v>
          </cell>
          <cell r="AW576">
            <v>37438</v>
          </cell>
          <cell r="AY576" t="str">
            <v>XX</v>
          </cell>
          <cell r="BA576" t="str">
            <v>2</v>
          </cell>
          <cell r="BB576">
            <v>1</v>
          </cell>
          <cell r="BD576">
            <v>0</v>
          </cell>
          <cell r="BE576" t="str">
            <v>M</v>
          </cell>
          <cell r="BF576" t="str">
            <v>N</v>
          </cell>
          <cell r="BG576">
            <v>0</v>
          </cell>
          <cell r="BH576">
            <v>37438</v>
          </cell>
          <cell r="BI576" t="str">
            <v>O</v>
          </cell>
        </row>
        <row r="577">
          <cell r="A577">
            <v>65995</v>
          </cell>
          <cell r="B577">
            <v>428</v>
          </cell>
          <cell r="C577" t="str">
            <v>C4411</v>
          </cell>
          <cell r="D577" t="str">
            <v>HAYTOM</v>
          </cell>
          <cell r="E577" t="str">
            <v>ABDERRAHIM</v>
          </cell>
          <cell r="F577">
            <v>19175</v>
          </cell>
          <cell r="G577" t="str">
            <v>1</v>
          </cell>
          <cell r="H577" t="str">
            <v>OULED ABDOUNE</v>
          </cell>
          <cell r="I577" t="str">
            <v>D</v>
          </cell>
          <cell r="J577">
            <v>27200</v>
          </cell>
          <cell r="K577">
            <v>34547</v>
          </cell>
          <cell r="L577" t="str">
            <v>22</v>
          </cell>
          <cell r="M577" t="str">
            <v>B</v>
          </cell>
          <cell r="N577">
            <v>35612</v>
          </cell>
          <cell r="P577">
            <v>28</v>
          </cell>
          <cell r="Q577" t="str">
            <v>O</v>
          </cell>
          <cell r="R577" t="str">
            <v>N</v>
          </cell>
          <cell r="S577">
            <v>0</v>
          </cell>
          <cell r="T577" t="str">
            <v>M</v>
          </cell>
          <cell r="U577" t="str">
            <v>HALMAOUI SAADIA</v>
          </cell>
          <cell r="X577">
            <v>5</v>
          </cell>
          <cell r="Y577">
            <v>2</v>
          </cell>
          <cell r="AB577" t="str">
            <v>X</v>
          </cell>
          <cell r="AC577" t="str">
            <v>X</v>
          </cell>
          <cell r="AD577" t="str">
            <v>X</v>
          </cell>
          <cell r="AH577" t="str">
            <v>N</v>
          </cell>
          <cell r="AI577" t="str">
            <v>N</v>
          </cell>
          <cell r="AK577" t="str">
            <v>278 HAY EL QODS KHGA</v>
          </cell>
          <cell r="AL577" t="str">
            <v>CM 2</v>
          </cell>
          <cell r="AP577" t="str">
            <v>Q 46607</v>
          </cell>
          <cell r="AQ577">
            <v>0</v>
          </cell>
          <cell r="AR577" t="str">
            <v>B</v>
          </cell>
          <cell r="AS577" t="str">
            <v>S.G.M.B - KHGA</v>
          </cell>
          <cell r="AT577" t="str">
            <v>670009209486</v>
          </cell>
          <cell r="AU577" t="str">
            <v>21/07/85</v>
          </cell>
          <cell r="AW577">
            <v>37438</v>
          </cell>
          <cell r="AY577" t="str">
            <v>XX</v>
          </cell>
          <cell r="AZ577" t="str">
            <v>M</v>
          </cell>
          <cell r="BA577" t="str">
            <v>0</v>
          </cell>
          <cell r="BB577">
            <v>1</v>
          </cell>
          <cell r="BD577">
            <v>0</v>
          </cell>
          <cell r="BE577" t="str">
            <v>M</v>
          </cell>
          <cell r="BF577" t="str">
            <v>N</v>
          </cell>
          <cell r="BG577">
            <v>4</v>
          </cell>
          <cell r="BH577">
            <v>37438</v>
          </cell>
        </row>
        <row r="578">
          <cell r="A578">
            <v>66077</v>
          </cell>
          <cell r="B578">
            <v>461</v>
          </cell>
          <cell r="C578" t="str">
            <v>C4152</v>
          </cell>
          <cell r="D578" t="str">
            <v>HOUKMI</v>
          </cell>
          <cell r="E578" t="str">
            <v>MOHAMMED</v>
          </cell>
          <cell r="F578">
            <v>19540</v>
          </cell>
          <cell r="G578" t="str">
            <v>1</v>
          </cell>
          <cell r="H578" t="str">
            <v>OULED BHAR KBAR KHOURIBGA</v>
          </cell>
          <cell r="I578" t="str">
            <v>D</v>
          </cell>
          <cell r="J578">
            <v>27215</v>
          </cell>
          <cell r="K578">
            <v>37012</v>
          </cell>
          <cell r="L578" t="str">
            <v>22</v>
          </cell>
          <cell r="M578" t="str">
            <v>A</v>
          </cell>
          <cell r="N578">
            <v>37012</v>
          </cell>
          <cell r="P578">
            <v>28</v>
          </cell>
          <cell r="Q578" t="str">
            <v>O</v>
          </cell>
          <cell r="R578" t="str">
            <v>N</v>
          </cell>
          <cell r="S578">
            <v>0</v>
          </cell>
          <cell r="T578" t="str">
            <v>M</v>
          </cell>
          <cell r="U578" t="str">
            <v>EL HOURANI ZAHIA BET ABDESSLAM</v>
          </cell>
          <cell r="X578">
            <v>6</v>
          </cell>
          <cell r="Y578">
            <v>3</v>
          </cell>
          <cell r="AB578" t="str">
            <v>X</v>
          </cell>
          <cell r="AC578" t="str">
            <v>X</v>
          </cell>
          <cell r="AD578" t="str">
            <v>X</v>
          </cell>
          <cell r="AH578" t="str">
            <v>N</v>
          </cell>
          <cell r="AI578" t="str">
            <v>N</v>
          </cell>
          <cell r="AK578" t="str">
            <v>55 BLOC F AL MASSIRA KHGA</v>
          </cell>
          <cell r="AL578" t="str">
            <v>4 AS</v>
          </cell>
          <cell r="AP578" t="str">
            <v>Q 57105</v>
          </cell>
          <cell r="AQ578">
            <v>0</v>
          </cell>
          <cell r="AR578" t="str">
            <v>B</v>
          </cell>
          <cell r="AS578" t="str">
            <v>POPULAIRE KHGA</v>
          </cell>
          <cell r="AT578" t="str">
            <v>211112855390006</v>
          </cell>
          <cell r="AU578" t="str">
            <v>/  /</v>
          </cell>
          <cell r="AW578">
            <v>37803</v>
          </cell>
          <cell r="AY578" t="str">
            <v>XX</v>
          </cell>
          <cell r="BA578" t="str">
            <v>0</v>
          </cell>
          <cell r="BB578">
            <v>1</v>
          </cell>
          <cell r="BD578">
            <v>0</v>
          </cell>
          <cell r="BE578" t="str">
            <v>M</v>
          </cell>
          <cell r="BF578" t="str">
            <v>N</v>
          </cell>
          <cell r="BG578">
            <v>5</v>
          </cell>
          <cell r="BH578">
            <v>37803</v>
          </cell>
          <cell r="BI578" t="str">
            <v>O</v>
          </cell>
        </row>
        <row r="579">
          <cell r="A579">
            <v>66097</v>
          </cell>
          <cell r="B579">
            <v>400</v>
          </cell>
          <cell r="C579" t="str">
            <v>C4612</v>
          </cell>
          <cell r="D579" t="str">
            <v>BARRANI</v>
          </cell>
          <cell r="E579" t="str">
            <v>FATIMA</v>
          </cell>
          <cell r="F579">
            <v>18079</v>
          </cell>
          <cell r="H579" t="str">
            <v>KSAR MAIZ - FIGUIG</v>
          </cell>
          <cell r="I579" t="str">
            <v>D</v>
          </cell>
          <cell r="J579">
            <v>27220</v>
          </cell>
          <cell r="K579">
            <v>35065</v>
          </cell>
          <cell r="L579" t="str">
            <v>33</v>
          </cell>
          <cell r="M579" t="str">
            <v>A</v>
          </cell>
          <cell r="N579">
            <v>35065</v>
          </cell>
          <cell r="O579">
            <v>0</v>
          </cell>
          <cell r="P579">
            <v>28</v>
          </cell>
          <cell r="Q579" t="str">
            <v>O</v>
          </cell>
          <cell r="R579" t="str">
            <v>N</v>
          </cell>
          <cell r="S579">
            <v>0</v>
          </cell>
          <cell r="T579" t="str">
            <v>M</v>
          </cell>
          <cell r="U579" t="str">
            <v>GRINA EL MEHDI</v>
          </cell>
          <cell r="X579">
            <v>0</v>
          </cell>
          <cell r="Y579">
            <v>0</v>
          </cell>
          <cell r="Z579" t="str">
            <v>N</v>
          </cell>
          <cell r="AB579" t="str">
            <v>X</v>
          </cell>
          <cell r="AC579" t="str">
            <v>X</v>
          </cell>
          <cell r="AD579" t="str">
            <v>X</v>
          </cell>
          <cell r="AE579" t="str">
            <v>MINI.EDUC.NAT</v>
          </cell>
          <cell r="AH579" t="str">
            <v>N</v>
          </cell>
          <cell r="AI579" t="str">
            <v>N</v>
          </cell>
          <cell r="AK579" t="str">
            <v>5 AMICAL CHABAB HAY RIAD -  KHGA</v>
          </cell>
          <cell r="AL579" t="str">
            <v>4AS</v>
          </cell>
          <cell r="AM579" t="str">
            <v>CET.</v>
          </cell>
          <cell r="AN579" t="str">
            <v>492440</v>
          </cell>
          <cell r="AP579" t="str">
            <v>Q 3133</v>
          </cell>
          <cell r="AQ579">
            <v>0</v>
          </cell>
          <cell r="AR579" t="str">
            <v>B</v>
          </cell>
          <cell r="AS579" t="str">
            <v>CIH - KHGA</v>
          </cell>
          <cell r="AT579" t="str">
            <v>8787178212004700</v>
          </cell>
          <cell r="AU579" t="str">
            <v>/  /</v>
          </cell>
          <cell r="AW579">
            <v>37803</v>
          </cell>
          <cell r="AY579" t="str">
            <v>XX</v>
          </cell>
          <cell r="BA579" t="str">
            <v>2</v>
          </cell>
          <cell r="BB579">
            <v>1</v>
          </cell>
          <cell r="BD579">
            <v>0</v>
          </cell>
          <cell r="BE579" t="str">
            <v>F</v>
          </cell>
          <cell r="BF579" t="str">
            <v>N</v>
          </cell>
          <cell r="BG579">
            <v>1</v>
          </cell>
          <cell r="BH579">
            <v>38169</v>
          </cell>
        </row>
        <row r="580">
          <cell r="A580">
            <v>66132</v>
          </cell>
          <cell r="B580">
            <v>421</v>
          </cell>
          <cell r="C580" t="str">
            <v>C7152</v>
          </cell>
          <cell r="D580" t="str">
            <v>JOURDANI</v>
          </cell>
          <cell r="E580" t="str">
            <v>M'HAMMED</v>
          </cell>
          <cell r="F580">
            <v>19175</v>
          </cell>
          <cell r="G580" t="str">
            <v>2</v>
          </cell>
          <cell r="H580" t="str">
            <v>OUED-ZEM</v>
          </cell>
          <cell r="I580" t="str">
            <v>D</v>
          </cell>
          <cell r="J580">
            <v>27233</v>
          </cell>
          <cell r="K580">
            <v>35065</v>
          </cell>
          <cell r="L580" t="str">
            <v>33</v>
          </cell>
          <cell r="M580" t="str">
            <v>A</v>
          </cell>
          <cell r="N580">
            <v>35065</v>
          </cell>
          <cell r="P580">
            <v>28</v>
          </cell>
          <cell r="Q580" t="str">
            <v>O</v>
          </cell>
          <cell r="R580" t="str">
            <v>N</v>
          </cell>
          <cell r="S580">
            <v>0</v>
          </cell>
          <cell r="T580" t="str">
            <v>M</v>
          </cell>
          <cell r="U580" t="str">
            <v>RABHA BENT BOUZEKRI SAADI</v>
          </cell>
          <cell r="X580">
            <v>6</v>
          </cell>
          <cell r="Y580">
            <v>2</v>
          </cell>
          <cell r="AB580" t="str">
            <v>X</v>
          </cell>
          <cell r="AC580" t="str">
            <v>X</v>
          </cell>
          <cell r="AD580" t="str">
            <v>X</v>
          </cell>
          <cell r="AH580" t="str">
            <v>N</v>
          </cell>
          <cell r="AI580" t="str">
            <v>O</v>
          </cell>
          <cell r="AJ580">
            <v>32507</v>
          </cell>
          <cell r="AK580" t="str">
            <v>154 CITE HABITAT OUED ZEM</v>
          </cell>
          <cell r="AL580" t="str">
            <v>3AS</v>
          </cell>
          <cell r="AM580" t="str">
            <v>CFO.</v>
          </cell>
          <cell r="AP580" t="str">
            <v>Q 38185</v>
          </cell>
          <cell r="AQ580">
            <v>0</v>
          </cell>
          <cell r="AR580" t="str">
            <v>B</v>
          </cell>
          <cell r="AS580" t="str">
            <v>BMCI  OUED-ZEM</v>
          </cell>
          <cell r="AT580" t="str">
            <v>02521398115301</v>
          </cell>
          <cell r="AU580" t="str">
            <v>/  /</v>
          </cell>
          <cell r="AW580">
            <v>37438</v>
          </cell>
          <cell r="AY580" t="str">
            <v>XX</v>
          </cell>
          <cell r="BA580" t="str">
            <v>1</v>
          </cell>
          <cell r="BB580">
            <v>1</v>
          </cell>
          <cell r="BD580">
            <v>0</v>
          </cell>
          <cell r="BE580" t="str">
            <v>M</v>
          </cell>
          <cell r="BF580" t="str">
            <v>N</v>
          </cell>
          <cell r="BG580">
            <v>30</v>
          </cell>
          <cell r="BH580">
            <v>37438</v>
          </cell>
          <cell r="BI580" t="str">
            <v>O</v>
          </cell>
        </row>
        <row r="581">
          <cell r="A581">
            <v>66172</v>
          </cell>
          <cell r="B581">
            <v>428</v>
          </cell>
          <cell r="C581" t="str">
            <v>C6050</v>
          </cell>
          <cell r="D581" t="str">
            <v>ZEHHAF</v>
          </cell>
          <cell r="E581" t="str">
            <v>EL MAATI</v>
          </cell>
          <cell r="F581">
            <v>19379</v>
          </cell>
          <cell r="G581" t="str">
            <v>1</v>
          </cell>
          <cell r="H581" t="str">
            <v>OULED ABDOUNE</v>
          </cell>
          <cell r="I581" t="str">
            <v>D</v>
          </cell>
          <cell r="J581">
            <v>27246</v>
          </cell>
          <cell r="K581">
            <v>33543</v>
          </cell>
          <cell r="L581" t="str">
            <v>32</v>
          </cell>
          <cell r="M581" t="str">
            <v>A</v>
          </cell>
          <cell r="N581">
            <v>33543</v>
          </cell>
          <cell r="P581">
            <v>28</v>
          </cell>
          <cell r="Q581" t="str">
            <v>O</v>
          </cell>
          <cell r="R581" t="str">
            <v>N</v>
          </cell>
          <cell r="S581">
            <v>0</v>
          </cell>
          <cell r="T581" t="str">
            <v>M</v>
          </cell>
          <cell r="U581" t="str">
            <v>LAABID NAIMA</v>
          </cell>
          <cell r="X581">
            <v>6</v>
          </cell>
          <cell r="Y581">
            <v>4</v>
          </cell>
          <cell r="AB581" t="str">
            <v>X</v>
          </cell>
          <cell r="AC581" t="str">
            <v>X</v>
          </cell>
          <cell r="AD581" t="str">
            <v>X</v>
          </cell>
          <cell r="AH581" t="str">
            <v>N</v>
          </cell>
          <cell r="AI581" t="str">
            <v>N</v>
          </cell>
          <cell r="AK581" t="str">
            <v>119 RUE 14 DERB OULED JAAFAR KHGA</v>
          </cell>
          <cell r="AL581" t="str">
            <v>3AS</v>
          </cell>
          <cell r="AM581" t="str">
            <v>CFO.</v>
          </cell>
          <cell r="AP581" t="str">
            <v>Q 31735</v>
          </cell>
          <cell r="AQ581">
            <v>0</v>
          </cell>
          <cell r="AR581" t="str">
            <v>B</v>
          </cell>
          <cell r="AS581" t="str">
            <v>POPULAIRE-KHGA</v>
          </cell>
          <cell r="AT581" t="str">
            <v>2111112888550006</v>
          </cell>
          <cell r="AU581" t="str">
            <v>/  /</v>
          </cell>
          <cell r="AW581">
            <v>37803</v>
          </cell>
          <cell r="AY581" t="str">
            <v>XX</v>
          </cell>
          <cell r="BA581" t="str">
            <v>2</v>
          </cell>
          <cell r="BB581">
            <v>1</v>
          </cell>
          <cell r="BD581">
            <v>0</v>
          </cell>
          <cell r="BE581" t="str">
            <v>M</v>
          </cell>
          <cell r="BF581" t="str">
            <v>N</v>
          </cell>
          <cell r="BG581">
            <v>4</v>
          </cell>
          <cell r="BH581">
            <v>37803</v>
          </cell>
        </row>
        <row r="582">
          <cell r="A582">
            <v>66174</v>
          </cell>
          <cell r="B582">
            <v>406</v>
          </cell>
          <cell r="C582" t="str">
            <v>C5102</v>
          </cell>
          <cell r="D582" t="str">
            <v>DOUNIYA</v>
          </cell>
          <cell r="E582" t="str">
            <v>SALAH</v>
          </cell>
          <cell r="F582">
            <v>19815</v>
          </cell>
          <cell r="G582" t="str">
            <v>1</v>
          </cell>
          <cell r="H582" t="str">
            <v>KHOURIBGA</v>
          </cell>
          <cell r="I582" t="str">
            <v>D</v>
          </cell>
          <cell r="J582">
            <v>27246</v>
          </cell>
          <cell r="K582">
            <v>37073</v>
          </cell>
          <cell r="L582" t="str">
            <v>31</v>
          </cell>
          <cell r="M582" t="str">
            <v>A</v>
          </cell>
          <cell r="N582">
            <v>37073</v>
          </cell>
          <cell r="P582">
            <v>28</v>
          </cell>
          <cell r="Q582" t="str">
            <v>O</v>
          </cell>
          <cell r="R582" t="str">
            <v>N</v>
          </cell>
          <cell r="S582">
            <v>0</v>
          </cell>
          <cell r="T582" t="str">
            <v>M</v>
          </cell>
          <cell r="U582" t="str">
            <v>FELI MALIKA</v>
          </cell>
          <cell r="X582">
            <v>4</v>
          </cell>
          <cell r="Y582">
            <v>1</v>
          </cell>
          <cell r="AB582" t="str">
            <v>X</v>
          </cell>
          <cell r="AC582" t="str">
            <v>X</v>
          </cell>
          <cell r="AD582" t="str">
            <v>X</v>
          </cell>
          <cell r="AH582" t="str">
            <v>N</v>
          </cell>
          <cell r="AI582" t="str">
            <v>N</v>
          </cell>
          <cell r="AK582" t="str">
            <v>1147 LOTISSEMENT EL QODS - KHGA</v>
          </cell>
          <cell r="AL582" t="str">
            <v>3AS</v>
          </cell>
          <cell r="AP582" t="str">
            <v>Q 27292</v>
          </cell>
          <cell r="AQ582">
            <v>0</v>
          </cell>
          <cell r="AR582" t="str">
            <v>B</v>
          </cell>
          <cell r="AS582" t="str">
            <v>CIH KHGA</v>
          </cell>
          <cell r="AT582" t="str">
            <v>7288681</v>
          </cell>
          <cell r="AU582" t="str">
            <v>/  /</v>
          </cell>
          <cell r="AW582">
            <v>38169</v>
          </cell>
          <cell r="AY582" t="str">
            <v>XX</v>
          </cell>
          <cell r="AZ582" t="str">
            <v>M</v>
          </cell>
          <cell r="BA582" t="str">
            <v>1</v>
          </cell>
          <cell r="BB582">
            <v>1</v>
          </cell>
          <cell r="BD582">
            <v>0</v>
          </cell>
          <cell r="BE582" t="str">
            <v>M</v>
          </cell>
          <cell r="BF582" t="str">
            <v>N</v>
          </cell>
          <cell r="BG582">
            <v>1</v>
          </cell>
          <cell r="BH582">
            <v>38169</v>
          </cell>
          <cell r="BI582" t="str">
            <v>O</v>
          </cell>
        </row>
        <row r="583">
          <cell r="A583">
            <v>66186</v>
          </cell>
          <cell r="B583">
            <v>423</v>
          </cell>
          <cell r="C583" t="str">
            <v>C4200</v>
          </cell>
          <cell r="D583" t="str">
            <v>NAGRAOUI</v>
          </cell>
          <cell r="E583" t="str">
            <v>MUSTAPHA</v>
          </cell>
          <cell r="F583">
            <v>19175</v>
          </cell>
          <cell r="G583" t="str">
            <v>2</v>
          </cell>
          <cell r="H583" t="str">
            <v>OUED-ZEM</v>
          </cell>
          <cell r="I583" t="str">
            <v>D</v>
          </cell>
          <cell r="J583">
            <v>27244</v>
          </cell>
          <cell r="K583">
            <v>36526</v>
          </cell>
          <cell r="L583" t="str">
            <v>22</v>
          </cell>
          <cell r="M583" t="str">
            <v>A</v>
          </cell>
          <cell r="N583">
            <v>36526</v>
          </cell>
          <cell r="P583">
            <v>28</v>
          </cell>
          <cell r="Q583" t="str">
            <v>O</v>
          </cell>
          <cell r="R583" t="str">
            <v>N</v>
          </cell>
          <cell r="S583">
            <v>0</v>
          </cell>
          <cell r="T583" t="str">
            <v>M</v>
          </cell>
          <cell r="U583" t="str">
            <v>FATIMA BENT BRAHIM</v>
          </cell>
          <cell r="X583">
            <v>4</v>
          </cell>
          <cell r="Y583">
            <v>2</v>
          </cell>
          <cell r="AB583" t="str">
            <v>X</v>
          </cell>
          <cell r="AC583" t="str">
            <v>X</v>
          </cell>
          <cell r="AD583" t="str">
            <v>X</v>
          </cell>
          <cell r="AH583" t="str">
            <v>N</v>
          </cell>
          <cell r="AI583" t="str">
            <v>N</v>
          </cell>
          <cell r="AK583" t="str">
            <v>57 BLOC A EL WAHDA OUED ZEM</v>
          </cell>
          <cell r="AL583" t="str">
            <v>2AS</v>
          </cell>
          <cell r="AP583" t="str">
            <v>Q 17162</v>
          </cell>
          <cell r="AQ583">
            <v>0</v>
          </cell>
          <cell r="AR583" t="str">
            <v>B</v>
          </cell>
          <cell r="AS583" t="str">
            <v>POPULAIRE.O-ZEM</v>
          </cell>
          <cell r="AT583" t="str">
            <v>2111136290950009</v>
          </cell>
          <cell r="AU583" t="str">
            <v>/  /</v>
          </cell>
          <cell r="AW583">
            <v>38219</v>
          </cell>
          <cell r="AX583">
            <v>38219</v>
          </cell>
          <cell r="AY583" t="str">
            <v>XX</v>
          </cell>
          <cell r="AZ583" t="str">
            <v>K</v>
          </cell>
          <cell r="BA583" t="str">
            <v>2</v>
          </cell>
          <cell r="BB583">
            <v>1</v>
          </cell>
          <cell r="BD583">
            <v>0</v>
          </cell>
          <cell r="BE583" t="str">
            <v>M</v>
          </cell>
          <cell r="BF583" t="str">
            <v>N</v>
          </cell>
          <cell r="BG583">
            <v>31</v>
          </cell>
          <cell r="BH583">
            <v>37438</v>
          </cell>
          <cell r="BI583" t="str">
            <v>O</v>
          </cell>
        </row>
        <row r="584">
          <cell r="A584">
            <v>66187</v>
          </cell>
          <cell r="B584">
            <v>437</v>
          </cell>
          <cell r="C584" t="str">
            <v>C3450</v>
          </cell>
          <cell r="D584" t="str">
            <v>ANWARI</v>
          </cell>
          <cell r="E584" t="str">
            <v>EL MFADEL</v>
          </cell>
          <cell r="F584">
            <v>19389</v>
          </cell>
          <cell r="G584" t="str">
            <v>3</v>
          </cell>
          <cell r="H584" t="str">
            <v>BOUJNIBA</v>
          </cell>
          <cell r="I584" t="str">
            <v>D</v>
          </cell>
          <cell r="J584">
            <v>27246</v>
          </cell>
          <cell r="K584">
            <v>36039</v>
          </cell>
          <cell r="L584" t="str">
            <v>21</v>
          </cell>
          <cell r="M584" t="str">
            <v>C</v>
          </cell>
          <cell r="N584">
            <v>36039</v>
          </cell>
          <cell r="P584">
            <v>28</v>
          </cell>
          <cell r="Q584" t="str">
            <v>N</v>
          </cell>
          <cell r="R584" t="str">
            <v>N</v>
          </cell>
          <cell r="S584">
            <v>0</v>
          </cell>
          <cell r="T584" t="str">
            <v>M</v>
          </cell>
          <cell r="U584" t="str">
            <v>OUHAMMOU FATIMA</v>
          </cell>
          <cell r="X584">
            <v>7</v>
          </cell>
          <cell r="Y584">
            <v>6</v>
          </cell>
          <cell r="AB584" t="str">
            <v>X</v>
          </cell>
          <cell r="AC584" t="str">
            <v>X</v>
          </cell>
          <cell r="AD584" t="str">
            <v>X</v>
          </cell>
          <cell r="AH584" t="str">
            <v>N</v>
          </cell>
          <cell r="AI584" t="str">
            <v>N</v>
          </cell>
          <cell r="AK584" t="str">
            <v>56 BLOC U RUE HASSANE NAHDA KHOURIBGA</v>
          </cell>
          <cell r="AL584" t="str">
            <v>CM2</v>
          </cell>
          <cell r="AP584" t="str">
            <v>Q 28955</v>
          </cell>
          <cell r="AQ584">
            <v>0</v>
          </cell>
          <cell r="AR584" t="str">
            <v>C</v>
          </cell>
          <cell r="AU584" t="str">
            <v>/  /</v>
          </cell>
          <cell r="AW584">
            <v>37803</v>
          </cell>
          <cell r="AY584" t="str">
            <v>O+</v>
          </cell>
          <cell r="BA584" t="str">
            <v>2</v>
          </cell>
          <cell r="BB584">
            <v>1</v>
          </cell>
          <cell r="BD584">
            <v>0</v>
          </cell>
          <cell r="BE584" t="str">
            <v>M</v>
          </cell>
          <cell r="BF584" t="str">
            <v>N</v>
          </cell>
          <cell r="BG584">
            <v>0</v>
          </cell>
          <cell r="BH584">
            <v>37803</v>
          </cell>
        </row>
        <row r="585">
          <cell r="A585">
            <v>66189</v>
          </cell>
          <cell r="B585">
            <v>437</v>
          </cell>
          <cell r="C585" t="str">
            <v>C5450</v>
          </cell>
          <cell r="D585" t="str">
            <v>EL BOUKILI</v>
          </cell>
          <cell r="E585" t="str">
            <v>EL HAJ KADDOUR</v>
          </cell>
          <cell r="F585">
            <v>19905</v>
          </cell>
          <cell r="G585" t="str">
            <v>5</v>
          </cell>
          <cell r="H585" t="str">
            <v>BOUJAAD</v>
          </cell>
          <cell r="I585" t="str">
            <v>D</v>
          </cell>
          <cell r="J585">
            <v>27248</v>
          </cell>
          <cell r="K585">
            <v>35431</v>
          </cell>
          <cell r="L585" t="str">
            <v>31</v>
          </cell>
          <cell r="M585" t="str">
            <v>A</v>
          </cell>
          <cell r="N585">
            <v>35431</v>
          </cell>
          <cell r="P585">
            <v>28</v>
          </cell>
          <cell r="Q585" t="str">
            <v>N</v>
          </cell>
          <cell r="R585" t="str">
            <v>N</v>
          </cell>
          <cell r="S585">
            <v>0</v>
          </cell>
          <cell r="T585" t="str">
            <v>M</v>
          </cell>
          <cell r="U585" t="str">
            <v>MOUATASSIM SAADIA</v>
          </cell>
          <cell r="X585">
            <v>2</v>
          </cell>
          <cell r="Y585">
            <v>2</v>
          </cell>
          <cell r="AB585" t="str">
            <v>O</v>
          </cell>
          <cell r="AC585" t="str">
            <v>X</v>
          </cell>
          <cell r="AD585" t="str">
            <v>X</v>
          </cell>
          <cell r="AE585" t="str">
            <v>MINI.EDUC.NAT</v>
          </cell>
          <cell r="AH585" t="str">
            <v>N</v>
          </cell>
          <cell r="AI585" t="str">
            <v>N</v>
          </cell>
          <cell r="AK585" t="str">
            <v>223 NLLE CONSTRUCTIONS KHGA</v>
          </cell>
          <cell r="AL585" t="str">
            <v>3AS</v>
          </cell>
          <cell r="AM585" t="str">
            <v>CEP.</v>
          </cell>
          <cell r="AN585" t="str">
            <v>49═17═64</v>
          </cell>
          <cell r="AP585" t="str">
            <v>Q 26785</v>
          </cell>
          <cell r="AQ585">
            <v>0</v>
          </cell>
          <cell r="AR585" t="str">
            <v>B</v>
          </cell>
          <cell r="AS585" t="str">
            <v>BMCE. KHGA</v>
          </cell>
          <cell r="AT585" t="str">
            <v>40001200000115875</v>
          </cell>
          <cell r="AU585" t="str">
            <v>/  /</v>
          </cell>
          <cell r="AW585">
            <v>38169</v>
          </cell>
          <cell r="AY585" t="str">
            <v>XX</v>
          </cell>
          <cell r="AZ585" t="str">
            <v>M</v>
          </cell>
          <cell r="BA585" t="str">
            <v>2</v>
          </cell>
          <cell r="BB585">
            <v>1</v>
          </cell>
          <cell r="BD585">
            <v>0</v>
          </cell>
          <cell r="BE585" t="str">
            <v>M</v>
          </cell>
          <cell r="BF585" t="str">
            <v>N</v>
          </cell>
          <cell r="BG585">
            <v>0</v>
          </cell>
          <cell r="BH585">
            <v>38169</v>
          </cell>
        </row>
        <row r="586">
          <cell r="A586">
            <v>66190</v>
          </cell>
          <cell r="B586">
            <v>403</v>
          </cell>
          <cell r="C586" t="str">
            <v>C4754</v>
          </cell>
          <cell r="D586" t="str">
            <v>ADDAL</v>
          </cell>
          <cell r="E586" t="str">
            <v>MOHAMMED</v>
          </cell>
          <cell r="F586">
            <v>19435</v>
          </cell>
          <cell r="H586" t="str">
            <v>BIN EL OUIDANE</v>
          </cell>
          <cell r="I586" t="str">
            <v>D</v>
          </cell>
          <cell r="J586">
            <v>27253</v>
          </cell>
          <cell r="K586">
            <v>35065</v>
          </cell>
          <cell r="L586" t="str">
            <v>22</v>
          </cell>
          <cell r="M586" t="str">
            <v>A</v>
          </cell>
          <cell r="N586">
            <v>35065</v>
          </cell>
          <cell r="O586">
            <v>0</v>
          </cell>
          <cell r="P586">
            <v>28</v>
          </cell>
          <cell r="Q586" t="str">
            <v>N</v>
          </cell>
          <cell r="R586" t="str">
            <v>O</v>
          </cell>
          <cell r="S586">
            <v>3</v>
          </cell>
          <cell r="T586" t="str">
            <v>M</v>
          </cell>
          <cell r="U586" t="str">
            <v>LAMOUAKKAR KHADDOUJ</v>
          </cell>
          <cell r="X586">
            <v>7</v>
          </cell>
          <cell r="Y586">
            <v>5</v>
          </cell>
          <cell r="AB586" t="str">
            <v>X</v>
          </cell>
          <cell r="AC586" t="str">
            <v>X</v>
          </cell>
          <cell r="AD586" t="str">
            <v>X</v>
          </cell>
          <cell r="AH586" t="str">
            <v>N</v>
          </cell>
          <cell r="AI586" t="str">
            <v>N</v>
          </cell>
          <cell r="AK586" t="str">
            <v>286 DERB 2 - BOUJNIBA</v>
          </cell>
          <cell r="AL586" t="str">
            <v>3AS</v>
          </cell>
          <cell r="AM586" t="str">
            <v>CEP.</v>
          </cell>
          <cell r="AP586" t="str">
            <v>Q 8686</v>
          </cell>
          <cell r="AQ586">
            <v>0</v>
          </cell>
          <cell r="AR586" t="str">
            <v>B</v>
          </cell>
          <cell r="AS586" t="str">
            <v>C.N.C.A  KHGA</v>
          </cell>
          <cell r="AT586" t="str">
            <v>0806204K601</v>
          </cell>
          <cell r="AU586" t="str">
            <v>/  /</v>
          </cell>
          <cell r="AW586">
            <v>37803</v>
          </cell>
          <cell r="AY586" t="str">
            <v>XX</v>
          </cell>
          <cell r="BA586" t="str">
            <v>2</v>
          </cell>
          <cell r="BB586">
            <v>1</v>
          </cell>
          <cell r="BD586">
            <v>0</v>
          </cell>
          <cell r="BE586" t="str">
            <v>M</v>
          </cell>
          <cell r="BF586" t="str">
            <v>N</v>
          </cell>
          <cell r="BG586">
            <v>0</v>
          </cell>
          <cell r="BH586">
            <v>37803</v>
          </cell>
          <cell r="BI586" t="str">
            <v>O</v>
          </cell>
        </row>
        <row r="587">
          <cell r="A587">
            <v>66194</v>
          </cell>
          <cell r="B587">
            <v>403</v>
          </cell>
          <cell r="C587" t="str">
            <v>C7801</v>
          </cell>
          <cell r="D587" t="str">
            <v>MOUKHLISSI</v>
          </cell>
          <cell r="E587" t="str">
            <v>ABDELKADER</v>
          </cell>
          <cell r="F587">
            <v>19175</v>
          </cell>
          <cell r="G587" t="str">
            <v>6</v>
          </cell>
          <cell r="H587" t="str">
            <v>M'FASSIS</v>
          </cell>
          <cell r="I587" t="str">
            <v>D</v>
          </cell>
          <cell r="J587">
            <v>27246</v>
          </cell>
          <cell r="K587">
            <v>35065</v>
          </cell>
          <cell r="L587" t="str">
            <v>33</v>
          </cell>
          <cell r="M587" t="str">
            <v>A</v>
          </cell>
          <cell r="N587">
            <v>35065</v>
          </cell>
          <cell r="P587">
            <v>28</v>
          </cell>
          <cell r="Q587" t="str">
            <v>O</v>
          </cell>
          <cell r="R587" t="str">
            <v>N</v>
          </cell>
          <cell r="S587">
            <v>0</v>
          </cell>
          <cell r="T587" t="str">
            <v>M</v>
          </cell>
          <cell r="U587" t="str">
            <v>FATNA BENT BOUCHAIB JOUICHA</v>
          </cell>
          <cell r="X587">
            <v>6</v>
          </cell>
          <cell r="Y587">
            <v>3</v>
          </cell>
          <cell r="AB587" t="str">
            <v>X</v>
          </cell>
          <cell r="AC587" t="str">
            <v>X</v>
          </cell>
          <cell r="AD587" t="str">
            <v>X</v>
          </cell>
          <cell r="AH587" t="str">
            <v>N</v>
          </cell>
          <cell r="AI587" t="str">
            <v>N</v>
          </cell>
          <cell r="AK587" t="str">
            <v>1054 VILLAGE O.C.P - HATTANE</v>
          </cell>
          <cell r="AL587" t="str">
            <v>3AS</v>
          </cell>
          <cell r="AM587" t="str">
            <v>CEP.CFO</v>
          </cell>
          <cell r="AP587" t="str">
            <v>Q 1529</v>
          </cell>
          <cell r="AQ587">
            <v>0</v>
          </cell>
          <cell r="AR587" t="str">
            <v>B</v>
          </cell>
          <cell r="AS587" t="str">
            <v>POPULAIRE_KHGA</v>
          </cell>
          <cell r="AT587" t="str">
            <v>2111112804840002</v>
          </cell>
          <cell r="AU587" t="str">
            <v>/  /</v>
          </cell>
          <cell r="AW587">
            <v>37438</v>
          </cell>
          <cell r="AY587" t="str">
            <v>O+</v>
          </cell>
          <cell r="BA587" t="str">
            <v>0</v>
          </cell>
          <cell r="BB587">
            <v>1</v>
          </cell>
          <cell r="BD587">
            <v>0</v>
          </cell>
          <cell r="BE587" t="str">
            <v>M</v>
          </cell>
          <cell r="BF587" t="str">
            <v>N</v>
          </cell>
          <cell r="BG587">
            <v>10</v>
          </cell>
          <cell r="BH587">
            <v>37438</v>
          </cell>
        </row>
        <row r="588">
          <cell r="A588">
            <v>66199</v>
          </cell>
          <cell r="B588">
            <v>403</v>
          </cell>
          <cell r="C588" t="str">
            <v>C3050</v>
          </cell>
          <cell r="D588" t="str">
            <v>LALAM</v>
          </cell>
          <cell r="E588" t="str">
            <v>MOHAMMED</v>
          </cell>
          <cell r="F588">
            <v>19356</v>
          </cell>
          <cell r="G588" t="str">
            <v>1</v>
          </cell>
          <cell r="H588" t="str">
            <v>KHOURIBGA</v>
          </cell>
          <cell r="I588" t="str">
            <v>D</v>
          </cell>
          <cell r="J588">
            <v>27246</v>
          </cell>
          <cell r="K588">
            <v>36039</v>
          </cell>
          <cell r="L588" t="str">
            <v>21</v>
          </cell>
          <cell r="M588" t="str">
            <v>B</v>
          </cell>
          <cell r="N588">
            <v>36039</v>
          </cell>
          <cell r="P588">
            <v>28</v>
          </cell>
          <cell r="Q588" t="str">
            <v>O</v>
          </cell>
          <cell r="R588" t="str">
            <v>N</v>
          </cell>
          <cell r="S588">
            <v>0</v>
          </cell>
          <cell r="T588" t="str">
            <v>M</v>
          </cell>
          <cell r="U588" t="str">
            <v>MALIKA BENT MOHAMED</v>
          </cell>
          <cell r="X588">
            <v>5</v>
          </cell>
          <cell r="Y588">
            <v>2</v>
          </cell>
          <cell r="AB588" t="str">
            <v>X</v>
          </cell>
          <cell r="AC588" t="str">
            <v>X</v>
          </cell>
          <cell r="AD588" t="str">
            <v>X</v>
          </cell>
          <cell r="AH588" t="str">
            <v>N</v>
          </cell>
          <cell r="AI588" t="str">
            <v>N</v>
          </cell>
          <cell r="AK588" t="str">
            <v>675 NELLE MEDINA DE SECHAGE KHGA</v>
          </cell>
          <cell r="AL588" t="str">
            <v>1AS</v>
          </cell>
          <cell r="AP588" t="str">
            <v>Q 47182</v>
          </cell>
          <cell r="AQ588">
            <v>0</v>
          </cell>
          <cell r="AR588" t="str">
            <v>C</v>
          </cell>
          <cell r="AU588" t="str">
            <v>/  /</v>
          </cell>
          <cell r="AW588">
            <v>37622</v>
          </cell>
          <cell r="AY588" t="str">
            <v>XX</v>
          </cell>
          <cell r="BA588" t="str">
            <v>2</v>
          </cell>
          <cell r="BB588">
            <v>1</v>
          </cell>
          <cell r="BD588">
            <v>0</v>
          </cell>
          <cell r="BE588" t="str">
            <v>M</v>
          </cell>
          <cell r="BF588" t="str">
            <v>N</v>
          </cell>
          <cell r="BG588">
            <v>5</v>
          </cell>
          <cell r="BH588">
            <v>37803</v>
          </cell>
          <cell r="BI588" t="str">
            <v>O</v>
          </cell>
        </row>
        <row r="589">
          <cell r="A589">
            <v>66210</v>
          </cell>
          <cell r="B589">
            <v>437</v>
          </cell>
          <cell r="C589" t="str">
            <v>C5450</v>
          </cell>
          <cell r="D589" t="str">
            <v>CHATANI</v>
          </cell>
          <cell r="E589" t="str">
            <v>BOUAZZA</v>
          </cell>
          <cell r="F589">
            <v>19540</v>
          </cell>
          <cell r="G589" t="str">
            <v>1</v>
          </cell>
          <cell r="H589" t="str">
            <v>OULED BHAR KBAR KHOURIBGA</v>
          </cell>
          <cell r="I589" t="str">
            <v>D</v>
          </cell>
          <cell r="J589">
            <v>27247</v>
          </cell>
          <cell r="K589">
            <v>35431</v>
          </cell>
          <cell r="L589" t="str">
            <v>31</v>
          </cell>
          <cell r="M589" t="str">
            <v>A</v>
          </cell>
          <cell r="N589">
            <v>35431</v>
          </cell>
          <cell r="P589">
            <v>28</v>
          </cell>
          <cell r="Q589" t="str">
            <v>O</v>
          </cell>
          <cell r="R589" t="str">
            <v>N</v>
          </cell>
          <cell r="S589">
            <v>0</v>
          </cell>
          <cell r="T589" t="str">
            <v>M</v>
          </cell>
          <cell r="U589" t="str">
            <v>BETTAN LEILA</v>
          </cell>
          <cell r="X589">
            <v>5</v>
          </cell>
          <cell r="Y589">
            <v>4</v>
          </cell>
          <cell r="AB589" t="str">
            <v>X</v>
          </cell>
          <cell r="AC589" t="str">
            <v>X</v>
          </cell>
          <cell r="AD589" t="str">
            <v>X</v>
          </cell>
          <cell r="AH589" t="str">
            <v>N</v>
          </cell>
          <cell r="AI589" t="str">
            <v>N</v>
          </cell>
          <cell r="AK589" t="str">
            <v>67 NOUVELLE CONSTRUCTION SECHAGE - KHGA</v>
          </cell>
          <cell r="AL589" t="str">
            <v>4AS</v>
          </cell>
          <cell r="AP589" t="str">
            <v>Q 915</v>
          </cell>
          <cell r="AQ589">
            <v>0</v>
          </cell>
          <cell r="AR589" t="str">
            <v>B</v>
          </cell>
          <cell r="AS589" t="str">
            <v>WAFABANK - KHGA</v>
          </cell>
          <cell r="AT589" t="str">
            <v>1220301211559</v>
          </cell>
          <cell r="AU589" t="str">
            <v>/  /</v>
          </cell>
          <cell r="AW589">
            <v>38882</v>
          </cell>
          <cell r="AX589">
            <v>38882</v>
          </cell>
          <cell r="AY589" t="str">
            <v>XX</v>
          </cell>
          <cell r="AZ589" t="str">
            <v>M</v>
          </cell>
          <cell r="BA589" t="str">
            <v>2</v>
          </cell>
          <cell r="BB589">
            <v>1</v>
          </cell>
          <cell r="BD589">
            <v>0</v>
          </cell>
          <cell r="BE589" t="str">
            <v>M</v>
          </cell>
          <cell r="BF589" t="str">
            <v>N</v>
          </cell>
          <cell r="BG589">
            <v>1</v>
          </cell>
          <cell r="BH589">
            <v>37803</v>
          </cell>
          <cell r="BI589" t="str">
            <v>O</v>
          </cell>
        </row>
        <row r="590">
          <cell r="A590">
            <v>66211</v>
          </cell>
          <cell r="B590">
            <v>403</v>
          </cell>
          <cell r="C590" t="str">
            <v>C5801</v>
          </cell>
          <cell r="D590" t="str">
            <v>BOUZIDI</v>
          </cell>
          <cell r="E590" t="str">
            <v>MOHAMED</v>
          </cell>
          <cell r="F590">
            <v>19757</v>
          </cell>
          <cell r="G590" t="str">
            <v>2</v>
          </cell>
          <cell r="H590" t="str">
            <v>BENI SMIR  OUED-ZEM</v>
          </cell>
          <cell r="I590" t="str">
            <v>D</v>
          </cell>
          <cell r="J590">
            <v>27248</v>
          </cell>
          <cell r="K590">
            <v>34151</v>
          </cell>
          <cell r="L590" t="str">
            <v>31</v>
          </cell>
          <cell r="M590" t="str">
            <v>A</v>
          </cell>
          <cell r="N590">
            <v>34151</v>
          </cell>
          <cell r="P590">
            <v>28</v>
          </cell>
          <cell r="Q590" t="str">
            <v>O</v>
          </cell>
          <cell r="R590" t="str">
            <v>N</v>
          </cell>
          <cell r="S590">
            <v>0</v>
          </cell>
          <cell r="T590" t="str">
            <v>M</v>
          </cell>
          <cell r="U590" t="str">
            <v>BOUSLI FATIMA</v>
          </cell>
          <cell r="X590">
            <v>5</v>
          </cell>
          <cell r="Y590">
            <v>4</v>
          </cell>
          <cell r="AB590" t="str">
            <v>X</v>
          </cell>
          <cell r="AC590" t="str">
            <v>X</v>
          </cell>
          <cell r="AD590" t="str">
            <v>X</v>
          </cell>
          <cell r="AH590" t="str">
            <v>N</v>
          </cell>
          <cell r="AI590" t="str">
            <v>N</v>
          </cell>
          <cell r="AK590" t="str">
            <v>904 SBATA HATTANE</v>
          </cell>
          <cell r="AL590" t="str">
            <v>3AS</v>
          </cell>
          <cell r="AM590" t="str">
            <v>CEP.</v>
          </cell>
          <cell r="AP590" t="str">
            <v>Q 7329</v>
          </cell>
          <cell r="AQ590">
            <v>0</v>
          </cell>
          <cell r="AR590" t="str">
            <v>B</v>
          </cell>
          <cell r="AS590" t="str">
            <v>SGMB - KHGA</v>
          </cell>
          <cell r="AT590" t="str">
            <v>0000670009381952</v>
          </cell>
          <cell r="AU590" t="str">
            <v>/  /</v>
          </cell>
          <cell r="AW590">
            <v>38169</v>
          </cell>
          <cell r="AY590" t="str">
            <v>A+</v>
          </cell>
          <cell r="BA590" t="str">
            <v>0</v>
          </cell>
          <cell r="BB590">
            <v>1</v>
          </cell>
          <cell r="BD590">
            <v>0</v>
          </cell>
          <cell r="BE590" t="str">
            <v>M</v>
          </cell>
          <cell r="BF590" t="str">
            <v>N</v>
          </cell>
          <cell r="BG590">
            <v>10</v>
          </cell>
          <cell r="BH590">
            <v>38169</v>
          </cell>
        </row>
        <row r="591">
          <cell r="A591">
            <v>66214</v>
          </cell>
          <cell r="B591">
            <v>411</v>
          </cell>
          <cell r="C591" t="str">
            <v>C5152</v>
          </cell>
          <cell r="D591" t="str">
            <v>HDAD</v>
          </cell>
          <cell r="E591" t="str">
            <v>MOHAMMED</v>
          </cell>
          <cell r="F591">
            <v>19540</v>
          </cell>
          <cell r="G591" t="str">
            <v>1</v>
          </cell>
          <cell r="H591" t="str">
            <v>OULED BHAR KBAR KHOURIBGA</v>
          </cell>
          <cell r="I591" t="str">
            <v>D</v>
          </cell>
          <cell r="J591">
            <v>27249</v>
          </cell>
          <cell r="K591">
            <v>37073</v>
          </cell>
          <cell r="L591" t="str">
            <v>31</v>
          </cell>
          <cell r="M591" t="str">
            <v>A</v>
          </cell>
          <cell r="N591">
            <v>37073</v>
          </cell>
          <cell r="P591">
            <v>28</v>
          </cell>
          <cell r="Q591" t="str">
            <v>O</v>
          </cell>
          <cell r="R591" t="str">
            <v>N</v>
          </cell>
          <cell r="S591">
            <v>0</v>
          </cell>
          <cell r="T591" t="str">
            <v>M</v>
          </cell>
          <cell r="U591" t="str">
            <v>FATNA BENT EL ARBI</v>
          </cell>
          <cell r="X591">
            <v>6</v>
          </cell>
          <cell r="Y591">
            <v>4</v>
          </cell>
          <cell r="AB591" t="str">
            <v>X</v>
          </cell>
          <cell r="AC591" t="str">
            <v>X</v>
          </cell>
          <cell r="AD591" t="str">
            <v>X</v>
          </cell>
          <cell r="AH591" t="str">
            <v>N</v>
          </cell>
          <cell r="AI591" t="str">
            <v>N</v>
          </cell>
          <cell r="AK591" t="str">
            <v>588 VILLAGE OCP BOULANOIR</v>
          </cell>
          <cell r="AL591" t="str">
            <v>1AS</v>
          </cell>
          <cell r="AP591" t="str">
            <v>Q 52653</v>
          </cell>
          <cell r="AQ591">
            <v>0</v>
          </cell>
          <cell r="AR591" t="str">
            <v>B</v>
          </cell>
          <cell r="AS591" t="str">
            <v>SGMB - KHGA</v>
          </cell>
          <cell r="AT591" t="str">
            <v>0670009374192</v>
          </cell>
          <cell r="AU591" t="str">
            <v>/  /</v>
          </cell>
          <cell r="AW591">
            <v>37803</v>
          </cell>
          <cell r="AY591" t="str">
            <v>XX</v>
          </cell>
          <cell r="BA591" t="str">
            <v>1</v>
          </cell>
          <cell r="BB591">
            <v>1</v>
          </cell>
          <cell r="BD591">
            <v>0</v>
          </cell>
          <cell r="BE591" t="str">
            <v>M</v>
          </cell>
          <cell r="BF591" t="str">
            <v>N</v>
          </cell>
          <cell r="BG591">
            <v>40</v>
          </cell>
          <cell r="BH591">
            <v>37803</v>
          </cell>
        </row>
        <row r="592">
          <cell r="A592">
            <v>66217</v>
          </cell>
          <cell r="B592">
            <v>437</v>
          </cell>
          <cell r="C592" t="str">
            <v>C3152</v>
          </cell>
          <cell r="D592" t="str">
            <v>ZMAM</v>
          </cell>
          <cell r="E592" t="str">
            <v>MOHAMED</v>
          </cell>
          <cell r="F592">
            <v>19905</v>
          </cell>
          <cell r="H592" t="str">
            <v>OULED M'RAH - SETTAT</v>
          </cell>
          <cell r="I592" t="str">
            <v>D</v>
          </cell>
          <cell r="J592">
            <v>27249</v>
          </cell>
          <cell r="K592">
            <v>35977</v>
          </cell>
          <cell r="L592" t="str">
            <v>21</v>
          </cell>
          <cell r="M592" t="str">
            <v>D</v>
          </cell>
          <cell r="N592">
            <v>35977</v>
          </cell>
          <cell r="P592">
            <v>28</v>
          </cell>
          <cell r="Q592" t="str">
            <v>N</v>
          </cell>
          <cell r="R592" t="str">
            <v>N</v>
          </cell>
          <cell r="S592">
            <v>0</v>
          </cell>
          <cell r="T592" t="str">
            <v>M</v>
          </cell>
          <cell r="U592" t="str">
            <v>HAFIDA BENT LARBI</v>
          </cell>
          <cell r="X592">
            <v>7</v>
          </cell>
          <cell r="Y592">
            <v>6</v>
          </cell>
          <cell r="AB592" t="str">
            <v>X</v>
          </cell>
          <cell r="AC592" t="str">
            <v>X</v>
          </cell>
          <cell r="AD592" t="str">
            <v>X</v>
          </cell>
          <cell r="AH592" t="str">
            <v>N</v>
          </cell>
          <cell r="AI592" t="str">
            <v>N</v>
          </cell>
          <cell r="AK592" t="str">
            <v>265 NELLE MEDINA DE SECHAGE KHGA</v>
          </cell>
          <cell r="AL592" t="str">
            <v>2AS</v>
          </cell>
          <cell r="AN592" t="str">
            <v>49═25═36</v>
          </cell>
          <cell r="AP592" t="str">
            <v>Q 42346</v>
          </cell>
          <cell r="AQ592">
            <v>0</v>
          </cell>
          <cell r="AR592" t="str">
            <v>B</v>
          </cell>
          <cell r="AS592" t="str">
            <v>S.G.M.B - KHGA</v>
          </cell>
          <cell r="AT592" t="str">
            <v>4000000670009351106</v>
          </cell>
          <cell r="AU592" t="str">
            <v>/  /</v>
          </cell>
          <cell r="AW592">
            <v>38169</v>
          </cell>
          <cell r="AY592" t="str">
            <v>XX</v>
          </cell>
          <cell r="BA592" t="str">
            <v>1</v>
          </cell>
          <cell r="BB592">
            <v>1</v>
          </cell>
          <cell r="BD592">
            <v>0</v>
          </cell>
          <cell r="BE592" t="str">
            <v>M</v>
          </cell>
          <cell r="BF592" t="str">
            <v>N</v>
          </cell>
          <cell r="BG592">
            <v>0</v>
          </cell>
          <cell r="BH592">
            <v>38169</v>
          </cell>
          <cell r="BI592" t="str">
            <v>O</v>
          </cell>
        </row>
        <row r="593">
          <cell r="A593">
            <v>66219</v>
          </cell>
          <cell r="B593">
            <v>468</v>
          </cell>
          <cell r="C593" t="str">
            <v>C4152</v>
          </cell>
          <cell r="D593" t="str">
            <v>EL MALHI</v>
          </cell>
          <cell r="E593" t="str">
            <v>MOHAMED</v>
          </cell>
          <cell r="F593">
            <v>19175</v>
          </cell>
          <cell r="H593" t="str">
            <v>BENI OUJINE - BENI MELLAL</v>
          </cell>
          <cell r="I593" t="str">
            <v>D</v>
          </cell>
          <cell r="J593">
            <v>27248</v>
          </cell>
          <cell r="K593">
            <v>35065</v>
          </cell>
          <cell r="L593" t="str">
            <v>22</v>
          </cell>
          <cell r="M593" t="str">
            <v>A</v>
          </cell>
          <cell r="N593">
            <v>35065</v>
          </cell>
          <cell r="P593">
            <v>28</v>
          </cell>
          <cell r="Q593" t="str">
            <v>O</v>
          </cell>
          <cell r="R593" t="str">
            <v>N</v>
          </cell>
          <cell r="S593">
            <v>0</v>
          </cell>
          <cell r="T593" t="str">
            <v>M</v>
          </cell>
          <cell r="U593" t="str">
            <v>AMEUR SAADIA</v>
          </cell>
          <cell r="X593">
            <v>4</v>
          </cell>
          <cell r="Y593">
            <v>3</v>
          </cell>
          <cell r="AB593" t="str">
            <v>X</v>
          </cell>
          <cell r="AC593" t="str">
            <v>X</v>
          </cell>
          <cell r="AD593" t="str">
            <v>X</v>
          </cell>
          <cell r="AH593" t="str">
            <v>N</v>
          </cell>
          <cell r="AI593" t="str">
            <v>N</v>
          </cell>
          <cell r="AK593" t="str">
            <v>396 MOUKAOUAMA II - OUED ZEM</v>
          </cell>
          <cell r="AL593" t="str">
            <v>3AS</v>
          </cell>
          <cell r="AM593" t="str">
            <v>CEP.</v>
          </cell>
          <cell r="AP593" t="str">
            <v>Q 69899</v>
          </cell>
          <cell r="AQ593">
            <v>0</v>
          </cell>
          <cell r="AR593" t="str">
            <v>B</v>
          </cell>
          <cell r="AS593" t="str">
            <v>BMCE .OUED ZEM</v>
          </cell>
          <cell r="AT593" t="str">
            <v>41101200000152532</v>
          </cell>
          <cell r="AU593" t="str">
            <v>/  /</v>
          </cell>
          <cell r="AW593">
            <v>37438</v>
          </cell>
          <cell r="AY593" t="str">
            <v>XX</v>
          </cell>
          <cell r="BA593" t="str">
            <v>1</v>
          </cell>
          <cell r="BB593">
            <v>1</v>
          </cell>
          <cell r="BD593">
            <v>0</v>
          </cell>
          <cell r="BE593" t="str">
            <v>M</v>
          </cell>
          <cell r="BF593" t="str">
            <v>N</v>
          </cell>
          <cell r="BG593">
            <v>31</v>
          </cell>
          <cell r="BH593">
            <v>37438</v>
          </cell>
          <cell r="BI593" t="str">
            <v>O</v>
          </cell>
        </row>
        <row r="594">
          <cell r="A594">
            <v>66220</v>
          </cell>
          <cell r="B594">
            <v>461</v>
          </cell>
          <cell r="C594" t="str">
            <v>C5152</v>
          </cell>
          <cell r="D594" t="str">
            <v>EL BOUHALI</v>
          </cell>
          <cell r="E594" t="str">
            <v>BELGACEM</v>
          </cell>
          <cell r="F594">
            <v>19905</v>
          </cell>
          <cell r="G594" t="str">
            <v>1</v>
          </cell>
          <cell r="H594" t="str">
            <v>OULED BHAR KBAR KHOURIBGA</v>
          </cell>
          <cell r="I594" t="str">
            <v>D</v>
          </cell>
          <cell r="J594">
            <v>27248</v>
          </cell>
          <cell r="K594">
            <v>34151</v>
          </cell>
          <cell r="L594" t="str">
            <v>31</v>
          </cell>
          <cell r="M594" t="str">
            <v>A</v>
          </cell>
          <cell r="N594">
            <v>34151</v>
          </cell>
          <cell r="P594">
            <v>28</v>
          </cell>
          <cell r="Q594" t="str">
            <v>O</v>
          </cell>
          <cell r="R594" t="str">
            <v>N</v>
          </cell>
          <cell r="S594">
            <v>0</v>
          </cell>
          <cell r="T594" t="str">
            <v>M</v>
          </cell>
          <cell r="U594" t="str">
            <v>KILI SAADIA BENT LARBI</v>
          </cell>
          <cell r="X594">
            <v>2</v>
          </cell>
          <cell r="Y594">
            <v>0</v>
          </cell>
          <cell r="AB594" t="str">
            <v>X</v>
          </cell>
          <cell r="AC594" t="str">
            <v>X</v>
          </cell>
          <cell r="AD594" t="str">
            <v>X</v>
          </cell>
          <cell r="AH594" t="str">
            <v>N</v>
          </cell>
          <cell r="AI594" t="str">
            <v>N</v>
          </cell>
          <cell r="AK594" t="str">
            <v>DOUAR OULED SGHIR OD BRAHIM BIR MEZOUI</v>
          </cell>
          <cell r="AL594" t="str">
            <v>3AS</v>
          </cell>
          <cell r="AP594" t="str">
            <v>Q 8721</v>
          </cell>
          <cell r="AQ594">
            <v>0</v>
          </cell>
          <cell r="AR594" t="str">
            <v>B</v>
          </cell>
          <cell r="AS594" t="str">
            <v>WAFABAK - KHGA</v>
          </cell>
          <cell r="AT594" t="str">
            <v>1220301260867</v>
          </cell>
          <cell r="AU594" t="str">
            <v>/  /</v>
          </cell>
          <cell r="AW594">
            <v>38169</v>
          </cell>
          <cell r="AY594" t="str">
            <v>XX</v>
          </cell>
          <cell r="BA594" t="str">
            <v>1</v>
          </cell>
          <cell r="BB594">
            <v>1</v>
          </cell>
          <cell r="BD594">
            <v>0</v>
          </cell>
          <cell r="BE594" t="str">
            <v>M</v>
          </cell>
          <cell r="BF594" t="str">
            <v>N</v>
          </cell>
          <cell r="BG594">
            <v>60</v>
          </cell>
          <cell r="BH594">
            <v>38169</v>
          </cell>
        </row>
        <row r="595">
          <cell r="A595">
            <v>66227</v>
          </cell>
          <cell r="B595">
            <v>428</v>
          </cell>
          <cell r="C595" t="str">
            <v>C6152</v>
          </cell>
          <cell r="D595" t="str">
            <v>MACHHOUB</v>
          </cell>
          <cell r="E595" t="str">
            <v>M'HAMED</v>
          </cell>
          <cell r="F595">
            <v>19175</v>
          </cell>
          <cell r="G595" t="str">
            <v>1</v>
          </cell>
          <cell r="H595" t="str">
            <v>OULED ABDOUNE</v>
          </cell>
          <cell r="I595" t="str">
            <v>D</v>
          </cell>
          <cell r="J595">
            <v>27255</v>
          </cell>
          <cell r="K595">
            <v>35065</v>
          </cell>
          <cell r="L595" t="str">
            <v>32</v>
          </cell>
          <cell r="M595" t="str">
            <v>A</v>
          </cell>
          <cell r="N595">
            <v>35065</v>
          </cell>
          <cell r="P595">
            <v>28</v>
          </cell>
          <cell r="Q595" t="str">
            <v>O</v>
          </cell>
          <cell r="R595" t="str">
            <v>N</v>
          </cell>
          <cell r="S595">
            <v>0</v>
          </cell>
          <cell r="T595" t="str">
            <v>M</v>
          </cell>
          <cell r="U595" t="str">
            <v>GUEZZARI SOUAD</v>
          </cell>
          <cell r="X595">
            <v>4</v>
          </cell>
          <cell r="Y595">
            <v>3</v>
          </cell>
          <cell r="AB595" t="str">
            <v>X</v>
          </cell>
          <cell r="AC595" t="str">
            <v>X</v>
          </cell>
          <cell r="AD595" t="str">
            <v>X</v>
          </cell>
          <cell r="AE595" t="str">
            <v>MINI.DE L'INTER</v>
          </cell>
          <cell r="AH595" t="str">
            <v>N</v>
          </cell>
          <cell r="AI595" t="str">
            <v>N</v>
          </cell>
          <cell r="AK595" t="str">
            <v>DR LAMRAHNA OULED ABDOUNE  KHGA</v>
          </cell>
          <cell r="AL595" t="str">
            <v>3AS</v>
          </cell>
          <cell r="AP595" t="str">
            <v>Q 59234</v>
          </cell>
          <cell r="AQ595">
            <v>0</v>
          </cell>
          <cell r="AR595" t="str">
            <v>B</v>
          </cell>
          <cell r="AS595" t="str">
            <v>POPULAIRE.KHGA</v>
          </cell>
          <cell r="AT595" t="str">
            <v>2111112769080008</v>
          </cell>
          <cell r="AU595" t="str">
            <v>/  /</v>
          </cell>
          <cell r="AW595">
            <v>37438</v>
          </cell>
          <cell r="AY595" t="str">
            <v>XX</v>
          </cell>
          <cell r="BA595" t="str">
            <v>1</v>
          </cell>
          <cell r="BB595">
            <v>1</v>
          </cell>
          <cell r="BD595">
            <v>0</v>
          </cell>
          <cell r="BE595" t="str">
            <v>M</v>
          </cell>
          <cell r="BF595" t="str">
            <v>N</v>
          </cell>
          <cell r="BG595">
            <v>4</v>
          </cell>
          <cell r="BH595">
            <v>37438</v>
          </cell>
          <cell r="BI595" t="str">
            <v>O</v>
          </cell>
        </row>
        <row r="596">
          <cell r="A596">
            <v>66272</v>
          </cell>
          <cell r="B596">
            <v>437</v>
          </cell>
          <cell r="C596" t="str">
            <v>C4450</v>
          </cell>
          <cell r="D596" t="str">
            <v>NADIF</v>
          </cell>
          <cell r="E596" t="str">
            <v>DRISS</v>
          </cell>
          <cell r="F596">
            <v>19175</v>
          </cell>
          <cell r="G596" t="str">
            <v>4</v>
          </cell>
          <cell r="H596" t="str">
            <v>BOULANOUAR</v>
          </cell>
          <cell r="I596" t="str">
            <v>D</v>
          </cell>
          <cell r="J596">
            <v>27271</v>
          </cell>
          <cell r="K596">
            <v>37012</v>
          </cell>
          <cell r="L596" t="str">
            <v>22</v>
          </cell>
          <cell r="M596" t="str">
            <v>A</v>
          </cell>
          <cell r="N596">
            <v>37012</v>
          </cell>
          <cell r="P596">
            <v>28</v>
          </cell>
          <cell r="Q596" t="str">
            <v>N</v>
          </cell>
          <cell r="R596" t="str">
            <v>N</v>
          </cell>
          <cell r="S596">
            <v>0</v>
          </cell>
          <cell r="T596" t="str">
            <v>M</v>
          </cell>
          <cell r="U596" t="str">
            <v>NAIMA FAIZ EDDINE</v>
          </cell>
          <cell r="X596">
            <v>4</v>
          </cell>
          <cell r="Y596">
            <v>4</v>
          </cell>
          <cell r="AB596" t="str">
            <v>X</v>
          </cell>
          <cell r="AC596" t="str">
            <v>X</v>
          </cell>
          <cell r="AD596" t="str">
            <v>X</v>
          </cell>
          <cell r="AH596" t="str">
            <v>O</v>
          </cell>
          <cell r="AI596" t="str">
            <v>N</v>
          </cell>
          <cell r="AK596" t="str">
            <v>80 DERB EL HADJ EL HIERCH KHOURIBGA</v>
          </cell>
          <cell r="AL596" t="str">
            <v>4 AS</v>
          </cell>
          <cell r="AP596" t="str">
            <v>Q 84219</v>
          </cell>
          <cell r="AQ596">
            <v>0</v>
          </cell>
          <cell r="AR596" t="str">
            <v>B</v>
          </cell>
          <cell r="AS596" t="str">
            <v>POPULAIRE-KHGA</v>
          </cell>
          <cell r="AT596" t="str">
            <v>2111112839070005</v>
          </cell>
          <cell r="AU596" t="str">
            <v>/  /</v>
          </cell>
          <cell r="AW596">
            <v>37438</v>
          </cell>
          <cell r="AY596" t="str">
            <v>XX</v>
          </cell>
          <cell r="BA596" t="str">
            <v>2</v>
          </cell>
          <cell r="BB596">
            <v>0</v>
          </cell>
          <cell r="BD596">
            <v>0</v>
          </cell>
          <cell r="BE596" t="str">
            <v>M</v>
          </cell>
          <cell r="BF596" t="str">
            <v>N</v>
          </cell>
          <cell r="BG596">
            <v>0</v>
          </cell>
          <cell r="BH596">
            <v>37438</v>
          </cell>
        </row>
        <row r="597">
          <cell r="A597">
            <v>66276</v>
          </cell>
          <cell r="B597">
            <v>461</v>
          </cell>
          <cell r="C597" t="str">
            <v>C3152</v>
          </cell>
          <cell r="D597" t="str">
            <v>OURQI</v>
          </cell>
          <cell r="E597" t="str">
            <v>MOHAMMED</v>
          </cell>
          <cell r="F597">
            <v>19540</v>
          </cell>
          <cell r="G597" t="str">
            <v>1</v>
          </cell>
          <cell r="H597" t="str">
            <v>OULED BHAR KBAR KHOURIBGA</v>
          </cell>
          <cell r="I597" t="str">
            <v>D</v>
          </cell>
          <cell r="J597">
            <v>27271</v>
          </cell>
          <cell r="K597">
            <v>33543</v>
          </cell>
          <cell r="L597" t="str">
            <v>21</v>
          </cell>
          <cell r="M597" t="str">
            <v>A</v>
          </cell>
          <cell r="N597">
            <v>33543</v>
          </cell>
          <cell r="O597">
            <v>0</v>
          </cell>
          <cell r="P597">
            <v>28</v>
          </cell>
          <cell r="Q597" t="str">
            <v>O</v>
          </cell>
          <cell r="R597" t="str">
            <v>N</v>
          </cell>
          <cell r="S597">
            <v>0</v>
          </cell>
          <cell r="T597" t="str">
            <v>M</v>
          </cell>
          <cell r="U597" t="str">
            <v>SAADIA BENT MOHAMED</v>
          </cell>
          <cell r="X597">
            <v>7</v>
          </cell>
          <cell r="Y597">
            <v>4</v>
          </cell>
          <cell r="AB597" t="str">
            <v>X</v>
          </cell>
          <cell r="AC597" t="str">
            <v>X</v>
          </cell>
          <cell r="AD597" t="str">
            <v>X</v>
          </cell>
          <cell r="AH597" t="str">
            <v>N</v>
          </cell>
          <cell r="AI597" t="str">
            <v>N</v>
          </cell>
          <cell r="AK597" t="str">
            <v>464 DERB 3 - BOUJNIBA</v>
          </cell>
          <cell r="AL597" t="str">
            <v>1AS</v>
          </cell>
          <cell r="AP597" t="str">
            <v>Q 30637</v>
          </cell>
          <cell r="AQ597">
            <v>0</v>
          </cell>
          <cell r="AR597" t="str">
            <v>B</v>
          </cell>
          <cell r="AS597" t="str">
            <v>POPULAIRE.KHGA</v>
          </cell>
          <cell r="AT597" t="str">
            <v>2111112828310008</v>
          </cell>
          <cell r="AU597" t="str">
            <v>/  /</v>
          </cell>
          <cell r="AW597">
            <v>37803</v>
          </cell>
          <cell r="AY597" t="str">
            <v>XX</v>
          </cell>
          <cell r="AZ597" t="str">
            <v>K</v>
          </cell>
          <cell r="BA597" t="str">
            <v>1</v>
          </cell>
          <cell r="BB597">
            <v>1</v>
          </cell>
          <cell r="BD597">
            <v>0</v>
          </cell>
          <cell r="BE597" t="str">
            <v>M</v>
          </cell>
          <cell r="BF597" t="str">
            <v>N</v>
          </cell>
          <cell r="BG597">
            <v>51</v>
          </cell>
          <cell r="BH597">
            <v>37803</v>
          </cell>
          <cell r="BI597" t="str">
            <v>O</v>
          </cell>
        </row>
        <row r="598">
          <cell r="A598">
            <v>66277</v>
          </cell>
          <cell r="B598">
            <v>457</v>
          </cell>
          <cell r="C598" t="str">
            <v>C5450</v>
          </cell>
          <cell r="D598" t="str">
            <v>MIHRAJE</v>
          </cell>
          <cell r="E598" t="str">
            <v>MOHAMMED</v>
          </cell>
          <cell r="F598">
            <v>19905</v>
          </cell>
          <cell r="G598" t="str">
            <v>1</v>
          </cell>
          <cell r="H598" t="str">
            <v>OULED BHAR KBAR KHOURIBGA</v>
          </cell>
          <cell r="I598" t="str">
            <v>D</v>
          </cell>
          <cell r="J598">
            <v>27274</v>
          </cell>
          <cell r="K598">
            <v>34151</v>
          </cell>
          <cell r="L598" t="str">
            <v>31</v>
          </cell>
          <cell r="M598" t="str">
            <v>A</v>
          </cell>
          <cell r="N598">
            <v>34151</v>
          </cell>
          <cell r="P598">
            <v>28</v>
          </cell>
          <cell r="Q598" t="str">
            <v>O</v>
          </cell>
          <cell r="R598" t="str">
            <v>N</v>
          </cell>
          <cell r="S598">
            <v>0</v>
          </cell>
          <cell r="T598" t="str">
            <v>M</v>
          </cell>
          <cell r="U598" t="str">
            <v>CHHAIBI RACHIDA</v>
          </cell>
          <cell r="X598">
            <v>5</v>
          </cell>
          <cell r="Y598">
            <v>1</v>
          </cell>
          <cell r="AB598" t="str">
            <v>X</v>
          </cell>
          <cell r="AC598" t="str">
            <v>X</v>
          </cell>
          <cell r="AD598" t="str">
            <v>X</v>
          </cell>
          <cell r="AH598" t="str">
            <v>N</v>
          </cell>
          <cell r="AI598" t="str">
            <v>N</v>
          </cell>
          <cell r="AK598" t="str">
            <v>196 DERB 3 BOUJNIBA</v>
          </cell>
          <cell r="AL598" t="str">
            <v>3AS</v>
          </cell>
          <cell r="AP598" t="str">
            <v>Q 24946</v>
          </cell>
          <cell r="AQ598">
            <v>0</v>
          </cell>
          <cell r="AR598" t="str">
            <v>B</v>
          </cell>
          <cell r="AS598" t="str">
            <v>POPULAIRE.KHGA</v>
          </cell>
          <cell r="AT598" t="str">
            <v>211115649550000382</v>
          </cell>
          <cell r="AU598" t="str">
            <v>/  /</v>
          </cell>
          <cell r="AW598">
            <v>38169</v>
          </cell>
          <cell r="AY598" t="str">
            <v>XX</v>
          </cell>
          <cell r="AZ598" t="str">
            <v>R</v>
          </cell>
          <cell r="BA598" t="str">
            <v>2</v>
          </cell>
          <cell r="BB598">
            <v>1</v>
          </cell>
          <cell r="BD598">
            <v>0</v>
          </cell>
          <cell r="BE598" t="str">
            <v>M</v>
          </cell>
          <cell r="BF598" t="str">
            <v>N</v>
          </cell>
          <cell r="BG598">
            <v>51</v>
          </cell>
          <cell r="BH598">
            <v>38169</v>
          </cell>
        </row>
        <row r="599">
          <cell r="A599">
            <v>66282</v>
          </cell>
          <cell r="B599">
            <v>421</v>
          </cell>
          <cell r="C599" t="str">
            <v>X3150</v>
          </cell>
          <cell r="D599" t="str">
            <v>ZIANI</v>
          </cell>
          <cell r="E599" t="str">
            <v>LARBI</v>
          </cell>
          <cell r="F599">
            <v>19540</v>
          </cell>
          <cell r="H599" t="str">
            <v>ZIAINA - KENITRA</v>
          </cell>
          <cell r="I599" t="str">
            <v>D</v>
          </cell>
          <cell r="J599">
            <v>27274</v>
          </cell>
          <cell r="K599">
            <v>37073</v>
          </cell>
          <cell r="L599" t="str">
            <v>41</v>
          </cell>
          <cell r="M599" t="str">
            <v>A</v>
          </cell>
          <cell r="N599">
            <v>37073</v>
          </cell>
          <cell r="O599">
            <v>0</v>
          </cell>
          <cell r="P599">
            <v>28</v>
          </cell>
          <cell r="Q599" t="str">
            <v>O</v>
          </cell>
          <cell r="R599" t="str">
            <v>N</v>
          </cell>
          <cell r="S599">
            <v>0</v>
          </cell>
          <cell r="T599" t="str">
            <v>M</v>
          </cell>
          <cell r="U599" t="str">
            <v>ZIANI NAJIA</v>
          </cell>
          <cell r="X599">
            <v>4</v>
          </cell>
          <cell r="Y599">
            <v>3</v>
          </cell>
          <cell r="AB599" t="str">
            <v>X</v>
          </cell>
          <cell r="AC599" t="str">
            <v>X</v>
          </cell>
          <cell r="AD599" t="str">
            <v>X</v>
          </cell>
          <cell r="AH599" t="str">
            <v>N</v>
          </cell>
          <cell r="AI599" t="str">
            <v>N</v>
          </cell>
          <cell r="AK599" t="str">
            <v>197 NELLE CONSTRUCTION DE SECHAGE KHGA</v>
          </cell>
          <cell r="AL599" t="str">
            <v>4AS</v>
          </cell>
          <cell r="AM599" t="str">
            <v>CFO.</v>
          </cell>
          <cell r="AP599" t="str">
            <v>Q 49354</v>
          </cell>
          <cell r="AQ599">
            <v>0</v>
          </cell>
          <cell r="AR599" t="str">
            <v>B</v>
          </cell>
          <cell r="AS599" t="str">
            <v>BMCE.KHGA</v>
          </cell>
          <cell r="AT599" t="str">
            <v>40001200000490683</v>
          </cell>
          <cell r="AU599" t="str">
            <v>/  /</v>
          </cell>
          <cell r="AW599">
            <v>37803</v>
          </cell>
          <cell r="AY599" t="str">
            <v>XX</v>
          </cell>
          <cell r="BA599" t="str">
            <v>1</v>
          </cell>
          <cell r="BB599">
            <v>1</v>
          </cell>
          <cell r="BD599">
            <v>0</v>
          </cell>
          <cell r="BE599" t="str">
            <v>M</v>
          </cell>
          <cell r="BF599" t="str">
            <v>N</v>
          </cell>
          <cell r="BG599">
            <v>4</v>
          </cell>
          <cell r="BH599">
            <v>37803</v>
          </cell>
          <cell r="BI599" t="str">
            <v>O</v>
          </cell>
        </row>
        <row r="600">
          <cell r="A600">
            <v>66290</v>
          </cell>
          <cell r="B600">
            <v>403</v>
          </cell>
          <cell r="C600" t="str">
            <v>C4801</v>
          </cell>
          <cell r="D600" t="str">
            <v>BOUSLAMA</v>
          </cell>
          <cell r="E600" t="str">
            <v>MOHAMMED</v>
          </cell>
          <cell r="F600">
            <v>19175</v>
          </cell>
          <cell r="G600" t="str">
            <v>2</v>
          </cell>
          <cell r="H600" t="str">
            <v>OUED-ZEM</v>
          </cell>
          <cell r="I600" t="str">
            <v>D</v>
          </cell>
          <cell r="J600">
            <v>27272</v>
          </cell>
          <cell r="K600">
            <v>33573</v>
          </cell>
          <cell r="L600" t="str">
            <v>22</v>
          </cell>
          <cell r="M600" t="str">
            <v>C</v>
          </cell>
          <cell r="N600">
            <v>35612</v>
          </cell>
          <cell r="P600">
            <v>28</v>
          </cell>
          <cell r="Q600" t="str">
            <v>O</v>
          </cell>
          <cell r="R600" t="str">
            <v>N</v>
          </cell>
          <cell r="S600">
            <v>0</v>
          </cell>
          <cell r="T600" t="str">
            <v>M</v>
          </cell>
          <cell r="U600" t="str">
            <v>ABABA ZAHRA BENT LAHCEN</v>
          </cell>
          <cell r="X600">
            <v>1</v>
          </cell>
          <cell r="Y600">
            <v>1</v>
          </cell>
          <cell r="AB600" t="str">
            <v>N</v>
          </cell>
          <cell r="AC600" t="str">
            <v>X</v>
          </cell>
          <cell r="AD600" t="str">
            <v>X</v>
          </cell>
          <cell r="AH600" t="str">
            <v>N</v>
          </cell>
          <cell r="AI600" t="str">
            <v>N</v>
          </cell>
          <cell r="AK600" t="str">
            <v>531 NELLE CONSTRUCTION BOUJNIBA</v>
          </cell>
          <cell r="AL600" t="str">
            <v>4AS</v>
          </cell>
          <cell r="AP600" t="str">
            <v>Q 16847</v>
          </cell>
          <cell r="AQ600">
            <v>0</v>
          </cell>
          <cell r="AR600" t="str">
            <v>B</v>
          </cell>
          <cell r="AS600" t="str">
            <v>WAFA BANQUE-KHGA</v>
          </cell>
          <cell r="AT600" t="str">
            <v>0301281782</v>
          </cell>
          <cell r="AU600" t="str">
            <v>11/06/10</v>
          </cell>
          <cell r="AW600">
            <v>37438</v>
          </cell>
          <cell r="AY600" t="str">
            <v>A+</v>
          </cell>
          <cell r="AZ600" t="str">
            <v>M</v>
          </cell>
          <cell r="BA600" t="str">
            <v>0</v>
          </cell>
          <cell r="BB600">
            <v>1</v>
          </cell>
          <cell r="BD600">
            <v>0</v>
          </cell>
          <cell r="BE600" t="str">
            <v>M</v>
          </cell>
          <cell r="BF600" t="str">
            <v>N</v>
          </cell>
          <cell r="BG600">
            <v>50</v>
          </cell>
          <cell r="BH600">
            <v>37438</v>
          </cell>
        </row>
        <row r="601">
          <cell r="A601">
            <v>66298</v>
          </cell>
          <cell r="B601">
            <v>466</v>
          </cell>
          <cell r="C601" t="str">
            <v>C4050</v>
          </cell>
          <cell r="D601" t="str">
            <v>ROMANI</v>
          </cell>
          <cell r="E601" t="str">
            <v>MOHAMMED</v>
          </cell>
          <cell r="F601">
            <v>19540</v>
          </cell>
          <cell r="G601" t="str">
            <v>2</v>
          </cell>
          <cell r="H601" t="str">
            <v>OUED-ZEM</v>
          </cell>
          <cell r="I601" t="str">
            <v>D</v>
          </cell>
          <cell r="J601">
            <v>27274</v>
          </cell>
          <cell r="K601">
            <v>36526</v>
          </cell>
          <cell r="L601" t="str">
            <v>22</v>
          </cell>
          <cell r="M601" t="str">
            <v>B</v>
          </cell>
          <cell r="N601">
            <v>36526</v>
          </cell>
          <cell r="P601">
            <v>28</v>
          </cell>
          <cell r="Q601" t="str">
            <v>O</v>
          </cell>
          <cell r="R601" t="str">
            <v>N</v>
          </cell>
          <cell r="S601">
            <v>0</v>
          </cell>
          <cell r="T601" t="str">
            <v>M</v>
          </cell>
          <cell r="U601" t="str">
            <v>SAMRIA FATIMA</v>
          </cell>
          <cell r="X601">
            <v>6</v>
          </cell>
          <cell r="Y601">
            <v>4</v>
          </cell>
          <cell r="AB601" t="str">
            <v>X</v>
          </cell>
          <cell r="AC601" t="str">
            <v>X</v>
          </cell>
          <cell r="AD601" t="str">
            <v>X</v>
          </cell>
          <cell r="AH601" t="str">
            <v>N</v>
          </cell>
          <cell r="AI601" t="str">
            <v>N</v>
          </cell>
          <cell r="AK601" t="str">
            <v>115 BLOC A HABITAT HAY EL WAHDA OUED ZEM</v>
          </cell>
          <cell r="AL601" t="str">
            <v>3AS</v>
          </cell>
          <cell r="AP601" t="str">
            <v>Q 12887</v>
          </cell>
          <cell r="AQ601">
            <v>0</v>
          </cell>
          <cell r="AR601" t="str">
            <v>C</v>
          </cell>
          <cell r="AU601" t="str">
            <v>/  /</v>
          </cell>
          <cell r="AW601">
            <v>37803</v>
          </cell>
          <cell r="AY601" t="str">
            <v>XX</v>
          </cell>
          <cell r="BA601" t="str">
            <v>2</v>
          </cell>
          <cell r="BB601">
            <v>1</v>
          </cell>
          <cell r="BD601">
            <v>0</v>
          </cell>
          <cell r="BE601" t="str">
            <v>M</v>
          </cell>
          <cell r="BF601" t="str">
            <v>N</v>
          </cell>
          <cell r="BG601">
            <v>31</v>
          </cell>
          <cell r="BH601">
            <v>37803</v>
          </cell>
          <cell r="BI601" t="str">
            <v>O</v>
          </cell>
        </row>
        <row r="602">
          <cell r="A602">
            <v>66300</v>
          </cell>
          <cell r="B602">
            <v>410</v>
          </cell>
          <cell r="C602" t="str">
            <v>C6002</v>
          </cell>
          <cell r="D602" t="str">
            <v>EL BAOUI</v>
          </cell>
          <cell r="E602" t="str">
            <v>EL ARBI</v>
          </cell>
          <cell r="F602">
            <v>19540</v>
          </cell>
          <cell r="H602" t="str">
            <v>OULED SABBAH EL GARA SETTAT</v>
          </cell>
          <cell r="I602" t="str">
            <v>D</v>
          </cell>
          <cell r="J602">
            <v>27274</v>
          </cell>
          <cell r="K602">
            <v>35065</v>
          </cell>
          <cell r="L602" t="str">
            <v>32</v>
          </cell>
          <cell r="M602" t="str">
            <v>A</v>
          </cell>
          <cell r="N602">
            <v>35065</v>
          </cell>
          <cell r="P602">
            <v>28</v>
          </cell>
          <cell r="Q602" t="str">
            <v>O</v>
          </cell>
          <cell r="R602" t="str">
            <v>N</v>
          </cell>
          <cell r="S602">
            <v>0</v>
          </cell>
          <cell r="T602" t="str">
            <v>M</v>
          </cell>
          <cell r="U602" t="str">
            <v>AIT BRAIM RKIA</v>
          </cell>
          <cell r="X602">
            <v>3</v>
          </cell>
          <cell r="Y602">
            <v>3</v>
          </cell>
          <cell r="AB602" t="str">
            <v>N</v>
          </cell>
          <cell r="AC602" t="str">
            <v>X</v>
          </cell>
          <cell r="AD602" t="str">
            <v>X</v>
          </cell>
          <cell r="AH602" t="str">
            <v>N</v>
          </cell>
          <cell r="AI602" t="str">
            <v>N</v>
          </cell>
          <cell r="AK602" t="str">
            <v>6 BLOC H NAHDA KHGA</v>
          </cell>
          <cell r="AL602" t="str">
            <v>3AS</v>
          </cell>
          <cell r="AM602" t="str">
            <v>CFO.</v>
          </cell>
          <cell r="AP602" t="str">
            <v>Q 32763</v>
          </cell>
          <cell r="AQ602">
            <v>0</v>
          </cell>
          <cell r="AR602" t="str">
            <v>C</v>
          </cell>
          <cell r="AU602" t="str">
            <v>/  /</v>
          </cell>
          <cell r="AW602">
            <v>37803</v>
          </cell>
          <cell r="AY602" t="str">
            <v>XX</v>
          </cell>
          <cell r="BA602" t="str">
            <v>2</v>
          </cell>
          <cell r="BB602">
            <v>1</v>
          </cell>
          <cell r="BC602" t="str">
            <v>O</v>
          </cell>
          <cell r="BD602">
            <v>4</v>
          </cell>
          <cell r="BE602" t="str">
            <v>M</v>
          </cell>
          <cell r="BF602" t="str">
            <v>N</v>
          </cell>
          <cell r="BG602">
            <v>1</v>
          </cell>
          <cell r="BH602">
            <v>37803</v>
          </cell>
        </row>
        <row r="603">
          <cell r="A603">
            <v>66339</v>
          </cell>
          <cell r="B603">
            <v>468</v>
          </cell>
          <cell r="C603" t="str">
            <v>C5411</v>
          </cell>
          <cell r="D603" t="str">
            <v>OBADA</v>
          </cell>
          <cell r="E603" t="str">
            <v>EL MUSTAPHA</v>
          </cell>
          <cell r="F603">
            <v>19175</v>
          </cell>
          <cell r="G603" t="str">
            <v>2</v>
          </cell>
          <cell r="H603" t="str">
            <v>OUED-ZEM</v>
          </cell>
          <cell r="I603" t="str">
            <v>D</v>
          </cell>
          <cell r="J603">
            <v>27277</v>
          </cell>
          <cell r="K603">
            <v>32690</v>
          </cell>
          <cell r="L603" t="str">
            <v>31</v>
          </cell>
          <cell r="M603" t="str">
            <v>A</v>
          </cell>
          <cell r="N603">
            <v>32690</v>
          </cell>
          <cell r="P603">
            <v>28</v>
          </cell>
          <cell r="Q603" t="str">
            <v>O</v>
          </cell>
          <cell r="R603" t="str">
            <v>N</v>
          </cell>
          <cell r="S603">
            <v>0</v>
          </cell>
          <cell r="T603" t="str">
            <v>M</v>
          </cell>
          <cell r="U603" t="str">
            <v>MEZIANI SOUAD</v>
          </cell>
          <cell r="X603">
            <v>5</v>
          </cell>
          <cell r="Y603">
            <v>3</v>
          </cell>
          <cell r="AB603" t="str">
            <v>X</v>
          </cell>
          <cell r="AC603" t="str">
            <v>X</v>
          </cell>
          <cell r="AD603" t="str">
            <v>X</v>
          </cell>
          <cell r="AH603" t="str">
            <v>N</v>
          </cell>
          <cell r="AI603" t="str">
            <v>N</v>
          </cell>
          <cell r="AK603" t="str">
            <v>29 RUE SIDI ABDELAZIZ OUED ZEM</v>
          </cell>
          <cell r="AL603" t="str">
            <v>3AS</v>
          </cell>
          <cell r="AP603" t="str">
            <v>Q 65733</v>
          </cell>
          <cell r="AQ603">
            <v>0</v>
          </cell>
          <cell r="AR603" t="str">
            <v>B</v>
          </cell>
          <cell r="AS603" t="str">
            <v>C.I.H - KHGA</v>
          </cell>
          <cell r="AT603" t="str">
            <v>98299532110</v>
          </cell>
          <cell r="AU603" t="str">
            <v>/  /</v>
          </cell>
          <cell r="AW603">
            <v>37438</v>
          </cell>
          <cell r="AY603" t="str">
            <v>XX</v>
          </cell>
          <cell r="BA603" t="str">
            <v>0</v>
          </cell>
          <cell r="BB603">
            <v>1</v>
          </cell>
          <cell r="BD603">
            <v>0</v>
          </cell>
          <cell r="BE603" t="str">
            <v>M</v>
          </cell>
          <cell r="BF603" t="str">
            <v>N</v>
          </cell>
          <cell r="BG603">
            <v>31</v>
          </cell>
          <cell r="BH603">
            <v>37438</v>
          </cell>
          <cell r="BI603" t="str">
            <v>O</v>
          </cell>
        </row>
        <row r="604">
          <cell r="A604">
            <v>66340</v>
          </cell>
          <cell r="B604">
            <v>403</v>
          </cell>
          <cell r="C604" t="str">
            <v>C5152</v>
          </cell>
          <cell r="D604" t="str">
            <v>MENNADI</v>
          </cell>
          <cell r="E604" t="str">
            <v>EL RHEZOUANI</v>
          </cell>
          <cell r="F604">
            <v>19905</v>
          </cell>
          <cell r="G604" t="str">
            <v>1</v>
          </cell>
          <cell r="H604" t="str">
            <v>OULED BHAR KBAR KHOURIBGA</v>
          </cell>
          <cell r="I604" t="str">
            <v>D</v>
          </cell>
          <cell r="J604">
            <v>27276</v>
          </cell>
          <cell r="K604">
            <v>35431</v>
          </cell>
          <cell r="L604" t="str">
            <v>31</v>
          </cell>
          <cell r="M604" t="str">
            <v>A</v>
          </cell>
          <cell r="N604">
            <v>35431</v>
          </cell>
          <cell r="P604">
            <v>28</v>
          </cell>
          <cell r="Q604" t="str">
            <v>O</v>
          </cell>
          <cell r="R604" t="str">
            <v>N</v>
          </cell>
          <cell r="S604">
            <v>0</v>
          </cell>
          <cell r="T604" t="str">
            <v>M</v>
          </cell>
          <cell r="U604" t="str">
            <v>EL RHAITI FATNA</v>
          </cell>
          <cell r="X604">
            <v>4</v>
          </cell>
          <cell r="Y604">
            <v>3</v>
          </cell>
          <cell r="AB604" t="str">
            <v>X</v>
          </cell>
          <cell r="AC604" t="str">
            <v>X</v>
          </cell>
          <cell r="AD604" t="str">
            <v>X</v>
          </cell>
          <cell r="AH604" t="str">
            <v>N</v>
          </cell>
          <cell r="AI604" t="str">
            <v>N</v>
          </cell>
          <cell r="AK604" t="str">
            <v>597 VILLAGE OCP - BOUJNIBA</v>
          </cell>
          <cell r="AL604" t="str">
            <v>2AS</v>
          </cell>
          <cell r="AM604" t="str">
            <v>CEP.</v>
          </cell>
          <cell r="AP604" t="str">
            <v>Q 68665</v>
          </cell>
          <cell r="AQ604">
            <v>0</v>
          </cell>
          <cell r="AR604" t="str">
            <v>B</v>
          </cell>
          <cell r="AS604" t="str">
            <v>POPULAIRE.KHGA</v>
          </cell>
          <cell r="AT604" t="str">
            <v>2111112819790002</v>
          </cell>
          <cell r="AU604" t="str">
            <v>/  /</v>
          </cell>
          <cell r="AW604">
            <v>38169</v>
          </cell>
          <cell r="AY604" t="str">
            <v>XX</v>
          </cell>
          <cell r="AZ604" t="str">
            <v>M</v>
          </cell>
          <cell r="BA604" t="str">
            <v>1</v>
          </cell>
          <cell r="BB604">
            <v>1</v>
          </cell>
          <cell r="BD604">
            <v>0</v>
          </cell>
          <cell r="BE604" t="str">
            <v>M</v>
          </cell>
          <cell r="BF604" t="str">
            <v>N</v>
          </cell>
          <cell r="BG604">
            <v>51</v>
          </cell>
          <cell r="BH604">
            <v>38169</v>
          </cell>
        </row>
        <row r="605">
          <cell r="A605">
            <v>66341</v>
          </cell>
          <cell r="B605">
            <v>461</v>
          </cell>
          <cell r="C605" t="str">
            <v>C3152</v>
          </cell>
          <cell r="D605" t="str">
            <v>EL KHOU</v>
          </cell>
          <cell r="E605" t="str">
            <v>ABDELKADER</v>
          </cell>
          <cell r="F605">
            <v>19725</v>
          </cell>
          <cell r="G605" t="str">
            <v>2</v>
          </cell>
          <cell r="H605" t="str">
            <v>OUED-ZEM</v>
          </cell>
          <cell r="I605" t="str">
            <v>D</v>
          </cell>
          <cell r="J605">
            <v>27276</v>
          </cell>
          <cell r="K605">
            <v>33420</v>
          </cell>
          <cell r="L605" t="str">
            <v>21</v>
          </cell>
          <cell r="M605" t="str">
            <v>A</v>
          </cell>
          <cell r="N605">
            <v>33420</v>
          </cell>
          <cell r="P605">
            <v>28</v>
          </cell>
          <cell r="Q605" t="str">
            <v>O</v>
          </cell>
          <cell r="R605" t="str">
            <v>N</v>
          </cell>
          <cell r="S605">
            <v>0</v>
          </cell>
          <cell r="T605" t="str">
            <v>M</v>
          </cell>
          <cell r="U605" t="str">
            <v>DAHBI ZOUBIDA</v>
          </cell>
          <cell r="X605">
            <v>7</v>
          </cell>
          <cell r="Y605">
            <v>4</v>
          </cell>
          <cell r="AB605" t="str">
            <v>X</v>
          </cell>
          <cell r="AC605" t="str">
            <v>X</v>
          </cell>
          <cell r="AD605" t="str">
            <v>X</v>
          </cell>
          <cell r="AH605" t="str">
            <v>O</v>
          </cell>
          <cell r="AI605" t="str">
            <v>N</v>
          </cell>
          <cell r="AK605" t="str">
            <v>32 VILLAGE O C P OUED ZEM</v>
          </cell>
          <cell r="AL605" t="str">
            <v>CM2</v>
          </cell>
          <cell r="AP605" t="str">
            <v>Q 92538</v>
          </cell>
          <cell r="AQ605">
            <v>0</v>
          </cell>
          <cell r="AR605" t="str">
            <v>B</v>
          </cell>
          <cell r="AS605" t="str">
            <v>POPULAIRE-O.ZEM</v>
          </cell>
          <cell r="AT605" t="str">
            <v>2111136292360009</v>
          </cell>
          <cell r="AU605" t="str">
            <v>/  /</v>
          </cell>
          <cell r="AW605">
            <v>38169</v>
          </cell>
          <cell r="AY605" t="str">
            <v>XX</v>
          </cell>
          <cell r="AZ605" t="str">
            <v>K</v>
          </cell>
          <cell r="BA605" t="str">
            <v>1</v>
          </cell>
          <cell r="BB605">
            <v>1</v>
          </cell>
          <cell r="BD605">
            <v>0</v>
          </cell>
          <cell r="BE605" t="str">
            <v>M</v>
          </cell>
          <cell r="BF605" t="str">
            <v>N</v>
          </cell>
          <cell r="BG605">
            <v>31</v>
          </cell>
          <cell r="BH605">
            <v>38169</v>
          </cell>
        </row>
        <row r="606">
          <cell r="A606">
            <v>66343</v>
          </cell>
          <cell r="B606">
            <v>428</v>
          </cell>
          <cell r="C606" t="str">
            <v>C4411</v>
          </cell>
          <cell r="D606" t="str">
            <v>HALSI</v>
          </cell>
          <cell r="E606" t="str">
            <v>MOHAMMED</v>
          </cell>
          <cell r="F606">
            <v>19924</v>
          </cell>
          <cell r="G606" t="str">
            <v>3</v>
          </cell>
          <cell r="H606" t="str">
            <v>BOUJNIBA</v>
          </cell>
          <cell r="I606" t="str">
            <v>D</v>
          </cell>
          <cell r="J606">
            <v>27278</v>
          </cell>
          <cell r="K606">
            <v>34639</v>
          </cell>
          <cell r="L606" t="str">
            <v>22</v>
          </cell>
          <cell r="M606" t="str">
            <v>A</v>
          </cell>
          <cell r="N606">
            <v>34639</v>
          </cell>
          <cell r="P606">
            <v>28</v>
          </cell>
          <cell r="Q606" t="str">
            <v>O</v>
          </cell>
          <cell r="R606" t="str">
            <v>N</v>
          </cell>
          <cell r="S606">
            <v>0</v>
          </cell>
          <cell r="T606" t="str">
            <v>M</v>
          </cell>
          <cell r="U606" t="str">
            <v>LAMZIHRI NORA BT EL MAHJOUB</v>
          </cell>
          <cell r="X606">
            <v>2</v>
          </cell>
          <cell r="Y606">
            <v>2</v>
          </cell>
          <cell r="AB606" t="str">
            <v>X</v>
          </cell>
          <cell r="AC606" t="str">
            <v>X</v>
          </cell>
          <cell r="AD606" t="str">
            <v>X</v>
          </cell>
          <cell r="AH606" t="str">
            <v>N</v>
          </cell>
          <cell r="AI606" t="str">
            <v>N</v>
          </cell>
          <cell r="AK606" t="str">
            <v>138 VILLAGE OCP OUED ZEM</v>
          </cell>
          <cell r="AL606" t="str">
            <v>2AS</v>
          </cell>
          <cell r="AP606" t="str">
            <v>Q 91750</v>
          </cell>
          <cell r="AQ606">
            <v>0</v>
          </cell>
          <cell r="AR606" t="str">
            <v>B</v>
          </cell>
          <cell r="AS606" t="str">
            <v>POPULAIRE.O.ZEM</v>
          </cell>
          <cell r="AT606" t="str">
            <v>2111113029780007</v>
          </cell>
          <cell r="AU606" t="str">
            <v>/  /</v>
          </cell>
          <cell r="AW606">
            <v>38353</v>
          </cell>
          <cell r="AY606" t="str">
            <v>XX</v>
          </cell>
          <cell r="AZ606" t="str">
            <v>M</v>
          </cell>
          <cell r="BA606" t="str">
            <v>0</v>
          </cell>
          <cell r="BB606">
            <v>1</v>
          </cell>
          <cell r="BD606">
            <v>0</v>
          </cell>
          <cell r="BE606" t="str">
            <v>M</v>
          </cell>
          <cell r="BF606" t="str">
            <v>N</v>
          </cell>
          <cell r="BG606">
            <v>30</v>
          </cell>
          <cell r="BH606">
            <v>38353</v>
          </cell>
          <cell r="BI606" t="str">
            <v>O</v>
          </cell>
        </row>
        <row r="607">
          <cell r="A607">
            <v>66362</v>
          </cell>
          <cell r="B607">
            <v>468</v>
          </cell>
          <cell r="C607" t="str">
            <v>C3152</v>
          </cell>
          <cell r="D607" t="str">
            <v>MOURABIT</v>
          </cell>
          <cell r="E607" t="str">
            <v>EL RHEZOUANI</v>
          </cell>
          <cell r="F607">
            <v>20241</v>
          </cell>
          <cell r="G607" t="str">
            <v>4</v>
          </cell>
          <cell r="H607" t="str">
            <v>BOULANOUAR</v>
          </cell>
          <cell r="I607" t="str">
            <v>D</v>
          </cell>
          <cell r="J607">
            <v>27278</v>
          </cell>
          <cell r="K607">
            <v>33420</v>
          </cell>
          <cell r="L607" t="str">
            <v>21</v>
          </cell>
          <cell r="M607" t="str">
            <v>A</v>
          </cell>
          <cell r="N607">
            <v>33420</v>
          </cell>
          <cell r="P607">
            <v>28</v>
          </cell>
          <cell r="Q607" t="str">
            <v>O</v>
          </cell>
          <cell r="R607" t="str">
            <v>N</v>
          </cell>
          <cell r="S607">
            <v>0</v>
          </cell>
          <cell r="T607" t="str">
            <v>M</v>
          </cell>
          <cell r="U607" t="str">
            <v>KHAMALI ZAHRA</v>
          </cell>
          <cell r="X607">
            <v>5</v>
          </cell>
          <cell r="Y607">
            <v>5</v>
          </cell>
          <cell r="AB607" t="str">
            <v>X</v>
          </cell>
          <cell r="AC607" t="str">
            <v>X</v>
          </cell>
          <cell r="AD607" t="str">
            <v>X</v>
          </cell>
          <cell r="AH607" t="str">
            <v>N</v>
          </cell>
          <cell r="AI607" t="str">
            <v>N</v>
          </cell>
          <cell r="AK607" t="str">
            <v>400 VILLAGE OCP BOUJNIBA</v>
          </cell>
          <cell r="AL607" t="str">
            <v>CM2</v>
          </cell>
          <cell r="AP607" t="str">
            <v>Q 80724</v>
          </cell>
          <cell r="AQ607">
            <v>0</v>
          </cell>
          <cell r="AR607" t="str">
            <v>C</v>
          </cell>
          <cell r="AU607" t="str">
            <v>/  /</v>
          </cell>
          <cell r="AW607">
            <v>38534</v>
          </cell>
          <cell r="AY607" t="str">
            <v>XX</v>
          </cell>
          <cell r="BA607" t="str">
            <v>1</v>
          </cell>
          <cell r="BB607">
            <v>1</v>
          </cell>
          <cell r="BD607">
            <v>0</v>
          </cell>
          <cell r="BE607" t="str">
            <v>M</v>
          </cell>
          <cell r="BF607" t="str">
            <v>N</v>
          </cell>
          <cell r="BG607">
            <v>51</v>
          </cell>
          <cell r="BH607">
            <v>38534</v>
          </cell>
          <cell r="BI607" t="str">
            <v>N</v>
          </cell>
        </row>
        <row r="608">
          <cell r="A608">
            <v>66388</v>
          </cell>
          <cell r="B608">
            <v>476</v>
          </cell>
          <cell r="C608" t="str">
            <v>C5050</v>
          </cell>
          <cell r="D608" t="str">
            <v>ONQANI</v>
          </cell>
          <cell r="E608" t="str">
            <v>MOHAMED</v>
          </cell>
          <cell r="F608">
            <v>19905</v>
          </cell>
          <cell r="H608" t="str">
            <v>BENI MESKINE BROUJE  SETTAT</v>
          </cell>
          <cell r="I608" t="str">
            <v>D</v>
          </cell>
          <cell r="J608">
            <v>27282</v>
          </cell>
          <cell r="K608">
            <v>37073</v>
          </cell>
          <cell r="L608" t="str">
            <v>31</v>
          </cell>
          <cell r="M608" t="str">
            <v>A</v>
          </cell>
          <cell r="N608">
            <v>37073</v>
          </cell>
          <cell r="P608">
            <v>28</v>
          </cell>
          <cell r="Q608" t="str">
            <v>O</v>
          </cell>
          <cell r="R608" t="str">
            <v>N</v>
          </cell>
          <cell r="S608">
            <v>0</v>
          </cell>
          <cell r="T608" t="str">
            <v>M</v>
          </cell>
          <cell r="U608" t="str">
            <v>KHADIJA BENT SALAH HADRI</v>
          </cell>
          <cell r="X608">
            <v>7</v>
          </cell>
          <cell r="Y608">
            <v>4</v>
          </cell>
          <cell r="AB608" t="str">
            <v>X</v>
          </cell>
          <cell r="AC608" t="str">
            <v>X</v>
          </cell>
          <cell r="AD608" t="str">
            <v>X</v>
          </cell>
          <cell r="AH608" t="str">
            <v>N</v>
          </cell>
          <cell r="AI608" t="str">
            <v>N</v>
          </cell>
          <cell r="AK608" t="str">
            <v>75 NELLE EXTENSION SECHAGE KHGA</v>
          </cell>
          <cell r="AL608" t="str">
            <v>3AS</v>
          </cell>
          <cell r="AP608" t="str">
            <v>Q 73239</v>
          </cell>
          <cell r="AQ608">
            <v>0</v>
          </cell>
          <cell r="AR608" t="str">
            <v>B</v>
          </cell>
          <cell r="AS608" t="str">
            <v>SGMB - KHGA</v>
          </cell>
          <cell r="AT608" t="str">
            <v>6709373319</v>
          </cell>
          <cell r="AU608" t="str">
            <v>/  /</v>
          </cell>
          <cell r="AW608">
            <v>39546</v>
          </cell>
          <cell r="AX608">
            <v>39546</v>
          </cell>
          <cell r="AY608" t="str">
            <v>XX</v>
          </cell>
          <cell r="AZ608" t="str">
            <v>K</v>
          </cell>
          <cell r="BA608" t="str">
            <v>2</v>
          </cell>
          <cell r="BB608">
            <v>1</v>
          </cell>
          <cell r="BD608">
            <v>0</v>
          </cell>
          <cell r="BE608" t="str">
            <v>M</v>
          </cell>
          <cell r="BF608" t="str">
            <v>N</v>
          </cell>
          <cell r="BG608">
            <v>1</v>
          </cell>
          <cell r="BH608">
            <v>38169</v>
          </cell>
        </row>
        <row r="609">
          <cell r="A609">
            <v>66389</v>
          </cell>
          <cell r="B609">
            <v>466</v>
          </cell>
          <cell r="C609" t="str">
            <v>C4050</v>
          </cell>
          <cell r="D609" t="str">
            <v>ETTHAIJI</v>
          </cell>
          <cell r="E609" t="str">
            <v>M'HAMMED</v>
          </cell>
          <cell r="F609">
            <v>19175</v>
          </cell>
          <cell r="G609" t="str">
            <v>1</v>
          </cell>
          <cell r="H609" t="str">
            <v>OULED BHAR KBAR KHOURIBGA</v>
          </cell>
          <cell r="I609" t="str">
            <v>D</v>
          </cell>
          <cell r="J609">
            <v>27282</v>
          </cell>
          <cell r="K609">
            <v>33573</v>
          </cell>
          <cell r="L609" t="str">
            <v>22</v>
          </cell>
          <cell r="M609" t="str">
            <v>B</v>
          </cell>
          <cell r="N609">
            <v>35612</v>
          </cell>
          <cell r="P609">
            <v>28</v>
          </cell>
          <cell r="Q609" t="str">
            <v>O</v>
          </cell>
          <cell r="R609" t="str">
            <v>N</v>
          </cell>
          <cell r="S609">
            <v>0</v>
          </cell>
          <cell r="T609" t="str">
            <v>M</v>
          </cell>
          <cell r="U609" t="str">
            <v>MOUAFIK MBARKA</v>
          </cell>
          <cell r="X609">
            <v>7</v>
          </cell>
          <cell r="Y609">
            <v>4</v>
          </cell>
          <cell r="AB609" t="str">
            <v>X</v>
          </cell>
          <cell r="AC609" t="str">
            <v>X</v>
          </cell>
          <cell r="AD609" t="str">
            <v>X</v>
          </cell>
          <cell r="AH609" t="str">
            <v>N</v>
          </cell>
          <cell r="AI609" t="str">
            <v>N</v>
          </cell>
          <cell r="AK609" t="str">
            <v>586 RUE 3 - BOUJNIBA</v>
          </cell>
          <cell r="AL609" t="str">
            <v>2AS</v>
          </cell>
          <cell r="AP609" t="str">
            <v>Q 23482</v>
          </cell>
          <cell r="AQ609">
            <v>0</v>
          </cell>
          <cell r="AR609" t="str">
            <v>B</v>
          </cell>
          <cell r="AS609" t="str">
            <v>C.N.C.A  KHGA</v>
          </cell>
          <cell r="AT609" t="str">
            <v>0806105H601</v>
          </cell>
          <cell r="AU609" t="str">
            <v>/  /</v>
          </cell>
          <cell r="AW609">
            <v>37438</v>
          </cell>
          <cell r="AY609" t="str">
            <v>XX</v>
          </cell>
          <cell r="BA609" t="str">
            <v>2</v>
          </cell>
          <cell r="BB609">
            <v>1</v>
          </cell>
          <cell r="BD609">
            <v>0</v>
          </cell>
          <cell r="BE609" t="str">
            <v>M</v>
          </cell>
          <cell r="BF609" t="str">
            <v>N</v>
          </cell>
          <cell r="BG609">
            <v>51</v>
          </cell>
          <cell r="BH609">
            <v>37438</v>
          </cell>
          <cell r="BI609" t="str">
            <v>O</v>
          </cell>
        </row>
        <row r="610">
          <cell r="A610">
            <v>66390</v>
          </cell>
          <cell r="B610">
            <v>406</v>
          </cell>
          <cell r="C610" t="str">
            <v>C3050</v>
          </cell>
          <cell r="D610" t="str">
            <v>EL RHALMI</v>
          </cell>
          <cell r="E610" t="str">
            <v>EL MATI</v>
          </cell>
          <cell r="F610">
            <v>19905</v>
          </cell>
          <cell r="G610" t="str">
            <v>1</v>
          </cell>
          <cell r="H610" t="str">
            <v>OULED BHAR KBAR KHOURIBGA</v>
          </cell>
          <cell r="I610" t="str">
            <v>D</v>
          </cell>
          <cell r="J610">
            <v>27284</v>
          </cell>
          <cell r="K610">
            <v>36069</v>
          </cell>
          <cell r="L610" t="str">
            <v>21</v>
          </cell>
          <cell r="M610" t="str">
            <v>D</v>
          </cell>
          <cell r="N610">
            <v>35612</v>
          </cell>
          <cell r="P610">
            <v>28</v>
          </cell>
          <cell r="Q610" t="str">
            <v>O</v>
          </cell>
          <cell r="R610" t="str">
            <v>N</v>
          </cell>
          <cell r="S610">
            <v>0</v>
          </cell>
          <cell r="T610" t="str">
            <v>M</v>
          </cell>
          <cell r="U610" t="str">
            <v>YAMNA BENT MOHAMED</v>
          </cell>
          <cell r="X610">
            <v>7</v>
          </cell>
          <cell r="Y610">
            <v>3</v>
          </cell>
          <cell r="AB610" t="str">
            <v>X</v>
          </cell>
          <cell r="AC610" t="str">
            <v>X</v>
          </cell>
          <cell r="AD610" t="str">
            <v>X</v>
          </cell>
          <cell r="AH610" t="str">
            <v>N</v>
          </cell>
          <cell r="AI610" t="str">
            <v>N</v>
          </cell>
          <cell r="AK610" t="str">
            <v>172 BLOC O HAY DAKHLA BOUJNIBA</v>
          </cell>
          <cell r="AL610" t="str">
            <v>3AS</v>
          </cell>
          <cell r="AP610" t="str">
            <v>Q 70849</v>
          </cell>
          <cell r="AQ610">
            <v>0</v>
          </cell>
          <cell r="AR610" t="str">
            <v>B</v>
          </cell>
          <cell r="AS610" t="str">
            <v>C.N.C.A  KHGA</v>
          </cell>
          <cell r="AT610" t="str">
            <v>0806220P601</v>
          </cell>
          <cell r="AU610" t="str">
            <v>/  /</v>
          </cell>
          <cell r="AW610">
            <v>38169</v>
          </cell>
          <cell r="AY610" t="str">
            <v>XX</v>
          </cell>
          <cell r="BA610" t="str">
            <v>2</v>
          </cell>
          <cell r="BB610">
            <v>1</v>
          </cell>
          <cell r="BD610">
            <v>0</v>
          </cell>
          <cell r="BE610" t="str">
            <v>M</v>
          </cell>
          <cell r="BF610" t="str">
            <v>N</v>
          </cell>
          <cell r="BG610">
            <v>51</v>
          </cell>
          <cell r="BH610">
            <v>38169</v>
          </cell>
          <cell r="BI610" t="str">
            <v>O</v>
          </cell>
        </row>
        <row r="611">
          <cell r="A611">
            <v>66396</v>
          </cell>
          <cell r="B611">
            <v>416</v>
          </cell>
          <cell r="C611" t="str">
            <v>C5050</v>
          </cell>
          <cell r="D611" t="str">
            <v>BAANA</v>
          </cell>
          <cell r="E611" t="str">
            <v>MOHAMMED</v>
          </cell>
          <cell r="F611">
            <v>19905</v>
          </cell>
          <cell r="G611" t="str">
            <v>1</v>
          </cell>
          <cell r="H611" t="str">
            <v>OULED BHAR KBAR KHOURIBGA</v>
          </cell>
          <cell r="I611" t="str">
            <v>D</v>
          </cell>
          <cell r="J611">
            <v>27281</v>
          </cell>
          <cell r="K611">
            <v>37073</v>
          </cell>
          <cell r="L611" t="str">
            <v>31</v>
          </cell>
          <cell r="M611" t="str">
            <v>A</v>
          </cell>
          <cell r="N611">
            <v>37073</v>
          </cell>
          <cell r="P611">
            <v>28</v>
          </cell>
          <cell r="Q611" t="str">
            <v>N</v>
          </cell>
          <cell r="R611" t="str">
            <v>N</v>
          </cell>
          <cell r="S611">
            <v>0</v>
          </cell>
          <cell r="T611" t="str">
            <v>M</v>
          </cell>
          <cell r="U611" t="str">
            <v>RIAHI FATNA</v>
          </cell>
          <cell r="X611">
            <v>3</v>
          </cell>
          <cell r="Y611">
            <v>1</v>
          </cell>
          <cell r="AB611" t="str">
            <v>X</v>
          </cell>
          <cell r="AC611" t="str">
            <v>X</v>
          </cell>
          <cell r="AD611" t="str">
            <v>X</v>
          </cell>
          <cell r="AH611" t="str">
            <v>N</v>
          </cell>
          <cell r="AI611" t="str">
            <v>N</v>
          </cell>
          <cell r="AK611" t="str">
            <v>148 NELLE CONSTRUCTION DE SECHAGE KHGA</v>
          </cell>
          <cell r="AL611" t="str">
            <v>2AS</v>
          </cell>
          <cell r="AP611" t="str">
            <v>Q 67182</v>
          </cell>
          <cell r="AQ611">
            <v>0</v>
          </cell>
          <cell r="AR611" t="str">
            <v>B</v>
          </cell>
          <cell r="AS611" t="str">
            <v>BMCE.KHGA</v>
          </cell>
          <cell r="AT611" t="str">
            <v>40001200000648890</v>
          </cell>
          <cell r="AU611" t="str">
            <v>/  /</v>
          </cell>
          <cell r="AW611">
            <v>38169</v>
          </cell>
          <cell r="AY611" t="str">
            <v>XX</v>
          </cell>
          <cell r="BA611" t="str">
            <v>2</v>
          </cell>
          <cell r="BB611">
            <v>1</v>
          </cell>
          <cell r="BD611">
            <v>0</v>
          </cell>
          <cell r="BE611" t="str">
            <v>M</v>
          </cell>
          <cell r="BF611" t="str">
            <v>N</v>
          </cell>
          <cell r="BG611">
            <v>0</v>
          </cell>
          <cell r="BH611">
            <v>38169</v>
          </cell>
        </row>
        <row r="612">
          <cell r="A612">
            <v>66454</v>
          </cell>
          <cell r="B612">
            <v>426</v>
          </cell>
          <cell r="C612" t="str">
            <v>C4050</v>
          </cell>
          <cell r="D612" t="str">
            <v>QOSSAI</v>
          </cell>
          <cell r="E612" t="str">
            <v>AHMED CHERIF</v>
          </cell>
          <cell r="F612">
            <v>19804</v>
          </cell>
          <cell r="G612" t="str">
            <v>1</v>
          </cell>
          <cell r="H612" t="str">
            <v>KHOURIBGA</v>
          </cell>
          <cell r="I612" t="str">
            <v>D</v>
          </cell>
          <cell r="J612">
            <v>27290</v>
          </cell>
          <cell r="K612">
            <v>36526</v>
          </cell>
          <cell r="L612" t="str">
            <v>22</v>
          </cell>
          <cell r="M612" t="str">
            <v>A</v>
          </cell>
          <cell r="N612">
            <v>36526</v>
          </cell>
          <cell r="P612">
            <v>28</v>
          </cell>
          <cell r="Q612" t="str">
            <v>O</v>
          </cell>
          <cell r="R612" t="str">
            <v>N</v>
          </cell>
          <cell r="S612">
            <v>0</v>
          </cell>
          <cell r="T612" t="str">
            <v>M</v>
          </cell>
          <cell r="U612" t="str">
            <v>HAMRAOUI MALIKA</v>
          </cell>
          <cell r="X612">
            <v>4</v>
          </cell>
          <cell r="Y612">
            <v>1</v>
          </cell>
          <cell r="AB612" t="str">
            <v>X</v>
          </cell>
          <cell r="AC612" t="str">
            <v>X</v>
          </cell>
          <cell r="AD612" t="str">
            <v>X</v>
          </cell>
          <cell r="AH612" t="str">
            <v>N</v>
          </cell>
          <cell r="AI612" t="str">
            <v>N</v>
          </cell>
          <cell r="AK612" t="str">
            <v>33 R.OMAR KHIAM DERB HADJ MOHAMED KHGA</v>
          </cell>
          <cell r="AL612" t="str">
            <v>CM2</v>
          </cell>
          <cell r="AP612" t="str">
            <v>Q 8087</v>
          </cell>
          <cell r="AQ612">
            <v>0</v>
          </cell>
          <cell r="AR612" t="str">
            <v>B</v>
          </cell>
          <cell r="AS612" t="str">
            <v>WAFABANK - KHGA</v>
          </cell>
          <cell r="AT612" t="str">
            <v>1220301102738</v>
          </cell>
          <cell r="AU612" t="str">
            <v>/  /</v>
          </cell>
          <cell r="AW612">
            <v>38169</v>
          </cell>
          <cell r="AY612" t="str">
            <v>XX</v>
          </cell>
          <cell r="BA612" t="str">
            <v>2</v>
          </cell>
          <cell r="BB612">
            <v>1</v>
          </cell>
          <cell r="BD612">
            <v>0</v>
          </cell>
          <cell r="BE612" t="str">
            <v>M</v>
          </cell>
          <cell r="BF612" t="str">
            <v>N</v>
          </cell>
          <cell r="BG612">
            <v>4</v>
          </cell>
          <cell r="BH612">
            <v>38169</v>
          </cell>
          <cell r="BI612" t="str">
            <v>O</v>
          </cell>
        </row>
        <row r="613">
          <cell r="A613">
            <v>66486</v>
          </cell>
          <cell r="B613">
            <v>409</v>
          </cell>
          <cell r="C613" t="str">
            <v>C4152</v>
          </cell>
          <cell r="D613" t="str">
            <v>ERRAJI</v>
          </cell>
          <cell r="E613" t="str">
            <v>ABDELLAH</v>
          </cell>
          <cell r="F613">
            <v>19540</v>
          </cell>
          <cell r="H613" t="str">
            <v>CHEMAIA - SAFI</v>
          </cell>
          <cell r="I613" t="str">
            <v>D</v>
          </cell>
          <cell r="J613">
            <v>27292</v>
          </cell>
          <cell r="K613">
            <v>36526</v>
          </cell>
          <cell r="L613" t="str">
            <v>22</v>
          </cell>
          <cell r="M613" t="str">
            <v>A</v>
          </cell>
          <cell r="N613">
            <v>36526</v>
          </cell>
          <cell r="P613">
            <v>28</v>
          </cell>
          <cell r="Q613" t="str">
            <v>O</v>
          </cell>
          <cell r="R613" t="str">
            <v>N</v>
          </cell>
          <cell r="S613">
            <v>0</v>
          </cell>
          <cell r="T613" t="str">
            <v>M</v>
          </cell>
          <cell r="U613" t="str">
            <v>ADRI EL ALIA</v>
          </cell>
          <cell r="X613">
            <v>3</v>
          </cell>
          <cell r="Y613">
            <v>3</v>
          </cell>
          <cell r="AB613" t="str">
            <v>N</v>
          </cell>
          <cell r="AC613" t="str">
            <v>X</v>
          </cell>
          <cell r="AD613" t="str">
            <v>X</v>
          </cell>
          <cell r="AH613" t="str">
            <v>N</v>
          </cell>
          <cell r="AI613" t="str">
            <v>N</v>
          </cell>
          <cell r="AK613" t="str">
            <v>68 NELLE EXTENSION SECHAGE KHGA</v>
          </cell>
          <cell r="AL613" t="str">
            <v>3AS</v>
          </cell>
          <cell r="AM613" t="str">
            <v>CEP.</v>
          </cell>
          <cell r="AP613" t="str">
            <v>Q 3683</v>
          </cell>
          <cell r="AQ613">
            <v>0</v>
          </cell>
          <cell r="AR613" t="str">
            <v>B</v>
          </cell>
          <cell r="AS613" t="str">
            <v>CR-AGRIC.-KHGA</v>
          </cell>
          <cell r="AT613" t="str">
            <v>08074154</v>
          </cell>
          <cell r="AU613" t="str">
            <v>/  /</v>
          </cell>
          <cell r="AW613">
            <v>38882</v>
          </cell>
          <cell r="AX613">
            <v>38882</v>
          </cell>
          <cell r="AY613" t="str">
            <v>XX</v>
          </cell>
          <cell r="AZ613" t="str">
            <v>K</v>
          </cell>
          <cell r="BA613" t="str">
            <v>6</v>
          </cell>
          <cell r="BB613">
            <v>1</v>
          </cell>
          <cell r="BD613">
            <v>0</v>
          </cell>
          <cell r="BE613" t="str">
            <v>M</v>
          </cell>
          <cell r="BF613" t="str">
            <v>N</v>
          </cell>
          <cell r="BG613">
            <v>1</v>
          </cell>
          <cell r="BH613">
            <v>37803</v>
          </cell>
        </row>
        <row r="614">
          <cell r="A614">
            <v>66502</v>
          </cell>
          <cell r="B614">
            <v>411</v>
          </cell>
          <cell r="C614" t="str">
            <v>C5002</v>
          </cell>
          <cell r="D614" t="str">
            <v>EL MAHI</v>
          </cell>
          <cell r="E614" t="str">
            <v>ABDELKRIM</v>
          </cell>
          <cell r="F614">
            <v>18809</v>
          </cell>
          <cell r="G614" t="str">
            <v>1</v>
          </cell>
          <cell r="H614" t="str">
            <v>OULED ABDOUNE</v>
          </cell>
          <cell r="I614" t="str">
            <v>D</v>
          </cell>
          <cell r="J614">
            <v>27297</v>
          </cell>
          <cell r="K614">
            <v>35431</v>
          </cell>
          <cell r="L614" t="str">
            <v>31</v>
          </cell>
          <cell r="M614" t="str">
            <v>A</v>
          </cell>
          <cell r="N614">
            <v>35431</v>
          </cell>
          <cell r="P614">
            <v>28</v>
          </cell>
          <cell r="Q614" t="str">
            <v>O</v>
          </cell>
          <cell r="R614" t="str">
            <v>N</v>
          </cell>
          <cell r="S614">
            <v>0</v>
          </cell>
          <cell r="T614" t="str">
            <v>M</v>
          </cell>
          <cell r="U614" t="str">
            <v>HASSANI MERYEM</v>
          </cell>
          <cell r="X614">
            <v>5</v>
          </cell>
          <cell r="Y614">
            <v>4</v>
          </cell>
          <cell r="AB614" t="str">
            <v>X</v>
          </cell>
          <cell r="AC614" t="str">
            <v>X</v>
          </cell>
          <cell r="AD614" t="str">
            <v>X</v>
          </cell>
          <cell r="AH614" t="str">
            <v>N</v>
          </cell>
          <cell r="AI614" t="str">
            <v>N</v>
          </cell>
          <cell r="AK614" t="str">
            <v>663 NELLE MEDINA DE SECHAGE KHGA</v>
          </cell>
          <cell r="AL614" t="str">
            <v>3AS</v>
          </cell>
          <cell r="AM614" t="str">
            <v>CEP.</v>
          </cell>
          <cell r="AP614" t="str">
            <v>Q 84553</v>
          </cell>
          <cell r="AQ614">
            <v>0</v>
          </cell>
          <cell r="AR614" t="str">
            <v>B</v>
          </cell>
          <cell r="AS614" t="str">
            <v>BMCE - KHGA</v>
          </cell>
          <cell r="AT614" t="str">
            <v>40001200000969281</v>
          </cell>
          <cell r="AU614" t="str">
            <v>/  /</v>
          </cell>
          <cell r="AW614">
            <v>37622</v>
          </cell>
          <cell r="AX614">
            <v>37555</v>
          </cell>
          <cell r="AY614" t="str">
            <v>XX</v>
          </cell>
          <cell r="AZ614" t="str">
            <v>M</v>
          </cell>
          <cell r="BA614" t="str">
            <v>2</v>
          </cell>
          <cell r="BB614">
            <v>1</v>
          </cell>
          <cell r="BD614">
            <v>0</v>
          </cell>
          <cell r="BE614" t="str">
            <v>M</v>
          </cell>
          <cell r="BF614" t="str">
            <v>N</v>
          </cell>
          <cell r="BG614">
            <v>1</v>
          </cell>
          <cell r="BH614">
            <v>37073</v>
          </cell>
        </row>
        <row r="615">
          <cell r="A615">
            <v>66504</v>
          </cell>
          <cell r="B615">
            <v>403</v>
          </cell>
          <cell r="C615" t="str">
            <v>C4152</v>
          </cell>
          <cell r="D615" t="str">
            <v>CHARBI</v>
          </cell>
          <cell r="E615" t="str">
            <v>BOUCHTA</v>
          </cell>
          <cell r="F615">
            <v>19540</v>
          </cell>
          <cell r="G615" t="str">
            <v>1</v>
          </cell>
          <cell r="H615" t="str">
            <v>OULED BHAR KBAR KHOURIBGA</v>
          </cell>
          <cell r="I615" t="str">
            <v>D</v>
          </cell>
          <cell r="J615">
            <v>27297</v>
          </cell>
          <cell r="K615">
            <v>35065</v>
          </cell>
          <cell r="L615" t="str">
            <v>22</v>
          </cell>
          <cell r="M615" t="str">
            <v>A</v>
          </cell>
          <cell r="N615">
            <v>35065</v>
          </cell>
          <cell r="P615">
            <v>28</v>
          </cell>
          <cell r="Q615" t="str">
            <v>N</v>
          </cell>
          <cell r="R615" t="str">
            <v>O</v>
          </cell>
          <cell r="S615">
            <v>3</v>
          </cell>
          <cell r="T615" t="str">
            <v>M</v>
          </cell>
          <cell r="U615" t="str">
            <v>RABHA BENT MOHAMED</v>
          </cell>
          <cell r="V615" t="str">
            <v>EL HACHIMI AICHA</v>
          </cell>
          <cell r="X615">
            <v>6</v>
          </cell>
          <cell r="Y615">
            <v>2</v>
          </cell>
          <cell r="AB615" t="str">
            <v>X</v>
          </cell>
          <cell r="AC615" t="str">
            <v>X</v>
          </cell>
          <cell r="AD615" t="str">
            <v>X</v>
          </cell>
          <cell r="AH615" t="str">
            <v>N</v>
          </cell>
          <cell r="AI615" t="str">
            <v>N</v>
          </cell>
          <cell r="AK615" t="str">
            <v>DR LAMSAADA OULED BRAHIM BOUJNIBA</v>
          </cell>
          <cell r="AL615" t="str">
            <v>1AS</v>
          </cell>
          <cell r="AP615" t="str">
            <v>Q 35418</v>
          </cell>
          <cell r="AQ615">
            <v>0</v>
          </cell>
          <cell r="AR615" t="str">
            <v>C</v>
          </cell>
          <cell r="AU615" t="str">
            <v>/  /</v>
          </cell>
          <cell r="AW615">
            <v>37803</v>
          </cell>
          <cell r="AY615" t="str">
            <v>XX</v>
          </cell>
          <cell r="BA615" t="str">
            <v>1</v>
          </cell>
          <cell r="BB615">
            <v>1</v>
          </cell>
          <cell r="BD615">
            <v>0</v>
          </cell>
          <cell r="BE615" t="str">
            <v>M</v>
          </cell>
          <cell r="BF615" t="str">
            <v>N</v>
          </cell>
          <cell r="BG615">
            <v>0</v>
          </cell>
          <cell r="BH615">
            <v>37803</v>
          </cell>
          <cell r="BI615" t="str">
            <v>O</v>
          </cell>
        </row>
        <row r="616">
          <cell r="A616">
            <v>66516</v>
          </cell>
          <cell r="B616">
            <v>463</v>
          </cell>
          <cell r="C616" t="str">
            <v>C5200</v>
          </cell>
          <cell r="D616" t="str">
            <v>ESSALHI</v>
          </cell>
          <cell r="E616" t="str">
            <v>BELGACEM</v>
          </cell>
          <cell r="F616">
            <v>19905</v>
          </cell>
          <cell r="G616" t="str">
            <v>2</v>
          </cell>
          <cell r="H616" t="str">
            <v>BENI SMIR  OUED-ZEM</v>
          </cell>
          <cell r="I616" t="str">
            <v>D</v>
          </cell>
          <cell r="J616">
            <v>27298</v>
          </cell>
          <cell r="K616">
            <v>31625</v>
          </cell>
          <cell r="L616" t="str">
            <v>31</v>
          </cell>
          <cell r="M616" t="str">
            <v>A</v>
          </cell>
          <cell r="N616">
            <v>31625</v>
          </cell>
          <cell r="P616">
            <v>28</v>
          </cell>
          <cell r="Q616" t="str">
            <v>O</v>
          </cell>
          <cell r="R616" t="str">
            <v>N</v>
          </cell>
          <cell r="S616">
            <v>0</v>
          </cell>
          <cell r="T616" t="str">
            <v>M</v>
          </cell>
          <cell r="U616" t="str">
            <v>LAMBAID ZOHRA</v>
          </cell>
          <cell r="X616">
            <v>5</v>
          </cell>
          <cell r="Y616">
            <v>5</v>
          </cell>
          <cell r="AB616" t="str">
            <v>X</v>
          </cell>
          <cell r="AC616" t="str">
            <v>X</v>
          </cell>
          <cell r="AD616" t="str">
            <v>X</v>
          </cell>
          <cell r="AH616" t="str">
            <v>O</v>
          </cell>
          <cell r="AI616" t="str">
            <v>N</v>
          </cell>
          <cell r="AK616" t="str">
            <v>VILLA N°4 OCP - OUED ZEM</v>
          </cell>
          <cell r="AL616" t="str">
            <v>3AS</v>
          </cell>
          <cell r="AM616" t="str">
            <v>CEP.CFO</v>
          </cell>
          <cell r="AP616" t="str">
            <v>Q 13180</v>
          </cell>
          <cell r="AQ616">
            <v>0</v>
          </cell>
          <cell r="AR616" t="str">
            <v>B</v>
          </cell>
          <cell r="AS616" t="str">
            <v>BMCI - KHGA</v>
          </cell>
          <cell r="AT616" t="str">
            <v>0282118107730100001</v>
          </cell>
          <cell r="AU616" t="str">
            <v>/  /</v>
          </cell>
          <cell r="AW616">
            <v>38169</v>
          </cell>
          <cell r="AY616" t="str">
            <v>XX</v>
          </cell>
          <cell r="AZ616" t="str">
            <v>R</v>
          </cell>
          <cell r="BA616" t="str">
            <v>2</v>
          </cell>
          <cell r="BB616">
            <v>1</v>
          </cell>
          <cell r="BD616">
            <v>0</v>
          </cell>
          <cell r="BE616" t="str">
            <v>M</v>
          </cell>
          <cell r="BF616" t="str">
            <v>N</v>
          </cell>
          <cell r="BG616">
            <v>31</v>
          </cell>
          <cell r="BH616">
            <v>38169</v>
          </cell>
        </row>
        <row r="617">
          <cell r="A617">
            <v>66531</v>
          </cell>
          <cell r="B617">
            <v>421</v>
          </cell>
          <cell r="C617" t="str">
            <v>C4152</v>
          </cell>
          <cell r="D617" t="str">
            <v>BENSABER</v>
          </cell>
          <cell r="E617" t="str">
            <v>AHMED</v>
          </cell>
          <cell r="F617">
            <v>19765</v>
          </cell>
          <cell r="G617" t="str">
            <v>2</v>
          </cell>
          <cell r="H617" t="str">
            <v>OUED-ZEM</v>
          </cell>
          <cell r="I617" t="str">
            <v>D</v>
          </cell>
          <cell r="J617">
            <v>27303</v>
          </cell>
          <cell r="K617">
            <v>36526</v>
          </cell>
          <cell r="L617" t="str">
            <v>22</v>
          </cell>
          <cell r="M617" t="str">
            <v>A</v>
          </cell>
          <cell r="N617">
            <v>36526</v>
          </cell>
          <cell r="P617">
            <v>28</v>
          </cell>
          <cell r="Q617" t="str">
            <v>O</v>
          </cell>
          <cell r="R617" t="str">
            <v>N</v>
          </cell>
          <cell r="S617">
            <v>0</v>
          </cell>
          <cell r="T617" t="str">
            <v>M</v>
          </cell>
          <cell r="U617" t="str">
            <v>BELMKADEM SAMIRA</v>
          </cell>
          <cell r="X617">
            <v>5</v>
          </cell>
          <cell r="Y617">
            <v>5</v>
          </cell>
          <cell r="AB617" t="str">
            <v>X</v>
          </cell>
          <cell r="AC617" t="str">
            <v>X</v>
          </cell>
          <cell r="AD617" t="str">
            <v>X</v>
          </cell>
          <cell r="AH617" t="str">
            <v>N</v>
          </cell>
          <cell r="AI617" t="str">
            <v>N</v>
          </cell>
          <cell r="AK617" t="str">
            <v>1350 VILLAGE OCP - HATTANE</v>
          </cell>
          <cell r="AL617" t="str">
            <v>CM2</v>
          </cell>
          <cell r="AP617" t="str">
            <v>Q 19155</v>
          </cell>
          <cell r="AQ617">
            <v>0</v>
          </cell>
          <cell r="AR617" t="str">
            <v>C</v>
          </cell>
          <cell r="AU617" t="str">
            <v>08/11/12</v>
          </cell>
          <cell r="AW617">
            <v>38169</v>
          </cell>
          <cell r="AY617" t="str">
            <v>O+</v>
          </cell>
          <cell r="BA617" t="str">
            <v>0</v>
          </cell>
          <cell r="BB617">
            <v>1</v>
          </cell>
          <cell r="BD617">
            <v>0</v>
          </cell>
          <cell r="BE617" t="str">
            <v>M</v>
          </cell>
          <cell r="BF617" t="str">
            <v>N</v>
          </cell>
          <cell r="BG617">
            <v>11</v>
          </cell>
          <cell r="BH617">
            <v>38169</v>
          </cell>
          <cell r="BI617" t="str">
            <v>O</v>
          </cell>
        </row>
        <row r="618">
          <cell r="A618">
            <v>66534</v>
          </cell>
          <cell r="B618">
            <v>418</v>
          </cell>
          <cell r="C618" t="str">
            <v>C5102</v>
          </cell>
          <cell r="D618" t="str">
            <v>AYADI</v>
          </cell>
          <cell r="E618" t="str">
            <v>MUSTAPHA</v>
          </cell>
          <cell r="F618">
            <v>18766</v>
          </cell>
          <cell r="H618" t="str">
            <v>OULED M'RAH - SETTAT</v>
          </cell>
          <cell r="I618" t="str">
            <v>D</v>
          </cell>
          <cell r="J618">
            <v>27299</v>
          </cell>
          <cell r="K618">
            <v>37073</v>
          </cell>
          <cell r="L618" t="str">
            <v>31</v>
          </cell>
          <cell r="M618" t="str">
            <v>A</v>
          </cell>
          <cell r="N618">
            <v>37073</v>
          </cell>
          <cell r="P618">
            <v>28</v>
          </cell>
          <cell r="Q618" t="str">
            <v>O</v>
          </cell>
          <cell r="R618" t="str">
            <v>N</v>
          </cell>
          <cell r="S618">
            <v>0</v>
          </cell>
          <cell r="T618" t="str">
            <v>M</v>
          </cell>
          <cell r="U618" t="str">
            <v>BOUZIDI SAADIA BENT ALI</v>
          </cell>
          <cell r="X618">
            <v>5</v>
          </cell>
          <cell r="Y618">
            <v>3</v>
          </cell>
          <cell r="AB618" t="str">
            <v>N</v>
          </cell>
          <cell r="AC618" t="str">
            <v>X</v>
          </cell>
          <cell r="AD618" t="str">
            <v>X</v>
          </cell>
          <cell r="AH618" t="str">
            <v>N</v>
          </cell>
          <cell r="AI618" t="str">
            <v>N</v>
          </cell>
          <cell r="AK618" t="str">
            <v>305,NELLE CONSTRUCTION DE SECHAGE KHGA</v>
          </cell>
          <cell r="AL618" t="str">
            <v>4AS</v>
          </cell>
          <cell r="AP618" t="str">
            <v>Q 13103</v>
          </cell>
          <cell r="AQ618">
            <v>0</v>
          </cell>
          <cell r="AR618" t="str">
            <v>B</v>
          </cell>
          <cell r="AS618" t="str">
            <v>WAFABANK - CASA</v>
          </cell>
          <cell r="AT618" t="str">
            <v>098030109283237</v>
          </cell>
          <cell r="AU618" t="str">
            <v>/  /</v>
          </cell>
          <cell r="AW618">
            <v>37622</v>
          </cell>
          <cell r="AX618">
            <v>37555</v>
          </cell>
          <cell r="AY618" t="str">
            <v>XX</v>
          </cell>
          <cell r="AZ618" t="str">
            <v>K</v>
          </cell>
          <cell r="BA618" t="str">
            <v>1</v>
          </cell>
          <cell r="BB618">
            <v>1</v>
          </cell>
          <cell r="BD618">
            <v>0</v>
          </cell>
          <cell r="BE618" t="str">
            <v>M</v>
          </cell>
          <cell r="BF618" t="str">
            <v>N</v>
          </cell>
          <cell r="BG618">
            <v>4</v>
          </cell>
          <cell r="BH618">
            <v>37073</v>
          </cell>
        </row>
        <row r="619">
          <cell r="A619">
            <v>66536</v>
          </cell>
          <cell r="B619">
            <v>428</v>
          </cell>
          <cell r="C619" t="str">
            <v>C6050</v>
          </cell>
          <cell r="D619" t="str">
            <v>ZENOUAKI</v>
          </cell>
          <cell r="E619" t="str">
            <v>MOHAMED</v>
          </cell>
          <cell r="F619">
            <v>19905</v>
          </cell>
          <cell r="G619" t="str">
            <v>1</v>
          </cell>
          <cell r="H619" t="str">
            <v>OULED BHAR KBAR KHOURIBGA</v>
          </cell>
          <cell r="I619" t="str">
            <v>D</v>
          </cell>
          <cell r="J619">
            <v>27299</v>
          </cell>
          <cell r="K619">
            <v>36526</v>
          </cell>
          <cell r="L619" t="str">
            <v>32</v>
          </cell>
          <cell r="M619" t="str">
            <v>A</v>
          </cell>
          <cell r="N619">
            <v>36526</v>
          </cell>
          <cell r="P619">
            <v>28</v>
          </cell>
          <cell r="Q619" t="str">
            <v>O</v>
          </cell>
          <cell r="R619" t="str">
            <v>N</v>
          </cell>
          <cell r="S619">
            <v>0</v>
          </cell>
          <cell r="T619" t="str">
            <v>M</v>
          </cell>
          <cell r="U619" t="str">
            <v>AZZAZI RABHA</v>
          </cell>
          <cell r="X619">
            <v>5</v>
          </cell>
          <cell r="Y619">
            <v>3</v>
          </cell>
          <cell r="AB619" t="str">
            <v>X</v>
          </cell>
          <cell r="AC619" t="str">
            <v>X</v>
          </cell>
          <cell r="AD619" t="str">
            <v>X</v>
          </cell>
          <cell r="AH619" t="str">
            <v>N</v>
          </cell>
          <cell r="AI619" t="str">
            <v>N</v>
          </cell>
          <cell r="AK619" t="str">
            <v>28 NOUVELLE EXTENSION O.C.P - KHGA</v>
          </cell>
          <cell r="AL619" t="str">
            <v>4AS</v>
          </cell>
          <cell r="AM619" t="str">
            <v>CEP.CFO</v>
          </cell>
          <cell r="AP619" t="str">
            <v>Q 41640</v>
          </cell>
          <cell r="AQ619">
            <v>0</v>
          </cell>
          <cell r="AR619" t="str">
            <v>B</v>
          </cell>
          <cell r="AS619" t="str">
            <v>BMCE - KHGA</v>
          </cell>
          <cell r="AT619" t="str">
            <v>400012000001133987</v>
          </cell>
          <cell r="AU619" t="str">
            <v>/  /</v>
          </cell>
          <cell r="AW619">
            <v>38169</v>
          </cell>
          <cell r="AY619" t="str">
            <v>XX</v>
          </cell>
          <cell r="BA619" t="str">
            <v>2</v>
          </cell>
          <cell r="BB619">
            <v>1</v>
          </cell>
          <cell r="BD619">
            <v>0</v>
          </cell>
          <cell r="BE619" t="str">
            <v>M</v>
          </cell>
          <cell r="BF619" t="str">
            <v>N</v>
          </cell>
          <cell r="BG619">
            <v>4</v>
          </cell>
          <cell r="BH619">
            <v>38169</v>
          </cell>
        </row>
        <row r="620">
          <cell r="A620">
            <v>66578</v>
          </cell>
          <cell r="B620">
            <v>428</v>
          </cell>
          <cell r="C620" t="str">
            <v>C4411</v>
          </cell>
          <cell r="D620" t="str">
            <v>LAARAJI</v>
          </cell>
          <cell r="E620" t="str">
            <v>MOHAMED</v>
          </cell>
          <cell r="F620">
            <v>19361</v>
          </cell>
          <cell r="G620" t="str">
            <v>2</v>
          </cell>
          <cell r="H620" t="str">
            <v>OUED-ZEM</v>
          </cell>
          <cell r="I620" t="str">
            <v>D</v>
          </cell>
          <cell r="J620">
            <v>27303</v>
          </cell>
          <cell r="K620">
            <v>34639</v>
          </cell>
          <cell r="L620" t="str">
            <v>22</v>
          </cell>
          <cell r="M620" t="str">
            <v>A</v>
          </cell>
          <cell r="N620">
            <v>34639</v>
          </cell>
          <cell r="O620">
            <v>0</v>
          </cell>
          <cell r="P620">
            <v>28</v>
          </cell>
          <cell r="Q620" t="str">
            <v>O</v>
          </cell>
          <cell r="R620" t="str">
            <v>N</v>
          </cell>
          <cell r="S620">
            <v>0</v>
          </cell>
          <cell r="T620" t="str">
            <v>M</v>
          </cell>
          <cell r="U620" t="str">
            <v>LAKSSIMI MESSOUDA</v>
          </cell>
          <cell r="X620">
            <v>5</v>
          </cell>
          <cell r="Y620">
            <v>5</v>
          </cell>
          <cell r="AB620" t="str">
            <v>X</v>
          </cell>
          <cell r="AC620" t="str">
            <v>X</v>
          </cell>
          <cell r="AD620" t="str">
            <v>X</v>
          </cell>
          <cell r="AH620" t="str">
            <v>N</v>
          </cell>
          <cell r="AI620" t="str">
            <v>N</v>
          </cell>
          <cell r="AK620" t="str">
            <v>223 RUE 1 HAY OUED EDDAHAB OUED ZEM</v>
          </cell>
          <cell r="AL620" t="str">
            <v>1AS</v>
          </cell>
          <cell r="AM620" t="str">
            <v>CEP.</v>
          </cell>
          <cell r="AP620" t="str">
            <v>Q 59989</v>
          </cell>
          <cell r="AQ620">
            <v>0</v>
          </cell>
          <cell r="AR620" t="str">
            <v>B</v>
          </cell>
          <cell r="AS620" t="str">
            <v>BMCI - OUED ZEM</v>
          </cell>
          <cell r="AT620" t="str">
            <v>252191367030100001</v>
          </cell>
          <cell r="AU620" t="str">
            <v>/  /</v>
          </cell>
          <cell r="AW620">
            <v>37803</v>
          </cell>
          <cell r="AY620" t="str">
            <v>O+</v>
          </cell>
          <cell r="BA620" t="str">
            <v>0</v>
          </cell>
          <cell r="BB620">
            <v>1</v>
          </cell>
          <cell r="BD620">
            <v>0</v>
          </cell>
          <cell r="BE620" t="str">
            <v>M</v>
          </cell>
          <cell r="BF620" t="str">
            <v>N</v>
          </cell>
          <cell r="BG620">
            <v>30</v>
          </cell>
          <cell r="BH620">
            <v>37803</v>
          </cell>
        </row>
        <row r="621">
          <cell r="A621">
            <v>66617</v>
          </cell>
          <cell r="B621">
            <v>461</v>
          </cell>
          <cell r="C621" t="str">
            <v>C4152</v>
          </cell>
          <cell r="D621" t="str">
            <v>ED-DOURI</v>
          </cell>
          <cell r="E621" t="str">
            <v>EL MOSTAFA</v>
          </cell>
          <cell r="F621">
            <v>19717</v>
          </cell>
          <cell r="G621" t="str">
            <v>3</v>
          </cell>
          <cell r="H621" t="str">
            <v>BOUJNIBA</v>
          </cell>
          <cell r="I621" t="str">
            <v>D</v>
          </cell>
          <cell r="J621">
            <v>27310</v>
          </cell>
          <cell r="K621">
            <v>35065</v>
          </cell>
          <cell r="L621" t="str">
            <v>22</v>
          </cell>
          <cell r="M621" t="str">
            <v>A</v>
          </cell>
          <cell r="N621">
            <v>35065</v>
          </cell>
          <cell r="P621">
            <v>28</v>
          </cell>
          <cell r="Q621" t="str">
            <v>O</v>
          </cell>
          <cell r="R621" t="str">
            <v>N</v>
          </cell>
          <cell r="S621">
            <v>0</v>
          </cell>
          <cell r="T621" t="str">
            <v>M</v>
          </cell>
          <cell r="U621" t="str">
            <v>RKIA BENT TAHER JAFIF</v>
          </cell>
          <cell r="X621">
            <v>7</v>
          </cell>
          <cell r="Y621">
            <v>2</v>
          </cell>
          <cell r="AB621" t="str">
            <v>X</v>
          </cell>
          <cell r="AC621" t="str">
            <v>X</v>
          </cell>
          <cell r="AD621" t="str">
            <v>X</v>
          </cell>
          <cell r="AH621" t="str">
            <v>N</v>
          </cell>
          <cell r="AI621" t="str">
            <v>N</v>
          </cell>
          <cell r="AK621" t="str">
            <v>301 NELLE MEDINA DE SECHAGE KHGA</v>
          </cell>
          <cell r="AL621" t="str">
            <v>CM2</v>
          </cell>
          <cell r="AP621" t="str">
            <v>Q 38187</v>
          </cell>
          <cell r="AQ621">
            <v>0</v>
          </cell>
          <cell r="AR621" t="str">
            <v>B</v>
          </cell>
          <cell r="AS621" t="str">
            <v>POPULAIRE  KHGA</v>
          </cell>
          <cell r="AT621" t="str">
            <v>2111113128860007</v>
          </cell>
          <cell r="AU621" t="str">
            <v>/  /</v>
          </cell>
          <cell r="AW621">
            <v>37987</v>
          </cell>
          <cell r="AY621" t="str">
            <v>XX</v>
          </cell>
          <cell r="BA621" t="str">
            <v>1</v>
          </cell>
          <cell r="BB621">
            <v>1</v>
          </cell>
          <cell r="BD621">
            <v>0</v>
          </cell>
          <cell r="BE621" t="str">
            <v>M</v>
          </cell>
          <cell r="BF621" t="str">
            <v>N</v>
          </cell>
          <cell r="BG621">
            <v>5</v>
          </cell>
          <cell r="BH621">
            <v>38169</v>
          </cell>
        </row>
        <row r="622">
          <cell r="A622">
            <v>66650</v>
          </cell>
          <cell r="B622">
            <v>406</v>
          </cell>
          <cell r="C622" t="str">
            <v>C7050</v>
          </cell>
          <cell r="D622" t="str">
            <v>BRIGHICH</v>
          </cell>
          <cell r="E622" t="str">
            <v>MOHAMED</v>
          </cell>
          <cell r="F622">
            <v>19175</v>
          </cell>
          <cell r="H622" t="str">
            <v>LAATAMNA - BENI MELLAL</v>
          </cell>
          <cell r="I622" t="str">
            <v>F</v>
          </cell>
          <cell r="J622">
            <v>27312</v>
          </cell>
          <cell r="K622">
            <v>36526</v>
          </cell>
          <cell r="L622" t="str">
            <v>33</v>
          </cell>
          <cell r="M622" t="str">
            <v>A</v>
          </cell>
          <cell r="N622">
            <v>36526</v>
          </cell>
          <cell r="P622">
            <v>28</v>
          </cell>
          <cell r="Q622" t="str">
            <v>O</v>
          </cell>
          <cell r="R622" t="str">
            <v>N</v>
          </cell>
          <cell r="S622">
            <v>0</v>
          </cell>
          <cell r="T622" t="str">
            <v>M</v>
          </cell>
          <cell r="U622" t="str">
            <v>ES-SAADIA BT Med EL ASLAOUI</v>
          </cell>
          <cell r="X622">
            <v>4</v>
          </cell>
          <cell r="Y622">
            <v>4</v>
          </cell>
          <cell r="AB622" t="str">
            <v>X</v>
          </cell>
          <cell r="AC622" t="str">
            <v>X</v>
          </cell>
          <cell r="AD622" t="str">
            <v>X</v>
          </cell>
          <cell r="AH622" t="str">
            <v>N</v>
          </cell>
          <cell r="AI622" t="str">
            <v>N</v>
          </cell>
          <cell r="AK622" t="str">
            <v>APPART.1 IMMEUBLE 2 RUE IMAM MALIK KHGA</v>
          </cell>
          <cell r="AL622" t="str">
            <v>3AI</v>
          </cell>
          <cell r="AM622" t="str">
            <v>CFO.</v>
          </cell>
          <cell r="AP622" t="str">
            <v>Q 4812</v>
          </cell>
          <cell r="AQ622">
            <v>0</v>
          </cell>
          <cell r="AR622" t="str">
            <v>B</v>
          </cell>
          <cell r="AS622" t="str">
            <v>BMCE.KHGA</v>
          </cell>
          <cell r="AT622" t="str">
            <v>40001200000192117</v>
          </cell>
          <cell r="AU622" t="str">
            <v>/  /</v>
          </cell>
          <cell r="AW622">
            <v>38219</v>
          </cell>
          <cell r="AX622">
            <v>38219</v>
          </cell>
          <cell r="AY622" t="str">
            <v>XX</v>
          </cell>
          <cell r="BA622" t="str">
            <v>2</v>
          </cell>
          <cell r="BB622">
            <v>1</v>
          </cell>
          <cell r="BC622" t="str">
            <v>O</v>
          </cell>
          <cell r="BD622">
            <v>4</v>
          </cell>
          <cell r="BE622" t="str">
            <v>M</v>
          </cell>
          <cell r="BF622" t="str">
            <v>N</v>
          </cell>
          <cell r="BG622">
            <v>5</v>
          </cell>
          <cell r="BH622">
            <v>37438</v>
          </cell>
        </row>
        <row r="623">
          <cell r="A623">
            <v>66655</v>
          </cell>
          <cell r="B623">
            <v>409</v>
          </cell>
          <cell r="C623" t="str">
            <v>C4152</v>
          </cell>
          <cell r="D623" t="str">
            <v>EL GAROUAZ</v>
          </cell>
          <cell r="E623" t="str">
            <v>HMIMSA</v>
          </cell>
          <cell r="F623">
            <v>19175</v>
          </cell>
          <cell r="G623" t="str">
            <v>1</v>
          </cell>
          <cell r="H623" t="str">
            <v>KHOURIBGA</v>
          </cell>
          <cell r="I623" t="str">
            <v>D</v>
          </cell>
          <cell r="J623">
            <v>27311</v>
          </cell>
          <cell r="K623">
            <v>35065</v>
          </cell>
          <cell r="L623" t="str">
            <v>22</v>
          </cell>
          <cell r="M623" t="str">
            <v>A</v>
          </cell>
          <cell r="N623">
            <v>35065</v>
          </cell>
          <cell r="P623">
            <v>28</v>
          </cell>
          <cell r="Q623" t="str">
            <v>O</v>
          </cell>
          <cell r="R623" t="str">
            <v>N</v>
          </cell>
          <cell r="S623">
            <v>0</v>
          </cell>
          <cell r="T623" t="str">
            <v>M</v>
          </cell>
          <cell r="U623" t="str">
            <v>AMARSIL MALIKA BENT EL HADJ</v>
          </cell>
          <cell r="X623">
            <v>5</v>
          </cell>
          <cell r="Y623">
            <v>3</v>
          </cell>
          <cell r="AB623" t="str">
            <v>X</v>
          </cell>
          <cell r="AC623" t="str">
            <v>X</v>
          </cell>
          <cell r="AD623" t="str">
            <v>X</v>
          </cell>
          <cell r="AH623" t="str">
            <v>N</v>
          </cell>
          <cell r="AI623" t="str">
            <v>N</v>
          </cell>
          <cell r="AK623" t="str">
            <v>67 FERME OCP - KHGA</v>
          </cell>
          <cell r="AL623" t="str">
            <v>2AS</v>
          </cell>
          <cell r="AP623" t="str">
            <v>Q 90683</v>
          </cell>
          <cell r="AQ623">
            <v>0</v>
          </cell>
          <cell r="AR623" t="str">
            <v>B</v>
          </cell>
          <cell r="AS623" t="str">
            <v>BMCE - KHGA</v>
          </cell>
          <cell r="AT623" t="str">
            <v>282117797330100001</v>
          </cell>
          <cell r="AU623" t="str">
            <v>/  /</v>
          </cell>
          <cell r="AW623">
            <v>37438</v>
          </cell>
          <cell r="AY623" t="str">
            <v>XX</v>
          </cell>
          <cell r="BA623" t="str">
            <v>1</v>
          </cell>
          <cell r="BB623">
            <v>1</v>
          </cell>
          <cell r="BD623">
            <v>0</v>
          </cell>
          <cell r="BE623" t="str">
            <v>M</v>
          </cell>
          <cell r="BF623" t="str">
            <v>N</v>
          </cell>
          <cell r="BG623">
            <v>50</v>
          </cell>
          <cell r="BH623">
            <v>37438</v>
          </cell>
        </row>
        <row r="624">
          <cell r="A624">
            <v>66669</v>
          </cell>
          <cell r="B624">
            <v>446</v>
          </cell>
          <cell r="C624" t="str">
            <v>C3050</v>
          </cell>
          <cell r="D624" t="str">
            <v>MOUAOUIA</v>
          </cell>
          <cell r="E624" t="str">
            <v>MOKHTAR</v>
          </cell>
          <cell r="F624">
            <v>19540</v>
          </cell>
          <cell r="H624" t="str">
            <v>OULED LALLA MIRA - SETTAT</v>
          </cell>
          <cell r="I624" t="str">
            <v>D</v>
          </cell>
          <cell r="J624">
            <v>27313</v>
          </cell>
          <cell r="K624">
            <v>32325</v>
          </cell>
          <cell r="L624" t="str">
            <v>21</v>
          </cell>
          <cell r="M624" t="str">
            <v>A</v>
          </cell>
          <cell r="N624">
            <v>32325</v>
          </cell>
          <cell r="P624">
            <v>28</v>
          </cell>
          <cell r="Q624" t="str">
            <v>N</v>
          </cell>
          <cell r="R624" t="str">
            <v>N</v>
          </cell>
          <cell r="S624">
            <v>0</v>
          </cell>
          <cell r="T624" t="str">
            <v>M</v>
          </cell>
          <cell r="U624" t="str">
            <v>BICHRI MAHJOUBA</v>
          </cell>
          <cell r="X624">
            <v>6</v>
          </cell>
          <cell r="Y624">
            <v>2</v>
          </cell>
          <cell r="AB624" t="str">
            <v>X</v>
          </cell>
          <cell r="AC624" t="str">
            <v>X</v>
          </cell>
          <cell r="AD624" t="str">
            <v>X</v>
          </cell>
          <cell r="AH624" t="str">
            <v>N</v>
          </cell>
          <cell r="AI624" t="str">
            <v>N</v>
          </cell>
          <cell r="AK624" t="str">
            <v>199 NOUVEAUX LOGEMENTS SECHAGE OCP KHGA</v>
          </cell>
          <cell r="AL624" t="str">
            <v>2AS</v>
          </cell>
          <cell r="AP624" t="str">
            <v>Q 44344</v>
          </cell>
          <cell r="AQ624">
            <v>0</v>
          </cell>
          <cell r="AR624" t="str">
            <v>B</v>
          </cell>
          <cell r="AS624" t="str">
            <v>C.I.H - KHGA</v>
          </cell>
          <cell r="AT624" t="str">
            <v>98330373211004700</v>
          </cell>
          <cell r="AU624" t="str">
            <v>/  /</v>
          </cell>
          <cell r="AW624">
            <v>37803</v>
          </cell>
          <cell r="AY624" t="str">
            <v>XX</v>
          </cell>
          <cell r="AZ624" t="str">
            <v>R</v>
          </cell>
          <cell r="BA624" t="str">
            <v>2</v>
          </cell>
          <cell r="BB624">
            <v>1</v>
          </cell>
          <cell r="BD624">
            <v>0</v>
          </cell>
          <cell r="BE624" t="str">
            <v>M</v>
          </cell>
          <cell r="BF624" t="str">
            <v>N</v>
          </cell>
          <cell r="BG624">
            <v>0</v>
          </cell>
          <cell r="BH624">
            <v>37803</v>
          </cell>
        </row>
        <row r="625">
          <cell r="A625">
            <v>66674</v>
          </cell>
          <cell r="B625">
            <v>409</v>
          </cell>
          <cell r="C625" t="str">
            <v>C3152</v>
          </cell>
          <cell r="D625" t="str">
            <v>EL OIRZADI</v>
          </cell>
          <cell r="E625" t="str">
            <v>MOHAMMED</v>
          </cell>
          <cell r="F625">
            <v>19540</v>
          </cell>
          <cell r="G625" t="str">
            <v>5</v>
          </cell>
          <cell r="H625" t="str">
            <v>OULED YOUSSEF RHARBIYINE</v>
          </cell>
          <cell r="I625" t="str">
            <v>D</v>
          </cell>
          <cell r="J625">
            <v>27313</v>
          </cell>
          <cell r="K625">
            <v>35096</v>
          </cell>
          <cell r="L625" t="str">
            <v>21</v>
          </cell>
          <cell r="M625" t="str">
            <v>B</v>
          </cell>
          <cell r="N625">
            <v>35096</v>
          </cell>
          <cell r="P625">
            <v>28</v>
          </cell>
          <cell r="Q625" t="str">
            <v>O</v>
          </cell>
          <cell r="R625" t="str">
            <v>N</v>
          </cell>
          <cell r="S625">
            <v>0</v>
          </cell>
          <cell r="T625" t="str">
            <v>M</v>
          </cell>
          <cell r="U625" t="str">
            <v>EL OIRZADI SALHA BT MOHAMMED</v>
          </cell>
          <cell r="X625">
            <v>6</v>
          </cell>
          <cell r="Y625">
            <v>4</v>
          </cell>
          <cell r="Z625" t="str">
            <v>N</v>
          </cell>
          <cell r="AB625" t="str">
            <v>X</v>
          </cell>
          <cell r="AC625" t="str">
            <v>X</v>
          </cell>
          <cell r="AD625" t="str">
            <v>X</v>
          </cell>
          <cell r="AH625" t="str">
            <v>N</v>
          </cell>
          <cell r="AI625" t="str">
            <v>N</v>
          </cell>
          <cell r="AK625" t="str">
            <v>688 VILLAGE OCP BOUJNIBA</v>
          </cell>
          <cell r="AL625" t="str">
            <v>2AS</v>
          </cell>
          <cell r="AN625" t="str">
            <v>57═05═64</v>
          </cell>
          <cell r="AP625" t="str">
            <v>Q 53908</v>
          </cell>
          <cell r="AQ625">
            <v>0</v>
          </cell>
          <cell r="AR625" t="str">
            <v>B</v>
          </cell>
          <cell r="AS625" t="str">
            <v>POPULAIRE.KHGA</v>
          </cell>
          <cell r="AT625" t="str">
            <v>2111136317320000448</v>
          </cell>
          <cell r="AU625" t="str">
            <v>/  /</v>
          </cell>
          <cell r="AW625">
            <v>37803</v>
          </cell>
          <cell r="AY625" t="str">
            <v>XX</v>
          </cell>
          <cell r="BA625" t="str">
            <v>1</v>
          </cell>
          <cell r="BB625">
            <v>1</v>
          </cell>
          <cell r="BD625">
            <v>0</v>
          </cell>
          <cell r="BE625" t="str">
            <v>M</v>
          </cell>
          <cell r="BF625" t="str">
            <v>N</v>
          </cell>
          <cell r="BG625">
            <v>50</v>
          </cell>
          <cell r="BH625">
            <v>37803</v>
          </cell>
        </row>
        <row r="626">
          <cell r="A626">
            <v>66800</v>
          </cell>
          <cell r="B626">
            <v>466</v>
          </cell>
          <cell r="C626" t="str">
            <v>C6050</v>
          </cell>
          <cell r="D626" t="str">
            <v>EL BOTMI</v>
          </cell>
          <cell r="E626" t="str">
            <v>MOHAMMED</v>
          </cell>
          <cell r="F626">
            <v>20270</v>
          </cell>
          <cell r="G626" t="str">
            <v>1</v>
          </cell>
          <cell r="H626" t="str">
            <v>KHOURIBGA</v>
          </cell>
          <cell r="I626" t="str">
            <v>D</v>
          </cell>
          <cell r="J626">
            <v>27335</v>
          </cell>
          <cell r="K626">
            <v>36526</v>
          </cell>
          <cell r="L626" t="str">
            <v>32</v>
          </cell>
          <cell r="M626" t="str">
            <v>A</v>
          </cell>
          <cell r="N626">
            <v>36526</v>
          </cell>
          <cell r="P626">
            <v>28</v>
          </cell>
          <cell r="Q626" t="str">
            <v>O</v>
          </cell>
          <cell r="R626" t="str">
            <v>N</v>
          </cell>
          <cell r="S626">
            <v>0</v>
          </cell>
          <cell r="T626" t="str">
            <v>M</v>
          </cell>
          <cell r="U626" t="str">
            <v>BOUJBIRI MALIKA</v>
          </cell>
          <cell r="X626">
            <v>4</v>
          </cell>
          <cell r="Y626">
            <v>4</v>
          </cell>
          <cell r="AB626" t="str">
            <v>X</v>
          </cell>
          <cell r="AC626" t="str">
            <v>X</v>
          </cell>
          <cell r="AD626" t="str">
            <v>X</v>
          </cell>
          <cell r="AH626" t="str">
            <v>N</v>
          </cell>
          <cell r="AI626" t="str">
            <v>N</v>
          </cell>
          <cell r="AK626" t="str">
            <v>192 NELLE CONSTRUCTION DE SECHAGE KHGA</v>
          </cell>
          <cell r="AL626" t="str">
            <v>4AS</v>
          </cell>
          <cell r="AM626" t="str">
            <v>CEP.CFO</v>
          </cell>
          <cell r="AP626" t="str">
            <v>Q 10713</v>
          </cell>
          <cell r="AQ626">
            <v>0</v>
          </cell>
          <cell r="AR626" t="str">
            <v>B</v>
          </cell>
          <cell r="AS626" t="str">
            <v>POPULAIRE.KHGA</v>
          </cell>
          <cell r="AT626" t="str">
            <v>2111112846250004</v>
          </cell>
          <cell r="AU626" t="str">
            <v>/  /</v>
          </cell>
          <cell r="AW626">
            <v>38534</v>
          </cell>
          <cell r="AY626" t="str">
            <v>XX</v>
          </cell>
          <cell r="BA626" t="str">
            <v>2</v>
          </cell>
          <cell r="BB626">
            <v>1</v>
          </cell>
          <cell r="BC626" t="str">
            <v>O</v>
          </cell>
          <cell r="BD626">
            <v>4</v>
          </cell>
          <cell r="BE626" t="str">
            <v>M</v>
          </cell>
          <cell r="BF626" t="str">
            <v>N</v>
          </cell>
          <cell r="BG626">
            <v>5</v>
          </cell>
          <cell r="BH626">
            <v>38534</v>
          </cell>
        </row>
        <row r="627">
          <cell r="A627">
            <v>66803</v>
          </cell>
          <cell r="B627">
            <v>438</v>
          </cell>
          <cell r="C627" t="str">
            <v>C3152</v>
          </cell>
          <cell r="D627" t="str">
            <v>ATFI</v>
          </cell>
          <cell r="E627" t="str">
            <v>MOHAMMED</v>
          </cell>
          <cell r="F627">
            <v>19540</v>
          </cell>
          <cell r="G627" t="str">
            <v>1</v>
          </cell>
          <cell r="H627" t="str">
            <v>KHOURIBGA</v>
          </cell>
          <cell r="I627" t="str">
            <v>D</v>
          </cell>
          <cell r="J627">
            <v>27335</v>
          </cell>
          <cell r="K627">
            <v>33420</v>
          </cell>
          <cell r="L627" t="str">
            <v>21</v>
          </cell>
          <cell r="M627" t="str">
            <v>A</v>
          </cell>
          <cell r="N627">
            <v>33420</v>
          </cell>
          <cell r="P627">
            <v>28</v>
          </cell>
          <cell r="Q627" t="str">
            <v>N</v>
          </cell>
          <cell r="R627" t="str">
            <v>N</v>
          </cell>
          <cell r="S627">
            <v>0</v>
          </cell>
          <cell r="T627" t="str">
            <v>M</v>
          </cell>
          <cell r="U627" t="str">
            <v>SALKA AZIZA BENT MOHAMED</v>
          </cell>
          <cell r="X627">
            <v>4</v>
          </cell>
          <cell r="Y627">
            <v>1</v>
          </cell>
          <cell r="AB627" t="str">
            <v>X</v>
          </cell>
          <cell r="AC627" t="str">
            <v>X</v>
          </cell>
          <cell r="AD627" t="str">
            <v>X</v>
          </cell>
          <cell r="AH627" t="str">
            <v>N</v>
          </cell>
          <cell r="AI627" t="str">
            <v>N</v>
          </cell>
          <cell r="AK627" t="str">
            <v>28 RUE 20 BRIQUE KHOURIBGA</v>
          </cell>
          <cell r="AL627" t="str">
            <v>CM2</v>
          </cell>
          <cell r="AP627" t="str">
            <v>Q 28980</v>
          </cell>
          <cell r="AQ627">
            <v>0</v>
          </cell>
          <cell r="AR627" t="str">
            <v>B</v>
          </cell>
          <cell r="AS627" t="str">
            <v>C.I.H  KHGA</v>
          </cell>
          <cell r="AT627" t="str">
            <v>7941859</v>
          </cell>
          <cell r="AU627" t="str">
            <v>/  /</v>
          </cell>
          <cell r="AW627">
            <v>37803</v>
          </cell>
          <cell r="AY627" t="str">
            <v>XX</v>
          </cell>
          <cell r="AZ627" t="str">
            <v>R</v>
          </cell>
          <cell r="BA627" t="str">
            <v>2IDTD</v>
          </cell>
          <cell r="BB627">
            <v>1</v>
          </cell>
          <cell r="BD627">
            <v>0</v>
          </cell>
          <cell r="BE627" t="str">
            <v>M</v>
          </cell>
          <cell r="BF627" t="str">
            <v>N</v>
          </cell>
          <cell r="BG627">
            <v>0</v>
          </cell>
          <cell r="BH627">
            <v>37803</v>
          </cell>
        </row>
        <row r="628">
          <cell r="A628">
            <v>66804</v>
          </cell>
          <cell r="B628">
            <v>421</v>
          </cell>
          <cell r="C628" t="str">
            <v>C4152</v>
          </cell>
          <cell r="D628" t="str">
            <v>MANSAR</v>
          </cell>
          <cell r="E628" t="str">
            <v>ABDERRAHMANE</v>
          </cell>
          <cell r="F628">
            <v>19175</v>
          </cell>
          <cell r="G628" t="str">
            <v>2</v>
          </cell>
          <cell r="H628" t="str">
            <v>BENI SMIR OUED-ZEM</v>
          </cell>
          <cell r="I628" t="str">
            <v>D</v>
          </cell>
          <cell r="J628">
            <v>27335</v>
          </cell>
          <cell r="K628">
            <v>32843</v>
          </cell>
          <cell r="L628" t="str">
            <v>22</v>
          </cell>
          <cell r="M628" t="str">
            <v>B</v>
          </cell>
          <cell r="N628">
            <v>35612</v>
          </cell>
          <cell r="P628">
            <v>28</v>
          </cell>
          <cell r="Q628" t="str">
            <v>O</v>
          </cell>
          <cell r="R628" t="str">
            <v>N</v>
          </cell>
          <cell r="S628">
            <v>0</v>
          </cell>
          <cell r="T628" t="str">
            <v>M</v>
          </cell>
          <cell r="U628" t="str">
            <v>BOULARESSE TOURIA BT MOHAMED</v>
          </cell>
          <cell r="X628">
            <v>5</v>
          </cell>
          <cell r="Y628">
            <v>3</v>
          </cell>
          <cell r="AB628" t="str">
            <v>X</v>
          </cell>
          <cell r="AC628" t="str">
            <v>X</v>
          </cell>
          <cell r="AD628" t="str">
            <v>X</v>
          </cell>
          <cell r="AH628" t="str">
            <v>O</v>
          </cell>
          <cell r="AI628" t="str">
            <v>N</v>
          </cell>
          <cell r="AK628" t="str">
            <v>52 VILLAGE OCP OUED ZEM</v>
          </cell>
          <cell r="AL628" t="str">
            <v>3AS</v>
          </cell>
          <cell r="AP628" t="str">
            <v>Q 7719</v>
          </cell>
          <cell r="AQ628">
            <v>0</v>
          </cell>
          <cell r="AR628" t="str">
            <v>B</v>
          </cell>
          <cell r="AS628" t="str">
            <v>POPULAIRE.O.ZEM</v>
          </cell>
          <cell r="AT628" t="str">
            <v>2111113032060009</v>
          </cell>
          <cell r="AU628" t="str">
            <v>/  /</v>
          </cell>
          <cell r="AW628">
            <v>37438</v>
          </cell>
          <cell r="AY628" t="str">
            <v>XX</v>
          </cell>
          <cell r="BA628" t="str">
            <v>6</v>
          </cell>
          <cell r="BB628">
            <v>1</v>
          </cell>
          <cell r="BD628">
            <v>0</v>
          </cell>
          <cell r="BE628" t="str">
            <v>M</v>
          </cell>
          <cell r="BF628" t="str">
            <v>N</v>
          </cell>
          <cell r="BG628">
            <v>31</v>
          </cell>
          <cell r="BH628">
            <v>37438</v>
          </cell>
        </row>
        <row r="629">
          <cell r="A629">
            <v>66808</v>
          </cell>
          <cell r="B629">
            <v>457</v>
          </cell>
          <cell r="C629" t="str">
            <v>C3450</v>
          </cell>
          <cell r="D629" t="str">
            <v>EL BACHRI</v>
          </cell>
          <cell r="E629" t="str">
            <v>EL ARBI</v>
          </cell>
          <cell r="F629">
            <v>19905</v>
          </cell>
          <cell r="G629" t="str">
            <v>1</v>
          </cell>
          <cell r="H629" t="str">
            <v>OULED BHAR KBAR KHOURIBGA</v>
          </cell>
          <cell r="I629" t="str">
            <v>D</v>
          </cell>
          <cell r="J629">
            <v>27337</v>
          </cell>
          <cell r="K629">
            <v>36130</v>
          </cell>
          <cell r="L629" t="str">
            <v>21</v>
          </cell>
          <cell r="M629" t="str">
            <v>D</v>
          </cell>
          <cell r="N629">
            <v>36130</v>
          </cell>
          <cell r="P629">
            <v>28</v>
          </cell>
          <cell r="Q629" t="str">
            <v>O</v>
          </cell>
          <cell r="R629" t="str">
            <v>N</v>
          </cell>
          <cell r="S629">
            <v>0</v>
          </cell>
          <cell r="T629" t="str">
            <v>M</v>
          </cell>
          <cell r="U629" t="str">
            <v>OUDADESS AICHA</v>
          </cell>
          <cell r="X629">
            <v>4</v>
          </cell>
          <cell r="Y629">
            <v>4</v>
          </cell>
          <cell r="AB629" t="str">
            <v>X</v>
          </cell>
          <cell r="AC629" t="str">
            <v>X</v>
          </cell>
          <cell r="AD629" t="str">
            <v>X</v>
          </cell>
          <cell r="AH629" t="str">
            <v>N</v>
          </cell>
          <cell r="AI629" t="str">
            <v>N</v>
          </cell>
          <cell r="AK629" t="str">
            <v>424 NOVEAU TACHERON BOUJNIBA</v>
          </cell>
          <cell r="AL629" t="str">
            <v>3AS</v>
          </cell>
          <cell r="AP629" t="str">
            <v>B 742248</v>
          </cell>
          <cell r="AQ629">
            <v>0</v>
          </cell>
          <cell r="AR629" t="str">
            <v>C</v>
          </cell>
          <cell r="AU629" t="str">
            <v>/  /</v>
          </cell>
          <cell r="AW629">
            <v>38169</v>
          </cell>
          <cell r="AY629" t="str">
            <v>XX</v>
          </cell>
          <cell r="BA629" t="str">
            <v>2</v>
          </cell>
          <cell r="BB629">
            <v>1</v>
          </cell>
          <cell r="BD629">
            <v>0</v>
          </cell>
          <cell r="BE629" t="str">
            <v>M</v>
          </cell>
          <cell r="BF629" t="str">
            <v>N</v>
          </cell>
          <cell r="BG629">
            <v>51</v>
          </cell>
          <cell r="BH629">
            <v>38169</v>
          </cell>
        </row>
        <row r="630">
          <cell r="A630">
            <v>66811</v>
          </cell>
          <cell r="B630">
            <v>437</v>
          </cell>
          <cell r="C630" t="str">
            <v>C4152</v>
          </cell>
          <cell r="D630" t="str">
            <v>RAHIMI</v>
          </cell>
          <cell r="E630" t="str">
            <v>EL RHEZOUANI</v>
          </cell>
          <cell r="F630">
            <v>19175</v>
          </cell>
          <cell r="G630" t="str">
            <v>1</v>
          </cell>
          <cell r="H630" t="str">
            <v>KHOURIBGA</v>
          </cell>
          <cell r="I630" t="str">
            <v>D</v>
          </cell>
          <cell r="J630">
            <v>27338</v>
          </cell>
          <cell r="K630">
            <v>36526</v>
          </cell>
          <cell r="L630" t="str">
            <v>22</v>
          </cell>
          <cell r="M630" t="str">
            <v>A</v>
          </cell>
          <cell r="N630">
            <v>36526</v>
          </cell>
          <cell r="P630">
            <v>28</v>
          </cell>
          <cell r="Q630" t="str">
            <v>N</v>
          </cell>
          <cell r="R630" t="str">
            <v>N</v>
          </cell>
          <cell r="S630">
            <v>0</v>
          </cell>
          <cell r="T630" t="str">
            <v>M</v>
          </cell>
          <cell r="U630" t="str">
            <v>KARAM ZAHRA BENT ABDENBI</v>
          </cell>
          <cell r="X630">
            <v>6</v>
          </cell>
          <cell r="Y630">
            <v>6</v>
          </cell>
          <cell r="AB630" t="str">
            <v>X</v>
          </cell>
          <cell r="AC630" t="str">
            <v>X</v>
          </cell>
          <cell r="AD630" t="str">
            <v>X</v>
          </cell>
          <cell r="AH630" t="str">
            <v>N</v>
          </cell>
          <cell r="AI630" t="str">
            <v>N</v>
          </cell>
          <cell r="AK630" t="str">
            <v>96 ANCIENNE MEDINA DE SECHAGE - KHGA</v>
          </cell>
          <cell r="AL630" t="str">
            <v>1 AS</v>
          </cell>
          <cell r="AN630" t="str">
            <v>49═43═63</v>
          </cell>
          <cell r="AP630" t="str">
            <v>Q 16798</v>
          </cell>
          <cell r="AQ630">
            <v>0</v>
          </cell>
          <cell r="AR630" t="str">
            <v>B</v>
          </cell>
          <cell r="AS630" t="str">
            <v>WAFABANK - KHGA</v>
          </cell>
          <cell r="AT630" t="str">
            <v>1220301252278</v>
          </cell>
          <cell r="AU630" t="str">
            <v>/  /</v>
          </cell>
          <cell r="AW630">
            <v>38219</v>
          </cell>
          <cell r="AX630">
            <v>38219</v>
          </cell>
          <cell r="AY630" t="str">
            <v>XX</v>
          </cell>
          <cell r="BA630" t="str">
            <v>1</v>
          </cell>
          <cell r="BB630">
            <v>1</v>
          </cell>
          <cell r="BC630" t="str">
            <v>N</v>
          </cell>
          <cell r="BD630">
            <v>0</v>
          </cell>
          <cell r="BE630" t="str">
            <v>M</v>
          </cell>
          <cell r="BF630" t="str">
            <v>N</v>
          </cell>
          <cell r="BG630">
            <v>0</v>
          </cell>
          <cell r="BH630">
            <v>37438</v>
          </cell>
        </row>
        <row r="631">
          <cell r="A631">
            <v>66815</v>
          </cell>
          <cell r="B631">
            <v>412</v>
          </cell>
          <cell r="C631" t="str">
            <v>C7002</v>
          </cell>
          <cell r="D631" t="str">
            <v>SOULTANI</v>
          </cell>
          <cell r="E631" t="str">
            <v>M'BAREK</v>
          </cell>
          <cell r="F631">
            <v>19905</v>
          </cell>
          <cell r="H631" t="str">
            <v>OULED FRAJ - EL JADIDA</v>
          </cell>
          <cell r="I631" t="str">
            <v>D</v>
          </cell>
          <cell r="J631">
            <v>27337</v>
          </cell>
          <cell r="K631">
            <v>33573</v>
          </cell>
          <cell r="L631" t="str">
            <v>33</v>
          </cell>
          <cell r="M631" t="str">
            <v>C</v>
          </cell>
          <cell r="N631">
            <v>35612</v>
          </cell>
          <cell r="P631">
            <v>28</v>
          </cell>
          <cell r="Q631" t="str">
            <v>O</v>
          </cell>
          <cell r="R631" t="str">
            <v>N</v>
          </cell>
          <cell r="S631">
            <v>0</v>
          </cell>
          <cell r="T631" t="str">
            <v>M</v>
          </cell>
          <cell r="U631" t="str">
            <v>MOUSSAFIR MALIKA</v>
          </cell>
          <cell r="X631">
            <v>4</v>
          </cell>
          <cell r="Y631">
            <v>2</v>
          </cell>
          <cell r="AB631" t="str">
            <v>X</v>
          </cell>
          <cell r="AC631" t="str">
            <v>X</v>
          </cell>
          <cell r="AD631" t="str">
            <v>X</v>
          </cell>
          <cell r="AH631" t="str">
            <v>N</v>
          </cell>
          <cell r="AI631" t="str">
            <v>N</v>
          </cell>
          <cell r="AK631" t="str">
            <v>30 COOPERATIVE ESSALAM HAY AMAL - KHGA</v>
          </cell>
          <cell r="AL631" t="str">
            <v>3AS</v>
          </cell>
          <cell r="AM631" t="str">
            <v>CFO</v>
          </cell>
          <cell r="AP631" t="str">
            <v>Q 33417</v>
          </cell>
          <cell r="AQ631">
            <v>0</v>
          </cell>
          <cell r="AR631" t="str">
            <v>B</v>
          </cell>
          <cell r="AS631" t="str">
            <v>CRED.MAROC KHGA</v>
          </cell>
          <cell r="AT631" t="str">
            <v>082001032079</v>
          </cell>
          <cell r="AU631" t="str">
            <v>/  /</v>
          </cell>
          <cell r="AW631">
            <v>38169</v>
          </cell>
          <cell r="AY631" t="str">
            <v>XX</v>
          </cell>
          <cell r="AZ631" t="str">
            <v>M</v>
          </cell>
          <cell r="BA631" t="str">
            <v>2</v>
          </cell>
          <cell r="BB631">
            <v>1</v>
          </cell>
          <cell r="BC631" t="str">
            <v>O</v>
          </cell>
          <cell r="BD631">
            <v>4</v>
          </cell>
          <cell r="BE631" t="str">
            <v>M</v>
          </cell>
          <cell r="BF631" t="str">
            <v>N</v>
          </cell>
          <cell r="BG631">
            <v>5</v>
          </cell>
          <cell r="BH631">
            <v>38169</v>
          </cell>
        </row>
        <row r="632">
          <cell r="A632">
            <v>66860</v>
          </cell>
          <cell r="B632">
            <v>428</v>
          </cell>
          <cell r="C632" t="str">
            <v>C4405</v>
          </cell>
          <cell r="D632" t="str">
            <v>FENTANE</v>
          </cell>
          <cell r="E632" t="str">
            <v>M'HAMED</v>
          </cell>
          <cell r="F632">
            <v>20270</v>
          </cell>
          <cell r="G632" t="str">
            <v>1</v>
          </cell>
          <cell r="H632" t="str">
            <v>OULED BHAR KBAR KHOURIBGA</v>
          </cell>
          <cell r="I632" t="str">
            <v>D</v>
          </cell>
          <cell r="J632">
            <v>27341</v>
          </cell>
          <cell r="K632">
            <v>32478</v>
          </cell>
          <cell r="L632" t="str">
            <v>22</v>
          </cell>
          <cell r="M632" t="str">
            <v>D</v>
          </cell>
          <cell r="N632">
            <v>35612</v>
          </cell>
          <cell r="P632">
            <v>28</v>
          </cell>
          <cell r="Q632" t="str">
            <v>O</v>
          </cell>
          <cell r="R632" t="str">
            <v>N</v>
          </cell>
          <cell r="S632">
            <v>0</v>
          </cell>
          <cell r="T632" t="str">
            <v>M</v>
          </cell>
          <cell r="U632" t="str">
            <v>LAKBACH FATIMA BENT MOHAMED</v>
          </cell>
          <cell r="X632">
            <v>2</v>
          </cell>
          <cell r="Y632">
            <v>0</v>
          </cell>
          <cell r="AB632" t="str">
            <v>X</v>
          </cell>
          <cell r="AC632" t="str">
            <v>X</v>
          </cell>
          <cell r="AD632" t="str">
            <v>X</v>
          </cell>
          <cell r="AH632" t="str">
            <v>N</v>
          </cell>
          <cell r="AI632" t="str">
            <v>N</v>
          </cell>
          <cell r="AK632" t="str">
            <v>DOUAR OULED HADDAD BENI SMIR OUED ZEM</v>
          </cell>
          <cell r="AL632" t="str">
            <v>CM2</v>
          </cell>
          <cell r="AP632" t="str">
            <v>Q 17350</v>
          </cell>
          <cell r="AQ632">
            <v>0</v>
          </cell>
          <cell r="AR632" t="str">
            <v>C</v>
          </cell>
          <cell r="AS632" t="str">
            <v>POPULAIRE-OUED-ZEM</v>
          </cell>
          <cell r="AT632" t="str">
            <v>2111136298320007</v>
          </cell>
          <cell r="AU632" t="str">
            <v>/  /</v>
          </cell>
          <cell r="AW632">
            <v>38534</v>
          </cell>
          <cell r="AY632" t="str">
            <v>XX</v>
          </cell>
          <cell r="BA632" t="str">
            <v>2</v>
          </cell>
          <cell r="BB632">
            <v>1</v>
          </cell>
          <cell r="BD632">
            <v>0</v>
          </cell>
          <cell r="BE632" t="str">
            <v>M</v>
          </cell>
          <cell r="BF632" t="str">
            <v>N</v>
          </cell>
          <cell r="BG632">
            <v>30</v>
          </cell>
          <cell r="BH632">
            <v>38534</v>
          </cell>
          <cell r="BI632" t="str">
            <v>O</v>
          </cell>
        </row>
        <row r="633">
          <cell r="A633">
            <v>66861</v>
          </cell>
          <cell r="B633">
            <v>437</v>
          </cell>
          <cell r="C633" t="str">
            <v>C4450</v>
          </cell>
          <cell r="D633" t="str">
            <v>DIRAA</v>
          </cell>
          <cell r="E633" t="str">
            <v>SALAH</v>
          </cell>
          <cell r="F633">
            <v>19601</v>
          </cell>
          <cell r="G633" t="str">
            <v>6</v>
          </cell>
          <cell r="H633" t="str">
            <v>OULED AZZOUZ</v>
          </cell>
          <cell r="I633" t="str">
            <v>D</v>
          </cell>
          <cell r="J633">
            <v>27353</v>
          </cell>
          <cell r="K633">
            <v>36526</v>
          </cell>
          <cell r="L633" t="str">
            <v>22</v>
          </cell>
          <cell r="M633" t="str">
            <v>B</v>
          </cell>
          <cell r="N633">
            <v>36526</v>
          </cell>
          <cell r="P633">
            <v>28</v>
          </cell>
          <cell r="Q633" t="str">
            <v>N</v>
          </cell>
          <cell r="R633" t="str">
            <v>N</v>
          </cell>
          <cell r="S633">
            <v>0</v>
          </cell>
          <cell r="T633" t="str">
            <v>M</v>
          </cell>
          <cell r="U633" t="str">
            <v>BIQARY HALIMA</v>
          </cell>
          <cell r="X633">
            <v>7</v>
          </cell>
          <cell r="Y633">
            <v>5</v>
          </cell>
          <cell r="AB633" t="str">
            <v>X</v>
          </cell>
          <cell r="AC633" t="str">
            <v>X</v>
          </cell>
          <cell r="AD633" t="str">
            <v>X</v>
          </cell>
          <cell r="AH633" t="str">
            <v>N</v>
          </cell>
          <cell r="AI633" t="str">
            <v>N</v>
          </cell>
          <cell r="AK633" t="str">
            <v>67 HAY  AL AMAL   - KHGA</v>
          </cell>
          <cell r="AL633" t="str">
            <v>CM2</v>
          </cell>
          <cell r="AP633" t="str">
            <v>Q 78737</v>
          </cell>
          <cell r="AQ633">
            <v>0</v>
          </cell>
          <cell r="AR633" t="str">
            <v>B</v>
          </cell>
          <cell r="AS633" t="str">
            <v>B.M.C.I - KHGA</v>
          </cell>
          <cell r="AT633" t="str">
            <v>2821015304301</v>
          </cell>
          <cell r="AU633" t="str">
            <v>/  /</v>
          </cell>
          <cell r="AW633">
            <v>37803</v>
          </cell>
          <cell r="AY633" t="str">
            <v>XX</v>
          </cell>
          <cell r="BA633" t="str">
            <v>2</v>
          </cell>
          <cell r="BB633">
            <v>1</v>
          </cell>
          <cell r="BD633">
            <v>0</v>
          </cell>
          <cell r="BE633" t="str">
            <v>M</v>
          </cell>
          <cell r="BF633" t="str">
            <v>N</v>
          </cell>
          <cell r="BG633">
            <v>0</v>
          </cell>
          <cell r="BH633">
            <v>37987</v>
          </cell>
          <cell r="BI633" t="str">
            <v>O</v>
          </cell>
        </row>
        <row r="634">
          <cell r="A634">
            <v>66869</v>
          </cell>
          <cell r="B634">
            <v>461</v>
          </cell>
          <cell r="C634" t="str">
            <v>C5152</v>
          </cell>
          <cell r="D634" t="str">
            <v>EL KAROUANI</v>
          </cell>
          <cell r="E634" t="str">
            <v>EL HOUSSINE</v>
          </cell>
          <cell r="F634">
            <v>20270</v>
          </cell>
          <cell r="G634" t="str">
            <v>1</v>
          </cell>
          <cell r="H634" t="str">
            <v>OULED BHAR KBAR KHOURIBGA</v>
          </cell>
          <cell r="I634" t="str">
            <v>D</v>
          </cell>
          <cell r="J634">
            <v>27344</v>
          </cell>
          <cell r="K634">
            <v>35431</v>
          </cell>
          <cell r="L634" t="str">
            <v>31</v>
          </cell>
          <cell r="M634" t="str">
            <v>A</v>
          </cell>
          <cell r="N634">
            <v>35431</v>
          </cell>
          <cell r="P634">
            <v>28</v>
          </cell>
          <cell r="Q634" t="str">
            <v>O</v>
          </cell>
          <cell r="R634" t="str">
            <v>N</v>
          </cell>
          <cell r="S634">
            <v>0</v>
          </cell>
          <cell r="T634" t="str">
            <v>M</v>
          </cell>
          <cell r="U634" t="str">
            <v>SALHA BENT MOHAMED</v>
          </cell>
          <cell r="X634">
            <v>5</v>
          </cell>
          <cell r="Y634">
            <v>3</v>
          </cell>
          <cell r="AB634" t="str">
            <v>X</v>
          </cell>
          <cell r="AC634" t="str">
            <v>X</v>
          </cell>
          <cell r="AD634" t="str">
            <v>X</v>
          </cell>
          <cell r="AH634" t="str">
            <v>N</v>
          </cell>
          <cell r="AI634" t="str">
            <v>N</v>
          </cell>
          <cell r="AK634" t="str">
            <v>N° 96 DERB 3 - BOUJNIBA</v>
          </cell>
          <cell r="AL634" t="str">
            <v>2AS</v>
          </cell>
          <cell r="AP634" t="str">
            <v>Q 19723</v>
          </cell>
          <cell r="AQ634">
            <v>0</v>
          </cell>
          <cell r="AR634" t="str">
            <v>B</v>
          </cell>
          <cell r="AS634" t="str">
            <v>BMCE.KHGA</v>
          </cell>
          <cell r="AT634" t="str">
            <v>40001200000348966</v>
          </cell>
          <cell r="AU634" t="str">
            <v>/  /</v>
          </cell>
          <cell r="AW634">
            <v>38534</v>
          </cell>
          <cell r="AY634" t="str">
            <v>XX</v>
          </cell>
          <cell r="AZ634" t="str">
            <v>M</v>
          </cell>
          <cell r="BA634" t="str">
            <v>1</v>
          </cell>
          <cell r="BB634">
            <v>1</v>
          </cell>
          <cell r="BD634">
            <v>0</v>
          </cell>
          <cell r="BE634" t="str">
            <v>M</v>
          </cell>
          <cell r="BF634" t="str">
            <v>N</v>
          </cell>
          <cell r="BG634">
            <v>51</v>
          </cell>
          <cell r="BH634">
            <v>38534</v>
          </cell>
          <cell r="BI634" t="str">
            <v>O</v>
          </cell>
        </row>
        <row r="635">
          <cell r="A635">
            <v>66880</v>
          </cell>
          <cell r="B635">
            <v>409</v>
          </cell>
          <cell r="C635" t="str">
            <v>C3017</v>
          </cell>
          <cell r="D635" t="str">
            <v>FATTAH</v>
          </cell>
          <cell r="E635" t="str">
            <v>HOMMAN</v>
          </cell>
          <cell r="F635">
            <v>19175</v>
          </cell>
          <cell r="G635" t="str">
            <v>1</v>
          </cell>
          <cell r="H635" t="str">
            <v>OULED BHAR KBAR KHOURIBGA</v>
          </cell>
          <cell r="I635" t="str">
            <v>D</v>
          </cell>
          <cell r="J635">
            <v>27346</v>
          </cell>
          <cell r="K635">
            <v>36130</v>
          </cell>
          <cell r="L635" t="str">
            <v>21</v>
          </cell>
          <cell r="M635" t="str">
            <v>D</v>
          </cell>
          <cell r="N635">
            <v>36130</v>
          </cell>
          <cell r="P635">
            <v>28</v>
          </cell>
          <cell r="Q635" t="str">
            <v>O</v>
          </cell>
          <cell r="R635" t="str">
            <v>N</v>
          </cell>
          <cell r="S635">
            <v>0</v>
          </cell>
          <cell r="T635" t="str">
            <v>M</v>
          </cell>
          <cell r="U635" t="str">
            <v>ADRAOUI KELTOUM</v>
          </cell>
          <cell r="X635">
            <v>5</v>
          </cell>
          <cell r="Y635">
            <v>4</v>
          </cell>
          <cell r="AB635" t="str">
            <v>X</v>
          </cell>
          <cell r="AC635" t="str">
            <v>X</v>
          </cell>
          <cell r="AD635" t="str">
            <v>X</v>
          </cell>
          <cell r="AH635" t="str">
            <v>N</v>
          </cell>
          <cell r="AI635" t="str">
            <v>N</v>
          </cell>
          <cell r="AK635" t="str">
            <v>538 DERB 3 DOUAR HADJ SALEK - BOUJNIBA</v>
          </cell>
          <cell r="AL635" t="str">
            <v>CM2</v>
          </cell>
          <cell r="AP635" t="str">
            <v>Q 84288</v>
          </cell>
          <cell r="AQ635">
            <v>0</v>
          </cell>
          <cell r="AR635" t="str">
            <v>C</v>
          </cell>
          <cell r="AU635" t="str">
            <v>/  /</v>
          </cell>
          <cell r="AW635">
            <v>37438</v>
          </cell>
          <cell r="AY635" t="str">
            <v>XX</v>
          </cell>
          <cell r="AZ635" t="str">
            <v>K</v>
          </cell>
          <cell r="BA635" t="str">
            <v>2</v>
          </cell>
          <cell r="BB635">
            <v>1</v>
          </cell>
          <cell r="BD635">
            <v>0</v>
          </cell>
          <cell r="BE635" t="str">
            <v>M</v>
          </cell>
          <cell r="BF635" t="str">
            <v>N</v>
          </cell>
          <cell r="BG635">
            <v>50</v>
          </cell>
          <cell r="BH635">
            <v>37438</v>
          </cell>
          <cell r="BI635" t="str">
            <v>O</v>
          </cell>
        </row>
        <row r="636">
          <cell r="A636">
            <v>66937</v>
          </cell>
          <cell r="B636">
            <v>465</v>
          </cell>
          <cell r="C636" t="str">
            <v>C4300</v>
          </cell>
          <cell r="D636" t="str">
            <v>EL GARGATI</v>
          </cell>
          <cell r="E636" t="str">
            <v>HAMMOU</v>
          </cell>
          <cell r="F636">
            <v>17714</v>
          </cell>
          <cell r="G636" t="str">
            <v>1</v>
          </cell>
          <cell r="H636" t="str">
            <v>OULED BHAR KBAR KHOURIBGA</v>
          </cell>
          <cell r="I636" t="str">
            <v>D</v>
          </cell>
          <cell r="J636">
            <v>27355</v>
          </cell>
          <cell r="K636">
            <v>29281</v>
          </cell>
          <cell r="L636" t="str">
            <v>22</v>
          </cell>
          <cell r="M636" t="str">
            <v>D</v>
          </cell>
          <cell r="N636">
            <v>35612</v>
          </cell>
          <cell r="O636">
            <v>0</v>
          </cell>
          <cell r="P636">
            <v>28</v>
          </cell>
          <cell r="Q636" t="str">
            <v>O</v>
          </cell>
          <cell r="R636" t="str">
            <v>N</v>
          </cell>
          <cell r="S636">
            <v>0</v>
          </cell>
          <cell r="T636" t="str">
            <v>M</v>
          </cell>
          <cell r="U636" t="str">
            <v>ACHKIR RAHMA</v>
          </cell>
          <cell r="X636">
            <v>6</v>
          </cell>
          <cell r="Y636">
            <v>4</v>
          </cell>
          <cell r="AB636" t="str">
            <v>X</v>
          </cell>
          <cell r="AC636" t="str">
            <v>X</v>
          </cell>
          <cell r="AD636" t="str">
            <v>X</v>
          </cell>
          <cell r="AH636" t="str">
            <v>N</v>
          </cell>
          <cell r="AI636" t="str">
            <v>N</v>
          </cell>
          <cell r="AK636" t="str">
            <v>107 HAY EL WAHDA EXTENTION OUED ZEM</v>
          </cell>
          <cell r="AL636" t="str">
            <v>CM2</v>
          </cell>
          <cell r="AM636" t="str">
            <v>CET1</v>
          </cell>
          <cell r="AP636" t="str">
            <v>Q 54151</v>
          </cell>
          <cell r="AQ636">
            <v>0</v>
          </cell>
          <cell r="AR636" t="str">
            <v>B</v>
          </cell>
          <cell r="AS636" t="str">
            <v>POP.OUED-ZEM</v>
          </cell>
          <cell r="AT636" t="str">
            <v>211136272130000</v>
          </cell>
          <cell r="AU636" t="str">
            <v>/  /</v>
          </cell>
          <cell r="AW636">
            <v>37622</v>
          </cell>
          <cell r="AX636">
            <v>37555</v>
          </cell>
          <cell r="AY636" t="str">
            <v>XX</v>
          </cell>
          <cell r="AZ636" t="str">
            <v>R</v>
          </cell>
          <cell r="BA636" t="str">
            <v>2</v>
          </cell>
          <cell r="BB636">
            <v>1</v>
          </cell>
          <cell r="BD636">
            <v>0</v>
          </cell>
          <cell r="BE636" t="str">
            <v>M</v>
          </cell>
          <cell r="BF636" t="str">
            <v>N</v>
          </cell>
          <cell r="BG636">
            <v>31</v>
          </cell>
          <cell r="BH636">
            <v>37073</v>
          </cell>
          <cell r="BI636" t="str">
            <v>O</v>
          </cell>
        </row>
        <row r="637">
          <cell r="A637">
            <v>66989</v>
          </cell>
          <cell r="B637">
            <v>463</v>
          </cell>
          <cell r="C637" t="str">
            <v>C5200</v>
          </cell>
          <cell r="D637" t="str">
            <v>RADOUANI</v>
          </cell>
          <cell r="E637" t="str">
            <v>HAMADI</v>
          </cell>
          <cell r="F637">
            <v>19512</v>
          </cell>
          <cell r="G637" t="str">
            <v>2</v>
          </cell>
          <cell r="H637" t="str">
            <v>BENI SMIR OUED-ZEM</v>
          </cell>
          <cell r="I637" t="str">
            <v>D</v>
          </cell>
          <cell r="J637">
            <v>27366</v>
          </cell>
          <cell r="K637">
            <v>29768</v>
          </cell>
          <cell r="L637" t="str">
            <v>31</v>
          </cell>
          <cell r="M637" t="str">
            <v>A</v>
          </cell>
          <cell r="N637">
            <v>29768</v>
          </cell>
          <cell r="P637">
            <v>28</v>
          </cell>
          <cell r="Q637" t="str">
            <v>O</v>
          </cell>
          <cell r="R637" t="str">
            <v>N</v>
          </cell>
          <cell r="S637">
            <v>0</v>
          </cell>
          <cell r="T637" t="str">
            <v>M</v>
          </cell>
          <cell r="U637" t="str">
            <v>FATNA BENT ABDELKADER</v>
          </cell>
          <cell r="X637">
            <v>6</v>
          </cell>
          <cell r="Y637">
            <v>3</v>
          </cell>
          <cell r="AB637" t="str">
            <v>X</v>
          </cell>
          <cell r="AC637" t="str">
            <v>X</v>
          </cell>
          <cell r="AD637" t="str">
            <v>X</v>
          </cell>
          <cell r="AH637" t="str">
            <v>N</v>
          </cell>
          <cell r="AI637" t="str">
            <v>N</v>
          </cell>
          <cell r="AK637" t="str">
            <v>452 HAY EL WAHDA OUED ZEM</v>
          </cell>
          <cell r="AL637" t="str">
            <v>2AS</v>
          </cell>
          <cell r="AP637" t="str">
            <v>Q 10910</v>
          </cell>
          <cell r="AQ637">
            <v>0</v>
          </cell>
          <cell r="AR637" t="str">
            <v>B</v>
          </cell>
          <cell r="AS637" t="str">
            <v>POPULAIRE.O.ZEM</v>
          </cell>
          <cell r="AT637" t="str">
            <v>2111113032470000</v>
          </cell>
          <cell r="AU637" t="str">
            <v>/  /</v>
          </cell>
          <cell r="AW637">
            <v>37803</v>
          </cell>
          <cell r="AY637" t="str">
            <v>XX</v>
          </cell>
          <cell r="BA637" t="str">
            <v>2</v>
          </cell>
          <cell r="BB637">
            <v>1</v>
          </cell>
          <cell r="BD637">
            <v>0</v>
          </cell>
          <cell r="BE637" t="str">
            <v>M</v>
          </cell>
          <cell r="BF637" t="str">
            <v>N</v>
          </cell>
          <cell r="BG637">
            <v>31</v>
          </cell>
          <cell r="BH637">
            <v>37803</v>
          </cell>
          <cell r="BI637" t="str">
            <v>O</v>
          </cell>
        </row>
        <row r="638">
          <cell r="A638">
            <v>67104</v>
          </cell>
          <cell r="B638">
            <v>465</v>
          </cell>
          <cell r="C638" t="str">
            <v>C3300</v>
          </cell>
          <cell r="D638" t="str">
            <v>OUARRAK</v>
          </cell>
          <cell r="E638" t="str">
            <v>EL MOSTAFA</v>
          </cell>
          <cell r="F638">
            <v>19374</v>
          </cell>
          <cell r="G638" t="str">
            <v>1</v>
          </cell>
          <cell r="H638" t="str">
            <v>OULED BHAR KBAR KHOURIBGA</v>
          </cell>
          <cell r="I638" t="str">
            <v>D</v>
          </cell>
          <cell r="J638">
            <v>27389</v>
          </cell>
          <cell r="K638">
            <v>36161</v>
          </cell>
          <cell r="L638" t="str">
            <v>21</v>
          </cell>
          <cell r="M638" t="str">
            <v>D</v>
          </cell>
          <cell r="N638">
            <v>36161</v>
          </cell>
          <cell r="P638">
            <v>28</v>
          </cell>
          <cell r="Q638" t="str">
            <v>O</v>
          </cell>
          <cell r="R638" t="str">
            <v>N</v>
          </cell>
          <cell r="S638">
            <v>0</v>
          </cell>
          <cell r="T638" t="str">
            <v>M</v>
          </cell>
          <cell r="U638" t="str">
            <v>BAKLOUL KHADDOUJ</v>
          </cell>
          <cell r="X638">
            <v>5</v>
          </cell>
          <cell r="Y638">
            <v>3</v>
          </cell>
          <cell r="AB638" t="str">
            <v>X</v>
          </cell>
          <cell r="AC638" t="str">
            <v>X</v>
          </cell>
          <cell r="AD638" t="str">
            <v>X</v>
          </cell>
          <cell r="AH638" t="str">
            <v>N</v>
          </cell>
          <cell r="AI638" t="str">
            <v>N</v>
          </cell>
          <cell r="AK638" t="str">
            <v>6 RUE 2 KOREA OUED ZEM</v>
          </cell>
          <cell r="AL638" t="str">
            <v>CM2</v>
          </cell>
          <cell r="AP638" t="str">
            <v>Q 56259</v>
          </cell>
          <cell r="AQ638">
            <v>0</v>
          </cell>
          <cell r="AR638" t="str">
            <v>C</v>
          </cell>
          <cell r="AU638" t="str">
            <v>08/04/16</v>
          </cell>
          <cell r="AW638">
            <v>37803</v>
          </cell>
          <cell r="AY638" t="str">
            <v>O+</v>
          </cell>
          <cell r="BA638" t="str">
            <v>3A</v>
          </cell>
          <cell r="BB638">
            <v>1</v>
          </cell>
          <cell r="BD638">
            <v>0</v>
          </cell>
          <cell r="BE638" t="str">
            <v>M</v>
          </cell>
          <cell r="BF638" t="str">
            <v>N</v>
          </cell>
          <cell r="BG638">
            <v>31</v>
          </cell>
          <cell r="BH638">
            <v>37803</v>
          </cell>
        </row>
        <row r="639">
          <cell r="A639">
            <v>67108</v>
          </cell>
          <cell r="B639">
            <v>468</v>
          </cell>
          <cell r="C639" t="str">
            <v>C5152</v>
          </cell>
          <cell r="D639" t="str">
            <v>ERRADI</v>
          </cell>
          <cell r="E639" t="str">
            <v>EL MILOUDI</v>
          </cell>
          <cell r="F639">
            <v>19726</v>
          </cell>
          <cell r="G639" t="str">
            <v>2</v>
          </cell>
          <cell r="H639" t="str">
            <v>BENI SMIR OUED-ZEM</v>
          </cell>
          <cell r="I639" t="str">
            <v>D</v>
          </cell>
          <cell r="J639">
            <v>27391</v>
          </cell>
          <cell r="K639">
            <v>34151</v>
          </cell>
          <cell r="L639" t="str">
            <v>31</v>
          </cell>
          <cell r="M639" t="str">
            <v>A</v>
          </cell>
          <cell r="N639">
            <v>34151</v>
          </cell>
          <cell r="O639">
            <v>0</v>
          </cell>
          <cell r="P639">
            <v>28</v>
          </cell>
          <cell r="Q639" t="str">
            <v>O</v>
          </cell>
          <cell r="R639" t="str">
            <v>N</v>
          </cell>
          <cell r="S639">
            <v>0</v>
          </cell>
          <cell r="T639" t="str">
            <v>M</v>
          </cell>
          <cell r="U639" t="str">
            <v>OUDADI NAJAT BT ABDELKADER</v>
          </cell>
          <cell r="X639">
            <v>4</v>
          </cell>
          <cell r="Y639">
            <v>1</v>
          </cell>
          <cell r="AB639" t="str">
            <v>X</v>
          </cell>
          <cell r="AC639" t="str">
            <v>X</v>
          </cell>
          <cell r="AD639" t="str">
            <v>X</v>
          </cell>
          <cell r="AH639" t="str">
            <v>N</v>
          </cell>
          <cell r="AI639" t="str">
            <v>N</v>
          </cell>
          <cell r="AK639" t="str">
            <v>Rue 18 n° 23 Lamsalla Kdima O.ZEM</v>
          </cell>
          <cell r="AL639" t="str">
            <v>2AS</v>
          </cell>
          <cell r="AM639" t="str">
            <v>CEP.</v>
          </cell>
          <cell r="AP639" t="str">
            <v>Q 90044</v>
          </cell>
          <cell r="AQ639">
            <v>0</v>
          </cell>
          <cell r="AR639" t="str">
            <v>B</v>
          </cell>
          <cell r="AS639" t="str">
            <v>POPULAIRE.O.ZEM</v>
          </cell>
          <cell r="AT639" t="str">
            <v>2111113066110001</v>
          </cell>
          <cell r="AU639" t="str">
            <v>/  /</v>
          </cell>
          <cell r="AW639">
            <v>38169</v>
          </cell>
          <cell r="AY639" t="str">
            <v>XX</v>
          </cell>
          <cell r="BA639" t="str">
            <v>1</v>
          </cell>
          <cell r="BB639">
            <v>1</v>
          </cell>
          <cell r="BD639">
            <v>0</v>
          </cell>
          <cell r="BE639" t="str">
            <v>M</v>
          </cell>
          <cell r="BF639" t="str">
            <v>N</v>
          </cell>
          <cell r="BG639">
            <v>31</v>
          </cell>
          <cell r="BH639">
            <v>38169</v>
          </cell>
          <cell r="BI639" t="str">
            <v>O</v>
          </cell>
        </row>
        <row r="640">
          <cell r="A640">
            <v>67152</v>
          </cell>
          <cell r="B640">
            <v>468</v>
          </cell>
          <cell r="C640" t="str">
            <v>C6152</v>
          </cell>
          <cell r="D640" t="str">
            <v>ZIT</v>
          </cell>
          <cell r="E640" t="str">
            <v>SALAH</v>
          </cell>
          <cell r="F640">
            <v>19905</v>
          </cell>
          <cell r="G640" t="str">
            <v>1</v>
          </cell>
          <cell r="H640" t="str">
            <v>OULED BHAR KBAR KHOURIBGA</v>
          </cell>
          <cell r="I640" t="str">
            <v>D</v>
          </cell>
          <cell r="J640">
            <v>27396</v>
          </cell>
          <cell r="K640">
            <v>36526</v>
          </cell>
          <cell r="L640" t="str">
            <v>32</v>
          </cell>
          <cell r="M640" t="str">
            <v>A</v>
          </cell>
          <cell r="N640">
            <v>36526</v>
          </cell>
          <cell r="P640">
            <v>28</v>
          </cell>
          <cell r="Q640" t="str">
            <v>O</v>
          </cell>
          <cell r="R640" t="str">
            <v>N</v>
          </cell>
          <cell r="S640">
            <v>0</v>
          </cell>
          <cell r="T640" t="str">
            <v>M</v>
          </cell>
          <cell r="U640" t="str">
            <v>SAADIA BENT SALAH</v>
          </cell>
          <cell r="X640">
            <v>6</v>
          </cell>
          <cell r="Y640">
            <v>3</v>
          </cell>
          <cell r="AB640" t="str">
            <v>X</v>
          </cell>
          <cell r="AC640" t="str">
            <v>X</v>
          </cell>
          <cell r="AD640" t="str">
            <v>X</v>
          </cell>
          <cell r="AH640" t="str">
            <v>N</v>
          </cell>
          <cell r="AI640" t="str">
            <v>O</v>
          </cell>
          <cell r="AK640" t="str">
            <v>77 HABITAT OUED ZEM</v>
          </cell>
          <cell r="AL640" t="str">
            <v>3AS</v>
          </cell>
          <cell r="AP640" t="str">
            <v>Q 69320</v>
          </cell>
          <cell r="AQ640">
            <v>0</v>
          </cell>
          <cell r="AR640" t="str">
            <v>B</v>
          </cell>
          <cell r="AS640" t="str">
            <v>POPULAIRE.O-ZEM</v>
          </cell>
          <cell r="AT640" t="str">
            <v>2111113066570006</v>
          </cell>
          <cell r="AU640" t="str">
            <v>/  /</v>
          </cell>
          <cell r="AW640">
            <v>38169</v>
          </cell>
          <cell r="AY640" t="str">
            <v>XX</v>
          </cell>
          <cell r="BA640" t="str">
            <v>1</v>
          </cell>
          <cell r="BB640">
            <v>1</v>
          </cell>
          <cell r="BD640">
            <v>0</v>
          </cell>
          <cell r="BE640" t="str">
            <v>M</v>
          </cell>
          <cell r="BF640" t="str">
            <v>N</v>
          </cell>
          <cell r="BG640">
            <v>31</v>
          </cell>
          <cell r="BH640">
            <v>38169</v>
          </cell>
          <cell r="BI640" t="str">
            <v>O</v>
          </cell>
        </row>
        <row r="641">
          <cell r="A641">
            <v>67155</v>
          </cell>
          <cell r="B641">
            <v>468</v>
          </cell>
          <cell r="C641" t="str">
            <v>C5152</v>
          </cell>
          <cell r="D641" t="str">
            <v>EL RHALMI</v>
          </cell>
          <cell r="E641" t="str">
            <v>JILALI</v>
          </cell>
          <cell r="F641">
            <v>19175</v>
          </cell>
          <cell r="G641" t="str">
            <v>1</v>
          </cell>
          <cell r="H641" t="str">
            <v>OULED BHAR KBAR KHOURIBGA</v>
          </cell>
          <cell r="I641" t="str">
            <v>D</v>
          </cell>
          <cell r="J641">
            <v>27397</v>
          </cell>
          <cell r="K641">
            <v>35431</v>
          </cell>
          <cell r="L641" t="str">
            <v>31</v>
          </cell>
          <cell r="M641" t="str">
            <v>A</v>
          </cell>
          <cell r="N641">
            <v>35431</v>
          </cell>
          <cell r="P641">
            <v>28</v>
          </cell>
          <cell r="Q641" t="str">
            <v>O</v>
          </cell>
          <cell r="R641" t="str">
            <v>N</v>
          </cell>
          <cell r="S641">
            <v>0</v>
          </cell>
          <cell r="T641" t="str">
            <v>M</v>
          </cell>
          <cell r="U641" t="str">
            <v>EL OUARID SALHA</v>
          </cell>
          <cell r="X641">
            <v>5</v>
          </cell>
          <cell r="Y641">
            <v>2</v>
          </cell>
          <cell r="AB641" t="str">
            <v>X</v>
          </cell>
          <cell r="AC641" t="str">
            <v>X</v>
          </cell>
          <cell r="AD641" t="str">
            <v>X</v>
          </cell>
          <cell r="AH641" t="str">
            <v>N</v>
          </cell>
          <cell r="AI641" t="str">
            <v>N</v>
          </cell>
          <cell r="AK641" t="str">
            <v>504 NOUVEAU TACHERON OCP - BOUJNIBA</v>
          </cell>
          <cell r="AL641" t="str">
            <v>2AS</v>
          </cell>
          <cell r="AP641" t="str">
            <v>Q 66315</v>
          </cell>
          <cell r="AQ641">
            <v>0</v>
          </cell>
          <cell r="AR641" t="str">
            <v>B</v>
          </cell>
          <cell r="AS641" t="str">
            <v>POPULAIRE-KHGA</v>
          </cell>
          <cell r="AT641" t="str">
            <v>2111106478950001</v>
          </cell>
          <cell r="AU641" t="str">
            <v>05/12/92</v>
          </cell>
          <cell r="AW641">
            <v>37438</v>
          </cell>
          <cell r="AY641" t="str">
            <v>A+</v>
          </cell>
          <cell r="AZ641" t="str">
            <v>M</v>
          </cell>
          <cell r="BA641" t="str">
            <v>1</v>
          </cell>
          <cell r="BB641">
            <v>1</v>
          </cell>
          <cell r="BD641">
            <v>0</v>
          </cell>
          <cell r="BE641" t="str">
            <v>M</v>
          </cell>
          <cell r="BF641" t="str">
            <v>N</v>
          </cell>
          <cell r="BG641">
            <v>51</v>
          </cell>
          <cell r="BH641">
            <v>37438</v>
          </cell>
        </row>
        <row r="642">
          <cell r="A642">
            <v>67163</v>
          </cell>
          <cell r="B642">
            <v>468</v>
          </cell>
          <cell r="C642" t="str">
            <v>C5152</v>
          </cell>
          <cell r="D642" t="str">
            <v>NADORI</v>
          </cell>
          <cell r="E642" t="str">
            <v>EL MAATI</v>
          </cell>
          <cell r="F642">
            <v>20270</v>
          </cell>
          <cell r="G642" t="str">
            <v>2</v>
          </cell>
          <cell r="H642" t="str">
            <v>OUED-ZEM</v>
          </cell>
          <cell r="I642" t="str">
            <v>D</v>
          </cell>
          <cell r="J642">
            <v>27397</v>
          </cell>
          <cell r="K642">
            <v>35431</v>
          </cell>
          <cell r="L642" t="str">
            <v>31</v>
          </cell>
          <cell r="M642" t="str">
            <v>A</v>
          </cell>
          <cell r="N642">
            <v>35431</v>
          </cell>
          <cell r="P642">
            <v>28</v>
          </cell>
          <cell r="Q642" t="str">
            <v>O</v>
          </cell>
          <cell r="R642" t="str">
            <v>N</v>
          </cell>
          <cell r="S642">
            <v>0</v>
          </cell>
          <cell r="T642" t="str">
            <v>M</v>
          </cell>
          <cell r="U642" t="str">
            <v>NAHID KENZA</v>
          </cell>
          <cell r="X642">
            <v>4</v>
          </cell>
          <cell r="Y642">
            <v>3</v>
          </cell>
          <cell r="AB642" t="str">
            <v>X</v>
          </cell>
          <cell r="AC642" t="str">
            <v>X</v>
          </cell>
          <cell r="AD642" t="str">
            <v>X</v>
          </cell>
          <cell r="AH642" t="str">
            <v>N</v>
          </cell>
          <cell r="AI642" t="str">
            <v>N</v>
          </cell>
          <cell r="AK642" t="str">
            <v>RUE MARCHE DES GRAINS LOT.HAIBI OUED ZEM</v>
          </cell>
          <cell r="AL642" t="str">
            <v>4AS</v>
          </cell>
          <cell r="AP642" t="str">
            <v>Q 7956</v>
          </cell>
          <cell r="AQ642">
            <v>0</v>
          </cell>
          <cell r="AR642" t="str">
            <v>B</v>
          </cell>
          <cell r="AS642" t="str">
            <v>C.I.H - KHGA</v>
          </cell>
          <cell r="AT642" t="str">
            <v>7943665213004700</v>
          </cell>
          <cell r="AU642" t="str">
            <v>/  /</v>
          </cell>
          <cell r="AW642">
            <v>38534</v>
          </cell>
          <cell r="AY642" t="str">
            <v>XX</v>
          </cell>
          <cell r="AZ642" t="str">
            <v>M</v>
          </cell>
          <cell r="BA642" t="str">
            <v>1</v>
          </cell>
          <cell r="BB642">
            <v>1</v>
          </cell>
          <cell r="BD642">
            <v>0</v>
          </cell>
          <cell r="BE642" t="str">
            <v>M</v>
          </cell>
          <cell r="BF642" t="str">
            <v>N</v>
          </cell>
          <cell r="BG642">
            <v>31</v>
          </cell>
          <cell r="BH642">
            <v>38534</v>
          </cell>
          <cell r="BI642" t="str">
            <v>O</v>
          </cell>
        </row>
        <row r="643">
          <cell r="A643">
            <v>67196</v>
          </cell>
          <cell r="B643">
            <v>428</v>
          </cell>
          <cell r="C643" t="str">
            <v>C4411</v>
          </cell>
          <cell r="D643" t="str">
            <v>ISSAMI</v>
          </cell>
          <cell r="E643" t="str">
            <v>MOHAMMED</v>
          </cell>
          <cell r="F643">
            <v>19905</v>
          </cell>
          <cell r="G643" t="str">
            <v>3</v>
          </cell>
          <cell r="H643" t="str">
            <v>BOUJNIBA</v>
          </cell>
          <cell r="I643" t="str">
            <v>D</v>
          </cell>
          <cell r="J643">
            <v>27410</v>
          </cell>
          <cell r="K643">
            <v>34639</v>
          </cell>
          <cell r="L643" t="str">
            <v>22</v>
          </cell>
          <cell r="M643" t="str">
            <v>A</v>
          </cell>
          <cell r="N643">
            <v>34639</v>
          </cell>
          <cell r="P643">
            <v>28</v>
          </cell>
          <cell r="Q643" t="str">
            <v>O</v>
          </cell>
          <cell r="R643" t="str">
            <v>N</v>
          </cell>
          <cell r="S643">
            <v>0</v>
          </cell>
          <cell r="T643" t="str">
            <v>M</v>
          </cell>
          <cell r="U643" t="str">
            <v>EL BOUCHTAOUIA BT LARBI</v>
          </cell>
          <cell r="X643">
            <v>3</v>
          </cell>
          <cell r="Y643">
            <v>3</v>
          </cell>
          <cell r="Z643" t="str">
            <v>N</v>
          </cell>
          <cell r="AB643" t="str">
            <v>X</v>
          </cell>
          <cell r="AC643" t="str">
            <v>X</v>
          </cell>
          <cell r="AD643" t="str">
            <v>X</v>
          </cell>
          <cell r="AH643" t="str">
            <v>N</v>
          </cell>
          <cell r="AI643" t="str">
            <v>N</v>
          </cell>
          <cell r="AK643" t="str">
            <v>50 RUE DES JARDINS OUED ZEM</v>
          </cell>
          <cell r="AL643" t="str">
            <v>4AS</v>
          </cell>
          <cell r="AP643" t="str">
            <v>Q 38399</v>
          </cell>
          <cell r="AQ643">
            <v>0</v>
          </cell>
          <cell r="AR643" t="str">
            <v>B</v>
          </cell>
          <cell r="AS643" t="str">
            <v>B.M.C.I  KHGA</v>
          </cell>
          <cell r="AT643" t="str">
            <v>02521738876301</v>
          </cell>
          <cell r="AU643" t="str">
            <v>/  /</v>
          </cell>
          <cell r="AW643">
            <v>38169</v>
          </cell>
          <cell r="AY643" t="str">
            <v>XX</v>
          </cell>
          <cell r="BA643" t="str">
            <v>0</v>
          </cell>
          <cell r="BB643">
            <v>1</v>
          </cell>
          <cell r="BD643">
            <v>0</v>
          </cell>
          <cell r="BE643" t="str">
            <v>M</v>
          </cell>
          <cell r="BF643" t="str">
            <v>N</v>
          </cell>
          <cell r="BG643">
            <v>30</v>
          </cell>
          <cell r="BH643">
            <v>38169</v>
          </cell>
          <cell r="BI643" t="str">
            <v>O</v>
          </cell>
        </row>
        <row r="644">
          <cell r="A644">
            <v>67198</v>
          </cell>
          <cell r="B644">
            <v>463</v>
          </cell>
          <cell r="C644" t="str">
            <v>C5200</v>
          </cell>
          <cell r="D644" t="str">
            <v>SAYADI</v>
          </cell>
          <cell r="E644" t="str">
            <v>MOHAMMED EL HAB</v>
          </cell>
          <cell r="F644">
            <v>20270</v>
          </cell>
          <cell r="G644" t="str">
            <v>1</v>
          </cell>
          <cell r="H644" t="str">
            <v>KHOURIBGA</v>
          </cell>
          <cell r="I644" t="str">
            <v>D</v>
          </cell>
          <cell r="J644">
            <v>27412</v>
          </cell>
          <cell r="K644">
            <v>32721</v>
          </cell>
          <cell r="L644" t="str">
            <v>31</v>
          </cell>
          <cell r="M644" t="str">
            <v>B</v>
          </cell>
          <cell r="N644">
            <v>35612</v>
          </cell>
          <cell r="P644">
            <v>28</v>
          </cell>
          <cell r="Q644" t="str">
            <v>O</v>
          </cell>
          <cell r="R644" t="str">
            <v>N</v>
          </cell>
          <cell r="S644">
            <v>0</v>
          </cell>
          <cell r="T644" t="str">
            <v>M</v>
          </cell>
          <cell r="U644" t="str">
            <v>MALIKA BENT M'BAREK</v>
          </cell>
          <cell r="X644">
            <v>4</v>
          </cell>
          <cell r="Y644">
            <v>4</v>
          </cell>
          <cell r="AB644" t="str">
            <v>X</v>
          </cell>
          <cell r="AC644" t="str">
            <v>X</v>
          </cell>
          <cell r="AD644" t="str">
            <v>X</v>
          </cell>
          <cell r="AH644" t="str">
            <v>N</v>
          </cell>
          <cell r="AI644" t="str">
            <v>N</v>
          </cell>
          <cell r="AK644" t="str">
            <v>86 BLOC M NAHDA            KHOURIBGA</v>
          </cell>
          <cell r="AL644" t="str">
            <v>3AS</v>
          </cell>
          <cell r="AM644" t="str">
            <v>CFO</v>
          </cell>
          <cell r="AN644" t="str">
            <v>49═81═41</v>
          </cell>
          <cell r="AP644" t="str">
            <v>Q 26565</v>
          </cell>
          <cell r="AQ644">
            <v>0</v>
          </cell>
          <cell r="AR644" t="str">
            <v>B</v>
          </cell>
          <cell r="AS644" t="str">
            <v>S.G.M.B - KHGA</v>
          </cell>
          <cell r="AT644" t="str">
            <v>670009194451</v>
          </cell>
          <cell r="AU644" t="str">
            <v>/  /</v>
          </cell>
          <cell r="AW644">
            <v>38534</v>
          </cell>
          <cell r="AY644" t="str">
            <v>XX</v>
          </cell>
          <cell r="BA644" t="str">
            <v>2</v>
          </cell>
          <cell r="BB644">
            <v>1</v>
          </cell>
          <cell r="BC644" t="str">
            <v>O</v>
          </cell>
          <cell r="BD644">
            <v>4</v>
          </cell>
          <cell r="BE644" t="str">
            <v>M</v>
          </cell>
          <cell r="BF644" t="str">
            <v>N</v>
          </cell>
          <cell r="BG644">
            <v>5</v>
          </cell>
          <cell r="BH644">
            <v>38534</v>
          </cell>
          <cell r="BI644" t="str">
            <v>O</v>
          </cell>
        </row>
        <row r="645">
          <cell r="A645">
            <v>67214</v>
          </cell>
          <cell r="B645">
            <v>409</v>
          </cell>
          <cell r="C645" t="str">
            <v>C5152</v>
          </cell>
          <cell r="D645" t="str">
            <v>MOUBTASSIM</v>
          </cell>
          <cell r="E645" t="str">
            <v>MOHAMMED</v>
          </cell>
          <cell r="F645">
            <v>19540</v>
          </cell>
          <cell r="G645" t="str">
            <v>1</v>
          </cell>
          <cell r="H645" t="str">
            <v>OULED BHAR KBAR KHOURIBGA</v>
          </cell>
          <cell r="I645" t="str">
            <v>D</v>
          </cell>
          <cell r="J645">
            <v>27415</v>
          </cell>
          <cell r="K645">
            <v>35431</v>
          </cell>
          <cell r="L645" t="str">
            <v>31</v>
          </cell>
          <cell r="M645" t="str">
            <v>A</v>
          </cell>
          <cell r="N645">
            <v>35431</v>
          </cell>
          <cell r="P645">
            <v>28</v>
          </cell>
          <cell r="Q645" t="str">
            <v>O</v>
          </cell>
          <cell r="R645" t="str">
            <v>N</v>
          </cell>
          <cell r="S645">
            <v>0</v>
          </cell>
          <cell r="T645" t="str">
            <v>M</v>
          </cell>
          <cell r="U645" t="str">
            <v>MLIJI FATIMA</v>
          </cell>
          <cell r="X645">
            <v>6</v>
          </cell>
          <cell r="Y645">
            <v>6</v>
          </cell>
          <cell r="AB645" t="str">
            <v>X</v>
          </cell>
          <cell r="AC645" t="str">
            <v>X</v>
          </cell>
          <cell r="AD645" t="str">
            <v>X</v>
          </cell>
          <cell r="AH645" t="str">
            <v>N</v>
          </cell>
          <cell r="AI645" t="str">
            <v>N</v>
          </cell>
          <cell r="AK645" t="str">
            <v>201 DERB 4 BOUJNIBA  OCP - BOUJNIBA</v>
          </cell>
          <cell r="AL645" t="str">
            <v>3AS</v>
          </cell>
          <cell r="AN645" t="str">
            <v>57═01═27</v>
          </cell>
          <cell r="AP645" t="str">
            <v>Q 42919</v>
          </cell>
          <cell r="AQ645">
            <v>0</v>
          </cell>
          <cell r="AR645" t="str">
            <v>B</v>
          </cell>
          <cell r="AS645" t="str">
            <v>SGMB - KHGA</v>
          </cell>
          <cell r="AT645" t="str">
            <v>06709377587</v>
          </cell>
          <cell r="AU645" t="str">
            <v>/  /</v>
          </cell>
          <cell r="AW645">
            <v>37803</v>
          </cell>
          <cell r="AY645" t="str">
            <v>XX</v>
          </cell>
          <cell r="AZ645" t="str">
            <v>M</v>
          </cell>
          <cell r="BA645" t="str">
            <v>1</v>
          </cell>
          <cell r="BB645">
            <v>1</v>
          </cell>
          <cell r="BD645">
            <v>0</v>
          </cell>
          <cell r="BE645" t="str">
            <v>M</v>
          </cell>
          <cell r="BF645" t="str">
            <v>N</v>
          </cell>
          <cell r="BG645">
            <v>50</v>
          </cell>
          <cell r="BH645">
            <v>37803</v>
          </cell>
        </row>
        <row r="646">
          <cell r="A646">
            <v>67216</v>
          </cell>
          <cell r="B646">
            <v>476</v>
          </cell>
          <cell r="C646" t="str">
            <v>C4754</v>
          </cell>
          <cell r="D646" t="str">
            <v>FARDANE</v>
          </cell>
          <cell r="E646" t="str">
            <v>M'HAMED</v>
          </cell>
          <cell r="F646">
            <v>19175</v>
          </cell>
          <cell r="G646" t="str">
            <v>1</v>
          </cell>
          <cell r="H646" t="str">
            <v>OULED BHAR KBAR KHOURIBGA</v>
          </cell>
          <cell r="I646" t="str">
            <v>D</v>
          </cell>
          <cell r="J646">
            <v>27428</v>
          </cell>
          <cell r="K646">
            <v>29403</v>
          </cell>
          <cell r="L646" t="str">
            <v>22</v>
          </cell>
          <cell r="M646" t="str">
            <v>B</v>
          </cell>
          <cell r="N646">
            <v>33786</v>
          </cell>
          <cell r="P646">
            <v>29</v>
          </cell>
          <cell r="Q646" t="str">
            <v>N</v>
          </cell>
          <cell r="R646" t="str">
            <v>O</v>
          </cell>
          <cell r="S646">
            <v>1</v>
          </cell>
          <cell r="T646" t="str">
            <v>M</v>
          </cell>
          <cell r="U646" t="str">
            <v>EL KEBIRA BENT ABDESLAM</v>
          </cell>
          <cell r="X646">
            <v>5</v>
          </cell>
          <cell r="Y646">
            <v>4</v>
          </cell>
          <cell r="AB646" t="str">
            <v>X</v>
          </cell>
          <cell r="AC646" t="str">
            <v>X</v>
          </cell>
          <cell r="AD646" t="str">
            <v>X</v>
          </cell>
          <cell r="AH646" t="str">
            <v>N</v>
          </cell>
          <cell r="AI646" t="str">
            <v>N</v>
          </cell>
          <cell r="AK646" t="str">
            <v>157 VILLAGE O.C.P - BOUJNIBA</v>
          </cell>
          <cell r="AL646" t="str">
            <v>2AS</v>
          </cell>
          <cell r="AP646" t="str">
            <v>Q 89413</v>
          </cell>
          <cell r="AQ646">
            <v>0</v>
          </cell>
          <cell r="AR646" t="str">
            <v>B</v>
          </cell>
          <cell r="AS646" t="str">
            <v>POPULAIRE.KHGA</v>
          </cell>
          <cell r="AT646" t="str">
            <v>2111112813050007</v>
          </cell>
          <cell r="AU646" t="str">
            <v>/  /</v>
          </cell>
          <cell r="AW646">
            <v>38219</v>
          </cell>
          <cell r="AX646">
            <v>38219</v>
          </cell>
          <cell r="AY646" t="str">
            <v>XX</v>
          </cell>
          <cell r="BA646" t="str">
            <v>6</v>
          </cell>
          <cell r="BB646">
            <v>1</v>
          </cell>
          <cell r="BD646">
            <v>0</v>
          </cell>
          <cell r="BE646" t="str">
            <v>M</v>
          </cell>
          <cell r="BF646" t="str">
            <v>N</v>
          </cell>
          <cell r="BG646">
            <v>50</v>
          </cell>
          <cell r="BH646">
            <v>37438</v>
          </cell>
        </row>
        <row r="647">
          <cell r="A647">
            <v>67222</v>
          </cell>
          <cell r="B647">
            <v>468</v>
          </cell>
          <cell r="C647" t="str">
            <v>C4411</v>
          </cell>
          <cell r="D647" t="str">
            <v>LILIF</v>
          </cell>
          <cell r="E647" t="str">
            <v>MOHAMED</v>
          </cell>
          <cell r="F647">
            <v>19905</v>
          </cell>
          <cell r="G647" t="str">
            <v>1</v>
          </cell>
          <cell r="H647" t="str">
            <v>OULED BHAR KBAR KHOURIBGA</v>
          </cell>
          <cell r="I647" t="str">
            <v>D</v>
          </cell>
          <cell r="J647">
            <v>27428</v>
          </cell>
          <cell r="K647">
            <v>30651</v>
          </cell>
          <cell r="L647" t="str">
            <v>22</v>
          </cell>
          <cell r="M647" t="str">
            <v>C</v>
          </cell>
          <cell r="N647">
            <v>35612</v>
          </cell>
          <cell r="P647">
            <v>29</v>
          </cell>
          <cell r="Q647" t="str">
            <v>O</v>
          </cell>
          <cell r="R647" t="str">
            <v>N</v>
          </cell>
          <cell r="S647">
            <v>0</v>
          </cell>
          <cell r="T647" t="str">
            <v>M</v>
          </cell>
          <cell r="U647" t="str">
            <v>JABRANE KHADIJA</v>
          </cell>
          <cell r="X647">
            <v>3</v>
          </cell>
          <cell r="Y647">
            <v>1</v>
          </cell>
          <cell r="AB647" t="str">
            <v>X</v>
          </cell>
          <cell r="AC647" t="str">
            <v>X</v>
          </cell>
          <cell r="AD647" t="str">
            <v>X</v>
          </cell>
          <cell r="AH647" t="str">
            <v>N</v>
          </cell>
          <cell r="AI647" t="str">
            <v>N</v>
          </cell>
          <cell r="AK647" t="str">
            <v>583 NELLE MEDINA DE SECHAGE KHGA</v>
          </cell>
          <cell r="AL647" t="str">
            <v>2AS</v>
          </cell>
          <cell r="AP647" t="str">
            <v>Q 38394</v>
          </cell>
          <cell r="AQ647">
            <v>0</v>
          </cell>
          <cell r="AR647" t="str">
            <v>B</v>
          </cell>
          <cell r="AS647" t="str">
            <v>CREDIT DU MAROC-KHGA</v>
          </cell>
          <cell r="AT647" t="str">
            <v>082001004813</v>
          </cell>
          <cell r="AU647" t="str">
            <v>/  /</v>
          </cell>
          <cell r="AW647">
            <v>38169</v>
          </cell>
          <cell r="AY647" t="str">
            <v>XX</v>
          </cell>
          <cell r="AZ647" t="str">
            <v>M</v>
          </cell>
          <cell r="BA647" t="str">
            <v>0</v>
          </cell>
          <cell r="BB647">
            <v>1</v>
          </cell>
          <cell r="BD647">
            <v>0</v>
          </cell>
          <cell r="BE647" t="str">
            <v>M</v>
          </cell>
          <cell r="BF647" t="str">
            <v>N</v>
          </cell>
          <cell r="BG647">
            <v>5</v>
          </cell>
          <cell r="BH647">
            <v>38169</v>
          </cell>
        </row>
        <row r="648">
          <cell r="A648">
            <v>67230</v>
          </cell>
          <cell r="B648">
            <v>421</v>
          </cell>
          <cell r="C648" t="str">
            <v>C5002</v>
          </cell>
          <cell r="D648" t="str">
            <v>EL BAZ</v>
          </cell>
          <cell r="E648" t="str">
            <v>MOHAMMED</v>
          </cell>
          <cell r="F648">
            <v>19739</v>
          </cell>
          <cell r="G648" t="str">
            <v>1</v>
          </cell>
          <cell r="H648" t="str">
            <v>OULED BHAR KBAR KHOURIBGA</v>
          </cell>
          <cell r="I648" t="str">
            <v>D</v>
          </cell>
          <cell r="J648">
            <v>27428</v>
          </cell>
          <cell r="K648">
            <v>35431</v>
          </cell>
          <cell r="L648" t="str">
            <v>31</v>
          </cell>
          <cell r="M648" t="str">
            <v>A</v>
          </cell>
          <cell r="N648">
            <v>35431</v>
          </cell>
          <cell r="P648">
            <v>29</v>
          </cell>
          <cell r="Q648" t="str">
            <v>N</v>
          </cell>
          <cell r="R648" t="str">
            <v>N</v>
          </cell>
          <cell r="S648">
            <v>0</v>
          </cell>
          <cell r="T648" t="str">
            <v>M</v>
          </cell>
          <cell r="U648" t="str">
            <v>OUAZRI EL BOUCHTAOUIA</v>
          </cell>
          <cell r="X648">
            <v>4</v>
          </cell>
          <cell r="Y648">
            <v>3</v>
          </cell>
          <cell r="AB648" t="str">
            <v>X</v>
          </cell>
          <cell r="AC648" t="str">
            <v>X</v>
          </cell>
          <cell r="AD648" t="str">
            <v>X</v>
          </cell>
          <cell r="AH648" t="str">
            <v>N</v>
          </cell>
          <cell r="AI648" t="str">
            <v>N</v>
          </cell>
          <cell r="AK648" t="str">
            <v>32 RUE EL KOUFA HAY RIAD - KHGA</v>
          </cell>
          <cell r="AL648" t="str">
            <v>CM2</v>
          </cell>
          <cell r="AP648" t="str">
            <v>Q 42586</v>
          </cell>
          <cell r="AQ648">
            <v>0</v>
          </cell>
          <cell r="AR648" t="str">
            <v>B</v>
          </cell>
          <cell r="AS648" t="str">
            <v>BMCE - KHGA</v>
          </cell>
          <cell r="AT648" t="str">
            <v>40001200001205282</v>
          </cell>
          <cell r="AU648" t="str">
            <v>/  /</v>
          </cell>
          <cell r="AW648">
            <v>38169</v>
          </cell>
          <cell r="AY648" t="str">
            <v>XX</v>
          </cell>
          <cell r="AZ648" t="str">
            <v>M</v>
          </cell>
          <cell r="BA648" t="str">
            <v>2</v>
          </cell>
          <cell r="BB648">
            <v>1</v>
          </cell>
          <cell r="BD648">
            <v>0</v>
          </cell>
          <cell r="BE648" t="str">
            <v>M</v>
          </cell>
          <cell r="BF648" t="str">
            <v>N</v>
          </cell>
          <cell r="BG648">
            <v>0</v>
          </cell>
          <cell r="BH648">
            <v>38169</v>
          </cell>
          <cell r="BI648" t="str">
            <v>O</v>
          </cell>
        </row>
        <row r="649">
          <cell r="A649">
            <v>67269</v>
          </cell>
          <cell r="B649">
            <v>404</v>
          </cell>
          <cell r="C649" t="str">
            <v>C4260</v>
          </cell>
          <cell r="D649" t="str">
            <v>BAIZ</v>
          </cell>
          <cell r="E649" t="str">
            <v>MUSTAPHA</v>
          </cell>
          <cell r="F649">
            <v>18079</v>
          </cell>
          <cell r="H649" t="str">
            <v>KENITRA</v>
          </cell>
          <cell r="I649" t="str">
            <v>D</v>
          </cell>
          <cell r="J649">
            <v>27428</v>
          </cell>
          <cell r="K649">
            <v>37012</v>
          </cell>
          <cell r="L649" t="str">
            <v>22</v>
          </cell>
          <cell r="M649" t="str">
            <v>A</v>
          </cell>
          <cell r="N649">
            <v>37012</v>
          </cell>
          <cell r="O649">
            <v>0</v>
          </cell>
          <cell r="P649">
            <v>29</v>
          </cell>
          <cell r="Q649" t="str">
            <v>O</v>
          </cell>
          <cell r="R649" t="str">
            <v>N</v>
          </cell>
          <cell r="S649">
            <v>0</v>
          </cell>
          <cell r="T649" t="str">
            <v>M</v>
          </cell>
          <cell r="U649" t="str">
            <v>FATIMA BENT ABDELKADER</v>
          </cell>
          <cell r="X649">
            <v>6</v>
          </cell>
          <cell r="Y649">
            <v>2</v>
          </cell>
          <cell r="AB649" t="str">
            <v>X</v>
          </cell>
          <cell r="AC649" t="str">
            <v>X</v>
          </cell>
          <cell r="AD649" t="str">
            <v>X</v>
          </cell>
          <cell r="AH649" t="str">
            <v>N</v>
          </cell>
          <cell r="AI649" t="str">
            <v>N</v>
          </cell>
          <cell r="AK649" t="str">
            <v>181 NOUVELLE MEDINA OCP KHGA</v>
          </cell>
          <cell r="AL649" t="str">
            <v>CM2</v>
          </cell>
          <cell r="AP649" t="str">
            <v>Q 29854</v>
          </cell>
          <cell r="AQ649">
            <v>0</v>
          </cell>
          <cell r="AR649" t="str">
            <v>B</v>
          </cell>
          <cell r="AS649" t="str">
            <v>BMCE - KHGA</v>
          </cell>
          <cell r="AT649" t="str">
            <v>400001200001401610</v>
          </cell>
          <cell r="AU649" t="str">
            <v>/  /</v>
          </cell>
          <cell r="AW649">
            <v>37622</v>
          </cell>
          <cell r="AX649">
            <v>37555</v>
          </cell>
          <cell r="AY649" t="str">
            <v>XX</v>
          </cell>
          <cell r="BA649" t="str">
            <v>8ID</v>
          </cell>
          <cell r="BB649">
            <v>1</v>
          </cell>
          <cell r="BD649">
            <v>0</v>
          </cell>
          <cell r="BE649" t="str">
            <v>M</v>
          </cell>
          <cell r="BF649" t="str">
            <v>N</v>
          </cell>
          <cell r="BG649">
            <v>1</v>
          </cell>
          <cell r="BH649">
            <v>37073</v>
          </cell>
        </row>
        <row r="650">
          <cell r="A650">
            <v>67270</v>
          </cell>
          <cell r="B650">
            <v>468</v>
          </cell>
          <cell r="C650" t="str">
            <v>C4102</v>
          </cell>
          <cell r="D650" t="str">
            <v>CHAFADI</v>
          </cell>
          <cell r="E650" t="str">
            <v>MOHAMMED</v>
          </cell>
          <cell r="F650">
            <v>19540</v>
          </cell>
          <cell r="G650" t="str">
            <v>1</v>
          </cell>
          <cell r="H650" t="str">
            <v>OULED BHAR KBAR KHOURIBGA</v>
          </cell>
          <cell r="I650" t="str">
            <v>D</v>
          </cell>
          <cell r="J650">
            <v>27428</v>
          </cell>
          <cell r="K650">
            <v>29160</v>
          </cell>
          <cell r="L650" t="str">
            <v>22</v>
          </cell>
          <cell r="M650" t="str">
            <v>B</v>
          </cell>
          <cell r="N650">
            <v>35612</v>
          </cell>
          <cell r="P650">
            <v>29</v>
          </cell>
          <cell r="Q650" t="str">
            <v>O</v>
          </cell>
          <cell r="R650" t="str">
            <v>N</v>
          </cell>
          <cell r="S650">
            <v>0</v>
          </cell>
          <cell r="T650" t="str">
            <v>M</v>
          </cell>
          <cell r="U650" t="str">
            <v>ZOUBIR FATIMA BENT SALAH</v>
          </cell>
          <cell r="X650">
            <v>1</v>
          </cell>
          <cell r="Y650">
            <v>1</v>
          </cell>
          <cell r="AB650" t="str">
            <v>X</v>
          </cell>
          <cell r="AC650" t="str">
            <v>X</v>
          </cell>
          <cell r="AD650" t="str">
            <v>X</v>
          </cell>
          <cell r="AH650" t="str">
            <v>N</v>
          </cell>
          <cell r="AI650" t="str">
            <v>N</v>
          </cell>
          <cell r="AK650" t="str">
            <v>668 NELLE MEDINA DE SECHAGE KHGA</v>
          </cell>
          <cell r="AL650" t="str">
            <v>1AS</v>
          </cell>
          <cell r="AM650" t="str">
            <v>CEP.</v>
          </cell>
          <cell r="AP650" t="str">
            <v>Q 50912</v>
          </cell>
          <cell r="AQ650">
            <v>0</v>
          </cell>
          <cell r="AR650" t="str">
            <v>B</v>
          </cell>
          <cell r="AS650" t="str">
            <v>BMCE.KHGA</v>
          </cell>
          <cell r="AT650" t="str">
            <v>40001200000574103</v>
          </cell>
          <cell r="AU650" t="str">
            <v>/  /</v>
          </cell>
          <cell r="AW650">
            <v>37803</v>
          </cell>
          <cell r="AY650" t="str">
            <v>XX</v>
          </cell>
          <cell r="AZ650" t="str">
            <v>K</v>
          </cell>
          <cell r="BA650" t="str">
            <v>2</v>
          </cell>
          <cell r="BB650">
            <v>1</v>
          </cell>
          <cell r="BD650">
            <v>0</v>
          </cell>
          <cell r="BE650" t="str">
            <v>M</v>
          </cell>
          <cell r="BF650" t="str">
            <v>N</v>
          </cell>
          <cell r="BG650">
            <v>5</v>
          </cell>
          <cell r="BH650">
            <v>37803</v>
          </cell>
        </row>
        <row r="651">
          <cell r="A651">
            <v>67281</v>
          </cell>
          <cell r="B651">
            <v>461</v>
          </cell>
          <cell r="C651" t="str">
            <v>C6050</v>
          </cell>
          <cell r="D651" t="str">
            <v>CHAFFOUI</v>
          </cell>
          <cell r="E651" t="str">
            <v>ESSAID</v>
          </cell>
          <cell r="F651">
            <v>19997</v>
          </cell>
          <cell r="G651" t="str">
            <v>2</v>
          </cell>
          <cell r="H651" t="str">
            <v>OUED-ZEM</v>
          </cell>
          <cell r="I651" t="str">
            <v>D</v>
          </cell>
          <cell r="J651">
            <v>27428</v>
          </cell>
          <cell r="K651">
            <v>35065</v>
          </cell>
          <cell r="L651" t="str">
            <v>32</v>
          </cell>
          <cell r="M651" t="str">
            <v>A</v>
          </cell>
          <cell r="N651">
            <v>35065</v>
          </cell>
          <cell r="P651">
            <v>29</v>
          </cell>
          <cell r="Q651" t="str">
            <v>O</v>
          </cell>
          <cell r="R651" t="str">
            <v>N</v>
          </cell>
          <cell r="S651">
            <v>0</v>
          </cell>
          <cell r="T651" t="str">
            <v>M</v>
          </cell>
          <cell r="U651" t="str">
            <v>MARFOQ TOURIA</v>
          </cell>
          <cell r="X651">
            <v>4</v>
          </cell>
          <cell r="Y651">
            <v>4</v>
          </cell>
          <cell r="AB651" t="str">
            <v>X</v>
          </cell>
          <cell r="AC651" t="str">
            <v>X</v>
          </cell>
          <cell r="AD651" t="str">
            <v>X</v>
          </cell>
          <cell r="AE651" t="str">
            <v>MINI.EDUC.NAT</v>
          </cell>
          <cell r="AH651" t="str">
            <v>N</v>
          </cell>
          <cell r="AI651" t="str">
            <v>N</v>
          </cell>
          <cell r="AK651" t="str">
            <v>9 BLOC C EL MASSIRA - KHGA</v>
          </cell>
          <cell r="AL651" t="str">
            <v>4AS</v>
          </cell>
          <cell r="AM651" t="str">
            <v>CEP.</v>
          </cell>
          <cell r="AP651" t="str">
            <v>Q 29367</v>
          </cell>
          <cell r="AQ651">
            <v>0</v>
          </cell>
          <cell r="AR651" t="str">
            <v>B</v>
          </cell>
          <cell r="AS651" t="str">
            <v>POPULAIRE.KHGA</v>
          </cell>
          <cell r="AT651" t="str">
            <v>2111112765450007</v>
          </cell>
          <cell r="AU651" t="str">
            <v>/  /</v>
          </cell>
          <cell r="AW651">
            <v>38353</v>
          </cell>
          <cell r="AY651" t="str">
            <v>XX</v>
          </cell>
          <cell r="BA651" t="str">
            <v>8</v>
          </cell>
          <cell r="BB651">
            <v>1</v>
          </cell>
          <cell r="BC651" t="str">
            <v>O</v>
          </cell>
          <cell r="BD651">
            <v>4</v>
          </cell>
          <cell r="BE651" t="str">
            <v>M</v>
          </cell>
          <cell r="BF651" t="str">
            <v>N</v>
          </cell>
          <cell r="BG651">
            <v>5</v>
          </cell>
          <cell r="BH651">
            <v>38353</v>
          </cell>
          <cell r="BI651" t="str">
            <v>O</v>
          </cell>
        </row>
        <row r="652">
          <cell r="A652">
            <v>67322</v>
          </cell>
          <cell r="B652">
            <v>403</v>
          </cell>
          <cell r="C652" t="str">
            <v>C4152</v>
          </cell>
          <cell r="D652" t="str">
            <v>FRIHA</v>
          </cell>
          <cell r="E652" t="str">
            <v>MOHAMED</v>
          </cell>
          <cell r="F652">
            <v>19647</v>
          </cell>
          <cell r="H652" t="str">
            <v>AIT ISHAK - KHENIFRA</v>
          </cell>
          <cell r="I652" t="str">
            <v>D</v>
          </cell>
          <cell r="J652">
            <v>27428</v>
          </cell>
          <cell r="K652">
            <v>33573</v>
          </cell>
          <cell r="L652" t="str">
            <v>22</v>
          </cell>
          <cell r="M652" t="str">
            <v>C</v>
          </cell>
          <cell r="N652">
            <v>35612</v>
          </cell>
          <cell r="P652">
            <v>29</v>
          </cell>
          <cell r="Q652" t="str">
            <v>O</v>
          </cell>
          <cell r="R652" t="str">
            <v>N</v>
          </cell>
          <cell r="S652">
            <v>0</v>
          </cell>
          <cell r="T652" t="str">
            <v>M</v>
          </cell>
          <cell r="U652" t="str">
            <v>FATNA BENT LEKBIR</v>
          </cell>
          <cell r="X652">
            <v>5</v>
          </cell>
          <cell r="Y652">
            <v>3</v>
          </cell>
          <cell r="AB652" t="str">
            <v>X</v>
          </cell>
          <cell r="AC652" t="str">
            <v>X</v>
          </cell>
          <cell r="AD652" t="str">
            <v>X</v>
          </cell>
          <cell r="AH652" t="str">
            <v>N</v>
          </cell>
          <cell r="AI652" t="str">
            <v>N</v>
          </cell>
          <cell r="AK652" t="str">
            <v>952 EL MOUKAOUAMA - OUED ZEM</v>
          </cell>
          <cell r="AL652" t="str">
            <v>4AS</v>
          </cell>
          <cell r="AP652" t="str">
            <v>Q 49649</v>
          </cell>
          <cell r="AQ652">
            <v>0</v>
          </cell>
          <cell r="AR652" t="str">
            <v>B</v>
          </cell>
          <cell r="AS652" t="str">
            <v>POPULAIRE.O.ZEM</v>
          </cell>
          <cell r="AT652" t="str">
            <v>2111113030840006</v>
          </cell>
          <cell r="AU652" t="str">
            <v>/  /</v>
          </cell>
          <cell r="AW652">
            <v>37987</v>
          </cell>
          <cell r="AY652" t="str">
            <v>XX</v>
          </cell>
          <cell r="BA652" t="str">
            <v>1</v>
          </cell>
          <cell r="BB652">
            <v>1</v>
          </cell>
          <cell r="BD652">
            <v>0</v>
          </cell>
          <cell r="BE652" t="str">
            <v>M</v>
          </cell>
          <cell r="BF652" t="str">
            <v>N</v>
          </cell>
          <cell r="BG652">
            <v>30</v>
          </cell>
          <cell r="BH652">
            <v>37987</v>
          </cell>
          <cell r="BI652" t="str">
            <v>O</v>
          </cell>
        </row>
        <row r="653">
          <cell r="A653">
            <v>67327</v>
          </cell>
          <cell r="B653">
            <v>403</v>
          </cell>
          <cell r="C653" t="str">
            <v>C5050</v>
          </cell>
          <cell r="D653" t="str">
            <v>KARAFI</v>
          </cell>
          <cell r="E653" t="str">
            <v>AHMED</v>
          </cell>
          <cell r="F653">
            <v>19905</v>
          </cell>
          <cell r="H653" t="str">
            <v>BENI BRAHIM - SETTAT</v>
          </cell>
          <cell r="I653" t="str">
            <v>D</v>
          </cell>
          <cell r="J653">
            <v>27428</v>
          </cell>
          <cell r="K653">
            <v>32690</v>
          </cell>
          <cell r="L653" t="str">
            <v>31</v>
          </cell>
          <cell r="M653" t="str">
            <v>A</v>
          </cell>
          <cell r="N653">
            <v>32690</v>
          </cell>
          <cell r="P653">
            <v>29</v>
          </cell>
          <cell r="Q653" t="str">
            <v>O</v>
          </cell>
          <cell r="R653" t="str">
            <v>N</v>
          </cell>
          <cell r="S653">
            <v>0</v>
          </cell>
          <cell r="T653" t="str">
            <v>M</v>
          </cell>
          <cell r="U653" t="str">
            <v>LATIFA BENT MIDANE</v>
          </cell>
          <cell r="X653">
            <v>9</v>
          </cell>
          <cell r="Y653">
            <v>4</v>
          </cell>
          <cell r="AB653" t="str">
            <v>X</v>
          </cell>
          <cell r="AC653" t="str">
            <v>X</v>
          </cell>
          <cell r="AD653" t="str">
            <v>X</v>
          </cell>
          <cell r="AH653" t="str">
            <v>N</v>
          </cell>
          <cell r="AI653" t="str">
            <v>N</v>
          </cell>
          <cell r="AK653" t="str">
            <v>273 NLLE CONSTRUCTION DE SECHAGE KHGA</v>
          </cell>
          <cell r="AL653" t="str">
            <v>3AS</v>
          </cell>
          <cell r="AM653" t="str">
            <v>CEP.</v>
          </cell>
          <cell r="AP653" t="str">
            <v>Q 58889</v>
          </cell>
          <cell r="AQ653">
            <v>0</v>
          </cell>
          <cell r="AR653" t="str">
            <v>B</v>
          </cell>
          <cell r="AS653" t="str">
            <v>POPULAIRE.KHGA</v>
          </cell>
          <cell r="AT653" t="str">
            <v>2111113127320003</v>
          </cell>
          <cell r="AU653" t="str">
            <v>/  /</v>
          </cell>
          <cell r="AW653">
            <v>38169</v>
          </cell>
          <cell r="AY653" t="str">
            <v>XX</v>
          </cell>
          <cell r="BA653" t="str">
            <v>2</v>
          </cell>
          <cell r="BB653">
            <v>1</v>
          </cell>
          <cell r="BD653">
            <v>0</v>
          </cell>
          <cell r="BE653" t="str">
            <v>M</v>
          </cell>
          <cell r="BF653" t="str">
            <v>N</v>
          </cell>
          <cell r="BG653">
            <v>5</v>
          </cell>
          <cell r="BH653">
            <v>38169</v>
          </cell>
        </row>
        <row r="654">
          <cell r="A654">
            <v>67380</v>
          </cell>
          <cell r="B654">
            <v>466</v>
          </cell>
          <cell r="C654" t="str">
            <v>C5050</v>
          </cell>
          <cell r="D654" t="str">
            <v>ZILAF</v>
          </cell>
          <cell r="E654" t="str">
            <v>EL MILOUDI</v>
          </cell>
          <cell r="F654">
            <v>19540</v>
          </cell>
          <cell r="G654" t="str">
            <v>1</v>
          </cell>
          <cell r="H654" t="str">
            <v>OULED ABDOUNE - KHOURIBGA</v>
          </cell>
          <cell r="I654" t="str">
            <v>D</v>
          </cell>
          <cell r="J654">
            <v>27449</v>
          </cell>
          <cell r="K654">
            <v>37073</v>
          </cell>
          <cell r="L654" t="str">
            <v>31</v>
          </cell>
          <cell r="M654" t="str">
            <v>A</v>
          </cell>
          <cell r="N654">
            <v>37073</v>
          </cell>
          <cell r="P654">
            <v>29</v>
          </cell>
          <cell r="Q654" t="str">
            <v>O</v>
          </cell>
          <cell r="R654" t="str">
            <v>N</v>
          </cell>
          <cell r="S654">
            <v>0</v>
          </cell>
          <cell r="T654" t="str">
            <v>M</v>
          </cell>
          <cell r="U654" t="str">
            <v>ZILAF NAIMA BENT AHMED</v>
          </cell>
          <cell r="X654">
            <v>6</v>
          </cell>
          <cell r="Y654">
            <v>4</v>
          </cell>
          <cell r="AB654" t="str">
            <v>X</v>
          </cell>
          <cell r="AC654" t="str">
            <v>X</v>
          </cell>
          <cell r="AD654" t="str">
            <v>X</v>
          </cell>
          <cell r="AH654" t="str">
            <v>N</v>
          </cell>
          <cell r="AI654" t="str">
            <v>N</v>
          </cell>
          <cell r="AK654" t="str">
            <v>DOUAR LAMRAHNA OULED ABDOUNE KHGA</v>
          </cell>
          <cell r="AL654" t="str">
            <v>4AS</v>
          </cell>
          <cell r="AP654" t="str">
            <v>Q 25174</v>
          </cell>
          <cell r="AQ654">
            <v>0</v>
          </cell>
          <cell r="AR654" t="str">
            <v>B</v>
          </cell>
          <cell r="AS654" t="str">
            <v>POPULAIRE.KHGA</v>
          </cell>
          <cell r="AT654" t="str">
            <v>56487890008</v>
          </cell>
          <cell r="AU654" t="str">
            <v>/  /</v>
          </cell>
          <cell r="AW654">
            <v>37803</v>
          </cell>
          <cell r="AY654" t="str">
            <v>XX</v>
          </cell>
          <cell r="AZ654" t="str">
            <v>M</v>
          </cell>
          <cell r="BA654" t="str">
            <v>2</v>
          </cell>
          <cell r="BB654">
            <v>1</v>
          </cell>
          <cell r="BD654">
            <v>0</v>
          </cell>
          <cell r="BE654" t="str">
            <v>M</v>
          </cell>
          <cell r="BF654" t="str">
            <v>N</v>
          </cell>
          <cell r="BG654">
            <v>5</v>
          </cell>
          <cell r="BH654">
            <v>37803</v>
          </cell>
          <cell r="BI654" t="str">
            <v>O</v>
          </cell>
        </row>
        <row r="655">
          <cell r="A655">
            <v>67381</v>
          </cell>
          <cell r="B655">
            <v>421</v>
          </cell>
          <cell r="C655" t="str">
            <v>C4401</v>
          </cell>
          <cell r="D655" t="str">
            <v>SEKNAOUI</v>
          </cell>
          <cell r="E655" t="str">
            <v>MOHAMED</v>
          </cell>
          <cell r="F655">
            <v>20057</v>
          </cell>
          <cell r="G655" t="str">
            <v>6</v>
          </cell>
          <cell r="H655" t="str">
            <v>M'FASSIS</v>
          </cell>
          <cell r="I655" t="str">
            <v>D</v>
          </cell>
          <cell r="J655">
            <v>27450</v>
          </cell>
          <cell r="K655">
            <v>32478</v>
          </cell>
          <cell r="L655" t="str">
            <v>22</v>
          </cell>
          <cell r="M655" t="str">
            <v>C</v>
          </cell>
          <cell r="N655">
            <v>35612</v>
          </cell>
          <cell r="P655">
            <v>29</v>
          </cell>
          <cell r="Q655" t="str">
            <v>O</v>
          </cell>
          <cell r="R655" t="str">
            <v>N</v>
          </cell>
          <cell r="S655">
            <v>0</v>
          </cell>
          <cell r="T655" t="str">
            <v>M</v>
          </cell>
          <cell r="U655" t="str">
            <v>HALIMA BENT AHMED QARFI</v>
          </cell>
          <cell r="X655">
            <v>7</v>
          </cell>
          <cell r="Y655">
            <v>4</v>
          </cell>
          <cell r="AB655" t="str">
            <v>X</v>
          </cell>
          <cell r="AC655" t="str">
            <v>X</v>
          </cell>
          <cell r="AD655" t="str">
            <v>X</v>
          </cell>
          <cell r="AH655" t="str">
            <v>N</v>
          </cell>
          <cell r="AI655" t="str">
            <v>N</v>
          </cell>
          <cell r="AK655" t="str">
            <v>23 DERB 7 RUE TARIK IBN ZIAD - HATTANE</v>
          </cell>
          <cell r="AL655" t="str">
            <v>1AS</v>
          </cell>
          <cell r="AP655" t="str">
            <v>Q 23114</v>
          </cell>
          <cell r="AQ655">
            <v>0</v>
          </cell>
          <cell r="AR655" t="str">
            <v>B</v>
          </cell>
          <cell r="AS655" t="str">
            <v>CNCA .KHGA</v>
          </cell>
          <cell r="AT655" t="str">
            <v>805334 C 601</v>
          </cell>
          <cell r="AU655" t="str">
            <v>/  /</v>
          </cell>
          <cell r="AW655">
            <v>38353</v>
          </cell>
          <cell r="AY655" t="str">
            <v>A+</v>
          </cell>
          <cell r="BA655" t="str">
            <v>0</v>
          </cell>
          <cell r="BB655">
            <v>1</v>
          </cell>
          <cell r="BD655">
            <v>0</v>
          </cell>
          <cell r="BE655" t="str">
            <v>M</v>
          </cell>
          <cell r="BF655" t="str">
            <v>N</v>
          </cell>
          <cell r="BG655">
            <v>11</v>
          </cell>
          <cell r="BH655">
            <v>38353</v>
          </cell>
          <cell r="BI655" t="str">
            <v>O</v>
          </cell>
        </row>
        <row r="656">
          <cell r="A656">
            <v>67384</v>
          </cell>
          <cell r="B656">
            <v>438</v>
          </cell>
          <cell r="C656" t="str">
            <v>C3152</v>
          </cell>
          <cell r="D656" t="str">
            <v>HADYA</v>
          </cell>
          <cell r="E656" t="str">
            <v>AHMED</v>
          </cell>
          <cell r="F656">
            <v>19140</v>
          </cell>
          <cell r="G656" t="str">
            <v>1</v>
          </cell>
          <cell r="H656" t="str">
            <v>OULED ABDOUNE</v>
          </cell>
          <cell r="I656" t="str">
            <v>D</v>
          </cell>
          <cell r="J656">
            <v>27450</v>
          </cell>
          <cell r="K656">
            <v>36220</v>
          </cell>
          <cell r="L656" t="str">
            <v>21</v>
          </cell>
          <cell r="M656" t="str">
            <v>C</v>
          </cell>
          <cell r="N656">
            <v>36220</v>
          </cell>
          <cell r="P656">
            <v>29</v>
          </cell>
          <cell r="Q656" t="str">
            <v>N</v>
          </cell>
          <cell r="R656" t="str">
            <v>O</v>
          </cell>
          <cell r="S656">
            <v>3</v>
          </cell>
          <cell r="T656" t="str">
            <v>M</v>
          </cell>
          <cell r="U656" t="str">
            <v>MINA BENT MOHAMED</v>
          </cell>
          <cell r="X656">
            <v>5</v>
          </cell>
          <cell r="Y656">
            <v>3</v>
          </cell>
          <cell r="AB656" t="str">
            <v>X</v>
          </cell>
          <cell r="AC656" t="str">
            <v>X</v>
          </cell>
          <cell r="AD656" t="str">
            <v>X</v>
          </cell>
          <cell r="AH656" t="str">
            <v>N</v>
          </cell>
          <cell r="AI656" t="str">
            <v>N</v>
          </cell>
          <cell r="AK656" t="str">
            <v>DOUAR OULED CHEIKH ALI OULED ABDOUNE KHG</v>
          </cell>
          <cell r="AL656" t="str">
            <v>1AS</v>
          </cell>
          <cell r="AP656" t="str">
            <v>Q 44688</v>
          </cell>
          <cell r="AQ656">
            <v>0</v>
          </cell>
          <cell r="AR656" t="str">
            <v>B</v>
          </cell>
          <cell r="AS656" t="str">
            <v>POPULAIRE.KHGA</v>
          </cell>
          <cell r="AT656" t="str">
            <v>2111172871870001</v>
          </cell>
          <cell r="AU656" t="str">
            <v>/  /</v>
          </cell>
          <cell r="AW656">
            <v>37438</v>
          </cell>
          <cell r="AY656" t="str">
            <v>XX</v>
          </cell>
          <cell r="BA656" t="str">
            <v>6</v>
          </cell>
          <cell r="BB656">
            <v>1</v>
          </cell>
          <cell r="BC656" t="str">
            <v>N</v>
          </cell>
          <cell r="BD656">
            <v>0</v>
          </cell>
          <cell r="BE656" t="str">
            <v>M</v>
          </cell>
          <cell r="BF656" t="str">
            <v>N</v>
          </cell>
          <cell r="BG656">
            <v>0</v>
          </cell>
          <cell r="BH656">
            <v>37438</v>
          </cell>
          <cell r="BI656" t="str">
            <v>O</v>
          </cell>
        </row>
        <row r="657">
          <cell r="A657">
            <v>67396</v>
          </cell>
          <cell r="B657">
            <v>413</v>
          </cell>
          <cell r="C657" t="str">
            <v>C7200</v>
          </cell>
          <cell r="D657" t="str">
            <v>RAOUJI</v>
          </cell>
          <cell r="E657" t="str">
            <v>ABDERRAHMAN</v>
          </cell>
          <cell r="F657">
            <v>19619</v>
          </cell>
          <cell r="G657" t="str">
            <v>4</v>
          </cell>
          <cell r="H657" t="str">
            <v>BOULANOUAR</v>
          </cell>
          <cell r="I657" t="str">
            <v>D</v>
          </cell>
          <cell r="J657">
            <v>27452</v>
          </cell>
          <cell r="K657">
            <v>36526</v>
          </cell>
          <cell r="L657" t="str">
            <v>33</v>
          </cell>
          <cell r="M657" t="str">
            <v>A</v>
          </cell>
          <cell r="N657">
            <v>36526</v>
          </cell>
          <cell r="O657">
            <v>0</v>
          </cell>
          <cell r="P657">
            <v>29</v>
          </cell>
          <cell r="Q657" t="str">
            <v>O</v>
          </cell>
          <cell r="R657" t="str">
            <v>N</v>
          </cell>
          <cell r="S657">
            <v>0</v>
          </cell>
          <cell r="T657" t="str">
            <v>M</v>
          </cell>
          <cell r="U657" t="str">
            <v>KHADIJA BENT EL KBIR</v>
          </cell>
          <cell r="X657">
            <v>5</v>
          </cell>
          <cell r="Y657">
            <v>4</v>
          </cell>
          <cell r="AB657" t="str">
            <v>X</v>
          </cell>
          <cell r="AC657" t="str">
            <v>X</v>
          </cell>
          <cell r="AD657" t="str">
            <v>X</v>
          </cell>
          <cell r="AH657" t="str">
            <v>N</v>
          </cell>
          <cell r="AI657" t="str">
            <v>N</v>
          </cell>
          <cell r="AK657" t="str">
            <v>169 NOUVEAUX LOGEMENTS OCP KHGA</v>
          </cell>
          <cell r="AL657" t="str">
            <v>4AS</v>
          </cell>
          <cell r="AM657" t="str">
            <v>CEP.CFO</v>
          </cell>
          <cell r="AP657" t="str">
            <v>Q 69732</v>
          </cell>
          <cell r="AQ657">
            <v>0</v>
          </cell>
          <cell r="AR657" t="str">
            <v>B</v>
          </cell>
          <cell r="AS657" t="str">
            <v>BMCE.KHGA</v>
          </cell>
          <cell r="AT657" t="str">
            <v>40001200000682161</v>
          </cell>
          <cell r="AU657" t="str">
            <v>/  /</v>
          </cell>
          <cell r="AW657">
            <v>37987</v>
          </cell>
          <cell r="AY657" t="str">
            <v>XX</v>
          </cell>
          <cell r="BA657" t="str">
            <v>2</v>
          </cell>
          <cell r="BB657">
            <v>1</v>
          </cell>
          <cell r="BD657">
            <v>0</v>
          </cell>
          <cell r="BE657" t="str">
            <v>M</v>
          </cell>
          <cell r="BF657" t="str">
            <v>N</v>
          </cell>
          <cell r="BG657">
            <v>1</v>
          </cell>
          <cell r="BH657">
            <v>37987</v>
          </cell>
        </row>
        <row r="658">
          <cell r="A658">
            <v>67398</v>
          </cell>
          <cell r="B658">
            <v>428</v>
          </cell>
          <cell r="C658" t="str">
            <v>C6152</v>
          </cell>
          <cell r="D658" t="str">
            <v>AZELMAD</v>
          </cell>
          <cell r="E658" t="str">
            <v>LAHCEN</v>
          </cell>
          <cell r="F658">
            <v>17348</v>
          </cell>
          <cell r="H658" t="str">
            <v>AZILAL</v>
          </cell>
          <cell r="I658" t="str">
            <v>D</v>
          </cell>
          <cell r="J658">
            <v>27453</v>
          </cell>
          <cell r="K658">
            <v>35065</v>
          </cell>
          <cell r="L658" t="str">
            <v>32</v>
          </cell>
          <cell r="M658" t="str">
            <v>A</v>
          </cell>
          <cell r="N658">
            <v>35065</v>
          </cell>
          <cell r="P658">
            <v>29</v>
          </cell>
          <cell r="Q658" t="str">
            <v>O</v>
          </cell>
          <cell r="R658" t="str">
            <v>N</v>
          </cell>
          <cell r="S658">
            <v>0</v>
          </cell>
          <cell r="T658" t="str">
            <v>M</v>
          </cell>
          <cell r="U658" t="str">
            <v>FATIMA BENT HAMMOU OUSSAID</v>
          </cell>
          <cell r="X658">
            <v>5</v>
          </cell>
          <cell r="Y658">
            <v>3</v>
          </cell>
          <cell r="AB658" t="str">
            <v>X</v>
          </cell>
          <cell r="AC658" t="str">
            <v>X</v>
          </cell>
          <cell r="AD658" t="str">
            <v>X</v>
          </cell>
          <cell r="AH658" t="str">
            <v>N</v>
          </cell>
          <cell r="AI658" t="str">
            <v>N</v>
          </cell>
          <cell r="AK658" t="str">
            <v>44 M'HAMID EL GHIZLANE DB.OD.JAAFER KHGA</v>
          </cell>
          <cell r="AL658" t="str">
            <v>CM2</v>
          </cell>
          <cell r="AM658" t="str">
            <v>CEP.</v>
          </cell>
          <cell r="AP658" t="str">
            <v>Q 36550</v>
          </cell>
          <cell r="AQ658">
            <v>0</v>
          </cell>
          <cell r="AR658" t="str">
            <v>B</v>
          </cell>
          <cell r="AS658" t="str">
            <v>BCM - KHGA</v>
          </cell>
          <cell r="AT658" t="str">
            <v>233S300463</v>
          </cell>
          <cell r="AU658" t="str">
            <v>/  /</v>
          </cell>
          <cell r="AW658">
            <v>37622</v>
          </cell>
          <cell r="AX658">
            <v>37555</v>
          </cell>
          <cell r="AY658" t="str">
            <v>XX</v>
          </cell>
          <cell r="BA658" t="str">
            <v>1</v>
          </cell>
          <cell r="BB658">
            <v>1</v>
          </cell>
          <cell r="BC658" t="str">
            <v>O</v>
          </cell>
          <cell r="BD658">
            <v>4</v>
          </cell>
          <cell r="BE658" t="str">
            <v>M</v>
          </cell>
          <cell r="BF658" t="str">
            <v>N</v>
          </cell>
          <cell r="BG658">
            <v>4</v>
          </cell>
          <cell r="BH658">
            <v>37073</v>
          </cell>
        </row>
        <row r="659">
          <cell r="A659">
            <v>67399</v>
          </cell>
          <cell r="B659">
            <v>463</v>
          </cell>
          <cell r="C659" t="str">
            <v>C3200</v>
          </cell>
          <cell r="D659" t="str">
            <v>IBNASS</v>
          </cell>
          <cell r="E659" t="str">
            <v>SADIK</v>
          </cell>
          <cell r="F659">
            <v>19540</v>
          </cell>
          <cell r="G659" t="str">
            <v>2</v>
          </cell>
          <cell r="H659" t="str">
            <v>OUED-ZEM</v>
          </cell>
          <cell r="I659" t="str">
            <v>D</v>
          </cell>
          <cell r="J659">
            <v>27452</v>
          </cell>
          <cell r="K659">
            <v>36220</v>
          </cell>
          <cell r="L659" t="str">
            <v>21</v>
          </cell>
          <cell r="M659" t="str">
            <v>C</v>
          </cell>
          <cell r="N659">
            <v>36220</v>
          </cell>
          <cell r="P659">
            <v>29</v>
          </cell>
          <cell r="Q659" t="str">
            <v>O</v>
          </cell>
          <cell r="R659" t="str">
            <v>N</v>
          </cell>
          <cell r="S659">
            <v>0</v>
          </cell>
          <cell r="T659" t="str">
            <v>M</v>
          </cell>
          <cell r="U659" t="str">
            <v>EZOHRA BENT MED EL LAHRORI</v>
          </cell>
          <cell r="X659">
            <v>3</v>
          </cell>
          <cell r="Y659">
            <v>3</v>
          </cell>
          <cell r="AB659" t="str">
            <v>X</v>
          </cell>
          <cell r="AC659" t="str">
            <v>X</v>
          </cell>
          <cell r="AD659" t="str">
            <v>X</v>
          </cell>
          <cell r="AH659" t="str">
            <v>N</v>
          </cell>
          <cell r="AI659" t="str">
            <v>N</v>
          </cell>
          <cell r="AK659" t="str">
            <v>127 VILLAGE OCP OUED ZEM</v>
          </cell>
          <cell r="AL659" t="str">
            <v>2AS</v>
          </cell>
          <cell r="AP659" t="str">
            <v>Q 29009</v>
          </cell>
          <cell r="AQ659">
            <v>0</v>
          </cell>
          <cell r="AR659" t="str">
            <v>B</v>
          </cell>
          <cell r="AS659" t="str">
            <v>WAFABANK - KHGA</v>
          </cell>
          <cell r="AT659" t="str">
            <v>122031315835</v>
          </cell>
          <cell r="AU659" t="str">
            <v>/  /</v>
          </cell>
          <cell r="AW659">
            <v>37803</v>
          </cell>
          <cell r="AZ659" t="str">
            <v>R</v>
          </cell>
          <cell r="BA659" t="str">
            <v>2</v>
          </cell>
          <cell r="BB659">
            <v>1</v>
          </cell>
          <cell r="BD659">
            <v>0</v>
          </cell>
          <cell r="BE659" t="str">
            <v>M</v>
          </cell>
          <cell r="BF659" t="str">
            <v>N</v>
          </cell>
          <cell r="BG659">
            <v>31</v>
          </cell>
          <cell r="BH659">
            <v>37803</v>
          </cell>
          <cell r="BI659" t="str">
            <v>O</v>
          </cell>
        </row>
        <row r="660">
          <cell r="A660">
            <v>67400</v>
          </cell>
          <cell r="B660">
            <v>466</v>
          </cell>
          <cell r="C660" t="str">
            <v>C3152</v>
          </cell>
          <cell r="D660" t="str">
            <v>HAMRARAS</v>
          </cell>
          <cell r="E660" t="str">
            <v>MOHAMMED</v>
          </cell>
          <cell r="F660">
            <v>19540</v>
          </cell>
          <cell r="G660" t="str">
            <v>2</v>
          </cell>
          <cell r="H660" t="str">
            <v>BENI SMIR OUED-ZEM</v>
          </cell>
          <cell r="I660" t="str">
            <v>D</v>
          </cell>
          <cell r="J660">
            <v>27452</v>
          </cell>
          <cell r="K660">
            <v>33420</v>
          </cell>
          <cell r="L660" t="str">
            <v>21</v>
          </cell>
          <cell r="M660" t="str">
            <v>A</v>
          </cell>
          <cell r="N660">
            <v>33420</v>
          </cell>
          <cell r="P660">
            <v>29</v>
          </cell>
          <cell r="Q660" t="str">
            <v>O</v>
          </cell>
          <cell r="R660" t="str">
            <v>N</v>
          </cell>
          <cell r="S660">
            <v>0</v>
          </cell>
          <cell r="T660" t="str">
            <v>M</v>
          </cell>
          <cell r="U660" t="str">
            <v>MEKKAOUI FETTOUMA</v>
          </cell>
          <cell r="X660">
            <v>4</v>
          </cell>
          <cell r="Y660">
            <v>3</v>
          </cell>
          <cell r="AB660" t="str">
            <v>X</v>
          </cell>
          <cell r="AC660" t="str">
            <v>X</v>
          </cell>
          <cell r="AD660" t="str">
            <v>X</v>
          </cell>
          <cell r="AH660" t="str">
            <v>N</v>
          </cell>
          <cell r="AI660" t="str">
            <v>N</v>
          </cell>
          <cell r="AK660" t="str">
            <v>113 VILLAGE O.C.P OUED ZEM</v>
          </cell>
          <cell r="AL660" t="str">
            <v>1AS</v>
          </cell>
          <cell r="AP660" t="str">
            <v>Q 50212</v>
          </cell>
          <cell r="AQ660">
            <v>0</v>
          </cell>
          <cell r="AR660" t="str">
            <v>B</v>
          </cell>
          <cell r="AS660" t="str">
            <v>WAFABANK - KHGA</v>
          </cell>
          <cell r="AT660" t="str">
            <v>1220301313714</v>
          </cell>
          <cell r="AU660" t="str">
            <v>/  /</v>
          </cell>
          <cell r="AW660">
            <v>37803</v>
          </cell>
          <cell r="AY660" t="str">
            <v>XX</v>
          </cell>
          <cell r="BA660" t="str">
            <v>1</v>
          </cell>
          <cell r="BB660">
            <v>1</v>
          </cell>
          <cell r="BD660">
            <v>0</v>
          </cell>
          <cell r="BE660" t="str">
            <v>M</v>
          </cell>
          <cell r="BF660" t="str">
            <v>N</v>
          </cell>
          <cell r="BG660">
            <v>31</v>
          </cell>
          <cell r="BH660">
            <v>37803</v>
          </cell>
        </row>
        <row r="661">
          <cell r="A661">
            <v>67409</v>
          </cell>
          <cell r="B661">
            <v>413</v>
          </cell>
          <cell r="C661" t="str">
            <v>C3200</v>
          </cell>
          <cell r="D661" t="str">
            <v>LAHSSINI</v>
          </cell>
          <cell r="E661" t="str">
            <v>EL HAJ</v>
          </cell>
          <cell r="F661">
            <v>19260</v>
          </cell>
          <cell r="G661" t="str">
            <v>2</v>
          </cell>
          <cell r="H661" t="str">
            <v>SMAALA</v>
          </cell>
          <cell r="I661" t="str">
            <v>D</v>
          </cell>
          <cell r="J661">
            <v>27458</v>
          </cell>
          <cell r="K661">
            <v>35674</v>
          </cell>
          <cell r="L661" t="str">
            <v>21</v>
          </cell>
          <cell r="M661" t="str">
            <v>C</v>
          </cell>
          <cell r="N661">
            <v>35674</v>
          </cell>
          <cell r="P661">
            <v>28</v>
          </cell>
          <cell r="Q661" t="str">
            <v>O</v>
          </cell>
          <cell r="R661" t="str">
            <v>N</v>
          </cell>
          <cell r="S661">
            <v>0</v>
          </cell>
          <cell r="T661" t="str">
            <v>M</v>
          </cell>
          <cell r="U661" t="str">
            <v>SMAD ZAHRA BENT MOHAMMED</v>
          </cell>
          <cell r="X661">
            <v>4</v>
          </cell>
          <cell r="Y661">
            <v>4</v>
          </cell>
          <cell r="AB661" t="str">
            <v>N</v>
          </cell>
          <cell r="AC661" t="str">
            <v>X</v>
          </cell>
          <cell r="AD661" t="str">
            <v>X</v>
          </cell>
          <cell r="AH661" t="str">
            <v>O</v>
          </cell>
          <cell r="AI661" t="str">
            <v>N</v>
          </cell>
          <cell r="AK661" t="str">
            <v>217 VILLAGE OCP - BOULANOIR</v>
          </cell>
          <cell r="AL661" t="str">
            <v>3 A.S</v>
          </cell>
          <cell r="AM661" t="str">
            <v>CEP.</v>
          </cell>
          <cell r="AP661" t="str">
            <v>Q 87711</v>
          </cell>
          <cell r="AQ661">
            <v>0</v>
          </cell>
          <cell r="AR661" t="str">
            <v>B</v>
          </cell>
          <cell r="AS661" t="str">
            <v>C.I.H - KHGA</v>
          </cell>
          <cell r="AT661" t="str">
            <v>9388430211004700</v>
          </cell>
          <cell r="AU661" t="str">
            <v>/  /</v>
          </cell>
          <cell r="AW661">
            <v>37622</v>
          </cell>
          <cell r="AY661" t="str">
            <v>XX</v>
          </cell>
          <cell r="AZ661" t="str">
            <v>K</v>
          </cell>
          <cell r="BA661" t="str">
            <v>2</v>
          </cell>
          <cell r="BB661">
            <v>1</v>
          </cell>
          <cell r="BD661">
            <v>0</v>
          </cell>
          <cell r="BE661" t="str">
            <v>M</v>
          </cell>
          <cell r="BF661" t="str">
            <v>N</v>
          </cell>
          <cell r="BG661">
            <v>1</v>
          </cell>
          <cell r="BH661">
            <v>37622</v>
          </cell>
        </row>
        <row r="662">
          <cell r="A662">
            <v>67431</v>
          </cell>
          <cell r="B662">
            <v>421</v>
          </cell>
          <cell r="C662" t="str">
            <v>C5017</v>
          </cell>
          <cell r="D662" t="str">
            <v>JLAILI</v>
          </cell>
          <cell r="E662" t="str">
            <v>CHERKI</v>
          </cell>
          <cell r="F662">
            <v>19486</v>
          </cell>
          <cell r="G662" t="str">
            <v>3</v>
          </cell>
          <cell r="H662" t="str">
            <v>BOUJNIBA</v>
          </cell>
          <cell r="I662" t="str">
            <v>D</v>
          </cell>
          <cell r="J662">
            <v>27466</v>
          </cell>
          <cell r="K662">
            <v>31625</v>
          </cell>
          <cell r="L662" t="str">
            <v>31</v>
          </cell>
          <cell r="M662" t="str">
            <v>C</v>
          </cell>
          <cell r="N662">
            <v>35612</v>
          </cell>
          <cell r="P662">
            <v>28</v>
          </cell>
          <cell r="Q662" t="str">
            <v>O</v>
          </cell>
          <cell r="R662" t="str">
            <v>N</v>
          </cell>
          <cell r="S662">
            <v>0</v>
          </cell>
          <cell r="T662" t="str">
            <v>M</v>
          </cell>
          <cell r="U662" t="str">
            <v>ZOHRA BENT EL MAATI CHARRAH</v>
          </cell>
          <cell r="X662">
            <v>4</v>
          </cell>
          <cell r="Y662">
            <v>3</v>
          </cell>
          <cell r="AB662" t="str">
            <v>X</v>
          </cell>
          <cell r="AC662" t="str">
            <v>X</v>
          </cell>
          <cell r="AD662" t="str">
            <v>X</v>
          </cell>
          <cell r="AH662" t="str">
            <v>N</v>
          </cell>
          <cell r="AI662" t="str">
            <v>N</v>
          </cell>
          <cell r="AK662" t="str">
            <v>244 DERB 1 -  BOUJNIBA</v>
          </cell>
          <cell r="AL662" t="str">
            <v>5AS</v>
          </cell>
          <cell r="AM662" t="str">
            <v>CFO.</v>
          </cell>
          <cell r="AP662" t="str">
            <v>Q 4521</v>
          </cell>
          <cell r="AQ662">
            <v>0</v>
          </cell>
          <cell r="AR662" t="str">
            <v>X</v>
          </cell>
          <cell r="AU662" t="str">
            <v>/  /</v>
          </cell>
          <cell r="AW662">
            <v>37803</v>
          </cell>
          <cell r="AY662" t="str">
            <v>XX</v>
          </cell>
          <cell r="BA662" t="str">
            <v>2</v>
          </cell>
          <cell r="BB662">
            <v>1</v>
          </cell>
          <cell r="BC662" t="str">
            <v>O</v>
          </cell>
          <cell r="BD662">
            <v>4</v>
          </cell>
          <cell r="BE662" t="str">
            <v>M</v>
          </cell>
          <cell r="BF662" t="str">
            <v>N</v>
          </cell>
          <cell r="BG662">
            <v>51</v>
          </cell>
          <cell r="BH662">
            <v>37803</v>
          </cell>
        </row>
        <row r="663">
          <cell r="A663">
            <v>67484</v>
          </cell>
          <cell r="B663">
            <v>409</v>
          </cell>
          <cell r="C663" t="str">
            <v>C7002</v>
          </cell>
          <cell r="D663" t="str">
            <v>EL KHAMAR</v>
          </cell>
          <cell r="E663" t="str">
            <v>EL HAJ</v>
          </cell>
          <cell r="F663">
            <v>19175</v>
          </cell>
          <cell r="H663" t="str">
            <v>MEKNES</v>
          </cell>
          <cell r="I663" t="str">
            <v>F</v>
          </cell>
          <cell r="J663">
            <v>27474</v>
          </cell>
          <cell r="K663">
            <v>29403</v>
          </cell>
          <cell r="L663" t="str">
            <v>33</v>
          </cell>
          <cell r="M663" t="str">
            <v>D</v>
          </cell>
          <cell r="N663">
            <v>35612</v>
          </cell>
          <cell r="P663">
            <v>28</v>
          </cell>
          <cell r="Q663" t="str">
            <v>O</v>
          </cell>
          <cell r="R663" t="str">
            <v>N</v>
          </cell>
          <cell r="S663">
            <v>0</v>
          </cell>
          <cell r="T663" t="str">
            <v>M</v>
          </cell>
          <cell r="U663" t="str">
            <v>AMMARI NAJAT BENT AHMED</v>
          </cell>
          <cell r="X663">
            <v>3</v>
          </cell>
          <cell r="Y663">
            <v>2</v>
          </cell>
          <cell r="AB663" t="str">
            <v>N</v>
          </cell>
          <cell r="AC663" t="str">
            <v>X</v>
          </cell>
          <cell r="AD663" t="str">
            <v>X</v>
          </cell>
          <cell r="AH663" t="str">
            <v>N</v>
          </cell>
          <cell r="AI663" t="str">
            <v>N</v>
          </cell>
          <cell r="AK663" t="str">
            <v>66 RUE SIJILMASSA NAHDA - KHOURIBGA</v>
          </cell>
          <cell r="AL663" t="str">
            <v>4AS</v>
          </cell>
          <cell r="AM663" t="str">
            <v>CFP(TOLERIE-SOUDURE) CFO.</v>
          </cell>
          <cell r="AN663" t="str">
            <v>49═72═60</v>
          </cell>
          <cell r="AP663" t="str">
            <v>Q 39781</v>
          </cell>
          <cell r="AQ663">
            <v>0</v>
          </cell>
          <cell r="AR663" t="str">
            <v>B</v>
          </cell>
          <cell r="AS663" t="str">
            <v>CR-MAROC - KHGA</v>
          </cell>
          <cell r="AT663" t="str">
            <v>8200106129904</v>
          </cell>
          <cell r="AU663" t="str">
            <v>/  /</v>
          </cell>
          <cell r="AW663">
            <v>37438</v>
          </cell>
          <cell r="AY663" t="str">
            <v>XX</v>
          </cell>
          <cell r="AZ663" t="str">
            <v>M</v>
          </cell>
          <cell r="BA663" t="str">
            <v>2</v>
          </cell>
          <cell r="BB663">
            <v>1</v>
          </cell>
          <cell r="BD663">
            <v>0</v>
          </cell>
          <cell r="BE663" t="str">
            <v>M</v>
          </cell>
          <cell r="BF663" t="str">
            <v>N</v>
          </cell>
          <cell r="BG663">
            <v>1</v>
          </cell>
          <cell r="BH663">
            <v>37438</v>
          </cell>
        </row>
        <row r="664">
          <cell r="A664">
            <v>67611</v>
          </cell>
          <cell r="B664">
            <v>466</v>
          </cell>
          <cell r="C664" t="str">
            <v>C6050</v>
          </cell>
          <cell r="D664" t="str">
            <v>AQUAJOU</v>
          </cell>
          <cell r="E664" t="str">
            <v>MOHAMMAD</v>
          </cell>
          <cell r="F664">
            <v>17348</v>
          </cell>
          <cell r="H664" t="str">
            <v>DOUAR ZALGUENE - BZOU</v>
          </cell>
          <cell r="I664" t="str">
            <v>D</v>
          </cell>
          <cell r="J664">
            <v>27498</v>
          </cell>
          <cell r="K664">
            <v>36526</v>
          </cell>
          <cell r="L664" t="str">
            <v>32</v>
          </cell>
          <cell r="M664" t="str">
            <v>A</v>
          </cell>
          <cell r="N664">
            <v>36526</v>
          </cell>
          <cell r="P664">
            <v>28</v>
          </cell>
          <cell r="Q664" t="str">
            <v>O</v>
          </cell>
          <cell r="R664" t="str">
            <v>N</v>
          </cell>
          <cell r="S664">
            <v>0</v>
          </cell>
          <cell r="T664" t="str">
            <v>M</v>
          </cell>
          <cell r="U664" t="str">
            <v>HALIMA BENT HAJJOUB</v>
          </cell>
          <cell r="X664">
            <v>6</v>
          </cell>
          <cell r="Y664">
            <v>1</v>
          </cell>
          <cell r="AB664" t="str">
            <v>X</v>
          </cell>
          <cell r="AC664" t="str">
            <v>X</v>
          </cell>
          <cell r="AD664" t="str">
            <v>X</v>
          </cell>
          <cell r="AH664" t="str">
            <v>N</v>
          </cell>
          <cell r="AI664" t="str">
            <v>N</v>
          </cell>
          <cell r="AK664" t="str">
            <v>25 LOTISSEMENT HADJ TAGHI - OUED ZEM</v>
          </cell>
          <cell r="AL664" t="str">
            <v>5AS</v>
          </cell>
          <cell r="AP664" t="str">
            <v>I 174</v>
          </cell>
          <cell r="AQ664">
            <v>0</v>
          </cell>
          <cell r="AR664" t="str">
            <v>B</v>
          </cell>
          <cell r="AS664" t="str">
            <v>BMCE.OUED ZEM</v>
          </cell>
          <cell r="AT664" t="str">
            <v>41101200000031379</v>
          </cell>
          <cell r="AU664" t="str">
            <v>/  /</v>
          </cell>
          <cell r="AW664">
            <v>37622</v>
          </cell>
          <cell r="AX664">
            <v>37555</v>
          </cell>
          <cell r="AY664" t="str">
            <v>XX</v>
          </cell>
          <cell r="BA664" t="str">
            <v>2</v>
          </cell>
          <cell r="BB664">
            <v>1</v>
          </cell>
          <cell r="BD664">
            <v>0</v>
          </cell>
          <cell r="BE664" t="str">
            <v>M</v>
          </cell>
          <cell r="BF664" t="str">
            <v>N</v>
          </cell>
          <cell r="BG664">
            <v>31</v>
          </cell>
          <cell r="BH664">
            <v>37257</v>
          </cell>
          <cell r="BI664" t="str">
            <v>O</v>
          </cell>
        </row>
        <row r="665">
          <cell r="A665">
            <v>67614</v>
          </cell>
          <cell r="B665">
            <v>456</v>
          </cell>
          <cell r="C665" t="str">
            <v>C3152</v>
          </cell>
          <cell r="D665" t="str">
            <v>ES-SOUFI</v>
          </cell>
          <cell r="E665" t="str">
            <v>MOHAMED</v>
          </cell>
          <cell r="F665">
            <v>20270</v>
          </cell>
          <cell r="G665" t="str">
            <v>1</v>
          </cell>
          <cell r="H665" t="str">
            <v>OULED BHAR KBAR KHOURIBGA</v>
          </cell>
          <cell r="I665" t="str">
            <v>D</v>
          </cell>
          <cell r="J665">
            <v>27494</v>
          </cell>
          <cell r="K665">
            <v>35096</v>
          </cell>
          <cell r="L665" t="str">
            <v>21</v>
          </cell>
          <cell r="M665" t="str">
            <v>B</v>
          </cell>
          <cell r="N665">
            <v>35096</v>
          </cell>
          <cell r="P665">
            <v>28</v>
          </cell>
          <cell r="Q665" t="str">
            <v>O</v>
          </cell>
          <cell r="R665" t="str">
            <v>N</v>
          </cell>
          <cell r="S665">
            <v>0</v>
          </cell>
          <cell r="T665" t="str">
            <v>M</v>
          </cell>
          <cell r="U665" t="str">
            <v>EL AKHDAR MALIKA</v>
          </cell>
          <cell r="X665">
            <v>6</v>
          </cell>
          <cell r="Y665">
            <v>2</v>
          </cell>
          <cell r="AB665" t="str">
            <v>X</v>
          </cell>
          <cell r="AC665" t="str">
            <v>X</v>
          </cell>
          <cell r="AD665" t="str">
            <v>X</v>
          </cell>
          <cell r="AH665" t="str">
            <v>N</v>
          </cell>
          <cell r="AI665" t="str">
            <v>N</v>
          </cell>
          <cell r="AK665" t="str">
            <v>DOUAR OULED SRHIER  BIR-MEZOUI</v>
          </cell>
          <cell r="AL665" t="str">
            <v>3AS</v>
          </cell>
          <cell r="AM665" t="str">
            <v>CEP</v>
          </cell>
          <cell r="AP665" t="str">
            <v>Q 57166</v>
          </cell>
          <cell r="AQ665">
            <v>0</v>
          </cell>
          <cell r="AR665" t="str">
            <v>B</v>
          </cell>
          <cell r="AS665" t="str">
            <v>B.M.C.I - O.ZEM</v>
          </cell>
          <cell r="AT665" t="str">
            <v>02521789316301</v>
          </cell>
          <cell r="AU665" t="str">
            <v>/  /</v>
          </cell>
          <cell r="AW665">
            <v>38534</v>
          </cell>
          <cell r="AY665" t="str">
            <v>XX</v>
          </cell>
          <cell r="BA665" t="str">
            <v>1</v>
          </cell>
          <cell r="BB665">
            <v>1</v>
          </cell>
          <cell r="BD665">
            <v>0</v>
          </cell>
          <cell r="BE665" t="str">
            <v>M</v>
          </cell>
          <cell r="BF665" t="str">
            <v>N</v>
          </cell>
          <cell r="BG665">
            <v>51</v>
          </cell>
          <cell r="BH665">
            <v>38534</v>
          </cell>
        </row>
        <row r="666">
          <cell r="A666">
            <v>67625</v>
          </cell>
          <cell r="B666">
            <v>461</v>
          </cell>
          <cell r="C666" t="str">
            <v>C4152</v>
          </cell>
          <cell r="D666" t="str">
            <v>EL QANIT</v>
          </cell>
          <cell r="E666" t="str">
            <v>MOHAMED</v>
          </cell>
          <cell r="F666">
            <v>20071</v>
          </cell>
          <cell r="G666" t="str">
            <v>1</v>
          </cell>
          <cell r="H666" t="str">
            <v>OULED BHAR SGHAR KHOURIBGA</v>
          </cell>
          <cell r="I666" t="str">
            <v>D</v>
          </cell>
          <cell r="J666">
            <v>27499</v>
          </cell>
          <cell r="K666">
            <v>36526</v>
          </cell>
          <cell r="L666" t="str">
            <v>22</v>
          </cell>
          <cell r="M666" t="str">
            <v>A</v>
          </cell>
          <cell r="N666">
            <v>36526</v>
          </cell>
          <cell r="P666">
            <v>28</v>
          </cell>
          <cell r="Q666" t="str">
            <v>O</v>
          </cell>
          <cell r="R666" t="str">
            <v>N</v>
          </cell>
          <cell r="S666">
            <v>0</v>
          </cell>
          <cell r="T666" t="str">
            <v>M</v>
          </cell>
          <cell r="U666" t="str">
            <v>HAMLADI SALHA BENT EL MAATI</v>
          </cell>
          <cell r="X666">
            <v>6</v>
          </cell>
          <cell r="Y666">
            <v>4</v>
          </cell>
          <cell r="AB666" t="str">
            <v>X</v>
          </cell>
          <cell r="AC666" t="str">
            <v>X</v>
          </cell>
          <cell r="AD666" t="str">
            <v>X</v>
          </cell>
          <cell r="AH666" t="str">
            <v>N</v>
          </cell>
          <cell r="AI666" t="str">
            <v>N</v>
          </cell>
          <cell r="AK666" t="str">
            <v>265 DERB 1 - BOUJNIBA</v>
          </cell>
          <cell r="AL666" t="str">
            <v>CM2</v>
          </cell>
          <cell r="AP666" t="str">
            <v>Q 90065</v>
          </cell>
          <cell r="AQ666">
            <v>0</v>
          </cell>
          <cell r="AR666" t="str">
            <v>B</v>
          </cell>
          <cell r="AS666" t="str">
            <v>C.N.C.A  KHGA</v>
          </cell>
          <cell r="AT666" t="str">
            <v>0806236B601</v>
          </cell>
          <cell r="AU666" t="str">
            <v>/  /</v>
          </cell>
          <cell r="AW666">
            <v>39878</v>
          </cell>
          <cell r="AX666">
            <v>39878</v>
          </cell>
          <cell r="AY666" t="str">
            <v>XX</v>
          </cell>
          <cell r="BA666" t="str">
            <v>1</v>
          </cell>
          <cell r="BB666">
            <v>1</v>
          </cell>
          <cell r="BD666">
            <v>0</v>
          </cell>
          <cell r="BE666" t="str">
            <v>M</v>
          </cell>
          <cell r="BF666" t="str">
            <v>N</v>
          </cell>
          <cell r="BG666">
            <v>51</v>
          </cell>
          <cell r="BH666">
            <v>38534</v>
          </cell>
          <cell r="BI666" t="str">
            <v>O</v>
          </cell>
        </row>
        <row r="667">
          <cell r="A667">
            <v>67687</v>
          </cell>
          <cell r="B667">
            <v>461</v>
          </cell>
          <cell r="C667" t="str">
            <v>C4152</v>
          </cell>
          <cell r="D667" t="str">
            <v>CHEMCHAQ</v>
          </cell>
          <cell r="E667" t="str">
            <v>MOHAMMED</v>
          </cell>
          <cell r="F667">
            <v>20176</v>
          </cell>
          <cell r="G667" t="str">
            <v>6</v>
          </cell>
          <cell r="H667" t="str">
            <v>M'FASSIS</v>
          </cell>
          <cell r="I667" t="str">
            <v>D</v>
          </cell>
          <cell r="J667">
            <v>27514</v>
          </cell>
          <cell r="K667">
            <v>33573</v>
          </cell>
          <cell r="L667" t="str">
            <v>22</v>
          </cell>
          <cell r="M667" t="str">
            <v>B</v>
          </cell>
          <cell r="N667">
            <v>35612</v>
          </cell>
          <cell r="P667">
            <v>28</v>
          </cell>
          <cell r="Q667" t="str">
            <v>O</v>
          </cell>
          <cell r="R667" t="str">
            <v>N</v>
          </cell>
          <cell r="S667">
            <v>0</v>
          </cell>
          <cell r="T667" t="str">
            <v>M</v>
          </cell>
          <cell r="U667" t="str">
            <v>ZOUBIDA BENT JILALI</v>
          </cell>
          <cell r="X667">
            <v>6</v>
          </cell>
          <cell r="Y667">
            <v>4</v>
          </cell>
          <cell r="AB667" t="str">
            <v>X</v>
          </cell>
          <cell r="AC667" t="str">
            <v>X</v>
          </cell>
          <cell r="AD667" t="str">
            <v>X</v>
          </cell>
          <cell r="AH667" t="str">
            <v>N</v>
          </cell>
          <cell r="AI667" t="str">
            <v>N</v>
          </cell>
          <cell r="AK667" t="str">
            <v>163 VILLAGE OCP OUED ZEM</v>
          </cell>
          <cell r="AL667" t="str">
            <v>CM2</v>
          </cell>
          <cell r="AP667" t="str">
            <v>Q 83641</v>
          </cell>
          <cell r="AQ667">
            <v>0</v>
          </cell>
          <cell r="AR667" t="str">
            <v>B</v>
          </cell>
          <cell r="AS667" t="str">
            <v>POPULAIRE.O.ZEM</v>
          </cell>
          <cell r="AT667" t="str">
            <v>2111113036710005</v>
          </cell>
          <cell r="AU667" t="str">
            <v>/  /</v>
          </cell>
          <cell r="AW667">
            <v>38534</v>
          </cell>
          <cell r="AY667" t="str">
            <v>XX</v>
          </cell>
          <cell r="AZ667" t="str">
            <v>M</v>
          </cell>
          <cell r="BA667" t="str">
            <v>1</v>
          </cell>
          <cell r="BB667">
            <v>1</v>
          </cell>
          <cell r="BD667">
            <v>0</v>
          </cell>
          <cell r="BE667" t="str">
            <v>M</v>
          </cell>
          <cell r="BF667" t="str">
            <v>N</v>
          </cell>
          <cell r="BG667">
            <v>31</v>
          </cell>
          <cell r="BH667">
            <v>38534</v>
          </cell>
        </row>
        <row r="668">
          <cell r="A668">
            <v>67699</v>
          </cell>
          <cell r="B668">
            <v>461</v>
          </cell>
          <cell r="C668" t="str">
            <v>C3017</v>
          </cell>
          <cell r="D668" t="str">
            <v>MAZIRI</v>
          </cell>
          <cell r="E668" t="str">
            <v>EL ARBI</v>
          </cell>
          <cell r="F668">
            <v>19540</v>
          </cell>
          <cell r="G668" t="str">
            <v>6</v>
          </cell>
          <cell r="H668" t="str">
            <v>OULED AZZOUZ</v>
          </cell>
          <cell r="I668" t="str">
            <v>D</v>
          </cell>
          <cell r="J668">
            <v>27516</v>
          </cell>
          <cell r="K668">
            <v>36312</v>
          </cell>
          <cell r="L668" t="str">
            <v>21</v>
          </cell>
          <cell r="M668" t="str">
            <v>D</v>
          </cell>
          <cell r="N668">
            <v>36312</v>
          </cell>
          <cell r="P668">
            <v>27</v>
          </cell>
          <cell r="Q668" t="str">
            <v>O</v>
          </cell>
          <cell r="R668" t="str">
            <v>N</v>
          </cell>
          <cell r="S668">
            <v>0</v>
          </cell>
          <cell r="T668" t="str">
            <v>M</v>
          </cell>
          <cell r="U668" t="str">
            <v>ZAHRA BENT BOUZEKRI</v>
          </cell>
          <cell r="X668">
            <v>6</v>
          </cell>
          <cell r="Y668">
            <v>2</v>
          </cell>
          <cell r="AB668" t="str">
            <v>X</v>
          </cell>
          <cell r="AC668" t="str">
            <v>X</v>
          </cell>
          <cell r="AD668" t="str">
            <v>X</v>
          </cell>
          <cell r="AH668" t="str">
            <v>O</v>
          </cell>
          <cell r="AI668" t="str">
            <v>N</v>
          </cell>
          <cell r="AK668" t="str">
            <v>587 VILLAGE O.C.P - BOUJNIBA</v>
          </cell>
          <cell r="AL668" t="str">
            <v>4AS.NA</v>
          </cell>
          <cell r="AM668" t="str">
            <v>CEP.</v>
          </cell>
          <cell r="AP668" t="str">
            <v>Q 81331</v>
          </cell>
          <cell r="AQ668">
            <v>0</v>
          </cell>
          <cell r="AR668" t="str">
            <v>B</v>
          </cell>
          <cell r="AS668" t="str">
            <v>CREDIT DU MAROC</v>
          </cell>
          <cell r="AT668" t="str">
            <v>820010003957</v>
          </cell>
          <cell r="AU668" t="str">
            <v>/  /</v>
          </cell>
          <cell r="AW668">
            <v>37803</v>
          </cell>
          <cell r="AY668" t="str">
            <v>XX</v>
          </cell>
          <cell r="BA668" t="str">
            <v>2</v>
          </cell>
          <cell r="BB668">
            <v>1</v>
          </cell>
          <cell r="BD668">
            <v>0</v>
          </cell>
          <cell r="BE668" t="str">
            <v>M</v>
          </cell>
          <cell r="BF668" t="str">
            <v>N</v>
          </cell>
          <cell r="BG668">
            <v>51</v>
          </cell>
          <cell r="BH668">
            <v>37803</v>
          </cell>
        </row>
        <row r="669">
          <cell r="A669">
            <v>67713</v>
          </cell>
          <cell r="B669">
            <v>461</v>
          </cell>
          <cell r="C669" t="str">
            <v>C4152</v>
          </cell>
          <cell r="D669" t="str">
            <v>MOUKRIM</v>
          </cell>
          <cell r="E669" t="str">
            <v>MOHAMMED</v>
          </cell>
          <cell r="F669">
            <v>19929</v>
          </cell>
          <cell r="G669" t="str">
            <v>1</v>
          </cell>
          <cell r="H669" t="str">
            <v>KHOURIBGA</v>
          </cell>
          <cell r="I669" t="str">
            <v>D</v>
          </cell>
          <cell r="J669">
            <v>27522</v>
          </cell>
          <cell r="K669">
            <v>37377</v>
          </cell>
          <cell r="L669" t="str">
            <v>22</v>
          </cell>
          <cell r="M669" t="str">
            <v>A</v>
          </cell>
          <cell r="N669">
            <v>37377</v>
          </cell>
          <cell r="P669">
            <v>27</v>
          </cell>
          <cell r="Q669" t="str">
            <v>O</v>
          </cell>
          <cell r="R669" t="str">
            <v>N</v>
          </cell>
          <cell r="S669">
            <v>0</v>
          </cell>
          <cell r="T669" t="str">
            <v>M</v>
          </cell>
          <cell r="U669" t="str">
            <v>RAHMA BENT HAJJAJ</v>
          </cell>
          <cell r="X669">
            <v>4</v>
          </cell>
          <cell r="Y669">
            <v>2</v>
          </cell>
          <cell r="AB669" t="str">
            <v>X</v>
          </cell>
          <cell r="AC669" t="str">
            <v>X</v>
          </cell>
          <cell r="AD669" t="str">
            <v>X</v>
          </cell>
          <cell r="AH669" t="str">
            <v>N</v>
          </cell>
          <cell r="AI669" t="str">
            <v>N</v>
          </cell>
          <cell r="AK669" t="str">
            <v>41 NELLE EXTENSION SECHAGE KHGA</v>
          </cell>
          <cell r="AL669" t="str">
            <v>CM2</v>
          </cell>
          <cell r="AP669" t="str">
            <v>Q 61238</v>
          </cell>
          <cell r="AQ669">
            <v>0</v>
          </cell>
          <cell r="AR669" t="str">
            <v>B</v>
          </cell>
          <cell r="AS669" t="str">
            <v>BMCE KHGA</v>
          </cell>
          <cell r="AT669" t="str">
            <v>40001200000255555</v>
          </cell>
          <cell r="AU669" t="str">
            <v>/  /</v>
          </cell>
          <cell r="AW669">
            <v>38353</v>
          </cell>
          <cell r="AY669" t="str">
            <v>XX</v>
          </cell>
          <cell r="BA669" t="str">
            <v>0</v>
          </cell>
          <cell r="BB669">
            <v>1</v>
          </cell>
          <cell r="BD669">
            <v>0</v>
          </cell>
          <cell r="BE669" t="str">
            <v>M</v>
          </cell>
          <cell r="BF669" t="str">
            <v>N</v>
          </cell>
          <cell r="BG669">
            <v>5</v>
          </cell>
          <cell r="BH669">
            <v>38353</v>
          </cell>
        </row>
        <row r="670">
          <cell r="A670">
            <v>67721</v>
          </cell>
          <cell r="B670">
            <v>461</v>
          </cell>
          <cell r="C670" t="str">
            <v>C4152</v>
          </cell>
          <cell r="D670" t="str">
            <v>KIRANE</v>
          </cell>
          <cell r="E670" t="str">
            <v>BOUZEKRI</v>
          </cell>
          <cell r="F670">
            <v>19175</v>
          </cell>
          <cell r="G670" t="str">
            <v>2</v>
          </cell>
          <cell r="H670" t="str">
            <v>OUED-ZEM</v>
          </cell>
          <cell r="I670" t="str">
            <v>D</v>
          </cell>
          <cell r="J670">
            <v>27526</v>
          </cell>
          <cell r="K670">
            <v>36526</v>
          </cell>
          <cell r="L670" t="str">
            <v>22</v>
          </cell>
          <cell r="M670" t="str">
            <v>A</v>
          </cell>
          <cell r="N670">
            <v>36526</v>
          </cell>
          <cell r="P670">
            <v>27</v>
          </cell>
          <cell r="Q670" t="str">
            <v>O</v>
          </cell>
          <cell r="R670" t="str">
            <v>N</v>
          </cell>
          <cell r="S670">
            <v>0</v>
          </cell>
          <cell r="T670" t="str">
            <v>M</v>
          </cell>
          <cell r="U670" t="str">
            <v>MAHJOUBA BENT MOHAMED</v>
          </cell>
          <cell r="X670">
            <v>6</v>
          </cell>
          <cell r="Y670">
            <v>1</v>
          </cell>
          <cell r="AB670" t="str">
            <v>X</v>
          </cell>
          <cell r="AC670" t="str">
            <v>X</v>
          </cell>
          <cell r="AD670" t="str">
            <v>X</v>
          </cell>
          <cell r="AH670" t="str">
            <v>N</v>
          </cell>
          <cell r="AI670" t="str">
            <v>O</v>
          </cell>
          <cell r="AK670" t="str">
            <v>59 BIS RUE 26 KOREA OUED ZEM</v>
          </cell>
          <cell r="AL670" t="str">
            <v>3AS</v>
          </cell>
          <cell r="AM670" t="str">
            <v>CEP.</v>
          </cell>
          <cell r="AP670" t="str">
            <v>Q 13462</v>
          </cell>
          <cell r="AQ670">
            <v>0</v>
          </cell>
          <cell r="AR670" t="str">
            <v>C</v>
          </cell>
          <cell r="AU670" t="str">
            <v>/  /</v>
          </cell>
          <cell r="AW670">
            <v>37438</v>
          </cell>
          <cell r="AY670" t="str">
            <v>XX</v>
          </cell>
          <cell r="BA670" t="str">
            <v>1</v>
          </cell>
          <cell r="BB670">
            <v>1</v>
          </cell>
          <cell r="BD670">
            <v>0</v>
          </cell>
          <cell r="BE670" t="str">
            <v>M</v>
          </cell>
          <cell r="BF670" t="str">
            <v>N</v>
          </cell>
          <cell r="BG670">
            <v>31</v>
          </cell>
          <cell r="BH670">
            <v>37438</v>
          </cell>
          <cell r="BI670" t="str">
            <v>O</v>
          </cell>
        </row>
        <row r="671">
          <cell r="A671">
            <v>67729</v>
          </cell>
          <cell r="B671">
            <v>437</v>
          </cell>
          <cell r="C671" t="str">
            <v>C4450</v>
          </cell>
          <cell r="D671" t="str">
            <v>HAIZOUN</v>
          </cell>
          <cell r="E671" t="str">
            <v>ABDALLAH</v>
          </cell>
          <cell r="F671">
            <v>19175</v>
          </cell>
          <cell r="G671" t="str">
            <v>1</v>
          </cell>
          <cell r="H671" t="str">
            <v>KHOURIBGA</v>
          </cell>
          <cell r="I671" t="str">
            <v>D</v>
          </cell>
          <cell r="J671">
            <v>30299</v>
          </cell>
          <cell r="K671">
            <v>36526</v>
          </cell>
          <cell r="L671" t="str">
            <v>22</v>
          </cell>
          <cell r="M671" t="str">
            <v>A</v>
          </cell>
          <cell r="N671">
            <v>36526</v>
          </cell>
          <cell r="P671">
            <v>20</v>
          </cell>
          <cell r="Q671" t="str">
            <v>N</v>
          </cell>
          <cell r="R671" t="str">
            <v>N</v>
          </cell>
          <cell r="S671">
            <v>0</v>
          </cell>
          <cell r="T671" t="str">
            <v>M</v>
          </cell>
          <cell r="U671" t="str">
            <v>JARI MALIKA BENT HAJ AHMED</v>
          </cell>
          <cell r="X671">
            <v>3</v>
          </cell>
          <cell r="Y671">
            <v>3</v>
          </cell>
          <cell r="AB671" t="str">
            <v>N</v>
          </cell>
          <cell r="AC671" t="str">
            <v>X</v>
          </cell>
          <cell r="AD671" t="str">
            <v>X</v>
          </cell>
          <cell r="AH671" t="str">
            <v>N</v>
          </cell>
          <cell r="AI671" t="str">
            <v>N</v>
          </cell>
          <cell r="AK671" t="str">
            <v>33 LOTIS. HAIZOUN III EL MASSIRA - KHGA</v>
          </cell>
          <cell r="AL671" t="str">
            <v>7AS.LM</v>
          </cell>
          <cell r="AM671" t="str">
            <v>CES.</v>
          </cell>
          <cell r="AP671" t="str">
            <v>Q 54013</v>
          </cell>
          <cell r="AQ671">
            <v>0</v>
          </cell>
          <cell r="AR671" t="str">
            <v>B</v>
          </cell>
          <cell r="AS671" t="str">
            <v>C.I.H - KHGA</v>
          </cell>
          <cell r="AT671" t="str">
            <v>9830357211004700</v>
          </cell>
          <cell r="AU671" t="str">
            <v>/  /</v>
          </cell>
          <cell r="AW671">
            <v>38551</v>
          </cell>
          <cell r="AX671">
            <v>38551</v>
          </cell>
          <cell r="AY671" t="str">
            <v>XX</v>
          </cell>
          <cell r="BA671" t="str">
            <v>2</v>
          </cell>
          <cell r="BB671">
            <v>1</v>
          </cell>
          <cell r="BD671">
            <v>0</v>
          </cell>
          <cell r="BE671" t="str">
            <v>M</v>
          </cell>
          <cell r="BF671" t="str">
            <v>N</v>
          </cell>
          <cell r="BG671">
            <v>0</v>
          </cell>
          <cell r="BH671">
            <v>39264</v>
          </cell>
          <cell r="BI671" t="str">
            <v>O</v>
          </cell>
        </row>
        <row r="672">
          <cell r="A672">
            <v>67744</v>
          </cell>
          <cell r="B672">
            <v>406</v>
          </cell>
          <cell r="C672" t="str">
            <v>C3152</v>
          </cell>
          <cell r="D672" t="str">
            <v>CHARFI</v>
          </cell>
          <cell r="E672" t="str">
            <v>ABDERRAHMANE</v>
          </cell>
          <cell r="F672">
            <v>19419</v>
          </cell>
          <cell r="G672" t="str">
            <v>1</v>
          </cell>
          <cell r="H672" t="str">
            <v>KHOURIBGA</v>
          </cell>
          <cell r="I672" t="str">
            <v>D</v>
          </cell>
          <cell r="J672">
            <v>27538</v>
          </cell>
          <cell r="K672">
            <v>36312</v>
          </cell>
          <cell r="L672" t="str">
            <v>21</v>
          </cell>
          <cell r="M672" t="str">
            <v>B</v>
          </cell>
          <cell r="N672">
            <v>36312</v>
          </cell>
          <cell r="P672">
            <v>27</v>
          </cell>
          <cell r="Q672" t="str">
            <v>O</v>
          </cell>
          <cell r="R672" t="str">
            <v>N</v>
          </cell>
          <cell r="S672">
            <v>0</v>
          </cell>
          <cell r="T672" t="str">
            <v>M</v>
          </cell>
          <cell r="U672" t="str">
            <v>ZOHRA BENT JILALI</v>
          </cell>
          <cell r="X672">
            <v>5</v>
          </cell>
          <cell r="Y672">
            <v>2</v>
          </cell>
          <cell r="AB672" t="str">
            <v>X</v>
          </cell>
          <cell r="AC672" t="str">
            <v>X</v>
          </cell>
          <cell r="AD672" t="str">
            <v>X</v>
          </cell>
          <cell r="AH672" t="str">
            <v>N</v>
          </cell>
          <cell r="AI672" t="str">
            <v>N</v>
          </cell>
          <cell r="AK672" t="str">
            <v>208,NX LOGEMENTS SECHAGE O.C.P KHGA</v>
          </cell>
          <cell r="AL672" t="str">
            <v>3AS</v>
          </cell>
          <cell r="AM672" t="str">
            <v>CEP.</v>
          </cell>
          <cell r="AP672" t="str">
            <v>Q 68538</v>
          </cell>
          <cell r="AQ672">
            <v>0</v>
          </cell>
          <cell r="AR672" t="str">
            <v>B</v>
          </cell>
          <cell r="AS672" t="str">
            <v>BMCE.KHGA</v>
          </cell>
          <cell r="AT672" t="str">
            <v>40001200000507852</v>
          </cell>
          <cell r="AU672" t="str">
            <v>/  /</v>
          </cell>
          <cell r="AW672">
            <v>37803</v>
          </cell>
          <cell r="AY672" t="str">
            <v>XX</v>
          </cell>
          <cell r="BA672" t="str">
            <v>6</v>
          </cell>
          <cell r="BB672">
            <v>1</v>
          </cell>
          <cell r="BD672">
            <v>0</v>
          </cell>
          <cell r="BE672" t="str">
            <v>M</v>
          </cell>
          <cell r="BF672" t="str">
            <v>N</v>
          </cell>
          <cell r="BG672">
            <v>1</v>
          </cell>
          <cell r="BH672">
            <v>37803</v>
          </cell>
        </row>
        <row r="673">
          <cell r="A673">
            <v>67782</v>
          </cell>
          <cell r="B673">
            <v>426</v>
          </cell>
          <cell r="C673" t="str">
            <v>C4050</v>
          </cell>
          <cell r="D673" t="str">
            <v>BOUABIDI</v>
          </cell>
          <cell r="E673" t="str">
            <v>ABDESSLAM</v>
          </cell>
          <cell r="F673">
            <v>20130</v>
          </cell>
          <cell r="G673" t="str">
            <v>2</v>
          </cell>
          <cell r="H673" t="str">
            <v>BENI SMIR OUED-ZEM</v>
          </cell>
          <cell r="I673" t="str">
            <v>D</v>
          </cell>
          <cell r="J673">
            <v>27562</v>
          </cell>
          <cell r="K673">
            <v>33573</v>
          </cell>
          <cell r="L673" t="str">
            <v>22</v>
          </cell>
          <cell r="M673" t="str">
            <v>A</v>
          </cell>
          <cell r="N673">
            <v>33573</v>
          </cell>
          <cell r="P673">
            <v>27</v>
          </cell>
          <cell r="Q673" t="str">
            <v>O</v>
          </cell>
          <cell r="R673" t="str">
            <v>N</v>
          </cell>
          <cell r="S673">
            <v>0</v>
          </cell>
          <cell r="T673" t="str">
            <v>M</v>
          </cell>
          <cell r="U673" t="str">
            <v>ZAKHNINI KHADIJA</v>
          </cell>
          <cell r="X673">
            <v>5</v>
          </cell>
          <cell r="Y673">
            <v>2</v>
          </cell>
          <cell r="AB673" t="str">
            <v>X</v>
          </cell>
          <cell r="AC673" t="str">
            <v>X</v>
          </cell>
          <cell r="AD673" t="str">
            <v>X</v>
          </cell>
          <cell r="AH673" t="str">
            <v>N</v>
          </cell>
          <cell r="AI673" t="str">
            <v>O</v>
          </cell>
          <cell r="AJ673">
            <v>32508</v>
          </cell>
          <cell r="AK673" t="str">
            <v>120 QUARTIER HABITAT OUED ZEM</v>
          </cell>
          <cell r="AL673" t="str">
            <v>3AS</v>
          </cell>
          <cell r="AP673" t="str">
            <v>Q 53534</v>
          </cell>
          <cell r="AQ673">
            <v>0</v>
          </cell>
          <cell r="AR673" t="str">
            <v>B</v>
          </cell>
          <cell r="AS673" t="str">
            <v>POPULAIRE O.ZEM</v>
          </cell>
          <cell r="AT673" t="str">
            <v>1211113626202000500</v>
          </cell>
          <cell r="AU673" t="str">
            <v>/  /</v>
          </cell>
          <cell r="AW673">
            <v>38534</v>
          </cell>
          <cell r="AY673" t="str">
            <v>XX</v>
          </cell>
          <cell r="AZ673" t="str">
            <v>M</v>
          </cell>
          <cell r="BA673" t="str">
            <v>2</v>
          </cell>
          <cell r="BB673">
            <v>1</v>
          </cell>
          <cell r="BD673">
            <v>0</v>
          </cell>
          <cell r="BE673" t="str">
            <v>M</v>
          </cell>
          <cell r="BF673" t="str">
            <v>N</v>
          </cell>
          <cell r="BG673">
            <v>30</v>
          </cell>
          <cell r="BH673">
            <v>38534</v>
          </cell>
          <cell r="BI673" t="str">
            <v>O</v>
          </cell>
        </row>
        <row r="674">
          <cell r="A674">
            <v>67797</v>
          </cell>
          <cell r="B674">
            <v>468</v>
          </cell>
          <cell r="C674" t="str">
            <v>C6050</v>
          </cell>
          <cell r="D674" t="str">
            <v>OUARRAK</v>
          </cell>
          <cell r="E674" t="str">
            <v>EL MAATI</v>
          </cell>
          <cell r="F674">
            <v>20270</v>
          </cell>
          <cell r="G674" t="str">
            <v>1</v>
          </cell>
          <cell r="H674" t="str">
            <v>OULED BHAR KBAR KHOURIBGA</v>
          </cell>
          <cell r="I674" t="str">
            <v>D</v>
          </cell>
          <cell r="J674">
            <v>27562</v>
          </cell>
          <cell r="K674">
            <v>33512</v>
          </cell>
          <cell r="L674" t="str">
            <v>32</v>
          </cell>
          <cell r="M674" t="str">
            <v>A</v>
          </cell>
          <cell r="N674">
            <v>33512</v>
          </cell>
          <cell r="P674">
            <v>27</v>
          </cell>
          <cell r="Q674" t="str">
            <v>O</v>
          </cell>
          <cell r="R674" t="str">
            <v>N</v>
          </cell>
          <cell r="S674">
            <v>0</v>
          </cell>
          <cell r="T674" t="str">
            <v>M</v>
          </cell>
          <cell r="U674" t="str">
            <v>DINARI HLIMA BENT AHMED</v>
          </cell>
          <cell r="X674">
            <v>7</v>
          </cell>
          <cell r="Y674">
            <v>5</v>
          </cell>
          <cell r="AB674" t="str">
            <v>X</v>
          </cell>
          <cell r="AC674" t="str">
            <v>X</v>
          </cell>
          <cell r="AD674" t="str">
            <v>X</v>
          </cell>
          <cell r="AH674" t="str">
            <v>N</v>
          </cell>
          <cell r="AI674" t="str">
            <v>N</v>
          </cell>
          <cell r="AK674" t="str">
            <v>DOUAR OULED SGHIR OULED BRAHIM BOUJNIBA</v>
          </cell>
          <cell r="AL674" t="str">
            <v>3AS</v>
          </cell>
          <cell r="AM674" t="str">
            <v>CFO.</v>
          </cell>
          <cell r="AP674" t="str">
            <v>Q 58358</v>
          </cell>
          <cell r="AQ674">
            <v>0</v>
          </cell>
          <cell r="AR674" t="str">
            <v>B</v>
          </cell>
          <cell r="AS674" t="str">
            <v>POPULAIRE KHGA</v>
          </cell>
          <cell r="AT674" t="str">
            <v>2111112806680000</v>
          </cell>
          <cell r="AU674" t="str">
            <v>/  /</v>
          </cell>
          <cell r="AW674">
            <v>38534</v>
          </cell>
          <cell r="AY674" t="str">
            <v>XX</v>
          </cell>
          <cell r="BA674" t="str">
            <v>2</v>
          </cell>
          <cell r="BB674">
            <v>1</v>
          </cell>
          <cell r="BD674">
            <v>0</v>
          </cell>
          <cell r="BE674" t="str">
            <v>M</v>
          </cell>
          <cell r="BF674" t="str">
            <v>N</v>
          </cell>
          <cell r="BG674">
            <v>51</v>
          </cell>
          <cell r="BH674">
            <v>38534</v>
          </cell>
        </row>
        <row r="675">
          <cell r="A675">
            <v>67804</v>
          </cell>
          <cell r="B675">
            <v>428</v>
          </cell>
          <cell r="C675" t="str">
            <v>C6050</v>
          </cell>
          <cell r="D675" t="str">
            <v>CHIHABI</v>
          </cell>
          <cell r="E675" t="str">
            <v>AHMED</v>
          </cell>
          <cell r="F675">
            <v>20242</v>
          </cell>
          <cell r="G675" t="str">
            <v>2</v>
          </cell>
          <cell r="H675" t="str">
            <v>OUED-ZEM</v>
          </cell>
          <cell r="I675" t="str">
            <v>D</v>
          </cell>
          <cell r="J675">
            <v>27569</v>
          </cell>
          <cell r="K675">
            <v>36526</v>
          </cell>
          <cell r="L675" t="str">
            <v>32</v>
          </cell>
          <cell r="M675" t="str">
            <v>A</v>
          </cell>
          <cell r="N675">
            <v>36526</v>
          </cell>
          <cell r="P675">
            <v>27</v>
          </cell>
          <cell r="Q675" t="str">
            <v>O</v>
          </cell>
          <cell r="R675" t="str">
            <v>N</v>
          </cell>
          <cell r="S675">
            <v>0</v>
          </cell>
          <cell r="T675" t="str">
            <v>M</v>
          </cell>
          <cell r="U675" t="str">
            <v>CHABANI ZOUBIDA</v>
          </cell>
          <cell r="X675">
            <v>7</v>
          </cell>
          <cell r="Y675">
            <v>5</v>
          </cell>
          <cell r="AB675" t="str">
            <v>X</v>
          </cell>
          <cell r="AC675" t="str">
            <v>X</v>
          </cell>
          <cell r="AD675" t="str">
            <v>X</v>
          </cell>
          <cell r="AH675" t="str">
            <v>N</v>
          </cell>
          <cell r="AI675" t="str">
            <v>N</v>
          </cell>
          <cell r="AK675" t="str">
            <v>70 RUE 1 ZIDANIA KOREA OUED ZEM</v>
          </cell>
          <cell r="AL675" t="str">
            <v>4AS</v>
          </cell>
          <cell r="AM675" t="str">
            <v>CFO.</v>
          </cell>
          <cell r="AP675" t="str">
            <v>Q 46929</v>
          </cell>
          <cell r="AQ675">
            <v>0</v>
          </cell>
          <cell r="AR675" t="str">
            <v>B</v>
          </cell>
          <cell r="AS675" t="str">
            <v>POPULAIRE.O.ZEM</v>
          </cell>
          <cell r="AT675" t="str">
            <v>2111113036040007</v>
          </cell>
          <cell r="AU675" t="str">
            <v>/  /</v>
          </cell>
          <cell r="AW675">
            <v>38534</v>
          </cell>
          <cell r="AY675" t="str">
            <v>XX</v>
          </cell>
          <cell r="BA675" t="str">
            <v>2</v>
          </cell>
          <cell r="BB675">
            <v>1</v>
          </cell>
          <cell r="BD675">
            <v>0</v>
          </cell>
          <cell r="BE675" t="str">
            <v>M</v>
          </cell>
          <cell r="BF675" t="str">
            <v>N</v>
          </cell>
          <cell r="BG675">
            <v>30</v>
          </cell>
          <cell r="BH675">
            <v>38534</v>
          </cell>
          <cell r="BI675" t="str">
            <v>O</v>
          </cell>
        </row>
        <row r="676">
          <cell r="A676">
            <v>67811</v>
          </cell>
          <cell r="B676">
            <v>401</v>
          </cell>
          <cell r="C676" t="str">
            <v>C3601</v>
          </cell>
          <cell r="D676" t="str">
            <v>QAOUS</v>
          </cell>
          <cell r="E676" t="str">
            <v>EJ-JILALI</v>
          </cell>
          <cell r="F676">
            <v>18444</v>
          </cell>
          <cell r="H676" t="str">
            <v>FQUIH BEN SALAH</v>
          </cell>
          <cell r="I676" t="str">
            <v>D</v>
          </cell>
          <cell r="J676">
            <v>27565</v>
          </cell>
          <cell r="K676">
            <v>29403</v>
          </cell>
          <cell r="L676" t="str">
            <v>32</v>
          </cell>
          <cell r="M676" t="str">
            <v>C</v>
          </cell>
          <cell r="N676">
            <v>33786</v>
          </cell>
          <cell r="P676">
            <v>27</v>
          </cell>
          <cell r="Q676" t="str">
            <v>O</v>
          </cell>
          <cell r="R676" t="str">
            <v>N</v>
          </cell>
          <cell r="S676">
            <v>3</v>
          </cell>
          <cell r="T676" t="str">
            <v>M</v>
          </cell>
          <cell r="U676" t="str">
            <v>NACHID HABIBA</v>
          </cell>
          <cell r="X676">
            <v>4</v>
          </cell>
          <cell r="Y676">
            <v>3</v>
          </cell>
          <cell r="AB676" t="str">
            <v>X</v>
          </cell>
          <cell r="AC676" t="str">
            <v>X</v>
          </cell>
          <cell r="AD676" t="str">
            <v>X</v>
          </cell>
          <cell r="AH676" t="str">
            <v>N</v>
          </cell>
          <cell r="AI676" t="str">
            <v>N</v>
          </cell>
          <cell r="AK676" t="str">
            <v>684 EL AMAL ERAC - KHOURIBGA</v>
          </cell>
          <cell r="AL676" t="str">
            <v>4AS</v>
          </cell>
          <cell r="AM676" t="str">
            <v>CEP.</v>
          </cell>
          <cell r="AP676" t="str">
            <v>Q 52898</v>
          </cell>
          <cell r="AQ676">
            <v>0</v>
          </cell>
          <cell r="AR676" t="str">
            <v>B</v>
          </cell>
          <cell r="AS676" t="str">
            <v>CIH-KHOURIBGA</v>
          </cell>
          <cell r="AT676" t="str">
            <v>8667792211004700</v>
          </cell>
          <cell r="AU676" t="str">
            <v>/  /</v>
          </cell>
          <cell r="AW676">
            <v>38169</v>
          </cell>
          <cell r="AY676" t="str">
            <v>XX</v>
          </cell>
          <cell r="BA676" t="str">
            <v>2</v>
          </cell>
          <cell r="BB676">
            <v>1</v>
          </cell>
          <cell r="BD676">
            <v>0</v>
          </cell>
          <cell r="BE676" t="str">
            <v>M</v>
          </cell>
          <cell r="BF676" t="str">
            <v>N</v>
          </cell>
          <cell r="BG676">
            <v>1</v>
          </cell>
          <cell r="BH676">
            <v>38534</v>
          </cell>
        </row>
        <row r="677">
          <cell r="A677">
            <v>67812</v>
          </cell>
          <cell r="B677">
            <v>468</v>
          </cell>
          <cell r="C677" t="str">
            <v>C5050</v>
          </cell>
          <cell r="D677" t="str">
            <v>GOUSSAR</v>
          </cell>
          <cell r="E677" t="str">
            <v>EL MOSTAFA</v>
          </cell>
          <cell r="F677">
            <v>20255</v>
          </cell>
          <cell r="G677" t="str">
            <v>1</v>
          </cell>
          <cell r="H677" t="str">
            <v>KHOURIBGA</v>
          </cell>
          <cell r="I677" t="str">
            <v>D</v>
          </cell>
          <cell r="J677">
            <v>27564</v>
          </cell>
          <cell r="K677">
            <v>31929</v>
          </cell>
          <cell r="L677" t="str">
            <v>31</v>
          </cell>
          <cell r="M677" t="str">
            <v>B</v>
          </cell>
          <cell r="N677">
            <v>35612</v>
          </cell>
          <cell r="P677">
            <v>27</v>
          </cell>
          <cell r="Q677" t="str">
            <v>O</v>
          </cell>
          <cell r="R677" t="str">
            <v>N</v>
          </cell>
          <cell r="S677">
            <v>0</v>
          </cell>
          <cell r="T677" t="str">
            <v>M</v>
          </cell>
          <cell r="U677" t="str">
            <v>RAHIMI ZAHRA BENT SALAH</v>
          </cell>
          <cell r="X677">
            <v>3</v>
          </cell>
          <cell r="Y677">
            <v>3</v>
          </cell>
          <cell r="AB677" t="str">
            <v>X</v>
          </cell>
          <cell r="AC677" t="str">
            <v>X</v>
          </cell>
          <cell r="AD677" t="str">
            <v>X</v>
          </cell>
          <cell r="AH677" t="str">
            <v>N</v>
          </cell>
          <cell r="AI677" t="str">
            <v>N</v>
          </cell>
          <cell r="AK677" t="str">
            <v>51 RUE OUED NOUN HAY SALAM OCP KHGA</v>
          </cell>
          <cell r="AL677" t="str">
            <v>4AS</v>
          </cell>
          <cell r="AM677" t="str">
            <v>CFO.</v>
          </cell>
          <cell r="AP677" t="str">
            <v>Q 37395</v>
          </cell>
          <cell r="AQ677">
            <v>0</v>
          </cell>
          <cell r="AR677" t="str">
            <v>B</v>
          </cell>
          <cell r="AS677" t="str">
            <v>WAFABANK - KHGA</v>
          </cell>
          <cell r="AT677" t="str">
            <v>1220301145578</v>
          </cell>
          <cell r="AU677" t="str">
            <v>/  /</v>
          </cell>
          <cell r="AW677">
            <v>40210</v>
          </cell>
          <cell r="AX677">
            <v>40210</v>
          </cell>
          <cell r="AY677" t="str">
            <v>XX</v>
          </cell>
          <cell r="BA677" t="str">
            <v>2</v>
          </cell>
          <cell r="BB677">
            <v>1</v>
          </cell>
          <cell r="BC677" t="str">
            <v>O</v>
          </cell>
          <cell r="BD677">
            <v>4</v>
          </cell>
          <cell r="BE677" t="str">
            <v>M</v>
          </cell>
          <cell r="BF677" t="str">
            <v>N</v>
          </cell>
          <cell r="BG677">
            <v>5</v>
          </cell>
          <cell r="BH677">
            <v>38534</v>
          </cell>
        </row>
        <row r="678">
          <cell r="A678">
            <v>67820</v>
          </cell>
          <cell r="B678">
            <v>468</v>
          </cell>
          <cell r="C678" t="str">
            <v>C3152</v>
          </cell>
          <cell r="D678" t="str">
            <v>SADOUNI</v>
          </cell>
          <cell r="E678" t="str">
            <v>MOHAMMED</v>
          </cell>
          <cell r="F678">
            <v>18091</v>
          </cell>
          <cell r="G678" t="str">
            <v>2</v>
          </cell>
          <cell r="H678" t="str">
            <v>OUED-ZEM</v>
          </cell>
          <cell r="I678" t="str">
            <v>D</v>
          </cell>
          <cell r="J678">
            <v>28416</v>
          </cell>
          <cell r="K678">
            <v>35096</v>
          </cell>
          <cell r="L678" t="str">
            <v>21</v>
          </cell>
          <cell r="M678" t="str">
            <v>B</v>
          </cell>
          <cell r="N678">
            <v>35096</v>
          </cell>
          <cell r="O678">
            <v>0</v>
          </cell>
          <cell r="P678">
            <v>25</v>
          </cell>
          <cell r="Q678" t="str">
            <v>O</v>
          </cell>
          <cell r="R678" t="str">
            <v>N</v>
          </cell>
          <cell r="S678">
            <v>0</v>
          </cell>
          <cell r="T678" t="str">
            <v>M</v>
          </cell>
          <cell r="U678" t="str">
            <v>EL MOULOUDIA BENT KETTANI</v>
          </cell>
          <cell r="X678">
            <v>4</v>
          </cell>
          <cell r="Y678">
            <v>3</v>
          </cell>
          <cell r="AB678" t="str">
            <v>X</v>
          </cell>
          <cell r="AC678" t="str">
            <v>X</v>
          </cell>
          <cell r="AD678" t="str">
            <v>X</v>
          </cell>
          <cell r="AH678" t="str">
            <v>N</v>
          </cell>
          <cell r="AI678" t="str">
            <v>N</v>
          </cell>
          <cell r="AK678" t="str">
            <v>N° 4 VILLAGE O.C.P - OUED ZEM</v>
          </cell>
          <cell r="AL678" t="str">
            <v>CM2</v>
          </cell>
          <cell r="AP678" t="str">
            <v>Q 42462</v>
          </cell>
          <cell r="AQ678">
            <v>0</v>
          </cell>
          <cell r="AR678" t="str">
            <v>B</v>
          </cell>
          <cell r="AS678" t="str">
            <v>B.POPULAIRE-O.ZEM</v>
          </cell>
          <cell r="AT678" t="str">
            <v>2111173330360006</v>
          </cell>
          <cell r="AU678" t="str">
            <v>/  /        O</v>
          </cell>
          <cell r="AW678">
            <v>37887</v>
          </cell>
          <cell r="AX678">
            <v>37887</v>
          </cell>
          <cell r="AY678" t="str">
            <v>XX</v>
          </cell>
          <cell r="AZ678" t="str">
            <v>K</v>
          </cell>
          <cell r="BA678" t="str">
            <v>1</v>
          </cell>
          <cell r="BB678">
            <v>1</v>
          </cell>
          <cell r="BD678">
            <v>0</v>
          </cell>
          <cell r="BE678" t="str">
            <v>M</v>
          </cell>
          <cell r="BF678" t="str">
            <v>N</v>
          </cell>
          <cell r="BG678">
            <v>31</v>
          </cell>
          <cell r="BH678">
            <v>38169</v>
          </cell>
        </row>
        <row r="679">
          <cell r="A679">
            <v>67834</v>
          </cell>
          <cell r="B679">
            <v>421</v>
          </cell>
          <cell r="C679" t="str">
            <v>C7002</v>
          </cell>
          <cell r="D679" t="str">
            <v>EL KHATIBI</v>
          </cell>
          <cell r="E679" t="str">
            <v>M'HAMED</v>
          </cell>
          <cell r="F679">
            <v>19905</v>
          </cell>
          <cell r="H679" t="str">
            <v>OULED M'RAH - SETTAT</v>
          </cell>
          <cell r="I679" t="str">
            <v>D</v>
          </cell>
          <cell r="J679">
            <v>27577</v>
          </cell>
          <cell r="K679">
            <v>35065</v>
          </cell>
          <cell r="L679" t="str">
            <v>33</v>
          </cell>
          <cell r="M679" t="str">
            <v>A</v>
          </cell>
          <cell r="N679">
            <v>35065</v>
          </cell>
          <cell r="P679">
            <v>27</v>
          </cell>
          <cell r="Q679" t="str">
            <v>O</v>
          </cell>
          <cell r="R679" t="str">
            <v>N</v>
          </cell>
          <cell r="S679">
            <v>0</v>
          </cell>
          <cell r="T679" t="str">
            <v>M</v>
          </cell>
          <cell r="U679" t="str">
            <v>HANJAF SAADIA BT ABDESSLAM</v>
          </cell>
          <cell r="X679">
            <v>4</v>
          </cell>
          <cell r="Y679">
            <v>4</v>
          </cell>
          <cell r="AB679" t="str">
            <v>N</v>
          </cell>
          <cell r="AC679" t="str">
            <v>X</v>
          </cell>
          <cell r="AD679" t="str">
            <v>X</v>
          </cell>
          <cell r="AH679" t="str">
            <v>N</v>
          </cell>
          <cell r="AI679" t="str">
            <v>N</v>
          </cell>
          <cell r="AK679" t="str">
            <v>4 OUED LAABID PIPINIERE - KHGA</v>
          </cell>
          <cell r="AL679" t="str">
            <v>2AS</v>
          </cell>
          <cell r="AM679" t="str">
            <v>CFO.</v>
          </cell>
          <cell r="AP679" t="str">
            <v>Q 36187</v>
          </cell>
          <cell r="AQ679">
            <v>0</v>
          </cell>
          <cell r="AR679" t="str">
            <v>B</v>
          </cell>
          <cell r="AS679" t="str">
            <v>CR.MAROC - KHGA</v>
          </cell>
          <cell r="AT679" t="str">
            <v>820010020028</v>
          </cell>
          <cell r="AU679" t="str">
            <v>/  /</v>
          </cell>
          <cell r="AW679">
            <v>38169</v>
          </cell>
          <cell r="AY679" t="str">
            <v>XX</v>
          </cell>
          <cell r="BA679" t="str">
            <v>2</v>
          </cell>
          <cell r="BB679">
            <v>1</v>
          </cell>
          <cell r="BD679">
            <v>0</v>
          </cell>
          <cell r="BE679" t="str">
            <v>M</v>
          </cell>
          <cell r="BF679" t="str">
            <v>N</v>
          </cell>
          <cell r="BG679">
            <v>4</v>
          </cell>
          <cell r="BH679">
            <v>38169</v>
          </cell>
        </row>
        <row r="680">
          <cell r="A680">
            <v>67836</v>
          </cell>
          <cell r="B680">
            <v>406</v>
          </cell>
          <cell r="C680" t="str">
            <v>C4050</v>
          </cell>
          <cell r="D680" t="str">
            <v>YAMOUL</v>
          </cell>
          <cell r="E680" t="str">
            <v>MOHAMMED</v>
          </cell>
          <cell r="F680">
            <v>19540</v>
          </cell>
          <cell r="G680" t="str">
            <v>1</v>
          </cell>
          <cell r="H680" t="str">
            <v>OULED BHAR KBAR KHOURIBGA</v>
          </cell>
          <cell r="I680" t="str">
            <v>D</v>
          </cell>
          <cell r="J680">
            <v>27577</v>
          </cell>
          <cell r="K680">
            <v>33573</v>
          </cell>
          <cell r="L680" t="str">
            <v>22</v>
          </cell>
          <cell r="M680" t="str">
            <v>A</v>
          </cell>
          <cell r="N680">
            <v>33573</v>
          </cell>
          <cell r="P680">
            <v>27</v>
          </cell>
          <cell r="Q680" t="str">
            <v>N</v>
          </cell>
          <cell r="R680" t="str">
            <v>N</v>
          </cell>
          <cell r="S680">
            <v>0</v>
          </cell>
          <cell r="T680" t="str">
            <v>M</v>
          </cell>
          <cell r="U680" t="str">
            <v>YAMOUL SAIDA BT MOHAMED</v>
          </cell>
          <cell r="X680">
            <v>6</v>
          </cell>
          <cell r="Y680">
            <v>5</v>
          </cell>
          <cell r="AB680" t="str">
            <v>X</v>
          </cell>
          <cell r="AC680" t="str">
            <v>X</v>
          </cell>
          <cell r="AD680" t="str">
            <v>X</v>
          </cell>
          <cell r="AH680" t="str">
            <v>N</v>
          </cell>
          <cell r="AI680" t="str">
            <v>N</v>
          </cell>
          <cell r="AK680" t="str">
            <v>186 NELLE MEDINA DE SECHAGE - KHGA</v>
          </cell>
          <cell r="AL680" t="str">
            <v>3AS</v>
          </cell>
          <cell r="AN680" t="str">
            <v>49═47═99</v>
          </cell>
          <cell r="AP680" t="str">
            <v>Q 25707</v>
          </cell>
          <cell r="AQ680">
            <v>0</v>
          </cell>
          <cell r="AR680" t="str">
            <v>B</v>
          </cell>
          <cell r="AS680" t="str">
            <v>BMCE - KHGA</v>
          </cell>
          <cell r="AT680" t="str">
            <v>40001200000725908</v>
          </cell>
          <cell r="AU680" t="str">
            <v>/  /</v>
          </cell>
          <cell r="AW680">
            <v>37803</v>
          </cell>
          <cell r="AY680" t="str">
            <v>XX</v>
          </cell>
          <cell r="AZ680" t="str">
            <v>M</v>
          </cell>
          <cell r="BA680" t="str">
            <v>2</v>
          </cell>
          <cell r="BB680">
            <v>1</v>
          </cell>
          <cell r="BD680">
            <v>0</v>
          </cell>
          <cell r="BE680" t="str">
            <v>M</v>
          </cell>
          <cell r="BF680" t="str">
            <v>N</v>
          </cell>
          <cell r="BG680">
            <v>0</v>
          </cell>
          <cell r="BH680">
            <v>37803</v>
          </cell>
        </row>
        <row r="681">
          <cell r="A681">
            <v>67896</v>
          </cell>
          <cell r="B681">
            <v>468</v>
          </cell>
          <cell r="C681" t="str">
            <v>C4411</v>
          </cell>
          <cell r="D681" t="str">
            <v>KAMAL</v>
          </cell>
          <cell r="E681" t="str">
            <v>SALAH</v>
          </cell>
          <cell r="F681">
            <v>19312</v>
          </cell>
          <cell r="G681" t="str">
            <v>1</v>
          </cell>
          <cell r="H681" t="str">
            <v>KHOURIBGA</v>
          </cell>
          <cell r="I681" t="str">
            <v>D</v>
          </cell>
          <cell r="J681">
            <v>27589</v>
          </cell>
          <cell r="K681">
            <v>33573</v>
          </cell>
          <cell r="L681" t="str">
            <v>22</v>
          </cell>
          <cell r="M681" t="str">
            <v>A</v>
          </cell>
          <cell r="N681">
            <v>33573</v>
          </cell>
          <cell r="P681">
            <v>27</v>
          </cell>
          <cell r="Q681" t="str">
            <v>O</v>
          </cell>
          <cell r="R681" t="str">
            <v>N</v>
          </cell>
          <cell r="S681">
            <v>0</v>
          </cell>
          <cell r="T681" t="str">
            <v>M</v>
          </cell>
          <cell r="U681" t="str">
            <v>AICHA BENT AHMED</v>
          </cell>
          <cell r="X681">
            <v>4</v>
          </cell>
          <cell r="Y681">
            <v>1</v>
          </cell>
          <cell r="AB681" t="str">
            <v>X</v>
          </cell>
          <cell r="AC681" t="str">
            <v>X</v>
          </cell>
          <cell r="AD681" t="str">
            <v>X</v>
          </cell>
          <cell r="AH681" t="str">
            <v>N</v>
          </cell>
          <cell r="AI681" t="str">
            <v>N</v>
          </cell>
          <cell r="AK681" t="str">
            <v>613 NV TACHERON VILLAGE OCP - BOUJNIBA</v>
          </cell>
          <cell r="AL681" t="str">
            <v>CM2</v>
          </cell>
          <cell r="AP681" t="str">
            <v>Q 5866</v>
          </cell>
          <cell r="AQ681">
            <v>0</v>
          </cell>
          <cell r="AR681" t="str">
            <v>B</v>
          </cell>
          <cell r="AS681" t="str">
            <v>WAFABANAK - KHGA</v>
          </cell>
          <cell r="AT681" t="str">
            <v>122030134564278</v>
          </cell>
          <cell r="AU681" t="str">
            <v>/  /</v>
          </cell>
          <cell r="AW681">
            <v>37622</v>
          </cell>
          <cell r="AY681" t="str">
            <v>XX</v>
          </cell>
          <cell r="AZ681" t="str">
            <v>M</v>
          </cell>
          <cell r="BA681" t="str">
            <v>0</v>
          </cell>
          <cell r="BB681">
            <v>1</v>
          </cell>
          <cell r="BD681">
            <v>0</v>
          </cell>
          <cell r="BE681" t="str">
            <v>M</v>
          </cell>
          <cell r="BF681" t="str">
            <v>N</v>
          </cell>
          <cell r="BG681">
            <v>51</v>
          </cell>
          <cell r="BH681">
            <v>37622</v>
          </cell>
        </row>
        <row r="682">
          <cell r="A682">
            <v>67909</v>
          </cell>
          <cell r="B682">
            <v>413</v>
          </cell>
          <cell r="C682" t="str">
            <v>C4200</v>
          </cell>
          <cell r="D682" t="str">
            <v>MOUMEN</v>
          </cell>
          <cell r="E682" t="str">
            <v>RAHALI</v>
          </cell>
          <cell r="F682">
            <v>19905</v>
          </cell>
          <cell r="H682" t="str">
            <v>LAHLAF BEN AHMED - SETTAT</v>
          </cell>
          <cell r="I682" t="str">
            <v>D</v>
          </cell>
          <cell r="J682">
            <v>27590</v>
          </cell>
          <cell r="K682">
            <v>36526</v>
          </cell>
          <cell r="L682" t="str">
            <v>22</v>
          </cell>
          <cell r="M682" t="str">
            <v>A</v>
          </cell>
          <cell r="N682">
            <v>36526</v>
          </cell>
          <cell r="P682">
            <v>27</v>
          </cell>
          <cell r="Q682" t="str">
            <v>O</v>
          </cell>
          <cell r="R682" t="str">
            <v>N</v>
          </cell>
          <cell r="S682">
            <v>0</v>
          </cell>
          <cell r="T682" t="str">
            <v>M</v>
          </cell>
          <cell r="U682" t="str">
            <v>HADDA BENT HADJ BOUCHAIB</v>
          </cell>
          <cell r="X682">
            <v>5</v>
          </cell>
          <cell r="Y682">
            <v>3</v>
          </cell>
          <cell r="AB682" t="str">
            <v>X</v>
          </cell>
          <cell r="AC682" t="str">
            <v>X</v>
          </cell>
          <cell r="AD682" t="str">
            <v>X</v>
          </cell>
          <cell r="AH682" t="str">
            <v>N</v>
          </cell>
          <cell r="AI682" t="str">
            <v>N</v>
          </cell>
          <cell r="AK682" t="str">
            <v>30 RUE 4 DERB OULD SI BOUABID KHGA</v>
          </cell>
          <cell r="AL682" t="str">
            <v>3AS</v>
          </cell>
          <cell r="AP682" t="str">
            <v>Q 76020</v>
          </cell>
          <cell r="AQ682">
            <v>0</v>
          </cell>
          <cell r="AR682" t="str">
            <v>B</v>
          </cell>
          <cell r="AS682" t="str">
            <v>SGMB - KHGA</v>
          </cell>
          <cell r="AT682" t="str">
            <v>0000670009388257</v>
          </cell>
          <cell r="AU682" t="str">
            <v>/  /</v>
          </cell>
          <cell r="AW682">
            <v>38169</v>
          </cell>
          <cell r="AY682" t="str">
            <v>XX</v>
          </cell>
          <cell r="BA682" t="str">
            <v>2</v>
          </cell>
          <cell r="BB682">
            <v>1</v>
          </cell>
          <cell r="BD682">
            <v>0</v>
          </cell>
          <cell r="BE682" t="str">
            <v>M</v>
          </cell>
          <cell r="BF682" t="str">
            <v>N</v>
          </cell>
          <cell r="BG682">
            <v>4</v>
          </cell>
          <cell r="BH682">
            <v>38169</v>
          </cell>
          <cell r="BI682" t="str">
            <v>O</v>
          </cell>
        </row>
        <row r="683">
          <cell r="A683">
            <v>67912</v>
          </cell>
          <cell r="B683">
            <v>462</v>
          </cell>
          <cell r="C683" t="str">
            <v>C6036</v>
          </cell>
          <cell r="D683" t="str">
            <v>GARGOUBI</v>
          </cell>
          <cell r="E683" t="str">
            <v>MOHAMMED</v>
          </cell>
          <cell r="F683">
            <v>18809</v>
          </cell>
          <cell r="G683" t="str">
            <v>2</v>
          </cell>
          <cell r="H683" t="str">
            <v>OUED-ZEM</v>
          </cell>
          <cell r="I683" t="str">
            <v>D</v>
          </cell>
          <cell r="J683">
            <v>27589</v>
          </cell>
          <cell r="K683">
            <v>36526</v>
          </cell>
          <cell r="L683" t="str">
            <v>32</v>
          </cell>
          <cell r="M683" t="str">
            <v>A</v>
          </cell>
          <cell r="N683">
            <v>36526</v>
          </cell>
          <cell r="P683">
            <v>27</v>
          </cell>
          <cell r="Q683" t="str">
            <v>O</v>
          </cell>
          <cell r="R683" t="str">
            <v>N</v>
          </cell>
          <cell r="S683">
            <v>0</v>
          </cell>
          <cell r="T683" t="str">
            <v>M</v>
          </cell>
          <cell r="U683" t="str">
            <v>AIT AMMI FATIMA BT BOUZEKRI</v>
          </cell>
          <cell r="X683">
            <v>4</v>
          </cell>
          <cell r="Y683">
            <v>4</v>
          </cell>
          <cell r="AB683" t="str">
            <v>X</v>
          </cell>
          <cell r="AC683" t="str">
            <v>X</v>
          </cell>
          <cell r="AD683" t="str">
            <v>X</v>
          </cell>
          <cell r="AH683" t="str">
            <v>N</v>
          </cell>
          <cell r="AI683" t="str">
            <v>N</v>
          </cell>
          <cell r="AK683" t="str">
            <v>146 VILLE O.C.P - OUED ZEM</v>
          </cell>
          <cell r="AL683" t="str">
            <v>3AS</v>
          </cell>
          <cell r="AM683" t="str">
            <v>CFO.</v>
          </cell>
          <cell r="AP683" t="str">
            <v>Q 18922</v>
          </cell>
          <cell r="AQ683">
            <v>0</v>
          </cell>
          <cell r="AR683" t="str">
            <v>B</v>
          </cell>
          <cell r="AS683" t="str">
            <v>POPULAIRE.O.ZEM</v>
          </cell>
          <cell r="AT683" t="str">
            <v>2111113032650007</v>
          </cell>
          <cell r="AU683" t="str">
            <v>/  /</v>
          </cell>
          <cell r="AW683">
            <v>37887</v>
          </cell>
          <cell r="AX683">
            <v>37887</v>
          </cell>
          <cell r="AY683" t="str">
            <v>XX</v>
          </cell>
          <cell r="BA683" t="str">
            <v>2</v>
          </cell>
          <cell r="BB683">
            <v>1</v>
          </cell>
          <cell r="BD683">
            <v>0</v>
          </cell>
          <cell r="BE683" t="str">
            <v>M</v>
          </cell>
          <cell r="BF683" t="str">
            <v>N</v>
          </cell>
          <cell r="BG683">
            <v>31</v>
          </cell>
          <cell r="BH683">
            <v>37257</v>
          </cell>
          <cell r="BI683" t="str">
            <v>O</v>
          </cell>
        </row>
        <row r="684">
          <cell r="A684">
            <v>68125</v>
          </cell>
          <cell r="B684">
            <v>461</v>
          </cell>
          <cell r="C684" t="str">
            <v>C4152</v>
          </cell>
          <cell r="D684" t="str">
            <v>EL BIAD</v>
          </cell>
          <cell r="E684" t="str">
            <v>MOHAMMED</v>
          </cell>
          <cell r="F684">
            <v>19540</v>
          </cell>
          <cell r="G684" t="str">
            <v>1</v>
          </cell>
          <cell r="H684" t="str">
            <v>KHOURIBGA</v>
          </cell>
          <cell r="I684" t="str">
            <v>D</v>
          </cell>
          <cell r="J684">
            <v>27680</v>
          </cell>
          <cell r="K684">
            <v>36526</v>
          </cell>
          <cell r="L684" t="str">
            <v>22</v>
          </cell>
          <cell r="M684" t="str">
            <v>A</v>
          </cell>
          <cell r="N684">
            <v>36526</v>
          </cell>
          <cell r="P684">
            <v>27</v>
          </cell>
          <cell r="Q684" t="str">
            <v>O</v>
          </cell>
          <cell r="R684" t="str">
            <v>N</v>
          </cell>
          <cell r="S684">
            <v>0</v>
          </cell>
          <cell r="T684" t="str">
            <v>M</v>
          </cell>
          <cell r="U684" t="str">
            <v>FIRAR NAIMA BENT BOUCHAIB</v>
          </cell>
          <cell r="X684">
            <v>4</v>
          </cell>
          <cell r="Y684">
            <v>2</v>
          </cell>
          <cell r="AB684" t="str">
            <v>X</v>
          </cell>
          <cell r="AC684" t="str">
            <v>X</v>
          </cell>
          <cell r="AD684" t="str">
            <v>X</v>
          </cell>
          <cell r="AH684" t="str">
            <v>N</v>
          </cell>
          <cell r="AI684" t="str">
            <v>N</v>
          </cell>
          <cell r="AK684" t="str">
            <v>653 NELLE MEDINA DE SECHAGE KHGA</v>
          </cell>
          <cell r="AL684" t="str">
            <v>CM2</v>
          </cell>
          <cell r="AP684" t="str">
            <v>Q 81407</v>
          </cell>
          <cell r="AQ684">
            <v>0</v>
          </cell>
          <cell r="AR684" t="str">
            <v>B</v>
          </cell>
          <cell r="AS684" t="str">
            <v>BMCE - KHGA</v>
          </cell>
          <cell r="AT684" t="str">
            <v>000001200001411795</v>
          </cell>
          <cell r="AU684" t="str">
            <v>/  /</v>
          </cell>
          <cell r="AW684">
            <v>37803</v>
          </cell>
          <cell r="AY684" t="str">
            <v>XX</v>
          </cell>
          <cell r="BA684" t="str">
            <v>1</v>
          </cell>
          <cell r="BB684">
            <v>1</v>
          </cell>
          <cell r="BD684">
            <v>0</v>
          </cell>
          <cell r="BE684" t="str">
            <v>M</v>
          </cell>
          <cell r="BF684" t="str">
            <v>N</v>
          </cell>
          <cell r="BG684">
            <v>5</v>
          </cell>
          <cell r="BH684">
            <v>37803</v>
          </cell>
        </row>
        <row r="685">
          <cell r="A685">
            <v>67917</v>
          </cell>
          <cell r="B685">
            <v>403</v>
          </cell>
          <cell r="C685" t="str">
            <v>C4801</v>
          </cell>
          <cell r="D685" t="str">
            <v>RAHIB</v>
          </cell>
          <cell r="E685" t="str">
            <v>ABDELHAK</v>
          </cell>
          <cell r="F685">
            <v>20211</v>
          </cell>
          <cell r="G685" t="str">
            <v>1</v>
          </cell>
          <cell r="H685" t="str">
            <v>OULED BHAR KBAR KHOURIBGA</v>
          </cell>
          <cell r="I685" t="str">
            <v>D</v>
          </cell>
          <cell r="J685">
            <v>27590</v>
          </cell>
          <cell r="K685">
            <v>33573</v>
          </cell>
          <cell r="L685" t="str">
            <v>22</v>
          </cell>
          <cell r="M685" t="str">
            <v>B</v>
          </cell>
          <cell r="N685">
            <v>35612</v>
          </cell>
          <cell r="P685">
            <v>27</v>
          </cell>
          <cell r="Q685" t="str">
            <v>O</v>
          </cell>
          <cell r="R685" t="str">
            <v>N</v>
          </cell>
          <cell r="S685">
            <v>0</v>
          </cell>
          <cell r="T685" t="str">
            <v>M</v>
          </cell>
          <cell r="U685" t="str">
            <v>IZZA BENT EL HAJ EL MAATI</v>
          </cell>
          <cell r="X685">
            <v>5</v>
          </cell>
          <cell r="Y685">
            <v>3</v>
          </cell>
          <cell r="AB685" t="str">
            <v>X</v>
          </cell>
          <cell r="AC685" t="str">
            <v>X</v>
          </cell>
          <cell r="AD685" t="str">
            <v>X</v>
          </cell>
          <cell r="AH685" t="str">
            <v>N</v>
          </cell>
          <cell r="AI685" t="str">
            <v>N</v>
          </cell>
          <cell r="AK685" t="str">
            <v>172 RUE BNI HASSANE DB OUELD AROUI KHGA</v>
          </cell>
          <cell r="AL685" t="str">
            <v>2AS</v>
          </cell>
          <cell r="AP685" t="str">
            <v>Q 17873</v>
          </cell>
          <cell r="AQ685">
            <v>0</v>
          </cell>
          <cell r="AR685" t="str">
            <v>B</v>
          </cell>
          <cell r="AS685" t="str">
            <v>Cred maroc KHGA</v>
          </cell>
          <cell r="AT685" t="str">
            <v>082001051838</v>
          </cell>
          <cell r="AU685" t="str">
            <v>/  /</v>
          </cell>
          <cell r="AW685">
            <v>38534</v>
          </cell>
          <cell r="AY685" t="str">
            <v>XX</v>
          </cell>
          <cell r="AZ685" t="str">
            <v>M</v>
          </cell>
          <cell r="BA685" t="str">
            <v>0</v>
          </cell>
          <cell r="BB685">
            <v>1</v>
          </cell>
          <cell r="BD685">
            <v>0</v>
          </cell>
          <cell r="BE685" t="str">
            <v>M</v>
          </cell>
          <cell r="BF685" t="str">
            <v>N</v>
          </cell>
          <cell r="BG685">
            <v>1</v>
          </cell>
          <cell r="BH685">
            <v>38534</v>
          </cell>
          <cell r="BI685" t="str">
            <v>O</v>
          </cell>
        </row>
        <row r="686">
          <cell r="A686">
            <v>67932</v>
          </cell>
          <cell r="B686">
            <v>426</v>
          </cell>
          <cell r="C686" t="str">
            <v>C6050</v>
          </cell>
          <cell r="D686" t="str">
            <v>DAHMAOUI</v>
          </cell>
          <cell r="E686" t="str">
            <v>LARBI</v>
          </cell>
          <cell r="F686">
            <v>19175</v>
          </cell>
          <cell r="G686" t="str">
            <v>2</v>
          </cell>
          <cell r="H686" t="str">
            <v>SMAALA</v>
          </cell>
          <cell r="I686" t="str">
            <v>D</v>
          </cell>
          <cell r="J686">
            <v>27591</v>
          </cell>
          <cell r="K686">
            <v>36526</v>
          </cell>
          <cell r="L686" t="str">
            <v>32</v>
          </cell>
          <cell r="M686" t="str">
            <v>A</v>
          </cell>
          <cell r="N686">
            <v>36526</v>
          </cell>
          <cell r="P686">
            <v>27</v>
          </cell>
          <cell r="Q686" t="str">
            <v>O</v>
          </cell>
          <cell r="R686" t="str">
            <v>N</v>
          </cell>
          <cell r="S686">
            <v>0</v>
          </cell>
          <cell r="T686" t="str">
            <v>M</v>
          </cell>
          <cell r="U686" t="str">
            <v>STATI FATNA BENT MOHAMED</v>
          </cell>
          <cell r="X686">
            <v>5</v>
          </cell>
          <cell r="Y686">
            <v>3</v>
          </cell>
          <cell r="AB686" t="str">
            <v>X</v>
          </cell>
          <cell r="AC686" t="str">
            <v>X</v>
          </cell>
          <cell r="AD686" t="str">
            <v>X</v>
          </cell>
          <cell r="AH686" t="str">
            <v>N</v>
          </cell>
          <cell r="AI686" t="str">
            <v>N</v>
          </cell>
          <cell r="AK686" t="str">
            <v>379 HAY EL WAHDA BLOC A OUED ZEM</v>
          </cell>
          <cell r="AL686" t="str">
            <v>4AS</v>
          </cell>
          <cell r="AM686" t="str">
            <v>CFO.</v>
          </cell>
          <cell r="AP686" t="str">
            <v>Q 92042</v>
          </cell>
          <cell r="AQ686">
            <v>0</v>
          </cell>
          <cell r="AR686" t="str">
            <v>B</v>
          </cell>
          <cell r="AS686" t="str">
            <v>POPULAIRE.O.ZEM</v>
          </cell>
          <cell r="AT686" t="str">
            <v>2111113049680005</v>
          </cell>
          <cell r="AU686" t="str">
            <v>/  /</v>
          </cell>
          <cell r="AW686">
            <v>37438</v>
          </cell>
          <cell r="AY686" t="str">
            <v>XX</v>
          </cell>
          <cell r="BA686" t="str">
            <v>2</v>
          </cell>
          <cell r="BB686">
            <v>1</v>
          </cell>
          <cell r="BD686">
            <v>0</v>
          </cell>
          <cell r="BE686" t="str">
            <v>M</v>
          </cell>
          <cell r="BF686" t="str">
            <v>N</v>
          </cell>
          <cell r="BG686">
            <v>30</v>
          </cell>
          <cell r="BH686">
            <v>37438</v>
          </cell>
          <cell r="BI686" t="str">
            <v>O</v>
          </cell>
        </row>
        <row r="687">
          <cell r="A687">
            <v>67942</v>
          </cell>
          <cell r="B687">
            <v>401</v>
          </cell>
          <cell r="C687" t="str">
            <v>X1601</v>
          </cell>
          <cell r="D687" t="str">
            <v>SAHIM</v>
          </cell>
          <cell r="E687" t="str">
            <v>MOHAMMED</v>
          </cell>
          <cell r="F687">
            <v>19540</v>
          </cell>
          <cell r="G687" t="str">
            <v>3</v>
          </cell>
          <cell r="H687" t="str">
            <v>BOUJNIBA</v>
          </cell>
          <cell r="I687" t="str">
            <v>D</v>
          </cell>
          <cell r="J687">
            <v>27598</v>
          </cell>
          <cell r="K687">
            <v>33420</v>
          </cell>
          <cell r="L687" t="str">
            <v>41</v>
          </cell>
          <cell r="M687" t="str">
            <v>C</v>
          </cell>
          <cell r="N687">
            <v>35612</v>
          </cell>
          <cell r="P687">
            <v>27</v>
          </cell>
          <cell r="Q687" t="str">
            <v>N</v>
          </cell>
          <cell r="R687" t="str">
            <v>N</v>
          </cell>
          <cell r="S687">
            <v>0</v>
          </cell>
          <cell r="T687" t="str">
            <v>M</v>
          </cell>
          <cell r="U687" t="str">
            <v>BOUSTANI KHADIJA</v>
          </cell>
          <cell r="X687">
            <v>4</v>
          </cell>
          <cell r="Y687">
            <v>2</v>
          </cell>
          <cell r="AB687" t="str">
            <v>X</v>
          </cell>
          <cell r="AC687" t="str">
            <v>X</v>
          </cell>
          <cell r="AD687" t="str">
            <v>X</v>
          </cell>
          <cell r="AH687" t="str">
            <v>O</v>
          </cell>
          <cell r="AI687" t="str">
            <v>N</v>
          </cell>
          <cell r="AK687" t="str">
            <v>19 RUE D'OUJDA O C P KHOURIBGA</v>
          </cell>
          <cell r="AL687" t="str">
            <v>7A.S.EXP</v>
          </cell>
          <cell r="AP687" t="str">
            <v>Q 19519</v>
          </cell>
          <cell r="AQ687">
            <v>0</v>
          </cell>
          <cell r="AR687" t="str">
            <v>B</v>
          </cell>
          <cell r="AS687" t="str">
            <v>B.M.C.E  KHGA</v>
          </cell>
          <cell r="AT687" t="str">
            <v>400012000008645-21</v>
          </cell>
          <cell r="AU687" t="str">
            <v>/  /</v>
          </cell>
          <cell r="AW687">
            <v>38353</v>
          </cell>
          <cell r="AY687" t="str">
            <v>XX</v>
          </cell>
          <cell r="BA687" t="str">
            <v>2</v>
          </cell>
          <cell r="BB687">
            <v>1</v>
          </cell>
          <cell r="BD687">
            <v>0</v>
          </cell>
          <cell r="BE687" t="str">
            <v>M</v>
          </cell>
          <cell r="BF687" t="str">
            <v>N</v>
          </cell>
          <cell r="BG687">
            <v>0</v>
          </cell>
          <cell r="BH687">
            <v>38718</v>
          </cell>
        </row>
        <row r="688">
          <cell r="A688">
            <v>67943</v>
          </cell>
          <cell r="B688">
            <v>421</v>
          </cell>
          <cell r="C688" t="str">
            <v>C7152</v>
          </cell>
          <cell r="D688" t="str">
            <v>HAMRO</v>
          </cell>
          <cell r="E688" t="str">
            <v>AHMED</v>
          </cell>
          <cell r="F688">
            <v>19540</v>
          </cell>
          <cell r="G688" t="str">
            <v>1</v>
          </cell>
          <cell r="H688" t="str">
            <v>OULED ABDOUNE - KHOURIBGA</v>
          </cell>
          <cell r="I688" t="str">
            <v>D</v>
          </cell>
          <cell r="J688">
            <v>27593</v>
          </cell>
          <cell r="K688">
            <v>36526</v>
          </cell>
          <cell r="L688" t="str">
            <v>33</v>
          </cell>
          <cell r="M688" t="str">
            <v>A</v>
          </cell>
          <cell r="N688">
            <v>36526</v>
          </cell>
          <cell r="P688">
            <v>27</v>
          </cell>
          <cell r="Q688" t="str">
            <v>O</v>
          </cell>
          <cell r="R688" t="str">
            <v>N</v>
          </cell>
          <cell r="S688">
            <v>0</v>
          </cell>
          <cell r="T688" t="str">
            <v>M</v>
          </cell>
          <cell r="U688" t="str">
            <v>OURSANA JAMILA BENT MOHAMED</v>
          </cell>
          <cell r="X688">
            <v>5</v>
          </cell>
          <cell r="Y688">
            <v>2</v>
          </cell>
          <cell r="AB688" t="str">
            <v>X</v>
          </cell>
          <cell r="AC688" t="str">
            <v>X</v>
          </cell>
          <cell r="AD688" t="str">
            <v>X</v>
          </cell>
          <cell r="AH688" t="str">
            <v>N</v>
          </cell>
          <cell r="AI688" t="str">
            <v>N</v>
          </cell>
          <cell r="AK688" t="str">
            <v>67 BIS BLOC B QUARTIER CEREALIER KHGA</v>
          </cell>
          <cell r="AL688" t="str">
            <v>3AS</v>
          </cell>
          <cell r="AM688" t="str">
            <v>CFO</v>
          </cell>
          <cell r="AP688" t="str">
            <v>Q 28267</v>
          </cell>
          <cell r="AQ688">
            <v>0</v>
          </cell>
          <cell r="AR688" t="str">
            <v>B</v>
          </cell>
          <cell r="AS688" t="str">
            <v>BMCI.KHGA</v>
          </cell>
          <cell r="AT688" t="str">
            <v>02820772513301</v>
          </cell>
          <cell r="AU688" t="str">
            <v>/  /</v>
          </cell>
          <cell r="AW688">
            <v>37803</v>
          </cell>
          <cell r="AY688" t="str">
            <v>XX</v>
          </cell>
          <cell r="BA688" t="str">
            <v>1</v>
          </cell>
          <cell r="BB688">
            <v>1</v>
          </cell>
          <cell r="BC688" t="str">
            <v>O</v>
          </cell>
          <cell r="BD688">
            <v>4</v>
          </cell>
          <cell r="BE688" t="str">
            <v>M</v>
          </cell>
          <cell r="BF688" t="str">
            <v>N</v>
          </cell>
          <cell r="BG688">
            <v>4</v>
          </cell>
          <cell r="BH688">
            <v>37803</v>
          </cell>
          <cell r="BI688" t="str">
            <v>O</v>
          </cell>
        </row>
        <row r="689">
          <cell r="A689">
            <v>67944</v>
          </cell>
          <cell r="B689">
            <v>468</v>
          </cell>
          <cell r="C689" t="str">
            <v>C7050</v>
          </cell>
          <cell r="D689" t="str">
            <v>ROCHDI</v>
          </cell>
          <cell r="E689" t="str">
            <v>JILALI</v>
          </cell>
          <cell r="F689">
            <v>20270</v>
          </cell>
          <cell r="G689" t="str">
            <v>1</v>
          </cell>
          <cell r="H689" t="str">
            <v>OULED ABDOUNE</v>
          </cell>
          <cell r="I689" t="str">
            <v>D</v>
          </cell>
          <cell r="J689">
            <v>27596</v>
          </cell>
          <cell r="K689">
            <v>36526</v>
          </cell>
          <cell r="L689" t="str">
            <v>33</v>
          </cell>
          <cell r="M689" t="str">
            <v>A</v>
          </cell>
          <cell r="N689">
            <v>36526</v>
          </cell>
          <cell r="P689">
            <v>27</v>
          </cell>
          <cell r="Q689" t="str">
            <v>O</v>
          </cell>
          <cell r="R689" t="str">
            <v>N</v>
          </cell>
          <cell r="S689">
            <v>0</v>
          </cell>
          <cell r="T689" t="str">
            <v>M</v>
          </cell>
          <cell r="U689" t="str">
            <v>RMAILI FATIHA BENT LARBI</v>
          </cell>
          <cell r="X689">
            <v>3</v>
          </cell>
          <cell r="Y689">
            <v>3</v>
          </cell>
          <cell r="AB689" t="str">
            <v>X</v>
          </cell>
          <cell r="AC689" t="str">
            <v>X</v>
          </cell>
          <cell r="AD689" t="str">
            <v>X</v>
          </cell>
          <cell r="AH689" t="str">
            <v>N</v>
          </cell>
          <cell r="AI689" t="str">
            <v>N</v>
          </cell>
          <cell r="AK689" t="str">
            <v>DOUAR OULED AHMED KHOUADRIA JDAD KHGA</v>
          </cell>
          <cell r="AL689" t="str">
            <v>3AS</v>
          </cell>
          <cell r="AM689" t="str">
            <v>CFO</v>
          </cell>
          <cell r="AP689" t="str">
            <v>Q 15714</v>
          </cell>
          <cell r="AQ689">
            <v>0</v>
          </cell>
          <cell r="AR689" t="str">
            <v>B</v>
          </cell>
          <cell r="AS689" t="str">
            <v>BMCI.KHGA</v>
          </cell>
          <cell r="AT689" t="str">
            <v>0282116662430100001</v>
          </cell>
          <cell r="AU689" t="str">
            <v>/  /</v>
          </cell>
          <cell r="AW689">
            <v>38534</v>
          </cell>
          <cell r="AY689" t="str">
            <v>XX</v>
          </cell>
          <cell r="BA689" t="str">
            <v>2</v>
          </cell>
          <cell r="BB689">
            <v>1</v>
          </cell>
          <cell r="BC689" t="str">
            <v>O</v>
          </cell>
          <cell r="BD689">
            <v>4</v>
          </cell>
          <cell r="BE689" t="str">
            <v>M</v>
          </cell>
          <cell r="BF689" t="str">
            <v>N</v>
          </cell>
          <cell r="BG689">
            <v>5</v>
          </cell>
          <cell r="BH689">
            <v>38534</v>
          </cell>
        </row>
        <row r="690">
          <cell r="A690">
            <v>67962</v>
          </cell>
          <cell r="B690">
            <v>428</v>
          </cell>
          <cell r="C690" t="str">
            <v>C7050</v>
          </cell>
          <cell r="D690" t="str">
            <v>MALEH</v>
          </cell>
          <cell r="E690" t="str">
            <v>BOUJEMA</v>
          </cell>
          <cell r="F690">
            <v>19694</v>
          </cell>
          <cell r="H690" t="str">
            <v>SIDI BOUBKER - OUJDA</v>
          </cell>
          <cell r="I690" t="str">
            <v>D</v>
          </cell>
          <cell r="J690">
            <v>27597</v>
          </cell>
          <cell r="K690">
            <v>35065</v>
          </cell>
          <cell r="L690" t="str">
            <v>33</v>
          </cell>
          <cell r="M690" t="str">
            <v>A</v>
          </cell>
          <cell r="N690">
            <v>35065</v>
          </cell>
          <cell r="P690">
            <v>27</v>
          </cell>
          <cell r="Q690" t="str">
            <v>O</v>
          </cell>
          <cell r="R690" t="str">
            <v>N</v>
          </cell>
          <cell r="S690">
            <v>0</v>
          </cell>
          <cell r="T690" t="str">
            <v>M</v>
          </cell>
          <cell r="U690" t="str">
            <v>BELARBI NAJIMA BENT AHMED</v>
          </cell>
          <cell r="X690">
            <v>4</v>
          </cell>
          <cell r="Y690">
            <v>4</v>
          </cell>
          <cell r="AB690" t="str">
            <v>X</v>
          </cell>
          <cell r="AC690" t="str">
            <v>X</v>
          </cell>
          <cell r="AD690" t="str">
            <v>X</v>
          </cell>
          <cell r="AH690" t="str">
            <v>N</v>
          </cell>
          <cell r="AI690" t="str">
            <v>N</v>
          </cell>
          <cell r="AK690" t="str">
            <v>416 NOUVEAUX LOGEMENTS OCP KHGA</v>
          </cell>
          <cell r="AL690" t="str">
            <v>3AS</v>
          </cell>
          <cell r="AP690" t="str">
            <v>Q 62757</v>
          </cell>
          <cell r="AQ690">
            <v>0</v>
          </cell>
          <cell r="AR690" t="str">
            <v>B</v>
          </cell>
          <cell r="AS690" t="str">
            <v>CR. MAROC KHGA</v>
          </cell>
          <cell r="AT690" t="str">
            <v>820010019591</v>
          </cell>
          <cell r="AU690" t="str">
            <v>/  /</v>
          </cell>
          <cell r="AW690">
            <v>37987</v>
          </cell>
          <cell r="AY690" t="str">
            <v>XX</v>
          </cell>
          <cell r="BA690" t="str">
            <v>2</v>
          </cell>
          <cell r="BB690">
            <v>1</v>
          </cell>
          <cell r="BD690">
            <v>0</v>
          </cell>
          <cell r="BE690" t="str">
            <v>M</v>
          </cell>
          <cell r="BF690" t="str">
            <v>N</v>
          </cell>
          <cell r="BG690">
            <v>4</v>
          </cell>
          <cell r="BH690">
            <v>38169</v>
          </cell>
        </row>
        <row r="691">
          <cell r="A691">
            <v>67967</v>
          </cell>
          <cell r="B691">
            <v>461</v>
          </cell>
          <cell r="C691" t="str">
            <v>C4152</v>
          </cell>
          <cell r="D691" t="str">
            <v>ASSAMI</v>
          </cell>
          <cell r="E691" t="str">
            <v>AHMED</v>
          </cell>
          <cell r="F691">
            <v>18444</v>
          </cell>
          <cell r="G691" t="str">
            <v>1</v>
          </cell>
          <cell r="H691" t="str">
            <v>KHOURIBGA</v>
          </cell>
          <cell r="I691" t="str">
            <v>D</v>
          </cell>
          <cell r="J691">
            <v>27598</v>
          </cell>
          <cell r="K691">
            <v>35065</v>
          </cell>
          <cell r="L691" t="str">
            <v>22</v>
          </cell>
          <cell r="M691" t="str">
            <v>A</v>
          </cell>
          <cell r="N691">
            <v>35065</v>
          </cell>
          <cell r="P691">
            <v>27</v>
          </cell>
          <cell r="Q691" t="str">
            <v>O</v>
          </cell>
          <cell r="R691" t="str">
            <v>N</v>
          </cell>
          <cell r="S691">
            <v>0</v>
          </cell>
          <cell r="T691" t="str">
            <v>M</v>
          </cell>
          <cell r="U691" t="str">
            <v>FATNA BENT EL HAJ EL HARRAR</v>
          </cell>
          <cell r="X691">
            <v>6</v>
          </cell>
          <cell r="Y691">
            <v>4</v>
          </cell>
          <cell r="AB691" t="str">
            <v>X</v>
          </cell>
          <cell r="AC691" t="str">
            <v>X</v>
          </cell>
          <cell r="AD691" t="str">
            <v>X</v>
          </cell>
          <cell r="AH691" t="str">
            <v>N</v>
          </cell>
          <cell r="AI691" t="str">
            <v>N</v>
          </cell>
          <cell r="AK691" t="str">
            <v>205 NX LOGEMENT OCP KHGA</v>
          </cell>
          <cell r="AL691" t="str">
            <v>3AS</v>
          </cell>
          <cell r="AP691" t="str">
            <v>Q 84581</v>
          </cell>
          <cell r="AQ691">
            <v>0</v>
          </cell>
          <cell r="AR691" t="str">
            <v>B</v>
          </cell>
          <cell r="AS691" t="str">
            <v>C.I.H - KHGA</v>
          </cell>
          <cell r="AT691" t="str">
            <v>9153792211004700</v>
          </cell>
          <cell r="AU691" t="str">
            <v>/  /</v>
          </cell>
          <cell r="AW691">
            <v>37887</v>
          </cell>
          <cell r="AX691">
            <v>37887</v>
          </cell>
          <cell r="AY691" t="str">
            <v>XX</v>
          </cell>
          <cell r="BA691" t="str">
            <v>1</v>
          </cell>
          <cell r="BB691">
            <v>1</v>
          </cell>
          <cell r="BD691">
            <v>0</v>
          </cell>
          <cell r="BE691" t="str">
            <v>M</v>
          </cell>
          <cell r="BF691" t="str">
            <v>N</v>
          </cell>
          <cell r="BG691">
            <v>5</v>
          </cell>
          <cell r="BH691">
            <v>37257</v>
          </cell>
        </row>
        <row r="692">
          <cell r="A692">
            <v>68082</v>
          </cell>
          <cell r="B692">
            <v>403</v>
          </cell>
          <cell r="C692" t="str">
            <v>C3152</v>
          </cell>
          <cell r="D692" t="str">
            <v>RHAFIR</v>
          </cell>
          <cell r="E692" t="str">
            <v>EL AYACHI</v>
          </cell>
          <cell r="F692">
            <v>19540</v>
          </cell>
          <cell r="G692" t="str">
            <v>1</v>
          </cell>
          <cell r="H692" t="str">
            <v>KHOURIBGA</v>
          </cell>
          <cell r="I692" t="str">
            <v>D</v>
          </cell>
          <cell r="J692">
            <v>27624</v>
          </cell>
          <cell r="K692">
            <v>36404</v>
          </cell>
          <cell r="L692" t="str">
            <v>21</v>
          </cell>
          <cell r="M692" t="str">
            <v>C</v>
          </cell>
          <cell r="N692">
            <v>36404</v>
          </cell>
          <cell r="P692">
            <v>27</v>
          </cell>
          <cell r="Q692" t="str">
            <v>O</v>
          </cell>
          <cell r="R692" t="str">
            <v>N</v>
          </cell>
          <cell r="S692">
            <v>0</v>
          </cell>
          <cell r="T692" t="str">
            <v>M</v>
          </cell>
          <cell r="U692" t="str">
            <v>KHADIJA BENT HAJJAJ</v>
          </cell>
          <cell r="X692">
            <v>7</v>
          </cell>
          <cell r="Y692">
            <v>2</v>
          </cell>
          <cell r="AB692" t="str">
            <v>X</v>
          </cell>
          <cell r="AC692" t="str">
            <v>X</v>
          </cell>
          <cell r="AD692" t="str">
            <v>X</v>
          </cell>
          <cell r="AH692" t="str">
            <v>N</v>
          </cell>
          <cell r="AI692" t="str">
            <v>N</v>
          </cell>
          <cell r="AK692" t="str">
            <v>177 ANCIENNE MEDINA OCP - KHGA</v>
          </cell>
          <cell r="AL692" t="str">
            <v>3AS</v>
          </cell>
          <cell r="AM692" t="str">
            <v>CEP.</v>
          </cell>
          <cell r="AP692" t="str">
            <v>Q 66293</v>
          </cell>
          <cell r="AQ692">
            <v>0</v>
          </cell>
          <cell r="AR692" t="str">
            <v>B</v>
          </cell>
          <cell r="AS692" t="str">
            <v>B.M.C.E - KHGA</v>
          </cell>
          <cell r="AT692" t="str">
            <v>4000120000953082</v>
          </cell>
          <cell r="AU692" t="str">
            <v>/  /</v>
          </cell>
          <cell r="AW692">
            <v>37803</v>
          </cell>
          <cell r="AY692" t="str">
            <v>XX</v>
          </cell>
          <cell r="BA692" t="str">
            <v>1</v>
          </cell>
          <cell r="BB692">
            <v>1</v>
          </cell>
          <cell r="BD692">
            <v>0</v>
          </cell>
          <cell r="BE692" t="str">
            <v>M</v>
          </cell>
          <cell r="BF692" t="str">
            <v>N</v>
          </cell>
          <cell r="BG692">
            <v>1</v>
          </cell>
          <cell r="BH692">
            <v>37803</v>
          </cell>
        </row>
        <row r="693">
          <cell r="A693">
            <v>68090</v>
          </cell>
          <cell r="B693">
            <v>468</v>
          </cell>
          <cell r="C693" t="str">
            <v>C4152</v>
          </cell>
          <cell r="D693" t="str">
            <v>LAHRECHE</v>
          </cell>
          <cell r="E693" t="str">
            <v>EL ARBI</v>
          </cell>
          <cell r="F693">
            <v>20135</v>
          </cell>
          <cell r="H693" t="str">
            <v>DOUAR AOUINATE - SETTAT</v>
          </cell>
          <cell r="I693" t="str">
            <v>D</v>
          </cell>
          <cell r="J693">
            <v>29393</v>
          </cell>
          <cell r="K693">
            <v>36526</v>
          </cell>
          <cell r="L693" t="str">
            <v>22</v>
          </cell>
          <cell r="M693" t="str">
            <v>A</v>
          </cell>
          <cell r="N693">
            <v>36526</v>
          </cell>
          <cell r="P693">
            <v>22</v>
          </cell>
          <cell r="Q693" t="str">
            <v>O</v>
          </cell>
          <cell r="R693" t="str">
            <v>N</v>
          </cell>
          <cell r="S693">
            <v>0</v>
          </cell>
          <cell r="T693" t="str">
            <v>M</v>
          </cell>
          <cell r="U693" t="str">
            <v>MERIEM BENT ABDESSLAM</v>
          </cell>
          <cell r="X693">
            <v>5</v>
          </cell>
          <cell r="Y693">
            <v>5</v>
          </cell>
          <cell r="AB693" t="str">
            <v>N</v>
          </cell>
          <cell r="AC693" t="str">
            <v>X</v>
          </cell>
          <cell r="AD693" t="str">
            <v>X</v>
          </cell>
          <cell r="AH693" t="str">
            <v>N</v>
          </cell>
          <cell r="AI693" t="str">
            <v>N</v>
          </cell>
          <cell r="AK693" t="str">
            <v>414 VILLAGE OCP BOUJNIBA</v>
          </cell>
          <cell r="AL693" t="str">
            <v>3AS</v>
          </cell>
          <cell r="AP693" t="str">
            <v>Q 21567</v>
          </cell>
          <cell r="AQ693">
            <v>0</v>
          </cell>
          <cell r="AR693" t="str">
            <v>B</v>
          </cell>
          <cell r="AS693" t="str">
            <v>WAFABANK - KHGA</v>
          </cell>
          <cell r="AT693" t="str">
            <v>1220301313613</v>
          </cell>
          <cell r="AU693" t="str">
            <v>/  /</v>
          </cell>
          <cell r="AW693">
            <v>38534</v>
          </cell>
          <cell r="AY693" t="str">
            <v>XX</v>
          </cell>
          <cell r="BA693" t="str">
            <v>1</v>
          </cell>
          <cell r="BB693">
            <v>1</v>
          </cell>
          <cell r="BD693">
            <v>0</v>
          </cell>
          <cell r="BE693" t="str">
            <v>M</v>
          </cell>
          <cell r="BF693" t="str">
            <v>N</v>
          </cell>
          <cell r="BG693">
            <v>51</v>
          </cell>
          <cell r="BH693">
            <v>39083</v>
          </cell>
        </row>
        <row r="694">
          <cell r="A694">
            <v>68117</v>
          </cell>
          <cell r="B694">
            <v>409</v>
          </cell>
          <cell r="C694" t="str">
            <v>C4152</v>
          </cell>
          <cell r="D694" t="str">
            <v>EN-NEFRI</v>
          </cell>
          <cell r="E694" t="str">
            <v>M'BAREK</v>
          </cell>
          <cell r="F694">
            <v>20270</v>
          </cell>
          <cell r="H694" t="str">
            <v>BENI AMIR GHARBIYINE</v>
          </cell>
          <cell r="I694" t="str">
            <v>D</v>
          </cell>
          <cell r="J694">
            <v>27676</v>
          </cell>
          <cell r="K694">
            <v>33573</v>
          </cell>
          <cell r="L694" t="str">
            <v>22</v>
          </cell>
          <cell r="M694" t="str">
            <v>A</v>
          </cell>
          <cell r="N694">
            <v>33573</v>
          </cell>
          <cell r="O694">
            <v>0</v>
          </cell>
          <cell r="P694">
            <v>27</v>
          </cell>
          <cell r="Q694" t="str">
            <v>O</v>
          </cell>
          <cell r="R694" t="str">
            <v>N</v>
          </cell>
          <cell r="S694">
            <v>0</v>
          </cell>
          <cell r="T694" t="str">
            <v>M</v>
          </cell>
          <cell r="U694" t="str">
            <v>CHEGDAL FATIMA BT ABDELLAH</v>
          </cell>
          <cell r="X694">
            <v>6</v>
          </cell>
          <cell r="Y694">
            <v>4</v>
          </cell>
          <cell r="AB694" t="str">
            <v>X</v>
          </cell>
          <cell r="AC694" t="str">
            <v>X</v>
          </cell>
          <cell r="AD694" t="str">
            <v>X</v>
          </cell>
          <cell r="AH694" t="str">
            <v>N</v>
          </cell>
          <cell r="AI694" t="str">
            <v>N</v>
          </cell>
          <cell r="AK694" t="str">
            <v>1019 OCP HATTANE</v>
          </cell>
          <cell r="AL694" t="str">
            <v>1AS</v>
          </cell>
          <cell r="AP694" t="str">
            <v>Q 34908</v>
          </cell>
          <cell r="AQ694">
            <v>0</v>
          </cell>
          <cell r="AR694" t="str">
            <v>B</v>
          </cell>
          <cell r="AS694" t="str">
            <v>BMCE -KHGA-</v>
          </cell>
          <cell r="AT694" t="str">
            <v>4000001200001726463</v>
          </cell>
          <cell r="AU694" t="str">
            <v>/  /</v>
          </cell>
          <cell r="AW694">
            <v>38534</v>
          </cell>
          <cell r="AY694" t="str">
            <v>XX</v>
          </cell>
          <cell r="BA694" t="str">
            <v>1</v>
          </cell>
          <cell r="BB694">
            <v>1</v>
          </cell>
          <cell r="BD694">
            <v>0</v>
          </cell>
          <cell r="BE694" t="str">
            <v>M</v>
          </cell>
          <cell r="BF694" t="str">
            <v>N</v>
          </cell>
          <cell r="BG694">
            <v>10</v>
          </cell>
          <cell r="BH694">
            <v>38534</v>
          </cell>
        </row>
        <row r="695">
          <cell r="A695">
            <v>68121</v>
          </cell>
          <cell r="B695">
            <v>421</v>
          </cell>
          <cell r="C695" t="str">
            <v>C5017</v>
          </cell>
          <cell r="D695" t="str">
            <v>FILAL</v>
          </cell>
          <cell r="E695" t="str">
            <v>BOUABID</v>
          </cell>
          <cell r="F695">
            <v>19708</v>
          </cell>
          <cell r="G695" t="str">
            <v>1</v>
          </cell>
          <cell r="H695" t="str">
            <v>KHOURIBGA</v>
          </cell>
          <cell r="I695" t="str">
            <v>D</v>
          </cell>
          <cell r="J695">
            <v>27677</v>
          </cell>
          <cell r="K695">
            <v>35612</v>
          </cell>
          <cell r="L695" t="str">
            <v>31</v>
          </cell>
          <cell r="M695" t="str">
            <v>A</v>
          </cell>
          <cell r="N695">
            <v>35612</v>
          </cell>
          <cell r="P695">
            <v>27</v>
          </cell>
          <cell r="Q695" t="str">
            <v>O</v>
          </cell>
          <cell r="R695" t="str">
            <v>N</v>
          </cell>
          <cell r="S695">
            <v>0</v>
          </cell>
          <cell r="T695" t="str">
            <v>M</v>
          </cell>
          <cell r="U695" t="str">
            <v>MALIKA BENT ABDESSLAM</v>
          </cell>
          <cell r="X695">
            <v>5</v>
          </cell>
          <cell r="Y695">
            <v>5</v>
          </cell>
          <cell r="AB695" t="str">
            <v>X</v>
          </cell>
          <cell r="AC695" t="str">
            <v>X</v>
          </cell>
          <cell r="AD695" t="str">
            <v>X</v>
          </cell>
          <cell r="AH695" t="str">
            <v>N</v>
          </cell>
          <cell r="AI695" t="str">
            <v>N</v>
          </cell>
          <cell r="AK695" t="str">
            <v>12 RUE ANDALOUS HAY EL HOUDA - KHGA</v>
          </cell>
          <cell r="AL695" t="str">
            <v>CM2</v>
          </cell>
          <cell r="AP695" t="str">
            <v>Q 31978</v>
          </cell>
          <cell r="AQ695">
            <v>0</v>
          </cell>
          <cell r="AR695" t="str">
            <v>B</v>
          </cell>
          <cell r="AS695" t="str">
            <v>B.M.C.I  O.ZEM</v>
          </cell>
          <cell r="AT695" t="str">
            <v>02521741301301</v>
          </cell>
          <cell r="AU695" t="str">
            <v>/  /</v>
          </cell>
          <cell r="AW695">
            <v>37987</v>
          </cell>
          <cell r="AY695" t="str">
            <v>A+</v>
          </cell>
          <cell r="AZ695" t="str">
            <v>M</v>
          </cell>
          <cell r="BA695" t="str">
            <v>2</v>
          </cell>
          <cell r="BB695">
            <v>1</v>
          </cell>
          <cell r="BC695" t="str">
            <v>N</v>
          </cell>
          <cell r="BD695">
            <v>0</v>
          </cell>
          <cell r="BE695" t="str">
            <v>M</v>
          </cell>
          <cell r="BF695" t="str">
            <v>N</v>
          </cell>
          <cell r="BG695">
            <v>30</v>
          </cell>
          <cell r="BH695">
            <v>38169</v>
          </cell>
          <cell r="BI695" t="str">
            <v>O</v>
          </cell>
        </row>
        <row r="696">
          <cell r="A696">
            <v>68127</v>
          </cell>
          <cell r="B696">
            <v>461</v>
          </cell>
          <cell r="C696" t="str">
            <v>C5017</v>
          </cell>
          <cell r="D696" t="str">
            <v>EL MAKOUDI</v>
          </cell>
          <cell r="E696" t="str">
            <v>ABDELMALEK</v>
          </cell>
          <cell r="F696">
            <v>19540</v>
          </cell>
          <cell r="G696" t="str">
            <v>1</v>
          </cell>
          <cell r="H696" t="str">
            <v>KHOURIBGA</v>
          </cell>
          <cell r="I696" t="str">
            <v>D</v>
          </cell>
          <cell r="J696">
            <v>27680</v>
          </cell>
          <cell r="K696">
            <v>35462</v>
          </cell>
          <cell r="L696" t="str">
            <v>31</v>
          </cell>
          <cell r="M696" t="str">
            <v>A</v>
          </cell>
          <cell r="N696">
            <v>35462</v>
          </cell>
          <cell r="P696">
            <v>27</v>
          </cell>
          <cell r="Q696" t="str">
            <v>O</v>
          </cell>
          <cell r="R696" t="str">
            <v>N</v>
          </cell>
          <cell r="S696">
            <v>0</v>
          </cell>
          <cell r="T696" t="str">
            <v>M</v>
          </cell>
          <cell r="U696" t="str">
            <v>TOUFIK IZZA BENT BELABBES</v>
          </cell>
          <cell r="X696">
            <v>4</v>
          </cell>
          <cell r="Y696">
            <v>4</v>
          </cell>
          <cell r="AB696" t="str">
            <v>X</v>
          </cell>
          <cell r="AC696" t="str">
            <v>X</v>
          </cell>
          <cell r="AD696" t="str">
            <v>X</v>
          </cell>
          <cell r="AH696" t="str">
            <v>N</v>
          </cell>
          <cell r="AI696" t="str">
            <v>N</v>
          </cell>
          <cell r="AK696" t="str">
            <v>10 R. 8 BRAHIM ROUDANI BOUAZA B/ALI KHGA</v>
          </cell>
          <cell r="AL696" t="str">
            <v>4AS</v>
          </cell>
          <cell r="AM696" t="str">
            <v>CFP.</v>
          </cell>
          <cell r="AP696" t="str">
            <v>Q 13158</v>
          </cell>
          <cell r="AQ696">
            <v>0</v>
          </cell>
          <cell r="AR696" t="str">
            <v>B</v>
          </cell>
          <cell r="AS696" t="str">
            <v>WAFABANK - KHGA</v>
          </cell>
          <cell r="AT696" t="str">
            <v>1220871025531</v>
          </cell>
          <cell r="AU696" t="str">
            <v>/  /</v>
          </cell>
          <cell r="AW696">
            <v>37803</v>
          </cell>
          <cell r="AY696" t="str">
            <v>XX</v>
          </cell>
          <cell r="AZ696" t="str">
            <v>M</v>
          </cell>
          <cell r="BA696" t="str">
            <v>2</v>
          </cell>
          <cell r="BB696">
            <v>1</v>
          </cell>
          <cell r="BD696">
            <v>0</v>
          </cell>
          <cell r="BE696" t="str">
            <v>M</v>
          </cell>
          <cell r="BF696" t="str">
            <v>N</v>
          </cell>
          <cell r="BG696">
            <v>1</v>
          </cell>
          <cell r="BH696">
            <v>37803</v>
          </cell>
          <cell r="BI696" t="str">
            <v>O</v>
          </cell>
        </row>
        <row r="697">
          <cell r="A697">
            <v>68161</v>
          </cell>
          <cell r="B697">
            <v>421</v>
          </cell>
          <cell r="C697" t="str">
            <v>C4152</v>
          </cell>
          <cell r="D697" t="str">
            <v>GUERRAB</v>
          </cell>
          <cell r="E697" t="str">
            <v>ABDERRAHMANE</v>
          </cell>
          <cell r="F697">
            <v>19540</v>
          </cell>
          <cell r="G697" t="str">
            <v>2</v>
          </cell>
          <cell r="H697" t="str">
            <v>OUED-ZEM</v>
          </cell>
          <cell r="I697" t="str">
            <v>D</v>
          </cell>
          <cell r="J697">
            <v>27688</v>
          </cell>
          <cell r="K697">
            <v>32843</v>
          </cell>
          <cell r="L697" t="str">
            <v>22</v>
          </cell>
          <cell r="M697" t="str">
            <v>C</v>
          </cell>
          <cell r="N697">
            <v>35612</v>
          </cell>
          <cell r="P697">
            <v>27</v>
          </cell>
          <cell r="Q697" t="str">
            <v>O</v>
          </cell>
          <cell r="R697" t="str">
            <v>N</v>
          </cell>
          <cell r="S697">
            <v>0</v>
          </cell>
          <cell r="T697" t="str">
            <v>M</v>
          </cell>
          <cell r="U697" t="str">
            <v>EL BRINI ZAHRA BENT LARBI</v>
          </cell>
          <cell r="X697">
            <v>3</v>
          </cell>
          <cell r="Y697">
            <v>3</v>
          </cell>
          <cell r="AB697" t="str">
            <v>X</v>
          </cell>
          <cell r="AC697" t="str">
            <v>X</v>
          </cell>
          <cell r="AD697" t="str">
            <v>X</v>
          </cell>
          <cell r="AH697" t="str">
            <v>N</v>
          </cell>
          <cell r="AI697" t="str">
            <v>N</v>
          </cell>
          <cell r="AK697" t="str">
            <v>129 VILLAGE OCP OUED ZEM</v>
          </cell>
          <cell r="AL697" t="str">
            <v>1AS</v>
          </cell>
          <cell r="AP697" t="str">
            <v>Q 45602</v>
          </cell>
          <cell r="AQ697">
            <v>0</v>
          </cell>
          <cell r="AR697" t="str">
            <v>B</v>
          </cell>
          <cell r="AS697" t="str">
            <v>POPULAIRE-OUED ZEM</v>
          </cell>
          <cell r="AT697" t="str">
            <v>2111173321220003</v>
          </cell>
          <cell r="AU697" t="str">
            <v>/  /</v>
          </cell>
          <cell r="AW697">
            <v>37803</v>
          </cell>
          <cell r="AY697" t="str">
            <v>XX</v>
          </cell>
          <cell r="BA697" t="str">
            <v>1</v>
          </cell>
          <cell r="BB697">
            <v>1</v>
          </cell>
          <cell r="BD697">
            <v>0</v>
          </cell>
          <cell r="BE697" t="str">
            <v>M</v>
          </cell>
          <cell r="BF697" t="str">
            <v>N</v>
          </cell>
          <cell r="BG697">
            <v>30</v>
          </cell>
          <cell r="BH697">
            <v>37803</v>
          </cell>
          <cell r="BI697" t="str">
            <v>O</v>
          </cell>
        </row>
        <row r="698">
          <cell r="A698">
            <v>68169</v>
          </cell>
          <cell r="B698">
            <v>415</v>
          </cell>
          <cell r="C698" t="str">
            <v>C7300</v>
          </cell>
          <cell r="D698" t="str">
            <v>EL FAID</v>
          </cell>
          <cell r="E698" t="str">
            <v>MOHAMMED</v>
          </cell>
          <cell r="F698">
            <v>19549</v>
          </cell>
          <cell r="G698" t="str">
            <v>1</v>
          </cell>
          <cell r="H698" t="str">
            <v>KHOURIBGA</v>
          </cell>
          <cell r="I698" t="str">
            <v>F</v>
          </cell>
          <cell r="J698">
            <v>27663</v>
          </cell>
          <cell r="K698">
            <v>37043</v>
          </cell>
          <cell r="L698" t="str">
            <v>33</v>
          </cell>
          <cell r="M698" t="str">
            <v>A</v>
          </cell>
          <cell r="N698">
            <v>37043</v>
          </cell>
          <cell r="P698">
            <v>27</v>
          </cell>
          <cell r="Q698" t="str">
            <v>O</v>
          </cell>
          <cell r="R698" t="str">
            <v>N</v>
          </cell>
          <cell r="S698">
            <v>0</v>
          </cell>
          <cell r="T698" t="str">
            <v>M</v>
          </cell>
          <cell r="U698" t="str">
            <v>KHADOUJ BENT SALAH</v>
          </cell>
          <cell r="X698">
            <v>3</v>
          </cell>
          <cell r="Y698">
            <v>3</v>
          </cell>
          <cell r="AB698" t="str">
            <v>X</v>
          </cell>
          <cell r="AC698" t="str">
            <v>X</v>
          </cell>
          <cell r="AD698" t="str">
            <v>X</v>
          </cell>
          <cell r="AH698" t="str">
            <v>N</v>
          </cell>
          <cell r="AI698" t="str">
            <v>N</v>
          </cell>
          <cell r="AK698" t="str">
            <v>826 VILLAGE OCP - BOULANOIR</v>
          </cell>
          <cell r="AL698" t="str">
            <v>6 AS.LM</v>
          </cell>
          <cell r="AM698" t="str">
            <v>CES.CFO</v>
          </cell>
          <cell r="AP698" t="str">
            <v>Q 817</v>
          </cell>
          <cell r="AQ698">
            <v>0</v>
          </cell>
          <cell r="AR698" t="str">
            <v>B</v>
          </cell>
          <cell r="AS698" t="str">
            <v>BMCE - KHGA</v>
          </cell>
          <cell r="AT698" t="str">
            <v>01200001396372</v>
          </cell>
          <cell r="AU698" t="str">
            <v>/  /</v>
          </cell>
          <cell r="AW698">
            <v>37987</v>
          </cell>
          <cell r="AY698" t="str">
            <v>XX</v>
          </cell>
          <cell r="BA698" t="str">
            <v>2</v>
          </cell>
          <cell r="BB698">
            <v>1</v>
          </cell>
          <cell r="BD698">
            <v>0</v>
          </cell>
          <cell r="BE698" t="str">
            <v>M</v>
          </cell>
          <cell r="BF698" t="str">
            <v>N</v>
          </cell>
          <cell r="BG698">
            <v>40</v>
          </cell>
          <cell r="BH698">
            <v>37987</v>
          </cell>
        </row>
        <row r="699">
          <cell r="A699">
            <v>68232</v>
          </cell>
          <cell r="B699">
            <v>413</v>
          </cell>
          <cell r="C699" t="str">
            <v>C7200</v>
          </cell>
          <cell r="D699" t="str">
            <v>MELLOUZ</v>
          </cell>
          <cell r="E699" t="str">
            <v>MOHAMED</v>
          </cell>
          <cell r="F699">
            <v>18809</v>
          </cell>
          <cell r="H699" t="str">
            <v>OULED M'RAH - SETTAT</v>
          </cell>
          <cell r="I699" t="str">
            <v>D</v>
          </cell>
          <cell r="J699">
            <v>27729</v>
          </cell>
          <cell r="K699">
            <v>36526</v>
          </cell>
          <cell r="L699" t="str">
            <v>33</v>
          </cell>
          <cell r="M699" t="str">
            <v>A</v>
          </cell>
          <cell r="N699">
            <v>36526</v>
          </cell>
          <cell r="P699">
            <v>27</v>
          </cell>
          <cell r="Q699" t="str">
            <v>O</v>
          </cell>
          <cell r="R699" t="str">
            <v>N</v>
          </cell>
          <cell r="S699">
            <v>0</v>
          </cell>
          <cell r="T699" t="str">
            <v>M</v>
          </cell>
          <cell r="U699" t="str">
            <v>FATIHA BENT MOHAMED</v>
          </cell>
          <cell r="X699">
            <v>6</v>
          </cell>
          <cell r="Y699">
            <v>4</v>
          </cell>
          <cell r="AB699" t="str">
            <v>X</v>
          </cell>
          <cell r="AC699" t="str">
            <v>X</v>
          </cell>
          <cell r="AD699" t="str">
            <v>X</v>
          </cell>
          <cell r="AH699" t="str">
            <v>N</v>
          </cell>
          <cell r="AI699" t="str">
            <v>N</v>
          </cell>
          <cell r="AK699" t="str">
            <v>155 NLLE EXTENSION SECHAGE OCP - KHGA</v>
          </cell>
          <cell r="AL699" t="str">
            <v>3AS</v>
          </cell>
          <cell r="AM699" t="str">
            <v>CFO.</v>
          </cell>
          <cell r="AP699" t="str">
            <v>A 153907</v>
          </cell>
          <cell r="AQ699">
            <v>0</v>
          </cell>
          <cell r="AR699" t="str">
            <v>B</v>
          </cell>
          <cell r="AS699" t="str">
            <v>POPULAIRE.KHGA</v>
          </cell>
          <cell r="AT699" t="str">
            <v>2111112807310003</v>
          </cell>
          <cell r="AU699" t="str">
            <v>/  /</v>
          </cell>
          <cell r="AW699">
            <v>37887</v>
          </cell>
          <cell r="AX699">
            <v>37887</v>
          </cell>
          <cell r="AY699" t="str">
            <v>XX</v>
          </cell>
          <cell r="BA699" t="str">
            <v>2</v>
          </cell>
          <cell r="BB699">
            <v>1</v>
          </cell>
          <cell r="BD699">
            <v>0</v>
          </cell>
          <cell r="BE699" t="str">
            <v>M</v>
          </cell>
          <cell r="BF699" t="str">
            <v>N</v>
          </cell>
          <cell r="BG699">
            <v>1</v>
          </cell>
          <cell r="BH699">
            <v>37438</v>
          </cell>
        </row>
        <row r="700">
          <cell r="A700">
            <v>68236</v>
          </cell>
          <cell r="B700">
            <v>403</v>
          </cell>
          <cell r="C700" t="str">
            <v>C3152</v>
          </cell>
          <cell r="D700" t="str">
            <v>FOZIR</v>
          </cell>
          <cell r="E700" t="str">
            <v>MOHAMED</v>
          </cell>
          <cell r="F700">
            <v>18633</v>
          </cell>
          <cell r="G700" t="str">
            <v>2</v>
          </cell>
          <cell r="H700" t="str">
            <v>SMAALA OUED-ZEM</v>
          </cell>
          <cell r="I700" t="str">
            <v>D</v>
          </cell>
          <cell r="J700">
            <v>27729</v>
          </cell>
          <cell r="K700">
            <v>36526</v>
          </cell>
          <cell r="L700" t="str">
            <v>21</v>
          </cell>
          <cell r="M700" t="str">
            <v>A</v>
          </cell>
          <cell r="N700">
            <v>36526</v>
          </cell>
          <cell r="P700">
            <v>27</v>
          </cell>
          <cell r="Q700" t="str">
            <v>O</v>
          </cell>
          <cell r="R700" t="str">
            <v>N</v>
          </cell>
          <cell r="S700">
            <v>0</v>
          </cell>
          <cell r="T700" t="str">
            <v>M</v>
          </cell>
          <cell r="U700" t="str">
            <v>MOUATAMID FOUZIA</v>
          </cell>
          <cell r="X700">
            <v>5</v>
          </cell>
          <cell r="Y700">
            <v>3</v>
          </cell>
          <cell r="AB700" t="str">
            <v>X</v>
          </cell>
          <cell r="AC700" t="str">
            <v>X</v>
          </cell>
          <cell r="AD700" t="str">
            <v>X</v>
          </cell>
          <cell r="AH700" t="str">
            <v>N</v>
          </cell>
          <cell r="AI700" t="str">
            <v>N</v>
          </cell>
          <cell r="AK700" t="str">
            <v>127 BLOC A HAY AL WAHDA OUED ZEM</v>
          </cell>
          <cell r="AL700" t="str">
            <v>2AS</v>
          </cell>
          <cell r="AN700" t="str">
            <v>41═73═18</v>
          </cell>
          <cell r="AP700" t="str">
            <v>Q 58043</v>
          </cell>
          <cell r="AQ700">
            <v>0</v>
          </cell>
          <cell r="AR700" t="str">
            <v>B</v>
          </cell>
          <cell r="AS700" t="str">
            <v>POPULAIRE.O.ZEM</v>
          </cell>
          <cell r="AT700" t="str">
            <v>2111113056230009</v>
          </cell>
          <cell r="AU700" t="str">
            <v>/  /</v>
          </cell>
          <cell r="AW700">
            <v>38219</v>
          </cell>
          <cell r="AX700">
            <v>38219</v>
          </cell>
          <cell r="AY700" t="str">
            <v>O+</v>
          </cell>
          <cell r="BA700" t="str">
            <v>1</v>
          </cell>
          <cell r="BB700">
            <v>1</v>
          </cell>
          <cell r="BD700">
            <v>0</v>
          </cell>
          <cell r="BE700" t="str">
            <v>M</v>
          </cell>
          <cell r="BF700" t="str">
            <v>N</v>
          </cell>
          <cell r="BG700">
            <v>30</v>
          </cell>
          <cell r="BH700">
            <v>37438</v>
          </cell>
        </row>
        <row r="701">
          <cell r="A701">
            <v>68239</v>
          </cell>
          <cell r="B701">
            <v>403</v>
          </cell>
          <cell r="C701" t="str">
            <v>C4152</v>
          </cell>
          <cell r="D701" t="str">
            <v>HAYTOM</v>
          </cell>
          <cell r="E701" t="str">
            <v>ABDELKADER</v>
          </cell>
          <cell r="F701">
            <v>20376</v>
          </cell>
          <cell r="G701" t="str">
            <v>1</v>
          </cell>
          <cell r="H701" t="str">
            <v>OULED ABDOUNE</v>
          </cell>
          <cell r="I701" t="str">
            <v>D</v>
          </cell>
          <cell r="J701">
            <v>27729</v>
          </cell>
          <cell r="K701">
            <v>35065</v>
          </cell>
          <cell r="L701" t="str">
            <v>22</v>
          </cell>
          <cell r="M701" t="str">
            <v>A</v>
          </cell>
          <cell r="N701">
            <v>35065</v>
          </cell>
          <cell r="O701">
            <v>0</v>
          </cell>
          <cell r="P701">
            <v>27</v>
          </cell>
          <cell r="Q701" t="str">
            <v>N</v>
          </cell>
          <cell r="R701" t="str">
            <v>0</v>
          </cell>
          <cell r="S701">
            <v>3</v>
          </cell>
          <cell r="T701" t="str">
            <v>M</v>
          </cell>
          <cell r="U701" t="str">
            <v>MOUTARIF FATNA BENT BOUCHTA</v>
          </cell>
          <cell r="X701">
            <v>5</v>
          </cell>
          <cell r="Y701">
            <v>5</v>
          </cell>
          <cell r="AB701" t="str">
            <v>X</v>
          </cell>
          <cell r="AC701" t="str">
            <v>X</v>
          </cell>
          <cell r="AD701" t="str">
            <v>X</v>
          </cell>
          <cell r="AH701" t="str">
            <v>N</v>
          </cell>
          <cell r="AI701" t="str">
            <v>N</v>
          </cell>
          <cell r="AK701" t="str">
            <v>HAY ALAMAL LOT HAZOUN N 02 KHOURIBGA</v>
          </cell>
          <cell r="AL701" t="str">
            <v>4AS</v>
          </cell>
          <cell r="AP701" t="str">
            <v>Q 81316</v>
          </cell>
          <cell r="AQ701">
            <v>0</v>
          </cell>
          <cell r="AR701" t="str">
            <v>B</v>
          </cell>
          <cell r="AS701" t="str">
            <v>C.I.H - KHGA</v>
          </cell>
          <cell r="AT701" t="str">
            <v>8420804211004700</v>
          </cell>
          <cell r="AU701" t="str">
            <v>/  /</v>
          </cell>
          <cell r="AW701">
            <v>38718</v>
          </cell>
          <cell r="AY701" t="str">
            <v>XX</v>
          </cell>
          <cell r="BA701" t="str">
            <v>6</v>
          </cell>
          <cell r="BB701">
            <v>1</v>
          </cell>
          <cell r="BD701">
            <v>0</v>
          </cell>
          <cell r="BE701" t="str">
            <v>M</v>
          </cell>
          <cell r="BF701" t="str">
            <v>N</v>
          </cell>
          <cell r="BG701">
            <v>0</v>
          </cell>
          <cell r="BH701">
            <v>38718</v>
          </cell>
          <cell r="BI701" t="str">
            <v>O</v>
          </cell>
        </row>
        <row r="702">
          <cell r="A702">
            <v>68244</v>
          </cell>
          <cell r="B702">
            <v>456</v>
          </cell>
          <cell r="C702" t="str">
            <v>C3152</v>
          </cell>
          <cell r="D702" t="str">
            <v>CHAGRA</v>
          </cell>
          <cell r="E702" t="str">
            <v>EL MILOUDI</v>
          </cell>
          <cell r="F702">
            <v>18809</v>
          </cell>
          <cell r="G702" t="str">
            <v>1</v>
          </cell>
          <cell r="H702" t="str">
            <v>OULED BHAR KBAR KHOURIBGA</v>
          </cell>
          <cell r="I702" t="str">
            <v>D</v>
          </cell>
          <cell r="J702">
            <v>27732</v>
          </cell>
          <cell r="K702">
            <v>36526</v>
          </cell>
          <cell r="L702" t="str">
            <v>21</v>
          </cell>
          <cell r="M702" t="str">
            <v>C</v>
          </cell>
          <cell r="N702">
            <v>36526</v>
          </cell>
          <cell r="P702">
            <v>27</v>
          </cell>
          <cell r="Q702" t="str">
            <v>O</v>
          </cell>
          <cell r="R702" t="str">
            <v>N</v>
          </cell>
          <cell r="S702">
            <v>0</v>
          </cell>
          <cell r="T702" t="str">
            <v>M</v>
          </cell>
          <cell r="U702" t="str">
            <v>REZMAOUI MILOUDA</v>
          </cell>
          <cell r="X702">
            <v>3</v>
          </cell>
          <cell r="Y702">
            <v>3</v>
          </cell>
          <cell r="AB702" t="str">
            <v>X</v>
          </cell>
          <cell r="AC702" t="str">
            <v>X</v>
          </cell>
          <cell r="AD702" t="str">
            <v>X</v>
          </cell>
          <cell r="AH702" t="str">
            <v>N</v>
          </cell>
          <cell r="AI702" t="str">
            <v>N</v>
          </cell>
          <cell r="AK702" t="str">
            <v>533 TACHERON VILLAGE OCP - BOUJNIBA</v>
          </cell>
          <cell r="AL702" t="str">
            <v>3AS</v>
          </cell>
          <cell r="AP702" t="str">
            <v>Q 58375</v>
          </cell>
          <cell r="AQ702">
            <v>0</v>
          </cell>
          <cell r="AR702" t="str">
            <v>C</v>
          </cell>
          <cell r="AU702" t="str">
            <v>/  /</v>
          </cell>
          <cell r="AW702">
            <v>37438</v>
          </cell>
          <cell r="AY702" t="str">
            <v>XX</v>
          </cell>
          <cell r="BA702" t="str">
            <v>1</v>
          </cell>
          <cell r="BB702">
            <v>1</v>
          </cell>
          <cell r="BD702">
            <v>0</v>
          </cell>
          <cell r="BE702" t="str">
            <v>M</v>
          </cell>
          <cell r="BF702" t="str">
            <v>N</v>
          </cell>
          <cell r="BG702">
            <v>51</v>
          </cell>
          <cell r="BH702">
            <v>37438</v>
          </cell>
        </row>
        <row r="703">
          <cell r="A703">
            <v>68269</v>
          </cell>
          <cell r="B703">
            <v>415</v>
          </cell>
          <cell r="C703" t="str">
            <v>C4300</v>
          </cell>
          <cell r="D703" t="str">
            <v>KHASBI</v>
          </cell>
          <cell r="E703" t="str">
            <v>BOUAZZA</v>
          </cell>
          <cell r="F703">
            <v>18444</v>
          </cell>
          <cell r="G703" t="str">
            <v>1</v>
          </cell>
          <cell r="H703" t="str">
            <v>OULED ABDOUNE</v>
          </cell>
          <cell r="I703" t="str">
            <v>D</v>
          </cell>
          <cell r="J703">
            <v>27757</v>
          </cell>
          <cell r="K703">
            <v>36526</v>
          </cell>
          <cell r="L703" t="str">
            <v>22</v>
          </cell>
          <cell r="M703" t="str">
            <v>A</v>
          </cell>
          <cell r="N703">
            <v>36526</v>
          </cell>
          <cell r="P703">
            <v>27</v>
          </cell>
          <cell r="Q703" t="str">
            <v>O</v>
          </cell>
          <cell r="R703" t="str">
            <v>N</v>
          </cell>
          <cell r="S703">
            <v>0</v>
          </cell>
          <cell r="T703" t="str">
            <v>M</v>
          </cell>
          <cell r="U703" t="str">
            <v>MALIKA BENT HAJ JILALI</v>
          </cell>
          <cell r="X703">
            <v>6</v>
          </cell>
          <cell r="Y703">
            <v>3</v>
          </cell>
          <cell r="AB703" t="str">
            <v>X</v>
          </cell>
          <cell r="AC703" t="str">
            <v>X</v>
          </cell>
          <cell r="AD703" t="str">
            <v>X</v>
          </cell>
          <cell r="AH703" t="str">
            <v>N</v>
          </cell>
          <cell r="AI703" t="str">
            <v>N</v>
          </cell>
          <cell r="AK703" t="str">
            <v>101 VILLAGE O.C.P - BOULANOUAR</v>
          </cell>
          <cell r="AL703" t="str">
            <v>3A.AGRICOLE</v>
          </cell>
          <cell r="AN703" t="str">
            <v>57═71═84</v>
          </cell>
          <cell r="AP703" t="str">
            <v>Q 10430</v>
          </cell>
          <cell r="AQ703">
            <v>0</v>
          </cell>
          <cell r="AR703" t="str">
            <v>B</v>
          </cell>
          <cell r="AS703" t="str">
            <v>BMCE KHOURIBGA</v>
          </cell>
          <cell r="AT703" t="str">
            <v>4000001200001708227</v>
          </cell>
          <cell r="AU703" t="str">
            <v>/  /</v>
          </cell>
          <cell r="AW703">
            <v>37438</v>
          </cell>
          <cell r="AY703" t="str">
            <v>XX</v>
          </cell>
          <cell r="BA703" t="str">
            <v>2</v>
          </cell>
          <cell r="BB703">
            <v>1</v>
          </cell>
          <cell r="BD703">
            <v>0</v>
          </cell>
          <cell r="BE703" t="str">
            <v>M</v>
          </cell>
          <cell r="BF703" t="str">
            <v>N</v>
          </cell>
          <cell r="BG703">
            <v>40</v>
          </cell>
          <cell r="BH703">
            <v>37438</v>
          </cell>
        </row>
        <row r="704">
          <cell r="A704">
            <v>68270</v>
          </cell>
          <cell r="B704">
            <v>468</v>
          </cell>
          <cell r="C704" t="str">
            <v>X3102</v>
          </cell>
          <cell r="D704" t="str">
            <v>ENNAJAH</v>
          </cell>
          <cell r="E704" t="str">
            <v>AHMED</v>
          </cell>
          <cell r="F704">
            <v>17714</v>
          </cell>
          <cell r="G704" t="str">
            <v>2</v>
          </cell>
          <cell r="H704" t="str">
            <v>SMAALA OUED-ZEM</v>
          </cell>
          <cell r="I704" t="str">
            <v>F</v>
          </cell>
          <cell r="J704">
            <v>27753</v>
          </cell>
          <cell r="K704">
            <v>34151</v>
          </cell>
          <cell r="L704" t="str">
            <v>41</v>
          </cell>
          <cell r="M704" t="str">
            <v>A</v>
          </cell>
          <cell r="N704">
            <v>34151</v>
          </cell>
          <cell r="P704">
            <v>27</v>
          </cell>
          <cell r="Q704" t="str">
            <v>O</v>
          </cell>
          <cell r="R704" t="str">
            <v>N</v>
          </cell>
          <cell r="S704">
            <v>0</v>
          </cell>
          <cell r="T704" t="str">
            <v>M</v>
          </cell>
          <cell r="U704" t="str">
            <v>ZOHRA BENT M'HAMED HAJJI</v>
          </cell>
          <cell r="V704" t="str">
            <v>ZOHRA BENT SALAH HEMRI</v>
          </cell>
          <cell r="X704">
            <v>12</v>
          </cell>
          <cell r="Y704">
            <v>3</v>
          </cell>
          <cell r="AB704" t="str">
            <v>X</v>
          </cell>
          <cell r="AC704" t="str">
            <v>X</v>
          </cell>
          <cell r="AD704" t="str">
            <v>X</v>
          </cell>
          <cell r="AH704" t="str">
            <v>N</v>
          </cell>
          <cell r="AI704" t="str">
            <v>O</v>
          </cell>
          <cell r="AJ704">
            <v>32507</v>
          </cell>
          <cell r="AK704" t="str">
            <v>54 QUARTIER EL WAHDA OUED ZEM</v>
          </cell>
          <cell r="AL704" t="str">
            <v>3AS</v>
          </cell>
          <cell r="AM704" t="str">
            <v>CFO</v>
          </cell>
          <cell r="AP704" t="str">
            <v>Q 21835</v>
          </cell>
          <cell r="AQ704">
            <v>0</v>
          </cell>
          <cell r="AR704" t="str">
            <v>B</v>
          </cell>
          <cell r="AS704" t="str">
            <v>POPULAIRE.O.ZEM</v>
          </cell>
          <cell r="AT704" t="str">
            <v>2111113030800000</v>
          </cell>
          <cell r="AU704" t="str">
            <v>/  /</v>
          </cell>
          <cell r="AW704">
            <v>38551</v>
          </cell>
          <cell r="AX704">
            <v>38551</v>
          </cell>
          <cell r="AY704" t="str">
            <v>XX</v>
          </cell>
          <cell r="BA704" t="str">
            <v>1</v>
          </cell>
          <cell r="BB704">
            <v>1</v>
          </cell>
          <cell r="BD704">
            <v>0</v>
          </cell>
          <cell r="BE704" t="str">
            <v>M</v>
          </cell>
          <cell r="BF704" t="str">
            <v>N</v>
          </cell>
          <cell r="BG704">
            <v>31</v>
          </cell>
          <cell r="BH704">
            <v>37803</v>
          </cell>
          <cell r="BI704" t="str">
            <v>O</v>
          </cell>
        </row>
        <row r="705">
          <cell r="A705">
            <v>68272</v>
          </cell>
          <cell r="B705">
            <v>468</v>
          </cell>
          <cell r="C705" t="str">
            <v>C7102</v>
          </cell>
          <cell r="D705" t="str">
            <v>HADDOUMI</v>
          </cell>
          <cell r="E705" t="str">
            <v>ABDELAZIZ</v>
          </cell>
          <cell r="F705">
            <v>19905</v>
          </cell>
          <cell r="G705" t="str">
            <v>2</v>
          </cell>
          <cell r="H705" t="str">
            <v>OUED-ZEM</v>
          </cell>
          <cell r="I705" t="str">
            <v>D</v>
          </cell>
          <cell r="J705">
            <v>27753</v>
          </cell>
          <cell r="K705">
            <v>36526</v>
          </cell>
          <cell r="L705" t="str">
            <v>33</v>
          </cell>
          <cell r="M705" t="str">
            <v>A</v>
          </cell>
          <cell r="N705">
            <v>36526</v>
          </cell>
          <cell r="P705">
            <v>27</v>
          </cell>
          <cell r="Q705" t="str">
            <v>O</v>
          </cell>
          <cell r="R705" t="str">
            <v>N</v>
          </cell>
          <cell r="S705">
            <v>0</v>
          </cell>
          <cell r="T705" t="str">
            <v>M</v>
          </cell>
          <cell r="U705" t="str">
            <v>FATIMA BENT LEKBIR</v>
          </cell>
          <cell r="X705">
            <v>1</v>
          </cell>
          <cell r="Y705">
            <v>0</v>
          </cell>
          <cell r="AB705" t="str">
            <v>X</v>
          </cell>
          <cell r="AC705" t="str">
            <v>X</v>
          </cell>
          <cell r="AD705" t="str">
            <v>X</v>
          </cell>
          <cell r="AH705" t="str">
            <v>N</v>
          </cell>
          <cell r="AI705" t="str">
            <v>N</v>
          </cell>
          <cell r="AK705" t="str">
            <v>200 RUE SOUK TNINE - OUED ZEM</v>
          </cell>
          <cell r="AL705" t="str">
            <v>4AS</v>
          </cell>
          <cell r="AP705" t="str">
            <v>Q 10475</v>
          </cell>
          <cell r="AQ705">
            <v>0</v>
          </cell>
          <cell r="AR705" t="str">
            <v>B</v>
          </cell>
          <cell r="AS705" t="str">
            <v>POPULAIRE O-ZEM</v>
          </cell>
          <cell r="AT705" t="str">
            <v>2111113030100005</v>
          </cell>
          <cell r="AU705" t="str">
            <v>/  /</v>
          </cell>
          <cell r="AW705">
            <v>39546</v>
          </cell>
          <cell r="AX705">
            <v>39546</v>
          </cell>
          <cell r="AY705" t="str">
            <v>XX</v>
          </cell>
          <cell r="BA705" t="str">
            <v>1</v>
          </cell>
          <cell r="BB705">
            <v>1</v>
          </cell>
          <cell r="BD705">
            <v>0</v>
          </cell>
          <cell r="BE705" t="str">
            <v>M</v>
          </cell>
          <cell r="BF705" t="str">
            <v>N</v>
          </cell>
          <cell r="BG705">
            <v>31</v>
          </cell>
          <cell r="BH705">
            <v>38169</v>
          </cell>
          <cell r="BI705" t="str">
            <v>O</v>
          </cell>
        </row>
        <row r="706">
          <cell r="A706">
            <v>68277</v>
          </cell>
          <cell r="B706">
            <v>416</v>
          </cell>
          <cell r="C706" t="str">
            <v>C5050</v>
          </cell>
          <cell r="D706" t="str">
            <v>HALLAB</v>
          </cell>
          <cell r="E706" t="str">
            <v>LARBI</v>
          </cell>
          <cell r="F706">
            <v>19540</v>
          </cell>
          <cell r="H706" t="str">
            <v>OULED M'RAH - SETTAT</v>
          </cell>
          <cell r="I706" t="str">
            <v>D</v>
          </cell>
          <cell r="J706">
            <v>27759</v>
          </cell>
          <cell r="K706">
            <v>37073</v>
          </cell>
          <cell r="L706" t="str">
            <v>31</v>
          </cell>
          <cell r="M706" t="str">
            <v>B</v>
          </cell>
          <cell r="N706">
            <v>37073</v>
          </cell>
          <cell r="P706">
            <v>27</v>
          </cell>
          <cell r="Q706" t="str">
            <v>O</v>
          </cell>
          <cell r="R706" t="str">
            <v>N</v>
          </cell>
          <cell r="S706">
            <v>0</v>
          </cell>
          <cell r="T706" t="str">
            <v>M</v>
          </cell>
          <cell r="U706" t="str">
            <v>GHICHAT ZAHRA</v>
          </cell>
          <cell r="X706">
            <v>7</v>
          </cell>
          <cell r="Y706">
            <v>6</v>
          </cell>
          <cell r="AB706" t="str">
            <v>X</v>
          </cell>
          <cell r="AC706" t="str">
            <v>X</v>
          </cell>
          <cell r="AD706" t="str">
            <v>X</v>
          </cell>
          <cell r="AH706" t="str">
            <v>N</v>
          </cell>
          <cell r="AI706" t="str">
            <v>N</v>
          </cell>
          <cell r="AK706" t="str">
            <v>581 VILLAGE OCP BOULANOUAR</v>
          </cell>
          <cell r="AL706" t="str">
            <v>4AS</v>
          </cell>
          <cell r="AP706" t="str">
            <v>Q 68982</v>
          </cell>
          <cell r="AQ706">
            <v>0</v>
          </cell>
          <cell r="AR706" t="str">
            <v>B</v>
          </cell>
          <cell r="AS706" t="str">
            <v>SGMB - KHGA</v>
          </cell>
          <cell r="AT706" t="str">
            <v>57000936109741</v>
          </cell>
          <cell r="AU706" t="str">
            <v>/  /</v>
          </cell>
          <cell r="AW706">
            <v>37803</v>
          </cell>
          <cell r="AY706" t="str">
            <v>XX</v>
          </cell>
          <cell r="AZ706" t="str">
            <v>M</v>
          </cell>
          <cell r="BA706" t="str">
            <v>2</v>
          </cell>
          <cell r="BB706">
            <v>1</v>
          </cell>
          <cell r="BD706">
            <v>0</v>
          </cell>
          <cell r="BE706" t="str">
            <v>M</v>
          </cell>
          <cell r="BF706" t="str">
            <v>N</v>
          </cell>
          <cell r="BG706">
            <v>40</v>
          </cell>
          <cell r="BH706">
            <v>37803</v>
          </cell>
        </row>
        <row r="707">
          <cell r="A707">
            <v>68279</v>
          </cell>
          <cell r="B707">
            <v>468</v>
          </cell>
          <cell r="C707" t="str">
            <v>C4152</v>
          </cell>
          <cell r="D707" t="str">
            <v>EN-NASR</v>
          </cell>
          <cell r="E707" t="str">
            <v>MOHAMMED</v>
          </cell>
          <cell r="F707">
            <v>19540</v>
          </cell>
          <cell r="G707" t="str">
            <v>3</v>
          </cell>
          <cell r="H707" t="str">
            <v>BOUJNIBA</v>
          </cell>
          <cell r="I707" t="str">
            <v>D</v>
          </cell>
          <cell r="J707">
            <v>27764</v>
          </cell>
          <cell r="K707">
            <v>36526</v>
          </cell>
          <cell r="L707" t="str">
            <v>22</v>
          </cell>
          <cell r="M707" t="str">
            <v>A</v>
          </cell>
          <cell r="N707">
            <v>36526</v>
          </cell>
          <cell r="P707">
            <v>27</v>
          </cell>
          <cell r="Q707" t="str">
            <v>O</v>
          </cell>
          <cell r="R707" t="str">
            <v>N</v>
          </cell>
          <cell r="S707">
            <v>0</v>
          </cell>
          <cell r="T707" t="str">
            <v>M</v>
          </cell>
          <cell r="U707" t="str">
            <v>BERROUA FATIMA</v>
          </cell>
          <cell r="V707" t="str">
            <v>NEFFAD FATNA</v>
          </cell>
          <cell r="X707">
            <v>6</v>
          </cell>
          <cell r="Y707">
            <v>5</v>
          </cell>
          <cell r="AB707" t="str">
            <v>X</v>
          </cell>
          <cell r="AC707" t="str">
            <v>X</v>
          </cell>
          <cell r="AD707" t="str">
            <v>X</v>
          </cell>
          <cell r="AH707" t="str">
            <v>N</v>
          </cell>
          <cell r="AI707" t="str">
            <v>N</v>
          </cell>
          <cell r="AK707" t="str">
            <v>147 VILLAGE O.C.P - OUED ZEM</v>
          </cell>
          <cell r="AL707" t="str">
            <v>4AS</v>
          </cell>
          <cell r="AP707" t="str">
            <v>Q 91190</v>
          </cell>
          <cell r="AQ707">
            <v>0</v>
          </cell>
          <cell r="AR707" t="str">
            <v>B</v>
          </cell>
          <cell r="AS707" t="str">
            <v>WAFABANK - KHGA</v>
          </cell>
          <cell r="AT707" t="str">
            <v>1220301364739</v>
          </cell>
          <cell r="AU707" t="str">
            <v>/  /</v>
          </cell>
          <cell r="AW707">
            <v>38882</v>
          </cell>
          <cell r="AX707">
            <v>38882</v>
          </cell>
          <cell r="AY707" t="str">
            <v>XX</v>
          </cell>
          <cell r="BA707" t="str">
            <v>1</v>
          </cell>
          <cell r="BB707">
            <v>1</v>
          </cell>
          <cell r="BD707">
            <v>0</v>
          </cell>
          <cell r="BE707" t="str">
            <v>M</v>
          </cell>
          <cell r="BF707" t="str">
            <v>N</v>
          </cell>
          <cell r="BG707">
            <v>31</v>
          </cell>
          <cell r="BH707">
            <v>37803</v>
          </cell>
          <cell r="BI707" t="str">
            <v>O</v>
          </cell>
        </row>
        <row r="708">
          <cell r="A708">
            <v>68282</v>
          </cell>
          <cell r="B708">
            <v>421</v>
          </cell>
          <cell r="C708" t="str">
            <v>C4017</v>
          </cell>
          <cell r="D708" t="str">
            <v>EDDAOUDI</v>
          </cell>
          <cell r="E708" t="str">
            <v>BOUCHTA</v>
          </cell>
          <cell r="F708">
            <v>18809</v>
          </cell>
          <cell r="G708" t="str">
            <v>1</v>
          </cell>
          <cell r="H708" t="str">
            <v>OULED ABDOUNE</v>
          </cell>
          <cell r="I708" t="str">
            <v>D</v>
          </cell>
          <cell r="J708">
            <v>27765</v>
          </cell>
          <cell r="K708">
            <v>29312</v>
          </cell>
          <cell r="L708" t="str">
            <v>22</v>
          </cell>
          <cell r="M708" t="str">
            <v>C</v>
          </cell>
          <cell r="N708">
            <v>35612</v>
          </cell>
          <cell r="P708">
            <v>27</v>
          </cell>
          <cell r="Q708" t="str">
            <v>O</v>
          </cell>
          <cell r="R708" t="str">
            <v>N</v>
          </cell>
          <cell r="S708">
            <v>0</v>
          </cell>
          <cell r="T708" t="str">
            <v>M</v>
          </cell>
          <cell r="U708" t="str">
            <v>LAHMER MINA BENT MOHAMED</v>
          </cell>
          <cell r="X708">
            <v>5</v>
          </cell>
          <cell r="Y708">
            <v>4</v>
          </cell>
          <cell r="AB708" t="str">
            <v>X</v>
          </cell>
          <cell r="AC708" t="str">
            <v>X</v>
          </cell>
          <cell r="AD708" t="str">
            <v>X</v>
          </cell>
          <cell r="AH708" t="str">
            <v>N</v>
          </cell>
          <cell r="AI708" t="str">
            <v>N</v>
          </cell>
          <cell r="AK708" t="str">
            <v>144 RUE OULED ABDOUNE - KHOURIBGA</v>
          </cell>
          <cell r="AL708" t="str">
            <v>CE2</v>
          </cell>
          <cell r="AP708" t="str">
            <v>Q 30580</v>
          </cell>
          <cell r="AQ708">
            <v>0</v>
          </cell>
          <cell r="AR708" t="str">
            <v>B</v>
          </cell>
          <cell r="AS708" t="str">
            <v>CR.MAROC-KHGA</v>
          </cell>
          <cell r="AT708" t="str">
            <v>820010008653</v>
          </cell>
          <cell r="AU708" t="str">
            <v>/  /</v>
          </cell>
          <cell r="AW708">
            <v>37438</v>
          </cell>
          <cell r="AY708" t="str">
            <v>XX</v>
          </cell>
          <cell r="BA708" t="str">
            <v>2</v>
          </cell>
          <cell r="BB708">
            <v>1</v>
          </cell>
          <cell r="BD708">
            <v>0</v>
          </cell>
          <cell r="BE708" t="str">
            <v>M</v>
          </cell>
          <cell r="BF708" t="str">
            <v>N</v>
          </cell>
          <cell r="BG708">
            <v>4</v>
          </cell>
          <cell r="BH708">
            <v>37438</v>
          </cell>
          <cell r="BI708" t="str">
            <v>O</v>
          </cell>
        </row>
        <row r="709">
          <cell r="A709">
            <v>68297</v>
          </cell>
          <cell r="B709">
            <v>421</v>
          </cell>
          <cell r="C709" t="str">
            <v>C3152</v>
          </cell>
          <cell r="D709" t="str">
            <v>TANSAOUI</v>
          </cell>
          <cell r="E709" t="str">
            <v>AHMED</v>
          </cell>
          <cell r="F709">
            <v>19670</v>
          </cell>
          <cell r="G709" t="str">
            <v>2</v>
          </cell>
          <cell r="H709" t="str">
            <v>BENI SMIR OUED-ZEM</v>
          </cell>
          <cell r="I709" t="str">
            <v>D</v>
          </cell>
          <cell r="J709">
            <v>27774</v>
          </cell>
          <cell r="K709">
            <v>33420</v>
          </cell>
          <cell r="L709" t="str">
            <v>21</v>
          </cell>
          <cell r="M709" t="str">
            <v>C</v>
          </cell>
          <cell r="N709">
            <v>35612</v>
          </cell>
          <cell r="P709">
            <v>27</v>
          </cell>
          <cell r="Q709" t="str">
            <v>O</v>
          </cell>
          <cell r="R709" t="str">
            <v>N</v>
          </cell>
          <cell r="S709">
            <v>0</v>
          </cell>
          <cell r="T709" t="str">
            <v>M</v>
          </cell>
          <cell r="U709" t="str">
            <v>HRAIMLA AICHA BENT ABBES</v>
          </cell>
          <cell r="X709">
            <v>4</v>
          </cell>
          <cell r="Y709">
            <v>3</v>
          </cell>
          <cell r="AB709" t="str">
            <v>X</v>
          </cell>
          <cell r="AC709" t="str">
            <v>X</v>
          </cell>
          <cell r="AD709" t="str">
            <v>X</v>
          </cell>
          <cell r="AH709" t="str">
            <v>N</v>
          </cell>
          <cell r="AI709" t="str">
            <v>N</v>
          </cell>
          <cell r="AK709" t="str">
            <v>105 VILLAGE OCP OUED ZEM</v>
          </cell>
          <cell r="AL709" t="str">
            <v>4 AS</v>
          </cell>
          <cell r="AP709" t="str">
            <v>Q 7773</v>
          </cell>
          <cell r="AQ709">
            <v>0</v>
          </cell>
          <cell r="AR709" t="str">
            <v>B</v>
          </cell>
          <cell r="AS709" t="str">
            <v>POPULAIRE.O.ZEM</v>
          </cell>
          <cell r="AT709" t="str">
            <v>2111113062990000</v>
          </cell>
          <cell r="AU709" t="str">
            <v>/  /</v>
          </cell>
          <cell r="AW709">
            <v>37987</v>
          </cell>
          <cell r="AY709" t="str">
            <v>XX</v>
          </cell>
          <cell r="BA709" t="str">
            <v>6</v>
          </cell>
          <cell r="BB709">
            <v>1</v>
          </cell>
          <cell r="BD709">
            <v>0</v>
          </cell>
          <cell r="BE709" t="str">
            <v>M</v>
          </cell>
          <cell r="BF709" t="str">
            <v>N</v>
          </cell>
          <cell r="BG709">
            <v>30</v>
          </cell>
          <cell r="BH709">
            <v>37987</v>
          </cell>
        </row>
        <row r="710">
          <cell r="A710">
            <v>68305</v>
          </cell>
          <cell r="B710">
            <v>421</v>
          </cell>
          <cell r="C710" t="str">
            <v>C3152</v>
          </cell>
          <cell r="D710" t="str">
            <v>SMOUNI</v>
          </cell>
          <cell r="E710" t="str">
            <v>AHMED</v>
          </cell>
          <cell r="F710">
            <v>19175</v>
          </cell>
          <cell r="G710" t="str">
            <v>2</v>
          </cell>
          <cell r="H710" t="str">
            <v>BENI SMIR OUED-ZEM</v>
          </cell>
          <cell r="I710" t="str">
            <v>D</v>
          </cell>
          <cell r="J710">
            <v>27774</v>
          </cell>
          <cell r="K710">
            <v>33420</v>
          </cell>
          <cell r="L710" t="str">
            <v>21</v>
          </cell>
          <cell r="M710" t="str">
            <v>B</v>
          </cell>
          <cell r="N710">
            <v>35612</v>
          </cell>
          <cell r="P710">
            <v>27</v>
          </cell>
          <cell r="Q710" t="str">
            <v>O</v>
          </cell>
          <cell r="R710" t="str">
            <v>N</v>
          </cell>
          <cell r="S710">
            <v>0</v>
          </cell>
          <cell r="T710" t="str">
            <v>M</v>
          </cell>
          <cell r="U710" t="str">
            <v>EL BIR RKIA BENT CHERKI</v>
          </cell>
          <cell r="X710">
            <v>6</v>
          </cell>
          <cell r="Y710">
            <v>4</v>
          </cell>
          <cell r="AB710" t="str">
            <v>X</v>
          </cell>
          <cell r="AC710" t="str">
            <v>X</v>
          </cell>
          <cell r="AD710" t="str">
            <v>X</v>
          </cell>
          <cell r="AH710" t="str">
            <v>N</v>
          </cell>
          <cell r="AI710" t="str">
            <v>N</v>
          </cell>
          <cell r="AK710" t="str">
            <v>14 RUE 3 KOREA - OUED ZEM</v>
          </cell>
          <cell r="AL710" t="str">
            <v>5A.S.EXP.</v>
          </cell>
          <cell r="AP710" t="str">
            <v>Q 29689</v>
          </cell>
          <cell r="AQ710">
            <v>0</v>
          </cell>
          <cell r="AR710" t="str">
            <v>B</v>
          </cell>
          <cell r="AS710" t="str">
            <v>BMCE - OUED ZEM</v>
          </cell>
          <cell r="AT710" t="str">
            <v>41101200000511626</v>
          </cell>
          <cell r="AU710" t="str">
            <v>/  /</v>
          </cell>
          <cell r="AW710">
            <v>38219</v>
          </cell>
          <cell r="AX710">
            <v>38219</v>
          </cell>
          <cell r="AY710" t="str">
            <v>XX</v>
          </cell>
          <cell r="BA710" t="str">
            <v>1</v>
          </cell>
          <cell r="BB710">
            <v>1</v>
          </cell>
          <cell r="BD710">
            <v>0</v>
          </cell>
          <cell r="BE710" t="str">
            <v>M</v>
          </cell>
          <cell r="BF710" t="str">
            <v>N</v>
          </cell>
          <cell r="BG710">
            <v>30</v>
          </cell>
          <cell r="BH710">
            <v>37438</v>
          </cell>
          <cell r="BI710" t="str">
            <v>O</v>
          </cell>
        </row>
        <row r="711">
          <cell r="A711">
            <v>68306</v>
          </cell>
          <cell r="B711">
            <v>466</v>
          </cell>
          <cell r="C711" t="str">
            <v>C4050</v>
          </cell>
          <cell r="D711" t="str">
            <v>MARZOUKI</v>
          </cell>
          <cell r="E711" t="str">
            <v>ABDELAZIZ</v>
          </cell>
          <cell r="F711">
            <v>20270</v>
          </cell>
          <cell r="G711" t="str">
            <v>3</v>
          </cell>
          <cell r="H711" t="str">
            <v>DOUAR OULED JEDRA - GUEFFAF</v>
          </cell>
          <cell r="I711" t="str">
            <v>D</v>
          </cell>
          <cell r="J711">
            <v>27781</v>
          </cell>
          <cell r="K711">
            <v>36526</v>
          </cell>
          <cell r="L711" t="str">
            <v>22</v>
          </cell>
          <cell r="M711" t="str">
            <v>A</v>
          </cell>
          <cell r="N711">
            <v>36526</v>
          </cell>
          <cell r="P711">
            <v>27</v>
          </cell>
          <cell r="Q711" t="str">
            <v>O</v>
          </cell>
          <cell r="R711" t="str">
            <v>N</v>
          </cell>
          <cell r="S711">
            <v>0</v>
          </cell>
          <cell r="T711" t="str">
            <v>M</v>
          </cell>
          <cell r="U711" t="str">
            <v>LEMTIRIF MALIKA BENT KHADIR</v>
          </cell>
          <cell r="X711">
            <v>3</v>
          </cell>
          <cell r="Y711">
            <v>3</v>
          </cell>
          <cell r="AB711" t="str">
            <v>X</v>
          </cell>
          <cell r="AC711" t="str">
            <v>X</v>
          </cell>
          <cell r="AD711" t="str">
            <v>X</v>
          </cell>
          <cell r="AH711" t="str">
            <v>N</v>
          </cell>
          <cell r="AI711" t="str">
            <v>N</v>
          </cell>
          <cell r="AK711" t="str">
            <v>538 VILLAGE OCP - BOUJNIBA</v>
          </cell>
          <cell r="AL711" t="str">
            <v>3AS</v>
          </cell>
          <cell r="AP711" t="str">
            <v>Q 62832</v>
          </cell>
          <cell r="AQ711">
            <v>0</v>
          </cell>
          <cell r="AR711" t="str">
            <v>B</v>
          </cell>
          <cell r="AS711" t="str">
            <v>Credit du Maroc</v>
          </cell>
          <cell r="AT711" t="str">
            <v>082001069319</v>
          </cell>
          <cell r="AU711" t="str">
            <v>/  /</v>
          </cell>
          <cell r="AW711">
            <v>38534</v>
          </cell>
          <cell r="AY711" t="str">
            <v>XX</v>
          </cell>
          <cell r="BA711" t="str">
            <v>2</v>
          </cell>
          <cell r="BB711">
            <v>1</v>
          </cell>
          <cell r="BD711">
            <v>0</v>
          </cell>
          <cell r="BE711" t="str">
            <v>M</v>
          </cell>
          <cell r="BF711" t="str">
            <v>N</v>
          </cell>
          <cell r="BG711">
            <v>51</v>
          </cell>
          <cell r="BH711">
            <v>38534</v>
          </cell>
        </row>
        <row r="712">
          <cell r="A712">
            <v>68308</v>
          </cell>
          <cell r="B712">
            <v>421</v>
          </cell>
          <cell r="C712" t="str">
            <v>C3152</v>
          </cell>
          <cell r="D712" t="str">
            <v>BAKRI</v>
          </cell>
          <cell r="E712" t="str">
            <v>EL KBIR</v>
          </cell>
          <cell r="F712">
            <v>19905</v>
          </cell>
          <cell r="G712" t="str">
            <v>2</v>
          </cell>
          <cell r="H712" t="str">
            <v>SMAALA OUED-ZEM</v>
          </cell>
          <cell r="I712" t="str">
            <v>D</v>
          </cell>
          <cell r="J712">
            <v>27779</v>
          </cell>
          <cell r="K712">
            <v>33420</v>
          </cell>
          <cell r="L712" t="str">
            <v>21</v>
          </cell>
          <cell r="M712" t="str">
            <v>C</v>
          </cell>
          <cell r="N712">
            <v>35612</v>
          </cell>
          <cell r="P712">
            <v>27</v>
          </cell>
          <cell r="Q712" t="str">
            <v>O</v>
          </cell>
          <cell r="R712" t="str">
            <v>N</v>
          </cell>
          <cell r="S712">
            <v>0</v>
          </cell>
          <cell r="T712" t="str">
            <v>M</v>
          </cell>
          <cell r="U712" t="str">
            <v>ZAHRA BENT MOHAMED CHTAIBI</v>
          </cell>
          <cell r="X712">
            <v>6</v>
          </cell>
          <cell r="Y712">
            <v>3</v>
          </cell>
          <cell r="AB712" t="str">
            <v>X</v>
          </cell>
          <cell r="AC712" t="str">
            <v>X</v>
          </cell>
          <cell r="AD712" t="str">
            <v>X</v>
          </cell>
          <cell r="AH712" t="str">
            <v>N</v>
          </cell>
          <cell r="AI712" t="str">
            <v>N</v>
          </cell>
          <cell r="AK712" t="str">
            <v>57 RUE 26 KOREA OUED ZEM</v>
          </cell>
          <cell r="AL712" t="str">
            <v>4AS.LM</v>
          </cell>
          <cell r="AP712" t="str">
            <v>Q 523</v>
          </cell>
          <cell r="AQ712">
            <v>0</v>
          </cell>
          <cell r="AR712" t="str">
            <v>B</v>
          </cell>
          <cell r="AS712" t="str">
            <v>C.N.C.A  O.ZEM</v>
          </cell>
          <cell r="AT712" t="str">
            <v>E200953X601</v>
          </cell>
          <cell r="AU712" t="str">
            <v>/  /</v>
          </cell>
          <cell r="AW712">
            <v>38169</v>
          </cell>
          <cell r="AY712" t="str">
            <v>XX</v>
          </cell>
          <cell r="BA712" t="str">
            <v>1</v>
          </cell>
          <cell r="BB712">
            <v>1</v>
          </cell>
          <cell r="BD712">
            <v>0</v>
          </cell>
          <cell r="BE712" t="str">
            <v>M</v>
          </cell>
          <cell r="BF712" t="str">
            <v>N</v>
          </cell>
          <cell r="BG712">
            <v>30</v>
          </cell>
          <cell r="BH712">
            <v>38169</v>
          </cell>
          <cell r="BI712" t="str">
            <v>O</v>
          </cell>
        </row>
        <row r="713">
          <cell r="A713">
            <v>68309</v>
          </cell>
          <cell r="B713">
            <v>423</v>
          </cell>
          <cell r="C713" t="str">
            <v>C3200</v>
          </cell>
          <cell r="D713" t="str">
            <v>LESMAN</v>
          </cell>
          <cell r="E713" t="str">
            <v>MOHAMMED</v>
          </cell>
          <cell r="F713">
            <v>19175</v>
          </cell>
          <cell r="G713" t="str">
            <v>2</v>
          </cell>
          <cell r="H713" t="str">
            <v>BENI SMIR OUED-ZEM</v>
          </cell>
          <cell r="I713" t="str">
            <v>D</v>
          </cell>
          <cell r="J713">
            <v>27774</v>
          </cell>
          <cell r="K713">
            <v>35674</v>
          </cell>
          <cell r="L713" t="str">
            <v>21</v>
          </cell>
          <cell r="M713" t="str">
            <v>A</v>
          </cell>
          <cell r="N713">
            <v>35674</v>
          </cell>
          <cell r="P713">
            <v>27</v>
          </cell>
          <cell r="Q713" t="str">
            <v>O</v>
          </cell>
          <cell r="R713" t="str">
            <v>N</v>
          </cell>
          <cell r="S713">
            <v>0</v>
          </cell>
          <cell r="T713" t="str">
            <v>M</v>
          </cell>
          <cell r="U713" t="str">
            <v>MAMOUNI MALIKA</v>
          </cell>
          <cell r="X713">
            <v>4</v>
          </cell>
          <cell r="Y713">
            <v>4</v>
          </cell>
          <cell r="AA713" t="str">
            <v>23/06/88</v>
          </cell>
          <cell r="AB713" t="str">
            <v>X</v>
          </cell>
          <cell r="AC713" t="str">
            <v>X</v>
          </cell>
          <cell r="AD713" t="str">
            <v>X</v>
          </cell>
          <cell r="AH713" t="str">
            <v>N</v>
          </cell>
          <cell r="AI713" t="str">
            <v>N</v>
          </cell>
          <cell r="AK713" t="str">
            <v>101 VILLAGE OCP OUED ZEM</v>
          </cell>
          <cell r="AL713" t="str">
            <v>4AS</v>
          </cell>
          <cell r="AP713" t="str">
            <v>Q 56739</v>
          </cell>
          <cell r="AQ713">
            <v>0</v>
          </cell>
          <cell r="AR713" t="str">
            <v>B</v>
          </cell>
          <cell r="AS713" t="str">
            <v>BMCE.OUED ZEM</v>
          </cell>
          <cell r="AT713" t="str">
            <v>41101200000028275</v>
          </cell>
          <cell r="AU713" t="str">
            <v>/  /</v>
          </cell>
          <cell r="AW713">
            <v>37438</v>
          </cell>
          <cell r="AY713" t="str">
            <v>XX</v>
          </cell>
          <cell r="BA713" t="str">
            <v>2</v>
          </cell>
          <cell r="BB713">
            <v>1</v>
          </cell>
          <cell r="BD713">
            <v>0</v>
          </cell>
          <cell r="BE713" t="str">
            <v>M</v>
          </cell>
          <cell r="BF713" t="str">
            <v>N</v>
          </cell>
          <cell r="BG713">
            <v>30</v>
          </cell>
          <cell r="BH713">
            <v>37438</v>
          </cell>
        </row>
        <row r="714">
          <cell r="A714">
            <v>68312</v>
          </cell>
          <cell r="B714">
            <v>428</v>
          </cell>
          <cell r="C714" t="str">
            <v>C3152</v>
          </cell>
          <cell r="D714" t="str">
            <v>LAHSSINI</v>
          </cell>
          <cell r="E714" t="str">
            <v>MUSTAPHA</v>
          </cell>
          <cell r="F714">
            <v>20312</v>
          </cell>
          <cell r="G714" t="str">
            <v>2</v>
          </cell>
          <cell r="H714" t="str">
            <v>OUED-ZEM</v>
          </cell>
          <cell r="I714" t="str">
            <v>D</v>
          </cell>
          <cell r="J714">
            <v>27779</v>
          </cell>
          <cell r="K714">
            <v>36557</v>
          </cell>
          <cell r="L714" t="str">
            <v>21</v>
          </cell>
          <cell r="M714" t="str">
            <v>C</v>
          </cell>
          <cell r="N714">
            <v>36557</v>
          </cell>
          <cell r="P714">
            <v>27</v>
          </cell>
          <cell r="Q714" t="str">
            <v>O</v>
          </cell>
          <cell r="R714" t="str">
            <v>N</v>
          </cell>
          <cell r="S714">
            <v>0</v>
          </cell>
          <cell r="T714" t="str">
            <v>M</v>
          </cell>
          <cell r="U714" t="str">
            <v>JLIOUI FATIMA BENT MOHAMED</v>
          </cell>
          <cell r="X714">
            <v>5</v>
          </cell>
          <cell r="Y714">
            <v>4</v>
          </cell>
          <cell r="AB714" t="str">
            <v>X</v>
          </cell>
          <cell r="AC714" t="str">
            <v>X</v>
          </cell>
          <cell r="AD714" t="str">
            <v>X</v>
          </cell>
          <cell r="AH714" t="str">
            <v>N</v>
          </cell>
          <cell r="AI714" t="str">
            <v>N</v>
          </cell>
          <cell r="AK714" t="str">
            <v>75 BIS RUE BENDOUNE - OUED ZEM</v>
          </cell>
          <cell r="AL714" t="str">
            <v>4AS</v>
          </cell>
          <cell r="AM714" t="str">
            <v>CES.</v>
          </cell>
          <cell r="AP714" t="str">
            <v>Q 20224</v>
          </cell>
          <cell r="AQ714">
            <v>0</v>
          </cell>
          <cell r="AR714" t="str">
            <v>B</v>
          </cell>
          <cell r="AS714" t="str">
            <v>POPULAIRE.O.ZEM</v>
          </cell>
          <cell r="AT714" t="str">
            <v>2111113032580006</v>
          </cell>
          <cell r="AU714" t="str">
            <v>/  /</v>
          </cell>
          <cell r="AW714">
            <v>38718</v>
          </cell>
          <cell r="AY714" t="str">
            <v>XX</v>
          </cell>
          <cell r="BA714" t="str">
            <v>6</v>
          </cell>
          <cell r="BB714">
            <v>1</v>
          </cell>
          <cell r="BD714">
            <v>0</v>
          </cell>
          <cell r="BE714" t="str">
            <v>M</v>
          </cell>
          <cell r="BF714" t="str">
            <v>N</v>
          </cell>
          <cell r="BG714">
            <v>30</v>
          </cell>
          <cell r="BH714">
            <v>38718</v>
          </cell>
          <cell r="BI714" t="str">
            <v>O</v>
          </cell>
        </row>
        <row r="715">
          <cell r="A715">
            <v>68325</v>
          </cell>
          <cell r="B715">
            <v>406</v>
          </cell>
          <cell r="C715" t="str">
            <v>C7102</v>
          </cell>
          <cell r="D715" t="str">
            <v>TABI</v>
          </cell>
          <cell r="E715" t="str">
            <v>EL KBIR</v>
          </cell>
          <cell r="F715">
            <v>18444</v>
          </cell>
          <cell r="G715" t="str">
            <v>1</v>
          </cell>
          <cell r="H715" t="str">
            <v>OULED ABDOUNE</v>
          </cell>
          <cell r="I715" t="str">
            <v>D</v>
          </cell>
          <cell r="J715">
            <v>27806</v>
          </cell>
          <cell r="K715">
            <v>36526</v>
          </cell>
          <cell r="L715" t="str">
            <v>33</v>
          </cell>
          <cell r="M715" t="str">
            <v>B</v>
          </cell>
          <cell r="N715">
            <v>36526</v>
          </cell>
          <cell r="P715">
            <v>28</v>
          </cell>
          <cell r="Q715" t="str">
            <v>O</v>
          </cell>
          <cell r="R715" t="str">
            <v>N</v>
          </cell>
          <cell r="S715">
            <v>0</v>
          </cell>
          <cell r="T715" t="str">
            <v>M</v>
          </cell>
          <cell r="U715" t="str">
            <v>HASNA BENT LAHCEN ASSOUKI</v>
          </cell>
          <cell r="X715">
            <v>5</v>
          </cell>
          <cell r="Y715">
            <v>1</v>
          </cell>
          <cell r="AB715" t="str">
            <v>X</v>
          </cell>
          <cell r="AC715" t="str">
            <v>X</v>
          </cell>
          <cell r="AD715" t="str">
            <v>X</v>
          </cell>
          <cell r="AH715" t="str">
            <v>N</v>
          </cell>
          <cell r="AI715" t="str">
            <v>N</v>
          </cell>
          <cell r="AK715" t="str">
            <v>30 RUE CHOGRANE LOT AMAL KHOURIBGA</v>
          </cell>
          <cell r="AL715" t="str">
            <v>2AS</v>
          </cell>
          <cell r="AP715" t="str">
            <v>Q 39957</v>
          </cell>
          <cell r="AQ715">
            <v>0</v>
          </cell>
          <cell r="AR715" t="str">
            <v>D</v>
          </cell>
          <cell r="AS715" t="str">
            <v>CR-MAROC - KHGA</v>
          </cell>
          <cell r="AT715" t="str">
            <v>233C300033</v>
          </cell>
          <cell r="AU715" t="str">
            <v>/  /</v>
          </cell>
          <cell r="AW715">
            <v>37438</v>
          </cell>
          <cell r="AY715" t="str">
            <v>O+</v>
          </cell>
          <cell r="BA715" t="str">
            <v>0</v>
          </cell>
          <cell r="BB715">
            <v>1</v>
          </cell>
          <cell r="BD715">
            <v>0</v>
          </cell>
          <cell r="BE715" t="str">
            <v>M</v>
          </cell>
          <cell r="BF715" t="str">
            <v>N</v>
          </cell>
          <cell r="BG715">
            <v>1</v>
          </cell>
          <cell r="BH715">
            <v>37438</v>
          </cell>
        </row>
        <row r="716">
          <cell r="A716">
            <v>68404</v>
          </cell>
          <cell r="B716">
            <v>400</v>
          </cell>
          <cell r="C716" t="str">
            <v>X1603</v>
          </cell>
          <cell r="D716" t="str">
            <v>RHASSANE</v>
          </cell>
          <cell r="E716" t="str">
            <v>RABIA</v>
          </cell>
          <cell r="F716">
            <v>20239</v>
          </cell>
          <cell r="H716" t="str">
            <v>RABAT</v>
          </cell>
          <cell r="I716" t="str">
            <v>D</v>
          </cell>
          <cell r="J716">
            <v>27873</v>
          </cell>
          <cell r="K716">
            <v>35431</v>
          </cell>
          <cell r="L716" t="str">
            <v>41</v>
          </cell>
          <cell r="M716" t="str">
            <v>A</v>
          </cell>
          <cell r="N716">
            <v>35431</v>
          </cell>
          <cell r="P716">
            <v>27</v>
          </cell>
          <cell r="Q716" t="str">
            <v>O</v>
          </cell>
          <cell r="R716" t="str">
            <v>N</v>
          </cell>
          <cell r="S716">
            <v>0</v>
          </cell>
          <cell r="T716" t="str">
            <v>M</v>
          </cell>
          <cell r="U716" t="str">
            <v>MOUJJANI ALI</v>
          </cell>
          <cell r="X716">
            <v>0</v>
          </cell>
          <cell r="Y716">
            <v>0</v>
          </cell>
          <cell r="AB716" t="str">
            <v>O</v>
          </cell>
          <cell r="AC716" t="str">
            <v>X</v>
          </cell>
          <cell r="AD716" t="str">
            <v>X</v>
          </cell>
          <cell r="AE716" t="str">
            <v>OCP 64949/401</v>
          </cell>
          <cell r="AH716" t="str">
            <v>O</v>
          </cell>
          <cell r="AI716" t="str">
            <v>N</v>
          </cell>
          <cell r="AK716" t="str">
            <v>102 BLOC 9 KHOUADRIA JDAD - KHOURIBGA</v>
          </cell>
          <cell r="AL716" t="str">
            <v>6 AS.LM</v>
          </cell>
          <cell r="AP716" t="str">
            <v>Q 14831</v>
          </cell>
          <cell r="AQ716">
            <v>0</v>
          </cell>
          <cell r="AR716" t="str">
            <v>B</v>
          </cell>
          <cell r="AS716" t="str">
            <v>SGMB.KHGA</v>
          </cell>
          <cell r="AT716" t="str">
            <v>670009102689</v>
          </cell>
          <cell r="AU716" t="str">
            <v>/  /</v>
          </cell>
          <cell r="AW716">
            <v>38534</v>
          </cell>
          <cell r="AY716" t="str">
            <v>XX</v>
          </cell>
          <cell r="AZ716" t="str">
            <v>M</v>
          </cell>
          <cell r="BA716" t="str">
            <v>2</v>
          </cell>
          <cell r="BB716">
            <v>1</v>
          </cell>
          <cell r="BD716">
            <v>0</v>
          </cell>
          <cell r="BE716" t="str">
            <v>F</v>
          </cell>
          <cell r="BF716" t="str">
            <v>O</v>
          </cell>
          <cell r="BG716">
            <v>1</v>
          </cell>
          <cell r="BH716">
            <v>38899</v>
          </cell>
        </row>
        <row r="717">
          <cell r="A717">
            <v>68517</v>
          </cell>
          <cell r="B717">
            <v>461</v>
          </cell>
          <cell r="C717" t="str">
            <v>X3150</v>
          </cell>
          <cell r="D717" t="str">
            <v>BADDAS</v>
          </cell>
          <cell r="E717" t="str">
            <v>MOHAMMED</v>
          </cell>
          <cell r="F717">
            <v>20270</v>
          </cell>
          <cell r="H717" t="str">
            <v>AIT BOUHADDOU - KHENIFRA</v>
          </cell>
          <cell r="I717" t="str">
            <v>F</v>
          </cell>
          <cell r="J717">
            <v>27878</v>
          </cell>
          <cell r="K717">
            <v>35612</v>
          </cell>
          <cell r="L717" t="str">
            <v>41</v>
          </cell>
          <cell r="M717" t="str">
            <v>A</v>
          </cell>
          <cell r="N717">
            <v>35612</v>
          </cell>
          <cell r="P717">
            <v>27</v>
          </cell>
          <cell r="Q717" t="str">
            <v>O</v>
          </cell>
          <cell r="R717" t="str">
            <v>N</v>
          </cell>
          <cell r="S717">
            <v>0</v>
          </cell>
          <cell r="T717" t="str">
            <v>M</v>
          </cell>
          <cell r="U717" t="str">
            <v>BADDAS KHADDOUJ BENT BOUAZZA</v>
          </cell>
          <cell r="X717">
            <v>6</v>
          </cell>
          <cell r="Y717">
            <v>4</v>
          </cell>
          <cell r="AB717" t="str">
            <v>X</v>
          </cell>
          <cell r="AC717" t="str">
            <v>X</v>
          </cell>
          <cell r="AD717" t="str">
            <v>X</v>
          </cell>
          <cell r="AH717" t="str">
            <v>N</v>
          </cell>
          <cell r="AI717" t="str">
            <v>N</v>
          </cell>
          <cell r="AK717" t="str">
            <v>313 BLOC J AV. AHMED RGUIBI MASSIRA KHGA</v>
          </cell>
          <cell r="AL717" t="str">
            <v>4AS</v>
          </cell>
          <cell r="AM717" t="str">
            <v>CFP.CQP.CFO</v>
          </cell>
          <cell r="AP717" t="str">
            <v>Q 71148</v>
          </cell>
          <cell r="AQ717">
            <v>0</v>
          </cell>
          <cell r="AR717" t="str">
            <v>B</v>
          </cell>
          <cell r="AS717" t="str">
            <v>CREDIT DU MAROC-KHGA</v>
          </cell>
          <cell r="AT717" t="str">
            <v>082001028865</v>
          </cell>
          <cell r="AU717" t="str">
            <v>/  /</v>
          </cell>
          <cell r="AW717">
            <v>38534</v>
          </cell>
          <cell r="AY717" t="str">
            <v>XX</v>
          </cell>
          <cell r="AZ717" t="str">
            <v>M</v>
          </cell>
          <cell r="BA717" t="str">
            <v>1</v>
          </cell>
          <cell r="BB717">
            <v>1</v>
          </cell>
          <cell r="BC717" t="str">
            <v>O</v>
          </cell>
          <cell r="BD717">
            <v>4</v>
          </cell>
          <cell r="BE717" t="str">
            <v>M</v>
          </cell>
          <cell r="BF717" t="str">
            <v>N</v>
          </cell>
          <cell r="BG717">
            <v>5</v>
          </cell>
          <cell r="BH717">
            <v>38534</v>
          </cell>
        </row>
        <row r="718">
          <cell r="A718">
            <v>68521</v>
          </cell>
          <cell r="B718">
            <v>411</v>
          </cell>
          <cell r="C718" t="str">
            <v>C7002</v>
          </cell>
          <cell r="D718" t="str">
            <v>METEKHKHEM</v>
          </cell>
          <cell r="E718" t="str">
            <v>MOHAMMED</v>
          </cell>
          <cell r="F718">
            <v>19375</v>
          </cell>
          <cell r="G718" t="str">
            <v>1</v>
          </cell>
          <cell r="H718" t="str">
            <v>OULED ABDOUNE</v>
          </cell>
          <cell r="I718" t="str">
            <v>D</v>
          </cell>
          <cell r="J718">
            <v>27878</v>
          </cell>
          <cell r="K718">
            <v>36526</v>
          </cell>
          <cell r="L718" t="str">
            <v>33</v>
          </cell>
          <cell r="M718" t="str">
            <v>A</v>
          </cell>
          <cell r="N718">
            <v>36526</v>
          </cell>
          <cell r="P718">
            <v>27</v>
          </cell>
          <cell r="Q718" t="str">
            <v>O</v>
          </cell>
          <cell r="R718" t="str">
            <v>N</v>
          </cell>
          <cell r="S718">
            <v>0</v>
          </cell>
          <cell r="T718" t="str">
            <v>C</v>
          </cell>
          <cell r="X718">
            <v>0</v>
          </cell>
          <cell r="Y718">
            <v>0</v>
          </cell>
          <cell r="AB718" t="str">
            <v>X</v>
          </cell>
          <cell r="AC718" t="str">
            <v>X</v>
          </cell>
          <cell r="AD718" t="str">
            <v>X</v>
          </cell>
          <cell r="AH718" t="str">
            <v>N</v>
          </cell>
          <cell r="AI718" t="str">
            <v>N</v>
          </cell>
          <cell r="AK718" t="str">
            <v>26 RUE SMAALA DERB OULD EL AROUI KHGA</v>
          </cell>
          <cell r="AL718" t="str">
            <v>3AS</v>
          </cell>
          <cell r="AM718" t="str">
            <v>CFO</v>
          </cell>
          <cell r="AP718" t="str">
            <v>Q 9729</v>
          </cell>
          <cell r="AQ718">
            <v>0</v>
          </cell>
          <cell r="AR718" t="str">
            <v>B</v>
          </cell>
          <cell r="AS718" t="str">
            <v>BMCE .KHGA</v>
          </cell>
          <cell r="AT718" t="str">
            <v>40001200000693510</v>
          </cell>
          <cell r="AU718" t="str">
            <v>/  /</v>
          </cell>
          <cell r="AW718">
            <v>37803</v>
          </cell>
          <cell r="AY718" t="str">
            <v>XX</v>
          </cell>
          <cell r="BA718" t="str">
            <v>2</v>
          </cell>
          <cell r="BB718">
            <v>0</v>
          </cell>
          <cell r="BC718" t="str">
            <v>O</v>
          </cell>
          <cell r="BD718">
            <v>4</v>
          </cell>
          <cell r="BE718" t="str">
            <v>M</v>
          </cell>
          <cell r="BF718" t="str">
            <v>N</v>
          </cell>
          <cell r="BG718">
            <v>1</v>
          </cell>
          <cell r="BH718">
            <v>37803</v>
          </cell>
        </row>
        <row r="719">
          <cell r="A719">
            <v>68524</v>
          </cell>
          <cell r="B719">
            <v>466</v>
          </cell>
          <cell r="C719" t="str">
            <v>C6050</v>
          </cell>
          <cell r="D719" t="str">
            <v>ROMANI</v>
          </cell>
          <cell r="E719" t="str">
            <v>SALAH</v>
          </cell>
          <cell r="F719">
            <v>19770</v>
          </cell>
          <cell r="G719" t="str">
            <v>1</v>
          </cell>
          <cell r="H719" t="str">
            <v>KHOURIBGA</v>
          </cell>
          <cell r="I719" t="str">
            <v>F</v>
          </cell>
          <cell r="J719">
            <v>28325</v>
          </cell>
          <cell r="K719">
            <v>37043</v>
          </cell>
          <cell r="L719" t="str">
            <v>32</v>
          </cell>
          <cell r="M719" t="str">
            <v>A</v>
          </cell>
          <cell r="N719">
            <v>37043</v>
          </cell>
          <cell r="O719">
            <v>0</v>
          </cell>
          <cell r="P719">
            <v>25</v>
          </cell>
          <cell r="Q719" t="str">
            <v>O</v>
          </cell>
          <cell r="R719" t="str">
            <v>N</v>
          </cell>
          <cell r="S719">
            <v>0</v>
          </cell>
          <cell r="T719" t="str">
            <v>M</v>
          </cell>
          <cell r="U719" t="str">
            <v>NACHAT ES-SAADIA</v>
          </cell>
          <cell r="X719">
            <v>3</v>
          </cell>
          <cell r="Y719">
            <v>3</v>
          </cell>
          <cell r="AB719" t="str">
            <v>N</v>
          </cell>
          <cell r="AC719" t="str">
            <v>X</v>
          </cell>
          <cell r="AD719" t="str">
            <v>X</v>
          </cell>
          <cell r="AH719" t="str">
            <v>N</v>
          </cell>
          <cell r="AI719" t="str">
            <v>N</v>
          </cell>
          <cell r="AK719" t="str">
            <v>14 RUE 5 DERB BOUAZZA BEN ALI KHGA</v>
          </cell>
          <cell r="AL719" t="str">
            <v>4AS</v>
          </cell>
          <cell r="AM719" t="str">
            <v>CES.CQP.CFO</v>
          </cell>
          <cell r="AP719" t="str">
            <v>Q 48931</v>
          </cell>
          <cell r="AQ719">
            <v>0</v>
          </cell>
          <cell r="AR719" t="str">
            <v>B</v>
          </cell>
          <cell r="AS719" t="str">
            <v>C.I.H - KHGA</v>
          </cell>
          <cell r="AT719" t="str">
            <v>72881452130047</v>
          </cell>
          <cell r="AU719" t="str">
            <v>/  /</v>
          </cell>
          <cell r="AW719">
            <v>38169</v>
          </cell>
          <cell r="AY719" t="str">
            <v>XX</v>
          </cell>
          <cell r="BA719" t="str">
            <v>2</v>
          </cell>
          <cell r="BB719">
            <v>1</v>
          </cell>
          <cell r="BC719" t="str">
            <v>O</v>
          </cell>
          <cell r="BD719">
            <v>4</v>
          </cell>
          <cell r="BE719" t="str">
            <v>M</v>
          </cell>
          <cell r="BF719" t="str">
            <v>N</v>
          </cell>
          <cell r="BG719">
            <v>5</v>
          </cell>
          <cell r="BH719">
            <v>38169</v>
          </cell>
        </row>
        <row r="720">
          <cell r="A720">
            <v>68553</v>
          </cell>
          <cell r="B720">
            <v>461</v>
          </cell>
          <cell r="C720" t="str">
            <v>C6001</v>
          </cell>
          <cell r="D720" t="str">
            <v>BENTABET</v>
          </cell>
          <cell r="E720" t="str">
            <v>MOHAMMED</v>
          </cell>
          <cell r="F720">
            <v>19175</v>
          </cell>
          <cell r="G720" t="str">
            <v>1</v>
          </cell>
          <cell r="H720" t="str">
            <v>OULED BHAR KBAR KHOURIBGA</v>
          </cell>
          <cell r="I720" t="str">
            <v>D</v>
          </cell>
          <cell r="J720">
            <v>27912</v>
          </cell>
          <cell r="K720">
            <v>37043</v>
          </cell>
          <cell r="L720" t="str">
            <v>32</v>
          </cell>
          <cell r="M720" t="str">
            <v>A</v>
          </cell>
          <cell r="N720">
            <v>37043</v>
          </cell>
          <cell r="P720">
            <v>26</v>
          </cell>
          <cell r="Q720" t="str">
            <v>O</v>
          </cell>
          <cell r="R720" t="str">
            <v>N</v>
          </cell>
          <cell r="S720">
            <v>0</v>
          </cell>
          <cell r="T720" t="str">
            <v>M</v>
          </cell>
          <cell r="U720" t="str">
            <v>MOUNSSEF FARIDA</v>
          </cell>
          <cell r="X720">
            <v>3</v>
          </cell>
          <cell r="Y720">
            <v>3</v>
          </cell>
          <cell r="AB720" t="str">
            <v>X</v>
          </cell>
          <cell r="AC720" t="str">
            <v>X</v>
          </cell>
          <cell r="AD720" t="str">
            <v>X</v>
          </cell>
          <cell r="AH720" t="str">
            <v>N</v>
          </cell>
          <cell r="AI720" t="str">
            <v>N</v>
          </cell>
          <cell r="AK720" t="str">
            <v>DOUAR LAMSAADA OULED BRAHIM KHGA</v>
          </cell>
          <cell r="AL720" t="str">
            <v>CM2</v>
          </cell>
          <cell r="AM720" t="str">
            <v>CFO</v>
          </cell>
          <cell r="AP720" t="str">
            <v>Q 30288</v>
          </cell>
          <cell r="AQ720">
            <v>0</v>
          </cell>
          <cell r="AR720" t="str">
            <v>B</v>
          </cell>
          <cell r="AS720" t="str">
            <v>BMCE.OUED ZEM</v>
          </cell>
          <cell r="AT720" t="str">
            <v>41101200000308314</v>
          </cell>
          <cell r="AU720" t="str">
            <v>/  /</v>
          </cell>
          <cell r="AW720">
            <v>37622</v>
          </cell>
          <cell r="AY720" t="str">
            <v>XX</v>
          </cell>
          <cell r="BA720" t="str">
            <v>2</v>
          </cell>
          <cell r="BB720">
            <v>1</v>
          </cell>
          <cell r="BD720">
            <v>0</v>
          </cell>
          <cell r="BE720" t="str">
            <v>M</v>
          </cell>
          <cell r="BF720" t="str">
            <v>N</v>
          </cell>
          <cell r="BG720">
            <v>60</v>
          </cell>
          <cell r="BH720">
            <v>37622</v>
          </cell>
        </row>
        <row r="721">
          <cell r="A721">
            <v>68580</v>
          </cell>
          <cell r="B721">
            <v>461</v>
          </cell>
          <cell r="C721" t="str">
            <v>C4152</v>
          </cell>
          <cell r="D721" t="str">
            <v>GHOUZLANE</v>
          </cell>
          <cell r="E721" t="str">
            <v>EL HADJ</v>
          </cell>
          <cell r="F721">
            <v>18079</v>
          </cell>
          <cell r="G721" t="str">
            <v>5</v>
          </cell>
          <cell r="H721" t="str">
            <v>BOUJAAD</v>
          </cell>
          <cell r="I721" t="str">
            <v>D</v>
          </cell>
          <cell r="J721">
            <v>27921</v>
          </cell>
          <cell r="K721">
            <v>32843</v>
          </cell>
          <cell r="L721" t="str">
            <v>22</v>
          </cell>
          <cell r="M721" t="str">
            <v>A</v>
          </cell>
          <cell r="N721">
            <v>32843</v>
          </cell>
          <cell r="O721">
            <v>0</v>
          </cell>
          <cell r="P721">
            <v>26</v>
          </cell>
          <cell r="Q721" t="str">
            <v>O</v>
          </cell>
          <cell r="R721" t="str">
            <v>N</v>
          </cell>
          <cell r="S721">
            <v>0</v>
          </cell>
          <cell r="T721" t="str">
            <v>M</v>
          </cell>
          <cell r="U721" t="str">
            <v>ZOHRA BENT TAMI</v>
          </cell>
          <cell r="X721">
            <v>7</v>
          </cell>
          <cell r="Y721">
            <v>2</v>
          </cell>
          <cell r="AB721" t="str">
            <v>X</v>
          </cell>
          <cell r="AC721" t="str">
            <v>X</v>
          </cell>
          <cell r="AD721" t="str">
            <v>X</v>
          </cell>
          <cell r="AH721" t="str">
            <v>N</v>
          </cell>
          <cell r="AI721" t="str">
            <v>N</v>
          </cell>
          <cell r="AK721" t="str">
            <v>70 VILLAGE OCP OUED ZEM</v>
          </cell>
          <cell r="AL721" t="str">
            <v>4AI</v>
          </cell>
          <cell r="AM721" t="str">
            <v>CEP</v>
          </cell>
          <cell r="AP721" t="str">
            <v>Q 49586</v>
          </cell>
          <cell r="AQ721">
            <v>0</v>
          </cell>
          <cell r="AR721" t="str">
            <v>B</v>
          </cell>
          <cell r="AS721" t="str">
            <v>WAFABANK - KHGA</v>
          </cell>
          <cell r="AT721" t="str">
            <v>1220301273702</v>
          </cell>
          <cell r="AU721" t="str">
            <v>/  /</v>
          </cell>
          <cell r="AW721">
            <v>37622</v>
          </cell>
          <cell r="AY721" t="str">
            <v>XX</v>
          </cell>
          <cell r="AZ721" t="str">
            <v>R</v>
          </cell>
          <cell r="BA721" t="str">
            <v>1</v>
          </cell>
          <cell r="BB721">
            <v>1</v>
          </cell>
          <cell r="BD721">
            <v>0</v>
          </cell>
          <cell r="BE721" t="str">
            <v>M</v>
          </cell>
          <cell r="BF721" t="str">
            <v>N</v>
          </cell>
          <cell r="BG721">
            <v>31</v>
          </cell>
          <cell r="BH721">
            <v>37622</v>
          </cell>
        </row>
        <row r="722">
          <cell r="A722">
            <v>68593</v>
          </cell>
          <cell r="B722">
            <v>419</v>
          </cell>
          <cell r="C722" t="str">
            <v>C5006</v>
          </cell>
          <cell r="D722" t="str">
            <v>SLIMANI</v>
          </cell>
          <cell r="E722" t="str">
            <v>SMAIL</v>
          </cell>
          <cell r="F722">
            <v>20636</v>
          </cell>
          <cell r="G722" t="str">
            <v>1</v>
          </cell>
          <cell r="H722" t="str">
            <v>KHOURIBGA</v>
          </cell>
          <cell r="I722" t="str">
            <v>D</v>
          </cell>
          <cell r="J722">
            <v>31821</v>
          </cell>
          <cell r="K722">
            <v>37073</v>
          </cell>
          <cell r="L722" t="str">
            <v>31</v>
          </cell>
          <cell r="M722" t="str">
            <v>A</v>
          </cell>
          <cell r="N722">
            <v>37073</v>
          </cell>
          <cell r="P722">
            <v>17</v>
          </cell>
          <cell r="Q722" t="str">
            <v>O</v>
          </cell>
          <cell r="R722" t="str">
            <v>N</v>
          </cell>
          <cell r="S722">
            <v>0</v>
          </cell>
          <cell r="T722" t="str">
            <v>M</v>
          </cell>
          <cell r="U722" t="str">
            <v>BOURAOUIA RABIA BENT MOHAMED</v>
          </cell>
          <cell r="X722">
            <v>3</v>
          </cell>
          <cell r="Y722">
            <v>3</v>
          </cell>
          <cell r="AB722" t="str">
            <v>X</v>
          </cell>
          <cell r="AC722" t="str">
            <v>X</v>
          </cell>
          <cell r="AD722" t="str">
            <v>X</v>
          </cell>
          <cell r="AH722" t="str">
            <v>N</v>
          </cell>
          <cell r="AI722" t="str">
            <v>N</v>
          </cell>
          <cell r="AK722" t="str">
            <v>437, VILLAGE O.C.P - BOUJNIBA</v>
          </cell>
          <cell r="AL722" t="str">
            <v>3AS</v>
          </cell>
          <cell r="AM722" t="str">
            <v>CFO</v>
          </cell>
          <cell r="AP722" t="str">
            <v>Q 36743</v>
          </cell>
          <cell r="AQ722">
            <v>0</v>
          </cell>
          <cell r="AR722" t="str">
            <v>B</v>
          </cell>
          <cell r="AS722" t="str">
            <v>BMCE - KHGA</v>
          </cell>
          <cell r="AT722" t="str">
            <v>0012000009827-64</v>
          </cell>
          <cell r="AU722" t="str">
            <v>/  /</v>
          </cell>
          <cell r="AW722">
            <v>42536</v>
          </cell>
          <cell r="AX722">
            <v>42536</v>
          </cell>
          <cell r="AY722" t="str">
            <v>XX</v>
          </cell>
          <cell r="BA722" t="str">
            <v>2</v>
          </cell>
          <cell r="BB722">
            <v>1</v>
          </cell>
          <cell r="BD722">
            <v>0</v>
          </cell>
          <cell r="BE722" t="str">
            <v>M</v>
          </cell>
          <cell r="BF722" t="str">
            <v>N</v>
          </cell>
          <cell r="BG722">
            <v>50</v>
          </cell>
          <cell r="BH722">
            <v>40725</v>
          </cell>
        </row>
        <row r="723">
          <cell r="A723">
            <v>68598</v>
          </cell>
          <cell r="B723">
            <v>406</v>
          </cell>
          <cell r="C723" t="str">
            <v>C6102</v>
          </cell>
          <cell r="D723" t="str">
            <v>EL MAHI</v>
          </cell>
          <cell r="E723" t="str">
            <v>BRAHIM</v>
          </cell>
          <cell r="F723">
            <v>19540</v>
          </cell>
          <cell r="G723" t="str">
            <v>1</v>
          </cell>
          <cell r="H723" t="str">
            <v>OULED ABDOUNE - KHOURIBGA</v>
          </cell>
          <cell r="I723" t="str">
            <v>D</v>
          </cell>
          <cell r="J723">
            <v>27933</v>
          </cell>
          <cell r="K723">
            <v>35065</v>
          </cell>
          <cell r="L723" t="str">
            <v>32</v>
          </cell>
          <cell r="M723" t="str">
            <v>A</v>
          </cell>
          <cell r="N723">
            <v>35065</v>
          </cell>
          <cell r="P723">
            <v>26</v>
          </cell>
          <cell r="Q723" t="str">
            <v>O</v>
          </cell>
          <cell r="R723" t="str">
            <v>N</v>
          </cell>
          <cell r="S723">
            <v>0</v>
          </cell>
          <cell r="T723" t="str">
            <v>M</v>
          </cell>
          <cell r="U723" t="str">
            <v>EL MAHI HALIMA</v>
          </cell>
          <cell r="X723">
            <v>5</v>
          </cell>
          <cell r="Y723">
            <v>2</v>
          </cell>
          <cell r="AB723" t="str">
            <v>X</v>
          </cell>
          <cell r="AC723" t="str">
            <v>X</v>
          </cell>
          <cell r="AD723" t="str">
            <v>X</v>
          </cell>
          <cell r="AH723" t="str">
            <v>N</v>
          </cell>
          <cell r="AI723" t="str">
            <v>N</v>
          </cell>
          <cell r="AK723" t="str">
            <v>31 LOT RUE CHOGRANE HAY ESSAADA KHGA</v>
          </cell>
          <cell r="AL723" t="str">
            <v>3AS</v>
          </cell>
          <cell r="AP723" t="str">
            <v>Q 73286</v>
          </cell>
          <cell r="AQ723">
            <v>0</v>
          </cell>
          <cell r="AR723" t="str">
            <v>B</v>
          </cell>
          <cell r="AS723" t="str">
            <v>CREDIT DU MAROC-Khga</v>
          </cell>
          <cell r="AT723" t="str">
            <v>082001095134</v>
          </cell>
          <cell r="AU723" t="str">
            <v>/  /</v>
          </cell>
          <cell r="AW723">
            <v>37803</v>
          </cell>
          <cell r="AY723" t="str">
            <v>O+</v>
          </cell>
          <cell r="BA723" t="str">
            <v>2</v>
          </cell>
          <cell r="BB723">
            <v>1</v>
          </cell>
          <cell r="BD723">
            <v>0</v>
          </cell>
          <cell r="BE723" t="str">
            <v>M</v>
          </cell>
          <cell r="BF723" t="str">
            <v>N</v>
          </cell>
          <cell r="BG723">
            <v>1</v>
          </cell>
          <cell r="BH723">
            <v>37803</v>
          </cell>
          <cell r="BI723" t="str">
            <v>O</v>
          </cell>
        </row>
        <row r="724">
          <cell r="A724">
            <v>68612</v>
          </cell>
          <cell r="B724">
            <v>437</v>
          </cell>
          <cell r="C724" t="str">
            <v>C3450</v>
          </cell>
          <cell r="D724" t="str">
            <v>ITOULI</v>
          </cell>
          <cell r="E724" t="str">
            <v>EL MILOUDI</v>
          </cell>
          <cell r="F724">
            <v>19540</v>
          </cell>
          <cell r="G724" t="str">
            <v>4</v>
          </cell>
          <cell r="H724" t="str">
            <v>BOULANOUAR</v>
          </cell>
          <cell r="I724" t="str">
            <v>D</v>
          </cell>
          <cell r="J724">
            <v>27947</v>
          </cell>
          <cell r="K724">
            <v>36739</v>
          </cell>
          <cell r="L724" t="str">
            <v>21</v>
          </cell>
          <cell r="M724" t="str">
            <v>C</v>
          </cell>
          <cell r="N724">
            <v>36739</v>
          </cell>
          <cell r="P724">
            <v>26</v>
          </cell>
          <cell r="Q724" t="str">
            <v>O</v>
          </cell>
          <cell r="R724" t="str">
            <v>N</v>
          </cell>
          <cell r="S724">
            <v>0</v>
          </cell>
          <cell r="T724" t="str">
            <v>M</v>
          </cell>
          <cell r="U724" t="str">
            <v>ZOHRA BT MOHAMED</v>
          </cell>
          <cell r="X724">
            <v>6</v>
          </cell>
          <cell r="Y724">
            <v>4</v>
          </cell>
          <cell r="AB724" t="str">
            <v>X</v>
          </cell>
          <cell r="AC724" t="str">
            <v>X</v>
          </cell>
          <cell r="AD724" t="str">
            <v>X</v>
          </cell>
          <cell r="AH724" t="str">
            <v>N</v>
          </cell>
          <cell r="AI724" t="str">
            <v>N</v>
          </cell>
          <cell r="AK724" t="str">
            <v>1013 VILLAGE OCP - BOULANOUAR</v>
          </cell>
          <cell r="AL724" t="str">
            <v>2AS</v>
          </cell>
          <cell r="AP724" t="str">
            <v>Q 73345</v>
          </cell>
          <cell r="AQ724">
            <v>0</v>
          </cell>
          <cell r="AR724" t="str">
            <v>B</v>
          </cell>
          <cell r="AS724" t="str">
            <v>BMCE.KHGA</v>
          </cell>
          <cell r="AT724" t="str">
            <v>40001200000552957</v>
          </cell>
          <cell r="AU724" t="str">
            <v>/  /</v>
          </cell>
          <cell r="AW724">
            <v>37803</v>
          </cell>
          <cell r="AY724" t="str">
            <v>XX</v>
          </cell>
          <cell r="BA724" t="str">
            <v>2</v>
          </cell>
          <cell r="BB724">
            <v>1</v>
          </cell>
          <cell r="BD724">
            <v>0</v>
          </cell>
          <cell r="BE724" t="str">
            <v>M</v>
          </cell>
          <cell r="BF724" t="str">
            <v>N</v>
          </cell>
          <cell r="BG724">
            <v>41</v>
          </cell>
          <cell r="BH724">
            <v>37803</v>
          </cell>
          <cell r="BI724" t="str">
            <v>O</v>
          </cell>
        </row>
        <row r="725">
          <cell r="A725">
            <v>68613</v>
          </cell>
          <cell r="B725">
            <v>428</v>
          </cell>
          <cell r="C725" t="str">
            <v>C4411</v>
          </cell>
          <cell r="D725" t="str">
            <v>LARBAH</v>
          </cell>
          <cell r="E725" t="str">
            <v>MOHAMMED</v>
          </cell>
          <cell r="F725">
            <v>20551</v>
          </cell>
          <cell r="G725" t="str">
            <v>1</v>
          </cell>
          <cell r="H725" t="str">
            <v>KHOURIBGA</v>
          </cell>
          <cell r="I725" t="str">
            <v>D</v>
          </cell>
          <cell r="J725">
            <v>27947</v>
          </cell>
          <cell r="K725">
            <v>34851</v>
          </cell>
          <cell r="L725" t="str">
            <v>22</v>
          </cell>
          <cell r="M725" t="str">
            <v>A</v>
          </cell>
          <cell r="N725">
            <v>34851</v>
          </cell>
          <cell r="O725">
            <v>0</v>
          </cell>
          <cell r="P725">
            <v>26</v>
          </cell>
          <cell r="Q725" t="str">
            <v>O</v>
          </cell>
          <cell r="R725" t="str">
            <v>N</v>
          </cell>
          <cell r="S725">
            <v>0</v>
          </cell>
          <cell r="T725" t="str">
            <v>M</v>
          </cell>
          <cell r="U725" t="str">
            <v>KHOUKH SALHA BENT MOHAMED</v>
          </cell>
          <cell r="X725">
            <v>3</v>
          </cell>
          <cell r="Y725">
            <v>3</v>
          </cell>
          <cell r="AB725" t="str">
            <v>X</v>
          </cell>
          <cell r="AC725" t="str">
            <v>X</v>
          </cell>
          <cell r="AD725" t="str">
            <v>X</v>
          </cell>
          <cell r="AH725" t="str">
            <v>N</v>
          </cell>
          <cell r="AI725" t="str">
            <v>N</v>
          </cell>
          <cell r="AK725" t="str">
            <v>RUE 7 N°6 DERB BOUAZZA B.ALI  KHGA</v>
          </cell>
          <cell r="AL725" t="str">
            <v>CM2</v>
          </cell>
          <cell r="AP725" t="str">
            <v>Q 14809</v>
          </cell>
          <cell r="AQ725">
            <v>0</v>
          </cell>
          <cell r="AR725" t="str">
            <v>B</v>
          </cell>
          <cell r="AS725" t="str">
            <v>WAFABANK - KHGA</v>
          </cell>
          <cell r="AT725" t="str">
            <v>1220301091119</v>
          </cell>
          <cell r="AU725" t="str">
            <v>/  /</v>
          </cell>
          <cell r="AW725">
            <v>38899</v>
          </cell>
          <cell r="AY725" t="str">
            <v>B+</v>
          </cell>
          <cell r="BA725" t="str">
            <v>0</v>
          </cell>
          <cell r="BB725">
            <v>1</v>
          </cell>
          <cell r="BD725">
            <v>0</v>
          </cell>
          <cell r="BE725" t="str">
            <v>M</v>
          </cell>
          <cell r="BF725" t="str">
            <v>N</v>
          </cell>
          <cell r="BG725">
            <v>4</v>
          </cell>
          <cell r="BH725">
            <v>38899</v>
          </cell>
          <cell r="BI725" t="str">
            <v>O</v>
          </cell>
        </row>
        <row r="726">
          <cell r="A726">
            <v>68642</v>
          </cell>
          <cell r="B726">
            <v>411</v>
          </cell>
          <cell r="C726" t="str">
            <v>C4152</v>
          </cell>
          <cell r="D726" t="str">
            <v>CHEBBA</v>
          </cell>
          <cell r="E726" t="str">
            <v>MOHAMED</v>
          </cell>
          <cell r="F726">
            <v>19905</v>
          </cell>
          <cell r="G726" t="str">
            <v>1</v>
          </cell>
          <cell r="H726" t="str">
            <v>OULED ABDOUNE</v>
          </cell>
          <cell r="I726" t="str">
            <v>D</v>
          </cell>
          <cell r="J726">
            <v>29045</v>
          </cell>
          <cell r="K726">
            <v>36526</v>
          </cell>
          <cell r="L726" t="str">
            <v>22</v>
          </cell>
          <cell r="M726" t="str">
            <v>A</v>
          </cell>
          <cell r="N726">
            <v>36526</v>
          </cell>
          <cell r="P726">
            <v>23</v>
          </cell>
          <cell r="Q726" t="str">
            <v>O</v>
          </cell>
          <cell r="R726" t="str">
            <v>N</v>
          </cell>
          <cell r="S726">
            <v>0</v>
          </cell>
          <cell r="T726" t="str">
            <v>M</v>
          </cell>
          <cell r="U726" t="str">
            <v>AIRAD ZAHRA BENT MOHAMED</v>
          </cell>
          <cell r="X726">
            <v>4</v>
          </cell>
          <cell r="Y726">
            <v>4</v>
          </cell>
          <cell r="AB726" t="str">
            <v>X</v>
          </cell>
          <cell r="AC726" t="str">
            <v>X</v>
          </cell>
          <cell r="AD726" t="str">
            <v>X</v>
          </cell>
          <cell r="AH726" t="str">
            <v>N</v>
          </cell>
          <cell r="AI726" t="str">
            <v>N</v>
          </cell>
          <cell r="AK726" t="str">
            <v>1069 VILLAGE OCP BOULANOUAR</v>
          </cell>
          <cell r="AL726" t="str">
            <v>2AS</v>
          </cell>
          <cell r="AP726" t="str">
            <v>Q 50426</v>
          </cell>
          <cell r="AQ726">
            <v>0</v>
          </cell>
          <cell r="AR726" t="str">
            <v>C</v>
          </cell>
          <cell r="AU726" t="str">
            <v>/  /</v>
          </cell>
          <cell r="AW726">
            <v>38718</v>
          </cell>
          <cell r="AY726" t="str">
            <v>XX</v>
          </cell>
          <cell r="BA726" t="str">
            <v>1</v>
          </cell>
          <cell r="BB726">
            <v>1</v>
          </cell>
          <cell r="BD726">
            <v>0</v>
          </cell>
          <cell r="BE726" t="str">
            <v>M</v>
          </cell>
          <cell r="BF726" t="str">
            <v>N</v>
          </cell>
          <cell r="BG726">
            <v>40</v>
          </cell>
          <cell r="BH726">
            <v>38718</v>
          </cell>
        </row>
        <row r="727">
          <cell r="A727">
            <v>68679</v>
          </cell>
          <cell r="B727">
            <v>426</v>
          </cell>
          <cell r="C727" t="str">
            <v>C3050</v>
          </cell>
          <cell r="D727" t="str">
            <v>BENCHRAKA</v>
          </cell>
          <cell r="E727" t="str">
            <v>ABDELAZIZ</v>
          </cell>
          <cell r="F727">
            <v>20740</v>
          </cell>
          <cell r="G727" t="str">
            <v>2</v>
          </cell>
          <cell r="H727" t="str">
            <v>SMAALA OUED-ZEM</v>
          </cell>
          <cell r="I727" t="str">
            <v>D</v>
          </cell>
          <cell r="J727">
            <v>27979</v>
          </cell>
          <cell r="K727">
            <v>36526</v>
          </cell>
          <cell r="L727" t="str">
            <v>21</v>
          </cell>
          <cell r="M727" t="str">
            <v>C</v>
          </cell>
          <cell r="N727">
            <v>36526</v>
          </cell>
          <cell r="P727">
            <v>26</v>
          </cell>
          <cell r="Q727" t="str">
            <v>O</v>
          </cell>
          <cell r="R727" t="str">
            <v>N</v>
          </cell>
          <cell r="S727">
            <v>0</v>
          </cell>
          <cell r="T727" t="str">
            <v>M</v>
          </cell>
          <cell r="U727" t="str">
            <v>ZAHIDI FATIMA</v>
          </cell>
          <cell r="X727">
            <v>3</v>
          </cell>
          <cell r="Y727">
            <v>3</v>
          </cell>
          <cell r="AB727" t="str">
            <v>X</v>
          </cell>
          <cell r="AC727" t="str">
            <v>X</v>
          </cell>
          <cell r="AD727" t="str">
            <v>X</v>
          </cell>
          <cell r="AH727" t="str">
            <v>N</v>
          </cell>
          <cell r="AI727" t="str">
            <v>N</v>
          </cell>
          <cell r="AK727" t="str">
            <v>685 HAY EL MOUKAOUAMA OUED ZEM</v>
          </cell>
          <cell r="AL727" t="str">
            <v>2AS</v>
          </cell>
          <cell r="AP727" t="str">
            <v>Q 54839</v>
          </cell>
          <cell r="AQ727">
            <v>0</v>
          </cell>
          <cell r="AR727" t="str">
            <v>B</v>
          </cell>
          <cell r="AS727" t="str">
            <v>POPULAIRE.O-ZEM</v>
          </cell>
          <cell r="AT727" t="str">
            <v>2111136263250007</v>
          </cell>
          <cell r="AU727" t="str">
            <v>/  /</v>
          </cell>
          <cell r="AW727">
            <v>39264</v>
          </cell>
          <cell r="AY727" t="str">
            <v>XX</v>
          </cell>
          <cell r="BA727" t="str">
            <v>2</v>
          </cell>
          <cell r="BB727">
            <v>1</v>
          </cell>
          <cell r="BD727">
            <v>0</v>
          </cell>
          <cell r="BE727" t="str">
            <v>M</v>
          </cell>
          <cell r="BF727" t="str">
            <v>N</v>
          </cell>
          <cell r="BG727">
            <v>30</v>
          </cell>
          <cell r="BH727">
            <v>39083</v>
          </cell>
          <cell r="BI727" t="str">
            <v>O</v>
          </cell>
        </row>
        <row r="728">
          <cell r="A728">
            <v>68693</v>
          </cell>
          <cell r="B728">
            <v>428</v>
          </cell>
          <cell r="C728" t="str">
            <v>C3000</v>
          </cell>
          <cell r="D728" t="str">
            <v>BELOTMANI</v>
          </cell>
          <cell r="E728" t="str">
            <v>MOHAMMED</v>
          </cell>
          <cell r="F728">
            <v>20152</v>
          </cell>
          <cell r="G728" t="str">
            <v>2</v>
          </cell>
          <cell r="H728" t="str">
            <v>BENI SMIR OUED-ZEM</v>
          </cell>
          <cell r="I728" t="str">
            <v>D</v>
          </cell>
          <cell r="J728">
            <v>27982</v>
          </cell>
          <cell r="K728">
            <v>36770</v>
          </cell>
          <cell r="L728" t="str">
            <v>21</v>
          </cell>
          <cell r="M728" t="str">
            <v>C</v>
          </cell>
          <cell r="N728">
            <v>36770</v>
          </cell>
          <cell r="P728">
            <v>26</v>
          </cell>
          <cell r="R728" t="str">
            <v>N</v>
          </cell>
          <cell r="S728">
            <v>0</v>
          </cell>
          <cell r="T728" t="str">
            <v>M</v>
          </cell>
          <cell r="U728" t="str">
            <v>FATNA BENT LEKBIR KARMIME</v>
          </cell>
          <cell r="X728">
            <v>6</v>
          </cell>
          <cell r="Y728">
            <v>4</v>
          </cell>
          <cell r="AB728" t="str">
            <v>X</v>
          </cell>
          <cell r="AC728" t="str">
            <v>X</v>
          </cell>
          <cell r="AD728" t="str">
            <v>X</v>
          </cell>
          <cell r="AH728" t="str">
            <v>N</v>
          </cell>
          <cell r="AI728" t="str">
            <v>N</v>
          </cell>
          <cell r="AK728" t="str">
            <v>DR OULED BOUALI BNI SMIR CERCLE OUED ZEM</v>
          </cell>
          <cell r="AL728" t="str">
            <v>2AS</v>
          </cell>
          <cell r="AP728" t="str">
            <v>Q 37889</v>
          </cell>
          <cell r="AQ728">
            <v>0</v>
          </cell>
          <cell r="AR728" t="str">
            <v>B</v>
          </cell>
          <cell r="AS728" t="str">
            <v>CNCA .OUED ZEM</v>
          </cell>
          <cell r="AT728" t="str">
            <v>E 200546 X 601</v>
          </cell>
          <cell r="AU728" t="str">
            <v>/  /</v>
          </cell>
          <cell r="AW728">
            <v>38534</v>
          </cell>
          <cell r="AY728" t="str">
            <v>XX</v>
          </cell>
          <cell r="BA728" t="str">
            <v>6</v>
          </cell>
          <cell r="BB728">
            <v>1</v>
          </cell>
          <cell r="BD728">
            <v>0</v>
          </cell>
          <cell r="BE728" t="str">
            <v>M</v>
          </cell>
          <cell r="BF728" t="str">
            <v>N</v>
          </cell>
          <cell r="BG728">
            <v>0</v>
          </cell>
          <cell r="BH728">
            <v>38534</v>
          </cell>
        </row>
        <row r="729">
          <cell r="A729">
            <v>68700</v>
          </cell>
          <cell r="B729">
            <v>468</v>
          </cell>
          <cell r="C729" t="str">
            <v>C4405</v>
          </cell>
          <cell r="D729" t="str">
            <v>CHAIF</v>
          </cell>
          <cell r="E729" t="str">
            <v>MOHAMED</v>
          </cell>
          <cell r="F729">
            <v>19175</v>
          </cell>
          <cell r="G729" t="str">
            <v>1</v>
          </cell>
          <cell r="H729" t="str">
            <v>OOULED BHAR KBAR KHOURIBGA</v>
          </cell>
          <cell r="I729" t="str">
            <v>D</v>
          </cell>
          <cell r="J729">
            <v>27989</v>
          </cell>
          <cell r="K729">
            <v>29768</v>
          </cell>
          <cell r="L729" t="str">
            <v>22</v>
          </cell>
          <cell r="M729" t="str">
            <v>B</v>
          </cell>
          <cell r="N729">
            <v>35612</v>
          </cell>
          <cell r="P729">
            <v>26</v>
          </cell>
          <cell r="Q729" t="str">
            <v>O</v>
          </cell>
          <cell r="R729" t="str">
            <v>N</v>
          </cell>
          <cell r="S729">
            <v>0</v>
          </cell>
          <cell r="T729" t="str">
            <v>M</v>
          </cell>
          <cell r="U729" t="str">
            <v>KHADDOUJ BENT AHMED</v>
          </cell>
          <cell r="X729">
            <v>6</v>
          </cell>
          <cell r="Y729">
            <v>0</v>
          </cell>
          <cell r="AB729" t="str">
            <v>X</v>
          </cell>
          <cell r="AC729" t="str">
            <v>X</v>
          </cell>
          <cell r="AD729" t="str">
            <v>X</v>
          </cell>
          <cell r="AH729" t="str">
            <v>N</v>
          </cell>
          <cell r="AI729" t="str">
            <v>N</v>
          </cell>
          <cell r="AK729" t="str">
            <v>208 HABITAT BIR MEZOUI</v>
          </cell>
          <cell r="AL729" t="str">
            <v>1AS</v>
          </cell>
          <cell r="AP729" t="str">
            <v>Q 80463</v>
          </cell>
          <cell r="AQ729">
            <v>0</v>
          </cell>
          <cell r="AR729" t="str">
            <v>B</v>
          </cell>
          <cell r="AS729" t="str">
            <v>WAFABANK - KHGA</v>
          </cell>
          <cell r="AT729" t="str">
            <v>1220301210549</v>
          </cell>
          <cell r="AU729" t="str">
            <v>/  /</v>
          </cell>
          <cell r="AW729">
            <v>37622</v>
          </cell>
          <cell r="AY729" t="str">
            <v>A+</v>
          </cell>
          <cell r="BA729" t="str">
            <v>0</v>
          </cell>
          <cell r="BB729">
            <v>1</v>
          </cell>
          <cell r="BD729">
            <v>0</v>
          </cell>
          <cell r="BE729" t="str">
            <v>M</v>
          </cell>
          <cell r="BF729" t="str">
            <v>N</v>
          </cell>
          <cell r="BG729">
            <v>60</v>
          </cell>
          <cell r="BH729">
            <v>37622</v>
          </cell>
          <cell r="BI729" t="str">
            <v>O</v>
          </cell>
        </row>
        <row r="730">
          <cell r="A730">
            <v>68702</v>
          </cell>
          <cell r="B730">
            <v>421</v>
          </cell>
          <cell r="C730" t="str">
            <v>C4401</v>
          </cell>
          <cell r="D730" t="str">
            <v>ABDANE</v>
          </cell>
          <cell r="E730" t="str">
            <v>MOHAMED</v>
          </cell>
          <cell r="F730">
            <v>19175</v>
          </cell>
          <cell r="G730" t="str">
            <v>1</v>
          </cell>
          <cell r="H730" t="str">
            <v>KHOURIBGA</v>
          </cell>
          <cell r="I730" t="str">
            <v>D</v>
          </cell>
          <cell r="J730">
            <v>27996</v>
          </cell>
          <cell r="K730">
            <v>28946</v>
          </cell>
          <cell r="L730" t="str">
            <v>22</v>
          </cell>
          <cell r="M730" t="str">
            <v>B</v>
          </cell>
          <cell r="N730">
            <v>35612</v>
          </cell>
          <cell r="P730">
            <v>26</v>
          </cell>
          <cell r="Q730" t="str">
            <v>O</v>
          </cell>
          <cell r="R730" t="str">
            <v>N</v>
          </cell>
          <cell r="S730">
            <v>0</v>
          </cell>
          <cell r="T730" t="str">
            <v>M</v>
          </cell>
          <cell r="U730" t="str">
            <v>SHAITIT EZ-ZOHRA</v>
          </cell>
          <cell r="X730">
            <v>4</v>
          </cell>
          <cell r="Y730">
            <v>4</v>
          </cell>
          <cell r="AB730" t="str">
            <v>X</v>
          </cell>
          <cell r="AC730" t="str">
            <v>X</v>
          </cell>
          <cell r="AD730" t="str">
            <v>X</v>
          </cell>
          <cell r="AH730" t="str">
            <v>N</v>
          </cell>
          <cell r="AI730" t="str">
            <v>N</v>
          </cell>
          <cell r="AK730" t="str">
            <v>1333 VILLAGE OCP SBATA HATTANE</v>
          </cell>
          <cell r="AL730" t="str">
            <v>2AS</v>
          </cell>
          <cell r="AP730" t="str">
            <v>Q 130521</v>
          </cell>
          <cell r="AQ730">
            <v>0</v>
          </cell>
          <cell r="AR730" t="str">
            <v>C</v>
          </cell>
          <cell r="AU730" t="str">
            <v>/  /</v>
          </cell>
          <cell r="AW730">
            <v>37622</v>
          </cell>
          <cell r="AY730" t="str">
            <v>XX</v>
          </cell>
          <cell r="BA730" t="str">
            <v>0</v>
          </cell>
          <cell r="BB730">
            <v>1</v>
          </cell>
          <cell r="BD730">
            <v>0</v>
          </cell>
          <cell r="BE730" t="str">
            <v>M</v>
          </cell>
          <cell r="BF730" t="str">
            <v>N</v>
          </cell>
          <cell r="BG730">
            <v>11</v>
          </cell>
          <cell r="BH730">
            <v>37622</v>
          </cell>
        </row>
        <row r="731">
          <cell r="A731">
            <v>68715</v>
          </cell>
          <cell r="B731">
            <v>421</v>
          </cell>
          <cell r="C731" t="str">
            <v>C5152</v>
          </cell>
          <cell r="D731" t="str">
            <v>BAMA</v>
          </cell>
          <cell r="E731" t="str">
            <v>ABDEL-ILLAH</v>
          </cell>
          <cell r="F731">
            <v>20043</v>
          </cell>
          <cell r="H731" t="str">
            <v>SALE</v>
          </cell>
          <cell r="I731" t="str">
            <v>D</v>
          </cell>
          <cell r="J731">
            <v>29368</v>
          </cell>
          <cell r="K731">
            <v>35431</v>
          </cell>
          <cell r="L731" t="str">
            <v>31</v>
          </cell>
          <cell r="M731" t="str">
            <v>A</v>
          </cell>
          <cell r="N731">
            <v>35431</v>
          </cell>
          <cell r="P731">
            <v>22</v>
          </cell>
          <cell r="Q731" t="str">
            <v>O</v>
          </cell>
          <cell r="R731" t="str">
            <v>N</v>
          </cell>
          <cell r="S731">
            <v>0</v>
          </cell>
          <cell r="T731" t="str">
            <v>M</v>
          </cell>
          <cell r="U731" t="str">
            <v>SAMIR MINA BENT MOHAMED</v>
          </cell>
          <cell r="X731">
            <v>4</v>
          </cell>
          <cell r="Y731">
            <v>4</v>
          </cell>
          <cell r="AB731" t="str">
            <v>X</v>
          </cell>
          <cell r="AC731" t="str">
            <v>X</v>
          </cell>
          <cell r="AD731" t="str">
            <v>X</v>
          </cell>
          <cell r="AH731" t="str">
            <v>N</v>
          </cell>
          <cell r="AI731" t="str">
            <v>N</v>
          </cell>
          <cell r="AK731" t="str">
            <v>698 VILLAGE OCP - BOUJNIBA</v>
          </cell>
          <cell r="AL731" t="str">
            <v>CM2</v>
          </cell>
          <cell r="AP731" t="str">
            <v>A 54142</v>
          </cell>
          <cell r="AQ731">
            <v>0</v>
          </cell>
          <cell r="AR731" t="str">
            <v>B</v>
          </cell>
          <cell r="AS731" t="str">
            <v>POPULAIRE  KHGA</v>
          </cell>
          <cell r="AT731" t="str">
            <v>2111113124870000</v>
          </cell>
          <cell r="AU731" t="str">
            <v>/  /</v>
          </cell>
          <cell r="AW731">
            <v>38718</v>
          </cell>
          <cell r="AY731" t="str">
            <v>XX</v>
          </cell>
          <cell r="AZ731" t="str">
            <v>M</v>
          </cell>
          <cell r="BA731" t="str">
            <v>1</v>
          </cell>
          <cell r="BB731">
            <v>1</v>
          </cell>
          <cell r="BD731">
            <v>0</v>
          </cell>
          <cell r="BE731" t="str">
            <v>M</v>
          </cell>
          <cell r="BF731" t="str">
            <v>N</v>
          </cell>
          <cell r="BG731">
            <v>51</v>
          </cell>
          <cell r="BH731">
            <v>39083</v>
          </cell>
        </row>
        <row r="732">
          <cell r="A732">
            <v>68717</v>
          </cell>
          <cell r="B732">
            <v>468</v>
          </cell>
          <cell r="C732" t="str">
            <v>C5152</v>
          </cell>
          <cell r="D732" t="str">
            <v>FETTACHE</v>
          </cell>
          <cell r="E732" t="str">
            <v>SALAH</v>
          </cell>
          <cell r="F732">
            <v>18444</v>
          </cell>
          <cell r="G732" t="str">
            <v>1</v>
          </cell>
          <cell r="H732" t="str">
            <v>OULED BHAR KBAR KHOURIBGA</v>
          </cell>
          <cell r="I732" t="str">
            <v>D</v>
          </cell>
          <cell r="J732">
            <v>28021</v>
          </cell>
          <cell r="K732">
            <v>37073</v>
          </cell>
          <cell r="L732" t="str">
            <v>31</v>
          </cell>
          <cell r="M732" t="str">
            <v>A</v>
          </cell>
          <cell r="N732">
            <v>37073</v>
          </cell>
          <cell r="O732">
            <v>0</v>
          </cell>
          <cell r="P732">
            <v>26</v>
          </cell>
          <cell r="Q732" t="str">
            <v>O</v>
          </cell>
          <cell r="R732" t="str">
            <v>N</v>
          </cell>
          <cell r="S732">
            <v>0</v>
          </cell>
          <cell r="T732" t="str">
            <v>M</v>
          </cell>
          <cell r="U732" t="str">
            <v>BAATTI HNYA BENT ABDELAZIZ</v>
          </cell>
          <cell r="X732">
            <v>5</v>
          </cell>
          <cell r="Y732">
            <v>3</v>
          </cell>
          <cell r="AB732" t="str">
            <v>X</v>
          </cell>
          <cell r="AC732" t="str">
            <v>X</v>
          </cell>
          <cell r="AD732" t="str">
            <v>X</v>
          </cell>
          <cell r="AH732" t="str">
            <v>N</v>
          </cell>
          <cell r="AI732" t="str">
            <v>N</v>
          </cell>
          <cell r="AK732" t="str">
            <v>440 VILLAGE OCP BOUJNIBA</v>
          </cell>
          <cell r="AL732" t="str">
            <v>3AS</v>
          </cell>
          <cell r="AP732" t="str">
            <v>Q 9820</v>
          </cell>
          <cell r="AQ732">
            <v>0</v>
          </cell>
          <cell r="AR732" t="str">
            <v>B</v>
          </cell>
          <cell r="AS732" t="str">
            <v>CREDIT DU MAROC KHGA</v>
          </cell>
          <cell r="AT732" t="str">
            <v>0000082001091673</v>
          </cell>
          <cell r="AU732" t="str">
            <v>/  /</v>
          </cell>
          <cell r="AW732">
            <v>38551</v>
          </cell>
          <cell r="AX732">
            <v>38551</v>
          </cell>
          <cell r="AY732" t="str">
            <v>XX</v>
          </cell>
          <cell r="AZ732" t="str">
            <v>M</v>
          </cell>
          <cell r="BA732" t="str">
            <v>6</v>
          </cell>
          <cell r="BB732">
            <v>1</v>
          </cell>
          <cell r="BD732">
            <v>0</v>
          </cell>
          <cell r="BE732" t="str">
            <v>M</v>
          </cell>
          <cell r="BF732" t="str">
            <v>N</v>
          </cell>
          <cell r="BG732">
            <v>51</v>
          </cell>
          <cell r="BH732">
            <v>37803</v>
          </cell>
        </row>
        <row r="733">
          <cell r="A733">
            <v>68718</v>
          </cell>
          <cell r="B733">
            <v>461</v>
          </cell>
          <cell r="C733" t="str">
            <v>C4152</v>
          </cell>
          <cell r="D733" t="str">
            <v>ATQAOUI</v>
          </cell>
          <cell r="E733" t="str">
            <v>EL MOULOUDI</v>
          </cell>
          <cell r="F733">
            <v>18809</v>
          </cell>
          <cell r="G733" t="str">
            <v>1</v>
          </cell>
          <cell r="H733" t="str">
            <v>OULED BHAR KBAR KHOURIBGA</v>
          </cell>
          <cell r="I733" t="str">
            <v>D</v>
          </cell>
          <cell r="J733">
            <v>28034</v>
          </cell>
          <cell r="K733">
            <v>33573</v>
          </cell>
          <cell r="L733" t="str">
            <v>22</v>
          </cell>
          <cell r="M733" t="str">
            <v>A</v>
          </cell>
          <cell r="N733">
            <v>33573</v>
          </cell>
          <cell r="P733">
            <v>26</v>
          </cell>
          <cell r="Q733" t="str">
            <v>O</v>
          </cell>
          <cell r="R733" t="str">
            <v>N</v>
          </cell>
          <cell r="S733">
            <v>0</v>
          </cell>
          <cell r="T733" t="str">
            <v>M</v>
          </cell>
          <cell r="U733" t="str">
            <v>SEMSILI FATIMA</v>
          </cell>
          <cell r="X733">
            <v>4</v>
          </cell>
          <cell r="Y733">
            <v>3</v>
          </cell>
          <cell r="AB733" t="str">
            <v>X</v>
          </cell>
          <cell r="AC733" t="str">
            <v>X</v>
          </cell>
          <cell r="AD733" t="str">
            <v>X</v>
          </cell>
          <cell r="AH733" t="str">
            <v>N</v>
          </cell>
          <cell r="AI733" t="str">
            <v>N</v>
          </cell>
          <cell r="AK733" t="str">
            <v>220 BLOC F HAY EL KARAM NAHDA KHGA</v>
          </cell>
          <cell r="AL733" t="str">
            <v>CM2</v>
          </cell>
          <cell r="AP733" t="str">
            <v>Q 15215</v>
          </cell>
          <cell r="AQ733">
            <v>0</v>
          </cell>
          <cell r="AR733" t="str">
            <v>B</v>
          </cell>
          <cell r="AS733" t="str">
            <v>C.I.H . KHGA</v>
          </cell>
          <cell r="AT733" t="str">
            <v>7286487 2130 04700</v>
          </cell>
          <cell r="AU733" t="str">
            <v>28/11/11</v>
          </cell>
          <cell r="AW733">
            <v>38551</v>
          </cell>
          <cell r="AX733">
            <v>38551</v>
          </cell>
          <cell r="AY733" t="str">
            <v>XX</v>
          </cell>
          <cell r="BA733" t="str">
            <v>1</v>
          </cell>
          <cell r="BB733">
            <v>1</v>
          </cell>
          <cell r="BD733">
            <v>0</v>
          </cell>
          <cell r="BE733" t="str">
            <v>M</v>
          </cell>
          <cell r="BF733" t="str">
            <v>N</v>
          </cell>
          <cell r="BG733">
            <v>5</v>
          </cell>
          <cell r="BH733">
            <v>37803</v>
          </cell>
        </row>
        <row r="734">
          <cell r="A734">
            <v>68756</v>
          </cell>
          <cell r="B734">
            <v>416</v>
          </cell>
          <cell r="C734" t="str">
            <v>C6050</v>
          </cell>
          <cell r="D734" t="str">
            <v>EL MARZAOUI</v>
          </cell>
          <cell r="E734" t="str">
            <v>EL HOUSSINE</v>
          </cell>
          <cell r="F734">
            <v>20866</v>
          </cell>
          <cell r="G734" t="str">
            <v>1</v>
          </cell>
          <cell r="H734" t="str">
            <v>OULED BHAR SGHAR KHOURIBGA</v>
          </cell>
          <cell r="I734" t="str">
            <v>D</v>
          </cell>
          <cell r="J734">
            <v>28075</v>
          </cell>
          <cell r="K734">
            <v>36526</v>
          </cell>
          <cell r="L734" t="str">
            <v>32</v>
          </cell>
          <cell r="M734" t="str">
            <v>A</v>
          </cell>
          <cell r="N734">
            <v>36526</v>
          </cell>
          <cell r="P734">
            <v>26</v>
          </cell>
          <cell r="Q734" t="str">
            <v>O</v>
          </cell>
          <cell r="R734" t="str">
            <v>N</v>
          </cell>
          <cell r="S734">
            <v>0</v>
          </cell>
          <cell r="T734" t="str">
            <v>M</v>
          </cell>
          <cell r="U734" t="str">
            <v>MERROUCHI MINA BENT MOHAMED</v>
          </cell>
          <cell r="X734">
            <v>6</v>
          </cell>
          <cell r="Y734">
            <v>5</v>
          </cell>
          <cell r="AB734" t="str">
            <v>X</v>
          </cell>
          <cell r="AC734" t="str">
            <v>X</v>
          </cell>
          <cell r="AD734" t="str">
            <v>X</v>
          </cell>
          <cell r="AH734" t="str">
            <v>N</v>
          </cell>
          <cell r="AI734" t="str">
            <v>N</v>
          </cell>
          <cell r="AK734" t="str">
            <v>19, OUED IKEM PEPINIERE OCP - KHGA</v>
          </cell>
          <cell r="AL734" t="str">
            <v>4AS</v>
          </cell>
          <cell r="AM734" t="str">
            <v>CFO.</v>
          </cell>
          <cell r="AP734" t="str">
            <v>Q 27643</v>
          </cell>
          <cell r="AQ734">
            <v>0</v>
          </cell>
          <cell r="AR734" t="str">
            <v>B</v>
          </cell>
          <cell r="AS734" t="str">
            <v>BMCE.KHGA</v>
          </cell>
          <cell r="AT734" t="str">
            <v>40001200000687884</v>
          </cell>
          <cell r="AU734" t="str">
            <v>/  /</v>
          </cell>
          <cell r="AW734">
            <v>39264</v>
          </cell>
          <cell r="AY734" t="str">
            <v>XX</v>
          </cell>
          <cell r="BA734" t="str">
            <v>2</v>
          </cell>
          <cell r="BB734">
            <v>1</v>
          </cell>
          <cell r="BD734">
            <v>0</v>
          </cell>
          <cell r="BE734" t="str">
            <v>M</v>
          </cell>
          <cell r="BF734" t="str">
            <v>N</v>
          </cell>
          <cell r="BG734">
            <v>1</v>
          </cell>
          <cell r="BH734">
            <v>39264</v>
          </cell>
        </row>
        <row r="735">
          <cell r="A735">
            <v>68760</v>
          </cell>
          <cell r="B735">
            <v>409</v>
          </cell>
          <cell r="C735" t="str">
            <v>C3001</v>
          </cell>
          <cell r="D735" t="str">
            <v>YASSINI</v>
          </cell>
          <cell r="E735" t="str">
            <v>MOULAY AHMED</v>
          </cell>
          <cell r="F735">
            <v>19540</v>
          </cell>
          <cell r="G735" t="str">
            <v>1</v>
          </cell>
          <cell r="H735" t="str">
            <v>KHOURIBGA</v>
          </cell>
          <cell r="I735" t="str">
            <v>D</v>
          </cell>
          <cell r="J735">
            <v>28079</v>
          </cell>
          <cell r="K735">
            <v>36861</v>
          </cell>
          <cell r="L735" t="str">
            <v>21</v>
          </cell>
          <cell r="M735" t="str">
            <v>B</v>
          </cell>
          <cell r="N735">
            <v>36861</v>
          </cell>
          <cell r="P735">
            <v>26</v>
          </cell>
          <cell r="Q735" t="str">
            <v>O</v>
          </cell>
          <cell r="R735" t="str">
            <v>N</v>
          </cell>
          <cell r="S735">
            <v>0</v>
          </cell>
          <cell r="T735" t="str">
            <v>M</v>
          </cell>
          <cell r="U735" t="str">
            <v>HACHIMI RHITA BENT M'BAREK</v>
          </cell>
          <cell r="X735">
            <v>5</v>
          </cell>
          <cell r="Y735">
            <v>4</v>
          </cell>
          <cell r="AB735" t="str">
            <v>X</v>
          </cell>
          <cell r="AC735" t="str">
            <v>X</v>
          </cell>
          <cell r="AD735" t="str">
            <v>X</v>
          </cell>
          <cell r="AH735" t="str">
            <v>N</v>
          </cell>
          <cell r="AI735" t="str">
            <v>N</v>
          </cell>
          <cell r="AK735" t="str">
            <v>377 VILLAGE OCP BOUJNIBA</v>
          </cell>
          <cell r="AL735" t="str">
            <v>3AS</v>
          </cell>
          <cell r="AN735" t="str">
            <v>57═06═95</v>
          </cell>
          <cell r="AP735" t="str">
            <v>Q 84451</v>
          </cell>
          <cell r="AQ735">
            <v>0</v>
          </cell>
          <cell r="AR735" t="str">
            <v>C</v>
          </cell>
          <cell r="AU735" t="str">
            <v>/  /</v>
          </cell>
          <cell r="AW735">
            <v>37803</v>
          </cell>
          <cell r="AY735" t="str">
            <v>XX</v>
          </cell>
          <cell r="BA735" t="str">
            <v>2</v>
          </cell>
          <cell r="BB735">
            <v>1</v>
          </cell>
          <cell r="BD735">
            <v>0</v>
          </cell>
          <cell r="BE735" t="str">
            <v>M</v>
          </cell>
          <cell r="BF735" t="str">
            <v>N</v>
          </cell>
          <cell r="BG735">
            <v>50</v>
          </cell>
          <cell r="BH735">
            <v>37803</v>
          </cell>
        </row>
        <row r="736">
          <cell r="A736">
            <v>68764</v>
          </cell>
          <cell r="B736">
            <v>461</v>
          </cell>
          <cell r="C736" t="str">
            <v>C3152</v>
          </cell>
          <cell r="D736" t="str">
            <v>ZAROQ</v>
          </cell>
          <cell r="E736" t="str">
            <v>EL MOSTAFA</v>
          </cell>
          <cell r="F736">
            <v>19880</v>
          </cell>
          <cell r="G736" t="str">
            <v>1</v>
          </cell>
          <cell r="H736" t="str">
            <v>KHOURIBGA</v>
          </cell>
          <cell r="I736" t="str">
            <v>D</v>
          </cell>
          <cell r="J736">
            <v>30487</v>
          </cell>
          <cell r="K736">
            <v>37012</v>
          </cell>
          <cell r="L736" t="str">
            <v>21</v>
          </cell>
          <cell r="M736" t="str">
            <v>A</v>
          </cell>
          <cell r="N736">
            <v>37012</v>
          </cell>
          <cell r="P736">
            <v>19</v>
          </cell>
          <cell r="Q736" t="str">
            <v>O</v>
          </cell>
          <cell r="R736" t="str">
            <v>N</v>
          </cell>
          <cell r="S736">
            <v>0</v>
          </cell>
          <cell r="T736" t="str">
            <v>M</v>
          </cell>
          <cell r="U736" t="str">
            <v>RABHA BENT ABDELLAH</v>
          </cell>
          <cell r="X736">
            <v>5</v>
          </cell>
          <cell r="Y736">
            <v>3</v>
          </cell>
          <cell r="AB736" t="str">
            <v>X</v>
          </cell>
          <cell r="AC736" t="str">
            <v>X</v>
          </cell>
          <cell r="AD736" t="str">
            <v>X</v>
          </cell>
          <cell r="AH736" t="str">
            <v>N</v>
          </cell>
          <cell r="AI736" t="str">
            <v>N</v>
          </cell>
          <cell r="AK736" t="str">
            <v>596 NELLE CONSTRUCTION BOUJNIBA</v>
          </cell>
          <cell r="AL736" t="str">
            <v>3AS</v>
          </cell>
          <cell r="AP736" t="str">
            <v>Q 94683</v>
          </cell>
          <cell r="AQ736">
            <v>0</v>
          </cell>
          <cell r="AR736" t="str">
            <v>B</v>
          </cell>
          <cell r="AS736" t="str">
            <v>WAFABANK - KHGA</v>
          </cell>
          <cell r="AT736" t="str">
            <v>1220301273601</v>
          </cell>
          <cell r="AU736" t="str">
            <v>/  /</v>
          </cell>
          <cell r="AW736">
            <v>39995</v>
          </cell>
          <cell r="AY736" t="str">
            <v>XX</v>
          </cell>
          <cell r="AZ736" t="str">
            <v>K</v>
          </cell>
          <cell r="BA736" t="str">
            <v>6</v>
          </cell>
          <cell r="BB736">
            <v>1</v>
          </cell>
          <cell r="BD736">
            <v>0</v>
          </cell>
          <cell r="BE736" t="str">
            <v>M</v>
          </cell>
          <cell r="BF736" t="str">
            <v>N</v>
          </cell>
          <cell r="BG736">
            <v>51</v>
          </cell>
          <cell r="BH736">
            <v>39995</v>
          </cell>
        </row>
        <row r="737">
          <cell r="A737">
            <v>68767</v>
          </cell>
          <cell r="B737">
            <v>405</v>
          </cell>
          <cell r="C737" t="str">
            <v>C6300</v>
          </cell>
          <cell r="D737" t="str">
            <v>SOUDASSI</v>
          </cell>
          <cell r="E737" t="str">
            <v>EL RHEZOUANI</v>
          </cell>
          <cell r="F737">
            <v>20270</v>
          </cell>
          <cell r="G737" t="str">
            <v>1</v>
          </cell>
          <cell r="H737" t="str">
            <v>OULED ABDOUNE</v>
          </cell>
          <cell r="I737" t="str">
            <v>D</v>
          </cell>
          <cell r="J737">
            <v>28087</v>
          </cell>
          <cell r="K737">
            <v>36526</v>
          </cell>
          <cell r="L737" t="str">
            <v>32</v>
          </cell>
          <cell r="M737" t="str">
            <v>A</v>
          </cell>
          <cell r="N737">
            <v>36526</v>
          </cell>
          <cell r="P737">
            <v>26</v>
          </cell>
          <cell r="Q737" t="str">
            <v>O</v>
          </cell>
          <cell r="R737" t="str">
            <v>N</v>
          </cell>
          <cell r="S737">
            <v>0</v>
          </cell>
          <cell r="T737" t="str">
            <v>M</v>
          </cell>
          <cell r="U737" t="str">
            <v>ASKARI RAHMA</v>
          </cell>
          <cell r="X737">
            <v>6</v>
          </cell>
          <cell r="Y737">
            <v>4</v>
          </cell>
          <cell r="AB737" t="str">
            <v>X</v>
          </cell>
          <cell r="AC737" t="str">
            <v>X</v>
          </cell>
          <cell r="AD737" t="str">
            <v>X</v>
          </cell>
          <cell r="AH737" t="str">
            <v>N</v>
          </cell>
          <cell r="AI737" t="str">
            <v>N</v>
          </cell>
          <cell r="AK737" t="str">
            <v>1598 HAY EL AMAL - KHGA</v>
          </cell>
          <cell r="AL737" t="str">
            <v>3AS</v>
          </cell>
          <cell r="AN737" t="str">
            <v>56═06═20</v>
          </cell>
          <cell r="AP737" t="str">
            <v>Q 4655</v>
          </cell>
          <cell r="AQ737">
            <v>0</v>
          </cell>
          <cell r="AR737" t="str">
            <v>B</v>
          </cell>
          <cell r="AS737" t="str">
            <v>POPULAIRE  KHGA</v>
          </cell>
          <cell r="AT737" t="str">
            <v>2111112842590007</v>
          </cell>
          <cell r="AU737" t="str">
            <v>/  /</v>
          </cell>
          <cell r="AW737">
            <v>38534</v>
          </cell>
          <cell r="AY737" t="str">
            <v>O+</v>
          </cell>
          <cell r="BA737" t="str">
            <v>2</v>
          </cell>
          <cell r="BB737">
            <v>1</v>
          </cell>
          <cell r="BD737">
            <v>0</v>
          </cell>
          <cell r="BE737" t="str">
            <v>M</v>
          </cell>
          <cell r="BF737" t="str">
            <v>N</v>
          </cell>
          <cell r="BG737">
            <v>1</v>
          </cell>
          <cell r="BH737">
            <v>38534</v>
          </cell>
          <cell r="BI737" t="str">
            <v>O</v>
          </cell>
        </row>
        <row r="738">
          <cell r="A738">
            <v>68772</v>
          </cell>
          <cell r="B738">
            <v>421</v>
          </cell>
          <cell r="C738" t="str">
            <v>C4401</v>
          </cell>
          <cell r="D738" t="str">
            <v>SELLAK</v>
          </cell>
          <cell r="E738" t="str">
            <v>MUSTAPHA</v>
          </cell>
          <cell r="F738">
            <v>19819</v>
          </cell>
          <cell r="G738" t="str">
            <v>5</v>
          </cell>
          <cell r="H738" t="str">
            <v>BENI BTAOU - BOUJAAD</v>
          </cell>
          <cell r="I738" t="str">
            <v>D</v>
          </cell>
          <cell r="J738">
            <v>28100</v>
          </cell>
          <cell r="K738">
            <v>28946</v>
          </cell>
          <cell r="L738" t="str">
            <v>22</v>
          </cell>
          <cell r="M738" t="str">
            <v>B</v>
          </cell>
          <cell r="N738">
            <v>35612</v>
          </cell>
          <cell r="P738">
            <v>26</v>
          </cell>
          <cell r="Q738" t="str">
            <v>O</v>
          </cell>
          <cell r="R738" t="str">
            <v>N</v>
          </cell>
          <cell r="S738">
            <v>0</v>
          </cell>
          <cell r="T738" t="str">
            <v>M</v>
          </cell>
          <cell r="U738" t="str">
            <v>NAIMA BENT TALEB</v>
          </cell>
          <cell r="X738">
            <v>6</v>
          </cell>
          <cell r="Y738">
            <v>5</v>
          </cell>
          <cell r="AB738" t="str">
            <v>X</v>
          </cell>
          <cell r="AC738" t="str">
            <v>X</v>
          </cell>
          <cell r="AD738" t="str">
            <v>X</v>
          </cell>
          <cell r="AH738" t="str">
            <v>N</v>
          </cell>
          <cell r="AI738" t="str">
            <v>N</v>
          </cell>
          <cell r="AK738" t="str">
            <v>1144 VILLAGE O.C.P - HATTANE</v>
          </cell>
          <cell r="AL738" t="str">
            <v>2AS</v>
          </cell>
          <cell r="AP738" t="str">
            <v>I 42347</v>
          </cell>
          <cell r="AQ738">
            <v>0</v>
          </cell>
          <cell r="AR738" t="str">
            <v>B</v>
          </cell>
          <cell r="AS738" t="str">
            <v>POPULAIRE.KHGA</v>
          </cell>
          <cell r="AT738" t="str">
            <v>2111136313190005</v>
          </cell>
          <cell r="AU738" t="str">
            <v>/  /</v>
          </cell>
          <cell r="AW738">
            <v>38169</v>
          </cell>
          <cell r="AY738" t="str">
            <v>B+</v>
          </cell>
          <cell r="BA738" t="str">
            <v>0</v>
          </cell>
          <cell r="BB738">
            <v>1</v>
          </cell>
          <cell r="BD738">
            <v>0</v>
          </cell>
          <cell r="BE738" t="str">
            <v>M</v>
          </cell>
          <cell r="BF738" t="str">
            <v>N</v>
          </cell>
          <cell r="BG738">
            <v>11</v>
          </cell>
          <cell r="BH738">
            <v>38169</v>
          </cell>
        </row>
        <row r="739">
          <cell r="A739">
            <v>68773</v>
          </cell>
          <cell r="B739">
            <v>421</v>
          </cell>
          <cell r="C739" t="str">
            <v>C4152</v>
          </cell>
          <cell r="D739" t="str">
            <v>EL ASSANI</v>
          </cell>
          <cell r="E739" t="str">
            <v>EL ARBI</v>
          </cell>
          <cell r="F739">
            <v>19537</v>
          </cell>
          <cell r="G739" t="str">
            <v>6</v>
          </cell>
          <cell r="H739" t="str">
            <v>OULED AZZOUZ - KHOURIBGA</v>
          </cell>
          <cell r="I739" t="str">
            <v>D</v>
          </cell>
          <cell r="J739">
            <v>28100</v>
          </cell>
          <cell r="K739">
            <v>35065</v>
          </cell>
          <cell r="L739" t="str">
            <v>22</v>
          </cell>
          <cell r="M739" t="str">
            <v>A</v>
          </cell>
          <cell r="N739">
            <v>35065</v>
          </cell>
          <cell r="P739">
            <v>26</v>
          </cell>
          <cell r="Q739" t="str">
            <v>O</v>
          </cell>
          <cell r="R739" t="str">
            <v>N</v>
          </cell>
          <cell r="S739">
            <v>0</v>
          </cell>
          <cell r="T739" t="str">
            <v>M</v>
          </cell>
          <cell r="U739" t="str">
            <v>ANKOUD SAADIA BENT AHMED</v>
          </cell>
          <cell r="X739">
            <v>5</v>
          </cell>
          <cell r="Y739">
            <v>3</v>
          </cell>
          <cell r="AB739" t="str">
            <v>X</v>
          </cell>
          <cell r="AC739" t="str">
            <v>X</v>
          </cell>
          <cell r="AD739" t="str">
            <v>X</v>
          </cell>
          <cell r="AH739" t="str">
            <v>N</v>
          </cell>
          <cell r="AI739" t="str">
            <v>N</v>
          </cell>
          <cell r="AK739" t="str">
            <v>1324 BLOC 12 HAY EL QODS - KHOURIBGA</v>
          </cell>
          <cell r="AL739" t="str">
            <v>1AS</v>
          </cell>
          <cell r="AP739" t="str">
            <v>Q 17349</v>
          </cell>
          <cell r="AQ739">
            <v>0</v>
          </cell>
          <cell r="AR739" t="str">
            <v>B</v>
          </cell>
          <cell r="AS739" t="str">
            <v>POPULAIRE  KHGA</v>
          </cell>
          <cell r="AT739" t="str">
            <v>2111112867320009</v>
          </cell>
          <cell r="AU739" t="str">
            <v>/  /</v>
          </cell>
          <cell r="AW739">
            <v>38882</v>
          </cell>
          <cell r="AX739">
            <v>38882</v>
          </cell>
          <cell r="AY739" t="str">
            <v>XX</v>
          </cell>
          <cell r="BA739" t="str">
            <v>6</v>
          </cell>
          <cell r="BB739">
            <v>1</v>
          </cell>
          <cell r="BD739">
            <v>0</v>
          </cell>
          <cell r="BE739" t="str">
            <v>M</v>
          </cell>
          <cell r="BF739" t="str">
            <v>N</v>
          </cell>
          <cell r="BG739">
            <v>4</v>
          </cell>
          <cell r="BH739">
            <v>37803</v>
          </cell>
          <cell r="BI739" t="str">
            <v>O</v>
          </cell>
        </row>
        <row r="740">
          <cell r="A740">
            <v>68790</v>
          </cell>
          <cell r="B740">
            <v>406</v>
          </cell>
          <cell r="C740" t="str">
            <v>C4102</v>
          </cell>
          <cell r="D740" t="str">
            <v>HORAICHI</v>
          </cell>
          <cell r="E740" t="str">
            <v>MOHAMED</v>
          </cell>
          <cell r="F740">
            <v>18079</v>
          </cell>
          <cell r="G740" t="str">
            <v>1</v>
          </cell>
          <cell r="H740" t="str">
            <v>OULED ABDOUNE</v>
          </cell>
          <cell r="I740" t="str">
            <v>D</v>
          </cell>
          <cell r="J740">
            <v>28103</v>
          </cell>
          <cell r="K740">
            <v>28946</v>
          </cell>
          <cell r="L740" t="str">
            <v>22</v>
          </cell>
          <cell r="M740" t="str">
            <v>D</v>
          </cell>
          <cell r="N740">
            <v>35612</v>
          </cell>
          <cell r="O740">
            <v>0</v>
          </cell>
          <cell r="P740">
            <v>26</v>
          </cell>
          <cell r="Q740" t="str">
            <v>N</v>
          </cell>
          <cell r="R740" t="str">
            <v>O</v>
          </cell>
          <cell r="S740">
            <v>3</v>
          </cell>
          <cell r="T740" t="str">
            <v>M</v>
          </cell>
          <cell r="U740" t="str">
            <v>KHADDOUJ BT EL HAJ B.BOUCHAIB</v>
          </cell>
          <cell r="X740">
            <v>8</v>
          </cell>
          <cell r="Y740">
            <v>3</v>
          </cell>
          <cell r="AB740" t="str">
            <v>X</v>
          </cell>
          <cell r="AC740" t="str">
            <v>X</v>
          </cell>
          <cell r="AD740" t="str">
            <v>X</v>
          </cell>
          <cell r="AH740" t="str">
            <v>N</v>
          </cell>
          <cell r="AI740" t="str">
            <v>N</v>
          </cell>
          <cell r="AK740" t="str">
            <v>DOUAR OULED MESSOUD OULED ABDOUNE KHGA</v>
          </cell>
          <cell r="AL740" t="str">
            <v>CM2</v>
          </cell>
          <cell r="AP740" t="str">
            <v>Q 37614</v>
          </cell>
          <cell r="AQ740">
            <v>0</v>
          </cell>
          <cell r="AR740" t="str">
            <v>B</v>
          </cell>
          <cell r="AS740" t="str">
            <v>POPULAIRE.KHGA</v>
          </cell>
          <cell r="AT740" t="str">
            <v>2111112881020007</v>
          </cell>
          <cell r="AU740" t="str">
            <v>/  /</v>
          </cell>
          <cell r="AW740">
            <v>37803</v>
          </cell>
          <cell r="AY740" t="str">
            <v>XX</v>
          </cell>
          <cell r="BA740" t="str">
            <v>1</v>
          </cell>
          <cell r="BB740">
            <v>1</v>
          </cell>
          <cell r="BD740">
            <v>0</v>
          </cell>
          <cell r="BE740" t="str">
            <v>M</v>
          </cell>
          <cell r="BF740" t="str">
            <v>N</v>
          </cell>
          <cell r="BG740">
            <v>0</v>
          </cell>
          <cell r="BH740">
            <v>37803</v>
          </cell>
          <cell r="BI740" t="str">
            <v>O</v>
          </cell>
        </row>
        <row r="741">
          <cell r="A741">
            <v>68827</v>
          </cell>
          <cell r="B741">
            <v>428</v>
          </cell>
          <cell r="C741" t="str">
            <v>C4405</v>
          </cell>
          <cell r="D741" t="str">
            <v>ARKAM</v>
          </cell>
          <cell r="E741" t="str">
            <v>ECHCHAFI</v>
          </cell>
          <cell r="F741">
            <v>19540</v>
          </cell>
          <cell r="G741" t="str">
            <v>1</v>
          </cell>
          <cell r="H741" t="str">
            <v>OULED ABDOUNE</v>
          </cell>
          <cell r="I741" t="str">
            <v>D</v>
          </cell>
          <cell r="J741">
            <v>28104</v>
          </cell>
          <cell r="K741">
            <v>30651</v>
          </cell>
          <cell r="L741" t="str">
            <v>22</v>
          </cell>
          <cell r="M741" t="str">
            <v>A</v>
          </cell>
          <cell r="N741">
            <v>30651</v>
          </cell>
          <cell r="P741">
            <v>26</v>
          </cell>
          <cell r="Q741" t="str">
            <v>O</v>
          </cell>
          <cell r="R741" t="str">
            <v>N</v>
          </cell>
          <cell r="S741">
            <v>0</v>
          </cell>
          <cell r="T741" t="str">
            <v>M</v>
          </cell>
          <cell r="U741" t="str">
            <v>ZOHRA BENT MOHAMED</v>
          </cell>
          <cell r="X741">
            <v>0</v>
          </cell>
          <cell r="Y741">
            <v>0</v>
          </cell>
          <cell r="AB741" t="str">
            <v>X</v>
          </cell>
          <cell r="AC741" t="str">
            <v>X</v>
          </cell>
          <cell r="AD741" t="str">
            <v>X</v>
          </cell>
          <cell r="AH741" t="str">
            <v>N</v>
          </cell>
          <cell r="AI741" t="str">
            <v>N</v>
          </cell>
          <cell r="AK741" t="str">
            <v>260 VILLAGE O.C.P - BOUJNIBA</v>
          </cell>
          <cell r="AL741" t="str">
            <v>CM2</v>
          </cell>
          <cell r="AP741" t="str">
            <v>Q 55047</v>
          </cell>
          <cell r="AQ741">
            <v>0</v>
          </cell>
          <cell r="AR741" t="str">
            <v>C</v>
          </cell>
          <cell r="AS741" t="str">
            <v>POPULAIRE KHGA</v>
          </cell>
          <cell r="AT741" t="str">
            <v>211113631092000850</v>
          </cell>
          <cell r="AU741" t="str">
            <v>/  /</v>
          </cell>
          <cell r="AW741">
            <v>37803</v>
          </cell>
          <cell r="AY741" t="str">
            <v>O+</v>
          </cell>
          <cell r="BA741" t="str">
            <v>0</v>
          </cell>
          <cell r="BB741">
            <v>1</v>
          </cell>
          <cell r="BD741">
            <v>0</v>
          </cell>
          <cell r="BE741" t="str">
            <v>M</v>
          </cell>
          <cell r="BF741" t="str">
            <v>N</v>
          </cell>
          <cell r="BG741">
            <v>51</v>
          </cell>
          <cell r="BH741">
            <v>37803</v>
          </cell>
        </row>
        <row r="742">
          <cell r="A742">
            <v>68830</v>
          </cell>
          <cell r="B742">
            <v>403</v>
          </cell>
          <cell r="C742" t="str">
            <v>C5801</v>
          </cell>
          <cell r="D742" t="str">
            <v>HACHADI</v>
          </cell>
          <cell r="E742" t="str">
            <v>MOHAMED</v>
          </cell>
          <cell r="F742">
            <v>19175</v>
          </cell>
          <cell r="H742" t="str">
            <v>BENI OUJJINE - BENI MELLAL</v>
          </cell>
          <cell r="I742" t="str">
            <v>D</v>
          </cell>
          <cell r="J742">
            <v>28114</v>
          </cell>
          <cell r="K742">
            <v>31625</v>
          </cell>
          <cell r="L742" t="str">
            <v>31</v>
          </cell>
          <cell r="M742" t="str">
            <v>C</v>
          </cell>
          <cell r="N742">
            <v>35612</v>
          </cell>
          <cell r="P742">
            <v>26</v>
          </cell>
          <cell r="Q742" t="str">
            <v>O</v>
          </cell>
          <cell r="R742" t="str">
            <v>N</v>
          </cell>
          <cell r="S742">
            <v>0</v>
          </cell>
          <cell r="T742" t="str">
            <v>M</v>
          </cell>
          <cell r="U742" t="str">
            <v>SAADIA BENT MOHAMED EL KHALFIA</v>
          </cell>
          <cell r="X742">
            <v>6</v>
          </cell>
          <cell r="Y742">
            <v>5</v>
          </cell>
          <cell r="AB742" t="str">
            <v>X</v>
          </cell>
          <cell r="AC742" t="str">
            <v>X</v>
          </cell>
          <cell r="AD742" t="str">
            <v>X</v>
          </cell>
          <cell r="AH742" t="str">
            <v>N</v>
          </cell>
          <cell r="AI742" t="str">
            <v>N</v>
          </cell>
          <cell r="AK742" t="str">
            <v>436 NOUVEAUX LOGEMENTS SECHAGE KHGA</v>
          </cell>
          <cell r="AL742" t="str">
            <v>2AS</v>
          </cell>
          <cell r="AM742" t="str">
            <v>CFO</v>
          </cell>
          <cell r="AP742" t="str">
            <v>Q 63395</v>
          </cell>
          <cell r="AQ742">
            <v>0</v>
          </cell>
          <cell r="AR742" t="str">
            <v>B</v>
          </cell>
          <cell r="AS742" t="str">
            <v>BMCE.KHGA</v>
          </cell>
          <cell r="AT742" t="str">
            <v>40001200000346735</v>
          </cell>
          <cell r="AU742" t="str">
            <v>14/09/84</v>
          </cell>
          <cell r="AW742">
            <v>37803</v>
          </cell>
          <cell r="AY742" t="str">
            <v>O+</v>
          </cell>
          <cell r="BA742" t="str">
            <v>0</v>
          </cell>
          <cell r="BB742">
            <v>1</v>
          </cell>
          <cell r="BD742">
            <v>0</v>
          </cell>
          <cell r="BE742" t="str">
            <v>M</v>
          </cell>
          <cell r="BF742" t="str">
            <v>N</v>
          </cell>
          <cell r="BG742">
            <v>1</v>
          </cell>
          <cell r="BH742">
            <v>37803</v>
          </cell>
        </row>
        <row r="743">
          <cell r="A743">
            <v>68847</v>
          </cell>
          <cell r="B743">
            <v>418</v>
          </cell>
          <cell r="C743" t="str">
            <v>C5050</v>
          </cell>
          <cell r="D743" t="str">
            <v>LAKHOUAD</v>
          </cell>
          <cell r="E743" t="str">
            <v>ABDELLAH</v>
          </cell>
          <cell r="F743">
            <v>19175</v>
          </cell>
          <cell r="G743" t="str">
            <v>6</v>
          </cell>
          <cell r="H743" t="str">
            <v>M'FASSIS</v>
          </cell>
          <cell r="I743" t="str">
            <v>F</v>
          </cell>
          <cell r="J743">
            <v>28104</v>
          </cell>
          <cell r="K743">
            <v>29403</v>
          </cell>
          <cell r="L743" t="str">
            <v>31</v>
          </cell>
          <cell r="M743" t="str">
            <v>A</v>
          </cell>
          <cell r="N743">
            <v>29403</v>
          </cell>
          <cell r="P743">
            <v>26</v>
          </cell>
          <cell r="Q743" t="str">
            <v>O</v>
          </cell>
          <cell r="R743" t="str">
            <v>N</v>
          </cell>
          <cell r="S743">
            <v>0</v>
          </cell>
          <cell r="T743" t="str">
            <v>M</v>
          </cell>
          <cell r="U743" t="str">
            <v>BENNOUNI FATIMA BENT EL HADI</v>
          </cell>
          <cell r="X743">
            <v>3</v>
          </cell>
          <cell r="Y743">
            <v>1</v>
          </cell>
          <cell r="AB743" t="str">
            <v>X</v>
          </cell>
          <cell r="AC743" t="str">
            <v>X</v>
          </cell>
          <cell r="AD743" t="str">
            <v>X</v>
          </cell>
          <cell r="AH743" t="str">
            <v>N</v>
          </cell>
          <cell r="AI743" t="str">
            <v>N</v>
          </cell>
          <cell r="AK743" t="str">
            <v>95 NELLE EXTENSION SECHAGE KHGA</v>
          </cell>
          <cell r="AL743" t="str">
            <v>5AS</v>
          </cell>
          <cell r="AM743" t="str">
            <v>CFO.</v>
          </cell>
          <cell r="AP743" t="str">
            <v>Q 48038</v>
          </cell>
          <cell r="AQ743">
            <v>0</v>
          </cell>
          <cell r="AR743" t="str">
            <v>B</v>
          </cell>
          <cell r="AS743" t="str">
            <v>BMCE - KHOURIBGA</v>
          </cell>
          <cell r="AT743" t="str">
            <v>40001200000454793</v>
          </cell>
          <cell r="AU743" t="str">
            <v>/  /</v>
          </cell>
          <cell r="AW743">
            <v>38882</v>
          </cell>
          <cell r="AX743">
            <v>38882</v>
          </cell>
          <cell r="AY743" t="str">
            <v>XX</v>
          </cell>
          <cell r="AZ743" t="str">
            <v>R</v>
          </cell>
          <cell r="BA743" t="str">
            <v>2</v>
          </cell>
          <cell r="BB743">
            <v>1</v>
          </cell>
          <cell r="BD743">
            <v>0</v>
          </cell>
          <cell r="BE743" t="str">
            <v>M</v>
          </cell>
          <cell r="BF743" t="str">
            <v>N</v>
          </cell>
          <cell r="BG743">
            <v>1</v>
          </cell>
          <cell r="BH743">
            <v>37803</v>
          </cell>
        </row>
        <row r="744">
          <cell r="A744">
            <v>68929</v>
          </cell>
          <cell r="B744">
            <v>401</v>
          </cell>
          <cell r="C744" t="str">
            <v>C4200</v>
          </cell>
          <cell r="D744" t="str">
            <v>RHAIMI</v>
          </cell>
          <cell r="E744" t="str">
            <v>MOHAMMED</v>
          </cell>
          <cell r="F744">
            <v>20270</v>
          </cell>
          <cell r="G744" t="str">
            <v>1</v>
          </cell>
          <cell r="H744" t="str">
            <v>KHOURIBGA</v>
          </cell>
          <cell r="I744" t="str">
            <v>D</v>
          </cell>
          <cell r="J744">
            <v>29602</v>
          </cell>
          <cell r="K744">
            <v>36526</v>
          </cell>
          <cell r="L744" t="str">
            <v>22</v>
          </cell>
          <cell r="M744" t="str">
            <v>A</v>
          </cell>
          <cell r="N744">
            <v>36526</v>
          </cell>
          <cell r="O744">
            <v>0</v>
          </cell>
          <cell r="P744">
            <v>22</v>
          </cell>
          <cell r="Q744" t="str">
            <v>O</v>
          </cell>
          <cell r="R744" t="str">
            <v>N</v>
          </cell>
          <cell r="S744">
            <v>0</v>
          </cell>
          <cell r="T744" t="str">
            <v>M</v>
          </cell>
          <cell r="U744" t="str">
            <v>WAHIB ZOHRA BENT LAHCEN</v>
          </cell>
          <cell r="X744">
            <v>1</v>
          </cell>
          <cell r="Y744">
            <v>1</v>
          </cell>
          <cell r="AB744" t="str">
            <v>N</v>
          </cell>
          <cell r="AC744" t="str">
            <v>X</v>
          </cell>
          <cell r="AD744" t="str">
            <v>X</v>
          </cell>
          <cell r="AH744" t="str">
            <v>N</v>
          </cell>
          <cell r="AI744" t="str">
            <v>N</v>
          </cell>
          <cell r="AK744" t="str">
            <v>14 ANCIEN TACHERON BOUJNIBA</v>
          </cell>
          <cell r="AL744" t="str">
            <v>2AS</v>
          </cell>
          <cell r="AP744" t="str">
            <v>Q 60732</v>
          </cell>
          <cell r="AQ744">
            <v>0</v>
          </cell>
          <cell r="AR744" t="str">
            <v>B</v>
          </cell>
          <cell r="AS744" t="str">
            <v>BMCE - KHGA</v>
          </cell>
          <cell r="AT744" t="str">
            <v>4000001200001256304</v>
          </cell>
          <cell r="AU744" t="str">
            <v>/  /</v>
          </cell>
          <cell r="AW744">
            <v>41254</v>
          </cell>
          <cell r="AX744">
            <v>41254</v>
          </cell>
          <cell r="AY744" t="str">
            <v>XX</v>
          </cell>
          <cell r="AZ744" t="str">
            <v>K</v>
          </cell>
          <cell r="BA744" t="str">
            <v>2</v>
          </cell>
          <cell r="BB744">
            <v>1</v>
          </cell>
          <cell r="BD744">
            <v>0</v>
          </cell>
          <cell r="BE744" t="str">
            <v>M</v>
          </cell>
          <cell r="BF744" t="str">
            <v>N</v>
          </cell>
          <cell r="BG744">
            <v>51</v>
          </cell>
          <cell r="BH744">
            <v>39264</v>
          </cell>
        </row>
        <row r="745">
          <cell r="A745">
            <v>68930</v>
          </cell>
          <cell r="B745">
            <v>403</v>
          </cell>
          <cell r="C745" t="str">
            <v>C4801</v>
          </cell>
          <cell r="D745" t="str">
            <v>EL ASSALI</v>
          </cell>
          <cell r="E745" t="str">
            <v>MOHAMMED</v>
          </cell>
          <cell r="F745">
            <v>20466</v>
          </cell>
          <cell r="G745" t="str">
            <v>1</v>
          </cell>
          <cell r="H745" t="str">
            <v>KHOURIBGA</v>
          </cell>
          <cell r="I745" t="str">
            <v>D</v>
          </cell>
          <cell r="J745">
            <v>28157</v>
          </cell>
          <cell r="K745">
            <v>35065</v>
          </cell>
          <cell r="L745" t="str">
            <v>22</v>
          </cell>
          <cell r="M745" t="str">
            <v>A</v>
          </cell>
          <cell r="N745">
            <v>35065</v>
          </cell>
          <cell r="P745">
            <v>27</v>
          </cell>
          <cell r="Q745" t="str">
            <v>O</v>
          </cell>
          <cell r="R745" t="str">
            <v>N</v>
          </cell>
          <cell r="S745">
            <v>0</v>
          </cell>
          <cell r="T745" t="str">
            <v>M</v>
          </cell>
          <cell r="U745" t="str">
            <v>FADDA MINA BENT SAHRAOUI</v>
          </cell>
          <cell r="X745">
            <v>3</v>
          </cell>
          <cell r="Y745">
            <v>3</v>
          </cell>
          <cell r="AB745" t="str">
            <v>N</v>
          </cell>
          <cell r="AC745" t="str">
            <v>X</v>
          </cell>
          <cell r="AD745" t="str">
            <v>X</v>
          </cell>
          <cell r="AH745" t="str">
            <v>N</v>
          </cell>
          <cell r="AI745" t="str">
            <v>N</v>
          </cell>
          <cell r="AK745" t="str">
            <v>616 NLLE MEDINA SECHAGE O.C.P - KHGA</v>
          </cell>
          <cell r="AL745" t="str">
            <v>CM2</v>
          </cell>
          <cell r="AP745" t="str">
            <v>Q 39333</v>
          </cell>
          <cell r="AQ745">
            <v>0</v>
          </cell>
          <cell r="AR745" t="str">
            <v>C</v>
          </cell>
          <cell r="AU745" t="str">
            <v>/  /</v>
          </cell>
          <cell r="AW745">
            <v>38899</v>
          </cell>
          <cell r="AY745" t="str">
            <v>A+</v>
          </cell>
          <cell r="BA745" t="str">
            <v>0</v>
          </cell>
          <cell r="BB745">
            <v>1</v>
          </cell>
          <cell r="BD745">
            <v>0</v>
          </cell>
          <cell r="BE745" t="str">
            <v>M</v>
          </cell>
          <cell r="BF745" t="str">
            <v>N</v>
          </cell>
          <cell r="BG745">
            <v>1</v>
          </cell>
          <cell r="BH745">
            <v>38899</v>
          </cell>
          <cell r="BI745" t="str">
            <v>N</v>
          </cell>
        </row>
        <row r="746">
          <cell r="A746">
            <v>68934</v>
          </cell>
          <cell r="B746">
            <v>421</v>
          </cell>
          <cell r="C746" t="str">
            <v>C4152</v>
          </cell>
          <cell r="D746" t="str">
            <v>BOUCHATTA</v>
          </cell>
          <cell r="E746" t="str">
            <v>ALI</v>
          </cell>
          <cell r="F746">
            <v>19783</v>
          </cell>
          <cell r="G746" t="str">
            <v>2</v>
          </cell>
          <cell r="H746" t="str">
            <v>SMAALA</v>
          </cell>
          <cell r="I746" t="str">
            <v>D</v>
          </cell>
          <cell r="J746">
            <v>30057</v>
          </cell>
          <cell r="K746">
            <v>36526</v>
          </cell>
          <cell r="L746" t="str">
            <v>22</v>
          </cell>
          <cell r="M746" t="str">
            <v>A</v>
          </cell>
          <cell r="N746">
            <v>36526</v>
          </cell>
          <cell r="P746">
            <v>21</v>
          </cell>
          <cell r="Q746" t="str">
            <v>O</v>
          </cell>
          <cell r="R746" t="str">
            <v>N</v>
          </cell>
          <cell r="S746">
            <v>0</v>
          </cell>
          <cell r="T746" t="str">
            <v>M</v>
          </cell>
          <cell r="U746" t="str">
            <v>LAHSSINI NAIMA BENT DRISS</v>
          </cell>
          <cell r="X746">
            <v>2</v>
          </cell>
          <cell r="Y746">
            <v>2</v>
          </cell>
          <cell r="AB746" t="str">
            <v>X</v>
          </cell>
          <cell r="AC746" t="str">
            <v>X</v>
          </cell>
          <cell r="AD746" t="str">
            <v>X</v>
          </cell>
          <cell r="AH746" t="str">
            <v>N</v>
          </cell>
          <cell r="AI746" t="str">
            <v>N</v>
          </cell>
          <cell r="AK746" t="str">
            <v>17 RUE 4 DERB LAAFOU OUED ZEM</v>
          </cell>
          <cell r="AL746" t="str">
            <v>5AS</v>
          </cell>
          <cell r="AP746" t="str">
            <v>Q 82388</v>
          </cell>
          <cell r="AQ746">
            <v>0</v>
          </cell>
          <cell r="AR746" t="str">
            <v>C</v>
          </cell>
          <cell r="AU746" t="str">
            <v>/  /</v>
          </cell>
          <cell r="AW746">
            <v>39546</v>
          </cell>
          <cell r="AX746">
            <v>39546</v>
          </cell>
          <cell r="AY746" t="str">
            <v>XX</v>
          </cell>
          <cell r="BA746" t="str">
            <v>2</v>
          </cell>
          <cell r="BB746">
            <v>1</v>
          </cell>
          <cell r="BD746">
            <v>0</v>
          </cell>
          <cell r="BE746" t="str">
            <v>M</v>
          </cell>
          <cell r="BF746" t="str">
            <v>N</v>
          </cell>
          <cell r="BG746">
            <v>30</v>
          </cell>
          <cell r="BH746">
            <v>39814</v>
          </cell>
          <cell r="BI746" t="str">
            <v>O</v>
          </cell>
        </row>
        <row r="747">
          <cell r="A747">
            <v>68948</v>
          </cell>
          <cell r="B747">
            <v>406</v>
          </cell>
          <cell r="C747" t="str">
            <v>C3152</v>
          </cell>
          <cell r="D747" t="str">
            <v>BAROUD</v>
          </cell>
          <cell r="E747" t="str">
            <v>HAJJAJ</v>
          </cell>
          <cell r="F747">
            <v>19175</v>
          </cell>
          <cell r="G747" t="str">
            <v>3</v>
          </cell>
          <cell r="H747" t="str">
            <v>LAMCHAHRA - BOUJNIBA</v>
          </cell>
          <cell r="I747" t="str">
            <v>D</v>
          </cell>
          <cell r="J747">
            <v>29557</v>
          </cell>
          <cell r="K747">
            <v>37012</v>
          </cell>
          <cell r="L747" t="str">
            <v>21</v>
          </cell>
          <cell r="M747" t="str">
            <v>A</v>
          </cell>
          <cell r="N747">
            <v>37012</v>
          </cell>
          <cell r="P747">
            <v>22</v>
          </cell>
          <cell r="Q747" t="str">
            <v>O</v>
          </cell>
          <cell r="R747" t="str">
            <v>N</v>
          </cell>
          <cell r="S747">
            <v>0</v>
          </cell>
          <cell r="T747" t="str">
            <v>M</v>
          </cell>
          <cell r="U747" t="str">
            <v>RAZOUK KHADDOUJ BENT SALAH</v>
          </cell>
          <cell r="X747">
            <v>3</v>
          </cell>
          <cell r="Y747">
            <v>3</v>
          </cell>
          <cell r="AB747" t="str">
            <v>X</v>
          </cell>
          <cell r="AC747" t="str">
            <v>X</v>
          </cell>
          <cell r="AD747" t="str">
            <v>X</v>
          </cell>
          <cell r="AH747" t="str">
            <v>N</v>
          </cell>
          <cell r="AI747" t="str">
            <v>N</v>
          </cell>
          <cell r="AK747" t="str">
            <v>98 ANCIENNE MEDINA DE SECHAGE - KHGA</v>
          </cell>
          <cell r="AL747" t="str">
            <v>2AS</v>
          </cell>
          <cell r="AP747" t="str">
            <v>Q 116796</v>
          </cell>
          <cell r="AQ747">
            <v>0</v>
          </cell>
          <cell r="AR747" t="str">
            <v>C</v>
          </cell>
          <cell r="AU747" t="str">
            <v>/  /</v>
          </cell>
          <cell r="AW747">
            <v>39264</v>
          </cell>
          <cell r="AY747" t="str">
            <v>XX</v>
          </cell>
          <cell r="BA747" t="str">
            <v>1</v>
          </cell>
          <cell r="BB747">
            <v>1</v>
          </cell>
          <cell r="BD747">
            <v>0</v>
          </cell>
          <cell r="BE747" t="str">
            <v>M</v>
          </cell>
          <cell r="BF747" t="str">
            <v>N</v>
          </cell>
          <cell r="BG747">
            <v>5</v>
          </cell>
          <cell r="BH747">
            <v>39264</v>
          </cell>
          <cell r="BI747" t="str">
            <v>O</v>
          </cell>
        </row>
        <row r="748">
          <cell r="A748">
            <v>68977</v>
          </cell>
          <cell r="B748">
            <v>457</v>
          </cell>
          <cell r="C748" t="str">
            <v>C3050</v>
          </cell>
          <cell r="D748" t="str">
            <v>EL MHADDER</v>
          </cell>
          <cell r="E748" t="str">
            <v>ECHCHERKI</v>
          </cell>
          <cell r="F748">
            <v>19540</v>
          </cell>
          <cell r="G748" t="str">
            <v>1</v>
          </cell>
          <cell r="H748" t="str">
            <v>OULED BHAR KBAR KHOURIBGA</v>
          </cell>
          <cell r="I748" t="str">
            <v>D</v>
          </cell>
          <cell r="J748">
            <v>28167</v>
          </cell>
          <cell r="K748">
            <v>36526</v>
          </cell>
          <cell r="L748" t="str">
            <v>21</v>
          </cell>
          <cell r="M748" t="str">
            <v>B</v>
          </cell>
          <cell r="N748">
            <v>36526</v>
          </cell>
          <cell r="P748">
            <v>27</v>
          </cell>
          <cell r="Q748" t="str">
            <v>O</v>
          </cell>
          <cell r="R748" t="str">
            <v>N</v>
          </cell>
          <cell r="S748">
            <v>0</v>
          </cell>
          <cell r="T748" t="str">
            <v>M</v>
          </cell>
          <cell r="U748" t="str">
            <v>FATNA BENT SALAH BEN HABBAB</v>
          </cell>
          <cell r="X748">
            <v>5</v>
          </cell>
          <cell r="Y748">
            <v>3</v>
          </cell>
          <cell r="AB748" t="str">
            <v>X</v>
          </cell>
          <cell r="AC748" t="str">
            <v>X</v>
          </cell>
          <cell r="AD748" t="str">
            <v>X</v>
          </cell>
          <cell r="AH748" t="str">
            <v>N</v>
          </cell>
          <cell r="AI748" t="str">
            <v>N</v>
          </cell>
          <cell r="AK748" t="str">
            <v>436 DERB 3 - BOUJNIBA</v>
          </cell>
          <cell r="AL748" t="str">
            <v>5AS</v>
          </cell>
          <cell r="AP748" t="str">
            <v>Q 83461</v>
          </cell>
          <cell r="AQ748">
            <v>0</v>
          </cell>
          <cell r="AR748" t="str">
            <v>C</v>
          </cell>
          <cell r="AU748" t="str">
            <v>/  /</v>
          </cell>
          <cell r="AW748">
            <v>37803</v>
          </cell>
          <cell r="AY748" t="str">
            <v>XX</v>
          </cell>
          <cell r="BA748" t="str">
            <v>2</v>
          </cell>
          <cell r="BB748">
            <v>1</v>
          </cell>
          <cell r="BD748">
            <v>0</v>
          </cell>
          <cell r="BE748" t="str">
            <v>M</v>
          </cell>
          <cell r="BF748" t="str">
            <v>N</v>
          </cell>
          <cell r="BG748">
            <v>51</v>
          </cell>
          <cell r="BH748">
            <v>37803</v>
          </cell>
          <cell r="BI748" t="str">
            <v>O</v>
          </cell>
        </row>
        <row r="749">
          <cell r="A749">
            <v>68985</v>
          </cell>
          <cell r="B749">
            <v>428</v>
          </cell>
          <cell r="C749" t="str">
            <v>C3000</v>
          </cell>
          <cell r="D749" t="str">
            <v>BOULATARSS</v>
          </cell>
          <cell r="E749" t="str">
            <v>EL MOULOUDI</v>
          </cell>
          <cell r="F749">
            <v>18079</v>
          </cell>
          <cell r="G749" t="str">
            <v>2</v>
          </cell>
          <cell r="H749" t="str">
            <v>BENI SMIR</v>
          </cell>
          <cell r="I749" t="str">
            <v>D</v>
          </cell>
          <cell r="J749">
            <v>28170</v>
          </cell>
          <cell r="K749">
            <v>36951</v>
          </cell>
          <cell r="L749" t="str">
            <v>21</v>
          </cell>
          <cell r="M749" t="str">
            <v>C</v>
          </cell>
          <cell r="N749">
            <v>36951</v>
          </cell>
          <cell r="P749">
            <v>27</v>
          </cell>
          <cell r="Q749" t="str">
            <v>O</v>
          </cell>
          <cell r="R749" t="str">
            <v>N</v>
          </cell>
          <cell r="S749">
            <v>0</v>
          </cell>
          <cell r="T749" t="str">
            <v>M</v>
          </cell>
          <cell r="U749" t="str">
            <v>M'BARKA BENT BOUCHTA BEN AHMED</v>
          </cell>
          <cell r="X749">
            <v>5</v>
          </cell>
          <cell r="Y749">
            <v>2</v>
          </cell>
          <cell r="AB749" t="str">
            <v>X</v>
          </cell>
          <cell r="AC749" t="str">
            <v>X</v>
          </cell>
          <cell r="AD749" t="str">
            <v>X</v>
          </cell>
          <cell r="AH749" t="str">
            <v>N</v>
          </cell>
          <cell r="AI749" t="str">
            <v>N</v>
          </cell>
          <cell r="AK749" t="str">
            <v>74 DOUAR LAATAOURA BENI SMIR - OUED ZEM</v>
          </cell>
          <cell r="AL749" t="str">
            <v>ILLETTRE</v>
          </cell>
          <cell r="AP749" t="str">
            <v>Q 14171</v>
          </cell>
          <cell r="AQ749">
            <v>0</v>
          </cell>
          <cell r="AR749" t="str">
            <v>C</v>
          </cell>
          <cell r="AU749" t="str">
            <v>/  /</v>
          </cell>
          <cell r="AW749">
            <v>37438</v>
          </cell>
          <cell r="AY749" t="str">
            <v>XX</v>
          </cell>
          <cell r="BA749" t="str">
            <v>1</v>
          </cell>
          <cell r="BB749">
            <v>1</v>
          </cell>
          <cell r="BD749">
            <v>0</v>
          </cell>
          <cell r="BE749" t="str">
            <v>M</v>
          </cell>
          <cell r="BF749" t="str">
            <v>N</v>
          </cell>
          <cell r="BG749">
            <v>30</v>
          </cell>
          <cell r="BH749">
            <v>37803</v>
          </cell>
          <cell r="BI749" t="str">
            <v>O</v>
          </cell>
        </row>
        <row r="750">
          <cell r="A750">
            <v>69012</v>
          </cell>
          <cell r="B750">
            <v>426</v>
          </cell>
          <cell r="C750" t="str">
            <v>C4152</v>
          </cell>
          <cell r="D750" t="str">
            <v>FADLAOUI</v>
          </cell>
          <cell r="E750" t="str">
            <v>AHMED</v>
          </cell>
          <cell r="F750">
            <v>19576</v>
          </cell>
          <cell r="G750" t="str">
            <v>2</v>
          </cell>
          <cell r="H750" t="str">
            <v>BENI SMIR</v>
          </cell>
          <cell r="I750" t="str">
            <v>D</v>
          </cell>
          <cell r="J750">
            <v>28172</v>
          </cell>
          <cell r="K750">
            <v>36526</v>
          </cell>
          <cell r="L750" t="str">
            <v>22</v>
          </cell>
          <cell r="M750" t="str">
            <v>A</v>
          </cell>
          <cell r="N750">
            <v>36526</v>
          </cell>
          <cell r="P750">
            <v>27</v>
          </cell>
          <cell r="Q750" t="str">
            <v>O</v>
          </cell>
          <cell r="R750" t="str">
            <v>N</v>
          </cell>
          <cell r="S750">
            <v>0</v>
          </cell>
          <cell r="T750" t="str">
            <v>M</v>
          </cell>
          <cell r="U750" t="str">
            <v>FARES FATNA BT MOHAMED</v>
          </cell>
          <cell r="X750">
            <v>7</v>
          </cell>
          <cell r="Y750">
            <v>5</v>
          </cell>
          <cell r="Z750" t="str">
            <v>N</v>
          </cell>
          <cell r="AB750" t="str">
            <v>X</v>
          </cell>
          <cell r="AC750" t="str">
            <v>X</v>
          </cell>
          <cell r="AD750" t="str">
            <v>X</v>
          </cell>
          <cell r="AH750" t="str">
            <v>N</v>
          </cell>
          <cell r="AI750" t="str">
            <v>N</v>
          </cell>
          <cell r="AK750" t="str">
            <v>1139 VILLAGE OCP SBATA - HATTANE</v>
          </cell>
          <cell r="AL750" t="str">
            <v>3AS</v>
          </cell>
          <cell r="AP750" t="str">
            <v>Q 9991</v>
          </cell>
          <cell r="AQ750">
            <v>0</v>
          </cell>
          <cell r="AR750" t="str">
            <v>B</v>
          </cell>
          <cell r="AS750" t="str">
            <v>POPULAIRE.O.ZEM</v>
          </cell>
          <cell r="AT750" t="str">
            <v>2111113055740008</v>
          </cell>
          <cell r="AU750" t="str">
            <v>/  /</v>
          </cell>
          <cell r="AW750">
            <v>37987</v>
          </cell>
          <cell r="AY750" t="str">
            <v>XX</v>
          </cell>
          <cell r="BA750" t="str">
            <v>6</v>
          </cell>
          <cell r="BB750">
            <v>0</v>
          </cell>
          <cell r="BD750">
            <v>0</v>
          </cell>
          <cell r="BE750" t="str">
            <v>M</v>
          </cell>
          <cell r="BF750" t="str">
            <v>N</v>
          </cell>
          <cell r="BG750">
            <v>11</v>
          </cell>
          <cell r="BH750">
            <v>37987</v>
          </cell>
        </row>
        <row r="751">
          <cell r="A751">
            <v>69032</v>
          </cell>
          <cell r="B751">
            <v>468</v>
          </cell>
          <cell r="C751" t="str">
            <v>C3152</v>
          </cell>
          <cell r="D751" t="str">
            <v>CHKAIMA</v>
          </cell>
          <cell r="E751" t="str">
            <v>M'HAMED</v>
          </cell>
          <cell r="F751">
            <v>18444</v>
          </cell>
          <cell r="G751" t="str">
            <v>2</v>
          </cell>
          <cell r="H751" t="str">
            <v>BENI SMIR</v>
          </cell>
          <cell r="I751" t="str">
            <v>D</v>
          </cell>
          <cell r="J751">
            <v>28172</v>
          </cell>
          <cell r="K751">
            <v>35096</v>
          </cell>
          <cell r="L751" t="str">
            <v>21</v>
          </cell>
          <cell r="M751" t="str">
            <v>B</v>
          </cell>
          <cell r="N751">
            <v>35096</v>
          </cell>
          <cell r="P751">
            <v>27</v>
          </cell>
          <cell r="Q751" t="str">
            <v>O</v>
          </cell>
          <cell r="R751" t="str">
            <v>N</v>
          </cell>
          <cell r="S751">
            <v>0</v>
          </cell>
          <cell r="T751" t="str">
            <v>M</v>
          </cell>
          <cell r="U751" t="str">
            <v>HAKIMI AICHA</v>
          </cell>
          <cell r="X751">
            <v>6</v>
          </cell>
          <cell r="Y751">
            <v>3</v>
          </cell>
          <cell r="AB751" t="str">
            <v>X</v>
          </cell>
          <cell r="AC751" t="str">
            <v>X</v>
          </cell>
          <cell r="AD751" t="str">
            <v>X</v>
          </cell>
          <cell r="AH751" t="str">
            <v>N</v>
          </cell>
          <cell r="AI751" t="str">
            <v>N</v>
          </cell>
          <cell r="AK751" t="str">
            <v>13 RUE 12 QUARTIER KOREA - OUED ZEM</v>
          </cell>
          <cell r="AL751" t="str">
            <v>CM2</v>
          </cell>
          <cell r="AP751" t="str">
            <v>QA 6967</v>
          </cell>
          <cell r="AQ751">
            <v>0</v>
          </cell>
          <cell r="AR751" t="str">
            <v>C</v>
          </cell>
          <cell r="AU751" t="str">
            <v>/  /</v>
          </cell>
          <cell r="AW751">
            <v>37438</v>
          </cell>
          <cell r="AY751" t="str">
            <v>XX</v>
          </cell>
          <cell r="BA751" t="str">
            <v>2</v>
          </cell>
          <cell r="BB751">
            <v>1</v>
          </cell>
          <cell r="BD751">
            <v>0</v>
          </cell>
          <cell r="BE751" t="str">
            <v>M</v>
          </cell>
          <cell r="BF751" t="str">
            <v>N</v>
          </cell>
          <cell r="BG751">
            <v>31</v>
          </cell>
          <cell r="BH751">
            <v>37803</v>
          </cell>
          <cell r="BI751" t="str">
            <v>O</v>
          </cell>
        </row>
        <row r="752">
          <cell r="A752">
            <v>69051</v>
          </cell>
          <cell r="B752">
            <v>461</v>
          </cell>
          <cell r="C752" t="str">
            <v>C6001</v>
          </cell>
          <cell r="D752" t="str">
            <v>AGGYA</v>
          </cell>
          <cell r="E752" t="str">
            <v>EL MOULOUDI</v>
          </cell>
          <cell r="F752">
            <v>18809</v>
          </cell>
          <cell r="G752" t="str">
            <v>2</v>
          </cell>
          <cell r="H752" t="str">
            <v>SMAALA</v>
          </cell>
          <cell r="I752" t="str">
            <v>D</v>
          </cell>
          <cell r="J752">
            <v>28178</v>
          </cell>
          <cell r="K752">
            <v>35065</v>
          </cell>
          <cell r="L752" t="str">
            <v>32</v>
          </cell>
          <cell r="M752" t="str">
            <v>A</v>
          </cell>
          <cell r="N752">
            <v>35065</v>
          </cell>
          <cell r="P752">
            <v>27</v>
          </cell>
          <cell r="Q752" t="str">
            <v>O</v>
          </cell>
          <cell r="R752" t="str">
            <v>N</v>
          </cell>
          <cell r="S752">
            <v>0</v>
          </cell>
          <cell r="T752" t="str">
            <v>M</v>
          </cell>
          <cell r="U752" t="str">
            <v>LAMZIHRI MALIKA</v>
          </cell>
          <cell r="X752">
            <v>5</v>
          </cell>
          <cell r="Y752">
            <v>4</v>
          </cell>
          <cell r="AB752" t="str">
            <v>X</v>
          </cell>
          <cell r="AC752" t="str">
            <v>X</v>
          </cell>
          <cell r="AD752" t="str">
            <v>X</v>
          </cell>
          <cell r="AH752" t="str">
            <v>N</v>
          </cell>
          <cell r="AI752" t="str">
            <v>N</v>
          </cell>
          <cell r="AK752" t="str">
            <v>118 RUE 17 MSALLA LAKDIMA OUED ZEM</v>
          </cell>
          <cell r="AL752" t="str">
            <v>1AS</v>
          </cell>
          <cell r="AM752" t="str">
            <v>CFO</v>
          </cell>
          <cell r="AP752" t="str">
            <v>Q 77554</v>
          </cell>
          <cell r="AQ752">
            <v>0</v>
          </cell>
          <cell r="AR752" t="str">
            <v>B</v>
          </cell>
          <cell r="AS752" t="str">
            <v>POPULAIRE.KHGA</v>
          </cell>
          <cell r="AT752" t="str">
            <v>2111112828530001</v>
          </cell>
          <cell r="AU752" t="str">
            <v>/  /</v>
          </cell>
          <cell r="AW752">
            <v>37803</v>
          </cell>
          <cell r="AY752" t="str">
            <v>XX</v>
          </cell>
          <cell r="BA752" t="str">
            <v>2</v>
          </cell>
          <cell r="BB752">
            <v>1</v>
          </cell>
          <cell r="BD752">
            <v>0</v>
          </cell>
          <cell r="BE752" t="str">
            <v>M</v>
          </cell>
          <cell r="BF752" t="str">
            <v>N</v>
          </cell>
          <cell r="BG752">
            <v>31</v>
          </cell>
          <cell r="BH752">
            <v>37803</v>
          </cell>
          <cell r="BI752" t="str">
            <v>O</v>
          </cell>
        </row>
        <row r="753">
          <cell r="A753">
            <v>69052</v>
          </cell>
          <cell r="B753">
            <v>457</v>
          </cell>
          <cell r="C753" t="str">
            <v>C5450</v>
          </cell>
          <cell r="D753" t="str">
            <v>LIMANE</v>
          </cell>
          <cell r="E753" t="str">
            <v>SALAH</v>
          </cell>
          <cell r="F753">
            <v>19480</v>
          </cell>
          <cell r="G753" t="str">
            <v>1</v>
          </cell>
          <cell r="H753" t="str">
            <v>KHOURIBGA</v>
          </cell>
          <cell r="I753" t="str">
            <v>D</v>
          </cell>
          <cell r="J753">
            <v>28178</v>
          </cell>
          <cell r="K753">
            <v>35431</v>
          </cell>
          <cell r="L753" t="str">
            <v>31</v>
          </cell>
          <cell r="M753" t="str">
            <v>A</v>
          </cell>
          <cell r="N753">
            <v>35431</v>
          </cell>
          <cell r="P753">
            <v>27</v>
          </cell>
          <cell r="Q753" t="str">
            <v>O</v>
          </cell>
          <cell r="R753" t="str">
            <v>N</v>
          </cell>
          <cell r="S753">
            <v>0</v>
          </cell>
          <cell r="T753" t="str">
            <v>M</v>
          </cell>
          <cell r="U753" t="str">
            <v>KHRABZI HAFIDA</v>
          </cell>
          <cell r="X753">
            <v>7</v>
          </cell>
          <cell r="Y753">
            <v>6</v>
          </cell>
          <cell r="AB753" t="str">
            <v>X</v>
          </cell>
          <cell r="AC753" t="str">
            <v>X</v>
          </cell>
          <cell r="AD753" t="str">
            <v>X</v>
          </cell>
          <cell r="AH753" t="str">
            <v>N</v>
          </cell>
          <cell r="AI753" t="str">
            <v>N</v>
          </cell>
          <cell r="AK753" t="str">
            <v>278 ANCIENNE MEDINA SECHAGE OCP - KHGA</v>
          </cell>
          <cell r="AL753" t="str">
            <v>3AS</v>
          </cell>
          <cell r="AP753" t="str">
            <v>Q 71601</v>
          </cell>
          <cell r="AQ753">
            <v>0</v>
          </cell>
          <cell r="AR753" t="str">
            <v>B</v>
          </cell>
          <cell r="AS753" t="str">
            <v>BMCE .KHGA</v>
          </cell>
          <cell r="AT753" t="str">
            <v>40001200000634146</v>
          </cell>
          <cell r="AU753" t="str">
            <v>/  /</v>
          </cell>
          <cell r="AW753">
            <v>37803</v>
          </cell>
          <cell r="AY753" t="str">
            <v>XX</v>
          </cell>
          <cell r="AZ753" t="str">
            <v>M</v>
          </cell>
          <cell r="BA753" t="str">
            <v>2</v>
          </cell>
          <cell r="BB753">
            <v>1</v>
          </cell>
          <cell r="BD753">
            <v>0</v>
          </cell>
          <cell r="BE753" t="str">
            <v>M</v>
          </cell>
          <cell r="BF753" t="str">
            <v>N</v>
          </cell>
          <cell r="BG753">
            <v>5</v>
          </cell>
          <cell r="BH753">
            <v>37803</v>
          </cell>
        </row>
        <row r="754">
          <cell r="A754">
            <v>69086</v>
          </cell>
          <cell r="B754">
            <v>403</v>
          </cell>
          <cell r="C754" t="str">
            <v>C3050</v>
          </cell>
          <cell r="D754" t="str">
            <v>DAKI</v>
          </cell>
          <cell r="E754" t="str">
            <v>AHMED</v>
          </cell>
          <cell r="F754">
            <v>19160</v>
          </cell>
          <cell r="G754" t="str">
            <v>2</v>
          </cell>
          <cell r="H754" t="str">
            <v>BENI SMIR</v>
          </cell>
          <cell r="I754" t="str">
            <v>D</v>
          </cell>
          <cell r="J754">
            <v>28177</v>
          </cell>
          <cell r="K754">
            <v>36951</v>
          </cell>
          <cell r="L754" t="str">
            <v>21</v>
          </cell>
          <cell r="M754" t="str">
            <v>C</v>
          </cell>
          <cell r="N754">
            <v>36951</v>
          </cell>
          <cell r="P754">
            <v>27</v>
          </cell>
          <cell r="Q754" t="str">
            <v>O</v>
          </cell>
          <cell r="R754" t="str">
            <v>N</v>
          </cell>
          <cell r="S754">
            <v>0</v>
          </cell>
          <cell r="T754" t="str">
            <v>M</v>
          </cell>
          <cell r="U754" t="str">
            <v>FATNA BENT LEKBIR</v>
          </cell>
          <cell r="X754">
            <v>7</v>
          </cell>
          <cell r="Y754">
            <v>4</v>
          </cell>
          <cell r="AB754" t="str">
            <v>X</v>
          </cell>
          <cell r="AC754" t="str">
            <v>X</v>
          </cell>
          <cell r="AD754" t="str">
            <v>X</v>
          </cell>
          <cell r="AH754" t="str">
            <v>N</v>
          </cell>
          <cell r="AI754" t="str">
            <v>N</v>
          </cell>
          <cell r="AK754" t="str">
            <v>58 LAATAOURA  - OUED ZEM</v>
          </cell>
          <cell r="AL754" t="str">
            <v>ILLETTRE</v>
          </cell>
          <cell r="AP754" t="str">
            <v>Q 59933</v>
          </cell>
          <cell r="AQ754">
            <v>0</v>
          </cell>
          <cell r="AR754" t="str">
            <v>B</v>
          </cell>
          <cell r="AS754" t="str">
            <v>POPULAIRE.O-ZEM</v>
          </cell>
          <cell r="AT754" t="str">
            <v>211113628423000445</v>
          </cell>
          <cell r="AU754" t="str">
            <v>/  /</v>
          </cell>
          <cell r="AW754">
            <v>37438</v>
          </cell>
          <cell r="AY754" t="str">
            <v>XX</v>
          </cell>
          <cell r="BA754" t="str">
            <v>2</v>
          </cell>
          <cell r="BB754">
            <v>1</v>
          </cell>
          <cell r="BD754">
            <v>0</v>
          </cell>
          <cell r="BE754" t="str">
            <v>M</v>
          </cell>
          <cell r="BF754" t="str">
            <v>N</v>
          </cell>
          <cell r="BG754">
            <v>31</v>
          </cell>
          <cell r="BH754">
            <v>37803</v>
          </cell>
          <cell r="BI754" t="str">
            <v>O</v>
          </cell>
        </row>
        <row r="755">
          <cell r="A755">
            <v>69090</v>
          </cell>
          <cell r="B755">
            <v>421</v>
          </cell>
          <cell r="C755" t="str">
            <v>C3020</v>
          </cell>
          <cell r="D755" t="str">
            <v>ADRAOUI</v>
          </cell>
          <cell r="E755" t="str">
            <v>SALAH</v>
          </cell>
          <cell r="F755">
            <v>19175</v>
          </cell>
          <cell r="G755" t="str">
            <v>2</v>
          </cell>
          <cell r="H755" t="str">
            <v>BENI SMIR</v>
          </cell>
          <cell r="I755" t="str">
            <v>D</v>
          </cell>
          <cell r="J755">
            <v>28180</v>
          </cell>
          <cell r="K755">
            <v>34547</v>
          </cell>
          <cell r="L755" t="str">
            <v>21</v>
          </cell>
          <cell r="M755" t="str">
            <v>A</v>
          </cell>
          <cell r="N755">
            <v>34547</v>
          </cell>
          <cell r="P755">
            <v>27</v>
          </cell>
          <cell r="Q755" t="str">
            <v>O</v>
          </cell>
          <cell r="R755" t="str">
            <v>N</v>
          </cell>
          <cell r="S755">
            <v>0</v>
          </cell>
          <cell r="T755" t="str">
            <v>M</v>
          </cell>
          <cell r="U755" t="str">
            <v>MOUKASSE RABHA</v>
          </cell>
          <cell r="X755">
            <v>6</v>
          </cell>
          <cell r="Y755">
            <v>4</v>
          </cell>
          <cell r="AB755" t="str">
            <v>X</v>
          </cell>
          <cell r="AC755" t="str">
            <v>X</v>
          </cell>
          <cell r="AD755" t="str">
            <v>X</v>
          </cell>
          <cell r="AH755" t="str">
            <v>N</v>
          </cell>
          <cell r="AI755" t="str">
            <v>N</v>
          </cell>
          <cell r="AK755" t="str">
            <v>67 RUE 1 ZIDANIA - OUED ZEM</v>
          </cell>
          <cell r="AL755" t="str">
            <v>3AS</v>
          </cell>
          <cell r="AP755" t="str">
            <v>Q 31232</v>
          </cell>
          <cell r="AQ755">
            <v>0</v>
          </cell>
          <cell r="AR755" t="str">
            <v>B</v>
          </cell>
          <cell r="AS755" t="str">
            <v>POPULAIRE.O-ZEM</v>
          </cell>
          <cell r="AT755" t="str">
            <v>752111113055450004</v>
          </cell>
          <cell r="AU755" t="str">
            <v>10/01/12</v>
          </cell>
          <cell r="AW755">
            <v>37803</v>
          </cell>
          <cell r="AY755" t="str">
            <v>XX</v>
          </cell>
          <cell r="BA755" t="str">
            <v>0</v>
          </cell>
          <cell r="BB755">
            <v>1</v>
          </cell>
          <cell r="BD755">
            <v>0</v>
          </cell>
          <cell r="BE755" t="str">
            <v>M</v>
          </cell>
          <cell r="BF755" t="str">
            <v>N</v>
          </cell>
          <cell r="BG755">
            <v>30</v>
          </cell>
          <cell r="BH755">
            <v>37803</v>
          </cell>
          <cell r="BI755" t="str">
            <v>O</v>
          </cell>
        </row>
        <row r="756">
          <cell r="A756">
            <v>69093</v>
          </cell>
          <cell r="B756">
            <v>421</v>
          </cell>
          <cell r="C756" t="str">
            <v>C3152</v>
          </cell>
          <cell r="D756" t="str">
            <v>GUENNAN</v>
          </cell>
          <cell r="E756" t="str">
            <v>MOHAMMED</v>
          </cell>
          <cell r="F756">
            <v>19421</v>
          </cell>
          <cell r="G756" t="str">
            <v>2</v>
          </cell>
          <cell r="H756" t="str">
            <v>OUED-ZEM</v>
          </cell>
          <cell r="I756" t="str">
            <v>D</v>
          </cell>
          <cell r="J756">
            <v>28180</v>
          </cell>
          <cell r="K756">
            <v>33420</v>
          </cell>
          <cell r="L756" t="str">
            <v>21</v>
          </cell>
          <cell r="M756" t="str">
            <v>B</v>
          </cell>
          <cell r="N756">
            <v>35612</v>
          </cell>
          <cell r="P756">
            <v>27</v>
          </cell>
          <cell r="Q756" t="str">
            <v>O</v>
          </cell>
          <cell r="R756" t="str">
            <v>N</v>
          </cell>
          <cell r="S756">
            <v>0</v>
          </cell>
          <cell r="T756" t="str">
            <v>M</v>
          </cell>
          <cell r="U756" t="str">
            <v>SALHA BENT LEBSIR ZOHAIR</v>
          </cell>
          <cell r="X756">
            <v>5</v>
          </cell>
          <cell r="Y756">
            <v>3</v>
          </cell>
          <cell r="AB756" t="str">
            <v>X</v>
          </cell>
          <cell r="AC756" t="str">
            <v>X</v>
          </cell>
          <cell r="AD756" t="str">
            <v>X</v>
          </cell>
          <cell r="AH756" t="str">
            <v>N</v>
          </cell>
          <cell r="AI756" t="str">
            <v>N</v>
          </cell>
          <cell r="AK756" t="str">
            <v>59 RUE 12 KOREA - OUED ZEM</v>
          </cell>
          <cell r="AL756" t="str">
            <v>4AS</v>
          </cell>
          <cell r="AP756" t="str">
            <v>Q 91100</v>
          </cell>
          <cell r="AQ756">
            <v>0</v>
          </cell>
          <cell r="AR756" t="str">
            <v>B</v>
          </cell>
          <cell r="AS756" t="str">
            <v>POPULAIRE.O.ZEM</v>
          </cell>
          <cell r="AT756" t="str">
            <v>2111113065100003</v>
          </cell>
          <cell r="AU756" t="str">
            <v>/  /</v>
          </cell>
          <cell r="AW756">
            <v>37803</v>
          </cell>
          <cell r="AY756" t="str">
            <v>XX</v>
          </cell>
          <cell r="BA756" t="str">
            <v>1</v>
          </cell>
          <cell r="BB756">
            <v>1</v>
          </cell>
          <cell r="BD756">
            <v>0</v>
          </cell>
          <cell r="BE756" t="str">
            <v>M</v>
          </cell>
          <cell r="BF756" t="str">
            <v>N</v>
          </cell>
          <cell r="BG756">
            <v>30</v>
          </cell>
          <cell r="BH756">
            <v>37803</v>
          </cell>
          <cell r="BI756" t="str">
            <v>O</v>
          </cell>
        </row>
        <row r="757">
          <cell r="A757">
            <v>69094</v>
          </cell>
          <cell r="B757">
            <v>446</v>
          </cell>
          <cell r="C757" t="str">
            <v>C4152</v>
          </cell>
          <cell r="D757" t="str">
            <v>BAKKARI</v>
          </cell>
          <cell r="E757" t="str">
            <v>ABDELKADER</v>
          </cell>
          <cell r="F757">
            <v>18809</v>
          </cell>
          <cell r="G757" t="str">
            <v>1</v>
          </cell>
          <cell r="H757" t="str">
            <v>OULED ABDOUNE</v>
          </cell>
          <cell r="I757" t="str">
            <v>D</v>
          </cell>
          <cell r="J757">
            <v>28257</v>
          </cell>
          <cell r="K757">
            <v>37377</v>
          </cell>
          <cell r="L757" t="str">
            <v>22</v>
          </cell>
          <cell r="M757" t="str">
            <v>A</v>
          </cell>
          <cell r="N757">
            <v>37377</v>
          </cell>
          <cell r="P757">
            <v>25</v>
          </cell>
          <cell r="Q757" t="str">
            <v>O</v>
          </cell>
          <cell r="R757" t="str">
            <v>N</v>
          </cell>
          <cell r="S757">
            <v>0</v>
          </cell>
          <cell r="T757" t="str">
            <v>M</v>
          </cell>
          <cell r="U757" t="str">
            <v>HOUSNI AMINA</v>
          </cell>
          <cell r="X757">
            <v>5</v>
          </cell>
          <cell r="Y757">
            <v>4</v>
          </cell>
          <cell r="AB757" t="str">
            <v>X</v>
          </cell>
          <cell r="AC757" t="str">
            <v>X</v>
          </cell>
          <cell r="AD757" t="str">
            <v>X</v>
          </cell>
          <cell r="AH757" t="str">
            <v>N</v>
          </cell>
          <cell r="AI757" t="str">
            <v>N</v>
          </cell>
          <cell r="AK757" t="str">
            <v>46 NOUVEAUX LOGEMENTS SECHAGE KHGA</v>
          </cell>
          <cell r="AL757" t="str">
            <v>2AS</v>
          </cell>
          <cell r="AP757" t="str">
            <v>Q 6324</v>
          </cell>
          <cell r="AQ757">
            <v>0</v>
          </cell>
          <cell r="AR757" t="str">
            <v>B</v>
          </cell>
          <cell r="AS757" t="str">
            <v>BMCI - KHGA</v>
          </cell>
          <cell r="AT757" t="str">
            <v>4000001200001232927</v>
          </cell>
          <cell r="AU757" t="str">
            <v>/  /</v>
          </cell>
          <cell r="AW757">
            <v>37987</v>
          </cell>
          <cell r="AY757" t="str">
            <v>B+</v>
          </cell>
          <cell r="BA757" t="str">
            <v>0</v>
          </cell>
          <cell r="BB757">
            <v>1</v>
          </cell>
          <cell r="BD757">
            <v>0</v>
          </cell>
          <cell r="BE757" t="str">
            <v>M</v>
          </cell>
          <cell r="BF757" t="str">
            <v>N</v>
          </cell>
          <cell r="BG757">
            <v>1</v>
          </cell>
          <cell r="BH757">
            <v>37987</v>
          </cell>
        </row>
        <row r="758">
          <cell r="A758">
            <v>69095</v>
          </cell>
          <cell r="B758">
            <v>403</v>
          </cell>
          <cell r="C758" t="str">
            <v>C3152</v>
          </cell>
          <cell r="D758" t="str">
            <v>EMKIMER</v>
          </cell>
          <cell r="E758" t="str">
            <v>MOHAMED</v>
          </cell>
          <cell r="F758">
            <v>18444</v>
          </cell>
          <cell r="G758" t="str">
            <v>4</v>
          </cell>
          <cell r="H758" t="str">
            <v>BOULANOUAR</v>
          </cell>
          <cell r="I758" t="str">
            <v>D</v>
          </cell>
          <cell r="J758">
            <v>28184</v>
          </cell>
          <cell r="K758">
            <v>36526</v>
          </cell>
          <cell r="L758" t="str">
            <v>21</v>
          </cell>
          <cell r="M758" t="str">
            <v>A</v>
          </cell>
          <cell r="N758">
            <v>36526</v>
          </cell>
          <cell r="P758">
            <v>27</v>
          </cell>
          <cell r="Q758" t="str">
            <v>O</v>
          </cell>
          <cell r="R758" t="str">
            <v>N</v>
          </cell>
          <cell r="S758">
            <v>0</v>
          </cell>
          <cell r="T758" t="str">
            <v>M</v>
          </cell>
          <cell r="U758" t="str">
            <v>ZAHRA BENT MOHAMED</v>
          </cell>
          <cell r="X758">
            <v>5</v>
          </cell>
          <cell r="Y758">
            <v>2</v>
          </cell>
          <cell r="AB758" t="str">
            <v>X</v>
          </cell>
          <cell r="AC758" t="str">
            <v>X</v>
          </cell>
          <cell r="AD758" t="str">
            <v>X</v>
          </cell>
          <cell r="AH758" t="str">
            <v>N</v>
          </cell>
          <cell r="AI758" t="str">
            <v>N</v>
          </cell>
          <cell r="AK758" t="str">
            <v>633 VILLAGE OCP BOUJNIBA</v>
          </cell>
          <cell r="AL758" t="str">
            <v>CM2</v>
          </cell>
          <cell r="AP758" t="str">
            <v>Q 65832</v>
          </cell>
          <cell r="AQ758">
            <v>0</v>
          </cell>
          <cell r="AR758" t="str">
            <v>B</v>
          </cell>
          <cell r="AS758" t="str">
            <v>POPULAIRE.O.ZEM</v>
          </cell>
          <cell r="AT758" t="str">
            <v>2111113038460005</v>
          </cell>
          <cell r="AU758" t="str">
            <v>/  /</v>
          </cell>
          <cell r="AW758">
            <v>37803</v>
          </cell>
          <cell r="AY758" t="str">
            <v>XX</v>
          </cell>
          <cell r="AZ758" t="str">
            <v>K</v>
          </cell>
          <cell r="BA758" t="str">
            <v>6</v>
          </cell>
          <cell r="BB758">
            <v>1</v>
          </cell>
          <cell r="BD758">
            <v>0</v>
          </cell>
          <cell r="BE758" t="str">
            <v>M</v>
          </cell>
          <cell r="BF758" t="str">
            <v>N</v>
          </cell>
          <cell r="BG758">
            <v>51</v>
          </cell>
          <cell r="BH758">
            <v>37803</v>
          </cell>
        </row>
        <row r="759">
          <cell r="A759">
            <v>69099</v>
          </cell>
          <cell r="B759">
            <v>426</v>
          </cell>
          <cell r="C759" t="str">
            <v>C3152</v>
          </cell>
          <cell r="D759" t="str">
            <v>LARAJ</v>
          </cell>
          <cell r="E759" t="str">
            <v>MOHAMMED</v>
          </cell>
          <cell r="F759">
            <v>19175</v>
          </cell>
          <cell r="G759" t="str">
            <v>2</v>
          </cell>
          <cell r="H759" t="str">
            <v>OUED-ZEM</v>
          </cell>
          <cell r="I759" t="str">
            <v>D</v>
          </cell>
          <cell r="J759">
            <v>28184</v>
          </cell>
          <cell r="K759">
            <v>36951</v>
          </cell>
          <cell r="L759" t="str">
            <v>21</v>
          </cell>
          <cell r="M759" t="str">
            <v>C</v>
          </cell>
          <cell r="N759">
            <v>36951</v>
          </cell>
          <cell r="P759">
            <v>27</v>
          </cell>
          <cell r="Q759" t="str">
            <v>O</v>
          </cell>
          <cell r="R759" t="str">
            <v>N</v>
          </cell>
          <cell r="S759">
            <v>0</v>
          </cell>
          <cell r="T759" t="str">
            <v>M</v>
          </cell>
          <cell r="U759" t="str">
            <v>KHADIJA BENT BOUAZZA</v>
          </cell>
          <cell r="X759">
            <v>3</v>
          </cell>
          <cell r="Y759">
            <v>3</v>
          </cell>
          <cell r="AB759" t="str">
            <v>X</v>
          </cell>
          <cell r="AC759" t="str">
            <v>X</v>
          </cell>
          <cell r="AD759" t="str">
            <v>X</v>
          </cell>
          <cell r="AH759" t="str">
            <v>N</v>
          </cell>
          <cell r="AI759" t="str">
            <v>N</v>
          </cell>
          <cell r="AK759" t="str">
            <v>12 RUE 30 KOREA OUED ZEM</v>
          </cell>
          <cell r="AL759" t="str">
            <v>3AS</v>
          </cell>
          <cell r="AP759" t="str">
            <v>Q 75940</v>
          </cell>
          <cell r="AQ759">
            <v>0</v>
          </cell>
          <cell r="AR759" t="str">
            <v>C</v>
          </cell>
          <cell r="AU759" t="str">
            <v>/  /</v>
          </cell>
          <cell r="AW759">
            <v>37803</v>
          </cell>
          <cell r="AY759" t="str">
            <v>XX</v>
          </cell>
          <cell r="BA759" t="str">
            <v>1</v>
          </cell>
          <cell r="BB759">
            <v>1</v>
          </cell>
          <cell r="BD759">
            <v>0</v>
          </cell>
          <cell r="BE759" t="str">
            <v>M</v>
          </cell>
          <cell r="BF759" t="str">
            <v>N</v>
          </cell>
          <cell r="BG759">
            <v>30</v>
          </cell>
          <cell r="BH759">
            <v>37803</v>
          </cell>
          <cell r="BI759" t="str">
            <v>O</v>
          </cell>
        </row>
        <row r="760">
          <cell r="A760">
            <v>69100</v>
          </cell>
          <cell r="B760">
            <v>426</v>
          </cell>
          <cell r="C760" t="str">
            <v>C3152</v>
          </cell>
          <cell r="D760" t="str">
            <v>AHMAMI</v>
          </cell>
          <cell r="E760" t="str">
            <v>MOHAMED</v>
          </cell>
          <cell r="F760">
            <v>19481</v>
          </cell>
          <cell r="G760" t="str">
            <v>2</v>
          </cell>
          <cell r="H760" t="str">
            <v>BENI SMIR</v>
          </cell>
          <cell r="I760" t="str">
            <v>D</v>
          </cell>
          <cell r="J760">
            <v>28185</v>
          </cell>
          <cell r="K760">
            <v>35096</v>
          </cell>
          <cell r="L760" t="str">
            <v>21</v>
          </cell>
          <cell r="M760" t="str">
            <v>B</v>
          </cell>
          <cell r="N760">
            <v>35096</v>
          </cell>
          <cell r="P760">
            <v>26</v>
          </cell>
          <cell r="Q760" t="str">
            <v>O</v>
          </cell>
          <cell r="R760" t="str">
            <v>N</v>
          </cell>
          <cell r="S760">
            <v>0</v>
          </cell>
          <cell r="T760" t="str">
            <v>M</v>
          </cell>
          <cell r="U760" t="str">
            <v>RABHA BENT LARBI</v>
          </cell>
          <cell r="V760" t="str">
            <v>AAZIZ ZOHRA BT LARBI</v>
          </cell>
          <cell r="X760">
            <v>10</v>
          </cell>
          <cell r="Y760">
            <v>5</v>
          </cell>
          <cell r="AB760" t="str">
            <v>X</v>
          </cell>
          <cell r="AC760" t="str">
            <v>X</v>
          </cell>
          <cell r="AD760" t="str">
            <v>X</v>
          </cell>
          <cell r="AH760" t="str">
            <v>N</v>
          </cell>
          <cell r="AI760" t="str">
            <v>N</v>
          </cell>
          <cell r="AK760" t="str">
            <v>28 RUE 5 CITE ZIDANIA OUED ZEM</v>
          </cell>
          <cell r="AL760" t="str">
            <v>ILLETTRE</v>
          </cell>
          <cell r="AP760" t="str">
            <v>Q 26554</v>
          </cell>
          <cell r="AQ760">
            <v>0</v>
          </cell>
          <cell r="AR760" t="str">
            <v>B</v>
          </cell>
          <cell r="AS760" t="str">
            <v>B.M.C.I   O.ZEM</v>
          </cell>
          <cell r="AT760" t="str">
            <v>02521747994301</v>
          </cell>
          <cell r="AU760" t="str">
            <v>/  /</v>
          </cell>
          <cell r="AW760">
            <v>37803</v>
          </cell>
          <cell r="AY760" t="str">
            <v>XX</v>
          </cell>
          <cell r="BA760" t="str">
            <v>2</v>
          </cell>
          <cell r="BB760">
            <v>1</v>
          </cell>
          <cell r="BD760">
            <v>0</v>
          </cell>
          <cell r="BE760" t="str">
            <v>M</v>
          </cell>
          <cell r="BF760" t="str">
            <v>N</v>
          </cell>
          <cell r="BG760">
            <v>30</v>
          </cell>
          <cell r="BH760">
            <v>37803</v>
          </cell>
          <cell r="BI760" t="str">
            <v>O</v>
          </cell>
        </row>
        <row r="761">
          <cell r="A761">
            <v>69104</v>
          </cell>
          <cell r="B761">
            <v>428</v>
          </cell>
          <cell r="C761" t="str">
            <v>C3152</v>
          </cell>
          <cell r="D761" t="str">
            <v>SAAIDI</v>
          </cell>
          <cell r="E761" t="str">
            <v>MOHAMED</v>
          </cell>
          <cell r="F761">
            <v>19633</v>
          </cell>
          <cell r="G761" t="str">
            <v>2</v>
          </cell>
          <cell r="H761" t="str">
            <v>BENI SMIR</v>
          </cell>
          <cell r="I761" t="str">
            <v>D</v>
          </cell>
          <cell r="J761">
            <v>28185</v>
          </cell>
          <cell r="K761">
            <v>35096</v>
          </cell>
          <cell r="L761" t="str">
            <v>21</v>
          </cell>
          <cell r="M761" t="str">
            <v>B</v>
          </cell>
          <cell r="N761">
            <v>35096</v>
          </cell>
          <cell r="P761">
            <v>26</v>
          </cell>
          <cell r="Q761" t="str">
            <v>O</v>
          </cell>
          <cell r="R761" t="str">
            <v>N</v>
          </cell>
          <cell r="S761">
            <v>0</v>
          </cell>
          <cell r="T761" t="str">
            <v>M</v>
          </cell>
          <cell r="U761" t="str">
            <v>HADDA BENT MOHAMED</v>
          </cell>
          <cell r="V761" t="str">
            <v>BOUABIDI NAJAT BENT MOHAMED</v>
          </cell>
          <cell r="X761">
            <v>9</v>
          </cell>
          <cell r="Y761">
            <v>3</v>
          </cell>
          <cell r="AB761" t="str">
            <v>X</v>
          </cell>
          <cell r="AC761" t="str">
            <v>X</v>
          </cell>
          <cell r="AD761" t="str">
            <v>X</v>
          </cell>
          <cell r="AH761" t="str">
            <v>N</v>
          </cell>
          <cell r="AI761" t="str">
            <v>N</v>
          </cell>
          <cell r="AK761" t="str">
            <v>69 RUE 12 KOREA - OUED ZEM</v>
          </cell>
          <cell r="AL761" t="str">
            <v>ILLETTRE</v>
          </cell>
          <cell r="AP761" t="str">
            <v>Q 4990</v>
          </cell>
          <cell r="AQ761">
            <v>0</v>
          </cell>
          <cell r="AR761" t="str">
            <v>B</v>
          </cell>
          <cell r="AS761" t="str">
            <v>S.G.M.B - KHGA</v>
          </cell>
          <cell r="AT761" t="str">
            <v>0000067000934451041</v>
          </cell>
          <cell r="AU761" t="str">
            <v>/  /</v>
          </cell>
          <cell r="AW761">
            <v>37987</v>
          </cell>
          <cell r="AY761" t="str">
            <v>XX</v>
          </cell>
          <cell r="AZ761" t="str">
            <v>K</v>
          </cell>
          <cell r="BA761" t="str">
            <v>1</v>
          </cell>
          <cell r="BB761">
            <v>1</v>
          </cell>
          <cell r="BD761">
            <v>0</v>
          </cell>
          <cell r="BE761" t="str">
            <v>M</v>
          </cell>
          <cell r="BF761" t="str">
            <v>N</v>
          </cell>
          <cell r="BG761">
            <v>30</v>
          </cell>
          <cell r="BH761">
            <v>37987</v>
          </cell>
          <cell r="BI761" t="str">
            <v>O</v>
          </cell>
        </row>
        <row r="762">
          <cell r="A762">
            <v>69168</v>
          </cell>
          <cell r="B762">
            <v>421</v>
          </cell>
          <cell r="C762" t="str">
            <v>C4152</v>
          </cell>
          <cell r="D762" t="str">
            <v>HANJAF</v>
          </cell>
          <cell r="E762" t="str">
            <v>MOHAMED</v>
          </cell>
          <cell r="F762">
            <v>19121</v>
          </cell>
          <cell r="G762" t="str">
            <v>2</v>
          </cell>
          <cell r="H762" t="str">
            <v>BENI SMIR</v>
          </cell>
          <cell r="I762" t="str">
            <v>D</v>
          </cell>
          <cell r="J762">
            <v>28191</v>
          </cell>
          <cell r="K762">
            <v>36526</v>
          </cell>
          <cell r="L762" t="str">
            <v>22</v>
          </cell>
          <cell r="M762" t="str">
            <v>A</v>
          </cell>
          <cell r="N762">
            <v>36526</v>
          </cell>
          <cell r="P762">
            <v>26</v>
          </cell>
          <cell r="Q762" t="str">
            <v>O</v>
          </cell>
          <cell r="R762" t="str">
            <v>N</v>
          </cell>
          <cell r="S762">
            <v>0</v>
          </cell>
          <cell r="T762" t="str">
            <v>M</v>
          </cell>
          <cell r="U762" t="str">
            <v>SAADIA BENT MOHAMED</v>
          </cell>
          <cell r="X762">
            <v>3</v>
          </cell>
          <cell r="Y762">
            <v>0</v>
          </cell>
          <cell r="AB762" t="str">
            <v>X</v>
          </cell>
          <cell r="AC762" t="str">
            <v>X</v>
          </cell>
          <cell r="AD762" t="str">
            <v>X</v>
          </cell>
          <cell r="AH762" t="str">
            <v>N</v>
          </cell>
          <cell r="AI762" t="str">
            <v>N</v>
          </cell>
          <cell r="AK762" t="str">
            <v>1 RUE 11 MSALLA LAKDIMA OUED ZEM</v>
          </cell>
          <cell r="AL762" t="str">
            <v>3AS</v>
          </cell>
          <cell r="AP762" t="str">
            <v>Q 90336</v>
          </cell>
          <cell r="AQ762">
            <v>0</v>
          </cell>
          <cell r="AR762" t="str">
            <v>C</v>
          </cell>
          <cell r="AU762" t="str">
            <v>/  /</v>
          </cell>
          <cell r="AW762">
            <v>37803</v>
          </cell>
          <cell r="AY762" t="str">
            <v>XX</v>
          </cell>
          <cell r="BA762" t="str">
            <v>1</v>
          </cell>
          <cell r="BB762">
            <v>1</v>
          </cell>
          <cell r="BD762">
            <v>0</v>
          </cell>
          <cell r="BE762" t="str">
            <v>M</v>
          </cell>
          <cell r="BF762" t="str">
            <v>N</v>
          </cell>
          <cell r="BG762">
            <v>30</v>
          </cell>
          <cell r="BH762">
            <v>37803</v>
          </cell>
          <cell r="BI762" t="str">
            <v>O</v>
          </cell>
        </row>
        <row r="763">
          <cell r="A763">
            <v>69169</v>
          </cell>
          <cell r="B763">
            <v>423</v>
          </cell>
          <cell r="C763" t="str">
            <v>C4152</v>
          </cell>
          <cell r="D763" t="str">
            <v>MAANAOUI</v>
          </cell>
          <cell r="E763" t="str">
            <v>MOHAMMED</v>
          </cell>
          <cell r="F763">
            <v>20270</v>
          </cell>
          <cell r="H763" t="str">
            <v>BOUCHANE - KALAA SRAGHNA</v>
          </cell>
          <cell r="I763" t="str">
            <v>D</v>
          </cell>
          <cell r="J763">
            <v>28191</v>
          </cell>
          <cell r="K763">
            <v>36526</v>
          </cell>
          <cell r="L763" t="str">
            <v>22</v>
          </cell>
          <cell r="M763" t="str">
            <v>A</v>
          </cell>
          <cell r="N763">
            <v>36526</v>
          </cell>
          <cell r="P763">
            <v>26</v>
          </cell>
          <cell r="Q763" t="str">
            <v>O</v>
          </cell>
          <cell r="R763" t="str">
            <v>N</v>
          </cell>
          <cell r="S763">
            <v>0</v>
          </cell>
          <cell r="T763" t="str">
            <v>M</v>
          </cell>
          <cell r="U763" t="str">
            <v>FATNA BENT DRISS</v>
          </cell>
          <cell r="X763">
            <v>5</v>
          </cell>
          <cell r="Y763">
            <v>2</v>
          </cell>
          <cell r="AB763" t="str">
            <v>X</v>
          </cell>
          <cell r="AC763" t="str">
            <v>X</v>
          </cell>
          <cell r="AD763" t="str">
            <v>X</v>
          </cell>
          <cell r="AH763" t="str">
            <v>N</v>
          </cell>
          <cell r="AI763" t="str">
            <v>N</v>
          </cell>
          <cell r="AK763" t="str">
            <v>573 NELLE MEDINA DE SECHAGE KHGA</v>
          </cell>
          <cell r="AL763" t="str">
            <v>4AS</v>
          </cell>
          <cell r="AO763" t="str">
            <v>OOOO</v>
          </cell>
          <cell r="AP763" t="str">
            <v>Q 81348</v>
          </cell>
          <cell r="AQ763">
            <v>0</v>
          </cell>
          <cell r="AR763" t="str">
            <v>B</v>
          </cell>
          <cell r="AS763" t="str">
            <v>BMCE - KHGA</v>
          </cell>
          <cell r="AT763" t="str">
            <v>4000001200000774990</v>
          </cell>
          <cell r="AU763" t="str">
            <v>/  /</v>
          </cell>
          <cell r="AW763">
            <v>40210</v>
          </cell>
          <cell r="AX763">
            <v>40210</v>
          </cell>
          <cell r="AY763" t="str">
            <v>XX</v>
          </cell>
          <cell r="BA763" t="str">
            <v>1</v>
          </cell>
          <cell r="BB763">
            <v>1</v>
          </cell>
          <cell r="BD763">
            <v>0</v>
          </cell>
          <cell r="BE763" t="str">
            <v>M</v>
          </cell>
          <cell r="BF763" t="str">
            <v>N</v>
          </cell>
          <cell r="BG763">
            <v>4</v>
          </cell>
          <cell r="BH763">
            <v>38534</v>
          </cell>
        </row>
        <row r="764">
          <cell r="A764">
            <v>69237</v>
          </cell>
          <cell r="B764">
            <v>409</v>
          </cell>
          <cell r="C764" t="str">
            <v>C7002</v>
          </cell>
          <cell r="D764" t="str">
            <v>TIAMANI</v>
          </cell>
          <cell r="E764" t="str">
            <v>ABDERRAHMANE</v>
          </cell>
          <cell r="F764">
            <v>20384</v>
          </cell>
          <cell r="G764" t="str">
            <v>1</v>
          </cell>
          <cell r="H764" t="str">
            <v>KHOURIBGA</v>
          </cell>
          <cell r="I764" t="str">
            <v>D</v>
          </cell>
          <cell r="J764">
            <v>28206</v>
          </cell>
          <cell r="K764">
            <v>30133</v>
          </cell>
          <cell r="L764" t="str">
            <v>33</v>
          </cell>
          <cell r="M764" t="str">
            <v>A</v>
          </cell>
          <cell r="N764">
            <v>30133</v>
          </cell>
          <cell r="P764">
            <v>26</v>
          </cell>
          <cell r="Q764" t="str">
            <v>O</v>
          </cell>
          <cell r="R764" t="str">
            <v>N</v>
          </cell>
          <cell r="S764">
            <v>0</v>
          </cell>
          <cell r="T764" t="str">
            <v>M</v>
          </cell>
          <cell r="U764" t="str">
            <v>MARZOUK MINA BENT BOUAZZA</v>
          </cell>
          <cell r="X764">
            <v>5</v>
          </cell>
          <cell r="Y764">
            <v>5</v>
          </cell>
          <cell r="AB764" t="str">
            <v>X</v>
          </cell>
          <cell r="AC764" t="str">
            <v>X</v>
          </cell>
          <cell r="AD764" t="str">
            <v>X</v>
          </cell>
          <cell r="AH764" t="str">
            <v>N</v>
          </cell>
          <cell r="AI764" t="str">
            <v>N</v>
          </cell>
          <cell r="AK764" t="str">
            <v>2 OUED GROU PEPINIERE - KHGA</v>
          </cell>
          <cell r="AL764" t="str">
            <v>4AS</v>
          </cell>
          <cell r="AM764" t="str">
            <v>CFP.</v>
          </cell>
          <cell r="AP764" t="str">
            <v>Q 81080</v>
          </cell>
          <cell r="AQ764">
            <v>0</v>
          </cell>
          <cell r="AR764" t="str">
            <v>B</v>
          </cell>
          <cell r="AS764" t="str">
            <v>BMCE.KHGA</v>
          </cell>
          <cell r="AT764" t="str">
            <v>40001200000148855</v>
          </cell>
          <cell r="AU764" t="str">
            <v>/  /</v>
          </cell>
          <cell r="AW764">
            <v>38718</v>
          </cell>
          <cell r="AY764" t="str">
            <v>XX</v>
          </cell>
          <cell r="BA764" t="str">
            <v>2</v>
          </cell>
          <cell r="BB764">
            <v>1</v>
          </cell>
          <cell r="BC764" t="str">
            <v>O</v>
          </cell>
          <cell r="BD764">
            <v>4</v>
          </cell>
          <cell r="BE764" t="str">
            <v>M</v>
          </cell>
          <cell r="BF764" t="str">
            <v>N</v>
          </cell>
          <cell r="BG764">
            <v>1</v>
          </cell>
          <cell r="BH764">
            <v>38718</v>
          </cell>
        </row>
        <row r="765">
          <cell r="A765">
            <v>69267</v>
          </cell>
          <cell r="B765">
            <v>418</v>
          </cell>
          <cell r="C765" t="str">
            <v>C4411</v>
          </cell>
          <cell r="D765" t="str">
            <v>QARCHAOUI</v>
          </cell>
          <cell r="E765" t="str">
            <v>MOHAMMED</v>
          </cell>
          <cell r="F765">
            <v>19540</v>
          </cell>
          <cell r="G765" t="str">
            <v>3</v>
          </cell>
          <cell r="H765" t="str">
            <v>BOUJNIBA</v>
          </cell>
          <cell r="I765" t="str">
            <v>D</v>
          </cell>
          <cell r="J765">
            <v>28216</v>
          </cell>
          <cell r="K765">
            <v>33573</v>
          </cell>
          <cell r="L765" t="str">
            <v>22</v>
          </cell>
          <cell r="M765" t="str">
            <v>C</v>
          </cell>
          <cell r="N765">
            <v>35612</v>
          </cell>
          <cell r="P765">
            <v>26</v>
          </cell>
          <cell r="Q765" t="str">
            <v>O</v>
          </cell>
          <cell r="R765" t="str">
            <v>N</v>
          </cell>
          <cell r="S765">
            <v>0</v>
          </cell>
          <cell r="T765" t="str">
            <v>M</v>
          </cell>
          <cell r="U765" t="str">
            <v>DABI MINA BENT OMAR</v>
          </cell>
          <cell r="X765">
            <v>5</v>
          </cell>
          <cell r="Y765">
            <v>3</v>
          </cell>
          <cell r="AB765" t="str">
            <v>X</v>
          </cell>
          <cell r="AC765" t="str">
            <v>X</v>
          </cell>
          <cell r="AD765" t="str">
            <v>X</v>
          </cell>
          <cell r="AH765" t="str">
            <v>N</v>
          </cell>
          <cell r="AI765" t="str">
            <v>N</v>
          </cell>
          <cell r="AK765" t="str">
            <v>736 VILLAGE O.C.P - BOULANOIR</v>
          </cell>
          <cell r="AL765" t="str">
            <v>4AS</v>
          </cell>
          <cell r="AP765" t="str">
            <v>Q 80561</v>
          </cell>
          <cell r="AQ765">
            <v>0</v>
          </cell>
          <cell r="AR765" t="str">
            <v>B</v>
          </cell>
          <cell r="AS765" t="str">
            <v>CRED.MAROC KHGA</v>
          </cell>
          <cell r="AT765" t="str">
            <v>082001024173</v>
          </cell>
          <cell r="AU765" t="str">
            <v>/  /</v>
          </cell>
          <cell r="AW765">
            <v>37803</v>
          </cell>
          <cell r="AY765" t="str">
            <v>O+</v>
          </cell>
          <cell r="AZ765" t="str">
            <v>M</v>
          </cell>
          <cell r="BA765" t="str">
            <v>0</v>
          </cell>
          <cell r="BB765">
            <v>1</v>
          </cell>
          <cell r="BD765">
            <v>0</v>
          </cell>
          <cell r="BE765" t="str">
            <v>M</v>
          </cell>
          <cell r="BF765" t="str">
            <v>N</v>
          </cell>
          <cell r="BG765">
            <v>40</v>
          </cell>
          <cell r="BH765">
            <v>37987</v>
          </cell>
        </row>
        <row r="766">
          <cell r="A766">
            <v>69285</v>
          </cell>
          <cell r="B766">
            <v>466</v>
          </cell>
          <cell r="C766" t="str">
            <v>C3050</v>
          </cell>
          <cell r="D766" t="str">
            <v>CHAHID</v>
          </cell>
          <cell r="E766" t="str">
            <v>AHMED</v>
          </cell>
          <cell r="F766">
            <v>21001</v>
          </cell>
          <cell r="G766" t="str">
            <v>5</v>
          </cell>
          <cell r="H766" t="str">
            <v>BOUJAAD</v>
          </cell>
          <cell r="I766" t="str">
            <v>D</v>
          </cell>
          <cell r="J766">
            <v>28227</v>
          </cell>
          <cell r="K766">
            <v>32325</v>
          </cell>
          <cell r="L766" t="str">
            <v>21</v>
          </cell>
          <cell r="M766" t="str">
            <v>A</v>
          </cell>
          <cell r="N766">
            <v>32325</v>
          </cell>
          <cell r="P766">
            <v>26</v>
          </cell>
          <cell r="Q766" t="str">
            <v>O</v>
          </cell>
          <cell r="R766" t="str">
            <v>N</v>
          </cell>
          <cell r="S766">
            <v>0</v>
          </cell>
          <cell r="T766" t="str">
            <v>M</v>
          </cell>
          <cell r="U766" t="str">
            <v>HAIDA KHADIJA BENT AHMED</v>
          </cell>
          <cell r="X766">
            <v>2</v>
          </cell>
          <cell r="Y766">
            <v>2</v>
          </cell>
          <cell r="AB766" t="str">
            <v>O</v>
          </cell>
          <cell r="AC766" t="str">
            <v>X</v>
          </cell>
          <cell r="AD766" t="str">
            <v>X</v>
          </cell>
          <cell r="AE766" t="str">
            <v>M.S.P  ML957690</v>
          </cell>
          <cell r="AH766" t="str">
            <v>N</v>
          </cell>
          <cell r="AI766" t="str">
            <v>N</v>
          </cell>
          <cell r="AK766" t="str">
            <v>42 VILLAGE OCP OUED ZEM</v>
          </cell>
          <cell r="AL766" t="str">
            <v>4AS</v>
          </cell>
          <cell r="AP766" t="str">
            <v>Q 54520</v>
          </cell>
          <cell r="AQ766">
            <v>0</v>
          </cell>
          <cell r="AR766" t="str">
            <v>B</v>
          </cell>
          <cell r="AS766" t="str">
            <v>BMCE.OUED ZEM</v>
          </cell>
          <cell r="AT766" t="str">
            <v>41101200000165530</v>
          </cell>
          <cell r="AU766" t="str">
            <v>/  /</v>
          </cell>
          <cell r="AW766">
            <v>39264</v>
          </cell>
          <cell r="AY766" t="str">
            <v>XX</v>
          </cell>
          <cell r="BA766" t="str">
            <v>2</v>
          </cell>
          <cell r="BB766">
            <v>1</v>
          </cell>
          <cell r="BD766">
            <v>0</v>
          </cell>
          <cell r="BE766" t="str">
            <v>M</v>
          </cell>
          <cell r="BF766" t="str">
            <v>N</v>
          </cell>
          <cell r="BG766">
            <v>31</v>
          </cell>
          <cell r="BH766">
            <v>39264</v>
          </cell>
          <cell r="BI766" t="str">
            <v>O</v>
          </cell>
        </row>
        <row r="767">
          <cell r="A767">
            <v>69295</v>
          </cell>
          <cell r="B767">
            <v>463</v>
          </cell>
          <cell r="C767" t="str">
            <v>C6200</v>
          </cell>
          <cell r="D767" t="str">
            <v>SOUKRATE</v>
          </cell>
          <cell r="E767" t="str">
            <v>HAMMADI</v>
          </cell>
          <cell r="F767">
            <v>18444</v>
          </cell>
          <cell r="G767" t="str">
            <v>2</v>
          </cell>
          <cell r="H767" t="str">
            <v>SMAALA OUED-ZEM</v>
          </cell>
          <cell r="I767" t="str">
            <v>D</v>
          </cell>
          <cell r="J767">
            <v>28233</v>
          </cell>
          <cell r="K767">
            <v>33573</v>
          </cell>
          <cell r="L767" t="str">
            <v>32</v>
          </cell>
          <cell r="M767" t="str">
            <v>A</v>
          </cell>
          <cell r="N767">
            <v>33573</v>
          </cell>
          <cell r="P767">
            <v>26</v>
          </cell>
          <cell r="Q767" t="str">
            <v>O</v>
          </cell>
          <cell r="R767" t="str">
            <v>N</v>
          </cell>
          <cell r="S767">
            <v>0</v>
          </cell>
          <cell r="T767" t="str">
            <v>M</v>
          </cell>
          <cell r="U767" t="str">
            <v>TOUIL HNIA BENT MOHAMED</v>
          </cell>
          <cell r="V767" t="str">
            <v>SOUKRATE JEMAA BENT MOHAMED</v>
          </cell>
          <cell r="X767">
            <v>12</v>
          </cell>
          <cell r="Y767">
            <v>5</v>
          </cell>
          <cell r="AB767" t="str">
            <v>X</v>
          </cell>
          <cell r="AC767" t="str">
            <v>X</v>
          </cell>
          <cell r="AD767" t="str">
            <v>X</v>
          </cell>
          <cell r="AH767" t="str">
            <v>N</v>
          </cell>
          <cell r="AI767" t="str">
            <v>N</v>
          </cell>
          <cell r="AK767" t="str">
            <v>296 BLOC A LOT AL WAHDA OUED ZEM</v>
          </cell>
          <cell r="AL767" t="str">
            <v>3AS</v>
          </cell>
          <cell r="AP767" t="str">
            <v>Q 7064</v>
          </cell>
          <cell r="AQ767">
            <v>0</v>
          </cell>
          <cell r="AR767" t="str">
            <v>B</v>
          </cell>
          <cell r="AS767" t="str">
            <v>CREDIT AGRICOLE</v>
          </cell>
          <cell r="AT767" t="str">
            <v>E201268D601</v>
          </cell>
          <cell r="AU767" t="str">
            <v>/  /</v>
          </cell>
          <cell r="AW767">
            <v>37987</v>
          </cell>
          <cell r="AY767" t="str">
            <v>XX</v>
          </cell>
          <cell r="BA767" t="str">
            <v>2</v>
          </cell>
          <cell r="BB767">
            <v>1</v>
          </cell>
          <cell r="BD767">
            <v>0</v>
          </cell>
          <cell r="BE767" t="str">
            <v>M</v>
          </cell>
          <cell r="BF767" t="str">
            <v>N</v>
          </cell>
          <cell r="BG767">
            <v>31</v>
          </cell>
          <cell r="BH767">
            <v>37987</v>
          </cell>
          <cell r="BI767" t="str">
            <v>O</v>
          </cell>
        </row>
        <row r="768">
          <cell r="A768">
            <v>69315</v>
          </cell>
          <cell r="B768">
            <v>468</v>
          </cell>
          <cell r="C768" t="str">
            <v>C6050</v>
          </cell>
          <cell r="D768" t="str">
            <v>LAFQIH</v>
          </cell>
          <cell r="E768" t="str">
            <v>MOHAMED</v>
          </cell>
          <cell r="F768">
            <v>20636</v>
          </cell>
          <cell r="G768" t="str">
            <v>1</v>
          </cell>
          <cell r="H768" t="str">
            <v>OULED BHAR KBAR KHOURIBGA</v>
          </cell>
          <cell r="I768" t="str">
            <v>D</v>
          </cell>
          <cell r="J768">
            <v>28235</v>
          </cell>
          <cell r="K768">
            <v>35065</v>
          </cell>
          <cell r="L768" t="str">
            <v>32</v>
          </cell>
          <cell r="M768" t="str">
            <v>A</v>
          </cell>
          <cell r="N768">
            <v>35065</v>
          </cell>
          <cell r="P768">
            <v>26</v>
          </cell>
          <cell r="Q768" t="str">
            <v>O</v>
          </cell>
          <cell r="R768" t="str">
            <v>N</v>
          </cell>
          <cell r="S768">
            <v>0</v>
          </cell>
          <cell r="T768" t="str">
            <v>M</v>
          </cell>
          <cell r="U768" t="str">
            <v>LATIFA BENT AHMED</v>
          </cell>
          <cell r="X768">
            <v>4</v>
          </cell>
          <cell r="Y768">
            <v>3</v>
          </cell>
          <cell r="AB768" t="str">
            <v>N</v>
          </cell>
          <cell r="AC768" t="str">
            <v>X</v>
          </cell>
          <cell r="AD768" t="str">
            <v>X</v>
          </cell>
          <cell r="AH768" t="str">
            <v>N</v>
          </cell>
          <cell r="AI768" t="str">
            <v>N</v>
          </cell>
          <cell r="AK768" t="str">
            <v>525 DERB 3 - BOUJNIBA</v>
          </cell>
          <cell r="AL768" t="str">
            <v>4AS</v>
          </cell>
          <cell r="AP768" t="str">
            <v>Q 57530</v>
          </cell>
          <cell r="AQ768">
            <v>0</v>
          </cell>
          <cell r="AR768" t="str">
            <v>B</v>
          </cell>
          <cell r="AS768" t="str">
            <v>CNCA.KHGA</v>
          </cell>
          <cell r="AT768" t="str">
            <v>805263 M 601</v>
          </cell>
          <cell r="AU768" t="str">
            <v>/  /</v>
          </cell>
          <cell r="AW768">
            <v>38899</v>
          </cell>
          <cell r="AY768" t="str">
            <v>XX</v>
          </cell>
          <cell r="BA768" t="str">
            <v>2</v>
          </cell>
          <cell r="BB768">
            <v>1</v>
          </cell>
          <cell r="BD768">
            <v>0</v>
          </cell>
          <cell r="BE768" t="str">
            <v>M</v>
          </cell>
          <cell r="BF768" t="str">
            <v>N</v>
          </cell>
          <cell r="BG768">
            <v>51</v>
          </cell>
          <cell r="BH768">
            <v>38899</v>
          </cell>
          <cell r="BI768" t="str">
            <v>O</v>
          </cell>
        </row>
        <row r="769">
          <cell r="A769">
            <v>69316</v>
          </cell>
          <cell r="B769">
            <v>409</v>
          </cell>
          <cell r="C769" t="str">
            <v>C5152</v>
          </cell>
          <cell r="D769" t="str">
            <v>IMARA</v>
          </cell>
          <cell r="E769" t="str">
            <v>ALLAL</v>
          </cell>
          <cell r="F769">
            <v>18976</v>
          </cell>
          <cell r="G769" t="str">
            <v>1</v>
          </cell>
          <cell r="H769" t="str">
            <v>KHOURIBGA</v>
          </cell>
          <cell r="I769" t="str">
            <v>D</v>
          </cell>
          <cell r="J769">
            <v>28236</v>
          </cell>
          <cell r="K769">
            <v>37073</v>
          </cell>
          <cell r="L769" t="str">
            <v>31</v>
          </cell>
          <cell r="M769" t="str">
            <v>A</v>
          </cell>
          <cell r="N769">
            <v>37073</v>
          </cell>
          <cell r="P769">
            <v>26</v>
          </cell>
          <cell r="Q769" t="str">
            <v>O</v>
          </cell>
          <cell r="R769" t="str">
            <v>N</v>
          </cell>
          <cell r="S769">
            <v>0</v>
          </cell>
          <cell r="T769" t="str">
            <v>M</v>
          </cell>
          <cell r="U769" t="str">
            <v>RAHMA BENT EL HAJ MOHAMED</v>
          </cell>
          <cell r="X769">
            <v>5</v>
          </cell>
          <cell r="Y769">
            <v>5</v>
          </cell>
          <cell r="AB769" t="str">
            <v>X</v>
          </cell>
          <cell r="AC769" t="str">
            <v>X</v>
          </cell>
          <cell r="AD769" t="str">
            <v>X</v>
          </cell>
          <cell r="AH769" t="str">
            <v>N</v>
          </cell>
          <cell r="AI769" t="str">
            <v>N</v>
          </cell>
          <cell r="AK769" t="str">
            <v>101 RUE IBN RACHAD HAY EL FATH KHGA</v>
          </cell>
          <cell r="AL769" t="str">
            <v>1AS</v>
          </cell>
          <cell r="AN769" t="str">
            <v>49═76═15</v>
          </cell>
          <cell r="AP769" t="str">
            <v>Q 43545</v>
          </cell>
          <cell r="AQ769">
            <v>0</v>
          </cell>
          <cell r="AR769" t="str">
            <v>B</v>
          </cell>
          <cell r="AS769" t="str">
            <v>BMCE.KHGA</v>
          </cell>
          <cell r="AT769" t="str">
            <v>4000120000654904</v>
          </cell>
          <cell r="AU769" t="str">
            <v>/  /</v>
          </cell>
          <cell r="AW769">
            <v>37987</v>
          </cell>
          <cell r="AY769" t="str">
            <v>XX</v>
          </cell>
          <cell r="BA769" t="str">
            <v>1</v>
          </cell>
          <cell r="BB769">
            <v>1</v>
          </cell>
          <cell r="BD769">
            <v>0</v>
          </cell>
          <cell r="BE769" t="str">
            <v>M</v>
          </cell>
          <cell r="BF769" t="str">
            <v>N</v>
          </cell>
          <cell r="BG769">
            <v>50</v>
          </cell>
          <cell r="BH769">
            <v>37987</v>
          </cell>
        </row>
        <row r="770">
          <cell r="A770">
            <v>69322</v>
          </cell>
          <cell r="B770">
            <v>421</v>
          </cell>
          <cell r="C770" t="str">
            <v>C5009</v>
          </cell>
          <cell r="D770" t="str">
            <v>SAROUT</v>
          </cell>
          <cell r="E770" t="str">
            <v>ABDERRAHIM</v>
          </cell>
          <cell r="F770">
            <v>21396</v>
          </cell>
          <cell r="G770" t="str">
            <v>1</v>
          </cell>
          <cell r="H770" t="str">
            <v>KHOURIBGA</v>
          </cell>
          <cell r="I770" t="str">
            <v>D</v>
          </cell>
          <cell r="J770">
            <v>29650</v>
          </cell>
          <cell r="K770">
            <v>29677</v>
          </cell>
          <cell r="L770" t="str">
            <v>31</v>
          </cell>
          <cell r="M770" t="str">
            <v>A</v>
          </cell>
          <cell r="N770">
            <v>29677</v>
          </cell>
          <cell r="P770">
            <v>22</v>
          </cell>
          <cell r="Q770" t="str">
            <v>O</v>
          </cell>
          <cell r="R770" t="str">
            <v>N</v>
          </cell>
          <cell r="S770">
            <v>0</v>
          </cell>
          <cell r="T770" t="str">
            <v>M</v>
          </cell>
          <cell r="U770" t="str">
            <v>HALIMA BENT MOHAMED</v>
          </cell>
          <cell r="X770">
            <v>3</v>
          </cell>
          <cell r="Y770">
            <v>2</v>
          </cell>
          <cell r="AB770" t="str">
            <v>X</v>
          </cell>
          <cell r="AC770" t="str">
            <v>X</v>
          </cell>
          <cell r="AD770" t="str">
            <v>X</v>
          </cell>
          <cell r="AH770" t="str">
            <v>N</v>
          </cell>
          <cell r="AI770" t="str">
            <v>N</v>
          </cell>
          <cell r="AK770" t="str">
            <v>13 RUE OD BRAHIM DB OULED EL AROUI KHGA</v>
          </cell>
          <cell r="AL770" t="str">
            <v>4AS</v>
          </cell>
          <cell r="AM770" t="str">
            <v>CEP.</v>
          </cell>
          <cell r="AP770" t="str">
            <v>Q 19351</v>
          </cell>
          <cell r="AQ770">
            <v>0</v>
          </cell>
          <cell r="AR770" t="str">
            <v>B</v>
          </cell>
          <cell r="AS770" t="str">
            <v>POPULAIRE.KHGA</v>
          </cell>
          <cell r="AT770" t="str">
            <v>2111112814320003</v>
          </cell>
          <cell r="AU770" t="str">
            <v>/  /</v>
          </cell>
          <cell r="AW770">
            <v>39814</v>
          </cell>
          <cell r="AY770" t="str">
            <v>XX</v>
          </cell>
          <cell r="AZ770" t="str">
            <v>R</v>
          </cell>
          <cell r="BA770" t="str">
            <v>2</v>
          </cell>
          <cell r="BB770">
            <v>1</v>
          </cell>
          <cell r="BC770" t="str">
            <v>N</v>
          </cell>
          <cell r="BD770">
            <v>0</v>
          </cell>
          <cell r="BE770" t="str">
            <v>M</v>
          </cell>
          <cell r="BF770" t="str">
            <v>N</v>
          </cell>
          <cell r="BG770">
            <v>4</v>
          </cell>
          <cell r="BH770">
            <v>39814</v>
          </cell>
        </row>
        <row r="771">
          <cell r="A771">
            <v>69359</v>
          </cell>
          <cell r="B771">
            <v>428</v>
          </cell>
          <cell r="C771" t="str">
            <v>C4411</v>
          </cell>
          <cell r="D771" t="str">
            <v>MEFTAH</v>
          </cell>
          <cell r="E771" t="str">
            <v>MOHAMMED</v>
          </cell>
          <cell r="F771">
            <v>18444</v>
          </cell>
          <cell r="G771" t="str">
            <v>1</v>
          </cell>
          <cell r="H771" t="str">
            <v>OULED BHAR KBAR KHOURIBGA</v>
          </cell>
          <cell r="I771" t="str">
            <v>D</v>
          </cell>
          <cell r="J771">
            <v>28270</v>
          </cell>
          <cell r="K771">
            <v>33573</v>
          </cell>
          <cell r="L771" t="str">
            <v>22</v>
          </cell>
          <cell r="M771" t="str">
            <v>C</v>
          </cell>
          <cell r="N771">
            <v>35612</v>
          </cell>
          <cell r="P771">
            <v>25</v>
          </cell>
          <cell r="Q771" t="str">
            <v>O</v>
          </cell>
          <cell r="R771" t="str">
            <v>N</v>
          </cell>
          <cell r="S771">
            <v>0</v>
          </cell>
          <cell r="T771" t="str">
            <v>M</v>
          </cell>
          <cell r="U771" t="str">
            <v>KHADIJA BENT BOUZEKRI</v>
          </cell>
          <cell r="X771">
            <v>4</v>
          </cell>
          <cell r="Y771">
            <v>2</v>
          </cell>
          <cell r="AB771" t="str">
            <v>X</v>
          </cell>
          <cell r="AC771" t="str">
            <v>X</v>
          </cell>
          <cell r="AD771" t="str">
            <v>X</v>
          </cell>
          <cell r="AH771" t="str">
            <v>N</v>
          </cell>
          <cell r="AI771" t="str">
            <v>N</v>
          </cell>
          <cell r="AK771" t="str">
            <v>783 VILLAGE O.C.P - HATTANE</v>
          </cell>
          <cell r="AL771" t="str">
            <v>CM2</v>
          </cell>
          <cell r="AP771" t="str">
            <v>Q 66633</v>
          </cell>
          <cell r="AQ771">
            <v>0</v>
          </cell>
          <cell r="AR771" t="str">
            <v>C</v>
          </cell>
          <cell r="AS771" t="str">
            <v>CREDIT MAROC-KHGA</v>
          </cell>
          <cell r="AT771" t="str">
            <v>082001080744</v>
          </cell>
          <cell r="AU771" t="str">
            <v>/  /</v>
          </cell>
          <cell r="AW771">
            <v>37987</v>
          </cell>
          <cell r="AY771" t="str">
            <v>O+</v>
          </cell>
          <cell r="BA771" t="str">
            <v>0</v>
          </cell>
          <cell r="BB771">
            <v>1</v>
          </cell>
          <cell r="BD771">
            <v>0</v>
          </cell>
          <cell r="BE771" t="str">
            <v>M</v>
          </cell>
          <cell r="BF771" t="str">
            <v>N</v>
          </cell>
          <cell r="BG771">
            <v>11</v>
          </cell>
          <cell r="BH771">
            <v>37987</v>
          </cell>
          <cell r="BI771" t="str">
            <v>O</v>
          </cell>
        </row>
        <row r="772">
          <cell r="A772">
            <v>69399</v>
          </cell>
          <cell r="B772">
            <v>463</v>
          </cell>
          <cell r="C772" t="str">
            <v>C3200</v>
          </cell>
          <cell r="D772" t="str">
            <v>LABZAGUI</v>
          </cell>
          <cell r="E772" t="str">
            <v>M'HAMED</v>
          </cell>
          <cell r="F772">
            <v>19086</v>
          </cell>
          <cell r="G772" t="str">
            <v>1</v>
          </cell>
          <cell r="H772" t="str">
            <v>OULED BHAR KBAR KHOURIBGA</v>
          </cell>
          <cell r="I772" t="str">
            <v>D</v>
          </cell>
          <cell r="J772">
            <v>28284</v>
          </cell>
          <cell r="K772">
            <v>36526</v>
          </cell>
          <cell r="L772" t="str">
            <v>21</v>
          </cell>
          <cell r="M772" t="str">
            <v>C</v>
          </cell>
          <cell r="N772">
            <v>36526</v>
          </cell>
          <cell r="P772">
            <v>25</v>
          </cell>
          <cell r="Q772" t="str">
            <v>O</v>
          </cell>
          <cell r="R772" t="str">
            <v>N</v>
          </cell>
          <cell r="S772">
            <v>0</v>
          </cell>
          <cell r="T772" t="str">
            <v>M</v>
          </cell>
          <cell r="U772" t="str">
            <v>OUNADI ES-SALHA</v>
          </cell>
          <cell r="V772" t="str">
            <v>JABBOUR YAMNA</v>
          </cell>
          <cell r="X772">
            <v>0</v>
          </cell>
          <cell r="Y772">
            <v>0</v>
          </cell>
          <cell r="AA772" t="str">
            <v>31/07/85</v>
          </cell>
          <cell r="AB772" t="str">
            <v>X</v>
          </cell>
          <cell r="AC772" t="str">
            <v>X</v>
          </cell>
          <cell r="AD772" t="str">
            <v>X</v>
          </cell>
          <cell r="AH772" t="str">
            <v>N</v>
          </cell>
          <cell r="AI772" t="str">
            <v>N</v>
          </cell>
          <cell r="AK772" t="str">
            <v>BIR MEZOUI CENTRE</v>
          </cell>
          <cell r="AL772" t="str">
            <v>CM2</v>
          </cell>
          <cell r="AP772" t="str">
            <v>Q 53852</v>
          </cell>
          <cell r="AQ772">
            <v>0</v>
          </cell>
          <cell r="AR772" t="str">
            <v>B</v>
          </cell>
          <cell r="AS772" t="str">
            <v>WAFABANK -KHGA</v>
          </cell>
          <cell r="AT772" t="str">
            <v>1220301156894</v>
          </cell>
          <cell r="AU772" t="str">
            <v>/  /</v>
          </cell>
          <cell r="AW772">
            <v>39214</v>
          </cell>
          <cell r="AX772">
            <v>39214</v>
          </cell>
          <cell r="AY772" t="str">
            <v>XX</v>
          </cell>
          <cell r="AZ772" t="str">
            <v>K</v>
          </cell>
          <cell r="BA772" t="str">
            <v>2</v>
          </cell>
          <cell r="BB772">
            <v>1</v>
          </cell>
          <cell r="BD772">
            <v>0</v>
          </cell>
          <cell r="BE772" t="str">
            <v>M</v>
          </cell>
          <cell r="BF772" t="str">
            <v>N</v>
          </cell>
          <cell r="BG772">
            <v>0</v>
          </cell>
          <cell r="BH772">
            <v>37987</v>
          </cell>
          <cell r="BI772" t="str">
            <v>O</v>
          </cell>
        </row>
        <row r="773">
          <cell r="A773">
            <v>69409</v>
          </cell>
          <cell r="B773">
            <v>403</v>
          </cell>
          <cell r="C773" t="str">
            <v>C3050</v>
          </cell>
          <cell r="D773" t="str">
            <v>GOUNTI</v>
          </cell>
          <cell r="E773" t="str">
            <v>LAHSEN</v>
          </cell>
          <cell r="F773">
            <v>20581</v>
          </cell>
          <cell r="G773" t="str">
            <v>3</v>
          </cell>
          <cell r="H773" t="str">
            <v>BOUJNIBA</v>
          </cell>
          <cell r="I773" t="str">
            <v>D</v>
          </cell>
          <cell r="J773">
            <v>28284</v>
          </cell>
          <cell r="K773">
            <v>37073</v>
          </cell>
          <cell r="L773" t="str">
            <v>21</v>
          </cell>
          <cell r="M773" t="str">
            <v>C</v>
          </cell>
          <cell r="N773">
            <v>37073</v>
          </cell>
          <cell r="P773">
            <v>25</v>
          </cell>
          <cell r="Q773" t="str">
            <v>O</v>
          </cell>
          <cell r="R773" t="str">
            <v>N</v>
          </cell>
          <cell r="S773">
            <v>0</v>
          </cell>
          <cell r="T773" t="str">
            <v>M</v>
          </cell>
          <cell r="U773" t="str">
            <v>ZAKARI FATIMA</v>
          </cell>
          <cell r="X773">
            <v>4</v>
          </cell>
          <cell r="Y773">
            <v>3</v>
          </cell>
          <cell r="AB773" t="str">
            <v>X</v>
          </cell>
          <cell r="AC773" t="str">
            <v>X</v>
          </cell>
          <cell r="AD773" t="str">
            <v>X</v>
          </cell>
          <cell r="AH773" t="str">
            <v>N</v>
          </cell>
          <cell r="AI773" t="str">
            <v>N</v>
          </cell>
          <cell r="AK773" t="str">
            <v>274 LOT. OUED EDDAHAB - OUED ZEM</v>
          </cell>
          <cell r="AL773" t="str">
            <v>4AS</v>
          </cell>
          <cell r="AP773" t="str">
            <v>Q 13660</v>
          </cell>
          <cell r="AQ773">
            <v>0</v>
          </cell>
          <cell r="AR773" t="str">
            <v>B</v>
          </cell>
          <cell r="AS773" t="str">
            <v>BMCI  OUED-ZEM</v>
          </cell>
          <cell r="AT773" t="str">
            <v>02521528871301</v>
          </cell>
          <cell r="AU773" t="str">
            <v>/  /</v>
          </cell>
          <cell r="AW773">
            <v>38899</v>
          </cell>
          <cell r="AY773" t="str">
            <v>XX</v>
          </cell>
          <cell r="BA773" t="str">
            <v>2</v>
          </cell>
          <cell r="BB773">
            <v>1</v>
          </cell>
          <cell r="BD773">
            <v>0</v>
          </cell>
          <cell r="BE773" t="str">
            <v>M</v>
          </cell>
          <cell r="BF773" t="str">
            <v>N</v>
          </cell>
          <cell r="BG773">
            <v>31</v>
          </cell>
          <cell r="BH773">
            <v>38899</v>
          </cell>
          <cell r="BI773" t="str">
            <v>O</v>
          </cell>
        </row>
        <row r="774">
          <cell r="A774">
            <v>69479</v>
          </cell>
          <cell r="B774">
            <v>418</v>
          </cell>
          <cell r="C774" t="str">
            <v>C3152</v>
          </cell>
          <cell r="D774" t="str">
            <v>EL HAMASSI</v>
          </cell>
          <cell r="E774" t="str">
            <v>ABDERRAHIM</v>
          </cell>
          <cell r="F774">
            <v>19540</v>
          </cell>
          <cell r="G774" t="str">
            <v>1</v>
          </cell>
          <cell r="H774" t="str">
            <v>KHOURIBGA</v>
          </cell>
          <cell r="I774" t="str">
            <v>D</v>
          </cell>
          <cell r="J774">
            <v>28304</v>
          </cell>
          <cell r="K774">
            <v>35096</v>
          </cell>
          <cell r="L774" t="str">
            <v>21</v>
          </cell>
          <cell r="M774" t="str">
            <v>A</v>
          </cell>
          <cell r="N774">
            <v>35096</v>
          </cell>
          <cell r="P774">
            <v>25</v>
          </cell>
          <cell r="Q774" t="str">
            <v>O</v>
          </cell>
          <cell r="R774" t="str">
            <v>N</v>
          </cell>
          <cell r="S774">
            <v>0</v>
          </cell>
          <cell r="T774" t="str">
            <v>C</v>
          </cell>
          <cell r="X774">
            <v>0</v>
          </cell>
          <cell r="Y774">
            <v>0</v>
          </cell>
          <cell r="AB774" t="str">
            <v>X</v>
          </cell>
          <cell r="AC774" t="str">
            <v>X</v>
          </cell>
          <cell r="AD774" t="str">
            <v>X</v>
          </cell>
          <cell r="AH774" t="str">
            <v>N</v>
          </cell>
          <cell r="AI774" t="str">
            <v>N</v>
          </cell>
          <cell r="AK774" t="str">
            <v>283,VILLAGE OCP BOULANOUAR</v>
          </cell>
          <cell r="AL774" t="str">
            <v>5AS</v>
          </cell>
          <cell r="AP774" t="str">
            <v>Q 83274</v>
          </cell>
          <cell r="AQ774">
            <v>0</v>
          </cell>
          <cell r="AR774" t="str">
            <v>C</v>
          </cell>
          <cell r="AU774" t="str">
            <v>/  /</v>
          </cell>
          <cell r="AW774">
            <v>37987</v>
          </cell>
          <cell r="AY774" t="str">
            <v>XX</v>
          </cell>
          <cell r="AZ774" t="str">
            <v>K</v>
          </cell>
          <cell r="BA774" t="str">
            <v>1</v>
          </cell>
          <cell r="BB774">
            <v>0</v>
          </cell>
          <cell r="BD774">
            <v>0</v>
          </cell>
          <cell r="BE774" t="str">
            <v>M</v>
          </cell>
          <cell r="BF774" t="str">
            <v>N</v>
          </cell>
          <cell r="BG774">
            <v>41</v>
          </cell>
          <cell r="BH774">
            <v>37987</v>
          </cell>
        </row>
        <row r="775">
          <cell r="A775">
            <v>69489</v>
          </cell>
          <cell r="B775">
            <v>421</v>
          </cell>
          <cell r="C775" t="str">
            <v>X3150</v>
          </cell>
          <cell r="D775" t="str">
            <v>MAKHLOQ</v>
          </cell>
          <cell r="E775" t="str">
            <v>ABDERRAHIM</v>
          </cell>
          <cell r="F775">
            <v>21127</v>
          </cell>
          <cell r="G775" t="str">
            <v>1</v>
          </cell>
          <cell r="H775" t="str">
            <v>KHOURIBGA</v>
          </cell>
          <cell r="I775" t="str">
            <v>F</v>
          </cell>
          <cell r="J775">
            <v>28307</v>
          </cell>
          <cell r="K775">
            <v>35431</v>
          </cell>
          <cell r="L775" t="str">
            <v>41</v>
          </cell>
          <cell r="M775" t="str">
            <v>A</v>
          </cell>
          <cell r="N775">
            <v>35431</v>
          </cell>
          <cell r="P775">
            <v>25</v>
          </cell>
          <cell r="Q775" t="str">
            <v>O</v>
          </cell>
          <cell r="R775" t="str">
            <v>N</v>
          </cell>
          <cell r="S775">
            <v>0</v>
          </cell>
          <cell r="T775" t="str">
            <v>M</v>
          </cell>
          <cell r="U775" t="str">
            <v>TOURIA BENT MOHAMED</v>
          </cell>
          <cell r="X775">
            <v>4</v>
          </cell>
          <cell r="Y775">
            <v>4</v>
          </cell>
          <cell r="AB775" t="str">
            <v>X</v>
          </cell>
          <cell r="AC775" t="str">
            <v>X</v>
          </cell>
          <cell r="AD775" t="str">
            <v>X</v>
          </cell>
          <cell r="AE775" t="str">
            <v>MINI.EDUC.NAT</v>
          </cell>
          <cell r="AH775" t="str">
            <v>N</v>
          </cell>
          <cell r="AI775" t="str">
            <v>N</v>
          </cell>
          <cell r="AK775" t="str">
            <v>32 RUE ARFOUD IQBAL - KHOURIBGA</v>
          </cell>
          <cell r="AL775" t="str">
            <v>4AS</v>
          </cell>
          <cell r="AM775" t="str">
            <v>CFP.CFO</v>
          </cell>
          <cell r="AP775" t="str">
            <v>Q 18483</v>
          </cell>
          <cell r="AQ775">
            <v>0</v>
          </cell>
          <cell r="AR775" t="str">
            <v>B</v>
          </cell>
          <cell r="AS775" t="str">
            <v>C.I.H    KHGA</v>
          </cell>
          <cell r="AT775" t="str">
            <v>7944242213004700</v>
          </cell>
          <cell r="AU775" t="str">
            <v>/  /</v>
          </cell>
          <cell r="AW775">
            <v>39448</v>
          </cell>
          <cell r="AY775" t="str">
            <v>XX</v>
          </cell>
          <cell r="AZ775" t="str">
            <v>M</v>
          </cell>
          <cell r="BA775" t="str">
            <v>1</v>
          </cell>
          <cell r="BB775">
            <v>1</v>
          </cell>
          <cell r="BC775" t="str">
            <v>O</v>
          </cell>
          <cell r="BD775">
            <v>4</v>
          </cell>
          <cell r="BE775" t="str">
            <v>M</v>
          </cell>
          <cell r="BF775" t="str">
            <v>N</v>
          </cell>
          <cell r="BG775">
            <v>4</v>
          </cell>
          <cell r="BH775">
            <v>39448</v>
          </cell>
        </row>
        <row r="776">
          <cell r="A776">
            <v>69543</v>
          </cell>
          <cell r="B776">
            <v>468</v>
          </cell>
          <cell r="C776" t="str">
            <v>C3152</v>
          </cell>
          <cell r="D776" t="str">
            <v>AOUFI</v>
          </cell>
          <cell r="E776" t="str">
            <v>BOUCHTA</v>
          </cell>
          <cell r="F776">
            <v>19974</v>
          </cell>
          <cell r="G776" t="str">
            <v>2</v>
          </cell>
          <cell r="H776" t="str">
            <v>BENI SMIR</v>
          </cell>
          <cell r="I776" t="str">
            <v>D</v>
          </cell>
          <cell r="J776">
            <v>28332</v>
          </cell>
          <cell r="K776">
            <v>35977</v>
          </cell>
          <cell r="L776" t="str">
            <v>21</v>
          </cell>
          <cell r="M776" t="str">
            <v>B</v>
          </cell>
          <cell r="N776">
            <v>35977</v>
          </cell>
          <cell r="P776">
            <v>25</v>
          </cell>
          <cell r="Q776" t="str">
            <v>O</v>
          </cell>
          <cell r="R776" t="str">
            <v>N</v>
          </cell>
          <cell r="S776">
            <v>0</v>
          </cell>
          <cell r="T776" t="str">
            <v>M</v>
          </cell>
          <cell r="U776" t="str">
            <v>EL AMIRI FATIMA</v>
          </cell>
          <cell r="X776">
            <v>1</v>
          </cell>
          <cell r="Y776">
            <v>1</v>
          </cell>
          <cell r="Z776" t="str">
            <v>O</v>
          </cell>
          <cell r="AA776" t="str">
            <v>05/01/95</v>
          </cell>
          <cell r="AB776" t="str">
            <v>X</v>
          </cell>
          <cell r="AC776" t="str">
            <v>X</v>
          </cell>
          <cell r="AD776" t="str">
            <v>X</v>
          </cell>
          <cell r="AH776" t="str">
            <v>N</v>
          </cell>
          <cell r="AI776" t="str">
            <v>N</v>
          </cell>
          <cell r="AK776" t="str">
            <v>85 VILLAGE OCP BOUJNIBA</v>
          </cell>
          <cell r="AL776" t="str">
            <v>4AS</v>
          </cell>
          <cell r="AP776" t="str">
            <v>Q 58045</v>
          </cell>
          <cell r="AQ776">
            <v>0</v>
          </cell>
          <cell r="AR776" t="str">
            <v>B</v>
          </cell>
          <cell r="AS776" t="str">
            <v>WAFABANK - KHGA</v>
          </cell>
          <cell r="AT776" t="str">
            <v>1220301357160</v>
          </cell>
          <cell r="AU776" t="str">
            <v>/  /</v>
          </cell>
          <cell r="AW776">
            <v>38353</v>
          </cell>
          <cell r="AY776" t="str">
            <v>XX</v>
          </cell>
          <cell r="BA776" t="str">
            <v>1</v>
          </cell>
          <cell r="BB776">
            <v>0</v>
          </cell>
          <cell r="BD776">
            <v>0</v>
          </cell>
          <cell r="BE776" t="str">
            <v>M</v>
          </cell>
          <cell r="BF776" t="str">
            <v>N</v>
          </cell>
          <cell r="BG776">
            <v>51</v>
          </cell>
          <cell r="BH776">
            <v>38353</v>
          </cell>
        </row>
        <row r="777">
          <cell r="A777">
            <v>69544</v>
          </cell>
          <cell r="B777">
            <v>461</v>
          </cell>
          <cell r="C777" t="str">
            <v>C4152</v>
          </cell>
          <cell r="D777" t="str">
            <v>MAJDALI</v>
          </cell>
          <cell r="E777" t="str">
            <v>MOHAMMED</v>
          </cell>
          <cell r="F777">
            <v>19905</v>
          </cell>
          <cell r="G777" t="str">
            <v>2</v>
          </cell>
          <cell r="H777" t="str">
            <v>BENI SMIR</v>
          </cell>
          <cell r="I777" t="str">
            <v>D</v>
          </cell>
          <cell r="J777">
            <v>28332</v>
          </cell>
          <cell r="K777">
            <v>36526</v>
          </cell>
          <cell r="L777" t="str">
            <v>22</v>
          </cell>
          <cell r="M777" t="str">
            <v>A</v>
          </cell>
          <cell r="N777">
            <v>36526</v>
          </cell>
          <cell r="O777">
            <v>0</v>
          </cell>
          <cell r="P777">
            <v>25</v>
          </cell>
          <cell r="Q777" t="str">
            <v>O</v>
          </cell>
          <cell r="R777" t="str">
            <v>N</v>
          </cell>
          <cell r="S777">
            <v>0</v>
          </cell>
          <cell r="T777" t="str">
            <v>M</v>
          </cell>
          <cell r="U777" t="str">
            <v>HADIL SAADIA</v>
          </cell>
          <cell r="X777">
            <v>5</v>
          </cell>
          <cell r="Y777">
            <v>2</v>
          </cell>
          <cell r="AB777" t="str">
            <v>X</v>
          </cell>
          <cell r="AC777" t="str">
            <v>X</v>
          </cell>
          <cell r="AD777" t="str">
            <v>X</v>
          </cell>
          <cell r="AH777" t="str">
            <v>N</v>
          </cell>
          <cell r="AI777" t="str">
            <v>N</v>
          </cell>
          <cell r="AK777" t="str">
            <v>143 VILLAGE OCP OUED ZEM</v>
          </cell>
          <cell r="AL777" t="str">
            <v>4AS</v>
          </cell>
          <cell r="AP777" t="str">
            <v>Q92658</v>
          </cell>
          <cell r="AQ777">
            <v>0</v>
          </cell>
          <cell r="AR777" t="str">
            <v>B</v>
          </cell>
          <cell r="AS777" t="str">
            <v>POPULAIRE.O-ZEM</v>
          </cell>
          <cell r="AT777" t="str">
            <v>2111136292620006</v>
          </cell>
          <cell r="AU777" t="str">
            <v>/  /</v>
          </cell>
          <cell r="AW777">
            <v>39546</v>
          </cell>
          <cell r="AX777">
            <v>39546</v>
          </cell>
          <cell r="AY777" t="str">
            <v>XX</v>
          </cell>
          <cell r="BA777" t="str">
            <v>1</v>
          </cell>
          <cell r="BB777">
            <v>1</v>
          </cell>
          <cell r="BD777">
            <v>0</v>
          </cell>
          <cell r="BE777" t="str">
            <v>M</v>
          </cell>
          <cell r="BF777" t="str">
            <v>N</v>
          </cell>
          <cell r="BG777">
            <v>31</v>
          </cell>
          <cell r="BH777">
            <v>38169</v>
          </cell>
          <cell r="BI777" t="str">
            <v>O</v>
          </cell>
        </row>
        <row r="778">
          <cell r="A778">
            <v>69545</v>
          </cell>
          <cell r="B778">
            <v>468</v>
          </cell>
          <cell r="C778" t="str">
            <v>C6050</v>
          </cell>
          <cell r="D778" t="str">
            <v>AHSSEN</v>
          </cell>
          <cell r="E778" t="str">
            <v>EL HOUSSINE</v>
          </cell>
          <cell r="F778">
            <v>21098</v>
          </cell>
          <cell r="G778" t="str">
            <v>4</v>
          </cell>
          <cell r="H778" t="str">
            <v>BOULANOUAR</v>
          </cell>
          <cell r="I778" t="str">
            <v>D</v>
          </cell>
          <cell r="J778">
            <v>28333</v>
          </cell>
          <cell r="K778">
            <v>35065</v>
          </cell>
          <cell r="L778" t="str">
            <v>32</v>
          </cell>
          <cell r="M778" t="str">
            <v>A</v>
          </cell>
          <cell r="N778">
            <v>35065</v>
          </cell>
          <cell r="P778">
            <v>25</v>
          </cell>
          <cell r="Q778" t="str">
            <v>O</v>
          </cell>
          <cell r="R778" t="str">
            <v>N</v>
          </cell>
          <cell r="S778">
            <v>0</v>
          </cell>
          <cell r="T778" t="str">
            <v>M</v>
          </cell>
          <cell r="U778" t="str">
            <v>LAAOUINI AICHA</v>
          </cell>
          <cell r="X778">
            <v>5</v>
          </cell>
          <cell r="Y778">
            <v>4</v>
          </cell>
          <cell r="AB778" t="str">
            <v>X</v>
          </cell>
          <cell r="AC778" t="str">
            <v>X</v>
          </cell>
          <cell r="AD778" t="str">
            <v>X</v>
          </cell>
          <cell r="AH778" t="str">
            <v>N</v>
          </cell>
          <cell r="AI778" t="str">
            <v>N</v>
          </cell>
          <cell r="AK778" t="str">
            <v>14 RUE ABOU ABBES SEBTI   KHGA</v>
          </cell>
          <cell r="AL778" t="str">
            <v>4AS</v>
          </cell>
          <cell r="AM778" t="str">
            <v>CFO.</v>
          </cell>
          <cell r="AP778" t="str">
            <v>Q 42678</v>
          </cell>
          <cell r="AQ778">
            <v>0</v>
          </cell>
          <cell r="AR778" t="str">
            <v>B</v>
          </cell>
          <cell r="AS778" t="str">
            <v>SGMB - KHGA</v>
          </cell>
          <cell r="AT778" t="str">
            <v>0670009080961</v>
          </cell>
          <cell r="AU778" t="str">
            <v>/  /</v>
          </cell>
          <cell r="AW778">
            <v>39448</v>
          </cell>
          <cell r="AY778" t="str">
            <v>XX</v>
          </cell>
          <cell r="BA778" t="str">
            <v>2</v>
          </cell>
          <cell r="BB778">
            <v>1</v>
          </cell>
          <cell r="BC778" t="str">
            <v>O</v>
          </cell>
          <cell r="BD778">
            <v>4</v>
          </cell>
          <cell r="BE778" t="str">
            <v>M</v>
          </cell>
          <cell r="BF778" t="str">
            <v>N</v>
          </cell>
          <cell r="BG778">
            <v>5</v>
          </cell>
          <cell r="BH778">
            <v>39448</v>
          </cell>
        </row>
        <row r="779">
          <cell r="A779">
            <v>69546</v>
          </cell>
          <cell r="B779">
            <v>406</v>
          </cell>
          <cell r="C779" t="str">
            <v>C4050</v>
          </cell>
          <cell r="D779" t="str">
            <v>RHOULAM</v>
          </cell>
          <cell r="E779" t="str">
            <v>MEHDI</v>
          </cell>
          <cell r="F779">
            <v>19540</v>
          </cell>
          <cell r="H779" t="str">
            <v>LOULAD - SETTAT</v>
          </cell>
          <cell r="I779" t="str">
            <v>D</v>
          </cell>
          <cell r="J779">
            <v>28333</v>
          </cell>
          <cell r="K779">
            <v>35065</v>
          </cell>
          <cell r="L779" t="str">
            <v>22</v>
          </cell>
          <cell r="M779" t="str">
            <v>A</v>
          </cell>
          <cell r="N779">
            <v>35065</v>
          </cell>
          <cell r="P779">
            <v>25</v>
          </cell>
          <cell r="Q779" t="str">
            <v>O</v>
          </cell>
          <cell r="R779" t="str">
            <v>N</v>
          </cell>
          <cell r="S779">
            <v>0</v>
          </cell>
          <cell r="T779" t="str">
            <v>M</v>
          </cell>
          <cell r="U779" t="str">
            <v>SANI SAADIA</v>
          </cell>
          <cell r="X779">
            <v>3</v>
          </cell>
          <cell r="Y779">
            <v>3</v>
          </cell>
          <cell r="AB779" t="str">
            <v>O</v>
          </cell>
          <cell r="AC779" t="str">
            <v>X</v>
          </cell>
          <cell r="AD779" t="str">
            <v>X</v>
          </cell>
          <cell r="AE779" t="str">
            <v>MIN SANTE</v>
          </cell>
          <cell r="AH779" t="str">
            <v>N</v>
          </cell>
          <cell r="AI779" t="str">
            <v>N</v>
          </cell>
          <cell r="AK779" t="str">
            <v>573 VILLAGE OCP BOULANOUAR</v>
          </cell>
          <cell r="AL779" t="str">
            <v>3AS</v>
          </cell>
          <cell r="AP779" t="str">
            <v>Q 29943</v>
          </cell>
          <cell r="AQ779">
            <v>0</v>
          </cell>
          <cell r="AR779" t="str">
            <v>B</v>
          </cell>
          <cell r="AS779" t="str">
            <v>WAFABANK - KHGA</v>
          </cell>
          <cell r="AT779" t="str">
            <v>1220301207317</v>
          </cell>
          <cell r="AU779" t="str">
            <v>/  /</v>
          </cell>
          <cell r="AW779">
            <v>37987</v>
          </cell>
          <cell r="AY779" t="str">
            <v>XX</v>
          </cell>
          <cell r="BA779" t="str">
            <v>2</v>
          </cell>
          <cell r="BB779">
            <v>1</v>
          </cell>
          <cell r="BD779">
            <v>0</v>
          </cell>
          <cell r="BE779" t="str">
            <v>M</v>
          </cell>
          <cell r="BF779" t="str">
            <v>N</v>
          </cell>
          <cell r="BG779">
            <v>41</v>
          </cell>
          <cell r="BH779">
            <v>37987</v>
          </cell>
        </row>
        <row r="780">
          <cell r="A780">
            <v>69548</v>
          </cell>
          <cell r="B780">
            <v>403</v>
          </cell>
          <cell r="C780" t="str">
            <v>C3000</v>
          </cell>
          <cell r="D780" t="str">
            <v>BENDAFI</v>
          </cell>
          <cell r="E780" t="str">
            <v>EL HAJ</v>
          </cell>
          <cell r="F780">
            <v>19175</v>
          </cell>
          <cell r="G780" t="str">
            <v>1</v>
          </cell>
          <cell r="H780" t="str">
            <v>OULED BHAR KBAR KHOURIBGA</v>
          </cell>
          <cell r="I780" t="str">
            <v>D</v>
          </cell>
          <cell r="J780">
            <v>28335</v>
          </cell>
          <cell r="K780">
            <v>37104</v>
          </cell>
          <cell r="L780" t="str">
            <v>21</v>
          </cell>
          <cell r="M780" t="str">
            <v>C</v>
          </cell>
          <cell r="N780">
            <v>37104</v>
          </cell>
          <cell r="O780">
            <v>0</v>
          </cell>
          <cell r="P780">
            <v>25</v>
          </cell>
          <cell r="Q780" t="str">
            <v>O</v>
          </cell>
          <cell r="R780" t="str">
            <v>N</v>
          </cell>
          <cell r="S780">
            <v>0</v>
          </cell>
          <cell r="T780" t="str">
            <v>M</v>
          </cell>
          <cell r="U780" t="str">
            <v>NAKHIL SAADIA</v>
          </cell>
          <cell r="X780">
            <v>6</v>
          </cell>
          <cell r="Y780">
            <v>4</v>
          </cell>
          <cell r="AB780" t="str">
            <v>X</v>
          </cell>
          <cell r="AC780" t="str">
            <v>X</v>
          </cell>
          <cell r="AD780" t="str">
            <v>X</v>
          </cell>
          <cell r="AH780" t="str">
            <v>N</v>
          </cell>
          <cell r="AI780" t="str">
            <v>N</v>
          </cell>
          <cell r="AK780" t="str">
            <v>37 RUE 2 KOREA - OUED ZEM</v>
          </cell>
          <cell r="AL780" t="str">
            <v>2AS</v>
          </cell>
          <cell r="AP780" t="str">
            <v>Q 48197</v>
          </cell>
          <cell r="AQ780">
            <v>0</v>
          </cell>
          <cell r="AR780" t="str">
            <v>B</v>
          </cell>
          <cell r="AS780" t="str">
            <v>POPULAIRE  KHGA</v>
          </cell>
          <cell r="AT780" t="str">
            <v>2111112891400009</v>
          </cell>
          <cell r="AU780" t="str">
            <v>/  /</v>
          </cell>
          <cell r="AW780">
            <v>37987</v>
          </cell>
          <cell r="AY780" t="str">
            <v>XX</v>
          </cell>
          <cell r="AZ780" t="str">
            <v>K</v>
          </cell>
          <cell r="BA780" t="str">
            <v>1</v>
          </cell>
          <cell r="BB780">
            <v>1</v>
          </cell>
          <cell r="BD780">
            <v>0</v>
          </cell>
          <cell r="BE780" t="str">
            <v>M</v>
          </cell>
          <cell r="BF780" t="str">
            <v>N</v>
          </cell>
          <cell r="BG780">
            <v>31</v>
          </cell>
          <cell r="BH780">
            <v>37987</v>
          </cell>
          <cell r="BI780" t="str">
            <v>O</v>
          </cell>
        </row>
        <row r="781">
          <cell r="A781">
            <v>69551</v>
          </cell>
          <cell r="B781">
            <v>468</v>
          </cell>
          <cell r="C781" t="str">
            <v>C3152</v>
          </cell>
          <cell r="D781" t="str">
            <v>EL MAZINI</v>
          </cell>
          <cell r="E781" t="str">
            <v>MUSTAPHA</v>
          </cell>
          <cell r="F781">
            <v>19391</v>
          </cell>
          <cell r="G781" t="str">
            <v>2</v>
          </cell>
          <cell r="H781" t="str">
            <v>OUED-ZEM</v>
          </cell>
          <cell r="I781" t="str">
            <v>D</v>
          </cell>
          <cell r="J781">
            <v>28338</v>
          </cell>
          <cell r="K781">
            <v>35096</v>
          </cell>
          <cell r="L781" t="str">
            <v>21</v>
          </cell>
          <cell r="M781" t="str">
            <v>A</v>
          </cell>
          <cell r="N781">
            <v>35096</v>
          </cell>
          <cell r="O781">
            <v>0</v>
          </cell>
          <cell r="P781">
            <v>25</v>
          </cell>
          <cell r="Q781" t="str">
            <v>O</v>
          </cell>
          <cell r="R781" t="str">
            <v>N</v>
          </cell>
          <cell r="S781">
            <v>0</v>
          </cell>
          <cell r="T781" t="str">
            <v>M</v>
          </cell>
          <cell r="U781" t="str">
            <v>MINA BENT AHMED EL GOTBI</v>
          </cell>
          <cell r="X781">
            <v>7</v>
          </cell>
          <cell r="Y781">
            <v>3</v>
          </cell>
          <cell r="AB781" t="str">
            <v>X</v>
          </cell>
          <cell r="AC781" t="str">
            <v>X</v>
          </cell>
          <cell r="AD781" t="str">
            <v>X</v>
          </cell>
          <cell r="AH781" t="str">
            <v>N</v>
          </cell>
          <cell r="AI781" t="str">
            <v>N</v>
          </cell>
          <cell r="AK781" t="str">
            <v>44 VILLAGE OCP - OUED ZEM</v>
          </cell>
          <cell r="AL781" t="str">
            <v>2AS</v>
          </cell>
          <cell r="AP781" t="str">
            <v>Q 16502</v>
          </cell>
          <cell r="AQ781">
            <v>0</v>
          </cell>
          <cell r="AR781" t="str">
            <v>B</v>
          </cell>
          <cell r="AS781" t="str">
            <v>BMCE OUED ZEEM</v>
          </cell>
          <cell r="AT781" t="str">
            <v>41101200000089967</v>
          </cell>
          <cell r="AU781" t="str">
            <v>/  /</v>
          </cell>
          <cell r="AW781">
            <v>37987</v>
          </cell>
          <cell r="AY781" t="str">
            <v>XX</v>
          </cell>
          <cell r="BA781" t="str">
            <v>6</v>
          </cell>
          <cell r="BB781">
            <v>1</v>
          </cell>
          <cell r="BD781">
            <v>0</v>
          </cell>
          <cell r="BE781" t="str">
            <v>M</v>
          </cell>
          <cell r="BF781" t="str">
            <v>N</v>
          </cell>
          <cell r="BG781">
            <v>31</v>
          </cell>
          <cell r="BH781">
            <v>37987</v>
          </cell>
        </row>
        <row r="782">
          <cell r="A782">
            <v>69554</v>
          </cell>
          <cell r="B782">
            <v>423</v>
          </cell>
          <cell r="C782" t="str">
            <v>C7210</v>
          </cell>
          <cell r="D782" t="str">
            <v>KHAMMARI</v>
          </cell>
          <cell r="E782" t="str">
            <v>ABDESLAM</v>
          </cell>
          <cell r="F782">
            <v>17348</v>
          </cell>
          <cell r="H782" t="str">
            <v>HABAJINE - CHEFCHAOUNE</v>
          </cell>
          <cell r="I782" t="str">
            <v>D</v>
          </cell>
          <cell r="J782">
            <v>28401</v>
          </cell>
          <cell r="K782">
            <v>37043</v>
          </cell>
          <cell r="L782" t="str">
            <v>33</v>
          </cell>
          <cell r="M782" t="str">
            <v>A</v>
          </cell>
          <cell r="N782">
            <v>37043</v>
          </cell>
          <cell r="P782">
            <v>25</v>
          </cell>
          <cell r="Q782" t="str">
            <v>O</v>
          </cell>
          <cell r="R782" t="str">
            <v>N</v>
          </cell>
          <cell r="S782">
            <v>0</v>
          </cell>
          <cell r="T782" t="str">
            <v>M</v>
          </cell>
          <cell r="U782" t="str">
            <v>FATIMA BENT MOHAMED RAHOUI</v>
          </cell>
          <cell r="X782">
            <v>7</v>
          </cell>
          <cell r="Y782">
            <v>4</v>
          </cell>
          <cell r="AB782" t="str">
            <v>X</v>
          </cell>
          <cell r="AC782" t="str">
            <v>X</v>
          </cell>
          <cell r="AD782" t="str">
            <v>X</v>
          </cell>
          <cell r="AH782" t="str">
            <v>N</v>
          </cell>
          <cell r="AI782" t="str">
            <v>N</v>
          </cell>
          <cell r="AK782" t="str">
            <v>1IMM.23 RUE MY HASSAN Q.ADMINISTRAT.KHGA</v>
          </cell>
          <cell r="AL782" t="str">
            <v>3AS</v>
          </cell>
          <cell r="AM782" t="str">
            <v>CEP.CESM</v>
          </cell>
          <cell r="AP782" t="str">
            <v>Q 43110</v>
          </cell>
          <cell r="AQ782">
            <v>0</v>
          </cell>
          <cell r="AR782" t="str">
            <v>B</v>
          </cell>
          <cell r="AS782" t="str">
            <v>WAFA BANK-Khga</v>
          </cell>
          <cell r="AT782" t="str">
            <v>1220301454766</v>
          </cell>
          <cell r="AU782" t="str">
            <v>/  /</v>
          </cell>
          <cell r="AW782">
            <v>37438</v>
          </cell>
          <cell r="AY782" t="str">
            <v>XX</v>
          </cell>
          <cell r="BA782" t="str">
            <v>2</v>
          </cell>
          <cell r="BB782">
            <v>1</v>
          </cell>
          <cell r="BC782" t="str">
            <v>O</v>
          </cell>
          <cell r="BD782">
            <v>5</v>
          </cell>
          <cell r="BE782" t="str">
            <v>M</v>
          </cell>
          <cell r="BF782" t="str">
            <v>N</v>
          </cell>
          <cell r="BG782">
            <v>4</v>
          </cell>
          <cell r="BH782">
            <v>37438</v>
          </cell>
        </row>
        <row r="783">
          <cell r="A783">
            <v>69559</v>
          </cell>
          <cell r="B783">
            <v>438</v>
          </cell>
          <cell r="C783" t="str">
            <v>C3152</v>
          </cell>
          <cell r="D783" t="str">
            <v>DIHAJE</v>
          </cell>
          <cell r="E783" t="str">
            <v>AHMED</v>
          </cell>
          <cell r="F783">
            <v>18946</v>
          </cell>
          <cell r="G783" t="str">
            <v>1</v>
          </cell>
          <cell r="H783" t="str">
            <v>KHOURIBGA</v>
          </cell>
          <cell r="I783" t="str">
            <v>D</v>
          </cell>
          <cell r="J783">
            <v>28341</v>
          </cell>
          <cell r="K783">
            <v>36526</v>
          </cell>
          <cell r="L783" t="str">
            <v>21</v>
          </cell>
          <cell r="M783" t="str">
            <v>A</v>
          </cell>
          <cell r="N783">
            <v>36526</v>
          </cell>
          <cell r="P783">
            <v>25</v>
          </cell>
          <cell r="Q783" t="str">
            <v>N</v>
          </cell>
          <cell r="R783" t="str">
            <v>N</v>
          </cell>
          <cell r="S783">
            <v>0</v>
          </cell>
          <cell r="T783" t="str">
            <v>M</v>
          </cell>
          <cell r="U783" t="str">
            <v>ZITOUNI MALIKA</v>
          </cell>
          <cell r="X783">
            <v>3</v>
          </cell>
          <cell r="Y783">
            <v>2</v>
          </cell>
          <cell r="AB783" t="str">
            <v>N</v>
          </cell>
          <cell r="AC783" t="str">
            <v>X</v>
          </cell>
          <cell r="AD783" t="str">
            <v>X</v>
          </cell>
          <cell r="AH783" t="str">
            <v>N</v>
          </cell>
          <cell r="AI783" t="str">
            <v>N</v>
          </cell>
          <cell r="AK783" t="str">
            <v>1396 HAY AMAL 5 ERAC - KHOURIBGA</v>
          </cell>
          <cell r="AL783" t="str">
            <v>4AS</v>
          </cell>
          <cell r="AP783" t="str">
            <v>Q 83583</v>
          </cell>
          <cell r="AQ783">
            <v>0</v>
          </cell>
          <cell r="AR783" t="str">
            <v>B</v>
          </cell>
          <cell r="AS783" t="str">
            <v>CR-MAROC - KHGA</v>
          </cell>
          <cell r="AT783" t="str">
            <v>082001082177</v>
          </cell>
          <cell r="AU783" t="str">
            <v>/  /</v>
          </cell>
          <cell r="AW783">
            <v>37987</v>
          </cell>
          <cell r="AY783" t="str">
            <v>XX</v>
          </cell>
          <cell r="BA783" t="str">
            <v>1</v>
          </cell>
          <cell r="BB783">
            <v>1</v>
          </cell>
          <cell r="BD783">
            <v>0</v>
          </cell>
          <cell r="BE783" t="str">
            <v>M</v>
          </cell>
          <cell r="BF783" t="str">
            <v>N</v>
          </cell>
          <cell r="BG783">
            <v>0</v>
          </cell>
          <cell r="BH783">
            <v>37987</v>
          </cell>
        </row>
        <row r="784">
          <cell r="A784">
            <v>69561</v>
          </cell>
          <cell r="B784">
            <v>468</v>
          </cell>
          <cell r="C784" t="str">
            <v>C4152</v>
          </cell>
          <cell r="D784" t="str">
            <v>NAJIM</v>
          </cell>
          <cell r="E784" t="str">
            <v>AHMED</v>
          </cell>
          <cell r="F784">
            <v>20888</v>
          </cell>
          <cell r="G784" t="str">
            <v>2</v>
          </cell>
          <cell r="H784" t="str">
            <v>BENI KHIRANE</v>
          </cell>
          <cell r="I784" t="str">
            <v>D</v>
          </cell>
          <cell r="J784">
            <v>28342</v>
          </cell>
          <cell r="K784">
            <v>35065</v>
          </cell>
          <cell r="L784" t="str">
            <v>22</v>
          </cell>
          <cell r="M784" t="str">
            <v>A</v>
          </cell>
          <cell r="N784">
            <v>35065</v>
          </cell>
          <cell r="P784">
            <v>25</v>
          </cell>
          <cell r="Q784" t="str">
            <v>O</v>
          </cell>
          <cell r="R784" t="str">
            <v>N</v>
          </cell>
          <cell r="S784">
            <v>0</v>
          </cell>
          <cell r="T784" t="str">
            <v>M</v>
          </cell>
          <cell r="U784" t="str">
            <v>GHAZAL FATNA</v>
          </cell>
          <cell r="X784">
            <v>4</v>
          </cell>
          <cell r="Y784">
            <v>3</v>
          </cell>
          <cell r="AB784" t="str">
            <v>X</v>
          </cell>
          <cell r="AC784" t="str">
            <v>X</v>
          </cell>
          <cell r="AD784" t="str">
            <v>X</v>
          </cell>
          <cell r="AH784" t="str">
            <v>N</v>
          </cell>
          <cell r="AI784" t="str">
            <v>N</v>
          </cell>
          <cell r="AK784" t="str">
            <v>316 VILLAGE OCP BOUJNIBA</v>
          </cell>
          <cell r="AL784" t="str">
            <v>4AS</v>
          </cell>
          <cell r="AP784" t="str">
            <v>Q 44164</v>
          </cell>
          <cell r="AQ784">
            <v>0</v>
          </cell>
          <cell r="AR784" t="str">
            <v>B</v>
          </cell>
          <cell r="AS784" t="str">
            <v>BMCE.OUED ZEM</v>
          </cell>
          <cell r="AT784" t="str">
            <v>41101200000197249</v>
          </cell>
          <cell r="AU784" t="str">
            <v>/  /</v>
          </cell>
          <cell r="AW784">
            <v>39264</v>
          </cell>
          <cell r="AY784" t="str">
            <v>XX</v>
          </cell>
          <cell r="AZ784" t="str">
            <v>R</v>
          </cell>
          <cell r="BA784" t="str">
            <v>1</v>
          </cell>
          <cell r="BB784">
            <v>1</v>
          </cell>
          <cell r="BD784">
            <v>0</v>
          </cell>
          <cell r="BE784" t="str">
            <v>M</v>
          </cell>
          <cell r="BF784" t="str">
            <v>N</v>
          </cell>
          <cell r="BG784">
            <v>51</v>
          </cell>
          <cell r="BH784">
            <v>39264</v>
          </cell>
        </row>
        <row r="785">
          <cell r="A785">
            <v>69563</v>
          </cell>
          <cell r="B785">
            <v>461</v>
          </cell>
          <cell r="C785" t="str">
            <v>C3152</v>
          </cell>
          <cell r="D785" t="str">
            <v>GHANIMI</v>
          </cell>
          <cell r="E785" t="str">
            <v>MOHAMMED</v>
          </cell>
          <cell r="F785">
            <v>19175</v>
          </cell>
          <cell r="G785" t="str">
            <v>5</v>
          </cell>
          <cell r="H785" t="str">
            <v>OULED YOUSSEF GHARBIYNE</v>
          </cell>
          <cell r="I785" t="str">
            <v>D</v>
          </cell>
          <cell r="J785">
            <v>28342</v>
          </cell>
          <cell r="K785">
            <v>33420</v>
          </cell>
          <cell r="L785" t="str">
            <v>21</v>
          </cell>
          <cell r="M785" t="str">
            <v>A</v>
          </cell>
          <cell r="N785">
            <v>33420</v>
          </cell>
          <cell r="P785">
            <v>25</v>
          </cell>
          <cell r="Q785" t="str">
            <v>O</v>
          </cell>
          <cell r="R785" t="str">
            <v>N</v>
          </cell>
          <cell r="S785">
            <v>0</v>
          </cell>
          <cell r="T785" t="str">
            <v>M</v>
          </cell>
          <cell r="U785" t="str">
            <v>RAHMA BENT HAJ LARBI</v>
          </cell>
          <cell r="X785">
            <v>6</v>
          </cell>
          <cell r="Y785">
            <v>0</v>
          </cell>
          <cell r="AB785" t="str">
            <v>X</v>
          </cell>
          <cell r="AC785" t="str">
            <v>X</v>
          </cell>
          <cell r="AD785" t="str">
            <v>X</v>
          </cell>
          <cell r="AH785" t="str">
            <v>N</v>
          </cell>
          <cell r="AI785" t="str">
            <v>N</v>
          </cell>
          <cell r="AK785" t="str">
            <v>22 RUE 17 MSALLA LAKDIMA OUED ZEM</v>
          </cell>
          <cell r="AL785" t="str">
            <v>1AS</v>
          </cell>
          <cell r="AP785" t="str">
            <v>Q 60849</v>
          </cell>
          <cell r="AQ785">
            <v>0</v>
          </cell>
          <cell r="AR785" t="str">
            <v>B</v>
          </cell>
          <cell r="AS785" t="str">
            <v>BMCE.KHGA</v>
          </cell>
          <cell r="AT785" t="str">
            <v>40001200000340915</v>
          </cell>
          <cell r="AU785" t="str">
            <v>/  /</v>
          </cell>
          <cell r="AW785">
            <v>37987</v>
          </cell>
          <cell r="AY785" t="str">
            <v>XX</v>
          </cell>
          <cell r="BA785" t="str">
            <v>1</v>
          </cell>
          <cell r="BB785">
            <v>1</v>
          </cell>
          <cell r="BD785">
            <v>0</v>
          </cell>
          <cell r="BE785" t="str">
            <v>M</v>
          </cell>
          <cell r="BF785" t="str">
            <v>N</v>
          </cell>
          <cell r="BG785">
            <v>31</v>
          </cell>
          <cell r="BH785">
            <v>37987</v>
          </cell>
          <cell r="BI785" t="str">
            <v>O</v>
          </cell>
        </row>
        <row r="786">
          <cell r="A786">
            <v>69564</v>
          </cell>
          <cell r="B786">
            <v>463</v>
          </cell>
          <cell r="C786" t="str">
            <v>C6200</v>
          </cell>
          <cell r="D786" t="str">
            <v>CHAFOUI</v>
          </cell>
          <cell r="E786" t="str">
            <v>EL MAHJOUB</v>
          </cell>
          <cell r="F786">
            <v>21001</v>
          </cell>
          <cell r="G786" t="str">
            <v>1</v>
          </cell>
          <cell r="H786" t="str">
            <v>OULED BHAR KBAR KHOURIBGA</v>
          </cell>
          <cell r="I786" t="str">
            <v>D</v>
          </cell>
          <cell r="J786">
            <v>28345</v>
          </cell>
          <cell r="K786">
            <v>33573</v>
          </cell>
          <cell r="L786" t="str">
            <v>32</v>
          </cell>
          <cell r="M786" t="str">
            <v>A</v>
          </cell>
          <cell r="N786">
            <v>33573</v>
          </cell>
          <cell r="P786">
            <v>25</v>
          </cell>
          <cell r="Q786" t="str">
            <v>O</v>
          </cell>
          <cell r="R786" t="str">
            <v>N</v>
          </cell>
          <cell r="S786">
            <v>0</v>
          </cell>
          <cell r="T786" t="str">
            <v>M</v>
          </cell>
          <cell r="U786" t="str">
            <v>ESSOFI FATIMA</v>
          </cell>
          <cell r="X786">
            <v>4</v>
          </cell>
          <cell r="Y786">
            <v>4</v>
          </cell>
          <cell r="AB786" t="str">
            <v>X</v>
          </cell>
          <cell r="AC786" t="str">
            <v>X</v>
          </cell>
          <cell r="AD786" t="str">
            <v>X</v>
          </cell>
          <cell r="AH786" t="str">
            <v>N</v>
          </cell>
          <cell r="AI786" t="str">
            <v>N</v>
          </cell>
          <cell r="AK786" t="str">
            <v>28 BLOC B HAY EL AMAL BOUJNIBA</v>
          </cell>
          <cell r="AL786" t="str">
            <v>4AS</v>
          </cell>
          <cell r="AM786" t="str">
            <v>CFO.</v>
          </cell>
          <cell r="AP786" t="str">
            <v>Q 44429</v>
          </cell>
          <cell r="AQ786">
            <v>0</v>
          </cell>
          <cell r="AR786" t="str">
            <v>B</v>
          </cell>
          <cell r="AS786" t="str">
            <v>C.N.C.A  KHGA</v>
          </cell>
          <cell r="AT786" t="str">
            <v>080617F601</v>
          </cell>
          <cell r="AU786" t="str">
            <v>/  /</v>
          </cell>
          <cell r="AW786">
            <v>39264</v>
          </cell>
          <cell r="AY786" t="str">
            <v>XX</v>
          </cell>
          <cell r="BA786" t="str">
            <v>2</v>
          </cell>
          <cell r="BB786">
            <v>1</v>
          </cell>
          <cell r="BD786">
            <v>0</v>
          </cell>
          <cell r="BE786" t="str">
            <v>M</v>
          </cell>
          <cell r="BF786" t="str">
            <v>N</v>
          </cell>
          <cell r="BG786">
            <v>51</v>
          </cell>
          <cell r="BH786">
            <v>39264</v>
          </cell>
          <cell r="BI786" t="str">
            <v>O</v>
          </cell>
        </row>
        <row r="787">
          <cell r="A787">
            <v>69568</v>
          </cell>
          <cell r="B787">
            <v>468</v>
          </cell>
          <cell r="C787" t="str">
            <v>C3152</v>
          </cell>
          <cell r="D787" t="str">
            <v>TAZOUGA</v>
          </cell>
          <cell r="E787" t="str">
            <v>ABDELLAH</v>
          </cell>
          <cell r="F787">
            <v>19919</v>
          </cell>
          <cell r="H787" t="str">
            <v>EL HAJEB - MEKNES</v>
          </cell>
          <cell r="I787" t="str">
            <v>D</v>
          </cell>
          <cell r="J787">
            <v>28346</v>
          </cell>
          <cell r="K787">
            <v>33543</v>
          </cell>
          <cell r="L787" t="str">
            <v>21</v>
          </cell>
          <cell r="M787" t="str">
            <v>A</v>
          </cell>
          <cell r="N787">
            <v>33543</v>
          </cell>
          <cell r="P787">
            <v>25</v>
          </cell>
          <cell r="Q787" t="str">
            <v>O</v>
          </cell>
          <cell r="R787" t="str">
            <v>N</v>
          </cell>
          <cell r="S787">
            <v>0</v>
          </cell>
          <cell r="T787" t="str">
            <v>M</v>
          </cell>
          <cell r="U787" t="str">
            <v>LATIFA BENT MEHDI CHEMSEDDINE</v>
          </cell>
          <cell r="X787">
            <v>2</v>
          </cell>
          <cell r="Y787">
            <v>2</v>
          </cell>
          <cell r="AB787" t="str">
            <v>X</v>
          </cell>
          <cell r="AC787" t="str">
            <v>X</v>
          </cell>
          <cell r="AD787" t="str">
            <v>X</v>
          </cell>
          <cell r="AH787" t="str">
            <v>O</v>
          </cell>
          <cell r="AI787" t="str">
            <v>N</v>
          </cell>
          <cell r="AK787" t="str">
            <v>9 VILLAGE OCP BOUJNIBA</v>
          </cell>
          <cell r="AL787" t="str">
            <v>4AS</v>
          </cell>
          <cell r="AP787" t="str">
            <v>Q 70473</v>
          </cell>
          <cell r="AQ787">
            <v>0</v>
          </cell>
          <cell r="AR787" t="str">
            <v>B</v>
          </cell>
          <cell r="AS787" t="str">
            <v>BMCE.OUED ZEM</v>
          </cell>
          <cell r="AT787" t="str">
            <v>41101200000133326</v>
          </cell>
          <cell r="AU787" t="str">
            <v>/  /</v>
          </cell>
          <cell r="AW787">
            <v>38353</v>
          </cell>
          <cell r="AY787" t="str">
            <v>XX</v>
          </cell>
          <cell r="BA787" t="str">
            <v>1</v>
          </cell>
          <cell r="BB787">
            <v>1</v>
          </cell>
          <cell r="BD787">
            <v>0</v>
          </cell>
          <cell r="BE787" t="str">
            <v>M</v>
          </cell>
          <cell r="BF787" t="str">
            <v>N</v>
          </cell>
          <cell r="BG787">
            <v>51</v>
          </cell>
          <cell r="BH787">
            <v>38353</v>
          </cell>
        </row>
        <row r="788">
          <cell r="A788">
            <v>69570</v>
          </cell>
          <cell r="B788">
            <v>406</v>
          </cell>
          <cell r="C788" t="str">
            <v>C3152</v>
          </cell>
          <cell r="D788" t="str">
            <v>BELKASS</v>
          </cell>
          <cell r="E788" t="str">
            <v>ABDELMAJID</v>
          </cell>
          <cell r="F788">
            <v>19905</v>
          </cell>
          <cell r="H788" t="str">
            <v>LAHLAF - SETTAT</v>
          </cell>
          <cell r="I788" t="str">
            <v>D</v>
          </cell>
          <cell r="J788">
            <v>28345</v>
          </cell>
          <cell r="K788">
            <v>30560</v>
          </cell>
          <cell r="L788" t="str">
            <v>21</v>
          </cell>
          <cell r="M788" t="str">
            <v>A</v>
          </cell>
          <cell r="N788">
            <v>37135</v>
          </cell>
          <cell r="P788">
            <v>25</v>
          </cell>
          <cell r="Q788" t="str">
            <v>O</v>
          </cell>
          <cell r="R788" t="str">
            <v>N</v>
          </cell>
          <cell r="S788">
            <v>0</v>
          </cell>
          <cell r="T788" t="str">
            <v>M</v>
          </cell>
          <cell r="U788" t="str">
            <v>TOURIA BENT HAJ ABDESLAM</v>
          </cell>
          <cell r="X788">
            <v>6</v>
          </cell>
          <cell r="Y788">
            <v>3</v>
          </cell>
          <cell r="AB788" t="str">
            <v>X</v>
          </cell>
          <cell r="AC788" t="str">
            <v>X</v>
          </cell>
          <cell r="AD788" t="str">
            <v>X</v>
          </cell>
          <cell r="AH788" t="str">
            <v>O</v>
          </cell>
          <cell r="AI788" t="str">
            <v>N</v>
          </cell>
          <cell r="AK788" t="str">
            <v>186 NOUVEAUX LOGEMENTS SECHAGE KHGA</v>
          </cell>
          <cell r="AL788" t="str">
            <v>2AS</v>
          </cell>
          <cell r="AP788" t="str">
            <v>Q 84726</v>
          </cell>
          <cell r="AQ788">
            <v>0</v>
          </cell>
          <cell r="AR788" t="str">
            <v>B</v>
          </cell>
          <cell r="AS788" t="str">
            <v>CR.MAROC - KHGA</v>
          </cell>
          <cell r="AT788" t="str">
            <v>082001048911</v>
          </cell>
          <cell r="AU788" t="str">
            <v>/  /</v>
          </cell>
          <cell r="AW788">
            <v>38169</v>
          </cell>
          <cell r="AY788" t="str">
            <v>XX</v>
          </cell>
          <cell r="BA788" t="str">
            <v>1</v>
          </cell>
          <cell r="BB788">
            <v>1</v>
          </cell>
          <cell r="BD788">
            <v>0</v>
          </cell>
          <cell r="BE788" t="str">
            <v>M</v>
          </cell>
          <cell r="BF788" t="str">
            <v>N</v>
          </cell>
          <cell r="BG788">
            <v>4</v>
          </cell>
          <cell r="BH788">
            <v>38169</v>
          </cell>
        </row>
        <row r="789">
          <cell r="A789">
            <v>69579</v>
          </cell>
          <cell r="B789">
            <v>461</v>
          </cell>
          <cell r="C789" t="str">
            <v>C3020</v>
          </cell>
          <cell r="D789" t="str">
            <v>EL MDAOUER</v>
          </cell>
          <cell r="E789" t="str">
            <v>MOHAMMED</v>
          </cell>
          <cell r="F789">
            <v>19905</v>
          </cell>
          <cell r="G789" t="str">
            <v>1</v>
          </cell>
          <cell r="H789" t="str">
            <v>OULED BHAR KBAR KHOURIBGA</v>
          </cell>
          <cell r="I789" t="str">
            <v>D</v>
          </cell>
          <cell r="J789">
            <v>28347</v>
          </cell>
          <cell r="K789">
            <v>32325</v>
          </cell>
          <cell r="L789" t="str">
            <v>21</v>
          </cell>
          <cell r="M789" t="str">
            <v>A</v>
          </cell>
          <cell r="N789">
            <v>32325</v>
          </cell>
          <cell r="O789">
            <v>0</v>
          </cell>
          <cell r="P789">
            <v>25</v>
          </cell>
          <cell r="Q789" t="str">
            <v>O</v>
          </cell>
          <cell r="R789" t="str">
            <v>N</v>
          </cell>
          <cell r="S789">
            <v>0</v>
          </cell>
          <cell r="T789" t="str">
            <v>M</v>
          </cell>
          <cell r="U789" t="str">
            <v>KZAIBRA FATIMA</v>
          </cell>
          <cell r="X789">
            <v>5</v>
          </cell>
          <cell r="Y789">
            <v>5</v>
          </cell>
          <cell r="AB789" t="str">
            <v>X</v>
          </cell>
          <cell r="AC789" t="str">
            <v>X</v>
          </cell>
          <cell r="AD789" t="str">
            <v>X</v>
          </cell>
          <cell r="AH789" t="str">
            <v>N</v>
          </cell>
          <cell r="AI789" t="str">
            <v>N</v>
          </cell>
          <cell r="AK789" t="str">
            <v>353 VILLAGE O.C.P - BOUJNIBA</v>
          </cell>
          <cell r="AL789" t="str">
            <v>4AS</v>
          </cell>
          <cell r="AP789" t="str">
            <v>Q 84140</v>
          </cell>
          <cell r="AQ789">
            <v>0</v>
          </cell>
          <cell r="AR789" t="str">
            <v>B</v>
          </cell>
          <cell r="AS789" t="str">
            <v>C.I.H  KHGA</v>
          </cell>
          <cell r="AT789" t="str">
            <v>7941768213004700</v>
          </cell>
          <cell r="AU789" t="str">
            <v>/  /</v>
          </cell>
          <cell r="AW789">
            <v>38169</v>
          </cell>
          <cell r="AY789" t="str">
            <v>O+</v>
          </cell>
          <cell r="BA789" t="str">
            <v>0</v>
          </cell>
          <cell r="BB789">
            <v>1</v>
          </cell>
          <cell r="BD789">
            <v>0</v>
          </cell>
          <cell r="BE789" t="str">
            <v>M</v>
          </cell>
          <cell r="BF789" t="str">
            <v>N</v>
          </cell>
          <cell r="BG789">
            <v>51</v>
          </cell>
          <cell r="BH789">
            <v>38169</v>
          </cell>
        </row>
        <row r="790">
          <cell r="A790">
            <v>69598</v>
          </cell>
          <cell r="B790">
            <v>465</v>
          </cell>
          <cell r="C790" t="str">
            <v>C6300</v>
          </cell>
          <cell r="D790" t="str">
            <v>EL OUAFI</v>
          </cell>
          <cell r="E790" t="str">
            <v>MAATI</v>
          </cell>
          <cell r="F790">
            <v>19905</v>
          </cell>
          <cell r="G790" t="str">
            <v>2</v>
          </cell>
          <cell r="H790" t="str">
            <v>SMAALA OUED-ZEM</v>
          </cell>
          <cell r="I790" t="str">
            <v>D</v>
          </cell>
          <cell r="J790">
            <v>28349</v>
          </cell>
          <cell r="K790">
            <v>35065</v>
          </cell>
          <cell r="L790" t="str">
            <v>32</v>
          </cell>
          <cell r="M790" t="str">
            <v>A</v>
          </cell>
          <cell r="N790">
            <v>35065</v>
          </cell>
          <cell r="P790">
            <v>25</v>
          </cell>
          <cell r="Q790" t="str">
            <v>O</v>
          </cell>
          <cell r="R790" t="str">
            <v>N</v>
          </cell>
          <cell r="S790">
            <v>0</v>
          </cell>
          <cell r="T790" t="str">
            <v>M</v>
          </cell>
          <cell r="U790" t="str">
            <v>BASRI FATIMA</v>
          </cell>
          <cell r="X790">
            <v>5</v>
          </cell>
          <cell r="Y790">
            <v>4</v>
          </cell>
          <cell r="AB790" t="str">
            <v>X</v>
          </cell>
          <cell r="AC790" t="str">
            <v>X</v>
          </cell>
          <cell r="AD790" t="str">
            <v>X</v>
          </cell>
          <cell r="AH790" t="str">
            <v>N</v>
          </cell>
          <cell r="AI790" t="str">
            <v>N</v>
          </cell>
          <cell r="AK790" t="str">
            <v>21 RUE 28 KOREA OUED ZEM</v>
          </cell>
          <cell r="AL790" t="str">
            <v>4AS</v>
          </cell>
          <cell r="AM790" t="str">
            <v>CEP.CFO</v>
          </cell>
          <cell r="AP790" t="str">
            <v>Q 79164</v>
          </cell>
          <cell r="AQ790">
            <v>0</v>
          </cell>
          <cell r="AR790" t="str">
            <v>B</v>
          </cell>
          <cell r="AS790" t="str">
            <v>CR.AGRI. - O.Z</v>
          </cell>
          <cell r="AT790" t="str">
            <v>E201473K601</v>
          </cell>
          <cell r="AU790" t="str">
            <v>/  /</v>
          </cell>
          <cell r="AW790">
            <v>38169</v>
          </cell>
          <cell r="AY790" t="str">
            <v>XX</v>
          </cell>
          <cell r="BA790" t="str">
            <v>2</v>
          </cell>
          <cell r="BB790">
            <v>1</v>
          </cell>
          <cell r="BD790">
            <v>0</v>
          </cell>
          <cell r="BE790" t="str">
            <v>M</v>
          </cell>
          <cell r="BF790" t="str">
            <v>N</v>
          </cell>
          <cell r="BG790">
            <v>31</v>
          </cell>
          <cell r="BH790">
            <v>38169</v>
          </cell>
        </row>
        <row r="791">
          <cell r="A791">
            <v>69610</v>
          </cell>
          <cell r="B791">
            <v>406</v>
          </cell>
          <cell r="C791" t="str">
            <v>C4152</v>
          </cell>
          <cell r="D791" t="str">
            <v>SALHAOUI</v>
          </cell>
          <cell r="E791" t="str">
            <v>AHMED</v>
          </cell>
          <cell r="F791">
            <v>20580</v>
          </cell>
          <cell r="G791" t="str">
            <v>2</v>
          </cell>
          <cell r="H791" t="str">
            <v>OUED-ZEM</v>
          </cell>
          <cell r="I791" t="str">
            <v>D</v>
          </cell>
          <cell r="J791">
            <v>28355</v>
          </cell>
          <cell r="K791">
            <v>36526</v>
          </cell>
          <cell r="L791" t="str">
            <v>22</v>
          </cell>
          <cell r="M791" t="str">
            <v>A</v>
          </cell>
          <cell r="N791">
            <v>36526</v>
          </cell>
          <cell r="O791">
            <v>0</v>
          </cell>
          <cell r="P791">
            <v>25</v>
          </cell>
          <cell r="Q791" t="str">
            <v>O</v>
          </cell>
          <cell r="R791" t="str">
            <v>N</v>
          </cell>
          <cell r="S791">
            <v>0</v>
          </cell>
          <cell r="T791" t="str">
            <v>M</v>
          </cell>
          <cell r="U791" t="str">
            <v>HAMAMA BENT CHERKI</v>
          </cell>
          <cell r="X791">
            <v>4</v>
          </cell>
          <cell r="Y791">
            <v>4</v>
          </cell>
          <cell r="AB791" t="str">
            <v>X</v>
          </cell>
          <cell r="AC791" t="str">
            <v>X</v>
          </cell>
          <cell r="AD791" t="str">
            <v>X</v>
          </cell>
          <cell r="AH791" t="str">
            <v>N</v>
          </cell>
          <cell r="AI791" t="str">
            <v>N</v>
          </cell>
          <cell r="AK791" t="str">
            <v>94 VILLAGE OCP OUED ZEM</v>
          </cell>
          <cell r="AL791" t="str">
            <v>2AS</v>
          </cell>
          <cell r="AP791" t="str">
            <v>Q 90640</v>
          </cell>
          <cell r="AQ791">
            <v>0</v>
          </cell>
          <cell r="AR791" t="str">
            <v>B</v>
          </cell>
          <cell r="AS791" t="str">
            <v>POPULAIRE.O.ZEM</v>
          </cell>
          <cell r="AT791" t="str">
            <v>2111113060760009</v>
          </cell>
          <cell r="AU791" t="str">
            <v>/  /</v>
          </cell>
          <cell r="AW791">
            <v>38899</v>
          </cell>
          <cell r="AY791" t="str">
            <v>XX</v>
          </cell>
          <cell r="AZ791" t="str">
            <v>K</v>
          </cell>
          <cell r="BA791" t="str">
            <v>1</v>
          </cell>
          <cell r="BB791">
            <v>1</v>
          </cell>
          <cell r="BD791">
            <v>0</v>
          </cell>
          <cell r="BE791" t="str">
            <v>M</v>
          </cell>
          <cell r="BF791" t="str">
            <v>N</v>
          </cell>
          <cell r="BG791">
            <v>31</v>
          </cell>
          <cell r="BH791">
            <v>38899</v>
          </cell>
        </row>
        <row r="792">
          <cell r="A792">
            <v>69616</v>
          </cell>
          <cell r="B792">
            <v>461</v>
          </cell>
          <cell r="C792" t="str">
            <v>C4152</v>
          </cell>
          <cell r="D792" t="str">
            <v>ATFANE</v>
          </cell>
          <cell r="E792" t="str">
            <v>EL MOSTAFA</v>
          </cell>
          <cell r="F792">
            <v>18858</v>
          </cell>
          <cell r="G792" t="str">
            <v>1</v>
          </cell>
          <cell r="H792" t="str">
            <v>OULED ABDOUNE</v>
          </cell>
          <cell r="I792" t="str">
            <v>D</v>
          </cell>
          <cell r="J792">
            <v>28353</v>
          </cell>
          <cell r="K792">
            <v>36526</v>
          </cell>
          <cell r="L792" t="str">
            <v>22</v>
          </cell>
          <cell r="M792" t="str">
            <v>A</v>
          </cell>
          <cell r="N792">
            <v>36526</v>
          </cell>
          <cell r="P792">
            <v>25</v>
          </cell>
          <cell r="Q792" t="str">
            <v>O</v>
          </cell>
          <cell r="R792" t="str">
            <v>N</v>
          </cell>
          <cell r="S792">
            <v>0</v>
          </cell>
          <cell r="T792" t="str">
            <v>M</v>
          </cell>
          <cell r="U792" t="str">
            <v>AJIB RACHIDA</v>
          </cell>
          <cell r="X792">
            <v>3</v>
          </cell>
          <cell r="Y792">
            <v>3</v>
          </cell>
          <cell r="AB792" t="str">
            <v>X</v>
          </cell>
          <cell r="AC792" t="str">
            <v>X</v>
          </cell>
          <cell r="AD792" t="str">
            <v>X</v>
          </cell>
          <cell r="AH792" t="str">
            <v>N</v>
          </cell>
          <cell r="AI792" t="str">
            <v>N</v>
          </cell>
          <cell r="AK792" t="str">
            <v>32 NELLE CONSTRUCTION DE SECHAGE KHGA</v>
          </cell>
          <cell r="AL792" t="str">
            <v>4AS</v>
          </cell>
          <cell r="AP792" t="str">
            <v>Q 81675</v>
          </cell>
          <cell r="AQ792">
            <v>0</v>
          </cell>
          <cell r="AR792" t="str">
            <v>B</v>
          </cell>
          <cell r="AS792" t="str">
            <v>C.I.H - KHGA</v>
          </cell>
          <cell r="AT792" t="str">
            <v>8786238211004700</v>
          </cell>
          <cell r="AU792" t="str">
            <v>/  /</v>
          </cell>
          <cell r="AW792">
            <v>37987</v>
          </cell>
          <cell r="AY792" t="str">
            <v>XX</v>
          </cell>
          <cell r="BA792" t="str">
            <v>1</v>
          </cell>
          <cell r="BB792">
            <v>1</v>
          </cell>
          <cell r="BD792">
            <v>0</v>
          </cell>
          <cell r="BE792" t="str">
            <v>M</v>
          </cell>
          <cell r="BF792" t="str">
            <v>N</v>
          </cell>
          <cell r="BG792">
            <v>5</v>
          </cell>
          <cell r="BH792">
            <v>37987</v>
          </cell>
        </row>
        <row r="793">
          <cell r="A793">
            <v>69617</v>
          </cell>
          <cell r="B793">
            <v>461</v>
          </cell>
          <cell r="C793" t="str">
            <v>C4152</v>
          </cell>
          <cell r="D793" t="str">
            <v>EL MOHRIR</v>
          </cell>
          <cell r="E793" t="str">
            <v>EL ARBI</v>
          </cell>
          <cell r="F793">
            <v>17714</v>
          </cell>
          <cell r="G793" t="str">
            <v>1</v>
          </cell>
          <cell r="H793" t="str">
            <v>OULED BHAR KBAR KHOURIBGA</v>
          </cell>
          <cell r="I793" t="str">
            <v>D</v>
          </cell>
          <cell r="J793">
            <v>28357</v>
          </cell>
          <cell r="K793">
            <v>36526</v>
          </cell>
          <cell r="L793" t="str">
            <v>22</v>
          </cell>
          <cell r="M793" t="str">
            <v>A</v>
          </cell>
          <cell r="N793">
            <v>36526</v>
          </cell>
          <cell r="P793">
            <v>25</v>
          </cell>
          <cell r="Q793" t="str">
            <v>O</v>
          </cell>
          <cell r="R793" t="str">
            <v>N</v>
          </cell>
          <cell r="S793">
            <v>0</v>
          </cell>
          <cell r="T793" t="str">
            <v>M</v>
          </cell>
          <cell r="U793" t="str">
            <v>CHAMIKH FATNA</v>
          </cell>
          <cell r="X793">
            <v>6</v>
          </cell>
          <cell r="Y793">
            <v>3</v>
          </cell>
          <cell r="AB793" t="str">
            <v>X</v>
          </cell>
          <cell r="AC793" t="str">
            <v>X</v>
          </cell>
          <cell r="AD793" t="str">
            <v>X</v>
          </cell>
          <cell r="AH793" t="str">
            <v>N</v>
          </cell>
          <cell r="AI793" t="str">
            <v>N</v>
          </cell>
          <cell r="AK793" t="str">
            <v>DOUAR OULED JEDRA EL GUEFFAF BOUJNIBA</v>
          </cell>
          <cell r="AL793" t="str">
            <v>1AS</v>
          </cell>
          <cell r="AM793" t="str">
            <v>CFP.</v>
          </cell>
          <cell r="AP793" t="str">
            <v>Q 40048</v>
          </cell>
          <cell r="AQ793">
            <v>0</v>
          </cell>
          <cell r="AR793" t="str">
            <v>B</v>
          </cell>
          <cell r="AS793" t="str">
            <v>CNCA.KHGA</v>
          </cell>
          <cell r="AT793" t="str">
            <v>0800404 K 601</v>
          </cell>
          <cell r="AU793" t="str">
            <v>/  /</v>
          </cell>
          <cell r="AW793">
            <v>37803</v>
          </cell>
          <cell r="AY793" t="str">
            <v>XX</v>
          </cell>
          <cell r="BA793" t="str">
            <v>1</v>
          </cell>
          <cell r="BB793">
            <v>1</v>
          </cell>
          <cell r="BD793">
            <v>0</v>
          </cell>
          <cell r="BE793" t="str">
            <v>M</v>
          </cell>
          <cell r="BF793" t="str">
            <v>N</v>
          </cell>
          <cell r="BG793">
            <v>20</v>
          </cell>
          <cell r="BH793">
            <v>37803</v>
          </cell>
        </row>
        <row r="794">
          <cell r="A794">
            <v>69618</v>
          </cell>
          <cell r="B794">
            <v>409</v>
          </cell>
          <cell r="C794" t="str">
            <v>C3152</v>
          </cell>
          <cell r="D794" t="str">
            <v>HAMRANE</v>
          </cell>
          <cell r="E794" t="str">
            <v>LEKBIR</v>
          </cell>
          <cell r="F794">
            <v>19540</v>
          </cell>
          <cell r="H794" t="str">
            <v>LOULAD - SETTAT</v>
          </cell>
          <cell r="I794" t="str">
            <v>D</v>
          </cell>
          <cell r="J794">
            <v>28357</v>
          </cell>
          <cell r="K794">
            <v>35096</v>
          </cell>
          <cell r="L794" t="str">
            <v>21</v>
          </cell>
          <cell r="M794" t="str">
            <v>A</v>
          </cell>
          <cell r="N794">
            <v>35096</v>
          </cell>
          <cell r="P794">
            <v>25</v>
          </cell>
          <cell r="Q794" t="str">
            <v>O</v>
          </cell>
          <cell r="R794" t="str">
            <v>N</v>
          </cell>
          <cell r="S794">
            <v>0</v>
          </cell>
          <cell r="T794" t="str">
            <v>M</v>
          </cell>
          <cell r="U794" t="str">
            <v>MOUNCHINE ESSAADIA BENT AHMED</v>
          </cell>
          <cell r="X794">
            <v>6</v>
          </cell>
          <cell r="Y794">
            <v>3</v>
          </cell>
          <cell r="AB794" t="str">
            <v>X</v>
          </cell>
          <cell r="AC794" t="str">
            <v>X</v>
          </cell>
          <cell r="AD794" t="str">
            <v>X</v>
          </cell>
          <cell r="AH794" t="str">
            <v>N</v>
          </cell>
          <cell r="AI794" t="str">
            <v>N</v>
          </cell>
          <cell r="AK794" t="str">
            <v>462 NELLE MEDINA DE SECHAGE KHOURIBGA</v>
          </cell>
          <cell r="AL794" t="str">
            <v>3AS</v>
          </cell>
          <cell r="AP794" t="str">
            <v>Q 98134</v>
          </cell>
          <cell r="AQ794">
            <v>0</v>
          </cell>
          <cell r="AR794" t="str">
            <v>B</v>
          </cell>
          <cell r="AS794" t="str">
            <v>WAFABANK - KHGA</v>
          </cell>
          <cell r="AT794" t="str">
            <v>1220301294011</v>
          </cell>
          <cell r="AU794" t="str">
            <v>/  /</v>
          </cell>
          <cell r="AW794">
            <v>37987</v>
          </cell>
          <cell r="AY794" t="str">
            <v>XX</v>
          </cell>
          <cell r="BA794" t="str">
            <v>6</v>
          </cell>
          <cell r="BB794">
            <v>1</v>
          </cell>
          <cell r="BD794">
            <v>0</v>
          </cell>
          <cell r="BE794" t="str">
            <v>M</v>
          </cell>
          <cell r="BF794" t="str">
            <v>N</v>
          </cell>
          <cell r="BG794">
            <v>1</v>
          </cell>
          <cell r="BH794">
            <v>37987</v>
          </cell>
        </row>
        <row r="795">
          <cell r="A795">
            <v>69621</v>
          </cell>
          <cell r="B795">
            <v>463</v>
          </cell>
          <cell r="C795" t="str">
            <v>C7200</v>
          </cell>
          <cell r="D795" t="str">
            <v>CHERIFI</v>
          </cell>
          <cell r="E795" t="str">
            <v>AZEDDINE</v>
          </cell>
          <cell r="F795">
            <v>20640</v>
          </cell>
          <cell r="G795" t="str">
            <v>2</v>
          </cell>
          <cell r="H795" t="str">
            <v>OUED-ZEM</v>
          </cell>
          <cell r="I795" t="str">
            <v>D</v>
          </cell>
          <cell r="J795">
            <v>28753</v>
          </cell>
          <cell r="K795">
            <v>36526</v>
          </cell>
          <cell r="L795" t="str">
            <v>33</v>
          </cell>
          <cell r="M795" t="str">
            <v>A</v>
          </cell>
          <cell r="N795">
            <v>36526</v>
          </cell>
          <cell r="P795">
            <v>24</v>
          </cell>
          <cell r="Q795" t="str">
            <v>O</v>
          </cell>
          <cell r="R795" t="str">
            <v>N</v>
          </cell>
          <cell r="S795">
            <v>0</v>
          </cell>
          <cell r="T795" t="str">
            <v>M</v>
          </cell>
          <cell r="U795" t="str">
            <v>EL GUIMA NAJAT</v>
          </cell>
          <cell r="X795">
            <v>4</v>
          </cell>
          <cell r="Y795">
            <v>3</v>
          </cell>
          <cell r="AB795" t="str">
            <v>X</v>
          </cell>
          <cell r="AC795" t="str">
            <v>X</v>
          </cell>
          <cell r="AD795" t="str">
            <v>X</v>
          </cell>
          <cell r="AH795" t="str">
            <v>N</v>
          </cell>
          <cell r="AI795" t="str">
            <v>N</v>
          </cell>
          <cell r="AK795" t="str">
            <v>9 RUE 24 KOREA OUED ZEM</v>
          </cell>
          <cell r="AL795" t="str">
            <v>3AS</v>
          </cell>
          <cell r="AM795" t="str">
            <v>CFO.</v>
          </cell>
          <cell r="AP795" t="str">
            <v>Q 92503</v>
          </cell>
          <cell r="AQ795">
            <v>0</v>
          </cell>
          <cell r="AR795" t="str">
            <v>B</v>
          </cell>
          <cell r="AS795" t="str">
            <v>POPULAIRE.O-ZEM</v>
          </cell>
          <cell r="AT795" t="str">
            <v>2111136264870001</v>
          </cell>
          <cell r="AU795" t="str">
            <v>/  /</v>
          </cell>
          <cell r="AW795">
            <v>39083</v>
          </cell>
          <cell r="AY795" t="str">
            <v>XX</v>
          </cell>
          <cell r="BA795" t="str">
            <v>2</v>
          </cell>
          <cell r="BB795">
            <v>1</v>
          </cell>
          <cell r="BD795">
            <v>0</v>
          </cell>
          <cell r="BE795" t="str">
            <v>M</v>
          </cell>
          <cell r="BF795" t="str">
            <v>N</v>
          </cell>
          <cell r="BG795">
            <v>31</v>
          </cell>
          <cell r="BH795">
            <v>39083</v>
          </cell>
        </row>
        <row r="796">
          <cell r="A796">
            <v>69629</v>
          </cell>
          <cell r="B796">
            <v>418</v>
          </cell>
          <cell r="C796" t="str">
            <v>C5152</v>
          </cell>
          <cell r="D796" t="str">
            <v>BOUISSENGUAREN</v>
          </cell>
          <cell r="E796" t="str">
            <v>LACEN</v>
          </cell>
          <cell r="F796">
            <v>18444</v>
          </cell>
          <cell r="H796" t="str">
            <v>DEMSIRA - MARRAKECH</v>
          </cell>
          <cell r="I796" t="str">
            <v>D</v>
          </cell>
          <cell r="J796">
            <v>28361</v>
          </cell>
          <cell r="K796">
            <v>34151</v>
          </cell>
          <cell r="L796" t="str">
            <v>31</v>
          </cell>
          <cell r="M796" t="str">
            <v>B</v>
          </cell>
          <cell r="N796">
            <v>35612</v>
          </cell>
          <cell r="P796">
            <v>25</v>
          </cell>
          <cell r="Q796" t="str">
            <v>O</v>
          </cell>
          <cell r="R796" t="str">
            <v>N</v>
          </cell>
          <cell r="S796">
            <v>0</v>
          </cell>
          <cell r="T796" t="str">
            <v>M</v>
          </cell>
          <cell r="U796" t="str">
            <v>AZEROUAL FATIMA</v>
          </cell>
          <cell r="X796">
            <v>3</v>
          </cell>
          <cell r="Y796">
            <v>3</v>
          </cell>
          <cell r="AB796" t="str">
            <v>X</v>
          </cell>
          <cell r="AC796" t="str">
            <v>X</v>
          </cell>
          <cell r="AD796" t="str">
            <v>X</v>
          </cell>
          <cell r="AH796" t="str">
            <v>N</v>
          </cell>
          <cell r="AI796" t="str">
            <v>N</v>
          </cell>
          <cell r="AK796" t="str">
            <v>1089 VILLAGE O.C.P - BOULANOIR</v>
          </cell>
          <cell r="AL796" t="str">
            <v>2AS</v>
          </cell>
          <cell r="AP796" t="str">
            <v>Q 6179</v>
          </cell>
          <cell r="AQ796">
            <v>0</v>
          </cell>
          <cell r="AR796" t="str">
            <v>B</v>
          </cell>
          <cell r="AS796" t="str">
            <v>POPULAIRE.KHGA</v>
          </cell>
          <cell r="AT796" t="str">
            <v>2111112761550008</v>
          </cell>
          <cell r="AU796" t="str">
            <v>/  /</v>
          </cell>
          <cell r="AW796">
            <v>37987</v>
          </cell>
          <cell r="AY796" t="str">
            <v>XX</v>
          </cell>
          <cell r="BA796" t="str">
            <v>6</v>
          </cell>
          <cell r="BB796">
            <v>1</v>
          </cell>
          <cell r="BD796">
            <v>0</v>
          </cell>
          <cell r="BE796" t="str">
            <v>M</v>
          </cell>
          <cell r="BF796" t="str">
            <v>N</v>
          </cell>
          <cell r="BG796">
            <v>41</v>
          </cell>
          <cell r="BH796">
            <v>37987</v>
          </cell>
        </row>
        <row r="797">
          <cell r="A797">
            <v>69668</v>
          </cell>
          <cell r="B797">
            <v>468</v>
          </cell>
          <cell r="C797" t="str">
            <v>C3152</v>
          </cell>
          <cell r="D797" t="str">
            <v>EL MIDOULI</v>
          </cell>
          <cell r="E797" t="str">
            <v>MOHAMMED</v>
          </cell>
          <cell r="F797">
            <v>19175</v>
          </cell>
          <cell r="G797" t="str">
            <v>3</v>
          </cell>
          <cell r="H797" t="str">
            <v>OULED ZRHAIDA - KHOURIBGA</v>
          </cell>
          <cell r="I797" t="str">
            <v>D</v>
          </cell>
          <cell r="J797">
            <v>28367</v>
          </cell>
          <cell r="K797">
            <v>30560</v>
          </cell>
          <cell r="L797" t="str">
            <v>21</v>
          </cell>
          <cell r="M797" t="str">
            <v>A</v>
          </cell>
          <cell r="N797">
            <v>37135</v>
          </cell>
          <cell r="P797">
            <v>25</v>
          </cell>
          <cell r="Q797" t="str">
            <v>O</v>
          </cell>
          <cell r="R797" t="str">
            <v>N</v>
          </cell>
          <cell r="S797">
            <v>0</v>
          </cell>
          <cell r="T797" t="str">
            <v>M</v>
          </cell>
          <cell r="U797" t="str">
            <v>ZAHRA BENT MOHAMED</v>
          </cell>
          <cell r="V797" t="str">
            <v>RACHIDA BENT EL MAATI</v>
          </cell>
          <cell r="X797">
            <v>4</v>
          </cell>
          <cell r="Y797">
            <v>4</v>
          </cell>
          <cell r="AB797" t="str">
            <v>X</v>
          </cell>
          <cell r="AC797" t="str">
            <v>X</v>
          </cell>
          <cell r="AD797" t="str">
            <v>X</v>
          </cell>
          <cell r="AH797" t="str">
            <v>N</v>
          </cell>
          <cell r="AI797" t="str">
            <v>N</v>
          </cell>
          <cell r="AK797" t="str">
            <v>226 ANCIEN TACHERON OCP - BOUJNIBA</v>
          </cell>
          <cell r="AL797" t="str">
            <v>CM2</v>
          </cell>
          <cell r="AP797" t="str">
            <v>Q 10161</v>
          </cell>
          <cell r="AQ797">
            <v>0</v>
          </cell>
          <cell r="AR797" t="str">
            <v>B</v>
          </cell>
          <cell r="AS797" t="str">
            <v>CR.AGR- KHGA</v>
          </cell>
          <cell r="AT797" t="str">
            <v>0805603K601</v>
          </cell>
          <cell r="AU797" t="str">
            <v>/  /</v>
          </cell>
          <cell r="AW797">
            <v>37987</v>
          </cell>
          <cell r="AY797" t="str">
            <v>XX</v>
          </cell>
          <cell r="AZ797" t="str">
            <v>R</v>
          </cell>
          <cell r="BA797" t="str">
            <v>1</v>
          </cell>
          <cell r="BB797">
            <v>1</v>
          </cell>
          <cell r="BD797">
            <v>0</v>
          </cell>
          <cell r="BE797" t="str">
            <v>M</v>
          </cell>
          <cell r="BF797" t="str">
            <v>N</v>
          </cell>
          <cell r="BG797">
            <v>51</v>
          </cell>
          <cell r="BH797">
            <v>37987</v>
          </cell>
        </row>
        <row r="798">
          <cell r="A798">
            <v>69671</v>
          </cell>
          <cell r="B798">
            <v>403</v>
          </cell>
          <cell r="C798" t="str">
            <v>C3050</v>
          </cell>
          <cell r="D798" t="str">
            <v>MANSAR</v>
          </cell>
          <cell r="E798" t="str">
            <v>AHMED</v>
          </cell>
          <cell r="F798">
            <v>17714</v>
          </cell>
          <cell r="G798" t="str">
            <v>2</v>
          </cell>
          <cell r="H798" t="str">
            <v>OUED-ZEM</v>
          </cell>
          <cell r="I798" t="str">
            <v>D</v>
          </cell>
          <cell r="J798">
            <v>28363</v>
          </cell>
          <cell r="K798">
            <v>30560</v>
          </cell>
          <cell r="L798" t="str">
            <v>21</v>
          </cell>
          <cell r="M798" t="str">
            <v>A</v>
          </cell>
          <cell r="N798">
            <v>37135</v>
          </cell>
          <cell r="P798">
            <v>25</v>
          </cell>
          <cell r="Q798" t="str">
            <v>O</v>
          </cell>
          <cell r="R798" t="str">
            <v>N</v>
          </cell>
          <cell r="S798">
            <v>0</v>
          </cell>
          <cell r="T798" t="str">
            <v>M</v>
          </cell>
          <cell r="U798" t="str">
            <v>TANJI FATNA BENT AHMED</v>
          </cell>
          <cell r="X798">
            <v>5</v>
          </cell>
          <cell r="Y798">
            <v>1</v>
          </cell>
          <cell r="AB798" t="str">
            <v>X</v>
          </cell>
          <cell r="AC798" t="str">
            <v>X</v>
          </cell>
          <cell r="AD798" t="str">
            <v>X</v>
          </cell>
          <cell r="AH798" t="str">
            <v>N</v>
          </cell>
          <cell r="AI798" t="str">
            <v>N</v>
          </cell>
          <cell r="AK798" t="str">
            <v>279 RUE SOUK TNINE OUED ZEM</v>
          </cell>
          <cell r="AL798" t="str">
            <v>CM2</v>
          </cell>
          <cell r="AP798" t="str">
            <v>Q 15223</v>
          </cell>
          <cell r="AQ798">
            <v>0</v>
          </cell>
          <cell r="AR798" t="str">
            <v>B</v>
          </cell>
          <cell r="AS798" t="str">
            <v>POPULAIRE - O.ZEM</v>
          </cell>
          <cell r="AT798" t="str">
            <v>2111136258430002</v>
          </cell>
          <cell r="AU798" t="str">
            <v>/  /</v>
          </cell>
          <cell r="AW798">
            <v>37803</v>
          </cell>
          <cell r="AY798" t="str">
            <v>XX</v>
          </cell>
          <cell r="AZ798" t="str">
            <v>R</v>
          </cell>
          <cell r="BA798" t="str">
            <v>2</v>
          </cell>
          <cell r="BB798">
            <v>1</v>
          </cell>
          <cell r="BD798">
            <v>0</v>
          </cell>
          <cell r="BE798" t="str">
            <v>M</v>
          </cell>
          <cell r="BF798" t="str">
            <v>N</v>
          </cell>
          <cell r="BG798">
            <v>30</v>
          </cell>
          <cell r="BH798">
            <v>37803</v>
          </cell>
          <cell r="BI798" t="str">
            <v>O</v>
          </cell>
        </row>
        <row r="799">
          <cell r="A799">
            <v>69672</v>
          </cell>
          <cell r="B799">
            <v>406</v>
          </cell>
          <cell r="C799" t="str">
            <v>C5050</v>
          </cell>
          <cell r="D799" t="str">
            <v>BOUDIAR</v>
          </cell>
          <cell r="E799" t="str">
            <v>ABDERRAHIM</v>
          </cell>
          <cell r="F799">
            <v>21059</v>
          </cell>
          <cell r="G799" t="str">
            <v>1</v>
          </cell>
          <cell r="H799" t="str">
            <v>OULED ABDOUNE - KHOURIBGA</v>
          </cell>
          <cell r="I799" t="str">
            <v>D</v>
          </cell>
          <cell r="J799">
            <v>28363</v>
          </cell>
          <cell r="K799">
            <v>37073</v>
          </cell>
          <cell r="L799" t="str">
            <v>31</v>
          </cell>
          <cell r="M799" t="str">
            <v>A</v>
          </cell>
          <cell r="N799">
            <v>37073</v>
          </cell>
          <cell r="P799">
            <v>25</v>
          </cell>
          <cell r="Q799" t="str">
            <v>N</v>
          </cell>
          <cell r="R799" t="str">
            <v>O</v>
          </cell>
          <cell r="S799">
            <v>3</v>
          </cell>
          <cell r="T799" t="str">
            <v>M</v>
          </cell>
          <cell r="U799" t="str">
            <v>TAMOUDI MARYAM BENT BOUAZZA</v>
          </cell>
          <cell r="X799">
            <v>4</v>
          </cell>
          <cell r="Y799">
            <v>4</v>
          </cell>
          <cell r="AB799" t="str">
            <v>X</v>
          </cell>
          <cell r="AC799" t="str">
            <v>X</v>
          </cell>
          <cell r="AD799" t="str">
            <v>X</v>
          </cell>
          <cell r="AH799" t="str">
            <v>N</v>
          </cell>
          <cell r="AI799" t="str">
            <v>N</v>
          </cell>
          <cell r="AK799" t="str">
            <v>58 EXTENSION SECHAGE OCP - KHGA</v>
          </cell>
          <cell r="AL799" t="str">
            <v>4AS</v>
          </cell>
          <cell r="AP799" t="str">
            <v>Q 80457</v>
          </cell>
          <cell r="AQ799">
            <v>0</v>
          </cell>
          <cell r="AR799" t="str">
            <v>B</v>
          </cell>
          <cell r="AS799" t="str">
            <v>C I H KHGA</v>
          </cell>
          <cell r="AT799" t="str">
            <v>7289911213004700</v>
          </cell>
          <cell r="AU799" t="str">
            <v>/  /</v>
          </cell>
          <cell r="AW799">
            <v>39448</v>
          </cell>
          <cell r="AY799" t="str">
            <v>XX</v>
          </cell>
          <cell r="AZ799" t="str">
            <v>R</v>
          </cell>
          <cell r="BA799" t="str">
            <v>2</v>
          </cell>
          <cell r="BB799">
            <v>1</v>
          </cell>
          <cell r="BD799">
            <v>0</v>
          </cell>
          <cell r="BE799" t="str">
            <v>M</v>
          </cell>
          <cell r="BF799" t="str">
            <v>N</v>
          </cell>
          <cell r="BG799">
            <v>41</v>
          </cell>
          <cell r="BH799">
            <v>39448</v>
          </cell>
          <cell r="BI799" t="str">
            <v>O</v>
          </cell>
        </row>
        <row r="800">
          <cell r="A800">
            <v>69682</v>
          </cell>
          <cell r="B800">
            <v>437</v>
          </cell>
          <cell r="C800" t="str">
            <v>C3050</v>
          </cell>
          <cell r="D800" t="str">
            <v>MSID</v>
          </cell>
          <cell r="E800" t="str">
            <v>ALI</v>
          </cell>
          <cell r="F800">
            <v>19335</v>
          </cell>
          <cell r="G800" t="str">
            <v>1</v>
          </cell>
          <cell r="H800" t="str">
            <v>KHOURIBGA</v>
          </cell>
          <cell r="I800" t="str">
            <v>D</v>
          </cell>
          <cell r="J800">
            <v>28367</v>
          </cell>
          <cell r="K800">
            <v>36526</v>
          </cell>
          <cell r="L800" t="str">
            <v>21</v>
          </cell>
          <cell r="M800" t="str">
            <v>C</v>
          </cell>
          <cell r="N800">
            <v>36526</v>
          </cell>
          <cell r="O800">
            <v>0</v>
          </cell>
          <cell r="P800">
            <v>25</v>
          </cell>
          <cell r="Q800" t="str">
            <v>O</v>
          </cell>
          <cell r="R800" t="str">
            <v>N</v>
          </cell>
          <cell r="S800">
            <v>0</v>
          </cell>
          <cell r="T800" t="str">
            <v>M</v>
          </cell>
          <cell r="U800" t="str">
            <v>SLIK NAIMA BENT JILALI</v>
          </cell>
          <cell r="X800">
            <v>4</v>
          </cell>
          <cell r="Y800">
            <v>5</v>
          </cell>
          <cell r="AB800" t="str">
            <v>X</v>
          </cell>
          <cell r="AC800" t="str">
            <v>X</v>
          </cell>
          <cell r="AD800" t="str">
            <v>X</v>
          </cell>
          <cell r="AH800" t="str">
            <v>N</v>
          </cell>
          <cell r="AI800" t="str">
            <v>N</v>
          </cell>
          <cell r="AK800" t="str">
            <v>999 VILLAGE OCP - BOULANOIR</v>
          </cell>
          <cell r="AL800" t="str">
            <v>3AS</v>
          </cell>
          <cell r="AN800" t="str">
            <v>57═71═27</v>
          </cell>
          <cell r="AP800" t="str">
            <v>Q 161411</v>
          </cell>
          <cell r="AQ800">
            <v>0</v>
          </cell>
          <cell r="AR800" t="str">
            <v>B</v>
          </cell>
          <cell r="AS800" t="str">
            <v>WAFABANK - KHGA</v>
          </cell>
          <cell r="AT800" t="str">
            <v>1220301319269</v>
          </cell>
          <cell r="AU800" t="str">
            <v>/  /</v>
          </cell>
          <cell r="AW800">
            <v>37987</v>
          </cell>
          <cell r="AY800" t="str">
            <v>XX</v>
          </cell>
          <cell r="BA800" t="str">
            <v>2</v>
          </cell>
          <cell r="BB800">
            <v>1</v>
          </cell>
          <cell r="BD800">
            <v>0</v>
          </cell>
          <cell r="BE800" t="str">
            <v>M</v>
          </cell>
          <cell r="BF800" t="str">
            <v>N</v>
          </cell>
          <cell r="BG800">
            <v>41</v>
          </cell>
          <cell r="BH800">
            <v>37987</v>
          </cell>
        </row>
        <row r="801">
          <cell r="A801">
            <v>69683</v>
          </cell>
          <cell r="B801">
            <v>468</v>
          </cell>
          <cell r="C801" t="str">
            <v>C5050</v>
          </cell>
          <cell r="D801" t="str">
            <v>BENALLOUANE</v>
          </cell>
          <cell r="E801" t="str">
            <v>SLIMANE</v>
          </cell>
          <cell r="F801">
            <v>19177</v>
          </cell>
          <cell r="G801" t="str">
            <v>2</v>
          </cell>
          <cell r="H801" t="str">
            <v>BENI KHIRANE - KHOURIBGA</v>
          </cell>
          <cell r="I801" t="str">
            <v>D</v>
          </cell>
          <cell r="J801">
            <v>28367</v>
          </cell>
          <cell r="K801">
            <v>37073</v>
          </cell>
          <cell r="L801" t="str">
            <v>31</v>
          </cell>
          <cell r="M801" t="str">
            <v>A</v>
          </cell>
          <cell r="N801">
            <v>37073</v>
          </cell>
          <cell r="P801">
            <v>25</v>
          </cell>
          <cell r="Q801" t="str">
            <v>O</v>
          </cell>
          <cell r="R801" t="str">
            <v>N</v>
          </cell>
          <cell r="S801">
            <v>0</v>
          </cell>
          <cell r="T801" t="str">
            <v>M</v>
          </cell>
          <cell r="U801" t="str">
            <v>M'BARKA BENT LEKBIR</v>
          </cell>
          <cell r="X801">
            <v>7</v>
          </cell>
          <cell r="Y801">
            <v>1</v>
          </cell>
          <cell r="AB801" t="str">
            <v>X</v>
          </cell>
          <cell r="AC801" t="str">
            <v>X</v>
          </cell>
          <cell r="AD801" t="str">
            <v>X</v>
          </cell>
          <cell r="AH801" t="str">
            <v>N</v>
          </cell>
          <cell r="AI801" t="str">
            <v>N</v>
          </cell>
          <cell r="AK801" t="str">
            <v>176 RUE BENI HASSANE OUED ZEM</v>
          </cell>
          <cell r="AL801" t="str">
            <v>4AS</v>
          </cell>
          <cell r="AP801" t="str">
            <v>Q 61724</v>
          </cell>
          <cell r="AQ801">
            <v>0</v>
          </cell>
          <cell r="AR801" t="str">
            <v>B</v>
          </cell>
          <cell r="AS801" t="str">
            <v>BMCI  OUED-ZEM</v>
          </cell>
          <cell r="AT801" t="str">
            <v>02521447003301</v>
          </cell>
          <cell r="AU801" t="str">
            <v>/  /</v>
          </cell>
          <cell r="AW801">
            <v>39214</v>
          </cell>
          <cell r="AX801">
            <v>39214</v>
          </cell>
          <cell r="AY801" t="str">
            <v>XX</v>
          </cell>
          <cell r="AZ801" t="str">
            <v>K</v>
          </cell>
          <cell r="BA801" t="str">
            <v>2</v>
          </cell>
          <cell r="BB801">
            <v>1</v>
          </cell>
          <cell r="BD801">
            <v>0</v>
          </cell>
          <cell r="BE801" t="str">
            <v>M</v>
          </cell>
          <cell r="BF801" t="str">
            <v>N</v>
          </cell>
          <cell r="BG801">
            <v>31</v>
          </cell>
          <cell r="BH801">
            <v>37987</v>
          </cell>
          <cell r="BI801" t="str">
            <v>O</v>
          </cell>
        </row>
        <row r="802">
          <cell r="A802">
            <v>69684</v>
          </cell>
          <cell r="B802">
            <v>428</v>
          </cell>
          <cell r="C802" t="str">
            <v>C3152</v>
          </cell>
          <cell r="D802" t="str">
            <v>DAKIR</v>
          </cell>
          <cell r="E802" t="str">
            <v>SALAH</v>
          </cell>
          <cell r="F802">
            <v>21230</v>
          </cell>
          <cell r="G802" t="str">
            <v>1</v>
          </cell>
          <cell r="H802" t="str">
            <v>KHOURIBGA</v>
          </cell>
          <cell r="I802" t="str">
            <v>D</v>
          </cell>
          <cell r="J802">
            <v>28367</v>
          </cell>
          <cell r="K802">
            <v>30560</v>
          </cell>
          <cell r="L802" t="str">
            <v>21</v>
          </cell>
          <cell r="M802" t="str">
            <v>B</v>
          </cell>
          <cell r="N802">
            <v>37135</v>
          </cell>
          <cell r="P802">
            <v>25</v>
          </cell>
          <cell r="Q802" t="str">
            <v>O</v>
          </cell>
          <cell r="R802" t="str">
            <v>N</v>
          </cell>
          <cell r="S802">
            <v>0</v>
          </cell>
          <cell r="T802" t="str">
            <v>M</v>
          </cell>
          <cell r="U802" t="str">
            <v>RAFIK SAADIA BENT SALAH</v>
          </cell>
          <cell r="X802">
            <v>7</v>
          </cell>
          <cell r="Y802">
            <v>4</v>
          </cell>
          <cell r="AB802" t="str">
            <v>X</v>
          </cell>
          <cell r="AC802" t="str">
            <v>X</v>
          </cell>
          <cell r="AD802" t="str">
            <v>X</v>
          </cell>
          <cell r="AH802" t="str">
            <v>N</v>
          </cell>
          <cell r="AI802" t="str">
            <v>N</v>
          </cell>
          <cell r="AK802" t="str">
            <v>49 ANCIENNE MEDINA DE SECHAGE OCP - KHGA</v>
          </cell>
          <cell r="AL802" t="str">
            <v>CM2</v>
          </cell>
          <cell r="AP802" t="str">
            <v>Q 83908</v>
          </cell>
          <cell r="AQ802">
            <v>0</v>
          </cell>
          <cell r="AR802" t="str">
            <v>B</v>
          </cell>
          <cell r="AS802" t="str">
            <v>CR-MAROC - KHGA</v>
          </cell>
          <cell r="AT802" t="str">
            <v>082001074479</v>
          </cell>
          <cell r="AU802" t="str">
            <v>/  /</v>
          </cell>
          <cell r="AW802">
            <v>39630</v>
          </cell>
          <cell r="AY802" t="str">
            <v>XX</v>
          </cell>
          <cell r="AZ802" t="str">
            <v>K</v>
          </cell>
          <cell r="BA802" t="str">
            <v>1</v>
          </cell>
          <cell r="BB802">
            <v>1</v>
          </cell>
          <cell r="BD802">
            <v>0</v>
          </cell>
          <cell r="BE802" t="str">
            <v>M</v>
          </cell>
          <cell r="BF802" t="str">
            <v>N</v>
          </cell>
          <cell r="BG802">
            <v>4</v>
          </cell>
          <cell r="BH802">
            <v>39630</v>
          </cell>
          <cell r="BI802" t="str">
            <v>O</v>
          </cell>
        </row>
        <row r="803">
          <cell r="A803">
            <v>69685</v>
          </cell>
          <cell r="B803">
            <v>421</v>
          </cell>
          <cell r="C803" t="str">
            <v>C3152</v>
          </cell>
          <cell r="D803" t="str">
            <v>REDA</v>
          </cell>
          <cell r="E803" t="str">
            <v>ABDELKADER</v>
          </cell>
          <cell r="F803">
            <v>21105</v>
          </cell>
          <cell r="G803" t="str">
            <v>2</v>
          </cell>
          <cell r="H803" t="str">
            <v>OUED-ZEM</v>
          </cell>
          <cell r="I803" t="str">
            <v>D</v>
          </cell>
          <cell r="J803">
            <v>28364</v>
          </cell>
          <cell r="K803">
            <v>32325</v>
          </cell>
          <cell r="L803" t="str">
            <v>21</v>
          </cell>
          <cell r="M803" t="str">
            <v>C</v>
          </cell>
          <cell r="N803">
            <v>35612</v>
          </cell>
          <cell r="P803">
            <v>25</v>
          </cell>
          <cell r="Q803" t="str">
            <v>O</v>
          </cell>
          <cell r="R803" t="str">
            <v>N</v>
          </cell>
          <cell r="S803">
            <v>0</v>
          </cell>
          <cell r="T803" t="str">
            <v>M</v>
          </cell>
          <cell r="U803" t="str">
            <v>FARDACHE ZOUHRA</v>
          </cell>
          <cell r="X803">
            <v>3</v>
          </cell>
          <cell r="Y803">
            <v>3</v>
          </cell>
          <cell r="Z803" t="str">
            <v>O</v>
          </cell>
          <cell r="AA803" t="str">
            <v>08/11/94</v>
          </cell>
          <cell r="AB803" t="str">
            <v>X</v>
          </cell>
          <cell r="AC803" t="str">
            <v>X</v>
          </cell>
          <cell r="AD803" t="str">
            <v>X</v>
          </cell>
          <cell r="AH803" t="str">
            <v>O</v>
          </cell>
          <cell r="AI803" t="str">
            <v>N</v>
          </cell>
          <cell r="AK803" t="str">
            <v>703 VILLAGE OCP - BOUJNIBA</v>
          </cell>
          <cell r="AL803" t="str">
            <v>4AS</v>
          </cell>
          <cell r="AP803" t="str">
            <v>Q 56717</v>
          </cell>
          <cell r="AQ803">
            <v>0</v>
          </cell>
          <cell r="AR803" t="str">
            <v>B</v>
          </cell>
          <cell r="AS803" t="str">
            <v>BMCE - O.ZEM</v>
          </cell>
          <cell r="AT803" t="str">
            <v>41101200000320245</v>
          </cell>
          <cell r="AU803" t="str">
            <v>/  /</v>
          </cell>
          <cell r="AW803">
            <v>39448</v>
          </cell>
          <cell r="AY803" t="str">
            <v>XX</v>
          </cell>
          <cell r="BA803" t="str">
            <v>1</v>
          </cell>
          <cell r="BB803">
            <v>0</v>
          </cell>
          <cell r="BD803">
            <v>0</v>
          </cell>
          <cell r="BE803" t="str">
            <v>M</v>
          </cell>
          <cell r="BF803" t="str">
            <v>N</v>
          </cell>
          <cell r="BG803">
            <v>52</v>
          </cell>
          <cell r="BH803">
            <v>39448</v>
          </cell>
        </row>
        <row r="804">
          <cell r="A804">
            <v>69692</v>
          </cell>
          <cell r="B804">
            <v>457</v>
          </cell>
          <cell r="C804" t="str">
            <v>C4450</v>
          </cell>
          <cell r="D804" t="str">
            <v>HASSOUN</v>
          </cell>
          <cell r="E804" t="str">
            <v>ABDERRAHMANE</v>
          </cell>
          <cell r="F804">
            <v>18079</v>
          </cell>
          <cell r="G804" t="str">
            <v>2</v>
          </cell>
          <cell r="H804" t="str">
            <v>OUED-ZEM</v>
          </cell>
          <cell r="I804" t="str">
            <v>D</v>
          </cell>
          <cell r="J804">
            <v>28364</v>
          </cell>
          <cell r="K804">
            <v>36526</v>
          </cell>
          <cell r="L804" t="str">
            <v>22</v>
          </cell>
          <cell r="M804" t="str">
            <v>A</v>
          </cell>
          <cell r="N804">
            <v>36526</v>
          </cell>
          <cell r="P804">
            <v>25</v>
          </cell>
          <cell r="Q804" t="str">
            <v>O</v>
          </cell>
          <cell r="R804" t="str">
            <v>N</v>
          </cell>
          <cell r="S804">
            <v>0</v>
          </cell>
          <cell r="T804" t="str">
            <v>M</v>
          </cell>
          <cell r="U804" t="str">
            <v>SAADIA BENT MOHAMED</v>
          </cell>
          <cell r="X804">
            <v>6</v>
          </cell>
          <cell r="Y804">
            <v>0</v>
          </cell>
          <cell r="AB804" t="str">
            <v>X</v>
          </cell>
          <cell r="AC804" t="str">
            <v>X</v>
          </cell>
          <cell r="AD804" t="str">
            <v>X</v>
          </cell>
          <cell r="AH804" t="str">
            <v>N</v>
          </cell>
          <cell r="AI804" t="str">
            <v>N</v>
          </cell>
          <cell r="AK804" t="str">
            <v>337 RUE DES HADDADAS - OUED ZEM</v>
          </cell>
          <cell r="AL804" t="str">
            <v>1AS</v>
          </cell>
          <cell r="AP804" t="str">
            <v>Q 65980</v>
          </cell>
          <cell r="AQ804">
            <v>0</v>
          </cell>
          <cell r="AR804" t="str">
            <v>B</v>
          </cell>
          <cell r="AS804" t="str">
            <v>BMCI  OUED-ZEM</v>
          </cell>
          <cell r="AT804" t="str">
            <v>02521416933301</v>
          </cell>
          <cell r="AU804" t="str">
            <v>/  /</v>
          </cell>
          <cell r="AW804">
            <v>37987</v>
          </cell>
          <cell r="AY804" t="str">
            <v>XX</v>
          </cell>
          <cell r="BA804" t="str">
            <v>2</v>
          </cell>
          <cell r="BB804">
            <v>1</v>
          </cell>
          <cell r="BD804">
            <v>0</v>
          </cell>
          <cell r="BE804" t="str">
            <v>M</v>
          </cell>
          <cell r="BF804" t="str">
            <v>N</v>
          </cell>
          <cell r="BG804">
            <v>31</v>
          </cell>
          <cell r="BH804">
            <v>37987</v>
          </cell>
        </row>
        <row r="805">
          <cell r="A805">
            <v>69694</v>
          </cell>
          <cell r="B805">
            <v>412</v>
          </cell>
          <cell r="C805" t="str">
            <v>C4152</v>
          </cell>
          <cell r="D805" t="str">
            <v>FJOUJI</v>
          </cell>
          <cell r="E805" t="str">
            <v>BOUABID</v>
          </cell>
          <cell r="F805">
            <v>19966</v>
          </cell>
          <cell r="G805" t="str">
            <v>1</v>
          </cell>
          <cell r="H805" t="str">
            <v>OULED BHAR KBAR KHOURIBGA</v>
          </cell>
          <cell r="I805" t="str">
            <v>D</v>
          </cell>
          <cell r="J805">
            <v>28370</v>
          </cell>
          <cell r="K805">
            <v>36526</v>
          </cell>
          <cell r="L805" t="str">
            <v>22</v>
          </cell>
          <cell r="M805" t="str">
            <v>A</v>
          </cell>
          <cell r="N805">
            <v>36526</v>
          </cell>
          <cell r="P805">
            <v>25</v>
          </cell>
          <cell r="Q805" t="str">
            <v>O</v>
          </cell>
          <cell r="R805" t="str">
            <v>N</v>
          </cell>
          <cell r="S805">
            <v>0</v>
          </cell>
          <cell r="T805" t="str">
            <v>M</v>
          </cell>
          <cell r="U805" t="str">
            <v>FJOUJI YAMNA</v>
          </cell>
          <cell r="X805">
            <v>4</v>
          </cell>
          <cell r="Y805">
            <v>4</v>
          </cell>
          <cell r="AB805" t="str">
            <v>N</v>
          </cell>
          <cell r="AC805" t="str">
            <v>X</v>
          </cell>
          <cell r="AD805" t="str">
            <v>X</v>
          </cell>
          <cell r="AH805" t="str">
            <v>N</v>
          </cell>
          <cell r="AI805" t="str">
            <v>N</v>
          </cell>
          <cell r="AK805" t="str">
            <v>602 VILLAGE OCP - BOUJNIBA</v>
          </cell>
          <cell r="AL805" t="str">
            <v>ILLETTRE</v>
          </cell>
          <cell r="AP805" t="str">
            <v>Q 59614</v>
          </cell>
          <cell r="AQ805">
            <v>0</v>
          </cell>
          <cell r="AR805" t="str">
            <v>B</v>
          </cell>
          <cell r="AS805" t="str">
            <v>SGMB.KHGA</v>
          </cell>
          <cell r="AT805" t="str">
            <v>6709129461</v>
          </cell>
          <cell r="AU805" t="str">
            <v>/  /</v>
          </cell>
          <cell r="AW805">
            <v>38353</v>
          </cell>
          <cell r="AY805" t="str">
            <v>XX</v>
          </cell>
          <cell r="BA805" t="str">
            <v>1</v>
          </cell>
          <cell r="BB805">
            <v>1</v>
          </cell>
          <cell r="BD805">
            <v>0</v>
          </cell>
          <cell r="BE805" t="str">
            <v>M</v>
          </cell>
          <cell r="BF805" t="str">
            <v>N</v>
          </cell>
          <cell r="BG805">
            <v>51</v>
          </cell>
          <cell r="BH805">
            <v>38353</v>
          </cell>
        </row>
        <row r="806">
          <cell r="A806">
            <v>69720</v>
          </cell>
          <cell r="B806">
            <v>418</v>
          </cell>
          <cell r="C806" t="str">
            <v>C4152</v>
          </cell>
          <cell r="D806" t="str">
            <v>EL MHADI</v>
          </cell>
          <cell r="E806" t="str">
            <v>ABDELKADER</v>
          </cell>
          <cell r="F806">
            <v>19905</v>
          </cell>
          <cell r="H806" t="str">
            <v>LOULED</v>
          </cell>
          <cell r="I806" t="str">
            <v>D</v>
          </cell>
          <cell r="J806">
            <v>28363</v>
          </cell>
          <cell r="K806">
            <v>37012</v>
          </cell>
          <cell r="L806" t="str">
            <v>22</v>
          </cell>
          <cell r="M806" t="str">
            <v>A</v>
          </cell>
          <cell r="N806">
            <v>37012</v>
          </cell>
          <cell r="P806">
            <v>25</v>
          </cell>
          <cell r="Q806" t="str">
            <v>O</v>
          </cell>
          <cell r="R806" t="str">
            <v>N</v>
          </cell>
          <cell r="S806">
            <v>0</v>
          </cell>
          <cell r="T806" t="str">
            <v>M</v>
          </cell>
          <cell r="U806" t="str">
            <v>FASSIH LAGHZAL</v>
          </cell>
          <cell r="X806">
            <v>4</v>
          </cell>
          <cell r="Y806">
            <v>3</v>
          </cell>
          <cell r="AB806" t="str">
            <v>X</v>
          </cell>
          <cell r="AC806" t="str">
            <v>X</v>
          </cell>
          <cell r="AD806" t="str">
            <v>X</v>
          </cell>
          <cell r="AH806" t="str">
            <v>N</v>
          </cell>
          <cell r="AI806" t="str">
            <v>N</v>
          </cell>
          <cell r="AK806" t="str">
            <v>106 DOUAR BEN JILLOUNE KHOURIBGA</v>
          </cell>
          <cell r="AL806" t="str">
            <v>CM2</v>
          </cell>
          <cell r="AP806" t="str">
            <v>Q 110998</v>
          </cell>
          <cell r="AQ806">
            <v>0</v>
          </cell>
          <cell r="AR806" t="str">
            <v>B</v>
          </cell>
          <cell r="AS806" t="str">
            <v>C.I.H  KHGA</v>
          </cell>
          <cell r="AT806" t="str">
            <v>7934789</v>
          </cell>
          <cell r="AU806" t="str">
            <v>/  /</v>
          </cell>
          <cell r="AW806">
            <v>38169</v>
          </cell>
          <cell r="AY806" t="str">
            <v>XX</v>
          </cell>
          <cell r="BA806" t="str">
            <v>1</v>
          </cell>
          <cell r="BB806">
            <v>1</v>
          </cell>
          <cell r="BD806">
            <v>0</v>
          </cell>
          <cell r="BE806" t="str">
            <v>M</v>
          </cell>
          <cell r="BF806" t="str">
            <v>N</v>
          </cell>
          <cell r="BG806">
            <v>4</v>
          </cell>
          <cell r="BH806">
            <v>38169</v>
          </cell>
        </row>
        <row r="807">
          <cell r="A807">
            <v>69729</v>
          </cell>
          <cell r="B807">
            <v>426</v>
          </cell>
          <cell r="C807" t="str">
            <v>C5050</v>
          </cell>
          <cell r="D807" t="str">
            <v>ARHBAL</v>
          </cell>
          <cell r="E807" t="str">
            <v>EL HOUSSINE</v>
          </cell>
          <cell r="F807">
            <v>20099</v>
          </cell>
          <cell r="H807" t="str">
            <v>DOUAR AGHBALOU - ESSOUIRA</v>
          </cell>
          <cell r="I807" t="str">
            <v>D</v>
          </cell>
          <cell r="J807">
            <v>28402</v>
          </cell>
          <cell r="K807">
            <v>37073</v>
          </cell>
          <cell r="L807" t="str">
            <v>31</v>
          </cell>
          <cell r="M807" t="str">
            <v>A</v>
          </cell>
          <cell r="N807">
            <v>37073</v>
          </cell>
          <cell r="P807">
            <v>25</v>
          </cell>
          <cell r="Q807" t="str">
            <v>O</v>
          </cell>
          <cell r="R807" t="str">
            <v>N</v>
          </cell>
          <cell r="S807">
            <v>0</v>
          </cell>
          <cell r="T807" t="str">
            <v>M</v>
          </cell>
          <cell r="U807" t="str">
            <v>FADMA BENT ALI BEN ABDELKRIM</v>
          </cell>
          <cell r="X807">
            <v>4</v>
          </cell>
          <cell r="Y807">
            <v>4</v>
          </cell>
          <cell r="AB807" t="str">
            <v>X</v>
          </cell>
          <cell r="AC807" t="str">
            <v>X</v>
          </cell>
          <cell r="AD807" t="str">
            <v>X</v>
          </cell>
          <cell r="AH807" t="str">
            <v>N</v>
          </cell>
          <cell r="AI807" t="str">
            <v>N</v>
          </cell>
          <cell r="AK807" t="str">
            <v>526 NELLE MEDINA DE SECHAGE KHGA</v>
          </cell>
          <cell r="AL807" t="str">
            <v>5AS.EXP.</v>
          </cell>
          <cell r="AP807" t="str">
            <v>Q 16419</v>
          </cell>
          <cell r="AQ807">
            <v>0</v>
          </cell>
          <cell r="AR807" t="str">
            <v>C</v>
          </cell>
          <cell r="AU807" t="str">
            <v>/  /</v>
          </cell>
          <cell r="AW807">
            <v>38534</v>
          </cell>
          <cell r="AY807" t="str">
            <v>XX</v>
          </cell>
          <cell r="AZ807" t="str">
            <v>M</v>
          </cell>
          <cell r="BA807" t="str">
            <v>2</v>
          </cell>
          <cell r="BB807">
            <v>1</v>
          </cell>
          <cell r="BD807">
            <v>0</v>
          </cell>
          <cell r="BE807" t="str">
            <v>M</v>
          </cell>
          <cell r="BF807" t="str">
            <v>N</v>
          </cell>
          <cell r="BG807">
            <v>4</v>
          </cell>
          <cell r="BH807">
            <v>38534</v>
          </cell>
        </row>
        <row r="808">
          <cell r="A808">
            <v>69734</v>
          </cell>
          <cell r="B808">
            <v>428</v>
          </cell>
          <cell r="C808" t="str">
            <v>C3152</v>
          </cell>
          <cell r="D808" t="str">
            <v>RATTAL</v>
          </cell>
          <cell r="E808" t="str">
            <v>ABDELKRIM</v>
          </cell>
          <cell r="F808">
            <v>19905</v>
          </cell>
          <cell r="G808" t="str">
            <v>6</v>
          </cell>
          <cell r="H808" t="str">
            <v>OULED AZZOUZ - KHOURIBGA</v>
          </cell>
          <cell r="I808" t="str">
            <v>D</v>
          </cell>
          <cell r="J808">
            <v>28369</v>
          </cell>
          <cell r="K808">
            <v>36526</v>
          </cell>
          <cell r="L808" t="str">
            <v>21</v>
          </cell>
          <cell r="M808" t="str">
            <v>B</v>
          </cell>
          <cell r="N808">
            <v>36526</v>
          </cell>
          <cell r="P808">
            <v>25</v>
          </cell>
          <cell r="Q808" t="str">
            <v>O</v>
          </cell>
          <cell r="R808" t="str">
            <v>N</v>
          </cell>
          <cell r="S808">
            <v>0</v>
          </cell>
          <cell r="T808" t="str">
            <v>M</v>
          </cell>
          <cell r="U808" t="str">
            <v>FATNA BENT EL MAATI</v>
          </cell>
          <cell r="X808">
            <v>6</v>
          </cell>
          <cell r="Y808">
            <v>3</v>
          </cell>
          <cell r="AB808" t="str">
            <v>X</v>
          </cell>
          <cell r="AC808" t="str">
            <v>X</v>
          </cell>
          <cell r="AD808" t="str">
            <v>X</v>
          </cell>
          <cell r="AH808" t="str">
            <v>N</v>
          </cell>
          <cell r="AI808" t="str">
            <v>N</v>
          </cell>
          <cell r="AK808" t="str">
            <v>683 NELLE MEDINA DE SECHAGE KHOURIBGA</v>
          </cell>
          <cell r="AL808" t="str">
            <v>CM2</v>
          </cell>
          <cell r="AP808" t="str">
            <v>Q 51531</v>
          </cell>
          <cell r="AQ808">
            <v>0</v>
          </cell>
          <cell r="AR808" t="str">
            <v>B</v>
          </cell>
          <cell r="AS808" t="str">
            <v>SGMB- KHGA</v>
          </cell>
          <cell r="AT808" t="str">
            <v>09429967</v>
          </cell>
          <cell r="AU808" t="str">
            <v>/  /</v>
          </cell>
          <cell r="AW808">
            <v>38169</v>
          </cell>
          <cell r="AY808" t="str">
            <v>XX</v>
          </cell>
          <cell r="BA808" t="str">
            <v>1</v>
          </cell>
          <cell r="BB808">
            <v>1</v>
          </cell>
          <cell r="BD808">
            <v>0</v>
          </cell>
          <cell r="BE808" t="str">
            <v>M</v>
          </cell>
          <cell r="BF808" t="str">
            <v>N</v>
          </cell>
          <cell r="BG808">
            <v>4</v>
          </cell>
          <cell r="BH808">
            <v>38169</v>
          </cell>
        </row>
        <row r="809">
          <cell r="A809">
            <v>69735</v>
          </cell>
          <cell r="B809">
            <v>411</v>
          </cell>
          <cell r="C809" t="str">
            <v>C3152</v>
          </cell>
          <cell r="D809" t="str">
            <v>ZAHHAR</v>
          </cell>
          <cell r="E809" t="str">
            <v>ECHCHERKI</v>
          </cell>
          <cell r="F809">
            <v>18809</v>
          </cell>
          <cell r="G809" t="str">
            <v>1</v>
          </cell>
          <cell r="H809" t="str">
            <v>OULED BHAR SGHAR KHOURIBGA</v>
          </cell>
          <cell r="I809" t="str">
            <v>D</v>
          </cell>
          <cell r="J809">
            <v>28369</v>
          </cell>
          <cell r="K809">
            <v>36526</v>
          </cell>
          <cell r="L809" t="str">
            <v>21</v>
          </cell>
          <cell r="M809" t="str">
            <v>B</v>
          </cell>
          <cell r="N809">
            <v>36526</v>
          </cell>
          <cell r="P809">
            <v>25</v>
          </cell>
          <cell r="Q809" t="str">
            <v>O</v>
          </cell>
          <cell r="R809" t="str">
            <v>N</v>
          </cell>
          <cell r="S809">
            <v>0</v>
          </cell>
          <cell r="T809" t="str">
            <v>M</v>
          </cell>
          <cell r="U809" t="str">
            <v>ZAGHLOUL ZAHRA</v>
          </cell>
          <cell r="X809">
            <v>5</v>
          </cell>
          <cell r="Y809">
            <v>3</v>
          </cell>
          <cell r="AB809" t="str">
            <v>X</v>
          </cell>
          <cell r="AC809" t="str">
            <v>X</v>
          </cell>
          <cell r="AD809" t="str">
            <v>X</v>
          </cell>
          <cell r="AH809" t="str">
            <v>N</v>
          </cell>
          <cell r="AI809" t="str">
            <v>N</v>
          </cell>
          <cell r="AK809" t="str">
            <v>666 VILLAGE OCP BOULANOIR</v>
          </cell>
          <cell r="AL809" t="str">
            <v>CM2</v>
          </cell>
          <cell r="AP809" t="str">
            <v>Q 75214</v>
          </cell>
          <cell r="AQ809">
            <v>0</v>
          </cell>
          <cell r="AR809" t="str">
            <v>B</v>
          </cell>
          <cell r="AS809" t="str">
            <v>SGMB-KHGA</v>
          </cell>
          <cell r="AT809" t="str">
            <v>067000945751541</v>
          </cell>
          <cell r="AU809" t="str">
            <v>10/03/16</v>
          </cell>
          <cell r="AW809">
            <v>37987</v>
          </cell>
          <cell r="AY809" t="str">
            <v>XX</v>
          </cell>
          <cell r="AZ809" t="str">
            <v>K</v>
          </cell>
          <cell r="BA809" t="str">
            <v>2</v>
          </cell>
          <cell r="BB809">
            <v>1</v>
          </cell>
          <cell r="BD809">
            <v>0</v>
          </cell>
          <cell r="BE809" t="str">
            <v>M</v>
          </cell>
          <cell r="BF809" t="str">
            <v>N</v>
          </cell>
          <cell r="BG809">
            <v>40</v>
          </cell>
          <cell r="BH809">
            <v>38169</v>
          </cell>
        </row>
        <row r="810">
          <cell r="A810">
            <v>69758</v>
          </cell>
          <cell r="B810">
            <v>468</v>
          </cell>
          <cell r="C810" t="str">
            <v>C4411</v>
          </cell>
          <cell r="D810" t="str">
            <v>MANNANI</v>
          </cell>
          <cell r="E810" t="str">
            <v>SALAH</v>
          </cell>
          <cell r="F810">
            <v>18869</v>
          </cell>
          <cell r="G810" t="str">
            <v>1</v>
          </cell>
          <cell r="H810" t="str">
            <v>OULED ABDOUNE</v>
          </cell>
          <cell r="I810" t="str">
            <v>D</v>
          </cell>
          <cell r="J810">
            <v>28374</v>
          </cell>
          <cell r="K810">
            <v>32478</v>
          </cell>
          <cell r="L810" t="str">
            <v>22</v>
          </cell>
          <cell r="M810" t="str">
            <v>B</v>
          </cell>
          <cell r="N810">
            <v>35612</v>
          </cell>
          <cell r="P810">
            <v>25</v>
          </cell>
          <cell r="Q810" t="str">
            <v>O</v>
          </cell>
          <cell r="R810" t="str">
            <v>N</v>
          </cell>
          <cell r="S810">
            <v>0</v>
          </cell>
          <cell r="T810" t="str">
            <v>M</v>
          </cell>
          <cell r="U810" t="str">
            <v>MINA BENT BOUCHAIB</v>
          </cell>
          <cell r="X810">
            <v>5</v>
          </cell>
          <cell r="Y810">
            <v>3</v>
          </cell>
          <cell r="AB810" t="str">
            <v>X</v>
          </cell>
          <cell r="AC810" t="str">
            <v>X</v>
          </cell>
          <cell r="AD810" t="str">
            <v>X</v>
          </cell>
          <cell r="AH810" t="str">
            <v>O</v>
          </cell>
          <cell r="AI810" t="str">
            <v>N</v>
          </cell>
          <cell r="AK810" t="str">
            <v>260 NOUVEAUX LOGEMENTS SECHAGE KHGA</v>
          </cell>
          <cell r="AL810" t="str">
            <v>2AS</v>
          </cell>
          <cell r="AP810" t="str">
            <v>Q 1088</v>
          </cell>
          <cell r="AQ810">
            <v>0</v>
          </cell>
          <cell r="AR810" t="str">
            <v>B</v>
          </cell>
          <cell r="AS810" t="str">
            <v>C.I.H - KHGA</v>
          </cell>
          <cell r="AT810" t="str">
            <v>9830191211004700</v>
          </cell>
          <cell r="AU810" t="str">
            <v>/  /</v>
          </cell>
          <cell r="AW810">
            <v>37987</v>
          </cell>
          <cell r="AY810" t="str">
            <v>A+</v>
          </cell>
          <cell r="AZ810" t="str">
            <v>M</v>
          </cell>
          <cell r="BA810" t="str">
            <v>2</v>
          </cell>
          <cell r="BB810">
            <v>1</v>
          </cell>
          <cell r="BD810">
            <v>0</v>
          </cell>
          <cell r="BE810" t="str">
            <v>M</v>
          </cell>
          <cell r="BF810" t="str">
            <v>N</v>
          </cell>
          <cell r="BG810">
            <v>5</v>
          </cell>
          <cell r="BH810">
            <v>38169</v>
          </cell>
        </row>
        <row r="811">
          <cell r="A811">
            <v>69772</v>
          </cell>
          <cell r="B811">
            <v>421</v>
          </cell>
          <cell r="C811" t="str">
            <v>C3020</v>
          </cell>
          <cell r="D811" t="str">
            <v>SRIMES</v>
          </cell>
          <cell r="E811" t="str">
            <v>AHMED</v>
          </cell>
          <cell r="F811">
            <v>19388</v>
          </cell>
          <cell r="G811" t="str">
            <v>4</v>
          </cell>
          <cell r="H811" t="str">
            <v>BOULANOUAR</v>
          </cell>
          <cell r="I811" t="str">
            <v>D</v>
          </cell>
          <cell r="J811">
            <v>28376</v>
          </cell>
          <cell r="K811">
            <v>32325</v>
          </cell>
          <cell r="L811" t="str">
            <v>21</v>
          </cell>
          <cell r="M811" t="str">
            <v>D</v>
          </cell>
          <cell r="N811">
            <v>35612</v>
          </cell>
          <cell r="P811">
            <v>25</v>
          </cell>
          <cell r="Q811" t="str">
            <v>O</v>
          </cell>
          <cell r="R811" t="str">
            <v>N</v>
          </cell>
          <cell r="S811">
            <v>0</v>
          </cell>
          <cell r="T811" t="str">
            <v>M</v>
          </cell>
          <cell r="U811" t="str">
            <v>MAATOUZI IJJOU BENT BOUJEMAA</v>
          </cell>
          <cell r="X811">
            <v>4</v>
          </cell>
          <cell r="Y811">
            <v>4</v>
          </cell>
          <cell r="AB811" t="str">
            <v>X</v>
          </cell>
          <cell r="AC811" t="str">
            <v>X</v>
          </cell>
          <cell r="AD811" t="str">
            <v>X</v>
          </cell>
          <cell r="AH811" t="str">
            <v>N</v>
          </cell>
          <cell r="AI811" t="str">
            <v>N</v>
          </cell>
          <cell r="AK811" t="str">
            <v>373 NELLE MEDINA DE SECHAGE KHOURIBGA</v>
          </cell>
          <cell r="AL811" t="str">
            <v>1AS</v>
          </cell>
          <cell r="AP811" t="str">
            <v>Q 23691</v>
          </cell>
          <cell r="AQ811">
            <v>0</v>
          </cell>
          <cell r="AR811" t="str">
            <v>B</v>
          </cell>
          <cell r="AS811" t="str">
            <v>POPULAIRE.KHGA</v>
          </cell>
          <cell r="AT811" t="str">
            <v>2111112770990005</v>
          </cell>
          <cell r="AU811" t="str">
            <v>/  /</v>
          </cell>
          <cell r="AW811">
            <v>37987</v>
          </cell>
          <cell r="AY811" t="str">
            <v>XX</v>
          </cell>
          <cell r="BA811" t="str">
            <v>0</v>
          </cell>
          <cell r="BB811">
            <v>1</v>
          </cell>
          <cell r="BD811">
            <v>0</v>
          </cell>
          <cell r="BE811" t="str">
            <v>M</v>
          </cell>
          <cell r="BF811" t="str">
            <v>N</v>
          </cell>
          <cell r="BG811">
            <v>4</v>
          </cell>
          <cell r="BH811">
            <v>38169</v>
          </cell>
        </row>
        <row r="812">
          <cell r="A812">
            <v>69796</v>
          </cell>
          <cell r="B812">
            <v>403</v>
          </cell>
          <cell r="C812" t="str">
            <v>C3152</v>
          </cell>
          <cell r="D812" t="str">
            <v>HIDAR</v>
          </cell>
          <cell r="E812" t="str">
            <v>AHMED</v>
          </cell>
          <cell r="F812">
            <v>19590</v>
          </cell>
          <cell r="G812" t="str">
            <v>2</v>
          </cell>
          <cell r="H812" t="str">
            <v>BENI SMIR</v>
          </cell>
          <cell r="I812" t="str">
            <v>D</v>
          </cell>
          <cell r="J812">
            <v>28375</v>
          </cell>
          <cell r="K812">
            <v>37165</v>
          </cell>
          <cell r="L812" t="str">
            <v>21</v>
          </cell>
          <cell r="M812" t="str">
            <v>B</v>
          </cell>
          <cell r="N812">
            <v>37165</v>
          </cell>
          <cell r="P812">
            <v>25</v>
          </cell>
          <cell r="Q812" t="str">
            <v>O</v>
          </cell>
          <cell r="R812" t="str">
            <v>N</v>
          </cell>
          <cell r="S812">
            <v>0</v>
          </cell>
          <cell r="T812" t="str">
            <v>M</v>
          </cell>
          <cell r="U812" t="str">
            <v>EL BIH FATNA BENT AHMED</v>
          </cell>
          <cell r="X812">
            <v>5</v>
          </cell>
          <cell r="Y812">
            <v>5</v>
          </cell>
          <cell r="AB812" t="str">
            <v>X</v>
          </cell>
          <cell r="AC812" t="str">
            <v>X</v>
          </cell>
          <cell r="AD812" t="str">
            <v>X</v>
          </cell>
          <cell r="AH812" t="str">
            <v>N</v>
          </cell>
          <cell r="AI812" t="str">
            <v>N</v>
          </cell>
          <cell r="AK812" t="str">
            <v>1 RUE 15 KOREA OUED ZEM</v>
          </cell>
          <cell r="AL812" t="str">
            <v>CM2</v>
          </cell>
          <cell r="AP812" t="str">
            <v>Q 63853</v>
          </cell>
          <cell r="AQ812">
            <v>0</v>
          </cell>
          <cell r="AR812" t="str">
            <v>B</v>
          </cell>
          <cell r="AS812" t="str">
            <v>BMCE.OUED ZEM</v>
          </cell>
          <cell r="AT812" t="str">
            <v>41101200000315686</v>
          </cell>
          <cell r="AU812" t="str">
            <v>/  /</v>
          </cell>
          <cell r="AW812">
            <v>39214</v>
          </cell>
          <cell r="AX812">
            <v>39214</v>
          </cell>
          <cell r="AY812" t="str">
            <v>XX</v>
          </cell>
          <cell r="BA812" t="str">
            <v>1</v>
          </cell>
          <cell r="BB812">
            <v>1</v>
          </cell>
          <cell r="BD812">
            <v>0</v>
          </cell>
          <cell r="BE812" t="str">
            <v>M</v>
          </cell>
          <cell r="BF812" t="str">
            <v>N</v>
          </cell>
          <cell r="BG812">
            <v>31</v>
          </cell>
          <cell r="BH812">
            <v>38169</v>
          </cell>
          <cell r="BI812" t="str">
            <v>O</v>
          </cell>
        </row>
        <row r="813">
          <cell r="A813">
            <v>69802</v>
          </cell>
          <cell r="B813">
            <v>421</v>
          </cell>
          <cell r="C813" t="str">
            <v>C4152</v>
          </cell>
          <cell r="D813" t="str">
            <v>SALOUHI</v>
          </cell>
          <cell r="E813" t="str">
            <v>MOHAMMED</v>
          </cell>
          <cell r="F813">
            <v>20916</v>
          </cell>
          <cell r="G813" t="str">
            <v>1</v>
          </cell>
          <cell r="H813" t="str">
            <v>KHOURIBGA</v>
          </cell>
          <cell r="I813" t="str">
            <v>D</v>
          </cell>
          <cell r="J813">
            <v>28381</v>
          </cell>
          <cell r="K813">
            <v>36526</v>
          </cell>
          <cell r="L813" t="str">
            <v>22</v>
          </cell>
          <cell r="M813" t="str">
            <v>A</v>
          </cell>
          <cell r="N813">
            <v>36526</v>
          </cell>
          <cell r="O813">
            <v>0</v>
          </cell>
          <cell r="P813">
            <v>25</v>
          </cell>
          <cell r="Q813" t="str">
            <v>O</v>
          </cell>
          <cell r="R813" t="str">
            <v>N</v>
          </cell>
          <cell r="S813">
            <v>0</v>
          </cell>
          <cell r="T813" t="str">
            <v>M</v>
          </cell>
          <cell r="U813" t="str">
            <v>TOUTA AICHA BENT AHMED</v>
          </cell>
          <cell r="X813">
            <v>4</v>
          </cell>
          <cell r="Y813">
            <v>3</v>
          </cell>
          <cell r="AB813" t="str">
            <v>X</v>
          </cell>
          <cell r="AC813" t="str">
            <v>X</v>
          </cell>
          <cell r="AD813" t="str">
            <v>X</v>
          </cell>
          <cell r="AH813" t="str">
            <v>N</v>
          </cell>
          <cell r="AI813" t="str">
            <v>N</v>
          </cell>
          <cell r="AK813" t="str">
            <v>173 NELLE MEDINA DE SECHAGE KHGA</v>
          </cell>
          <cell r="AL813" t="str">
            <v>2AS</v>
          </cell>
          <cell r="AP813" t="str">
            <v>Q 64351</v>
          </cell>
          <cell r="AQ813">
            <v>0</v>
          </cell>
          <cell r="AR813" t="str">
            <v>B</v>
          </cell>
          <cell r="AS813" t="str">
            <v>BMCE KHOURIBGA</v>
          </cell>
          <cell r="AT813" t="str">
            <v>4000001200001732574</v>
          </cell>
          <cell r="AU813" t="str">
            <v>/  /</v>
          </cell>
          <cell r="AW813">
            <v>39264</v>
          </cell>
          <cell r="AY813" t="str">
            <v>XX</v>
          </cell>
          <cell r="BA813" t="str">
            <v>1</v>
          </cell>
          <cell r="BB813">
            <v>1</v>
          </cell>
          <cell r="BD813">
            <v>0</v>
          </cell>
          <cell r="BE813" t="str">
            <v>M</v>
          </cell>
          <cell r="BF813" t="str">
            <v>N</v>
          </cell>
          <cell r="BG813">
            <v>4</v>
          </cell>
          <cell r="BH813">
            <v>39264</v>
          </cell>
        </row>
        <row r="814">
          <cell r="A814">
            <v>69809</v>
          </cell>
          <cell r="B814">
            <v>465</v>
          </cell>
          <cell r="C814" t="str">
            <v>C6300</v>
          </cell>
          <cell r="D814" t="str">
            <v>GUEZRI</v>
          </cell>
          <cell r="E814" t="str">
            <v>EL KBIR</v>
          </cell>
          <cell r="F814">
            <v>19175</v>
          </cell>
          <cell r="G814" t="str">
            <v>1</v>
          </cell>
          <cell r="H814" t="str">
            <v>OULED BHAR KBAR KHOURIBGA</v>
          </cell>
          <cell r="I814" t="str">
            <v>D</v>
          </cell>
          <cell r="J814">
            <v>28389</v>
          </cell>
          <cell r="K814">
            <v>33573</v>
          </cell>
          <cell r="L814" t="str">
            <v>32</v>
          </cell>
          <cell r="M814" t="str">
            <v>A</v>
          </cell>
          <cell r="N814">
            <v>33573</v>
          </cell>
          <cell r="P814">
            <v>25</v>
          </cell>
          <cell r="Q814" t="str">
            <v>O</v>
          </cell>
          <cell r="R814" t="str">
            <v>N</v>
          </cell>
          <cell r="S814">
            <v>0</v>
          </cell>
          <cell r="T814" t="str">
            <v>M</v>
          </cell>
          <cell r="U814" t="str">
            <v>EL ATRAOUI FATIMA</v>
          </cell>
          <cell r="X814">
            <v>3</v>
          </cell>
          <cell r="Y814">
            <v>3</v>
          </cell>
          <cell r="AB814" t="str">
            <v>X</v>
          </cell>
          <cell r="AC814" t="str">
            <v>X</v>
          </cell>
          <cell r="AD814" t="str">
            <v>X</v>
          </cell>
          <cell r="AH814" t="str">
            <v>N</v>
          </cell>
          <cell r="AI814" t="str">
            <v>N</v>
          </cell>
          <cell r="AK814" t="str">
            <v>BLOC B HAY EL OUAHDA - OUED ZEM</v>
          </cell>
          <cell r="AL814" t="str">
            <v>5 AS</v>
          </cell>
          <cell r="AM814" t="str">
            <v>CES.CFO</v>
          </cell>
          <cell r="AP814" t="str">
            <v>Q 36033</v>
          </cell>
          <cell r="AQ814">
            <v>0</v>
          </cell>
          <cell r="AR814" t="str">
            <v>B</v>
          </cell>
          <cell r="AS814" t="str">
            <v>C.I.H - KHGA</v>
          </cell>
          <cell r="AT814" t="str">
            <v>9584764211004700</v>
          </cell>
          <cell r="AU814" t="str">
            <v>/  /</v>
          </cell>
          <cell r="AW814">
            <v>37987</v>
          </cell>
          <cell r="AY814" t="str">
            <v>XX</v>
          </cell>
          <cell r="BA814" t="str">
            <v>2</v>
          </cell>
          <cell r="BB814">
            <v>1</v>
          </cell>
          <cell r="BD814">
            <v>0</v>
          </cell>
          <cell r="BE814" t="str">
            <v>M</v>
          </cell>
          <cell r="BF814" t="str">
            <v>N</v>
          </cell>
          <cell r="BG814">
            <v>31</v>
          </cell>
          <cell r="BH814">
            <v>38169</v>
          </cell>
        </row>
        <row r="815">
          <cell r="A815">
            <v>69867</v>
          </cell>
          <cell r="B815">
            <v>461</v>
          </cell>
          <cell r="C815" t="str">
            <v>C3001</v>
          </cell>
          <cell r="D815" t="str">
            <v>TAQANI</v>
          </cell>
          <cell r="E815" t="str">
            <v>MOHAMMED</v>
          </cell>
          <cell r="F815">
            <v>19367</v>
          </cell>
          <cell r="G815" t="str">
            <v>1</v>
          </cell>
          <cell r="H815" t="str">
            <v>KHOURIBGA</v>
          </cell>
          <cell r="I815" t="str">
            <v>D</v>
          </cell>
          <cell r="J815">
            <v>28416</v>
          </cell>
          <cell r="K815">
            <v>37196</v>
          </cell>
          <cell r="L815" t="str">
            <v>21</v>
          </cell>
          <cell r="M815" t="str">
            <v>A</v>
          </cell>
          <cell r="N815">
            <v>37196</v>
          </cell>
          <cell r="P815">
            <v>25</v>
          </cell>
          <cell r="Q815" t="str">
            <v>O</v>
          </cell>
          <cell r="R815" t="str">
            <v>N</v>
          </cell>
          <cell r="S815">
            <v>0</v>
          </cell>
          <cell r="T815" t="str">
            <v>C</v>
          </cell>
          <cell r="X815">
            <v>0</v>
          </cell>
          <cell r="Y815">
            <v>0</v>
          </cell>
          <cell r="AB815" t="str">
            <v>X</v>
          </cell>
          <cell r="AC815" t="str">
            <v>X</v>
          </cell>
          <cell r="AD815" t="str">
            <v>X</v>
          </cell>
          <cell r="AH815" t="str">
            <v>N</v>
          </cell>
          <cell r="AI815" t="str">
            <v>N</v>
          </cell>
          <cell r="AK815" t="str">
            <v>116,VILLAGE OCP BOUJNIBA</v>
          </cell>
          <cell r="AL815" t="str">
            <v>4AS</v>
          </cell>
          <cell r="AP815" t="str">
            <v>Q 54209</v>
          </cell>
          <cell r="AQ815">
            <v>0</v>
          </cell>
          <cell r="AR815" t="str">
            <v>C</v>
          </cell>
          <cell r="AU815" t="str">
            <v>/  /</v>
          </cell>
          <cell r="AW815">
            <v>38169</v>
          </cell>
          <cell r="AY815" t="str">
            <v>XX</v>
          </cell>
          <cell r="AZ815" t="str">
            <v>R</v>
          </cell>
          <cell r="BA815" t="str">
            <v>2</v>
          </cell>
          <cell r="BB815">
            <v>0</v>
          </cell>
          <cell r="BD815">
            <v>0</v>
          </cell>
          <cell r="BE815" t="str">
            <v>M</v>
          </cell>
          <cell r="BF815" t="str">
            <v>N</v>
          </cell>
          <cell r="BG815">
            <v>51</v>
          </cell>
          <cell r="BH815">
            <v>38169</v>
          </cell>
        </row>
        <row r="816">
          <cell r="A816">
            <v>69870</v>
          </cell>
          <cell r="B816">
            <v>415</v>
          </cell>
          <cell r="C816" t="str">
            <v>C3300</v>
          </cell>
          <cell r="D816" t="str">
            <v>KHALLASSI</v>
          </cell>
          <cell r="E816" t="str">
            <v>MOHAMMED</v>
          </cell>
          <cell r="F816">
            <v>18444</v>
          </cell>
          <cell r="G816" t="str">
            <v>6</v>
          </cell>
          <cell r="H816" t="str">
            <v>HATTANE</v>
          </cell>
          <cell r="I816" t="str">
            <v>D</v>
          </cell>
          <cell r="J816">
            <v>28415</v>
          </cell>
          <cell r="K816">
            <v>37196</v>
          </cell>
          <cell r="L816" t="str">
            <v>21</v>
          </cell>
          <cell r="M816" t="str">
            <v>A</v>
          </cell>
          <cell r="N816">
            <v>37196</v>
          </cell>
          <cell r="O816">
            <v>0</v>
          </cell>
          <cell r="P816">
            <v>25</v>
          </cell>
          <cell r="Q816" t="str">
            <v>O</v>
          </cell>
          <cell r="R816" t="str">
            <v>N</v>
          </cell>
          <cell r="S816">
            <v>0</v>
          </cell>
          <cell r="T816" t="str">
            <v>M</v>
          </cell>
          <cell r="U816" t="str">
            <v>DAHIR ZOUBIDA BENT ABDESLAM</v>
          </cell>
          <cell r="X816">
            <v>4</v>
          </cell>
          <cell r="Y816">
            <v>3</v>
          </cell>
          <cell r="AB816" t="str">
            <v>X</v>
          </cell>
          <cell r="AC816" t="str">
            <v>X</v>
          </cell>
          <cell r="AD816" t="str">
            <v>X</v>
          </cell>
          <cell r="AH816" t="str">
            <v>N</v>
          </cell>
          <cell r="AI816" t="str">
            <v>N</v>
          </cell>
          <cell r="AK816" t="str">
            <v>78 NELLE CONSTRUCTION DE SECHAGE KHGA</v>
          </cell>
          <cell r="AL816" t="str">
            <v>1AS</v>
          </cell>
          <cell r="AP816" t="str">
            <v>Q 24017</v>
          </cell>
          <cell r="AQ816">
            <v>0</v>
          </cell>
          <cell r="AR816" t="str">
            <v>B</v>
          </cell>
          <cell r="AS816" t="str">
            <v>C.I.H  -  KHGA</v>
          </cell>
          <cell r="AT816" t="str">
            <v>7945199211004700</v>
          </cell>
          <cell r="AU816" t="str">
            <v>/  /</v>
          </cell>
          <cell r="AW816">
            <v>38169</v>
          </cell>
          <cell r="AY816" t="str">
            <v>XX</v>
          </cell>
          <cell r="BA816" t="str">
            <v>6</v>
          </cell>
          <cell r="BB816">
            <v>1</v>
          </cell>
          <cell r="BD816">
            <v>0</v>
          </cell>
          <cell r="BE816" t="str">
            <v>M</v>
          </cell>
          <cell r="BF816" t="str">
            <v>N</v>
          </cell>
          <cell r="BG816">
            <v>5</v>
          </cell>
          <cell r="BH816">
            <v>38169</v>
          </cell>
        </row>
        <row r="817">
          <cell r="A817">
            <v>69882</v>
          </cell>
          <cell r="B817">
            <v>461</v>
          </cell>
          <cell r="C817" t="str">
            <v>C7017</v>
          </cell>
          <cell r="D817" t="str">
            <v>BOULOUDI</v>
          </cell>
          <cell r="E817" t="str">
            <v>ABDERRAHIM</v>
          </cell>
          <cell r="F817">
            <v>20007</v>
          </cell>
          <cell r="G817" t="str">
            <v>3</v>
          </cell>
          <cell r="H817" t="str">
            <v>BOUJNIBA</v>
          </cell>
          <cell r="I817" t="str">
            <v>D</v>
          </cell>
          <cell r="J817">
            <v>28423</v>
          </cell>
          <cell r="K817">
            <v>35096</v>
          </cell>
          <cell r="L817" t="str">
            <v>33</v>
          </cell>
          <cell r="M817" t="str">
            <v>A</v>
          </cell>
          <cell r="N817">
            <v>35096</v>
          </cell>
          <cell r="P817">
            <v>25</v>
          </cell>
          <cell r="Q817" t="str">
            <v>O</v>
          </cell>
          <cell r="R817" t="str">
            <v>N</v>
          </cell>
          <cell r="S817">
            <v>0</v>
          </cell>
          <cell r="T817" t="str">
            <v>M</v>
          </cell>
          <cell r="U817" t="str">
            <v>FAIQI MAHJOUBA BENT BOUABID</v>
          </cell>
          <cell r="X817">
            <v>6</v>
          </cell>
          <cell r="Y817">
            <v>3</v>
          </cell>
          <cell r="AB817" t="str">
            <v>X</v>
          </cell>
          <cell r="AC817" t="str">
            <v>X</v>
          </cell>
          <cell r="AD817" t="str">
            <v>X</v>
          </cell>
          <cell r="AH817" t="str">
            <v>N</v>
          </cell>
          <cell r="AI817" t="str">
            <v>N</v>
          </cell>
          <cell r="AK817" t="str">
            <v>127 NOUVEAUX LOGEMENTS SECHAGE KHGA</v>
          </cell>
          <cell r="AL817" t="str">
            <v>2AS</v>
          </cell>
          <cell r="AP817" t="str">
            <v>Q 53009</v>
          </cell>
          <cell r="AQ817">
            <v>0</v>
          </cell>
          <cell r="AR817" t="str">
            <v>B</v>
          </cell>
          <cell r="AS817" t="str">
            <v>POPULAIRE  KHGA</v>
          </cell>
          <cell r="AT817" t="str">
            <v>2111112821430530</v>
          </cell>
          <cell r="AU817" t="str">
            <v>01/05/08</v>
          </cell>
          <cell r="AW817">
            <v>38353</v>
          </cell>
          <cell r="AY817" t="str">
            <v>B+</v>
          </cell>
          <cell r="BA817" t="str">
            <v>2</v>
          </cell>
          <cell r="BB817">
            <v>1</v>
          </cell>
          <cell r="BC817" t="str">
            <v>O</v>
          </cell>
          <cell r="BD817">
            <v>4</v>
          </cell>
          <cell r="BE817" t="str">
            <v>M</v>
          </cell>
          <cell r="BF817" t="str">
            <v>N</v>
          </cell>
          <cell r="BG817">
            <v>5</v>
          </cell>
          <cell r="BH817">
            <v>38353</v>
          </cell>
        </row>
        <row r="818">
          <cell r="A818">
            <v>69959</v>
          </cell>
          <cell r="B818">
            <v>426</v>
          </cell>
          <cell r="C818" t="str">
            <v>C3050</v>
          </cell>
          <cell r="D818" t="str">
            <v>ANIBA</v>
          </cell>
          <cell r="E818" t="str">
            <v>MOHAMMED</v>
          </cell>
          <cell r="F818">
            <v>18809</v>
          </cell>
          <cell r="G818" t="str">
            <v>2</v>
          </cell>
          <cell r="H818" t="str">
            <v>SMAALA</v>
          </cell>
          <cell r="I818" t="str">
            <v>D</v>
          </cell>
          <cell r="J818">
            <v>28440</v>
          </cell>
          <cell r="K818">
            <v>37226</v>
          </cell>
          <cell r="L818" t="str">
            <v>21</v>
          </cell>
          <cell r="M818" t="str">
            <v>B</v>
          </cell>
          <cell r="N818">
            <v>37226</v>
          </cell>
          <cell r="O818">
            <v>0</v>
          </cell>
          <cell r="P818">
            <v>25</v>
          </cell>
          <cell r="Q818" t="str">
            <v>O</v>
          </cell>
          <cell r="R818" t="str">
            <v>N</v>
          </cell>
          <cell r="S818">
            <v>0</v>
          </cell>
          <cell r="T818" t="str">
            <v>M</v>
          </cell>
          <cell r="U818" t="str">
            <v>SAADIA BENT MOHAMED</v>
          </cell>
          <cell r="X818">
            <v>5</v>
          </cell>
          <cell r="Y818">
            <v>5</v>
          </cell>
          <cell r="AB818" t="str">
            <v>X</v>
          </cell>
          <cell r="AC818" t="str">
            <v>X</v>
          </cell>
          <cell r="AD818" t="str">
            <v>X</v>
          </cell>
          <cell r="AH818" t="str">
            <v>N</v>
          </cell>
          <cell r="AI818" t="str">
            <v>N</v>
          </cell>
          <cell r="AK818" t="str">
            <v>116 RUE 17 MSALLA LAKDIMA OUED ZEM</v>
          </cell>
          <cell r="AL818" t="str">
            <v>4AS</v>
          </cell>
          <cell r="AP818" t="str">
            <v>Q 3319</v>
          </cell>
          <cell r="AQ818">
            <v>0</v>
          </cell>
          <cell r="AR818" t="str">
            <v>B</v>
          </cell>
          <cell r="AS818" t="str">
            <v>BMCI - OUED ZEM</v>
          </cell>
          <cell r="AT818" t="str">
            <v>0252194150930100001</v>
          </cell>
          <cell r="AU818" t="str">
            <v>/  /</v>
          </cell>
          <cell r="AW818">
            <v>38169</v>
          </cell>
          <cell r="AY818" t="str">
            <v>XX</v>
          </cell>
          <cell r="BA818" t="str">
            <v>2</v>
          </cell>
          <cell r="BB818">
            <v>1</v>
          </cell>
          <cell r="BD818">
            <v>0</v>
          </cell>
          <cell r="BE818" t="str">
            <v>M</v>
          </cell>
          <cell r="BF818" t="str">
            <v>N</v>
          </cell>
          <cell r="BG818">
            <v>30</v>
          </cell>
          <cell r="BH818">
            <v>38169</v>
          </cell>
          <cell r="BI818" t="str">
            <v>O</v>
          </cell>
        </row>
        <row r="819">
          <cell r="A819">
            <v>69962</v>
          </cell>
          <cell r="B819">
            <v>421</v>
          </cell>
          <cell r="C819" t="str">
            <v>C3152</v>
          </cell>
          <cell r="D819" t="str">
            <v>TAIB</v>
          </cell>
          <cell r="E819" t="str">
            <v>MOHAMED</v>
          </cell>
          <cell r="F819">
            <v>17348</v>
          </cell>
          <cell r="G819" t="str">
            <v>2</v>
          </cell>
          <cell r="H819" t="str">
            <v>SMAALA</v>
          </cell>
          <cell r="I819" t="str">
            <v>D</v>
          </cell>
          <cell r="J819">
            <v>28440</v>
          </cell>
          <cell r="K819">
            <v>37226</v>
          </cell>
          <cell r="L819" t="str">
            <v>21</v>
          </cell>
          <cell r="M819" t="str">
            <v>A</v>
          </cell>
          <cell r="N819">
            <v>37226</v>
          </cell>
          <cell r="O819">
            <v>0</v>
          </cell>
          <cell r="P819">
            <v>25</v>
          </cell>
          <cell r="Q819" t="str">
            <v>O</v>
          </cell>
          <cell r="R819" t="str">
            <v>N</v>
          </cell>
          <cell r="S819">
            <v>0</v>
          </cell>
          <cell r="T819" t="str">
            <v>M</v>
          </cell>
          <cell r="U819" t="str">
            <v>ATTOU BENT</v>
          </cell>
          <cell r="X819">
            <v>8</v>
          </cell>
          <cell r="Y819">
            <v>0</v>
          </cell>
          <cell r="AB819" t="str">
            <v>X</v>
          </cell>
          <cell r="AC819" t="str">
            <v>X</v>
          </cell>
          <cell r="AD819" t="str">
            <v>X</v>
          </cell>
          <cell r="AH819" t="str">
            <v>N</v>
          </cell>
          <cell r="AI819" t="str">
            <v>N</v>
          </cell>
          <cell r="AK819" t="str">
            <v>43 RUE 10 MSALLA LAKDIMA - OUED ZEM</v>
          </cell>
          <cell r="AL819" t="str">
            <v>3AS</v>
          </cell>
          <cell r="AM819" t="str">
            <v>CEPM</v>
          </cell>
          <cell r="AP819" t="str">
            <v>Q 46961</v>
          </cell>
          <cell r="AQ819">
            <v>0</v>
          </cell>
          <cell r="AR819" t="str">
            <v>C</v>
          </cell>
          <cell r="AU819" t="str">
            <v>/  /</v>
          </cell>
          <cell r="AW819">
            <v>37438</v>
          </cell>
          <cell r="AY819" t="str">
            <v>XX</v>
          </cell>
          <cell r="BA819" t="str">
            <v>1</v>
          </cell>
          <cell r="BB819">
            <v>1</v>
          </cell>
          <cell r="BD819">
            <v>0</v>
          </cell>
          <cell r="BE819" t="str">
            <v>M</v>
          </cell>
          <cell r="BF819" t="str">
            <v>N</v>
          </cell>
          <cell r="BG819">
            <v>30</v>
          </cell>
          <cell r="BH819">
            <v>37438</v>
          </cell>
          <cell r="BI819" t="str">
            <v>O</v>
          </cell>
        </row>
        <row r="820">
          <cell r="A820">
            <v>69964</v>
          </cell>
          <cell r="B820">
            <v>456</v>
          </cell>
          <cell r="C820" t="str">
            <v>C3050</v>
          </cell>
          <cell r="D820" t="str">
            <v>HADINE</v>
          </cell>
          <cell r="E820" t="str">
            <v>ALI</v>
          </cell>
          <cell r="F820">
            <v>20270</v>
          </cell>
          <cell r="G820" t="str">
            <v>1</v>
          </cell>
          <cell r="H820" t="str">
            <v>OULED BHAR KBAR KHOURIBGA</v>
          </cell>
          <cell r="I820" t="str">
            <v>D</v>
          </cell>
          <cell r="J820">
            <v>28440</v>
          </cell>
          <cell r="K820">
            <v>37226</v>
          </cell>
          <cell r="L820" t="str">
            <v>21</v>
          </cell>
          <cell r="M820" t="str">
            <v>A</v>
          </cell>
          <cell r="N820">
            <v>37226</v>
          </cell>
          <cell r="O820">
            <v>0</v>
          </cell>
          <cell r="P820">
            <v>25</v>
          </cell>
          <cell r="Q820" t="str">
            <v>O</v>
          </cell>
          <cell r="R820" t="str">
            <v>N</v>
          </cell>
          <cell r="S820">
            <v>0</v>
          </cell>
          <cell r="T820" t="str">
            <v>M</v>
          </cell>
          <cell r="U820" t="str">
            <v>HADINE JEMAA BENT M'HAMED</v>
          </cell>
          <cell r="X820">
            <v>5</v>
          </cell>
          <cell r="Y820">
            <v>1</v>
          </cell>
          <cell r="AB820" t="str">
            <v>X</v>
          </cell>
          <cell r="AC820" t="str">
            <v>X</v>
          </cell>
          <cell r="AD820" t="str">
            <v>X</v>
          </cell>
          <cell r="AH820" t="str">
            <v>N</v>
          </cell>
          <cell r="AI820" t="str">
            <v>N</v>
          </cell>
          <cell r="AK820" t="str">
            <v>105 HAY RABIAA  BIR MEZOUI</v>
          </cell>
          <cell r="AL820" t="str">
            <v>4AS</v>
          </cell>
          <cell r="AP820" t="str">
            <v>Q 42095</v>
          </cell>
          <cell r="AQ820">
            <v>0</v>
          </cell>
          <cell r="AR820" t="str">
            <v>C</v>
          </cell>
          <cell r="AU820" t="str">
            <v>/  /</v>
          </cell>
          <cell r="AW820">
            <v>38534</v>
          </cell>
          <cell r="AY820" t="str">
            <v>XX</v>
          </cell>
          <cell r="BA820" t="str">
            <v>2</v>
          </cell>
          <cell r="BB820">
            <v>1</v>
          </cell>
          <cell r="BD820">
            <v>0</v>
          </cell>
          <cell r="BE820" t="str">
            <v>M</v>
          </cell>
          <cell r="BF820" t="str">
            <v>N</v>
          </cell>
          <cell r="BG820">
            <v>60</v>
          </cell>
          <cell r="BH820">
            <v>38534</v>
          </cell>
          <cell r="BI820" t="str">
            <v>O</v>
          </cell>
        </row>
        <row r="821">
          <cell r="A821">
            <v>69971</v>
          </cell>
          <cell r="B821">
            <v>468</v>
          </cell>
          <cell r="C821" t="str">
            <v>C3050</v>
          </cell>
          <cell r="D821" t="str">
            <v>NAJIH</v>
          </cell>
          <cell r="E821" t="str">
            <v>AHMED</v>
          </cell>
          <cell r="F821">
            <v>19175</v>
          </cell>
          <cell r="G821" t="str">
            <v>2</v>
          </cell>
          <cell r="H821" t="str">
            <v>BENI SMIR</v>
          </cell>
          <cell r="I821" t="str">
            <v>D</v>
          </cell>
          <cell r="J821">
            <v>28440</v>
          </cell>
          <cell r="K821">
            <v>33420</v>
          </cell>
          <cell r="L821" t="str">
            <v>21</v>
          </cell>
          <cell r="M821" t="str">
            <v>A</v>
          </cell>
          <cell r="N821">
            <v>33420</v>
          </cell>
          <cell r="P821">
            <v>25</v>
          </cell>
          <cell r="Q821" t="str">
            <v>O</v>
          </cell>
          <cell r="R821" t="str">
            <v>N</v>
          </cell>
          <cell r="S821">
            <v>0</v>
          </cell>
          <cell r="T821" t="str">
            <v>M</v>
          </cell>
          <cell r="U821" t="str">
            <v>FATIMA BENT BOUAZZA</v>
          </cell>
          <cell r="X821">
            <v>5</v>
          </cell>
          <cell r="Y821">
            <v>3</v>
          </cell>
          <cell r="AB821" t="str">
            <v>X</v>
          </cell>
          <cell r="AC821" t="str">
            <v>X</v>
          </cell>
          <cell r="AD821" t="str">
            <v>X</v>
          </cell>
          <cell r="AH821" t="str">
            <v>N</v>
          </cell>
          <cell r="AI821" t="str">
            <v>N</v>
          </cell>
          <cell r="AK821" t="str">
            <v>61 RUE DU JARDIN  OUED ZEM</v>
          </cell>
          <cell r="AL821" t="str">
            <v>ILLETTRE</v>
          </cell>
          <cell r="AP821" t="str">
            <v>Q 26010</v>
          </cell>
          <cell r="AQ821">
            <v>0</v>
          </cell>
          <cell r="AR821" t="str">
            <v>C</v>
          </cell>
          <cell r="AU821" t="str">
            <v>/  /</v>
          </cell>
          <cell r="AW821">
            <v>37803</v>
          </cell>
          <cell r="AY821" t="str">
            <v>XX</v>
          </cell>
          <cell r="BA821" t="str">
            <v>2</v>
          </cell>
          <cell r="BB821">
            <v>1</v>
          </cell>
          <cell r="BD821">
            <v>0</v>
          </cell>
          <cell r="BE821" t="str">
            <v>M</v>
          </cell>
          <cell r="BF821" t="str">
            <v>N</v>
          </cell>
          <cell r="BG821">
            <v>31</v>
          </cell>
          <cell r="BH821">
            <v>38169</v>
          </cell>
          <cell r="BI821" t="str">
            <v>O</v>
          </cell>
        </row>
        <row r="822">
          <cell r="A822">
            <v>69983</v>
          </cell>
          <cell r="B822">
            <v>428</v>
          </cell>
          <cell r="C822" t="str">
            <v>C3050</v>
          </cell>
          <cell r="D822" t="str">
            <v>BOUABBADI</v>
          </cell>
          <cell r="E822" t="str">
            <v>LARBI</v>
          </cell>
          <cell r="F822">
            <v>19905</v>
          </cell>
          <cell r="G822" t="str">
            <v>2</v>
          </cell>
          <cell r="H822" t="str">
            <v>SMAALA</v>
          </cell>
          <cell r="I822" t="str">
            <v>D</v>
          </cell>
          <cell r="J822">
            <v>28440</v>
          </cell>
          <cell r="K822">
            <v>37226</v>
          </cell>
          <cell r="L822" t="str">
            <v>21</v>
          </cell>
          <cell r="M822" t="str">
            <v>B</v>
          </cell>
          <cell r="N822">
            <v>37226</v>
          </cell>
          <cell r="O822">
            <v>0</v>
          </cell>
          <cell r="P822">
            <v>25</v>
          </cell>
          <cell r="Q822" t="str">
            <v>O</v>
          </cell>
          <cell r="R822" t="str">
            <v>N</v>
          </cell>
          <cell r="S822">
            <v>0</v>
          </cell>
          <cell r="T822" t="str">
            <v>M</v>
          </cell>
          <cell r="U822" t="str">
            <v>HOUKMI ZOHRA</v>
          </cell>
          <cell r="X822">
            <v>5</v>
          </cell>
          <cell r="Y822">
            <v>4</v>
          </cell>
          <cell r="AB822" t="str">
            <v>X</v>
          </cell>
          <cell r="AC822" t="str">
            <v>X</v>
          </cell>
          <cell r="AD822" t="str">
            <v>X</v>
          </cell>
          <cell r="AH822" t="str">
            <v>N</v>
          </cell>
          <cell r="AI822" t="str">
            <v>N</v>
          </cell>
          <cell r="AK822" t="str">
            <v>197 BLOC A HAY AL WAHDA OUED ZEM</v>
          </cell>
          <cell r="AL822" t="str">
            <v>ILLETTRE</v>
          </cell>
          <cell r="AP822" t="str">
            <v>Q 55165</v>
          </cell>
          <cell r="AQ822">
            <v>0</v>
          </cell>
          <cell r="AR822" t="str">
            <v>B</v>
          </cell>
          <cell r="AS822" t="str">
            <v>POPULAIRE.O.ZEM</v>
          </cell>
          <cell r="AT822" t="str">
            <v>2111113034920002</v>
          </cell>
          <cell r="AU822" t="str">
            <v>/  /</v>
          </cell>
          <cell r="AW822">
            <v>38169</v>
          </cell>
          <cell r="AY822" t="str">
            <v>XX</v>
          </cell>
          <cell r="BA822" t="str">
            <v>2</v>
          </cell>
          <cell r="BB822">
            <v>1</v>
          </cell>
          <cell r="BD822">
            <v>0</v>
          </cell>
          <cell r="BE822" t="str">
            <v>M</v>
          </cell>
          <cell r="BF822" t="str">
            <v>N</v>
          </cell>
          <cell r="BG822">
            <v>30</v>
          </cell>
          <cell r="BH822">
            <v>38169</v>
          </cell>
          <cell r="BI822" t="str">
            <v>O</v>
          </cell>
        </row>
        <row r="823">
          <cell r="A823">
            <v>69986</v>
          </cell>
          <cell r="B823">
            <v>468</v>
          </cell>
          <cell r="C823" t="str">
            <v>C3050</v>
          </cell>
          <cell r="D823" t="str">
            <v>MAZOUARI</v>
          </cell>
          <cell r="E823" t="str">
            <v>MUSTAPHA</v>
          </cell>
          <cell r="F823">
            <v>20188</v>
          </cell>
          <cell r="G823" t="str">
            <v>2</v>
          </cell>
          <cell r="H823" t="str">
            <v>BENI SMIR</v>
          </cell>
          <cell r="I823" t="str">
            <v>D</v>
          </cell>
          <cell r="J823">
            <v>28440</v>
          </cell>
          <cell r="K823">
            <v>37226</v>
          </cell>
          <cell r="L823" t="str">
            <v>21</v>
          </cell>
          <cell r="M823" t="str">
            <v>A</v>
          </cell>
          <cell r="N823">
            <v>37226</v>
          </cell>
          <cell r="O823">
            <v>0</v>
          </cell>
          <cell r="P823">
            <v>25</v>
          </cell>
          <cell r="Q823" t="str">
            <v>O</v>
          </cell>
          <cell r="R823" t="str">
            <v>N</v>
          </cell>
          <cell r="S823">
            <v>0</v>
          </cell>
          <cell r="T823" t="str">
            <v>M</v>
          </cell>
          <cell r="U823" t="str">
            <v>RABHA BENT BOUAZZA</v>
          </cell>
          <cell r="X823">
            <v>5</v>
          </cell>
          <cell r="Y823">
            <v>3</v>
          </cell>
          <cell r="AB823" t="str">
            <v>X</v>
          </cell>
          <cell r="AC823" t="str">
            <v>X</v>
          </cell>
          <cell r="AD823" t="str">
            <v>X</v>
          </cell>
          <cell r="AH823" t="str">
            <v>N</v>
          </cell>
          <cell r="AI823" t="str">
            <v>N</v>
          </cell>
          <cell r="AK823" t="str">
            <v>LOGEMNTS OCP N°27 OUED ZEM</v>
          </cell>
          <cell r="AL823" t="str">
            <v>ILLETTRE</v>
          </cell>
          <cell r="AP823" t="str">
            <v>Q 20950</v>
          </cell>
          <cell r="AQ823">
            <v>0</v>
          </cell>
          <cell r="AR823" t="str">
            <v>B</v>
          </cell>
          <cell r="AS823" t="str">
            <v>POPULAIRE.O.ZEM</v>
          </cell>
          <cell r="AT823" t="str">
            <v>2111113035870008</v>
          </cell>
          <cell r="AU823" t="str">
            <v>/  /</v>
          </cell>
          <cell r="AW823">
            <v>38534</v>
          </cell>
          <cell r="AY823" t="str">
            <v>XX</v>
          </cell>
          <cell r="BA823" t="str">
            <v>2</v>
          </cell>
          <cell r="BB823">
            <v>1</v>
          </cell>
          <cell r="BD823">
            <v>0</v>
          </cell>
          <cell r="BE823" t="str">
            <v>M</v>
          </cell>
          <cell r="BF823" t="str">
            <v>N</v>
          </cell>
          <cell r="BG823">
            <v>31</v>
          </cell>
          <cell r="BH823">
            <v>38534</v>
          </cell>
          <cell r="BI823" t="str">
            <v>O</v>
          </cell>
        </row>
        <row r="824">
          <cell r="A824">
            <v>69997</v>
          </cell>
          <cell r="B824">
            <v>468</v>
          </cell>
          <cell r="C824" t="str">
            <v>C4152</v>
          </cell>
          <cell r="D824" t="str">
            <v>KHMAICH</v>
          </cell>
          <cell r="E824" t="str">
            <v>ALLAL</v>
          </cell>
          <cell r="F824">
            <v>18079</v>
          </cell>
          <cell r="G824" t="str">
            <v>2</v>
          </cell>
          <cell r="H824" t="str">
            <v>SMAALA</v>
          </cell>
          <cell r="I824" t="str">
            <v>D</v>
          </cell>
          <cell r="J824">
            <v>28443</v>
          </cell>
          <cell r="K824">
            <v>36526</v>
          </cell>
          <cell r="L824" t="str">
            <v>22</v>
          </cell>
          <cell r="M824" t="str">
            <v>A</v>
          </cell>
          <cell r="N824">
            <v>36526</v>
          </cell>
          <cell r="P824">
            <v>25</v>
          </cell>
          <cell r="Q824" t="str">
            <v>O</v>
          </cell>
          <cell r="R824" t="str">
            <v>N</v>
          </cell>
          <cell r="S824">
            <v>0</v>
          </cell>
          <cell r="T824" t="str">
            <v>M</v>
          </cell>
          <cell r="U824" t="str">
            <v>MALIKA BENT BACHIR ZARAKTOUNI</v>
          </cell>
          <cell r="X824">
            <v>3</v>
          </cell>
          <cell r="Y824">
            <v>2</v>
          </cell>
          <cell r="AB824" t="str">
            <v>N</v>
          </cell>
          <cell r="AC824" t="str">
            <v>X</v>
          </cell>
          <cell r="AD824" t="str">
            <v>X</v>
          </cell>
          <cell r="AH824" t="str">
            <v>N</v>
          </cell>
          <cell r="AI824" t="str">
            <v>N</v>
          </cell>
          <cell r="AK824" t="str">
            <v>126 VILLAGE OCP OUED ZEM</v>
          </cell>
          <cell r="AL824" t="str">
            <v>3AS</v>
          </cell>
          <cell r="AP824" t="str">
            <v>Q 45846</v>
          </cell>
          <cell r="AQ824">
            <v>0</v>
          </cell>
          <cell r="AR824" t="str">
            <v>B</v>
          </cell>
          <cell r="AS824" t="str">
            <v>POPULAIRE.O.ZEM</v>
          </cell>
          <cell r="AT824" t="str">
            <v>2111113032950001</v>
          </cell>
          <cell r="AU824" t="str">
            <v>/  /</v>
          </cell>
          <cell r="AW824">
            <v>38169</v>
          </cell>
          <cell r="AY824" t="str">
            <v>XX</v>
          </cell>
          <cell r="BA824" t="str">
            <v>1</v>
          </cell>
          <cell r="BB824">
            <v>1</v>
          </cell>
          <cell r="BD824">
            <v>0</v>
          </cell>
          <cell r="BE824" t="str">
            <v>M</v>
          </cell>
          <cell r="BF824" t="str">
            <v>N</v>
          </cell>
          <cell r="BG824">
            <v>31</v>
          </cell>
          <cell r="BH824">
            <v>38169</v>
          </cell>
          <cell r="BI824" t="str">
            <v>O</v>
          </cell>
        </row>
        <row r="825">
          <cell r="A825">
            <v>70056</v>
          </cell>
          <cell r="B825">
            <v>409</v>
          </cell>
          <cell r="C825" t="str">
            <v>C6152</v>
          </cell>
          <cell r="D825" t="str">
            <v>ABDELMOTALIB</v>
          </cell>
          <cell r="E825" t="str">
            <v>MOHAMMED</v>
          </cell>
          <cell r="F825">
            <v>19540</v>
          </cell>
          <cell r="G825" t="str">
            <v>1</v>
          </cell>
          <cell r="H825" t="str">
            <v>KHOURIBGA</v>
          </cell>
          <cell r="I825" t="str">
            <v>D</v>
          </cell>
          <cell r="J825">
            <v>32157</v>
          </cell>
          <cell r="K825">
            <v>35065</v>
          </cell>
          <cell r="L825" t="str">
            <v>32</v>
          </cell>
          <cell r="M825" t="str">
            <v>A</v>
          </cell>
          <cell r="N825">
            <v>35065</v>
          </cell>
          <cell r="P825">
            <v>15</v>
          </cell>
          <cell r="Q825" t="str">
            <v>O</v>
          </cell>
          <cell r="R825" t="str">
            <v>N</v>
          </cell>
          <cell r="S825">
            <v>0</v>
          </cell>
          <cell r="T825" t="str">
            <v>M</v>
          </cell>
          <cell r="U825" t="str">
            <v>MALIKA BENT BOUZEKRI</v>
          </cell>
          <cell r="X825">
            <v>4</v>
          </cell>
          <cell r="Y825">
            <v>3</v>
          </cell>
          <cell r="AB825" t="str">
            <v>X</v>
          </cell>
          <cell r="AC825" t="str">
            <v>X</v>
          </cell>
          <cell r="AD825" t="str">
            <v>X</v>
          </cell>
          <cell r="AH825" t="str">
            <v>N</v>
          </cell>
          <cell r="AI825" t="str">
            <v>N</v>
          </cell>
          <cell r="AK825" t="str">
            <v>44 RUE IMAM SAYOUTI HAY ELFATH KHGA</v>
          </cell>
          <cell r="AL825" t="str">
            <v>3AS</v>
          </cell>
          <cell r="AP825" t="str">
            <v>Q 67032</v>
          </cell>
          <cell r="AQ825">
            <v>0</v>
          </cell>
          <cell r="AR825" t="str">
            <v>B</v>
          </cell>
          <cell r="AS825" t="str">
            <v>WAFA BANK.KHGA</v>
          </cell>
          <cell r="AT825" t="str">
            <v>1220301041508</v>
          </cell>
          <cell r="AU825" t="str">
            <v>12/12/10</v>
          </cell>
          <cell r="AW825">
            <v>38169</v>
          </cell>
          <cell r="AY825" t="str">
            <v>A+</v>
          </cell>
          <cell r="BA825" t="str">
            <v>1</v>
          </cell>
          <cell r="BB825">
            <v>1</v>
          </cell>
          <cell r="BD825">
            <v>0</v>
          </cell>
          <cell r="BE825" t="str">
            <v>M</v>
          </cell>
          <cell r="BF825" t="str">
            <v>N</v>
          </cell>
          <cell r="BG825">
            <v>1</v>
          </cell>
          <cell r="BH825">
            <v>39630</v>
          </cell>
          <cell r="BI825" t="str">
            <v>O</v>
          </cell>
        </row>
        <row r="826">
          <cell r="A826">
            <v>70129</v>
          </cell>
          <cell r="B826">
            <v>421</v>
          </cell>
          <cell r="C826" t="str">
            <v>C3152</v>
          </cell>
          <cell r="D826" t="str">
            <v>CHTAIBI</v>
          </cell>
          <cell r="E826" t="str">
            <v>SALAH</v>
          </cell>
          <cell r="F826">
            <v>20009</v>
          </cell>
          <cell r="G826" t="str">
            <v>2</v>
          </cell>
          <cell r="H826" t="str">
            <v>SMAALA</v>
          </cell>
          <cell r="I826" t="str">
            <v>D</v>
          </cell>
          <cell r="J826">
            <v>28488</v>
          </cell>
          <cell r="K826">
            <v>36526</v>
          </cell>
          <cell r="L826" t="str">
            <v>21</v>
          </cell>
          <cell r="M826" t="str">
            <v>A</v>
          </cell>
          <cell r="N826">
            <v>36526</v>
          </cell>
          <cell r="P826">
            <v>25</v>
          </cell>
          <cell r="Q826" t="str">
            <v>O</v>
          </cell>
          <cell r="R826" t="str">
            <v>N</v>
          </cell>
          <cell r="S826">
            <v>0</v>
          </cell>
          <cell r="T826" t="str">
            <v>M</v>
          </cell>
          <cell r="U826" t="str">
            <v>GHLIOUECH M'BARKA BENT MOHAMED</v>
          </cell>
          <cell r="X826">
            <v>6</v>
          </cell>
          <cell r="Y826">
            <v>6</v>
          </cell>
          <cell r="AB826" t="str">
            <v>X</v>
          </cell>
          <cell r="AC826" t="str">
            <v>X</v>
          </cell>
          <cell r="AD826" t="str">
            <v>X</v>
          </cell>
          <cell r="AH826" t="str">
            <v>N</v>
          </cell>
          <cell r="AI826" t="str">
            <v>N</v>
          </cell>
          <cell r="AK826" t="str">
            <v>162 LOTISSEMENT SAMIRA - OUED ZEM</v>
          </cell>
          <cell r="AL826" t="str">
            <v>2AS</v>
          </cell>
          <cell r="AP826" t="str">
            <v>Q 73886</v>
          </cell>
          <cell r="AQ826">
            <v>0</v>
          </cell>
          <cell r="AR826" t="str">
            <v>B</v>
          </cell>
          <cell r="AS826" t="str">
            <v>POPULAIRE O.ZEM</v>
          </cell>
          <cell r="AT826" t="str">
            <v>2111113074630008</v>
          </cell>
          <cell r="AU826" t="str">
            <v>/  /</v>
          </cell>
          <cell r="AW826">
            <v>38353</v>
          </cell>
          <cell r="AY826" t="str">
            <v>XX</v>
          </cell>
          <cell r="BA826" t="str">
            <v>1</v>
          </cell>
          <cell r="BB826">
            <v>1</v>
          </cell>
          <cell r="BD826">
            <v>0</v>
          </cell>
          <cell r="BE826" t="str">
            <v>M</v>
          </cell>
          <cell r="BF826" t="str">
            <v>N</v>
          </cell>
          <cell r="BG826">
            <v>30</v>
          </cell>
          <cell r="BH826">
            <v>38353</v>
          </cell>
          <cell r="BI826" t="str">
            <v>O</v>
          </cell>
        </row>
        <row r="827">
          <cell r="A827">
            <v>70134</v>
          </cell>
          <cell r="B827">
            <v>428</v>
          </cell>
          <cell r="C827" t="str">
            <v>C3152</v>
          </cell>
          <cell r="D827" t="str">
            <v>DANANE</v>
          </cell>
          <cell r="E827" t="str">
            <v>MOHAMED</v>
          </cell>
          <cell r="F827">
            <v>18809</v>
          </cell>
          <cell r="G827" t="str">
            <v>1</v>
          </cell>
          <cell r="H827" t="str">
            <v>KHOURIBGA</v>
          </cell>
          <cell r="I827" t="str">
            <v>D</v>
          </cell>
          <cell r="J827">
            <v>28492</v>
          </cell>
          <cell r="K827">
            <v>37012</v>
          </cell>
          <cell r="L827" t="str">
            <v>21</v>
          </cell>
          <cell r="M827" t="str">
            <v>A</v>
          </cell>
          <cell r="N827">
            <v>37012</v>
          </cell>
          <cell r="P827">
            <v>25</v>
          </cell>
          <cell r="Q827" t="str">
            <v>O</v>
          </cell>
          <cell r="R827" t="str">
            <v>N</v>
          </cell>
          <cell r="S827">
            <v>0</v>
          </cell>
          <cell r="T827" t="str">
            <v>M</v>
          </cell>
          <cell r="U827" t="str">
            <v>LEKBIRA BENT MOHAMED</v>
          </cell>
          <cell r="X827">
            <v>6</v>
          </cell>
          <cell r="Y827">
            <v>2</v>
          </cell>
          <cell r="AB827" t="str">
            <v>X</v>
          </cell>
          <cell r="AC827" t="str">
            <v>X</v>
          </cell>
          <cell r="AD827" t="str">
            <v>X</v>
          </cell>
          <cell r="AH827" t="str">
            <v>N</v>
          </cell>
          <cell r="AI827" t="str">
            <v>N</v>
          </cell>
          <cell r="AK827" t="str">
            <v>870 VILLAGE OCP HATTANE</v>
          </cell>
          <cell r="AL827" t="str">
            <v>CM2</v>
          </cell>
          <cell r="AP827" t="str">
            <v>Q 75218</v>
          </cell>
          <cell r="AQ827">
            <v>0</v>
          </cell>
          <cell r="AR827" t="str">
            <v>C</v>
          </cell>
          <cell r="AU827" t="str">
            <v>/  /</v>
          </cell>
          <cell r="AW827">
            <v>38169</v>
          </cell>
          <cell r="AY827" t="str">
            <v>XX</v>
          </cell>
          <cell r="BA827" t="str">
            <v>6</v>
          </cell>
          <cell r="BB827">
            <v>1</v>
          </cell>
          <cell r="BD827">
            <v>0</v>
          </cell>
          <cell r="BE827" t="str">
            <v>M</v>
          </cell>
          <cell r="BF827" t="str">
            <v>N</v>
          </cell>
          <cell r="BG827">
            <v>11</v>
          </cell>
          <cell r="BH827">
            <v>38169</v>
          </cell>
        </row>
        <row r="828">
          <cell r="A828">
            <v>70141</v>
          </cell>
          <cell r="B828">
            <v>468</v>
          </cell>
          <cell r="C828" t="str">
            <v>C3050</v>
          </cell>
          <cell r="D828" t="str">
            <v>AQIL</v>
          </cell>
          <cell r="E828" t="str">
            <v>AHMED</v>
          </cell>
          <cell r="F828">
            <v>19175</v>
          </cell>
          <cell r="G828" t="str">
            <v>2</v>
          </cell>
          <cell r="H828" t="str">
            <v>BENI SMIR</v>
          </cell>
          <cell r="I828" t="str">
            <v>D</v>
          </cell>
          <cell r="J828">
            <v>28492</v>
          </cell>
          <cell r="K828">
            <v>37012</v>
          </cell>
          <cell r="L828" t="str">
            <v>21</v>
          </cell>
          <cell r="M828" t="str">
            <v>A</v>
          </cell>
          <cell r="N828">
            <v>37012</v>
          </cell>
          <cell r="P828">
            <v>25</v>
          </cell>
          <cell r="Q828" t="str">
            <v>O</v>
          </cell>
          <cell r="R828" t="str">
            <v>N</v>
          </cell>
          <cell r="S828">
            <v>0</v>
          </cell>
          <cell r="T828" t="str">
            <v>M</v>
          </cell>
          <cell r="U828" t="str">
            <v>EL OUADRASSI HNIA BENT MOHAMED</v>
          </cell>
          <cell r="X828">
            <v>6</v>
          </cell>
          <cell r="Y828">
            <v>2</v>
          </cell>
          <cell r="AB828" t="str">
            <v>X</v>
          </cell>
          <cell r="AC828" t="str">
            <v>X</v>
          </cell>
          <cell r="AD828" t="str">
            <v>X</v>
          </cell>
          <cell r="AH828" t="str">
            <v>N</v>
          </cell>
          <cell r="AI828" t="str">
            <v>N</v>
          </cell>
          <cell r="AK828" t="str">
            <v>159 ANCIEN TACHERON OCP - BOUJNIBA</v>
          </cell>
          <cell r="AL828" t="str">
            <v>CM2</v>
          </cell>
          <cell r="AP828" t="str">
            <v>Q 92508</v>
          </cell>
          <cell r="AQ828">
            <v>0</v>
          </cell>
          <cell r="AR828" t="str">
            <v>B</v>
          </cell>
          <cell r="AS828" t="str">
            <v>WAFABAK - KHGA</v>
          </cell>
          <cell r="AT828" t="str">
            <v>1220301295930</v>
          </cell>
          <cell r="AU828" t="str">
            <v>/  /</v>
          </cell>
          <cell r="AW828">
            <v>37803</v>
          </cell>
          <cell r="AY828" t="str">
            <v>XX</v>
          </cell>
          <cell r="BA828" t="str">
            <v>2</v>
          </cell>
          <cell r="BB828">
            <v>1</v>
          </cell>
          <cell r="BD828">
            <v>0</v>
          </cell>
          <cell r="BE828" t="str">
            <v>M</v>
          </cell>
          <cell r="BF828" t="str">
            <v>N</v>
          </cell>
          <cell r="BG828">
            <v>51</v>
          </cell>
          <cell r="BH828">
            <v>38169</v>
          </cell>
        </row>
        <row r="829">
          <cell r="A829">
            <v>70151</v>
          </cell>
          <cell r="B829">
            <v>426</v>
          </cell>
          <cell r="C829" t="str">
            <v>C3050</v>
          </cell>
          <cell r="D829" t="str">
            <v>GSSEAI</v>
          </cell>
          <cell r="E829" t="str">
            <v>EL HABIB</v>
          </cell>
          <cell r="F829">
            <v>18809</v>
          </cell>
          <cell r="G829" t="str">
            <v>2</v>
          </cell>
          <cell r="H829" t="str">
            <v>BENI SMIR</v>
          </cell>
          <cell r="I829" t="str">
            <v>D</v>
          </cell>
          <cell r="J829">
            <v>28492</v>
          </cell>
          <cell r="K829">
            <v>37012</v>
          </cell>
          <cell r="L829" t="str">
            <v>21</v>
          </cell>
          <cell r="M829" t="str">
            <v>C</v>
          </cell>
          <cell r="N829">
            <v>37012</v>
          </cell>
          <cell r="P829">
            <v>25</v>
          </cell>
          <cell r="Q829" t="str">
            <v>O</v>
          </cell>
          <cell r="R829" t="str">
            <v>N</v>
          </cell>
          <cell r="S829">
            <v>0</v>
          </cell>
          <cell r="T829" t="str">
            <v>M</v>
          </cell>
          <cell r="U829" t="str">
            <v>SAADIA BENT EL MILOUDI</v>
          </cell>
          <cell r="X829">
            <v>5</v>
          </cell>
          <cell r="Y829">
            <v>4</v>
          </cell>
          <cell r="AB829" t="str">
            <v>X</v>
          </cell>
          <cell r="AC829" t="str">
            <v>X</v>
          </cell>
          <cell r="AD829" t="str">
            <v>X</v>
          </cell>
          <cell r="AH829" t="str">
            <v>N</v>
          </cell>
          <cell r="AI829" t="str">
            <v>N</v>
          </cell>
          <cell r="AK829" t="str">
            <v>59 RUE 12 KOREA OUED ZEM</v>
          </cell>
          <cell r="AL829" t="str">
            <v>CM2</v>
          </cell>
          <cell r="AP829" t="str">
            <v>Q 77426</v>
          </cell>
          <cell r="AQ829">
            <v>0</v>
          </cell>
          <cell r="AR829" t="str">
            <v>B</v>
          </cell>
          <cell r="AS829" t="str">
            <v>POPULAIRE.O.ZEM</v>
          </cell>
          <cell r="AT829" t="str">
            <v>2111113068090003</v>
          </cell>
          <cell r="AU829" t="str">
            <v>/  /</v>
          </cell>
          <cell r="AW829">
            <v>38882</v>
          </cell>
          <cell r="AX829">
            <v>38882</v>
          </cell>
          <cell r="AY829" t="str">
            <v>XX</v>
          </cell>
          <cell r="BA829" t="str">
            <v>1</v>
          </cell>
          <cell r="BB829">
            <v>1</v>
          </cell>
          <cell r="BD829">
            <v>0</v>
          </cell>
          <cell r="BE829" t="str">
            <v>M</v>
          </cell>
          <cell r="BF829" t="str">
            <v>N</v>
          </cell>
          <cell r="BG829">
            <v>52</v>
          </cell>
          <cell r="BH829">
            <v>38169</v>
          </cell>
        </row>
        <row r="830">
          <cell r="A830">
            <v>70168</v>
          </cell>
          <cell r="B830">
            <v>461</v>
          </cell>
          <cell r="C830" t="str">
            <v>C3152</v>
          </cell>
          <cell r="D830" t="str">
            <v>KADDOURI</v>
          </cell>
          <cell r="E830" t="str">
            <v>EL MEHDI</v>
          </cell>
          <cell r="F830">
            <v>18809</v>
          </cell>
          <cell r="H830" t="str">
            <v>OULAD AYAD</v>
          </cell>
          <cell r="I830" t="str">
            <v>D</v>
          </cell>
          <cell r="J830">
            <v>28494</v>
          </cell>
          <cell r="K830">
            <v>33420</v>
          </cell>
          <cell r="L830" t="str">
            <v>21</v>
          </cell>
          <cell r="M830" t="str">
            <v>A</v>
          </cell>
          <cell r="N830">
            <v>33420</v>
          </cell>
          <cell r="P830">
            <v>25</v>
          </cell>
          <cell r="Q830" t="str">
            <v>O</v>
          </cell>
          <cell r="R830" t="str">
            <v>N</v>
          </cell>
          <cell r="S830">
            <v>0</v>
          </cell>
          <cell r="T830" t="str">
            <v>M</v>
          </cell>
          <cell r="U830" t="str">
            <v>FATIMA BENT HOURMA</v>
          </cell>
          <cell r="X830">
            <v>4</v>
          </cell>
          <cell r="Y830">
            <v>1</v>
          </cell>
          <cell r="AB830" t="str">
            <v>X</v>
          </cell>
          <cell r="AC830" t="str">
            <v>X</v>
          </cell>
          <cell r="AD830" t="str">
            <v>X</v>
          </cell>
          <cell r="AH830" t="str">
            <v>N</v>
          </cell>
          <cell r="AI830" t="str">
            <v>N</v>
          </cell>
          <cell r="AK830" t="str">
            <v>84 NELLE EXTENSION KHOURIBGA</v>
          </cell>
          <cell r="AL830" t="str">
            <v>CM1</v>
          </cell>
          <cell r="AP830" t="str">
            <v>Q 55121</v>
          </cell>
          <cell r="AQ830">
            <v>0</v>
          </cell>
          <cell r="AR830" t="str">
            <v>B</v>
          </cell>
          <cell r="AS830" t="str">
            <v>POPULAIRE.KHGA</v>
          </cell>
          <cell r="AT830" t="str">
            <v>2111113137140003</v>
          </cell>
          <cell r="AU830" t="str">
            <v>/  /</v>
          </cell>
          <cell r="AW830">
            <v>38169</v>
          </cell>
          <cell r="AY830" t="str">
            <v>XX</v>
          </cell>
          <cell r="AZ830" t="str">
            <v>R</v>
          </cell>
          <cell r="BA830" t="str">
            <v>1</v>
          </cell>
          <cell r="BB830">
            <v>1</v>
          </cell>
          <cell r="BD830">
            <v>0</v>
          </cell>
          <cell r="BE830" t="str">
            <v>M</v>
          </cell>
          <cell r="BF830" t="str">
            <v>N</v>
          </cell>
          <cell r="BG830">
            <v>5</v>
          </cell>
          <cell r="BH830">
            <v>38169</v>
          </cell>
        </row>
        <row r="831">
          <cell r="A831">
            <v>70179</v>
          </cell>
          <cell r="B831">
            <v>468</v>
          </cell>
          <cell r="C831" t="str">
            <v>C4152</v>
          </cell>
          <cell r="D831" t="str">
            <v>LOUGANI</v>
          </cell>
          <cell r="E831" t="str">
            <v>MOHAMED</v>
          </cell>
          <cell r="F831">
            <v>19895</v>
          </cell>
          <cell r="G831" t="str">
            <v>3</v>
          </cell>
          <cell r="H831" t="str">
            <v>BOUJNIBA</v>
          </cell>
          <cell r="I831" t="str">
            <v>D</v>
          </cell>
          <cell r="J831">
            <v>28493</v>
          </cell>
          <cell r="K831">
            <v>35065</v>
          </cell>
          <cell r="L831" t="str">
            <v>22</v>
          </cell>
          <cell r="M831" t="str">
            <v>A</v>
          </cell>
          <cell r="N831">
            <v>35065</v>
          </cell>
          <cell r="P831">
            <v>25</v>
          </cell>
          <cell r="Q831" t="str">
            <v>O</v>
          </cell>
          <cell r="R831" t="str">
            <v>N</v>
          </cell>
          <cell r="S831">
            <v>0</v>
          </cell>
          <cell r="T831" t="str">
            <v>M</v>
          </cell>
          <cell r="U831" t="str">
            <v>OUHAJ FATNA BENT RAFA</v>
          </cell>
          <cell r="X831">
            <v>4</v>
          </cell>
          <cell r="Y831">
            <v>4</v>
          </cell>
          <cell r="AB831" t="str">
            <v>N</v>
          </cell>
          <cell r="AC831" t="str">
            <v>X</v>
          </cell>
          <cell r="AD831" t="str">
            <v>X</v>
          </cell>
          <cell r="AH831" t="str">
            <v>N</v>
          </cell>
          <cell r="AI831" t="str">
            <v>N</v>
          </cell>
          <cell r="AK831" t="str">
            <v>314 DERB 3 BOUJNIBA</v>
          </cell>
          <cell r="AL831" t="str">
            <v>1AS</v>
          </cell>
          <cell r="AP831" t="str">
            <v>Q 19798</v>
          </cell>
          <cell r="AQ831">
            <v>0</v>
          </cell>
          <cell r="AR831" t="str">
            <v>B</v>
          </cell>
          <cell r="AS831" t="str">
            <v>SGMB - KHGA</v>
          </cell>
          <cell r="AT831" t="str">
            <v>067000939495041</v>
          </cell>
          <cell r="AU831" t="str">
            <v>/  /</v>
          </cell>
          <cell r="AW831">
            <v>38169</v>
          </cell>
          <cell r="AY831" t="str">
            <v>XX</v>
          </cell>
          <cell r="BA831" t="str">
            <v>1</v>
          </cell>
          <cell r="BB831">
            <v>1</v>
          </cell>
          <cell r="BD831">
            <v>0</v>
          </cell>
          <cell r="BE831" t="str">
            <v>M</v>
          </cell>
          <cell r="BF831" t="str">
            <v>N</v>
          </cell>
          <cell r="BG831">
            <v>51</v>
          </cell>
          <cell r="BH831">
            <v>38169</v>
          </cell>
        </row>
        <row r="832">
          <cell r="A832">
            <v>70236</v>
          </cell>
          <cell r="B832">
            <v>428</v>
          </cell>
          <cell r="C832" t="str">
            <v>C3152</v>
          </cell>
          <cell r="D832" t="str">
            <v>EL HAOUARI</v>
          </cell>
          <cell r="E832" t="str">
            <v>EL KBIR</v>
          </cell>
          <cell r="F832">
            <v>20270</v>
          </cell>
          <cell r="G832" t="str">
            <v>6</v>
          </cell>
          <cell r="H832" t="str">
            <v>M'FASSIS</v>
          </cell>
          <cell r="I832" t="str">
            <v>D</v>
          </cell>
          <cell r="J832">
            <v>28500</v>
          </cell>
          <cell r="K832">
            <v>33420</v>
          </cell>
          <cell r="L832" t="str">
            <v>21</v>
          </cell>
          <cell r="M832" t="str">
            <v>C</v>
          </cell>
          <cell r="N832">
            <v>35612</v>
          </cell>
          <cell r="P832">
            <v>25</v>
          </cell>
          <cell r="Q832" t="str">
            <v>O</v>
          </cell>
          <cell r="R832" t="str">
            <v>N</v>
          </cell>
          <cell r="S832">
            <v>0</v>
          </cell>
          <cell r="T832" t="str">
            <v>M</v>
          </cell>
          <cell r="U832" t="str">
            <v>MINA BENT CHERKI</v>
          </cell>
          <cell r="X832">
            <v>4</v>
          </cell>
          <cell r="Y832">
            <v>4</v>
          </cell>
          <cell r="AB832" t="str">
            <v>X</v>
          </cell>
          <cell r="AC832" t="str">
            <v>X</v>
          </cell>
          <cell r="AD832" t="str">
            <v>X</v>
          </cell>
          <cell r="AH832" t="str">
            <v>N</v>
          </cell>
          <cell r="AI832" t="str">
            <v>N</v>
          </cell>
          <cell r="AK832" t="str">
            <v>1011 VILLAGE OCP - HATTANE</v>
          </cell>
          <cell r="AL832" t="str">
            <v>CM2</v>
          </cell>
          <cell r="AP832" t="str">
            <v>Q 10077</v>
          </cell>
          <cell r="AQ832">
            <v>0</v>
          </cell>
          <cell r="AR832" t="str">
            <v>B</v>
          </cell>
          <cell r="AS832" t="str">
            <v>WAFABANK-KHGA</v>
          </cell>
          <cell r="AT832" t="str">
            <v>1220301136787</v>
          </cell>
          <cell r="AU832" t="str">
            <v>/  /</v>
          </cell>
          <cell r="AW832">
            <v>38534</v>
          </cell>
          <cell r="AY832" t="str">
            <v>XX</v>
          </cell>
          <cell r="BA832" t="str">
            <v>6</v>
          </cell>
          <cell r="BB832">
            <v>1</v>
          </cell>
          <cell r="BD832">
            <v>0</v>
          </cell>
          <cell r="BE832" t="str">
            <v>M</v>
          </cell>
          <cell r="BF832" t="str">
            <v>N</v>
          </cell>
          <cell r="BG832">
            <v>11</v>
          </cell>
          <cell r="BH832">
            <v>38534</v>
          </cell>
        </row>
        <row r="833">
          <cell r="A833">
            <v>70237</v>
          </cell>
          <cell r="B833">
            <v>468</v>
          </cell>
          <cell r="C833" t="str">
            <v>C4411</v>
          </cell>
          <cell r="D833" t="str">
            <v>TAYANI</v>
          </cell>
          <cell r="E833" t="str">
            <v>MOHAMED</v>
          </cell>
          <cell r="F833">
            <v>21001</v>
          </cell>
          <cell r="G833" t="str">
            <v>1</v>
          </cell>
          <cell r="H833" t="str">
            <v>OULED ABDOUNE</v>
          </cell>
          <cell r="I833" t="str">
            <v>D</v>
          </cell>
          <cell r="J833">
            <v>28500</v>
          </cell>
          <cell r="K833">
            <v>34639</v>
          </cell>
          <cell r="L833" t="str">
            <v>22</v>
          </cell>
          <cell r="M833" t="str">
            <v>A</v>
          </cell>
          <cell r="N833">
            <v>34639</v>
          </cell>
          <cell r="P833">
            <v>25</v>
          </cell>
          <cell r="Q833" t="str">
            <v>O</v>
          </cell>
          <cell r="R833" t="str">
            <v>N</v>
          </cell>
          <cell r="S833">
            <v>0</v>
          </cell>
          <cell r="T833" t="str">
            <v>M</v>
          </cell>
          <cell r="U833" t="str">
            <v>NOUR FATIMA BENT EL ARBI</v>
          </cell>
          <cell r="X833">
            <v>4</v>
          </cell>
          <cell r="Y833">
            <v>2</v>
          </cell>
          <cell r="AB833" t="str">
            <v>X</v>
          </cell>
          <cell r="AC833" t="str">
            <v>X</v>
          </cell>
          <cell r="AD833" t="str">
            <v>X</v>
          </cell>
          <cell r="AH833" t="str">
            <v>N</v>
          </cell>
          <cell r="AI833" t="str">
            <v>N</v>
          </cell>
          <cell r="AK833" t="str">
            <v>323 VILLAGE O.C.P - BOUJNIBA</v>
          </cell>
          <cell r="AL833" t="str">
            <v>CM2</v>
          </cell>
          <cell r="AP833" t="str">
            <v>Q 18823</v>
          </cell>
          <cell r="AQ833">
            <v>0</v>
          </cell>
          <cell r="AR833" t="str">
            <v>B</v>
          </cell>
          <cell r="AS833" t="str">
            <v>POPULAIRE  KHGA</v>
          </cell>
          <cell r="AT833" t="str">
            <v>2111112852310007</v>
          </cell>
          <cell r="AU833" t="str">
            <v>/  /</v>
          </cell>
          <cell r="AW833">
            <v>39264</v>
          </cell>
          <cell r="AY833" t="str">
            <v>XX</v>
          </cell>
          <cell r="AZ833" t="str">
            <v>M</v>
          </cell>
          <cell r="BA833" t="str">
            <v>0</v>
          </cell>
          <cell r="BB833">
            <v>1</v>
          </cell>
          <cell r="BD833">
            <v>0</v>
          </cell>
          <cell r="BE833" t="str">
            <v>M</v>
          </cell>
          <cell r="BF833" t="str">
            <v>N</v>
          </cell>
          <cell r="BG833">
            <v>51</v>
          </cell>
          <cell r="BH833">
            <v>39264</v>
          </cell>
        </row>
        <row r="834">
          <cell r="A834">
            <v>2073</v>
          </cell>
          <cell r="B834">
            <v>401</v>
          </cell>
          <cell r="C834" t="str">
            <v>C4601</v>
          </cell>
          <cell r="D834" t="str">
            <v>ZAHAR</v>
          </cell>
          <cell r="E834" t="str">
            <v>AHMED</v>
          </cell>
          <cell r="F834">
            <v>19175</v>
          </cell>
          <cell r="H834" t="str">
            <v>OULED M'RAH.SETTAT</v>
          </cell>
          <cell r="I834" t="str">
            <v>D</v>
          </cell>
          <cell r="J834">
            <v>27096</v>
          </cell>
          <cell r="K834">
            <v>36526</v>
          </cell>
          <cell r="L834" t="str">
            <v>33</v>
          </cell>
          <cell r="M834" t="str">
            <v>A</v>
          </cell>
          <cell r="N834">
            <v>36526</v>
          </cell>
          <cell r="O834">
            <v>0</v>
          </cell>
          <cell r="P834">
            <v>29</v>
          </cell>
          <cell r="Q834" t="str">
            <v>N</v>
          </cell>
          <cell r="R834" t="str">
            <v>N</v>
          </cell>
          <cell r="S834">
            <v>0</v>
          </cell>
          <cell r="T834" t="str">
            <v>M</v>
          </cell>
          <cell r="U834" t="str">
            <v>CHAOUQI NAJAT BENT ABDELLAH</v>
          </cell>
          <cell r="X834">
            <v>5</v>
          </cell>
          <cell r="Y834">
            <v>5</v>
          </cell>
          <cell r="AB834" t="str">
            <v>X</v>
          </cell>
          <cell r="AC834" t="str">
            <v>X</v>
          </cell>
          <cell r="AD834" t="str">
            <v>X</v>
          </cell>
          <cell r="AH834" t="str">
            <v>N</v>
          </cell>
          <cell r="AI834" t="str">
            <v>N</v>
          </cell>
          <cell r="AK834" t="str">
            <v>44,RUE ARFOUD IQBAL EL MASSIRA KHOURIBGA</v>
          </cell>
          <cell r="AL834" t="str">
            <v>5 AS.LM</v>
          </cell>
          <cell r="AM834" t="str">
            <v>CES.</v>
          </cell>
          <cell r="AN834" t="str">
            <v>56 53 06</v>
          </cell>
          <cell r="AP834" t="str">
            <v>Q 17944</v>
          </cell>
          <cell r="AQ834">
            <v>0</v>
          </cell>
          <cell r="AR834" t="str">
            <v>B</v>
          </cell>
          <cell r="AS834" t="str">
            <v>C.I.H .KHOURIBGA</v>
          </cell>
          <cell r="AT834" t="str">
            <v>7286073 2130 04700</v>
          </cell>
          <cell r="AU834" t="str">
            <v>08/10/90</v>
          </cell>
          <cell r="AW834">
            <v>37438</v>
          </cell>
          <cell r="AY834" t="str">
            <v>A</v>
          </cell>
          <cell r="BA834" t="str">
            <v>6</v>
          </cell>
          <cell r="BB834">
            <v>1</v>
          </cell>
          <cell r="BD834">
            <v>0</v>
          </cell>
          <cell r="BE834" t="str">
            <v>M</v>
          </cell>
          <cell r="BF834" t="str">
            <v>N</v>
          </cell>
          <cell r="BG834">
            <v>0</v>
          </cell>
          <cell r="BH834">
            <v>38169</v>
          </cell>
          <cell r="BI834" t="str">
            <v>O</v>
          </cell>
        </row>
        <row r="835">
          <cell r="A835">
            <v>70276</v>
          </cell>
          <cell r="B835">
            <v>452</v>
          </cell>
          <cell r="C835" t="str">
            <v>C3050</v>
          </cell>
          <cell r="D835" t="str">
            <v>HIDDAOUI</v>
          </cell>
          <cell r="E835" t="str">
            <v>EL HABIB</v>
          </cell>
          <cell r="F835">
            <v>19360</v>
          </cell>
          <cell r="G835" t="str">
            <v>2</v>
          </cell>
          <cell r="H835" t="str">
            <v>OUED-ZEM</v>
          </cell>
          <cell r="I835" t="str">
            <v>D</v>
          </cell>
          <cell r="J835">
            <v>28501</v>
          </cell>
          <cell r="K835">
            <v>37012</v>
          </cell>
          <cell r="L835" t="str">
            <v>21</v>
          </cell>
          <cell r="M835" t="str">
            <v>C</v>
          </cell>
          <cell r="N835">
            <v>37012</v>
          </cell>
          <cell r="P835">
            <v>25</v>
          </cell>
          <cell r="Q835" t="str">
            <v>N</v>
          </cell>
          <cell r="R835" t="str">
            <v>N</v>
          </cell>
          <cell r="S835">
            <v>0</v>
          </cell>
          <cell r="T835" t="str">
            <v>M</v>
          </cell>
          <cell r="U835" t="str">
            <v>AZIM FATIMA BENT SALAH</v>
          </cell>
          <cell r="X835">
            <v>5</v>
          </cell>
          <cell r="Y835">
            <v>4</v>
          </cell>
          <cell r="AB835" t="str">
            <v>X</v>
          </cell>
          <cell r="AC835" t="str">
            <v>X</v>
          </cell>
          <cell r="AD835" t="str">
            <v>X</v>
          </cell>
          <cell r="AH835" t="str">
            <v>N</v>
          </cell>
          <cell r="AI835" t="str">
            <v>N</v>
          </cell>
          <cell r="AK835" t="str">
            <v>16 RUE CADI CHENGUITI OUED ZEM</v>
          </cell>
          <cell r="AL835" t="str">
            <v>CM2</v>
          </cell>
          <cell r="AP835" t="str">
            <v>Q 8660</v>
          </cell>
          <cell r="AQ835">
            <v>0</v>
          </cell>
          <cell r="AR835" t="str">
            <v>C</v>
          </cell>
          <cell r="AU835" t="str">
            <v>/  /</v>
          </cell>
          <cell r="AW835">
            <v>39546</v>
          </cell>
          <cell r="AX835">
            <v>39546</v>
          </cell>
          <cell r="AY835" t="str">
            <v>XX</v>
          </cell>
          <cell r="BA835" t="str">
            <v>6</v>
          </cell>
          <cell r="BB835">
            <v>1</v>
          </cell>
          <cell r="BD835">
            <v>0</v>
          </cell>
          <cell r="BE835" t="str">
            <v>M</v>
          </cell>
          <cell r="BF835" t="str">
            <v>N</v>
          </cell>
          <cell r="BG835">
            <v>0</v>
          </cell>
          <cell r="BH835">
            <v>38169</v>
          </cell>
        </row>
        <row r="836">
          <cell r="A836">
            <v>70287</v>
          </cell>
          <cell r="B836">
            <v>423</v>
          </cell>
          <cell r="C836" t="str">
            <v>C5200</v>
          </cell>
          <cell r="D836" t="str">
            <v>MARBOUH</v>
          </cell>
          <cell r="E836" t="str">
            <v>MOSTAFA</v>
          </cell>
          <cell r="F836">
            <v>18079</v>
          </cell>
          <cell r="H836" t="str">
            <v>CASABLANCA</v>
          </cell>
          <cell r="I836" t="str">
            <v>D</v>
          </cell>
          <cell r="J836">
            <v>28510</v>
          </cell>
          <cell r="K836">
            <v>32721</v>
          </cell>
          <cell r="L836" t="str">
            <v>31</v>
          </cell>
          <cell r="M836" t="str">
            <v>A</v>
          </cell>
          <cell r="N836">
            <v>32721</v>
          </cell>
          <cell r="P836">
            <v>25</v>
          </cell>
          <cell r="Q836" t="str">
            <v>N</v>
          </cell>
          <cell r="R836" t="str">
            <v>N</v>
          </cell>
          <cell r="S836">
            <v>0</v>
          </cell>
          <cell r="T836" t="str">
            <v>M</v>
          </cell>
          <cell r="U836" t="str">
            <v>MALIKA BENT LARBI</v>
          </cell>
          <cell r="X836">
            <v>4</v>
          </cell>
          <cell r="Y836">
            <v>1</v>
          </cell>
          <cell r="AB836" t="str">
            <v>X</v>
          </cell>
          <cell r="AC836" t="str">
            <v>X</v>
          </cell>
          <cell r="AD836" t="str">
            <v>X</v>
          </cell>
          <cell r="AH836" t="str">
            <v>N</v>
          </cell>
          <cell r="AI836" t="str">
            <v>N</v>
          </cell>
          <cell r="AK836" t="str">
            <v>376 NVX LOGEMENTS O.C.P - KHGA</v>
          </cell>
          <cell r="AL836" t="str">
            <v>3AS</v>
          </cell>
          <cell r="AM836" t="str">
            <v>CFO</v>
          </cell>
          <cell r="AP836" t="str">
            <v>Q 25197</v>
          </cell>
          <cell r="AQ836">
            <v>0</v>
          </cell>
          <cell r="AR836" t="str">
            <v>B</v>
          </cell>
          <cell r="AS836" t="str">
            <v>WAFABANK - KHGA</v>
          </cell>
          <cell r="AT836" t="str">
            <v>1220301224390</v>
          </cell>
          <cell r="AU836" t="str">
            <v>/  /</v>
          </cell>
          <cell r="AW836">
            <v>38169</v>
          </cell>
          <cell r="AY836" t="str">
            <v>XX</v>
          </cell>
          <cell r="BA836" t="str">
            <v>2</v>
          </cell>
          <cell r="BB836">
            <v>1</v>
          </cell>
          <cell r="BD836">
            <v>0</v>
          </cell>
          <cell r="BE836" t="str">
            <v>M</v>
          </cell>
          <cell r="BF836" t="str">
            <v>N</v>
          </cell>
          <cell r="BG836">
            <v>0</v>
          </cell>
          <cell r="BH836">
            <v>38169</v>
          </cell>
          <cell r="BI836" t="str">
            <v>O</v>
          </cell>
        </row>
        <row r="837">
          <cell r="A837">
            <v>70315</v>
          </cell>
          <cell r="B837">
            <v>461</v>
          </cell>
          <cell r="C837" t="str">
            <v>C3001</v>
          </cell>
          <cell r="D837" t="str">
            <v>ARFAOUI</v>
          </cell>
          <cell r="E837" t="str">
            <v>AHMED</v>
          </cell>
          <cell r="F837">
            <v>21020</v>
          </cell>
          <cell r="G837" t="str">
            <v>1</v>
          </cell>
          <cell r="H837" t="str">
            <v>KHOURIBGA</v>
          </cell>
          <cell r="I837" t="str">
            <v>D</v>
          </cell>
          <cell r="J837">
            <v>28514</v>
          </cell>
          <cell r="K837">
            <v>37288</v>
          </cell>
          <cell r="L837" t="str">
            <v>21</v>
          </cell>
          <cell r="M837" t="str">
            <v>A</v>
          </cell>
          <cell r="N837">
            <v>37288</v>
          </cell>
          <cell r="P837">
            <v>25</v>
          </cell>
          <cell r="Q837" t="str">
            <v>O</v>
          </cell>
          <cell r="R837" t="str">
            <v>N</v>
          </cell>
          <cell r="S837">
            <v>0</v>
          </cell>
          <cell r="T837" t="str">
            <v>M</v>
          </cell>
          <cell r="U837" t="str">
            <v>AJNIBA FATNA BENT BOUAZZA</v>
          </cell>
          <cell r="X837">
            <v>4</v>
          </cell>
          <cell r="Y837">
            <v>3</v>
          </cell>
          <cell r="AB837" t="str">
            <v>X</v>
          </cell>
          <cell r="AC837" t="str">
            <v>X</v>
          </cell>
          <cell r="AD837" t="str">
            <v>X</v>
          </cell>
          <cell r="AH837" t="str">
            <v>N</v>
          </cell>
          <cell r="AI837" t="str">
            <v>N</v>
          </cell>
          <cell r="AK837" t="str">
            <v>118, RUE ATLAS BOULEVARD PALESTINE KHGA</v>
          </cell>
          <cell r="AL837" t="str">
            <v>CM2</v>
          </cell>
          <cell r="AP837" t="str">
            <v>Q 52851</v>
          </cell>
          <cell r="AQ837">
            <v>0</v>
          </cell>
          <cell r="AR837" t="str">
            <v>C</v>
          </cell>
          <cell r="AU837" t="str">
            <v>/  /</v>
          </cell>
          <cell r="AW837">
            <v>39448</v>
          </cell>
          <cell r="AY837" t="str">
            <v>XX</v>
          </cell>
          <cell r="BA837" t="str">
            <v>2</v>
          </cell>
          <cell r="BB837">
            <v>1</v>
          </cell>
          <cell r="BD837">
            <v>0</v>
          </cell>
          <cell r="BE837" t="str">
            <v>M</v>
          </cell>
          <cell r="BF837" t="str">
            <v>N</v>
          </cell>
          <cell r="BG837">
            <v>31</v>
          </cell>
          <cell r="BH837">
            <v>39448</v>
          </cell>
          <cell r="BI837" t="str">
            <v>O</v>
          </cell>
        </row>
        <row r="838">
          <cell r="A838">
            <v>70335</v>
          </cell>
          <cell r="B838">
            <v>463</v>
          </cell>
          <cell r="C838" t="str">
            <v>C3200</v>
          </cell>
          <cell r="D838" t="str">
            <v>RAFAI</v>
          </cell>
          <cell r="E838" t="str">
            <v>BOUABID</v>
          </cell>
          <cell r="F838">
            <v>20354</v>
          </cell>
          <cell r="G838" t="str">
            <v>2</v>
          </cell>
          <cell r="H838" t="str">
            <v>OUED-ZEM</v>
          </cell>
          <cell r="I838" t="str">
            <v>D</v>
          </cell>
          <cell r="J838">
            <v>28517</v>
          </cell>
          <cell r="K838">
            <v>35674</v>
          </cell>
          <cell r="L838" t="str">
            <v>21</v>
          </cell>
          <cell r="M838" t="str">
            <v>A</v>
          </cell>
          <cell r="N838">
            <v>35674</v>
          </cell>
          <cell r="P838">
            <v>25</v>
          </cell>
          <cell r="Q838" t="str">
            <v>O</v>
          </cell>
          <cell r="R838" t="str">
            <v>N</v>
          </cell>
          <cell r="S838">
            <v>0</v>
          </cell>
          <cell r="T838" t="str">
            <v>M</v>
          </cell>
          <cell r="U838" t="str">
            <v>RAFI FOUZIA BENT M'HAMED</v>
          </cell>
          <cell r="X838">
            <v>3</v>
          </cell>
          <cell r="Y838">
            <v>2</v>
          </cell>
          <cell r="AB838" t="str">
            <v>X</v>
          </cell>
          <cell r="AC838" t="str">
            <v>X</v>
          </cell>
          <cell r="AD838" t="str">
            <v>X</v>
          </cell>
          <cell r="AH838" t="str">
            <v>N</v>
          </cell>
          <cell r="AI838" t="str">
            <v>N</v>
          </cell>
          <cell r="AK838" t="str">
            <v>114 RUE 17 ANCIENNE MSALLA OUED ZEM</v>
          </cell>
          <cell r="AL838" t="str">
            <v>CM2</v>
          </cell>
          <cell r="AN838" t="str">
            <v>41═09═35</v>
          </cell>
          <cell r="AP838" t="str">
            <v>B 190872</v>
          </cell>
          <cell r="AQ838">
            <v>0</v>
          </cell>
          <cell r="AR838" t="str">
            <v>B</v>
          </cell>
          <cell r="AS838" t="str">
            <v>WAFABANK- KHGA</v>
          </cell>
          <cell r="AT838" t="str">
            <v>1220301367264</v>
          </cell>
          <cell r="AU838" t="str">
            <v>/  /</v>
          </cell>
          <cell r="AW838">
            <v>38718</v>
          </cell>
          <cell r="AY838" t="str">
            <v>XX</v>
          </cell>
          <cell r="BA838" t="str">
            <v>2</v>
          </cell>
          <cell r="BB838">
            <v>1</v>
          </cell>
          <cell r="BD838">
            <v>0</v>
          </cell>
          <cell r="BE838" t="str">
            <v>M</v>
          </cell>
          <cell r="BF838" t="str">
            <v>N</v>
          </cell>
          <cell r="BG838">
            <v>31</v>
          </cell>
          <cell r="BH838">
            <v>38718</v>
          </cell>
          <cell r="BI838" t="str">
            <v>O</v>
          </cell>
        </row>
        <row r="839">
          <cell r="A839">
            <v>70336</v>
          </cell>
          <cell r="B839">
            <v>421</v>
          </cell>
          <cell r="C839" t="str">
            <v>C3152</v>
          </cell>
          <cell r="D839" t="str">
            <v>BAHJAOUI</v>
          </cell>
          <cell r="E839" t="str">
            <v>MOHAMMED</v>
          </cell>
          <cell r="F839">
            <v>20736</v>
          </cell>
          <cell r="G839" t="str">
            <v>1</v>
          </cell>
          <cell r="H839" t="str">
            <v>KHOURIBGA</v>
          </cell>
          <cell r="I839" t="str">
            <v>D</v>
          </cell>
          <cell r="J839">
            <v>28517</v>
          </cell>
          <cell r="K839">
            <v>33420</v>
          </cell>
          <cell r="L839" t="str">
            <v>21</v>
          </cell>
          <cell r="M839" t="str">
            <v>A</v>
          </cell>
          <cell r="N839">
            <v>33420</v>
          </cell>
          <cell r="P839">
            <v>25</v>
          </cell>
          <cell r="Q839" t="str">
            <v>O</v>
          </cell>
          <cell r="R839" t="str">
            <v>N</v>
          </cell>
          <cell r="S839">
            <v>0</v>
          </cell>
          <cell r="T839" t="str">
            <v>M</v>
          </cell>
          <cell r="U839" t="str">
            <v>SALMAN LATIFA BENT BRAHIM</v>
          </cell>
          <cell r="X839">
            <v>5</v>
          </cell>
          <cell r="Y839">
            <v>5</v>
          </cell>
          <cell r="AB839" t="str">
            <v>N</v>
          </cell>
          <cell r="AC839" t="str">
            <v>X</v>
          </cell>
          <cell r="AD839" t="str">
            <v>X</v>
          </cell>
          <cell r="AH839" t="str">
            <v>N</v>
          </cell>
          <cell r="AI839" t="str">
            <v>N</v>
          </cell>
          <cell r="AK839" t="str">
            <v>10 NELLE CONSTRUCTION DE SECHAGE KHGA</v>
          </cell>
          <cell r="AL839" t="str">
            <v>CM2</v>
          </cell>
          <cell r="AP839" t="str">
            <v>Q 7679</v>
          </cell>
          <cell r="AQ839">
            <v>0</v>
          </cell>
          <cell r="AR839" t="str">
            <v>B</v>
          </cell>
          <cell r="AS839" t="str">
            <v>BMCE</v>
          </cell>
          <cell r="AT839" t="str">
            <v>40001200000974228</v>
          </cell>
          <cell r="AU839" t="str">
            <v>/  /</v>
          </cell>
          <cell r="AW839">
            <v>39083</v>
          </cell>
          <cell r="AY839" t="str">
            <v>XX</v>
          </cell>
          <cell r="AZ839" t="str">
            <v>R</v>
          </cell>
          <cell r="BA839" t="str">
            <v>1</v>
          </cell>
          <cell r="BB839">
            <v>1</v>
          </cell>
          <cell r="BD839">
            <v>0</v>
          </cell>
          <cell r="BE839" t="str">
            <v>M</v>
          </cell>
          <cell r="BF839" t="str">
            <v>N</v>
          </cell>
          <cell r="BG839">
            <v>4</v>
          </cell>
          <cell r="BH839">
            <v>39083</v>
          </cell>
        </row>
        <row r="840">
          <cell r="A840">
            <v>70357</v>
          </cell>
          <cell r="B840">
            <v>421</v>
          </cell>
          <cell r="C840" t="str">
            <v>C3050</v>
          </cell>
          <cell r="D840" t="str">
            <v>DAKY</v>
          </cell>
          <cell r="E840" t="str">
            <v>MOHAMED</v>
          </cell>
          <cell r="F840">
            <v>19475</v>
          </cell>
          <cell r="G840" t="str">
            <v>2</v>
          </cell>
          <cell r="H840" t="str">
            <v>BENI SMIR</v>
          </cell>
          <cell r="I840" t="str">
            <v>D</v>
          </cell>
          <cell r="J840">
            <v>28530</v>
          </cell>
          <cell r="K840">
            <v>37012</v>
          </cell>
          <cell r="L840" t="str">
            <v>21</v>
          </cell>
          <cell r="M840" t="str">
            <v>A</v>
          </cell>
          <cell r="N840">
            <v>37012</v>
          </cell>
          <cell r="P840">
            <v>26</v>
          </cell>
          <cell r="Q840" t="str">
            <v>O</v>
          </cell>
          <cell r="R840" t="str">
            <v>N</v>
          </cell>
          <cell r="S840">
            <v>0</v>
          </cell>
          <cell r="T840" t="str">
            <v>M</v>
          </cell>
          <cell r="U840" t="str">
            <v>ABABA FATIMA BENT LARBI</v>
          </cell>
          <cell r="X840">
            <v>5</v>
          </cell>
          <cell r="Y840">
            <v>4</v>
          </cell>
          <cell r="AB840" t="str">
            <v>X</v>
          </cell>
          <cell r="AC840" t="str">
            <v>X</v>
          </cell>
          <cell r="AD840" t="str">
            <v>X</v>
          </cell>
          <cell r="AH840" t="str">
            <v>N</v>
          </cell>
          <cell r="AI840" t="str">
            <v>N</v>
          </cell>
          <cell r="AK840" t="str">
            <v>N° 44 QUARTIER LAATOURA - OUED ZEM</v>
          </cell>
          <cell r="AL840" t="str">
            <v>2AS</v>
          </cell>
          <cell r="AP840" t="str">
            <v>Q 25492</v>
          </cell>
          <cell r="AQ840">
            <v>0</v>
          </cell>
          <cell r="AR840" t="str">
            <v>C</v>
          </cell>
          <cell r="AU840" t="str">
            <v>/  /</v>
          </cell>
          <cell r="AW840">
            <v>38169</v>
          </cell>
          <cell r="AY840" t="str">
            <v>XX</v>
          </cell>
          <cell r="BA840" t="str">
            <v>1</v>
          </cell>
          <cell r="BB840">
            <v>1</v>
          </cell>
          <cell r="BD840">
            <v>0</v>
          </cell>
          <cell r="BE840" t="str">
            <v>M</v>
          </cell>
          <cell r="BF840" t="str">
            <v>N</v>
          </cell>
          <cell r="BG840">
            <v>30</v>
          </cell>
          <cell r="BH840">
            <v>38169</v>
          </cell>
          <cell r="BI840" t="str">
            <v>O</v>
          </cell>
        </row>
        <row r="841">
          <cell r="A841">
            <v>70362</v>
          </cell>
          <cell r="B841">
            <v>468</v>
          </cell>
          <cell r="C841" t="str">
            <v>X3102</v>
          </cell>
          <cell r="D841" t="str">
            <v>JARIRI</v>
          </cell>
          <cell r="E841" t="str">
            <v>MOHAMMED</v>
          </cell>
          <cell r="F841">
            <v>18079</v>
          </cell>
          <cell r="G841" t="str">
            <v>3</v>
          </cell>
          <cell r="H841" t="str">
            <v>EL GUEFFAF</v>
          </cell>
          <cell r="I841" t="str">
            <v>D</v>
          </cell>
          <cell r="J841">
            <v>28551</v>
          </cell>
          <cell r="K841">
            <v>35431</v>
          </cell>
          <cell r="L841" t="str">
            <v>41</v>
          </cell>
          <cell r="M841" t="str">
            <v>A</v>
          </cell>
          <cell r="N841">
            <v>35431</v>
          </cell>
          <cell r="O841">
            <v>0</v>
          </cell>
          <cell r="P841">
            <v>25</v>
          </cell>
          <cell r="Q841" t="str">
            <v>O</v>
          </cell>
          <cell r="R841" t="str">
            <v>N</v>
          </cell>
          <cell r="S841">
            <v>0</v>
          </cell>
          <cell r="T841" t="str">
            <v>M</v>
          </cell>
          <cell r="U841" t="str">
            <v>HIBA ZOHRA</v>
          </cell>
          <cell r="X841">
            <v>7</v>
          </cell>
          <cell r="Y841">
            <v>4</v>
          </cell>
          <cell r="AB841" t="str">
            <v>X</v>
          </cell>
          <cell r="AC841" t="str">
            <v>X</v>
          </cell>
          <cell r="AD841" t="str">
            <v>X</v>
          </cell>
          <cell r="AH841" t="str">
            <v>N</v>
          </cell>
          <cell r="AI841" t="str">
            <v>O</v>
          </cell>
          <cell r="AJ841">
            <v>35431</v>
          </cell>
          <cell r="AK841" t="str">
            <v>48 RUE IRAQ LOT.ERRACHAD - KHOURIBGA</v>
          </cell>
          <cell r="AL841" t="str">
            <v>7AS.LM</v>
          </cell>
          <cell r="AM841" t="str">
            <v>CES.</v>
          </cell>
          <cell r="AP841" t="str">
            <v>Q 24666</v>
          </cell>
          <cell r="AQ841">
            <v>0</v>
          </cell>
          <cell r="AR841" t="str">
            <v>B</v>
          </cell>
          <cell r="AS841" t="str">
            <v>BMCE - KHGA</v>
          </cell>
          <cell r="AT841" t="str">
            <v>40001200001220608</v>
          </cell>
          <cell r="AU841" t="str">
            <v>/  /</v>
          </cell>
          <cell r="AW841">
            <v>38169</v>
          </cell>
          <cell r="AY841" t="str">
            <v>XX</v>
          </cell>
          <cell r="AZ841" t="str">
            <v>M</v>
          </cell>
          <cell r="BA841" t="str">
            <v>2</v>
          </cell>
          <cell r="BB841">
            <v>1</v>
          </cell>
          <cell r="BC841" t="str">
            <v>O</v>
          </cell>
          <cell r="BD841">
            <v>4</v>
          </cell>
          <cell r="BE841" t="str">
            <v>M</v>
          </cell>
          <cell r="BF841" t="str">
            <v>N</v>
          </cell>
          <cell r="BG841">
            <v>5</v>
          </cell>
          <cell r="BH841">
            <v>38169</v>
          </cell>
          <cell r="BI841" t="str">
            <v>O</v>
          </cell>
        </row>
        <row r="842">
          <cell r="A842">
            <v>70436</v>
          </cell>
          <cell r="B842">
            <v>406</v>
          </cell>
          <cell r="C842" t="str">
            <v>C3152</v>
          </cell>
          <cell r="D842" t="str">
            <v>LAHHABI</v>
          </cell>
          <cell r="E842" t="str">
            <v>MOHAMED</v>
          </cell>
          <cell r="F842">
            <v>19175</v>
          </cell>
          <cell r="G842" t="str">
            <v>1</v>
          </cell>
          <cell r="H842" t="str">
            <v>KHOURIBGA</v>
          </cell>
          <cell r="I842" t="str">
            <v>D</v>
          </cell>
          <cell r="J842">
            <v>28559</v>
          </cell>
          <cell r="K842">
            <v>37012</v>
          </cell>
          <cell r="L842" t="str">
            <v>21</v>
          </cell>
          <cell r="M842" t="str">
            <v>A</v>
          </cell>
          <cell r="N842">
            <v>37012</v>
          </cell>
          <cell r="P842">
            <v>25</v>
          </cell>
          <cell r="Q842" t="str">
            <v>O</v>
          </cell>
          <cell r="R842" t="str">
            <v>N</v>
          </cell>
          <cell r="S842">
            <v>0</v>
          </cell>
          <cell r="T842" t="str">
            <v>M</v>
          </cell>
          <cell r="U842" t="str">
            <v>SEKOUM FATIMA BENT HAJJAJ</v>
          </cell>
          <cell r="X842">
            <v>2</v>
          </cell>
          <cell r="Y842">
            <v>2</v>
          </cell>
          <cell r="AB842" t="str">
            <v>N</v>
          </cell>
          <cell r="AC842" t="str">
            <v>X</v>
          </cell>
          <cell r="AD842" t="str">
            <v>X</v>
          </cell>
          <cell r="AH842" t="str">
            <v>N</v>
          </cell>
          <cell r="AI842" t="str">
            <v>N</v>
          </cell>
          <cell r="AK842" t="str">
            <v>81 NELLE MEDINA DE SECHAGE KHGA</v>
          </cell>
          <cell r="AL842" t="str">
            <v>3AS</v>
          </cell>
          <cell r="AP842" t="str">
            <v>Q 83979</v>
          </cell>
          <cell r="AQ842">
            <v>0</v>
          </cell>
          <cell r="AR842" t="str">
            <v>C</v>
          </cell>
          <cell r="AU842" t="str">
            <v>/  /</v>
          </cell>
          <cell r="AW842">
            <v>38169</v>
          </cell>
          <cell r="AY842" t="str">
            <v>XX</v>
          </cell>
          <cell r="BA842" t="str">
            <v>6</v>
          </cell>
          <cell r="BB842">
            <v>1</v>
          </cell>
          <cell r="BD842">
            <v>0</v>
          </cell>
          <cell r="BE842" t="str">
            <v>M</v>
          </cell>
          <cell r="BF842" t="str">
            <v>N</v>
          </cell>
          <cell r="BG842">
            <v>4</v>
          </cell>
          <cell r="BH842">
            <v>38169</v>
          </cell>
        </row>
        <row r="843">
          <cell r="A843">
            <v>70445</v>
          </cell>
          <cell r="B843">
            <v>466</v>
          </cell>
          <cell r="C843" t="str">
            <v>C2609</v>
          </cell>
          <cell r="D843" t="str">
            <v>MOUTAHIR</v>
          </cell>
          <cell r="E843" t="str">
            <v>ZOHRA</v>
          </cell>
          <cell r="F843">
            <v>19726</v>
          </cell>
          <cell r="G843" t="str">
            <v>2</v>
          </cell>
          <cell r="H843" t="str">
            <v>OUED-ZEM</v>
          </cell>
          <cell r="I843" t="str">
            <v>D</v>
          </cell>
          <cell r="J843">
            <v>28565</v>
          </cell>
          <cell r="K843">
            <v>33420</v>
          </cell>
          <cell r="L843" t="str">
            <v>31</v>
          </cell>
          <cell r="M843" t="str">
            <v>A</v>
          </cell>
          <cell r="N843">
            <v>33420</v>
          </cell>
          <cell r="P843">
            <v>25</v>
          </cell>
          <cell r="Q843" t="str">
            <v>O</v>
          </cell>
          <cell r="R843" t="str">
            <v>N</v>
          </cell>
          <cell r="S843">
            <v>0</v>
          </cell>
          <cell r="T843" t="str">
            <v>C</v>
          </cell>
          <cell r="X843">
            <v>0</v>
          </cell>
          <cell r="Y843">
            <v>0</v>
          </cell>
          <cell r="Z843" t="str">
            <v>N</v>
          </cell>
          <cell r="AB843" t="str">
            <v>X</v>
          </cell>
          <cell r="AC843" t="str">
            <v>X</v>
          </cell>
          <cell r="AD843" t="str">
            <v>X</v>
          </cell>
          <cell r="AH843" t="str">
            <v>N</v>
          </cell>
          <cell r="AI843" t="str">
            <v>N</v>
          </cell>
          <cell r="AK843" t="str">
            <v>84 RUE BENDAOUD OUED ZEM</v>
          </cell>
          <cell r="AL843" t="str">
            <v>6AS.EXP</v>
          </cell>
          <cell r="AP843" t="str">
            <v>Q 21539</v>
          </cell>
          <cell r="AQ843">
            <v>0</v>
          </cell>
          <cell r="AR843" t="str">
            <v>B</v>
          </cell>
          <cell r="AS843" t="str">
            <v>BMCE-OUED ZEM-</v>
          </cell>
          <cell r="AT843" t="str">
            <v>41101200000323640</v>
          </cell>
          <cell r="AU843" t="str">
            <v>/  /</v>
          </cell>
          <cell r="AW843">
            <v>39264</v>
          </cell>
          <cell r="AY843" t="str">
            <v>XX</v>
          </cell>
          <cell r="BA843" t="str">
            <v>2</v>
          </cell>
          <cell r="BB843">
            <v>0</v>
          </cell>
          <cell r="BD843">
            <v>0</v>
          </cell>
          <cell r="BE843" t="str">
            <v>F</v>
          </cell>
          <cell r="BF843" t="str">
            <v>N</v>
          </cell>
          <cell r="BG843">
            <v>31</v>
          </cell>
          <cell r="BH843">
            <v>39630</v>
          </cell>
        </row>
        <row r="844">
          <cell r="A844">
            <v>70450</v>
          </cell>
          <cell r="B844">
            <v>403</v>
          </cell>
          <cell r="C844" t="str">
            <v>C3609</v>
          </cell>
          <cell r="D844" t="str">
            <v>MARIANI</v>
          </cell>
          <cell r="E844" t="str">
            <v>MANSOURA</v>
          </cell>
          <cell r="F844">
            <v>20168</v>
          </cell>
          <cell r="G844" t="str">
            <v>1</v>
          </cell>
          <cell r="H844" t="str">
            <v>OULED BHAR KBAR KHOURIBGA</v>
          </cell>
          <cell r="I844" t="str">
            <v>D</v>
          </cell>
          <cell r="J844">
            <v>28566</v>
          </cell>
          <cell r="K844">
            <v>36526</v>
          </cell>
          <cell r="L844" t="str">
            <v>32</v>
          </cell>
          <cell r="M844" t="str">
            <v>A</v>
          </cell>
          <cell r="N844">
            <v>36526</v>
          </cell>
          <cell r="P844">
            <v>25</v>
          </cell>
          <cell r="Q844" t="str">
            <v>O</v>
          </cell>
          <cell r="R844" t="str">
            <v>N</v>
          </cell>
          <cell r="S844">
            <v>0</v>
          </cell>
          <cell r="T844" t="str">
            <v>M</v>
          </cell>
          <cell r="U844" t="str">
            <v>STAFA BOUCHTA</v>
          </cell>
          <cell r="X844">
            <v>1</v>
          </cell>
          <cell r="Y844">
            <v>1</v>
          </cell>
          <cell r="Z844" t="str">
            <v>N</v>
          </cell>
          <cell r="AB844" t="str">
            <v>X</v>
          </cell>
          <cell r="AC844" t="str">
            <v>X</v>
          </cell>
          <cell r="AD844" t="str">
            <v>X</v>
          </cell>
          <cell r="AH844" t="str">
            <v>N</v>
          </cell>
          <cell r="AI844" t="str">
            <v>N</v>
          </cell>
          <cell r="AK844" t="str">
            <v>431 BIS BLOC 17 KHOUADRIA JDAD KHOURIBGA</v>
          </cell>
          <cell r="AL844" t="str">
            <v>4AS</v>
          </cell>
          <cell r="AM844" t="str">
            <v>DACTYLOGRAPHE</v>
          </cell>
          <cell r="AO844" t="str">
            <v>2538</v>
          </cell>
          <cell r="AP844" t="str">
            <v>Q 54257</v>
          </cell>
          <cell r="AQ844">
            <v>0</v>
          </cell>
          <cell r="AR844" t="str">
            <v>B</v>
          </cell>
          <cell r="AS844" t="str">
            <v>SGMB.KHGA</v>
          </cell>
          <cell r="AT844" t="str">
            <v>670009043519</v>
          </cell>
          <cell r="AU844" t="str">
            <v>/  /</v>
          </cell>
          <cell r="AW844">
            <v>39264</v>
          </cell>
          <cell r="AY844" t="str">
            <v>XX</v>
          </cell>
          <cell r="BA844" t="str">
            <v>2</v>
          </cell>
          <cell r="BB844">
            <v>0</v>
          </cell>
          <cell r="BD844">
            <v>0</v>
          </cell>
          <cell r="BE844" t="str">
            <v>F</v>
          </cell>
          <cell r="BF844" t="str">
            <v>N</v>
          </cell>
          <cell r="BG844">
            <v>1</v>
          </cell>
          <cell r="BH844">
            <v>39630</v>
          </cell>
        </row>
        <row r="845">
          <cell r="A845">
            <v>70475</v>
          </cell>
          <cell r="B845">
            <v>468</v>
          </cell>
          <cell r="C845" t="str">
            <v>C4152</v>
          </cell>
          <cell r="D845" t="str">
            <v>KHONIK</v>
          </cell>
          <cell r="E845" t="str">
            <v>KEBIR</v>
          </cell>
          <cell r="F845">
            <v>18809</v>
          </cell>
          <cell r="G845" t="str">
            <v>2</v>
          </cell>
          <cell r="H845" t="str">
            <v>SMAALA</v>
          </cell>
          <cell r="I845" t="str">
            <v>D</v>
          </cell>
          <cell r="J845">
            <v>28579</v>
          </cell>
          <cell r="K845">
            <v>33573</v>
          </cell>
          <cell r="L845" t="str">
            <v>22</v>
          </cell>
          <cell r="M845" t="str">
            <v>B</v>
          </cell>
          <cell r="N845">
            <v>35612</v>
          </cell>
          <cell r="P845">
            <v>25</v>
          </cell>
          <cell r="Q845" t="str">
            <v>O</v>
          </cell>
          <cell r="R845" t="str">
            <v>N</v>
          </cell>
          <cell r="S845">
            <v>0</v>
          </cell>
          <cell r="T845" t="str">
            <v>M</v>
          </cell>
          <cell r="U845" t="str">
            <v>MACHKOURI FATNA BENT HACHMI</v>
          </cell>
          <cell r="X845">
            <v>4</v>
          </cell>
          <cell r="Y845">
            <v>3</v>
          </cell>
          <cell r="AB845" t="str">
            <v>X</v>
          </cell>
          <cell r="AC845" t="str">
            <v>X</v>
          </cell>
          <cell r="AD845" t="str">
            <v>X</v>
          </cell>
          <cell r="AH845" t="str">
            <v>N</v>
          </cell>
          <cell r="AI845" t="str">
            <v>N</v>
          </cell>
          <cell r="AK845" t="str">
            <v>46 VILLAGE OCP OUED ZEM</v>
          </cell>
          <cell r="AL845" t="str">
            <v>CM2</v>
          </cell>
          <cell r="AP845" t="str">
            <v>Q 14658</v>
          </cell>
          <cell r="AQ845">
            <v>0</v>
          </cell>
          <cell r="AR845" t="str">
            <v>B</v>
          </cell>
          <cell r="AS845" t="str">
            <v>BMCE - OUED ZEM</v>
          </cell>
          <cell r="AT845" t="str">
            <v>4110001200000538689</v>
          </cell>
          <cell r="AU845" t="str">
            <v>/  /</v>
          </cell>
          <cell r="AW845">
            <v>37987</v>
          </cell>
          <cell r="AY845" t="str">
            <v>XX</v>
          </cell>
          <cell r="AZ845" t="str">
            <v>M</v>
          </cell>
          <cell r="BA845" t="str">
            <v>1</v>
          </cell>
          <cell r="BB845">
            <v>1</v>
          </cell>
          <cell r="BD845">
            <v>0</v>
          </cell>
          <cell r="BE845" t="str">
            <v>M</v>
          </cell>
          <cell r="BF845" t="str">
            <v>N</v>
          </cell>
          <cell r="BG845">
            <v>31</v>
          </cell>
          <cell r="BH845">
            <v>38169</v>
          </cell>
          <cell r="BI845" t="str">
            <v>O</v>
          </cell>
        </row>
        <row r="846">
          <cell r="A846">
            <v>70494</v>
          </cell>
          <cell r="B846">
            <v>428</v>
          </cell>
          <cell r="C846" t="str">
            <v>C4411</v>
          </cell>
          <cell r="D846" t="str">
            <v>KHALOUA</v>
          </cell>
          <cell r="E846" t="str">
            <v>BOUCHTA</v>
          </cell>
          <cell r="F846">
            <v>18733</v>
          </cell>
          <cell r="G846" t="str">
            <v>1</v>
          </cell>
          <cell r="H846" t="str">
            <v>OULED ABDOUNE</v>
          </cell>
          <cell r="I846" t="str">
            <v>D</v>
          </cell>
          <cell r="J846">
            <v>28586</v>
          </cell>
          <cell r="K846">
            <v>34851</v>
          </cell>
          <cell r="L846" t="str">
            <v>22</v>
          </cell>
          <cell r="M846" t="str">
            <v>B</v>
          </cell>
          <cell r="N846">
            <v>35612</v>
          </cell>
          <cell r="P846">
            <v>25</v>
          </cell>
          <cell r="Q846" t="str">
            <v>O</v>
          </cell>
          <cell r="R846" t="str">
            <v>N</v>
          </cell>
          <cell r="S846">
            <v>0</v>
          </cell>
          <cell r="T846" t="str">
            <v>M</v>
          </cell>
          <cell r="U846" t="str">
            <v>BOUAADEL ZOHRA BENT EL HASSAN</v>
          </cell>
          <cell r="X846">
            <v>4</v>
          </cell>
          <cell r="Y846">
            <v>3</v>
          </cell>
          <cell r="AB846" t="str">
            <v>X</v>
          </cell>
          <cell r="AC846" t="str">
            <v>X</v>
          </cell>
          <cell r="AD846" t="str">
            <v>X</v>
          </cell>
          <cell r="AH846" t="str">
            <v>N</v>
          </cell>
          <cell r="AI846" t="str">
            <v>N</v>
          </cell>
          <cell r="AK846" t="str">
            <v>709 NELLE MEDINA DE SECHAGE KHGA</v>
          </cell>
          <cell r="AL846" t="str">
            <v>2AS</v>
          </cell>
          <cell r="AP846" t="str">
            <v>Q 4455</v>
          </cell>
          <cell r="AQ846">
            <v>0</v>
          </cell>
          <cell r="AR846" t="str">
            <v>B</v>
          </cell>
          <cell r="AS846" t="str">
            <v>WAFABANK - KHGA</v>
          </cell>
          <cell r="AT846" t="str">
            <v>120301135676</v>
          </cell>
          <cell r="AU846" t="str">
            <v>/  /</v>
          </cell>
          <cell r="AW846">
            <v>38169</v>
          </cell>
          <cell r="AY846" t="str">
            <v>XX</v>
          </cell>
          <cell r="BA846" t="str">
            <v>0</v>
          </cell>
          <cell r="BB846">
            <v>1</v>
          </cell>
          <cell r="BD846">
            <v>0</v>
          </cell>
          <cell r="BE846" t="str">
            <v>M</v>
          </cell>
          <cell r="BF846" t="str">
            <v>N</v>
          </cell>
          <cell r="BG846">
            <v>4</v>
          </cell>
          <cell r="BH846">
            <v>38353</v>
          </cell>
          <cell r="BI846" t="str">
            <v>O</v>
          </cell>
        </row>
        <row r="847">
          <cell r="A847">
            <v>70495</v>
          </cell>
          <cell r="B847">
            <v>403</v>
          </cell>
          <cell r="C847" t="str">
            <v>C4050</v>
          </cell>
          <cell r="D847" t="str">
            <v>MISRAOUI</v>
          </cell>
          <cell r="E847" t="str">
            <v>M'HAMED</v>
          </cell>
          <cell r="F847">
            <v>18809</v>
          </cell>
          <cell r="G847" t="str">
            <v>6</v>
          </cell>
          <cell r="H847" t="str">
            <v>OULED AZZOUZ OULED BHAR KBAR</v>
          </cell>
          <cell r="I847" t="str">
            <v>D</v>
          </cell>
          <cell r="J847">
            <v>28586</v>
          </cell>
          <cell r="K847">
            <v>37377</v>
          </cell>
          <cell r="L847" t="str">
            <v>22</v>
          </cell>
          <cell r="M847" t="str">
            <v>A</v>
          </cell>
          <cell r="N847">
            <v>37377</v>
          </cell>
          <cell r="O847">
            <v>0</v>
          </cell>
          <cell r="P847">
            <v>25</v>
          </cell>
          <cell r="Q847" t="str">
            <v>O</v>
          </cell>
          <cell r="R847" t="str">
            <v>N</v>
          </cell>
          <cell r="S847">
            <v>0</v>
          </cell>
          <cell r="T847" t="str">
            <v>M</v>
          </cell>
          <cell r="U847" t="str">
            <v>ESSAADIA BENT BRAHIM</v>
          </cell>
          <cell r="X847">
            <v>3</v>
          </cell>
          <cell r="Y847">
            <v>3</v>
          </cell>
          <cell r="AB847" t="str">
            <v>N</v>
          </cell>
          <cell r="AC847" t="str">
            <v>X</v>
          </cell>
          <cell r="AD847" t="str">
            <v>X</v>
          </cell>
          <cell r="AH847" t="str">
            <v>N</v>
          </cell>
          <cell r="AI847" t="str">
            <v>N</v>
          </cell>
          <cell r="AK847" t="str">
            <v>646 NELLE MEDINA DE SECHAGE KHGA</v>
          </cell>
          <cell r="AL847" t="str">
            <v>4AS</v>
          </cell>
          <cell r="AP847" t="str">
            <v>Q 33</v>
          </cell>
          <cell r="AQ847">
            <v>0</v>
          </cell>
          <cell r="AR847" t="str">
            <v>B</v>
          </cell>
          <cell r="AS847" t="str">
            <v>POPULAIRE - KHGA</v>
          </cell>
          <cell r="AT847" t="str">
            <v>2111112886860001</v>
          </cell>
          <cell r="AU847" t="str">
            <v>/  /</v>
          </cell>
          <cell r="AW847">
            <v>38169</v>
          </cell>
          <cell r="AY847" t="str">
            <v>XX</v>
          </cell>
          <cell r="AZ847" t="str">
            <v>R</v>
          </cell>
          <cell r="BA847" t="str">
            <v>2</v>
          </cell>
          <cell r="BB847">
            <v>1</v>
          </cell>
          <cell r="BD847">
            <v>0</v>
          </cell>
          <cell r="BE847" t="str">
            <v>M</v>
          </cell>
          <cell r="BF847" t="str">
            <v>N</v>
          </cell>
          <cell r="BG847">
            <v>4</v>
          </cell>
          <cell r="BH847">
            <v>38353</v>
          </cell>
          <cell r="BI847" t="str">
            <v>O</v>
          </cell>
        </row>
        <row r="848">
          <cell r="A848">
            <v>70506</v>
          </cell>
          <cell r="B848">
            <v>468</v>
          </cell>
          <cell r="C848" t="str">
            <v>C3152</v>
          </cell>
          <cell r="D848" t="str">
            <v>MAYAZ</v>
          </cell>
          <cell r="E848" t="str">
            <v>EL MILOUDI</v>
          </cell>
          <cell r="F848">
            <v>18444</v>
          </cell>
          <cell r="G848" t="str">
            <v>1</v>
          </cell>
          <cell r="H848" t="str">
            <v>OULED BHAR KBAR KHOURIBGA</v>
          </cell>
          <cell r="I848" t="str">
            <v>D</v>
          </cell>
          <cell r="J848">
            <v>28595</v>
          </cell>
          <cell r="K848">
            <v>37377</v>
          </cell>
          <cell r="L848" t="str">
            <v>21</v>
          </cell>
          <cell r="M848" t="str">
            <v>C</v>
          </cell>
          <cell r="N848">
            <v>37377</v>
          </cell>
          <cell r="O848">
            <v>0</v>
          </cell>
          <cell r="P848">
            <v>25</v>
          </cell>
          <cell r="Q848" t="str">
            <v>O</v>
          </cell>
          <cell r="R848" t="str">
            <v>N</v>
          </cell>
          <cell r="S848">
            <v>0</v>
          </cell>
          <cell r="T848" t="str">
            <v>M</v>
          </cell>
          <cell r="U848" t="str">
            <v>LATTRACH NAIMA</v>
          </cell>
          <cell r="X848">
            <v>6</v>
          </cell>
          <cell r="Y848">
            <v>2</v>
          </cell>
          <cell r="AB848" t="str">
            <v>X</v>
          </cell>
          <cell r="AC848" t="str">
            <v>X</v>
          </cell>
          <cell r="AD848" t="str">
            <v>X</v>
          </cell>
          <cell r="AH848" t="str">
            <v>N</v>
          </cell>
          <cell r="AI848" t="str">
            <v>N</v>
          </cell>
          <cell r="AK848" t="str">
            <v>116 BIR MEZOUI PAR BOUJNIBA</v>
          </cell>
          <cell r="AL848" t="str">
            <v>4AS</v>
          </cell>
          <cell r="AP848" t="str">
            <v>Q 83241</v>
          </cell>
          <cell r="AQ848">
            <v>0</v>
          </cell>
          <cell r="AR848" t="str">
            <v>B</v>
          </cell>
          <cell r="AS848" t="str">
            <v>POPULAIRE.KHGA</v>
          </cell>
          <cell r="AT848" t="str">
            <v>2111136312470002</v>
          </cell>
          <cell r="AU848" t="str">
            <v>/  /</v>
          </cell>
          <cell r="AW848">
            <v>38353</v>
          </cell>
          <cell r="AY848" t="str">
            <v>XX</v>
          </cell>
          <cell r="BA848" t="str">
            <v>1</v>
          </cell>
          <cell r="BB848">
            <v>1</v>
          </cell>
          <cell r="BD848">
            <v>0</v>
          </cell>
          <cell r="BE848" t="str">
            <v>M</v>
          </cell>
          <cell r="BF848" t="str">
            <v>N</v>
          </cell>
          <cell r="BG848">
            <v>60</v>
          </cell>
          <cell r="BH848">
            <v>38353</v>
          </cell>
          <cell r="BI848" t="str">
            <v>O</v>
          </cell>
        </row>
        <row r="849">
          <cell r="A849">
            <v>70512</v>
          </cell>
          <cell r="B849">
            <v>409</v>
          </cell>
          <cell r="C849" t="str">
            <v>C6001</v>
          </cell>
          <cell r="D849" t="str">
            <v>ADMI</v>
          </cell>
          <cell r="E849" t="str">
            <v>AHMED</v>
          </cell>
          <cell r="F849">
            <v>19272</v>
          </cell>
          <cell r="G849" t="str">
            <v>1</v>
          </cell>
          <cell r="H849" t="str">
            <v>KHOURIBGA</v>
          </cell>
          <cell r="I849" t="str">
            <v>D</v>
          </cell>
          <cell r="J849">
            <v>28604</v>
          </cell>
          <cell r="K849">
            <v>36526</v>
          </cell>
          <cell r="L849" t="str">
            <v>32</v>
          </cell>
          <cell r="M849" t="str">
            <v>A</v>
          </cell>
          <cell r="N849">
            <v>36526</v>
          </cell>
          <cell r="P849">
            <v>25</v>
          </cell>
          <cell r="Q849" t="str">
            <v>O</v>
          </cell>
          <cell r="R849" t="str">
            <v>N</v>
          </cell>
          <cell r="S849">
            <v>0</v>
          </cell>
          <cell r="T849" t="str">
            <v>M</v>
          </cell>
          <cell r="U849" t="str">
            <v>WAHABI ZOHRA</v>
          </cell>
          <cell r="X849">
            <v>4</v>
          </cell>
          <cell r="Y849">
            <v>4</v>
          </cell>
          <cell r="AB849" t="str">
            <v>X</v>
          </cell>
          <cell r="AC849" t="str">
            <v>X</v>
          </cell>
          <cell r="AD849" t="str">
            <v>X</v>
          </cell>
          <cell r="AH849" t="str">
            <v>N</v>
          </cell>
          <cell r="AI849" t="str">
            <v>N</v>
          </cell>
          <cell r="AK849" t="str">
            <v>105 NELLE CONSTRUCTION DE SECHAGE KHGA</v>
          </cell>
          <cell r="AL849" t="str">
            <v>5AS.</v>
          </cell>
          <cell r="AM849" t="str">
            <v>CES.CFO</v>
          </cell>
          <cell r="AN849" t="str">
            <v>49═11═33</v>
          </cell>
          <cell r="AP849" t="str">
            <v>Q 73596</v>
          </cell>
          <cell r="AQ849">
            <v>0</v>
          </cell>
          <cell r="AR849" t="str">
            <v>B</v>
          </cell>
          <cell r="AS849" t="str">
            <v>B.M.C.E - KHGA</v>
          </cell>
          <cell r="AT849" t="str">
            <v>400001200000793614</v>
          </cell>
          <cell r="AU849" t="str">
            <v>/  /</v>
          </cell>
          <cell r="AW849">
            <v>38353</v>
          </cell>
          <cell r="AY849" t="str">
            <v>XX</v>
          </cell>
          <cell r="BA849" t="str">
            <v>2</v>
          </cell>
          <cell r="BB849">
            <v>1</v>
          </cell>
          <cell r="BC849" t="str">
            <v>O</v>
          </cell>
          <cell r="BD849">
            <v>4</v>
          </cell>
          <cell r="BE849" t="str">
            <v>M</v>
          </cell>
          <cell r="BF849" t="str">
            <v>N</v>
          </cell>
          <cell r="BG849">
            <v>1</v>
          </cell>
          <cell r="BH849">
            <v>38353</v>
          </cell>
        </row>
        <row r="850">
          <cell r="A850">
            <v>70525</v>
          </cell>
          <cell r="B850">
            <v>428</v>
          </cell>
          <cell r="C850" t="str">
            <v>C4152</v>
          </cell>
          <cell r="D850" t="str">
            <v>BOUKHRAISSA</v>
          </cell>
          <cell r="E850" t="str">
            <v>MOHAMMED</v>
          </cell>
          <cell r="F850">
            <v>19540</v>
          </cell>
          <cell r="G850" t="str">
            <v>1</v>
          </cell>
          <cell r="H850" t="str">
            <v>OULED ABDOUNE</v>
          </cell>
          <cell r="I850" t="str">
            <v>D</v>
          </cell>
          <cell r="J850">
            <v>28612</v>
          </cell>
          <cell r="K850">
            <v>36526</v>
          </cell>
          <cell r="L850" t="str">
            <v>22</v>
          </cell>
          <cell r="M850" t="str">
            <v>A</v>
          </cell>
          <cell r="N850">
            <v>36526</v>
          </cell>
          <cell r="P850">
            <v>24</v>
          </cell>
          <cell r="Q850" t="str">
            <v>O</v>
          </cell>
          <cell r="R850" t="str">
            <v>N</v>
          </cell>
          <cell r="S850">
            <v>0</v>
          </cell>
          <cell r="T850" t="str">
            <v>M</v>
          </cell>
          <cell r="U850" t="str">
            <v>KHADIJA BENT AHMIDA</v>
          </cell>
          <cell r="X850">
            <v>3</v>
          </cell>
          <cell r="Y850">
            <v>1</v>
          </cell>
          <cell r="AB850" t="str">
            <v>X</v>
          </cell>
          <cell r="AC850" t="str">
            <v>X</v>
          </cell>
          <cell r="AD850" t="str">
            <v>X</v>
          </cell>
          <cell r="AH850" t="str">
            <v>N</v>
          </cell>
          <cell r="AI850" t="str">
            <v>N</v>
          </cell>
          <cell r="AK850" t="str">
            <v>453,NELLE MEDINA DE SECHAGE KHOURIBGA</v>
          </cell>
          <cell r="AL850" t="str">
            <v>CM2</v>
          </cell>
          <cell r="AP850" t="str">
            <v>Q 9965</v>
          </cell>
          <cell r="AQ850">
            <v>0</v>
          </cell>
          <cell r="AR850" t="str">
            <v>B</v>
          </cell>
          <cell r="AS850" t="str">
            <v>B.M.C.E - KHGA</v>
          </cell>
          <cell r="AT850" t="str">
            <v>40001200001145821</v>
          </cell>
          <cell r="AU850" t="str">
            <v>/  /</v>
          </cell>
          <cell r="AW850">
            <v>38353</v>
          </cell>
          <cell r="AY850" t="str">
            <v>XX</v>
          </cell>
          <cell r="BA850" t="str">
            <v>1</v>
          </cell>
          <cell r="BB850">
            <v>1</v>
          </cell>
          <cell r="BD850">
            <v>0</v>
          </cell>
          <cell r="BE850" t="str">
            <v>M</v>
          </cell>
          <cell r="BF850" t="str">
            <v>N</v>
          </cell>
          <cell r="BG850">
            <v>4</v>
          </cell>
          <cell r="BH850">
            <v>38353</v>
          </cell>
        </row>
        <row r="851">
          <cell r="A851">
            <v>70528</v>
          </cell>
          <cell r="B851">
            <v>428</v>
          </cell>
          <cell r="C851" t="str">
            <v>C2152</v>
          </cell>
          <cell r="D851" t="str">
            <v>EL KOTABI</v>
          </cell>
          <cell r="E851" t="str">
            <v>BOUAZZA</v>
          </cell>
          <cell r="F851">
            <v>19175</v>
          </cell>
          <cell r="H851" t="str">
            <v>OULED M'RAH - SETTAT</v>
          </cell>
          <cell r="I851" t="str">
            <v>D</v>
          </cell>
          <cell r="J851">
            <v>28614</v>
          </cell>
          <cell r="K851">
            <v>30834</v>
          </cell>
          <cell r="L851" t="str">
            <v>12</v>
          </cell>
          <cell r="M851" t="str">
            <v>C</v>
          </cell>
          <cell r="N851">
            <v>35217</v>
          </cell>
          <cell r="P851">
            <v>24</v>
          </cell>
          <cell r="Q851" t="str">
            <v>O</v>
          </cell>
          <cell r="R851" t="str">
            <v>N</v>
          </cell>
          <cell r="S851">
            <v>0</v>
          </cell>
          <cell r="T851" t="str">
            <v>M</v>
          </cell>
          <cell r="U851" t="str">
            <v>FATIMA BENT ABDESLAM</v>
          </cell>
          <cell r="X851">
            <v>8</v>
          </cell>
          <cell r="Y851">
            <v>3</v>
          </cell>
          <cell r="AB851" t="str">
            <v>X</v>
          </cell>
          <cell r="AC851" t="str">
            <v>X</v>
          </cell>
          <cell r="AD851" t="str">
            <v>X</v>
          </cell>
          <cell r="AH851" t="str">
            <v>N</v>
          </cell>
          <cell r="AI851" t="str">
            <v>N</v>
          </cell>
          <cell r="AK851" t="str">
            <v>963 VILLAGE OCP HATTANE</v>
          </cell>
          <cell r="AL851" t="str">
            <v>ILLETTRE</v>
          </cell>
          <cell r="AP851" t="str">
            <v>Q 84711</v>
          </cell>
          <cell r="AQ851">
            <v>0</v>
          </cell>
          <cell r="AR851" t="str">
            <v>C</v>
          </cell>
          <cell r="AU851" t="str">
            <v>/  /</v>
          </cell>
          <cell r="AW851">
            <v>38353</v>
          </cell>
          <cell r="AY851" t="str">
            <v>XX</v>
          </cell>
          <cell r="BA851" t="str">
            <v>1</v>
          </cell>
          <cell r="BB851">
            <v>1</v>
          </cell>
          <cell r="BD851">
            <v>0</v>
          </cell>
          <cell r="BE851" t="str">
            <v>M</v>
          </cell>
          <cell r="BF851" t="str">
            <v>N</v>
          </cell>
          <cell r="BG851">
            <v>11</v>
          </cell>
          <cell r="BH851">
            <v>38353</v>
          </cell>
        </row>
        <row r="852">
          <cell r="A852">
            <v>70532</v>
          </cell>
          <cell r="B852">
            <v>428</v>
          </cell>
          <cell r="C852" t="str">
            <v>C4152</v>
          </cell>
          <cell r="D852" t="str">
            <v>CHARAFI</v>
          </cell>
          <cell r="E852" t="str">
            <v>M'HAMMED</v>
          </cell>
          <cell r="F852">
            <v>17714</v>
          </cell>
          <cell r="G852" t="str">
            <v>6</v>
          </cell>
          <cell r="H852" t="str">
            <v>M'FASSIS - KHOURIBGA</v>
          </cell>
          <cell r="I852" t="str">
            <v>D</v>
          </cell>
          <cell r="J852">
            <v>28614</v>
          </cell>
          <cell r="K852">
            <v>36526</v>
          </cell>
          <cell r="L852" t="str">
            <v>22</v>
          </cell>
          <cell r="M852" t="str">
            <v>A</v>
          </cell>
          <cell r="N852">
            <v>36526</v>
          </cell>
          <cell r="P852">
            <v>24</v>
          </cell>
          <cell r="Q852" t="str">
            <v>O</v>
          </cell>
          <cell r="R852" t="str">
            <v>N</v>
          </cell>
          <cell r="S852">
            <v>0</v>
          </cell>
          <cell r="T852" t="str">
            <v>M</v>
          </cell>
          <cell r="U852" t="str">
            <v>FATNA BENT EL ARBI</v>
          </cell>
          <cell r="X852">
            <v>4</v>
          </cell>
          <cell r="Y852">
            <v>2</v>
          </cell>
          <cell r="AB852" t="str">
            <v>X</v>
          </cell>
          <cell r="AC852" t="str">
            <v>X</v>
          </cell>
          <cell r="AD852" t="str">
            <v>X</v>
          </cell>
          <cell r="AH852" t="str">
            <v>N</v>
          </cell>
          <cell r="AI852" t="str">
            <v>N</v>
          </cell>
          <cell r="AK852" t="str">
            <v>N° 16 DERB 7 - HATTANE</v>
          </cell>
          <cell r="AL852" t="str">
            <v>ILLETTRE</v>
          </cell>
          <cell r="AP852" t="str">
            <v>Q 2973</v>
          </cell>
          <cell r="AQ852">
            <v>0</v>
          </cell>
          <cell r="AR852" t="str">
            <v>B</v>
          </cell>
          <cell r="AS852" t="str">
            <v>C.N.C.A - KHGA</v>
          </cell>
          <cell r="AT852" t="str">
            <v>0806365L601</v>
          </cell>
          <cell r="AU852" t="str">
            <v>/  /</v>
          </cell>
          <cell r="AW852">
            <v>37803</v>
          </cell>
          <cell r="AY852" t="str">
            <v>XX</v>
          </cell>
          <cell r="AZ852" t="str">
            <v>R</v>
          </cell>
          <cell r="BA852" t="str">
            <v>1</v>
          </cell>
          <cell r="BB852">
            <v>1</v>
          </cell>
          <cell r="BD852">
            <v>0</v>
          </cell>
          <cell r="BE852" t="str">
            <v>M</v>
          </cell>
          <cell r="BF852" t="str">
            <v>N</v>
          </cell>
          <cell r="BG852">
            <v>11</v>
          </cell>
          <cell r="BH852">
            <v>37803</v>
          </cell>
          <cell r="BI852" t="str">
            <v>O</v>
          </cell>
        </row>
        <row r="853">
          <cell r="A853">
            <v>70534</v>
          </cell>
          <cell r="B853">
            <v>406</v>
          </cell>
          <cell r="C853" t="str">
            <v>C3152</v>
          </cell>
          <cell r="D853" t="str">
            <v>ES-SARSARI</v>
          </cell>
          <cell r="E853" t="str">
            <v>AHMED</v>
          </cell>
          <cell r="F853">
            <v>19905</v>
          </cell>
          <cell r="G853" t="str">
            <v>1</v>
          </cell>
          <cell r="H853" t="str">
            <v>OULED BHAR KBAR KHOURIBGA</v>
          </cell>
          <cell r="I853" t="str">
            <v>D</v>
          </cell>
          <cell r="J853">
            <v>28614</v>
          </cell>
          <cell r="K853">
            <v>35977</v>
          </cell>
          <cell r="L853" t="str">
            <v>21</v>
          </cell>
          <cell r="M853" t="str">
            <v>A</v>
          </cell>
          <cell r="N853">
            <v>35977</v>
          </cell>
          <cell r="P853">
            <v>24</v>
          </cell>
          <cell r="Q853" t="str">
            <v>O</v>
          </cell>
          <cell r="R853" t="str">
            <v>N</v>
          </cell>
          <cell r="S853">
            <v>0</v>
          </cell>
          <cell r="T853" t="str">
            <v>M</v>
          </cell>
          <cell r="U853" t="str">
            <v>ES-SHAIFI AICHA BT EL MAATI</v>
          </cell>
          <cell r="X853">
            <v>4</v>
          </cell>
          <cell r="Y853">
            <v>4</v>
          </cell>
          <cell r="AB853" t="str">
            <v>N</v>
          </cell>
          <cell r="AC853" t="str">
            <v>X</v>
          </cell>
          <cell r="AD853" t="str">
            <v>X</v>
          </cell>
          <cell r="AH853" t="str">
            <v>N</v>
          </cell>
          <cell r="AI853" t="str">
            <v>N</v>
          </cell>
          <cell r="AK853" t="str">
            <v>N° 1636 QURTIER LE AMAL - KHGA</v>
          </cell>
          <cell r="AL853" t="str">
            <v>ILLETTRE</v>
          </cell>
          <cell r="AP853" t="str">
            <v>Q 14472</v>
          </cell>
          <cell r="AQ853">
            <v>0</v>
          </cell>
          <cell r="AR853" t="str">
            <v>B</v>
          </cell>
          <cell r="AS853" t="str">
            <v>C.I.H - KHGA</v>
          </cell>
          <cell r="AT853" t="str">
            <v>7946445211004700</v>
          </cell>
          <cell r="AU853" t="str">
            <v>/  /</v>
          </cell>
          <cell r="AW853">
            <v>38353</v>
          </cell>
          <cell r="AY853" t="str">
            <v>XX</v>
          </cell>
          <cell r="BA853" t="str">
            <v>1</v>
          </cell>
          <cell r="BB853">
            <v>1</v>
          </cell>
          <cell r="BD853">
            <v>0</v>
          </cell>
          <cell r="BE853" t="str">
            <v>M</v>
          </cell>
          <cell r="BF853" t="str">
            <v>N</v>
          </cell>
          <cell r="BG853">
            <v>4</v>
          </cell>
          <cell r="BH853">
            <v>38353</v>
          </cell>
          <cell r="BI853" t="str">
            <v>O</v>
          </cell>
        </row>
        <row r="854">
          <cell r="A854">
            <v>70537</v>
          </cell>
          <cell r="B854">
            <v>419</v>
          </cell>
          <cell r="C854" t="str">
            <v>C3152</v>
          </cell>
          <cell r="D854" t="str">
            <v>EL HACHIMI EL I</v>
          </cell>
          <cell r="E854" t="str">
            <v>EL HADJ</v>
          </cell>
          <cell r="F854">
            <v>19540</v>
          </cell>
          <cell r="H854" t="str">
            <v>OULED M'RAH - SETTAT</v>
          </cell>
          <cell r="I854" t="str">
            <v>D</v>
          </cell>
          <cell r="J854">
            <v>28614</v>
          </cell>
          <cell r="K854">
            <v>33420</v>
          </cell>
          <cell r="L854" t="str">
            <v>21</v>
          </cell>
          <cell r="M854" t="str">
            <v>A</v>
          </cell>
          <cell r="N854">
            <v>33420</v>
          </cell>
          <cell r="P854">
            <v>24</v>
          </cell>
          <cell r="Q854" t="str">
            <v>O</v>
          </cell>
          <cell r="R854" t="str">
            <v>N</v>
          </cell>
          <cell r="S854">
            <v>0</v>
          </cell>
          <cell r="T854" t="str">
            <v>M</v>
          </cell>
          <cell r="U854" t="str">
            <v>SAADIA BENT LARBI</v>
          </cell>
          <cell r="X854">
            <v>5</v>
          </cell>
          <cell r="Y854">
            <v>5</v>
          </cell>
          <cell r="AB854" t="str">
            <v>X</v>
          </cell>
          <cell r="AC854" t="str">
            <v>X</v>
          </cell>
          <cell r="AD854" t="str">
            <v>X</v>
          </cell>
          <cell r="AH854" t="str">
            <v>N</v>
          </cell>
          <cell r="AI854" t="str">
            <v>N</v>
          </cell>
          <cell r="AK854" t="str">
            <v>45 RUE M'HAMID EL GHIZLANE DB JAAFER KHG</v>
          </cell>
          <cell r="AL854" t="str">
            <v>CM2</v>
          </cell>
          <cell r="AP854" t="str">
            <v>Q 14103</v>
          </cell>
          <cell r="AQ854">
            <v>0</v>
          </cell>
          <cell r="AR854" t="str">
            <v>B</v>
          </cell>
          <cell r="AS854" t="str">
            <v>WAFABANK - KHGA</v>
          </cell>
          <cell r="AT854" t="str">
            <v>1220301315431</v>
          </cell>
          <cell r="AU854" t="str">
            <v>25/06/97</v>
          </cell>
          <cell r="AW854">
            <v>38353</v>
          </cell>
          <cell r="AY854" t="str">
            <v>O+</v>
          </cell>
          <cell r="BA854" t="str">
            <v>1</v>
          </cell>
          <cell r="BB854">
            <v>1</v>
          </cell>
          <cell r="BD854">
            <v>0</v>
          </cell>
          <cell r="BE854" t="str">
            <v>M</v>
          </cell>
          <cell r="BF854" t="str">
            <v>N</v>
          </cell>
          <cell r="BG854">
            <v>4</v>
          </cell>
          <cell r="BH854">
            <v>38353</v>
          </cell>
          <cell r="BI854" t="str">
            <v>O</v>
          </cell>
        </row>
        <row r="855">
          <cell r="A855">
            <v>70538</v>
          </cell>
          <cell r="B855">
            <v>461</v>
          </cell>
          <cell r="C855" t="str">
            <v>C3001</v>
          </cell>
          <cell r="D855" t="str">
            <v>ED-DAMNATY</v>
          </cell>
          <cell r="E855" t="str">
            <v>AHMED</v>
          </cell>
          <cell r="F855">
            <v>19175</v>
          </cell>
          <cell r="G855" t="str">
            <v>1</v>
          </cell>
          <cell r="H855" t="str">
            <v>KHOURIBGA</v>
          </cell>
          <cell r="I855" t="str">
            <v>D</v>
          </cell>
          <cell r="J855">
            <v>28614</v>
          </cell>
          <cell r="K855">
            <v>37012</v>
          </cell>
          <cell r="L855" t="str">
            <v>21</v>
          </cell>
          <cell r="M855" t="str">
            <v>C</v>
          </cell>
          <cell r="N855">
            <v>37012</v>
          </cell>
          <cell r="P855">
            <v>24</v>
          </cell>
          <cell r="Q855" t="str">
            <v>O</v>
          </cell>
          <cell r="R855" t="str">
            <v>N</v>
          </cell>
          <cell r="S855">
            <v>0</v>
          </cell>
          <cell r="T855" t="str">
            <v>M</v>
          </cell>
          <cell r="U855" t="str">
            <v>HAJJA BENT ABDESLAM</v>
          </cell>
          <cell r="X855">
            <v>8</v>
          </cell>
          <cell r="Y855">
            <v>6</v>
          </cell>
          <cell r="AB855" t="str">
            <v>X</v>
          </cell>
          <cell r="AC855" t="str">
            <v>X</v>
          </cell>
          <cell r="AD855" t="str">
            <v>X</v>
          </cell>
          <cell r="AH855" t="str">
            <v>N</v>
          </cell>
          <cell r="AI855" t="str">
            <v>N</v>
          </cell>
          <cell r="AK855" t="str">
            <v>N° 125 P2 EL QODS - KHOURIBGA</v>
          </cell>
          <cell r="AL855" t="str">
            <v>ILLETTRE</v>
          </cell>
          <cell r="AP855" t="str">
            <v>Q 10833</v>
          </cell>
          <cell r="AQ855">
            <v>0</v>
          </cell>
          <cell r="AR855" t="str">
            <v>B</v>
          </cell>
          <cell r="AS855" t="str">
            <v>C.I.H - KHGA</v>
          </cell>
          <cell r="AT855" t="str">
            <v>794246921100470086</v>
          </cell>
          <cell r="AU855" t="str">
            <v>/  /</v>
          </cell>
          <cell r="AW855">
            <v>38353</v>
          </cell>
          <cell r="AY855" t="str">
            <v>XX</v>
          </cell>
          <cell r="BA855" t="str">
            <v>2</v>
          </cell>
          <cell r="BB855">
            <v>1</v>
          </cell>
          <cell r="BD855">
            <v>0</v>
          </cell>
          <cell r="BE855" t="str">
            <v>M</v>
          </cell>
          <cell r="BF855" t="str">
            <v>N</v>
          </cell>
          <cell r="BG855">
            <v>5</v>
          </cell>
          <cell r="BH855">
            <v>38353</v>
          </cell>
        </row>
        <row r="856">
          <cell r="A856">
            <v>70547</v>
          </cell>
          <cell r="B856">
            <v>410</v>
          </cell>
          <cell r="C856" t="str">
            <v>C3020</v>
          </cell>
          <cell r="D856" t="str">
            <v>FAID</v>
          </cell>
          <cell r="E856" t="str">
            <v>EL KBIR</v>
          </cell>
          <cell r="F856">
            <v>19175</v>
          </cell>
          <cell r="G856" t="str">
            <v>1</v>
          </cell>
          <cell r="H856" t="str">
            <v>EL FOKRA</v>
          </cell>
          <cell r="I856" t="str">
            <v>D</v>
          </cell>
          <cell r="J856">
            <v>28615</v>
          </cell>
          <cell r="K856">
            <v>35370</v>
          </cell>
          <cell r="L856" t="str">
            <v>21</v>
          </cell>
          <cell r="M856" t="str">
            <v>B</v>
          </cell>
          <cell r="N856">
            <v>34516</v>
          </cell>
          <cell r="P856">
            <v>24</v>
          </cell>
          <cell r="Q856" t="str">
            <v>N</v>
          </cell>
          <cell r="R856" t="str">
            <v>N</v>
          </cell>
          <cell r="S856">
            <v>0</v>
          </cell>
          <cell r="T856" t="str">
            <v>M</v>
          </cell>
          <cell r="U856" t="str">
            <v>FAID EL AMRIA BENT SALAH</v>
          </cell>
          <cell r="X856">
            <v>4</v>
          </cell>
          <cell r="Y856">
            <v>2</v>
          </cell>
          <cell r="AB856" t="str">
            <v>X</v>
          </cell>
          <cell r="AC856" t="str">
            <v>X</v>
          </cell>
          <cell r="AD856" t="str">
            <v>X</v>
          </cell>
          <cell r="AH856" t="str">
            <v>N</v>
          </cell>
          <cell r="AI856" t="str">
            <v>N</v>
          </cell>
          <cell r="AK856" t="str">
            <v>99 NELLE MEDINA DE SECHAGE KHOURIBGA</v>
          </cell>
          <cell r="AL856" t="str">
            <v>ILLETTRE</v>
          </cell>
          <cell r="AP856" t="str">
            <v>Q 26043</v>
          </cell>
          <cell r="AQ856">
            <v>0</v>
          </cell>
          <cell r="AR856" t="str">
            <v>B</v>
          </cell>
          <cell r="AS856" t="str">
            <v>SGMB - KHGA</v>
          </cell>
          <cell r="AT856" t="str">
            <v>0670009455709</v>
          </cell>
          <cell r="AU856" t="str">
            <v>/  /</v>
          </cell>
          <cell r="AW856">
            <v>38353</v>
          </cell>
          <cell r="AY856" t="str">
            <v>XX</v>
          </cell>
          <cell r="BA856" t="str">
            <v>0</v>
          </cell>
          <cell r="BB856">
            <v>1</v>
          </cell>
          <cell r="BD856">
            <v>0</v>
          </cell>
          <cell r="BE856" t="str">
            <v>M</v>
          </cell>
          <cell r="BF856" t="str">
            <v>N</v>
          </cell>
          <cell r="BG856">
            <v>0</v>
          </cell>
          <cell r="BH856">
            <v>38353</v>
          </cell>
        </row>
        <row r="857">
          <cell r="A857">
            <v>70551</v>
          </cell>
          <cell r="B857">
            <v>419</v>
          </cell>
          <cell r="C857" t="str">
            <v>C3152</v>
          </cell>
          <cell r="D857" t="str">
            <v>EL HACHIMI</v>
          </cell>
          <cell r="E857" t="str">
            <v>MOHAMED</v>
          </cell>
          <cell r="F857">
            <v>19540</v>
          </cell>
          <cell r="H857" t="str">
            <v>OULED M'RAH</v>
          </cell>
          <cell r="I857" t="str">
            <v>D</v>
          </cell>
          <cell r="J857">
            <v>28615</v>
          </cell>
          <cell r="K857">
            <v>37012</v>
          </cell>
          <cell r="L857" t="str">
            <v>21</v>
          </cell>
          <cell r="M857" t="str">
            <v>C</v>
          </cell>
          <cell r="N857">
            <v>37012</v>
          </cell>
          <cell r="P857">
            <v>24</v>
          </cell>
          <cell r="Q857" t="str">
            <v>O</v>
          </cell>
          <cell r="R857" t="str">
            <v>N</v>
          </cell>
          <cell r="S857">
            <v>0</v>
          </cell>
          <cell r="T857" t="str">
            <v>M</v>
          </cell>
          <cell r="U857" t="str">
            <v>NAFAA MALIKA</v>
          </cell>
          <cell r="X857">
            <v>4</v>
          </cell>
          <cell r="Y857">
            <v>4</v>
          </cell>
          <cell r="AB857" t="str">
            <v>X</v>
          </cell>
          <cell r="AC857" t="str">
            <v>X</v>
          </cell>
          <cell r="AD857" t="str">
            <v>X</v>
          </cell>
          <cell r="AH857" t="str">
            <v>N</v>
          </cell>
          <cell r="AI857" t="str">
            <v>N</v>
          </cell>
          <cell r="AK857" t="str">
            <v>77 NOUVELLE MEDINA SECHAGE - KHGA</v>
          </cell>
          <cell r="AL857" t="str">
            <v>ILLETTRE</v>
          </cell>
          <cell r="AP857" t="str">
            <v>Q 52445</v>
          </cell>
          <cell r="AQ857">
            <v>0</v>
          </cell>
          <cell r="AR857" t="str">
            <v>B</v>
          </cell>
          <cell r="AS857" t="str">
            <v>POPULAIRE.KHGA</v>
          </cell>
          <cell r="AT857" t="str">
            <v>2111136306870001</v>
          </cell>
          <cell r="AU857" t="str">
            <v>/  /</v>
          </cell>
          <cell r="AW857">
            <v>38353</v>
          </cell>
          <cell r="AY857" t="str">
            <v>XX</v>
          </cell>
          <cell r="BA857" t="str">
            <v>1</v>
          </cell>
          <cell r="BB857">
            <v>1</v>
          </cell>
          <cell r="BD857">
            <v>0</v>
          </cell>
          <cell r="BE857" t="str">
            <v>M</v>
          </cell>
          <cell r="BF857" t="str">
            <v>N</v>
          </cell>
          <cell r="BG857">
            <v>1</v>
          </cell>
          <cell r="BH857">
            <v>38353</v>
          </cell>
        </row>
        <row r="858">
          <cell r="A858">
            <v>70562</v>
          </cell>
          <cell r="B858">
            <v>468</v>
          </cell>
          <cell r="C858" t="str">
            <v>C3200</v>
          </cell>
          <cell r="D858" t="str">
            <v>HABAL</v>
          </cell>
          <cell r="E858" t="str">
            <v>LARBI</v>
          </cell>
          <cell r="F858">
            <v>18079</v>
          </cell>
          <cell r="G858" t="str">
            <v>2</v>
          </cell>
          <cell r="H858" t="str">
            <v>BENI SMIR</v>
          </cell>
          <cell r="I858" t="str">
            <v>D</v>
          </cell>
          <cell r="J858">
            <v>28618</v>
          </cell>
          <cell r="K858">
            <v>37012</v>
          </cell>
          <cell r="L858" t="str">
            <v>21</v>
          </cell>
          <cell r="M858" t="str">
            <v>A</v>
          </cell>
          <cell r="N858">
            <v>37012</v>
          </cell>
          <cell r="P858">
            <v>24</v>
          </cell>
          <cell r="Q858" t="str">
            <v>O</v>
          </cell>
          <cell r="R858" t="str">
            <v>N</v>
          </cell>
          <cell r="S858">
            <v>0</v>
          </cell>
          <cell r="T858" t="str">
            <v>M</v>
          </cell>
          <cell r="U858" t="str">
            <v>MINA BENT OMAR</v>
          </cell>
          <cell r="X858">
            <v>7</v>
          </cell>
          <cell r="Y858">
            <v>2</v>
          </cell>
          <cell r="AB858" t="str">
            <v>X</v>
          </cell>
          <cell r="AC858" t="str">
            <v>X</v>
          </cell>
          <cell r="AD858" t="str">
            <v>X</v>
          </cell>
          <cell r="AH858" t="str">
            <v>N</v>
          </cell>
          <cell r="AI858" t="str">
            <v>N</v>
          </cell>
          <cell r="AK858" t="str">
            <v>45 RUE 13 KOREA OUED ZEM</v>
          </cell>
          <cell r="AL858" t="str">
            <v>ILLETTRE</v>
          </cell>
          <cell r="AP858" t="str">
            <v>Q 18421</v>
          </cell>
          <cell r="AQ858">
            <v>0</v>
          </cell>
          <cell r="AR858" t="str">
            <v>B</v>
          </cell>
          <cell r="AS858" t="str">
            <v>POPULAIRE -O.ZEM</v>
          </cell>
          <cell r="AT858" t="str">
            <v>2111173325700000</v>
          </cell>
          <cell r="AU858" t="str">
            <v>/  /</v>
          </cell>
          <cell r="AW858">
            <v>38169</v>
          </cell>
          <cell r="AY858" t="str">
            <v>XX</v>
          </cell>
          <cell r="BA858" t="str">
            <v>1</v>
          </cell>
          <cell r="BB858">
            <v>1</v>
          </cell>
          <cell r="BD858">
            <v>0</v>
          </cell>
          <cell r="BE858" t="str">
            <v>M</v>
          </cell>
          <cell r="BF858" t="str">
            <v>N</v>
          </cell>
          <cell r="BG858">
            <v>31</v>
          </cell>
          <cell r="BH858">
            <v>38169</v>
          </cell>
        </row>
        <row r="859">
          <cell r="A859">
            <v>70564</v>
          </cell>
          <cell r="B859">
            <v>421</v>
          </cell>
          <cell r="C859" t="str">
            <v>C4152</v>
          </cell>
          <cell r="D859" t="str">
            <v>SADRAOUI</v>
          </cell>
          <cell r="E859" t="str">
            <v>M'HAMED</v>
          </cell>
          <cell r="F859">
            <v>19540</v>
          </cell>
          <cell r="H859" t="str">
            <v>OULED M'HAMED - SETTAT</v>
          </cell>
          <cell r="I859" t="str">
            <v>D</v>
          </cell>
          <cell r="J859">
            <v>28620</v>
          </cell>
          <cell r="K859">
            <v>36526</v>
          </cell>
          <cell r="L859" t="str">
            <v>22</v>
          </cell>
          <cell r="M859" t="str">
            <v>A</v>
          </cell>
          <cell r="N859">
            <v>36526</v>
          </cell>
          <cell r="P859">
            <v>24</v>
          </cell>
          <cell r="Q859" t="str">
            <v>O</v>
          </cell>
          <cell r="R859" t="str">
            <v>N</v>
          </cell>
          <cell r="S859">
            <v>0</v>
          </cell>
          <cell r="T859" t="str">
            <v>M</v>
          </cell>
          <cell r="U859" t="str">
            <v>SAADIA BENT LABSIR</v>
          </cell>
          <cell r="X859">
            <v>4</v>
          </cell>
          <cell r="Y859">
            <v>4</v>
          </cell>
          <cell r="AB859" t="str">
            <v>X</v>
          </cell>
          <cell r="AC859" t="str">
            <v>X</v>
          </cell>
          <cell r="AD859" t="str">
            <v>X</v>
          </cell>
          <cell r="AH859" t="str">
            <v>N</v>
          </cell>
          <cell r="AI859" t="str">
            <v>N</v>
          </cell>
          <cell r="AK859" t="str">
            <v>357 NELLE MEDINA DE SECHAGE KHOURIBGA</v>
          </cell>
          <cell r="AL859" t="str">
            <v>ILLETTRE</v>
          </cell>
          <cell r="AP859" t="str">
            <v>Q 58175</v>
          </cell>
          <cell r="AQ859">
            <v>0</v>
          </cell>
          <cell r="AR859" t="str">
            <v>C</v>
          </cell>
          <cell r="AU859" t="str">
            <v>/  /</v>
          </cell>
          <cell r="AW859">
            <v>38353</v>
          </cell>
          <cell r="AY859" t="str">
            <v>XX</v>
          </cell>
          <cell r="BA859" t="str">
            <v>1</v>
          </cell>
          <cell r="BB859">
            <v>1</v>
          </cell>
          <cell r="BD859">
            <v>0</v>
          </cell>
          <cell r="BE859" t="str">
            <v>M</v>
          </cell>
          <cell r="BF859" t="str">
            <v>N</v>
          </cell>
          <cell r="BG859">
            <v>4</v>
          </cell>
          <cell r="BH859">
            <v>38353</v>
          </cell>
        </row>
        <row r="860">
          <cell r="A860">
            <v>70565</v>
          </cell>
          <cell r="B860">
            <v>428</v>
          </cell>
          <cell r="C860" t="str">
            <v>C3050</v>
          </cell>
          <cell r="D860" t="str">
            <v>ALAMNI</v>
          </cell>
          <cell r="E860" t="str">
            <v>EL KBIR</v>
          </cell>
          <cell r="F860">
            <v>19175</v>
          </cell>
          <cell r="G860" t="str">
            <v>3</v>
          </cell>
          <cell r="H860" t="str">
            <v>BOUJNIBA</v>
          </cell>
          <cell r="I860" t="str">
            <v>D</v>
          </cell>
          <cell r="J860">
            <v>28618</v>
          </cell>
          <cell r="K860">
            <v>36526</v>
          </cell>
          <cell r="L860" t="str">
            <v>21</v>
          </cell>
          <cell r="M860" t="str">
            <v>B</v>
          </cell>
          <cell r="N860">
            <v>36526</v>
          </cell>
          <cell r="P860">
            <v>24</v>
          </cell>
          <cell r="Q860" t="str">
            <v>O</v>
          </cell>
          <cell r="R860" t="str">
            <v>N</v>
          </cell>
          <cell r="S860">
            <v>0</v>
          </cell>
          <cell r="T860" t="str">
            <v>M</v>
          </cell>
          <cell r="U860" t="str">
            <v>KRAYEA RACHIDA BENT AHMED</v>
          </cell>
          <cell r="X860">
            <v>4</v>
          </cell>
          <cell r="Y860">
            <v>3</v>
          </cell>
          <cell r="AB860" t="str">
            <v>X</v>
          </cell>
          <cell r="AC860" t="str">
            <v>X</v>
          </cell>
          <cell r="AD860" t="str">
            <v>X</v>
          </cell>
          <cell r="AH860" t="str">
            <v>N</v>
          </cell>
          <cell r="AI860" t="str">
            <v>N</v>
          </cell>
          <cell r="AK860" t="str">
            <v>96 VILLAGE OCP OUED ZEM</v>
          </cell>
          <cell r="AL860" t="str">
            <v>ILLETTRE</v>
          </cell>
          <cell r="AP860" t="str">
            <v>Q 20282</v>
          </cell>
          <cell r="AQ860">
            <v>0</v>
          </cell>
          <cell r="AR860" t="str">
            <v>B</v>
          </cell>
          <cell r="AS860" t="str">
            <v>BMCE.OUED ZEM</v>
          </cell>
          <cell r="AT860" t="str">
            <v>41101200000460507</v>
          </cell>
          <cell r="AU860" t="str">
            <v>/  /</v>
          </cell>
          <cell r="AW860">
            <v>38353</v>
          </cell>
          <cell r="AY860" t="str">
            <v>XX</v>
          </cell>
          <cell r="BA860" t="str">
            <v>2</v>
          </cell>
          <cell r="BB860">
            <v>1</v>
          </cell>
          <cell r="BD860">
            <v>0</v>
          </cell>
          <cell r="BE860" t="str">
            <v>M</v>
          </cell>
          <cell r="BF860" t="str">
            <v>N</v>
          </cell>
          <cell r="BG860">
            <v>30</v>
          </cell>
          <cell r="BH860">
            <v>38353</v>
          </cell>
        </row>
        <row r="861">
          <cell r="A861">
            <v>70567</v>
          </cell>
          <cell r="B861">
            <v>421</v>
          </cell>
          <cell r="C861" t="str">
            <v>C3152</v>
          </cell>
          <cell r="D861" t="str">
            <v>YOUSSFI</v>
          </cell>
          <cell r="E861" t="str">
            <v>MOHAMED</v>
          </cell>
          <cell r="F861">
            <v>18444</v>
          </cell>
          <cell r="H861" t="str">
            <v>EL AOULED</v>
          </cell>
          <cell r="I861" t="str">
            <v>D</v>
          </cell>
          <cell r="J861">
            <v>28618</v>
          </cell>
          <cell r="K861">
            <v>35096</v>
          </cell>
          <cell r="L861" t="str">
            <v>21</v>
          </cell>
          <cell r="M861" t="str">
            <v>B</v>
          </cell>
          <cell r="N861">
            <v>35096</v>
          </cell>
          <cell r="P861">
            <v>24</v>
          </cell>
          <cell r="Q861" t="str">
            <v>O</v>
          </cell>
          <cell r="R861" t="str">
            <v>N</v>
          </cell>
          <cell r="S861">
            <v>0</v>
          </cell>
          <cell r="T861" t="str">
            <v>M</v>
          </cell>
          <cell r="U861" t="str">
            <v>FATIMA BENT RAHAL</v>
          </cell>
          <cell r="X861">
            <v>8</v>
          </cell>
          <cell r="Y861">
            <v>2</v>
          </cell>
          <cell r="AB861" t="str">
            <v>X</v>
          </cell>
          <cell r="AC861" t="str">
            <v>X</v>
          </cell>
          <cell r="AD861" t="str">
            <v>X</v>
          </cell>
          <cell r="AH861" t="str">
            <v>O</v>
          </cell>
          <cell r="AI861" t="str">
            <v>N</v>
          </cell>
          <cell r="AK861" t="str">
            <v>185 NOUVEAUX LOGEMENTS SECHAGE KHGA</v>
          </cell>
          <cell r="AL861" t="str">
            <v>ILLETTRE</v>
          </cell>
          <cell r="AP861" t="str">
            <v>W 16007</v>
          </cell>
          <cell r="AQ861">
            <v>0</v>
          </cell>
          <cell r="AR861" t="str">
            <v>C</v>
          </cell>
          <cell r="AU861" t="str">
            <v>/  /</v>
          </cell>
          <cell r="AW861">
            <v>38353</v>
          </cell>
          <cell r="AY861" t="str">
            <v>XX</v>
          </cell>
          <cell r="BA861" t="str">
            <v>1</v>
          </cell>
          <cell r="BB861">
            <v>1</v>
          </cell>
          <cell r="BD861">
            <v>0</v>
          </cell>
          <cell r="BE861" t="str">
            <v>M</v>
          </cell>
          <cell r="BF861" t="str">
            <v>N</v>
          </cell>
          <cell r="BG861">
            <v>4</v>
          </cell>
          <cell r="BH861">
            <v>38353</v>
          </cell>
        </row>
        <row r="862">
          <cell r="A862">
            <v>70575</v>
          </cell>
          <cell r="B862">
            <v>468</v>
          </cell>
          <cell r="C862" t="str">
            <v>C2000</v>
          </cell>
          <cell r="D862" t="str">
            <v>BOUAZYZ</v>
          </cell>
          <cell r="E862" t="str">
            <v>MOHAMED</v>
          </cell>
          <cell r="F862">
            <v>19540</v>
          </cell>
          <cell r="G862" t="str">
            <v>6</v>
          </cell>
          <cell r="H862" t="str">
            <v>OULED AZZOUZ - KHOURIBGA</v>
          </cell>
          <cell r="I862" t="str">
            <v>D</v>
          </cell>
          <cell r="J862">
            <v>28618</v>
          </cell>
          <cell r="K862">
            <v>30834</v>
          </cell>
          <cell r="L862" t="str">
            <v>12</v>
          </cell>
          <cell r="M862" t="str">
            <v>C</v>
          </cell>
          <cell r="N862">
            <v>34516</v>
          </cell>
          <cell r="P862">
            <v>24</v>
          </cell>
          <cell r="Q862" t="str">
            <v>O</v>
          </cell>
          <cell r="R862" t="str">
            <v>N</v>
          </cell>
          <cell r="S862">
            <v>0</v>
          </cell>
          <cell r="T862" t="str">
            <v>M</v>
          </cell>
          <cell r="U862" t="str">
            <v>BAJDI ZAHRA</v>
          </cell>
          <cell r="V862" t="str">
            <v>FAIZA BT AHMED</v>
          </cell>
          <cell r="X862">
            <v>6</v>
          </cell>
          <cell r="Y862">
            <v>3</v>
          </cell>
          <cell r="AB862" t="str">
            <v>X</v>
          </cell>
          <cell r="AC862" t="str">
            <v>X</v>
          </cell>
          <cell r="AD862" t="str">
            <v>X</v>
          </cell>
          <cell r="AH862" t="str">
            <v>N</v>
          </cell>
          <cell r="AI862" t="str">
            <v>N</v>
          </cell>
          <cell r="AK862" t="str">
            <v>51 VILLAGE OCP OUED ZEM</v>
          </cell>
          <cell r="AL862" t="str">
            <v>ILLETTRE</v>
          </cell>
          <cell r="AP862" t="str">
            <v>Q 37886</v>
          </cell>
          <cell r="AQ862">
            <v>0</v>
          </cell>
          <cell r="AR862" t="str">
            <v>B</v>
          </cell>
          <cell r="AS862" t="str">
            <v>POPULAIRE.O-ZEM</v>
          </cell>
          <cell r="AT862" t="str">
            <v>2111113072430005</v>
          </cell>
          <cell r="AU862" t="str">
            <v>/  /</v>
          </cell>
          <cell r="AW862">
            <v>38353</v>
          </cell>
          <cell r="AY862" t="str">
            <v>XX</v>
          </cell>
          <cell r="BA862" t="str">
            <v>1</v>
          </cell>
          <cell r="BB862">
            <v>1</v>
          </cell>
          <cell r="BD862">
            <v>0</v>
          </cell>
          <cell r="BE862" t="str">
            <v>M</v>
          </cell>
          <cell r="BF862" t="str">
            <v>N</v>
          </cell>
          <cell r="BG862">
            <v>31</v>
          </cell>
          <cell r="BH862">
            <v>38353</v>
          </cell>
        </row>
        <row r="863">
          <cell r="A863">
            <v>70581</v>
          </cell>
          <cell r="B863">
            <v>468</v>
          </cell>
          <cell r="C863" t="str">
            <v>C3152</v>
          </cell>
          <cell r="D863" t="str">
            <v>BAKRAOUI</v>
          </cell>
          <cell r="E863" t="str">
            <v>EL MATI</v>
          </cell>
          <cell r="F863">
            <v>18444</v>
          </cell>
          <cell r="G863" t="str">
            <v>1</v>
          </cell>
          <cell r="H863" t="str">
            <v>OULED BHAR KBAR KHOURIBGA</v>
          </cell>
          <cell r="I863" t="str">
            <v>D</v>
          </cell>
          <cell r="J863">
            <v>28619</v>
          </cell>
          <cell r="K863">
            <v>35096</v>
          </cell>
          <cell r="L863" t="str">
            <v>21</v>
          </cell>
          <cell r="M863" t="str">
            <v>A</v>
          </cell>
          <cell r="N863">
            <v>35096</v>
          </cell>
          <cell r="P863">
            <v>24</v>
          </cell>
          <cell r="Q863" t="str">
            <v>O</v>
          </cell>
          <cell r="R863" t="str">
            <v>N</v>
          </cell>
          <cell r="S863">
            <v>0</v>
          </cell>
          <cell r="T863" t="str">
            <v>M</v>
          </cell>
          <cell r="U863" t="str">
            <v>ZAAIR ZAHRA BENT AHMED</v>
          </cell>
          <cell r="X863">
            <v>6</v>
          </cell>
          <cell r="Y863">
            <v>6</v>
          </cell>
          <cell r="AB863" t="str">
            <v>X</v>
          </cell>
          <cell r="AC863" t="str">
            <v>X</v>
          </cell>
          <cell r="AD863" t="str">
            <v>X</v>
          </cell>
          <cell r="AH863" t="str">
            <v>N</v>
          </cell>
          <cell r="AI863" t="str">
            <v>N</v>
          </cell>
          <cell r="AK863" t="str">
            <v>LOTISSEMENT D'ETAT N°231 BIR MEZOUI</v>
          </cell>
          <cell r="AL863" t="str">
            <v>ILLETTRE</v>
          </cell>
          <cell r="AP863" t="str">
            <v>Q 76333</v>
          </cell>
          <cell r="AQ863">
            <v>0</v>
          </cell>
          <cell r="AR863" t="str">
            <v>C</v>
          </cell>
          <cell r="AU863" t="str">
            <v>/  /</v>
          </cell>
          <cell r="AW863">
            <v>38353</v>
          </cell>
          <cell r="AY863" t="str">
            <v>XX</v>
          </cell>
          <cell r="BA863" t="str">
            <v>1</v>
          </cell>
          <cell r="BB863">
            <v>1</v>
          </cell>
          <cell r="BD863">
            <v>0</v>
          </cell>
          <cell r="BE863" t="str">
            <v>M</v>
          </cell>
          <cell r="BF863" t="str">
            <v>N</v>
          </cell>
          <cell r="BG863">
            <v>60</v>
          </cell>
          <cell r="BH863">
            <v>38353</v>
          </cell>
        </row>
        <row r="864">
          <cell r="A864">
            <v>70583</v>
          </cell>
          <cell r="B864">
            <v>468</v>
          </cell>
          <cell r="C864" t="str">
            <v>C2000</v>
          </cell>
          <cell r="D864" t="str">
            <v>LAFDALI</v>
          </cell>
          <cell r="E864" t="str">
            <v>SALAH</v>
          </cell>
          <cell r="F864">
            <v>19085</v>
          </cell>
          <cell r="G864" t="str">
            <v>2</v>
          </cell>
          <cell r="H864" t="str">
            <v>BENI SMIR</v>
          </cell>
          <cell r="I864" t="str">
            <v>D</v>
          </cell>
          <cell r="J864">
            <v>28619</v>
          </cell>
          <cell r="K864">
            <v>30834</v>
          </cell>
          <cell r="L864" t="str">
            <v>12</v>
          </cell>
          <cell r="M864" t="str">
            <v>E</v>
          </cell>
          <cell r="N864">
            <v>35612</v>
          </cell>
          <cell r="P864">
            <v>24</v>
          </cell>
          <cell r="Q864" t="str">
            <v>O</v>
          </cell>
          <cell r="R864" t="str">
            <v>N</v>
          </cell>
          <cell r="S864">
            <v>0</v>
          </cell>
          <cell r="T864" t="str">
            <v>M</v>
          </cell>
          <cell r="U864" t="str">
            <v>FATIHA BENT BOUABID</v>
          </cell>
          <cell r="X864">
            <v>4</v>
          </cell>
          <cell r="Y864">
            <v>4</v>
          </cell>
          <cell r="AB864" t="str">
            <v>X</v>
          </cell>
          <cell r="AC864" t="str">
            <v>X</v>
          </cell>
          <cell r="AD864" t="str">
            <v>X</v>
          </cell>
          <cell r="AH864" t="str">
            <v>N</v>
          </cell>
          <cell r="AI864" t="str">
            <v>N</v>
          </cell>
          <cell r="AK864" t="str">
            <v>90 VILLAGE OCP OUED ZEM</v>
          </cell>
          <cell r="AL864" t="str">
            <v>ILLETTRE</v>
          </cell>
          <cell r="AP864" t="str">
            <v>Q 66037</v>
          </cell>
          <cell r="AQ864">
            <v>0</v>
          </cell>
          <cell r="AR864" t="str">
            <v>C</v>
          </cell>
          <cell r="AU864" t="str">
            <v>/  /</v>
          </cell>
          <cell r="AW864">
            <v>38353</v>
          </cell>
          <cell r="AY864" t="str">
            <v>XX</v>
          </cell>
          <cell r="BA864" t="str">
            <v>1</v>
          </cell>
          <cell r="BB864">
            <v>1</v>
          </cell>
          <cell r="BD864">
            <v>0</v>
          </cell>
          <cell r="BE864" t="str">
            <v>M</v>
          </cell>
          <cell r="BF864" t="str">
            <v>N</v>
          </cell>
          <cell r="BG864">
            <v>31</v>
          </cell>
          <cell r="BH864">
            <v>38353</v>
          </cell>
        </row>
        <row r="865">
          <cell r="A865">
            <v>70584</v>
          </cell>
          <cell r="B865">
            <v>411</v>
          </cell>
          <cell r="C865" t="str">
            <v>C2001</v>
          </cell>
          <cell r="D865" t="str">
            <v>BERD</v>
          </cell>
          <cell r="E865" t="str">
            <v>ABDELLAH</v>
          </cell>
          <cell r="F865">
            <v>19905</v>
          </cell>
          <cell r="G865" t="str">
            <v>1</v>
          </cell>
          <cell r="H865" t="str">
            <v>EL FOKRA - KHOURIBGA</v>
          </cell>
          <cell r="I865" t="str">
            <v>D</v>
          </cell>
          <cell r="J865">
            <v>28619</v>
          </cell>
          <cell r="K865">
            <v>30834</v>
          </cell>
          <cell r="L865" t="str">
            <v>12</v>
          </cell>
          <cell r="M865" t="str">
            <v>D</v>
          </cell>
          <cell r="N865">
            <v>35612</v>
          </cell>
          <cell r="P865">
            <v>24</v>
          </cell>
          <cell r="Q865" t="str">
            <v>O</v>
          </cell>
          <cell r="R865" t="str">
            <v>N</v>
          </cell>
          <cell r="S865">
            <v>0</v>
          </cell>
          <cell r="T865" t="str">
            <v>M</v>
          </cell>
          <cell r="U865" t="str">
            <v>SALHA BENT ABDELKBIR</v>
          </cell>
          <cell r="X865">
            <v>6</v>
          </cell>
          <cell r="Y865">
            <v>6</v>
          </cell>
          <cell r="AB865" t="str">
            <v>X</v>
          </cell>
          <cell r="AC865" t="str">
            <v>X</v>
          </cell>
          <cell r="AD865" t="str">
            <v>X</v>
          </cell>
          <cell r="AH865" t="str">
            <v>N</v>
          </cell>
          <cell r="AI865" t="str">
            <v>N</v>
          </cell>
          <cell r="AK865" t="str">
            <v>307 VILLAGE O.C.P BOULANOUAR</v>
          </cell>
          <cell r="AL865" t="str">
            <v>ILLETTRE</v>
          </cell>
          <cell r="AP865" t="str">
            <v>Q 67174</v>
          </cell>
          <cell r="AQ865">
            <v>0</v>
          </cell>
          <cell r="AR865" t="str">
            <v>C</v>
          </cell>
          <cell r="AU865" t="str">
            <v>/  /</v>
          </cell>
          <cell r="AW865">
            <v>38353</v>
          </cell>
          <cell r="AY865" t="str">
            <v>XX</v>
          </cell>
          <cell r="AZ865" t="str">
            <v>K</v>
          </cell>
          <cell r="BA865" t="str">
            <v>2</v>
          </cell>
          <cell r="BB865">
            <v>1</v>
          </cell>
          <cell r="BD865">
            <v>0</v>
          </cell>
          <cell r="BE865" t="str">
            <v>M</v>
          </cell>
          <cell r="BF865" t="str">
            <v>N</v>
          </cell>
          <cell r="BG865">
            <v>40</v>
          </cell>
          <cell r="BH865">
            <v>38353</v>
          </cell>
        </row>
        <row r="866">
          <cell r="A866">
            <v>70589</v>
          </cell>
          <cell r="B866">
            <v>468</v>
          </cell>
          <cell r="C866" t="str">
            <v>C3152</v>
          </cell>
          <cell r="D866" t="str">
            <v>ABIDATE</v>
          </cell>
          <cell r="E866" t="str">
            <v>MOHAMED</v>
          </cell>
          <cell r="F866">
            <v>18809</v>
          </cell>
          <cell r="G866" t="str">
            <v>1</v>
          </cell>
          <cell r="H866" t="str">
            <v>OULED BHAR KBAR KHOURIBGA</v>
          </cell>
          <cell r="I866" t="str">
            <v>D</v>
          </cell>
          <cell r="J866">
            <v>28620</v>
          </cell>
          <cell r="K866">
            <v>33420</v>
          </cell>
          <cell r="L866" t="str">
            <v>21</v>
          </cell>
          <cell r="M866" t="str">
            <v>A</v>
          </cell>
          <cell r="N866">
            <v>33420</v>
          </cell>
          <cell r="P866">
            <v>24</v>
          </cell>
          <cell r="Q866" t="str">
            <v>O</v>
          </cell>
          <cell r="R866" t="str">
            <v>N</v>
          </cell>
          <cell r="S866">
            <v>0</v>
          </cell>
          <cell r="T866" t="str">
            <v>M</v>
          </cell>
          <cell r="U866" t="str">
            <v>OUARRAK FATIMA</v>
          </cell>
          <cell r="X866">
            <v>5</v>
          </cell>
          <cell r="Y866">
            <v>3</v>
          </cell>
          <cell r="AB866" t="str">
            <v>X</v>
          </cell>
          <cell r="AC866" t="str">
            <v>X</v>
          </cell>
          <cell r="AD866" t="str">
            <v>X</v>
          </cell>
          <cell r="AH866" t="str">
            <v>N</v>
          </cell>
          <cell r="AI866" t="str">
            <v>N</v>
          </cell>
          <cell r="AK866" t="str">
            <v>276 DERB 2 - BOUJNIBA</v>
          </cell>
          <cell r="AL866" t="str">
            <v>ILLETTRE</v>
          </cell>
          <cell r="AP866" t="str">
            <v>Q 80469</v>
          </cell>
          <cell r="AQ866">
            <v>0</v>
          </cell>
          <cell r="AR866" t="str">
            <v>B</v>
          </cell>
          <cell r="AS866" t="str">
            <v>POPULAIRE - KHGA</v>
          </cell>
          <cell r="AT866" t="str">
            <v>211112884630000</v>
          </cell>
          <cell r="AU866" t="str">
            <v>/  /</v>
          </cell>
          <cell r="AW866">
            <v>38353</v>
          </cell>
          <cell r="AY866" t="str">
            <v>XX</v>
          </cell>
          <cell r="BA866" t="str">
            <v>1</v>
          </cell>
          <cell r="BB866">
            <v>1</v>
          </cell>
          <cell r="BD866">
            <v>0</v>
          </cell>
          <cell r="BE866" t="str">
            <v>M</v>
          </cell>
          <cell r="BF866" t="str">
            <v>N</v>
          </cell>
          <cell r="BG866">
            <v>51</v>
          </cell>
          <cell r="BH866">
            <v>38353</v>
          </cell>
          <cell r="BI866" t="str">
            <v>O</v>
          </cell>
        </row>
        <row r="867">
          <cell r="A867">
            <v>70591</v>
          </cell>
          <cell r="B867">
            <v>468</v>
          </cell>
          <cell r="C867" t="str">
            <v>C2000</v>
          </cell>
          <cell r="D867" t="str">
            <v>ARSALANE</v>
          </cell>
          <cell r="E867" t="str">
            <v>BOUZEKRI</v>
          </cell>
          <cell r="F867">
            <v>20370</v>
          </cell>
          <cell r="G867" t="str">
            <v>2</v>
          </cell>
          <cell r="H867" t="str">
            <v>OUED-ZEM</v>
          </cell>
          <cell r="I867" t="str">
            <v>D</v>
          </cell>
          <cell r="J867">
            <v>28619</v>
          </cell>
          <cell r="K867">
            <v>30834</v>
          </cell>
          <cell r="L867" t="str">
            <v>12</v>
          </cell>
          <cell r="M867" t="str">
            <v>E</v>
          </cell>
          <cell r="N867">
            <v>35612</v>
          </cell>
          <cell r="P867">
            <v>24</v>
          </cell>
          <cell r="Q867" t="str">
            <v>O</v>
          </cell>
          <cell r="R867" t="str">
            <v>N</v>
          </cell>
          <cell r="S867">
            <v>0</v>
          </cell>
          <cell r="T867" t="str">
            <v>M</v>
          </cell>
          <cell r="U867" t="str">
            <v>BEL HADDAD ZAHRA BENT AZZOUZ</v>
          </cell>
          <cell r="X867">
            <v>6</v>
          </cell>
          <cell r="Y867">
            <v>3</v>
          </cell>
          <cell r="AB867" t="str">
            <v>X</v>
          </cell>
          <cell r="AC867" t="str">
            <v>X</v>
          </cell>
          <cell r="AD867" t="str">
            <v>X</v>
          </cell>
          <cell r="AH867" t="str">
            <v>N</v>
          </cell>
          <cell r="AI867" t="str">
            <v>N</v>
          </cell>
          <cell r="AK867" t="str">
            <v>9  HAY OUED EDDAHABB - OUED ZEM</v>
          </cell>
          <cell r="AL867" t="str">
            <v>ILLETTRE</v>
          </cell>
          <cell r="AP867" t="str">
            <v>Q 21435</v>
          </cell>
          <cell r="AQ867">
            <v>0</v>
          </cell>
          <cell r="AR867" t="str">
            <v>B</v>
          </cell>
          <cell r="AS867" t="str">
            <v>POPULAIRE.O.ZEM</v>
          </cell>
          <cell r="AT867" t="str">
            <v>2111113063200003</v>
          </cell>
          <cell r="AU867" t="str">
            <v>/  /</v>
          </cell>
          <cell r="AW867">
            <v>38718</v>
          </cell>
          <cell r="AY867" t="str">
            <v>XX</v>
          </cell>
          <cell r="BA867" t="str">
            <v>1</v>
          </cell>
          <cell r="BB867">
            <v>1</v>
          </cell>
          <cell r="BD867">
            <v>0</v>
          </cell>
          <cell r="BE867" t="str">
            <v>M</v>
          </cell>
          <cell r="BF867" t="str">
            <v>N</v>
          </cell>
          <cell r="BG867">
            <v>31</v>
          </cell>
          <cell r="BH867">
            <v>38718</v>
          </cell>
          <cell r="BI867" t="str">
            <v>O</v>
          </cell>
        </row>
        <row r="868">
          <cell r="A868">
            <v>70592</v>
          </cell>
          <cell r="B868">
            <v>468</v>
          </cell>
          <cell r="C868" t="str">
            <v>C2152</v>
          </cell>
          <cell r="D868" t="str">
            <v>BOUSLIM</v>
          </cell>
          <cell r="E868" t="str">
            <v>M'HAMED</v>
          </cell>
          <cell r="F868">
            <v>19540</v>
          </cell>
          <cell r="G868" t="str">
            <v>1</v>
          </cell>
          <cell r="H868" t="str">
            <v>OULED BHAR KBAR KHOURIBGA</v>
          </cell>
          <cell r="I868" t="str">
            <v>D</v>
          </cell>
          <cell r="J868">
            <v>28620</v>
          </cell>
          <cell r="K868">
            <v>30834</v>
          </cell>
          <cell r="L868" t="str">
            <v>12</v>
          </cell>
          <cell r="M868" t="str">
            <v>C</v>
          </cell>
          <cell r="N868">
            <v>35217</v>
          </cell>
          <cell r="P868">
            <v>24</v>
          </cell>
          <cell r="Q868" t="str">
            <v>O</v>
          </cell>
          <cell r="R868" t="str">
            <v>N</v>
          </cell>
          <cell r="S868">
            <v>0</v>
          </cell>
          <cell r="T868" t="str">
            <v>M</v>
          </cell>
          <cell r="U868" t="str">
            <v>AICHA BENT MAATI</v>
          </cell>
          <cell r="X868">
            <v>8</v>
          </cell>
          <cell r="Y868">
            <v>5</v>
          </cell>
          <cell r="AB868" t="str">
            <v>X</v>
          </cell>
          <cell r="AC868" t="str">
            <v>X</v>
          </cell>
          <cell r="AD868" t="str">
            <v>X</v>
          </cell>
          <cell r="AH868" t="str">
            <v>N</v>
          </cell>
          <cell r="AI868" t="str">
            <v>N</v>
          </cell>
          <cell r="AK868" t="str">
            <v>37 VILLAGE OCP - OUED ZEM</v>
          </cell>
          <cell r="AL868" t="str">
            <v>ILLETTRE</v>
          </cell>
          <cell r="AP868" t="str">
            <v>Q 52519</v>
          </cell>
          <cell r="AQ868">
            <v>0</v>
          </cell>
          <cell r="AR868" t="str">
            <v>B</v>
          </cell>
          <cell r="AS868" t="str">
            <v>C.N.C.A   KHGA</v>
          </cell>
          <cell r="AT868" t="str">
            <v>0805446D</v>
          </cell>
          <cell r="AU868" t="str">
            <v>/  /</v>
          </cell>
          <cell r="AW868">
            <v>38353</v>
          </cell>
          <cell r="AY868" t="str">
            <v>XX</v>
          </cell>
          <cell r="BA868" t="str">
            <v>1</v>
          </cell>
          <cell r="BB868">
            <v>1</v>
          </cell>
          <cell r="BD868">
            <v>0</v>
          </cell>
          <cell r="BE868" t="str">
            <v>M</v>
          </cell>
          <cell r="BF868" t="str">
            <v>N</v>
          </cell>
          <cell r="BG868">
            <v>31</v>
          </cell>
          <cell r="BH868">
            <v>38353</v>
          </cell>
          <cell r="BI868" t="str">
            <v>O</v>
          </cell>
        </row>
        <row r="869">
          <cell r="A869">
            <v>70594</v>
          </cell>
          <cell r="B869">
            <v>415</v>
          </cell>
          <cell r="C869" t="str">
            <v>C2000</v>
          </cell>
          <cell r="D869" t="str">
            <v>MAAMOURE</v>
          </cell>
          <cell r="E869" t="str">
            <v>EL MATI</v>
          </cell>
          <cell r="F869">
            <v>18444</v>
          </cell>
          <cell r="G869" t="str">
            <v>1</v>
          </cell>
          <cell r="H869" t="str">
            <v>OULED ABDOUNE</v>
          </cell>
          <cell r="I869" t="str">
            <v>D</v>
          </cell>
          <cell r="J869">
            <v>28621</v>
          </cell>
          <cell r="K869">
            <v>30834</v>
          </cell>
          <cell r="L869" t="str">
            <v>12</v>
          </cell>
          <cell r="M869" t="str">
            <v>C</v>
          </cell>
          <cell r="N869">
            <v>35217</v>
          </cell>
          <cell r="P869">
            <v>24</v>
          </cell>
          <cell r="Q869" t="str">
            <v>O</v>
          </cell>
          <cell r="R869" t="str">
            <v>N</v>
          </cell>
          <cell r="S869">
            <v>0</v>
          </cell>
          <cell r="T869" t="str">
            <v>M</v>
          </cell>
          <cell r="U869" t="str">
            <v>SALHA BENT CHERKI</v>
          </cell>
          <cell r="X869">
            <v>7</v>
          </cell>
          <cell r="Y869">
            <v>2</v>
          </cell>
          <cell r="AB869" t="str">
            <v>X</v>
          </cell>
          <cell r="AC869" t="str">
            <v>X</v>
          </cell>
          <cell r="AD869" t="str">
            <v>X</v>
          </cell>
          <cell r="AH869" t="str">
            <v>N</v>
          </cell>
          <cell r="AI869" t="str">
            <v>N</v>
          </cell>
          <cell r="AK869" t="str">
            <v>639 VILLAGE O.C.P - BOULANOUAR</v>
          </cell>
          <cell r="AL869" t="str">
            <v>ILLETTRE</v>
          </cell>
          <cell r="AP869" t="str">
            <v>Q 68979</v>
          </cell>
          <cell r="AQ869">
            <v>0</v>
          </cell>
          <cell r="AR869" t="str">
            <v>B</v>
          </cell>
          <cell r="AS869" t="str">
            <v>SGMB -KHGA-</v>
          </cell>
          <cell r="AT869" t="str">
            <v>067000951280541</v>
          </cell>
          <cell r="AU869" t="str">
            <v>/  /</v>
          </cell>
          <cell r="AW869">
            <v>38353</v>
          </cell>
          <cell r="AY869" t="str">
            <v>XX</v>
          </cell>
          <cell r="AZ869" t="str">
            <v>K</v>
          </cell>
          <cell r="BA869" t="str">
            <v>1</v>
          </cell>
          <cell r="BB869">
            <v>1</v>
          </cell>
          <cell r="BD869">
            <v>0</v>
          </cell>
          <cell r="BE869" t="str">
            <v>M</v>
          </cell>
          <cell r="BF869" t="str">
            <v>N</v>
          </cell>
          <cell r="BG869">
            <v>40</v>
          </cell>
          <cell r="BH869">
            <v>38353</v>
          </cell>
        </row>
        <row r="870">
          <cell r="A870">
            <v>70604</v>
          </cell>
          <cell r="B870">
            <v>421</v>
          </cell>
          <cell r="C870" t="str">
            <v>C4152</v>
          </cell>
          <cell r="D870" t="str">
            <v>RAIA</v>
          </cell>
          <cell r="E870" t="str">
            <v>EL HASSANE</v>
          </cell>
          <cell r="F870">
            <v>19057</v>
          </cell>
          <cell r="G870" t="str">
            <v>2</v>
          </cell>
          <cell r="H870" t="str">
            <v>BENI SMIR</v>
          </cell>
          <cell r="I870" t="str">
            <v>D</v>
          </cell>
          <cell r="J870">
            <v>28622</v>
          </cell>
          <cell r="K870">
            <v>36526</v>
          </cell>
          <cell r="L870" t="str">
            <v>22</v>
          </cell>
          <cell r="M870" t="str">
            <v>A</v>
          </cell>
          <cell r="N870">
            <v>36526</v>
          </cell>
          <cell r="P870">
            <v>24</v>
          </cell>
          <cell r="Q870" t="str">
            <v>O</v>
          </cell>
          <cell r="R870" t="str">
            <v>N</v>
          </cell>
          <cell r="S870">
            <v>0</v>
          </cell>
          <cell r="T870" t="str">
            <v>M</v>
          </cell>
          <cell r="U870" t="str">
            <v>EL HAITANI MALIKA</v>
          </cell>
          <cell r="X870">
            <v>6</v>
          </cell>
          <cell r="Y870">
            <v>4</v>
          </cell>
          <cell r="AB870" t="str">
            <v>X</v>
          </cell>
          <cell r="AC870" t="str">
            <v>X</v>
          </cell>
          <cell r="AD870" t="str">
            <v>X</v>
          </cell>
          <cell r="AH870" t="str">
            <v>N</v>
          </cell>
          <cell r="AI870" t="str">
            <v>N</v>
          </cell>
          <cell r="AK870" t="str">
            <v>101 RUE 15 MSALLA - OUED ZEM</v>
          </cell>
          <cell r="AL870" t="str">
            <v>ILLETTRE</v>
          </cell>
          <cell r="AP870" t="str">
            <v>Q 21689</v>
          </cell>
          <cell r="AQ870">
            <v>0</v>
          </cell>
          <cell r="AR870" t="str">
            <v>C</v>
          </cell>
          <cell r="AU870" t="str">
            <v>/  /</v>
          </cell>
          <cell r="AW870">
            <v>38353</v>
          </cell>
          <cell r="AY870" t="str">
            <v>XX</v>
          </cell>
          <cell r="BA870" t="str">
            <v>1</v>
          </cell>
          <cell r="BB870">
            <v>1</v>
          </cell>
          <cell r="BD870">
            <v>0</v>
          </cell>
          <cell r="BE870" t="str">
            <v>M</v>
          </cell>
          <cell r="BF870" t="str">
            <v>N</v>
          </cell>
          <cell r="BG870">
            <v>30</v>
          </cell>
          <cell r="BH870">
            <v>38353</v>
          </cell>
          <cell r="BI870" t="str">
            <v>O</v>
          </cell>
        </row>
        <row r="871">
          <cell r="A871">
            <v>70605</v>
          </cell>
          <cell r="B871">
            <v>426</v>
          </cell>
          <cell r="C871" t="str">
            <v>C2000</v>
          </cell>
          <cell r="D871" t="str">
            <v>NAKHEL</v>
          </cell>
          <cell r="E871" t="str">
            <v>EL MOSTAFA</v>
          </cell>
          <cell r="F871">
            <v>18638</v>
          </cell>
          <cell r="G871" t="str">
            <v>4</v>
          </cell>
          <cell r="H871" t="str">
            <v>BOULANOUAR</v>
          </cell>
          <cell r="I871" t="str">
            <v>D</v>
          </cell>
          <cell r="J871">
            <v>28622</v>
          </cell>
          <cell r="K871">
            <v>30834</v>
          </cell>
          <cell r="L871" t="str">
            <v>12</v>
          </cell>
          <cell r="M871" t="str">
            <v>C</v>
          </cell>
          <cell r="N871">
            <v>35217</v>
          </cell>
          <cell r="P871">
            <v>24</v>
          </cell>
          <cell r="Q871" t="str">
            <v>O</v>
          </cell>
          <cell r="R871" t="str">
            <v>N</v>
          </cell>
          <cell r="S871">
            <v>0</v>
          </cell>
          <cell r="T871" t="str">
            <v>C</v>
          </cell>
          <cell r="X871">
            <v>0</v>
          </cell>
          <cell r="Y871">
            <v>0</v>
          </cell>
          <cell r="AB871" t="str">
            <v>X</v>
          </cell>
          <cell r="AC871" t="str">
            <v>X</v>
          </cell>
          <cell r="AD871" t="str">
            <v>X</v>
          </cell>
          <cell r="AH871" t="str">
            <v>O</v>
          </cell>
          <cell r="AI871" t="str">
            <v>N</v>
          </cell>
          <cell r="AK871" t="str">
            <v>83 ANCIENNE MEDINA DE SECHAGE OCP - KHGA</v>
          </cell>
          <cell r="AL871" t="str">
            <v>ILLETTRE</v>
          </cell>
          <cell r="AP871" t="str">
            <v>Q 84177</v>
          </cell>
          <cell r="AQ871">
            <v>0</v>
          </cell>
          <cell r="AR871" t="str">
            <v>C</v>
          </cell>
          <cell r="AU871" t="str">
            <v>/  /</v>
          </cell>
          <cell r="AW871">
            <v>38353</v>
          </cell>
          <cell r="AY871" t="str">
            <v>XX</v>
          </cell>
          <cell r="BA871" t="str">
            <v>6</v>
          </cell>
          <cell r="BB871">
            <v>0</v>
          </cell>
          <cell r="BD871">
            <v>0</v>
          </cell>
          <cell r="BE871" t="str">
            <v>M</v>
          </cell>
          <cell r="BF871" t="str">
            <v>N</v>
          </cell>
          <cell r="BG871">
            <v>4</v>
          </cell>
          <cell r="BH871">
            <v>38353</v>
          </cell>
        </row>
        <row r="872">
          <cell r="A872">
            <v>70608</v>
          </cell>
          <cell r="B872">
            <v>468</v>
          </cell>
          <cell r="C872" t="str">
            <v>C2000</v>
          </cell>
          <cell r="D872" t="str">
            <v>ASRAOUI</v>
          </cell>
          <cell r="E872" t="str">
            <v>ABDELKADER</v>
          </cell>
          <cell r="F872">
            <v>19905</v>
          </cell>
          <cell r="G872" t="str">
            <v>2</v>
          </cell>
          <cell r="H872" t="str">
            <v>BENI SMIR</v>
          </cell>
          <cell r="I872" t="str">
            <v>D</v>
          </cell>
          <cell r="J872">
            <v>28625</v>
          </cell>
          <cell r="K872">
            <v>30834</v>
          </cell>
          <cell r="L872" t="str">
            <v>12</v>
          </cell>
          <cell r="M872" t="str">
            <v>D</v>
          </cell>
          <cell r="N872">
            <v>35612</v>
          </cell>
          <cell r="P872">
            <v>24</v>
          </cell>
          <cell r="Q872" t="str">
            <v>O</v>
          </cell>
          <cell r="R872" t="str">
            <v>N</v>
          </cell>
          <cell r="S872">
            <v>0</v>
          </cell>
          <cell r="T872" t="str">
            <v>M</v>
          </cell>
          <cell r="U872" t="str">
            <v>ASRAOUI TOURIA BENT SALAH</v>
          </cell>
          <cell r="X872">
            <v>7</v>
          </cell>
          <cell r="Y872">
            <v>4</v>
          </cell>
          <cell r="AB872" t="str">
            <v>X</v>
          </cell>
          <cell r="AC872" t="str">
            <v>X</v>
          </cell>
          <cell r="AD872" t="str">
            <v>X</v>
          </cell>
          <cell r="AH872" t="str">
            <v>N</v>
          </cell>
          <cell r="AI872" t="str">
            <v>N</v>
          </cell>
          <cell r="AK872" t="str">
            <v>707 VILLAGE OCP BOUJNIBA</v>
          </cell>
          <cell r="AL872" t="str">
            <v>ILLETTRE</v>
          </cell>
          <cell r="AP872" t="str">
            <v>Q 17489</v>
          </cell>
          <cell r="AQ872">
            <v>0</v>
          </cell>
          <cell r="AR872" t="str">
            <v>B</v>
          </cell>
          <cell r="AS872" t="str">
            <v>WAFABANK -KHGA-</v>
          </cell>
          <cell r="AT872" t="str">
            <v>1220301372924</v>
          </cell>
          <cell r="AU872" t="str">
            <v>/  /</v>
          </cell>
          <cell r="AW872">
            <v>38353</v>
          </cell>
          <cell r="AY872" t="str">
            <v>XX</v>
          </cell>
          <cell r="AZ872" t="str">
            <v>K</v>
          </cell>
          <cell r="BA872" t="str">
            <v>1</v>
          </cell>
          <cell r="BB872">
            <v>1</v>
          </cell>
          <cell r="BD872">
            <v>0</v>
          </cell>
          <cell r="BE872" t="str">
            <v>M</v>
          </cell>
          <cell r="BF872" t="str">
            <v>N</v>
          </cell>
          <cell r="BG872">
            <v>51</v>
          </cell>
          <cell r="BH872">
            <v>38353</v>
          </cell>
          <cell r="BI872" t="str">
            <v>O</v>
          </cell>
        </row>
        <row r="873">
          <cell r="A873">
            <v>70610</v>
          </cell>
          <cell r="B873">
            <v>468</v>
          </cell>
          <cell r="C873" t="str">
            <v>C2000</v>
          </cell>
          <cell r="D873" t="str">
            <v>BADRE</v>
          </cell>
          <cell r="E873" t="str">
            <v>MOHAMED</v>
          </cell>
          <cell r="F873">
            <v>20091</v>
          </cell>
          <cell r="G873" t="str">
            <v>2</v>
          </cell>
          <cell r="H873" t="str">
            <v>SMAALA</v>
          </cell>
          <cell r="I873" t="str">
            <v>D</v>
          </cell>
          <cell r="J873">
            <v>28625</v>
          </cell>
          <cell r="K873">
            <v>30834</v>
          </cell>
          <cell r="L873" t="str">
            <v>12</v>
          </cell>
          <cell r="M873" t="str">
            <v>C</v>
          </cell>
          <cell r="N873">
            <v>35217</v>
          </cell>
          <cell r="O873">
            <v>0</v>
          </cell>
          <cell r="P873">
            <v>24</v>
          </cell>
          <cell r="Q873" t="str">
            <v>O</v>
          </cell>
          <cell r="R873" t="str">
            <v>N</v>
          </cell>
          <cell r="S873">
            <v>0</v>
          </cell>
          <cell r="T873" t="str">
            <v>M</v>
          </cell>
          <cell r="U873" t="str">
            <v>FATIMA BENT SGHIR</v>
          </cell>
          <cell r="X873">
            <v>7</v>
          </cell>
          <cell r="Y873">
            <v>5</v>
          </cell>
          <cell r="AB873" t="str">
            <v>X</v>
          </cell>
          <cell r="AC873" t="str">
            <v>X</v>
          </cell>
          <cell r="AD873" t="str">
            <v>X</v>
          </cell>
          <cell r="AH873" t="str">
            <v>N</v>
          </cell>
          <cell r="AI873" t="str">
            <v>N</v>
          </cell>
          <cell r="AK873" t="str">
            <v>12 VILLAGE O.C.P OUED ZEM</v>
          </cell>
          <cell r="AL873" t="str">
            <v>ILLETTRE</v>
          </cell>
          <cell r="AP873" t="str">
            <v>Q 77205</v>
          </cell>
          <cell r="AQ873">
            <v>0</v>
          </cell>
          <cell r="AR873" t="str">
            <v>B</v>
          </cell>
          <cell r="AS873" t="str">
            <v>WAFABANK - KHGA</v>
          </cell>
          <cell r="AT873" t="str">
            <v>1220301365547</v>
          </cell>
          <cell r="AU873" t="str">
            <v>/  /</v>
          </cell>
          <cell r="AW873">
            <v>38534</v>
          </cell>
          <cell r="AY873" t="str">
            <v>XX</v>
          </cell>
          <cell r="BA873" t="str">
            <v>1</v>
          </cell>
          <cell r="BB873">
            <v>1</v>
          </cell>
          <cell r="BD873">
            <v>0</v>
          </cell>
          <cell r="BE873" t="str">
            <v>M</v>
          </cell>
          <cell r="BF873" t="str">
            <v>N</v>
          </cell>
          <cell r="BG873">
            <v>31</v>
          </cell>
          <cell r="BH873">
            <v>38534</v>
          </cell>
        </row>
        <row r="874">
          <cell r="A874">
            <v>70517</v>
          </cell>
          <cell r="B874">
            <v>421</v>
          </cell>
          <cell r="C874" t="str">
            <v>C4152</v>
          </cell>
          <cell r="D874" t="str">
            <v>BAIDLYAME</v>
          </cell>
          <cell r="E874" t="str">
            <v>EL RHEZOUANI</v>
          </cell>
          <cell r="F874">
            <v>19540</v>
          </cell>
          <cell r="G874" t="str">
            <v>2</v>
          </cell>
          <cell r="H874" t="str">
            <v>SMAALA</v>
          </cell>
          <cell r="I874" t="str">
            <v>D</v>
          </cell>
          <cell r="J874">
            <v>28608</v>
          </cell>
          <cell r="K874">
            <v>35065</v>
          </cell>
          <cell r="L874" t="str">
            <v>22</v>
          </cell>
          <cell r="M874" t="str">
            <v>A</v>
          </cell>
          <cell r="N874">
            <v>35065</v>
          </cell>
          <cell r="P874">
            <v>25</v>
          </cell>
          <cell r="Q874" t="str">
            <v>O</v>
          </cell>
          <cell r="R874" t="str">
            <v>N</v>
          </cell>
          <cell r="S874">
            <v>0</v>
          </cell>
          <cell r="T874" t="str">
            <v>M</v>
          </cell>
          <cell r="U874" t="str">
            <v>BENDINOUNE MALIKA BT SALAH</v>
          </cell>
          <cell r="X874">
            <v>5</v>
          </cell>
          <cell r="Y874">
            <v>4</v>
          </cell>
          <cell r="AB874" t="str">
            <v>X</v>
          </cell>
          <cell r="AC874" t="str">
            <v>X</v>
          </cell>
          <cell r="AD874" t="str">
            <v>X</v>
          </cell>
          <cell r="AF874" t="str">
            <v>MINI.EDUC.NAT</v>
          </cell>
          <cell r="AH874" t="str">
            <v>N</v>
          </cell>
          <cell r="AI874" t="str">
            <v>N</v>
          </cell>
          <cell r="AK874" t="str">
            <v>81 RUE DE TUNIS OUED ZEM</v>
          </cell>
          <cell r="AL874" t="str">
            <v>4 AS</v>
          </cell>
          <cell r="AM874" t="str">
            <v>CFP.</v>
          </cell>
          <cell r="AP874" t="str">
            <v>Q 45429</v>
          </cell>
          <cell r="AQ874">
            <v>0</v>
          </cell>
          <cell r="AR874" t="str">
            <v>B</v>
          </cell>
          <cell r="AS874" t="str">
            <v>BMCI - OUED ZEM</v>
          </cell>
          <cell r="AT874" t="str">
            <v>0252191328230100001</v>
          </cell>
          <cell r="AU874" t="str">
            <v>/  /</v>
          </cell>
          <cell r="AW874">
            <v>38353</v>
          </cell>
          <cell r="AY874" t="str">
            <v>XX</v>
          </cell>
          <cell r="AZ874" t="str">
            <v>R</v>
          </cell>
          <cell r="BA874" t="str">
            <v>1</v>
          </cell>
          <cell r="BB874">
            <v>1</v>
          </cell>
          <cell r="BD874">
            <v>0</v>
          </cell>
          <cell r="BE874" t="str">
            <v>M</v>
          </cell>
          <cell r="BF874" t="str">
            <v>N</v>
          </cell>
          <cell r="BG874">
            <v>30</v>
          </cell>
          <cell r="BH874">
            <v>38353</v>
          </cell>
        </row>
        <row r="875">
          <cell r="A875">
            <v>70611</v>
          </cell>
          <cell r="B875">
            <v>446</v>
          </cell>
          <cell r="C875" t="str">
            <v>C3050</v>
          </cell>
          <cell r="D875" t="str">
            <v>MAKHLOUF</v>
          </cell>
          <cell r="E875" t="str">
            <v>MOHAMED</v>
          </cell>
          <cell r="F875">
            <v>18444</v>
          </cell>
          <cell r="H875" t="str">
            <v>BOUGARGOUH - BEN AHMED</v>
          </cell>
          <cell r="I875" t="str">
            <v>D</v>
          </cell>
          <cell r="J875">
            <v>28625</v>
          </cell>
          <cell r="K875">
            <v>37012</v>
          </cell>
          <cell r="L875" t="str">
            <v>21</v>
          </cell>
          <cell r="M875" t="str">
            <v>B</v>
          </cell>
          <cell r="N875">
            <v>37012</v>
          </cell>
          <cell r="P875">
            <v>24</v>
          </cell>
          <cell r="Q875" t="str">
            <v>O</v>
          </cell>
          <cell r="R875" t="str">
            <v>N</v>
          </cell>
          <cell r="S875">
            <v>0</v>
          </cell>
          <cell r="T875" t="str">
            <v>M</v>
          </cell>
          <cell r="U875" t="str">
            <v>RKIA BENT SALMI</v>
          </cell>
          <cell r="V875" t="str">
            <v>KHOUDROUF FRAIHA</v>
          </cell>
          <cell r="X875">
            <v>6</v>
          </cell>
          <cell r="Y875">
            <v>1</v>
          </cell>
          <cell r="AB875" t="str">
            <v>X</v>
          </cell>
          <cell r="AC875" t="str">
            <v>X</v>
          </cell>
          <cell r="AD875" t="str">
            <v>X</v>
          </cell>
          <cell r="AH875" t="str">
            <v>O</v>
          </cell>
          <cell r="AI875" t="str">
            <v>N</v>
          </cell>
          <cell r="AK875" t="str">
            <v>221 NOUVEAUX LOGEMENTS SECHAGE KHGA</v>
          </cell>
          <cell r="AL875" t="str">
            <v>ILLETTRE</v>
          </cell>
          <cell r="AP875" t="str">
            <v>Q 60997</v>
          </cell>
          <cell r="AQ875">
            <v>0</v>
          </cell>
          <cell r="AR875" t="str">
            <v>B</v>
          </cell>
          <cell r="AS875" t="str">
            <v>C.I.H - KHGA</v>
          </cell>
          <cell r="AT875" t="str">
            <v>9154550211004700</v>
          </cell>
          <cell r="AU875" t="str">
            <v>/  /</v>
          </cell>
          <cell r="AW875">
            <v>38353</v>
          </cell>
          <cell r="AY875" t="str">
            <v>XX</v>
          </cell>
          <cell r="BA875" t="str">
            <v>1</v>
          </cell>
          <cell r="BB875">
            <v>1</v>
          </cell>
          <cell r="BD875">
            <v>0</v>
          </cell>
          <cell r="BE875" t="str">
            <v>M</v>
          </cell>
          <cell r="BF875" t="str">
            <v>N</v>
          </cell>
          <cell r="BG875">
            <v>1</v>
          </cell>
          <cell r="BH875">
            <v>38353</v>
          </cell>
        </row>
        <row r="876">
          <cell r="A876">
            <v>70614</v>
          </cell>
          <cell r="B876">
            <v>428</v>
          </cell>
          <cell r="C876" t="str">
            <v>C3152</v>
          </cell>
          <cell r="D876" t="str">
            <v>LOURANE</v>
          </cell>
          <cell r="E876" t="str">
            <v>HASSAN</v>
          </cell>
          <cell r="F876">
            <v>19540</v>
          </cell>
          <cell r="G876" t="str">
            <v>1</v>
          </cell>
          <cell r="H876" t="str">
            <v>OULED BHAR KBAR KHOURIBGA</v>
          </cell>
          <cell r="I876" t="str">
            <v>D</v>
          </cell>
          <cell r="J876">
            <v>28625</v>
          </cell>
          <cell r="K876">
            <v>35096</v>
          </cell>
          <cell r="L876" t="str">
            <v>21</v>
          </cell>
          <cell r="M876" t="str">
            <v>B</v>
          </cell>
          <cell r="N876">
            <v>35096</v>
          </cell>
          <cell r="P876">
            <v>24</v>
          </cell>
          <cell r="Q876" t="str">
            <v>N</v>
          </cell>
          <cell r="R876" t="str">
            <v>O</v>
          </cell>
          <cell r="S876">
            <v>3</v>
          </cell>
          <cell r="T876" t="str">
            <v>M</v>
          </cell>
          <cell r="U876" t="str">
            <v>NAJIA BENT LEKBIR</v>
          </cell>
          <cell r="X876">
            <v>6</v>
          </cell>
          <cell r="Y876">
            <v>6</v>
          </cell>
          <cell r="AB876" t="str">
            <v>X</v>
          </cell>
          <cell r="AC876" t="str">
            <v>X</v>
          </cell>
          <cell r="AD876" t="str">
            <v>X</v>
          </cell>
          <cell r="AH876" t="str">
            <v>N</v>
          </cell>
          <cell r="AI876" t="str">
            <v>N</v>
          </cell>
          <cell r="AK876" t="str">
            <v>DOUAR OULED EL ATI OULED BRAHIM</v>
          </cell>
          <cell r="AL876" t="str">
            <v>ILLETTRE</v>
          </cell>
          <cell r="AP876" t="str">
            <v>Q 80610</v>
          </cell>
          <cell r="AQ876">
            <v>0</v>
          </cell>
          <cell r="AR876" t="str">
            <v>B</v>
          </cell>
          <cell r="AS876" t="str">
            <v>C.N.C.A - KHGA</v>
          </cell>
          <cell r="AT876" t="str">
            <v>08063864</v>
          </cell>
          <cell r="AU876" t="str">
            <v>/  /</v>
          </cell>
          <cell r="AW876">
            <v>38353</v>
          </cell>
          <cell r="AY876" t="str">
            <v>XX</v>
          </cell>
          <cell r="BA876" t="str">
            <v>1</v>
          </cell>
          <cell r="BB876">
            <v>1</v>
          </cell>
          <cell r="BD876">
            <v>0</v>
          </cell>
          <cell r="BE876" t="str">
            <v>M</v>
          </cell>
          <cell r="BF876" t="str">
            <v>N</v>
          </cell>
          <cell r="BG876">
            <v>0</v>
          </cell>
          <cell r="BH876">
            <v>38353</v>
          </cell>
          <cell r="BI876" t="str">
            <v>O</v>
          </cell>
        </row>
        <row r="877">
          <cell r="A877">
            <v>70616</v>
          </cell>
          <cell r="B877">
            <v>426</v>
          </cell>
          <cell r="C877" t="str">
            <v>C2000</v>
          </cell>
          <cell r="D877" t="str">
            <v>ES-SLAOUI</v>
          </cell>
          <cell r="E877" t="str">
            <v>AHMED</v>
          </cell>
          <cell r="F877">
            <v>20270</v>
          </cell>
          <cell r="H877" t="str">
            <v>M'ZAMZA - SETTAT</v>
          </cell>
          <cell r="I877" t="str">
            <v>D</v>
          </cell>
          <cell r="J877">
            <v>28625</v>
          </cell>
          <cell r="K877">
            <v>30834</v>
          </cell>
          <cell r="L877" t="str">
            <v>12</v>
          </cell>
          <cell r="M877" t="str">
            <v>E</v>
          </cell>
          <cell r="N877">
            <v>35612</v>
          </cell>
          <cell r="P877">
            <v>24</v>
          </cell>
          <cell r="Q877" t="str">
            <v>O</v>
          </cell>
          <cell r="R877" t="str">
            <v>N</v>
          </cell>
          <cell r="S877">
            <v>0</v>
          </cell>
          <cell r="T877" t="str">
            <v>M</v>
          </cell>
          <cell r="U877" t="str">
            <v>NEMR ZAHRA BENT BOUCHAIB</v>
          </cell>
          <cell r="X877">
            <v>4</v>
          </cell>
          <cell r="Y877">
            <v>3</v>
          </cell>
          <cell r="AB877" t="str">
            <v>X</v>
          </cell>
          <cell r="AC877" t="str">
            <v>X</v>
          </cell>
          <cell r="AD877" t="str">
            <v>X</v>
          </cell>
          <cell r="AH877" t="str">
            <v>N</v>
          </cell>
          <cell r="AI877" t="str">
            <v>N</v>
          </cell>
          <cell r="AK877" t="str">
            <v>179 ANCIENNE MEDINA SECHAGE KHGA</v>
          </cell>
          <cell r="AL877" t="str">
            <v>ILLETTRE</v>
          </cell>
          <cell r="AP877" t="str">
            <v>Q 75032</v>
          </cell>
          <cell r="AQ877">
            <v>0</v>
          </cell>
          <cell r="AR877" t="str">
            <v>C</v>
          </cell>
          <cell r="AU877" t="str">
            <v>/  /</v>
          </cell>
          <cell r="AW877">
            <v>38534</v>
          </cell>
          <cell r="AY877" t="str">
            <v>XX</v>
          </cell>
          <cell r="BA877" t="str">
            <v>1</v>
          </cell>
          <cell r="BB877">
            <v>1</v>
          </cell>
          <cell r="BD877">
            <v>0</v>
          </cell>
          <cell r="BE877" t="str">
            <v>M</v>
          </cell>
          <cell r="BF877" t="str">
            <v>N</v>
          </cell>
          <cell r="BG877">
            <v>4</v>
          </cell>
          <cell r="BH877">
            <v>38534</v>
          </cell>
        </row>
        <row r="878">
          <cell r="A878">
            <v>70618</v>
          </cell>
          <cell r="B878">
            <v>428</v>
          </cell>
          <cell r="C878" t="str">
            <v>C2050</v>
          </cell>
          <cell r="D878" t="str">
            <v>EL FRAIMI</v>
          </cell>
          <cell r="E878" t="str">
            <v>MUSTAPHA</v>
          </cell>
          <cell r="F878">
            <v>19175</v>
          </cell>
          <cell r="H878" t="str">
            <v>OULED M'RAH</v>
          </cell>
          <cell r="I878" t="str">
            <v>D</v>
          </cell>
          <cell r="J878">
            <v>28626</v>
          </cell>
          <cell r="K878">
            <v>30834</v>
          </cell>
          <cell r="L878" t="str">
            <v>12</v>
          </cell>
          <cell r="M878" t="str">
            <v>D</v>
          </cell>
          <cell r="N878">
            <v>35612</v>
          </cell>
          <cell r="P878">
            <v>24</v>
          </cell>
          <cell r="Q878" t="str">
            <v>O</v>
          </cell>
          <cell r="R878" t="str">
            <v>N</v>
          </cell>
          <cell r="S878">
            <v>0</v>
          </cell>
          <cell r="T878" t="str">
            <v>M</v>
          </cell>
          <cell r="U878" t="str">
            <v>EL HAJJA BENT HADJ MAATI ARISS</v>
          </cell>
          <cell r="X878">
            <v>7</v>
          </cell>
          <cell r="Y878">
            <v>5</v>
          </cell>
          <cell r="AB878" t="str">
            <v>X</v>
          </cell>
          <cell r="AC878" t="str">
            <v>X</v>
          </cell>
          <cell r="AD878" t="str">
            <v>X</v>
          </cell>
          <cell r="AH878" t="str">
            <v>N</v>
          </cell>
          <cell r="AI878" t="str">
            <v>N</v>
          </cell>
          <cell r="AK878" t="str">
            <v>250 ANCIENNE MEDINA KHOURIBGA</v>
          </cell>
          <cell r="AL878" t="str">
            <v>ILLETTRE</v>
          </cell>
          <cell r="AP878" t="str">
            <v>Q 83788</v>
          </cell>
          <cell r="AQ878">
            <v>0</v>
          </cell>
          <cell r="AR878" t="str">
            <v>B</v>
          </cell>
          <cell r="AS878" t="str">
            <v>SGMB - KHGA</v>
          </cell>
          <cell r="AT878" t="str">
            <v>670009384474</v>
          </cell>
          <cell r="AU878" t="str">
            <v>21/10/15</v>
          </cell>
          <cell r="AW878">
            <v>38353</v>
          </cell>
          <cell r="AY878" t="str">
            <v>XX</v>
          </cell>
          <cell r="BA878" t="str">
            <v>2</v>
          </cell>
          <cell r="BB878">
            <v>1</v>
          </cell>
          <cell r="BD878">
            <v>0</v>
          </cell>
          <cell r="BE878" t="str">
            <v>M</v>
          </cell>
          <cell r="BF878" t="str">
            <v>N</v>
          </cell>
          <cell r="BG878">
            <v>4</v>
          </cell>
          <cell r="BH878">
            <v>38353</v>
          </cell>
        </row>
        <row r="879">
          <cell r="A879">
            <v>70619</v>
          </cell>
          <cell r="B879">
            <v>403</v>
          </cell>
          <cell r="C879" t="str">
            <v>C3050</v>
          </cell>
          <cell r="D879" t="str">
            <v>HARKATI</v>
          </cell>
          <cell r="E879" t="str">
            <v>MOHAMED</v>
          </cell>
          <cell r="F879">
            <v>18444</v>
          </cell>
          <cell r="G879" t="str">
            <v>1</v>
          </cell>
          <cell r="H879" t="str">
            <v>EL FOKRA</v>
          </cell>
          <cell r="I879" t="str">
            <v>D</v>
          </cell>
          <cell r="J879">
            <v>28626</v>
          </cell>
          <cell r="K879">
            <v>37012</v>
          </cell>
          <cell r="L879" t="str">
            <v>21</v>
          </cell>
          <cell r="M879" t="str">
            <v>A</v>
          </cell>
          <cell r="N879">
            <v>37012</v>
          </cell>
          <cell r="P879">
            <v>24</v>
          </cell>
          <cell r="Q879" t="str">
            <v>O</v>
          </cell>
          <cell r="R879" t="str">
            <v>N</v>
          </cell>
          <cell r="S879">
            <v>0</v>
          </cell>
          <cell r="T879" t="str">
            <v>M</v>
          </cell>
          <cell r="U879" t="str">
            <v>EZZAHIA BENT BELGASSEM</v>
          </cell>
          <cell r="X879">
            <v>7</v>
          </cell>
          <cell r="Y879">
            <v>4</v>
          </cell>
          <cell r="AB879" t="str">
            <v>X</v>
          </cell>
          <cell r="AC879" t="str">
            <v>X</v>
          </cell>
          <cell r="AD879" t="str">
            <v>X</v>
          </cell>
          <cell r="AH879" t="str">
            <v>N</v>
          </cell>
          <cell r="AI879" t="str">
            <v>N</v>
          </cell>
          <cell r="AK879" t="str">
            <v>252 NOUVEAUX LOGEMENTS SECHAGE KHGA</v>
          </cell>
          <cell r="AL879" t="str">
            <v>ILLETTRE</v>
          </cell>
          <cell r="AP879" t="str">
            <v>Q 10709</v>
          </cell>
          <cell r="AQ879">
            <v>0</v>
          </cell>
          <cell r="AR879" t="str">
            <v>B</v>
          </cell>
          <cell r="AS879" t="str">
            <v>BMCE - KHGA</v>
          </cell>
          <cell r="AT879" t="str">
            <v>400000120000137778</v>
          </cell>
          <cell r="AU879" t="str">
            <v>/  /</v>
          </cell>
          <cell r="AW879">
            <v>38353</v>
          </cell>
          <cell r="AY879" t="str">
            <v>XX</v>
          </cell>
          <cell r="BA879" t="str">
            <v>1</v>
          </cell>
          <cell r="BB879">
            <v>1</v>
          </cell>
          <cell r="BD879">
            <v>0</v>
          </cell>
          <cell r="BE879" t="str">
            <v>M</v>
          </cell>
          <cell r="BF879" t="str">
            <v>N</v>
          </cell>
          <cell r="BG879">
            <v>1</v>
          </cell>
          <cell r="BH879">
            <v>38353</v>
          </cell>
        </row>
        <row r="880">
          <cell r="A880">
            <v>70622</v>
          </cell>
          <cell r="B880">
            <v>409</v>
          </cell>
          <cell r="C880" t="str">
            <v>C4152</v>
          </cell>
          <cell r="D880" t="str">
            <v>OISFI</v>
          </cell>
          <cell r="E880" t="str">
            <v>FEKKAK</v>
          </cell>
          <cell r="F880">
            <v>19905</v>
          </cell>
          <cell r="H880" t="str">
            <v>LOULAD - SETTAT</v>
          </cell>
          <cell r="I880" t="str">
            <v>D</v>
          </cell>
          <cell r="J880">
            <v>28626</v>
          </cell>
          <cell r="K880">
            <v>36526</v>
          </cell>
          <cell r="L880" t="str">
            <v>22</v>
          </cell>
          <cell r="M880" t="str">
            <v>A</v>
          </cell>
          <cell r="N880">
            <v>36526</v>
          </cell>
          <cell r="P880">
            <v>24</v>
          </cell>
          <cell r="Q880" t="str">
            <v>O</v>
          </cell>
          <cell r="R880" t="str">
            <v>N</v>
          </cell>
          <cell r="S880">
            <v>0</v>
          </cell>
          <cell r="T880" t="str">
            <v>M</v>
          </cell>
          <cell r="U880" t="str">
            <v>NAIMA BENT ABDESLAM</v>
          </cell>
          <cell r="X880">
            <v>5</v>
          </cell>
          <cell r="Y880">
            <v>3</v>
          </cell>
          <cell r="AB880" t="str">
            <v>X</v>
          </cell>
          <cell r="AC880" t="str">
            <v>X</v>
          </cell>
          <cell r="AD880" t="str">
            <v>X</v>
          </cell>
          <cell r="AH880" t="str">
            <v>N</v>
          </cell>
          <cell r="AI880" t="str">
            <v>N</v>
          </cell>
          <cell r="AK880" t="str">
            <v>383 NOUVEAU LOGEMENT DE SECHAGE KHGA</v>
          </cell>
          <cell r="AL880" t="str">
            <v>ILLETTRE</v>
          </cell>
          <cell r="AP880" t="str">
            <v>Q 62910</v>
          </cell>
          <cell r="AQ880">
            <v>0</v>
          </cell>
          <cell r="AR880" t="str">
            <v>B</v>
          </cell>
          <cell r="AS880" t="str">
            <v>WAFABANK - KHGA</v>
          </cell>
          <cell r="AT880" t="str">
            <v>1220301311993</v>
          </cell>
          <cell r="AU880" t="str">
            <v>/  /</v>
          </cell>
          <cell r="AW880">
            <v>38353</v>
          </cell>
          <cell r="AY880" t="str">
            <v>XX</v>
          </cell>
          <cell r="BA880" t="str">
            <v>1</v>
          </cell>
          <cell r="BB880">
            <v>1</v>
          </cell>
          <cell r="BD880">
            <v>0</v>
          </cell>
          <cell r="BE880" t="str">
            <v>M</v>
          </cell>
          <cell r="BF880" t="str">
            <v>N</v>
          </cell>
          <cell r="BG880">
            <v>1</v>
          </cell>
          <cell r="BH880">
            <v>38353</v>
          </cell>
        </row>
        <row r="881">
          <cell r="A881">
            <v>70624</v>
          </cell>
          <cell r="B881">
            <v>468</v>
          </cell>
          <cell r="C881" t="str">
            <v>C7152</v>
          </cell>
          <cell r="D881" t="str">
            <v>LAHSAINI</v>
          </cell>
          <cell r="E881" t="str">
            <v>MAHJOUB</v>
          </cell>
          <cell r="F881">
            <v>20290</v>
          </cell>
          <cell r="G881" t="str">
            <v>2</v>
          </cell>
          <cell r="H881" t="str">
            <v>SMAALA</v>
          </cell>
          <cell r="I881" t="str">
            <v>D</v>
          </cell>
          <cell r="J881">
            <v>28626</v>
          </cell>
          <cell r="K881">
            <v>35065</v>
          </cell>
          <cell r="L881" t="str">
            <v>33</v>
          </cell>
          <cell r="M881" t="str">
            <v>A</v>
          </cell>
          <cell r="N881">
            <v>35065</v>
          </cell>
          <cell r="P881">
            <v>24</v>
          </cell>
          <cell r="Q881" t="str">
            <v>O</v>
          </cell>
          <cell r="R881" t="str">
            <v>N</v>
          </cell>
          <cell r="S881">
            <v>0</v>
          </cell>
          <cell r="T881" t="str">
            <v>M</v>
          </cell>
          <cell r="U881" t="str">
            <v>TAOUIL MINA</v>
          </cell>
          <cell r="X881">
            <v>1</v>
          </cell>
          <cell r="Y881">
            <v>1</v>
          </cell>
          <cell r="Z881" t="str">
            <v>N</v>
          </cell>
          <cell r="AA881" t="str">
            <v>10/01/88</v>
          </cell>
          <cell r="AB881" t="str">
            <v>X</v>
          </cell>
          <cell r="AC881" t="str">
            <v>X</v>
          </cell>
          <cell r="AD881" t="str">
            <v>X</v>
          </cell>
          <cell r="AH881" t="str">
            <v>N</v>
          </cell>
          <cell r="AI881" t="str">
            <v>N</v>
          </cell>
          <cell r="AK881" t="str">
            <v>7 RUE 3 DAR DAOU OUED ZEM</v>
          </cell>
          <cell r="AL881" t="str">
            <v>6AS</v>
          </cell>
          <cell r="AM881" t="str">
            <v>EPMT(ECOLE PRATIQUE DES MINES TOUISSIT)</v>
          </cell>
          <cell r="AP881" t="str">
            <v>Q 23453</v>
          </cell>
          <cell r="AQ881">
            <v>0</v>
          </cell>
          <cell r="AR881" t="str">
            <v>B</v>
          </cell>
          <cell r="AS881" t="str">
            <v>BMCE.OUED ZEM</v>
          </cell>
          <cell r="AT881" t="str">
            <v>41101200000233624</v>
          </cell>
          <cell r="AU881" t="str">
            <v>/  /</v>
          </cell>
          <cell r="AW881">
            <v>38718</v>
          </cell>
          <cell r="AY881" t="str">
            <v>XX</v>
          </cell>
          <cell r="BA881" t="str">
            <v>1</v>
          </cell>
          <cell r="BB881">
            <v>0</v>
          </cell>
          <cell r="BD881">
            <v>0</v>
          </cell>
          <cell r="BE881" t="str">
            <v>M</v>
          </cell>
          <cell r="BF881" t="str">
            <v>N</v>
          </cell>
          <cell r="BG881">
            <v>31</v>
          </cell>
          <cell r="BH881">
            <v>38718</v>
          </cell>
        </row>
        <row r="882">
          <cell r="A882">
            <v>70625</v>
          </cell>
          <cell r="B882">
            <v>428</v>
          </cell>
          <cell r="C882" t="str">
            <v>C3152</v>
          </cell>
          <cell r="D882" t="str">
            <v>HISSANI</v>
          </cell>
          <cell r="E882" t="str">
            <v>MOHAMED</v>
          </cell>
          <cell r="F882">
            <v>19905</v>
          </cell>
          <cell r="H882" t="str">
            <v>AIN DORBANE - SETTAT</v>
          </cell>
          <cell r="I882" t="str">
            <v>D</v>
          </cell>
          <cell r="J882">
            <v>28627</v>
          </cell>
          <cell r="K882">
            <v>36526</v>
          </cell>
          <cell r="L882" t="str">
            <v>21</v>
          </cell>
          <cell r="M882" t="str">
            <v>A</v>
          </cell>
          <cell r="N882">
            <v>36526</v>
          </cell>
          <cell r="P882">
            <v>24</v>
          </cell>
          <cell r="Q882" t="str">
            <v>O</v>
          </cell>
          <cell r="R882" t="str">
            <v>N</v>
          </cell>
          <cell r="S882">
            <v>0</v>
          </cell>
          <cell r="T882" t="str">
            <v>M</v>
          </cell>
          <cell r="U882" t="str">
            <v>FATIMA BENT MOHAMED</v>
          </cell>
          <cell r="X882">
            <v>1</v>
          </cell>
          <cell r="Y882">
            <v>1</v>
          </cell>
          <cell r="AB882" t="str">
            <v>X</v>
          </cell>
          <cell r="AC882" t="str">
            <v>X</v>
          </cell>
          <cell r="AD882" t="str">
            <v>X</v>
          </cell>
          <cell r="AH882" t="str">
            <v>N</v>
          </cell>
          <cell r="AI882" t="str">
            <v>N</v>
          </cell>
          <cell r="AK882" t="str">
            <v>1327 VILLAGE OCP - HATTANE</v>
          </cell>
          <cell r="AL882" t="str">
            <v>CM2</v>
          </cell>
          <cell r="AP882" t="str">
            <v>Q 143909</v>
          </cell>
          <cell r="AQ882">
            <v>0</v>
          </cell>
          <cell r="AR882" t="str">
            <v>B</v>
          </cell>
          <cell r="AS882" t="str">
            <v>POPULAIRE.KHGA</v>
          </cell>
          <cell r="AT882" t="str">
            <v>211113631557000614</v>
          </cell>
          <cell r="AU882" t="str">
            <v>/  /</v>
          </cell>
          <cell r="AW882">
            <v>39878</v>
          </cell>
          <cell r="AX882">
            <v>39878</v>
          </cell>
          <cell r="AY882" t="str">
            <v>XX</v>
          </cell>
          <cell r="BA882" t="str">
            <v>1</v>
          </cell>
          <cell r="BB882">
            <v>1</v>
          </cell>
          <cell r="BD882">
            <v>0</v>
          </cell>
          <cell r="BE882" t="str">
            <v>M</v>
          </cell>
          <cell r="BF882" t="str">
            <v>N</v>
          </cell>
          <cell r="BG882">
            <v>11</v>
          </cell>
          <cell r="BH882">
            <v>38353</v>
          </cell>
        </row>
        <row r="883">
          <cell r="A883">
            <v>70631</v>
          </cell>
          <cell r="B883">
            <v>456</v>
          </cell>
          <cell r="C883" t="str">
            <v>C3754</v>
          </cell>
          <cell r="D883" t="str">
            <v>BAATI</v>
          </cell>
          <cell r="E883" t="str">
            <v>AHMED</v>
          </cell>
          <cell r="F883">
            <v>18809</v>
          </cell>
          <cell r="G883" t="str">
            <v>2</v>
          </cell>
          <cell r="H883" t="str">
            <v>BENI SMIR</v>
          </cell>
          <cell r="I883" t="str">
            <v>D</v>
          </cell>
          <cell r="J883">
            <v>28637</v>
          </cell>
          <cell r="K883">
            <v>37012</v>
          </cell>
          <cell r="L883" t="str">
            <v>21</v>
          </cell>
          <cell r="M883" t="str">
            <v>C</v>
          </cell>
          <cell r="N883">
            <v>37012</v>
          </cell>
          <cell r="P883">
            <v>24</v>
          </cell>
          <cell r="Q883" t="str">
            <v>O</v>
          </cell>
          <cell r="R883" t="str">
            <v>N</v>
          </cell>
          <cell r="S883">
            <v>0</v>
          </cell>
          <cell r="T883" t="str">
            <v>M</v>
          </cell>
          <cell r="U883" t="str">
            <v>RABHA BT KELTOUM BEN MOHAMED</v>
          </cell>
          <cell r="X883">
            <v>4</v>
          </cell>
          <cell r="Y883">
            <v>3</v>
          </cell>
          <cell r="AB883" t="str">
            <v>X</v>
          </cell>
          <cell r="AC883" t="str">
            <v>X</v>
          </cell>
          <cell r="AD883" t="str">
            <v>X</v>
          </cell>
          <cell r="AH883" t="str">
            <v>N</v>
          </cell>
          <cell r="AI883" t="str">
            <v>N</v>
          </cell>
          <cell r="AK883" t="str">
            <v>48 RUE 16 KOREA OUED ZEM</v>
          </cell>
          <cell r="AL883" t="str">
            <v>ILLETTRE</v>
          </cell>
          <cell r="AP883" t="str">
            <v>Q 79987</v>
          </cell>
          <cell r="AQ883">
            <v>0</v>
          </cell>
          <cell r="AR883" t="str">
            <v>B</v>
          </cell>
          <cell r="AS883" t="str">
            <v>BMCE-OUED ZEM</v>
          </cell>
          <cell r="AT883" t="str">
            <v>41101200000612506</v>
          </cell>
          <cell r="AU883" t="str">
            <v>/  /</v>
          </cell>
          <cell r="AW883">
            <v>38353</v>
          </cell>
          <cell r="AY883" t="str">
            <v>XX</v>
          </cell>
          <cell r="BA883" t="str">
            <v>2</v>
          </cell>
          <cell r="BB883">
            <v>1</v>
          </cell>
          <cell r="BD883">
            <v>0</v>
          </cell>
          <cell r="BE883" t="str">
            <v>M</v>
          </cell>
          <cell r="BF883" t="str">
            <v>N</v>
          </cell>
          <cell r="BG883">
            <v>31</v>
          </cell>
          <cell r="BH883">
            <v>38353</v>
          </cell>
          <cell r="BI883" t="str">
            <v>O</v>
          </cell>
        </row>
        <row r="884">
          <cell r="A884">
            <v>70634</v>
          </cell>
          <cell r="B884">
            <v>409</v>
          </cell>
          <cell r="C884" t="str">
            <v>C3020</v>
          </cell>
          <cell r="D884" t="str">
            <v>QZAIBRI</v>
          </cell>
          <cell r="E884" t="str">
            <v>BOUABID</v>
          </cell>
          <cell r="F884">
            <v>19175</v>
          </cell>
          <cell r="G884" t="str">
            <v>3</v>
          </cell>
          <cell r="H884" t="str">
            <v>OULED JEDRA - KHOURIBGA</v>
          </cell>
          <cell r="I884" t="str">
            <v>D</v>
          </cell>
          <cell r="J884">
            <v>28640</v>
          </cell>
          <cell r="K884">
            <v>34851</v>
          </cell>
          <cell r="L884" t="str">
            <v>21</v>
          </cell>
          <cell r="M884" t="str">
            <v>A</v>
          </cell>
          <cell r="N884">
            <v>34851</v>
          </cell>
          <cell r="P884">
            <v>24</v>
          </cell>
          <cell r="Q884" t="str">
            <v>O</v>
          </cell>
          <cell r="R884" t="str">
            <v>N</v>
          </cell>
          <cell r="S884">
            <v>0</v>
          </cell>
          <cell r="T884" t="str">
            <v>M</v>
          </cell>
          <cell r="U884" t="str">
            <v>JAMILA BENT BENDAOUD</v>
          </cell>
          <cell r="X884">
            <v>6</v>
          </cell>
          <cell r="Y884">
            <v>6</v>
          </cell>
          <cell r="AB884" t="str">
            <v>X</v>
          </cell>
          <cell r="AC884" t="str">
            <v>X</v>
          </cell>
          <cell r="AD884" t="str">
            <v>X</v>
          </cell>
          <cell r="AH884" t="str">
            <v>N</v>
          </cell>
          <cell r="AI884" t="str">
            <v>N</v>
          </cell>
          <cell r="AK884" t="str">
            <v>667 VILLAGE OCP - BOULANOUAR</v>
          </cell>
          <cell r="AL884" t="str">
            <v>CM2</v>
          </cell>
          <cell r="AP884" t="str">
            <v>Q 80206</v>
          </cell>
          <cell r="AQ884">
            <v>0</v>
          </cell>
          <cell r="AR884" t="str">
            <v>B</v>
          </cell>
          <cell r="AS884" t="str">
            <v>C.N.C.A KHGA</v>
          </cell>
          <cell r="AT884" t="str">
            <v>805588C601</v>
          </cell>
          <cell r="AU884" t="str">
            <v>/  /</v>
          </cell>
          <cell r="AW884">
            <v>38353</v>
          </cell>
          <cell r="AY884" t="str">
            <v>XX</v>
          </cell>
          <cell r="BA884" t="str">
            <v>0</v>
          </cell>
          <cell r="BB884">
            <v>1</v>
          </cell>
          <cell r="BD884">
            <v>0</v>
          </cell>
          <cell r="BE884" t="str">
            <v>M</v>
          </cell>
          <cell r="BF884" t="str">
            <v>N</v>
          </cell>
          <cell r="BG884">
            <v>40</v>
          </cell>
          <cell r="BH884">
            <v>38353</v>
          </cell>
          <cell r="BI884" t="str">
            <v>O</v>
          </cell>
        </row>
        <row r="885">
          <cell r="A885">
            <v>70635</v>
          </cell>
          <cell r="B885">
            <v>468</v>
          </cell>
          <cell r="C885" t="str">
            <v>C3152</v>
          </cell>
          <cell r="D885" t="str">
            <v>DAHBI</v>
          </cell>
          <cell r="E885" t="str">
            <v>BOUAZZA</v>
          </cell>
          <cell r="F885">
            <v>19540</v>
          </cell>
          <cell r="G885" t="str">
            <v>2</v>
          </cell>
          <cell r="H885" t="str">
            <v>BENI SMIR</v>
          </cell>
          <cell r="I885" t="str">
            <v>D</v>
          </cell>
          <cell r="J885">
            <v>28640</v>
          </cell>
          <cell r="K885">
            <v>37012</v>
          </cell>
          <cell r="L885" t="str">
            <v>21</v>
          </cell>
          <cell r="M885" t="str">
            <v>A</v>
          </cell>
          <cell r="N885">
            <v>37012</v>
          </cell>
          <cell r="P885">
            <v>24</v>
          </cell>
          <cell r="Q885" t="str">
            <v>N</v>
          </cell>
          <cell r="R885" t="str">
            <v>O</v>
          </cell>
          <cell r="S885">
            <v>3</v>
          </cell>
          <cell r="T885" t="str">
            <v>M</v>
          </cell>
          <cell r="U885" t="str">
            <v>HALIMA BENT BELKACEM RAGHI</v>
          </cell>
          <cell r="X885">
            <v>7</v>
          </cell>
          <cell r="Y885">
            <v>3</v>
          </cell>
          <cell r="AB885" t="str">
            <v>X</v>
          </cell>
          <cell r="AC885" t="str">
            <v>X</v>
          </cell>
          <cell r="AD885" t="str">
            <v>X</v>
          </cell>
          <cell r="AH885" t="str">
            <v>N</v>
          </cell>
          <cell r="AI885" t="str">
            <v>N</v>
          </cell>
          <cell r="AK885" t="str">
            <v>DOUAR OULED BOUALI BNI SMIR OUED ZEM</v>
          </cell>
          <cell r="AL885" t="str">
            <v>ILLETTRE</v>
          </cell>
          <cell r="AP885" t="str">
            <v>Q 92012</v>
          </cell>
          <cell r="AQ885">
            <v>0</v>
          </cell>
          <cell r="AR885" t="str">
            <v>C</v>
          </cell>
          <cell r="AU885" t="str">
            <v>/  /</v>
          </cell>
          <cell r="AW885">
            <v>38353</v>
          </cell>
          <cell r="AY885" t="str">
            <v>XX</v>
          </cell>
          <cell r="BA885" t="str">
            <v>1</v>
          </cell>
          <cell r="BB885">
            <v>1</v>
          </cell>
          <cell r="BD885">
            <v>0</v>
          </cell>
          <cell r="BE885" t="str">
            <v>M</v>
          </cell>
          <cell r="BF885" t="str">
            <v>N</v>
          </cell>
          <cell r="BG885">
            <v>0</v>
          </cell>
          <cell r="BH885">
            <v>38353</v>
          </cell>
        </row>
        <row r="886">
          <cell r="A886">
            <v>70642</v>
          </cell>
          <cell r="B886">
            <v>468</v>
          </cell>
          <cell r="C886" t="str">
            <v>C3152</v>
          </cell>
          <cell r="D886" t="str">
            <v>ESSOULAMI</v>
          </cell>
          <cell r="E886" t="str">
            <v>M'BAREK</v>
          </cell>
          <cell r="F886">
            <v>18444</v>
          </cell>
          <cell r="G886" t="str">
            <v>2</v>
          </cell>
          <cell r="H886" t="str">
            <v>OULED KTIR - BRACHOUA</v>
          </cell>
          <cell r="I886" t="str">
            <v>D</v>
          </cell>
          <cell r="J886">
            <v>28646</v>
          </cell>
          <cell r="K886">
            <v>33420</v>
          </cell>
          <cell r="L886" t="str">
            <v>21</v>
          </cell>
          <cell r="M886" t="str">
            <v>A</v>
          </cell>
          <cell r="N886">
            <v>33420</v>
          </cell>
          <cell r="P886">
            <v>24</v>
          </cell>
          <cell r="Q886" t="str">
            <v>O</v>
          </cell>
          <cell r="R886" t="str">
            <v>N</v>
          </cell>
          <cell r="S886">
            <v>0</v>
          </cell>
          <cell r="T886" t="str">
            <v>M</v>
          </cell>
          <cell r="U886" t="str">
            <v>AICHA BENT AHMED</v>
          </cell>
          <cell r="X886">
            <v>8</v>
          </cell>
          <cell r="Y886">
            <v>5</v>
          </cell>
          <cell r="AB886" t="str">
            <v>X</v>
          </cell>
          <cell r="AC886" t="str">
            <v>X</v>
          </cell>
          <cell r="AD886" t="str">
            <v>X</v>
          </cell>
          <cell r="AH886" t="str">
            <v>O</v>
          </cell>
          <cell r="AI886" t="str">
            <v>N</v>
          </cell>
          <cell r="AK886" t="str">
            <v>505 NOUVEAU TACHERON OCP BOUJNIBA</v>
          </cell>
          <cell r="AL886" t="str">
            <v>1AS</v>
          </cell>
          <cell r="AP886" t="str">
            <v>Q 28793</v>
          </cell>
          <cell r="AQ886">
            <v>0</v>
          </cell>
          <cell r="AR886" t="str">
            <v>B</v>
          </cell>
          <cell r="AS886" t="str">
            <v>BMCE - KHGA</v>
          </cell>
          <cell r="AT886" t="str">
            <v>4000001200001437306</v>
          </cell>
          <cell r="AU886" t="str">
            <v>/  /</v>
          </cell>
          <cell r="AW886">
            <v>38353</v>
          </cell>
          <cell r="AY886" t="str">
            <v>XX</v>
          </cell>
          <cell r="BA886" t="str">
            <v>1</v>
          </cell>
          <cell r="BB886">
            <v>1</v>
          </cell>
          <cell r="BD886">
            <v>0</v>
          </cell>
          <cell r="BE886" t="str">
            <v>M</v>
          </cell>
          <cell r="BF886" t="str">
            <v>N</v>
          </cell>
          <cell r="BG886">
            <v>51</v>
          </cell>
          <cell r="BH886">
            <v>38353</v>
          </cell>
          <cell r="BI886" t="str">
            <v>O</v>
          </cell>
        </row>
        <row r="887">
          <cell r="A887">
            <v>70643</v>
          </cell>
          <cell r="B887">
            <v>468</v>
          </cell>
          <cell r="C887" t="str">
            <v>C3200</v>
          </cell>
          <cell r="D887" t="str">
            <v>HAYOUCHE</v>
          </cell>
          <cell r="E887" t="str">
            <v>MOHAMMED</v>
          </cell>
          <cell r="F887">
            <v>17714</v>
          </cell>
          <cell r="G887" t="str">
            <v>1</v>
          </cell>
          <cell r="H887" t="str">
            <v>KHOURIBGA</v>
          </cell>
          <cell r="I887" t="str">
            <v>D</v>
          </cell>
          <cell r="J887">
            <v>28646</v>
          </cell>
          <cell r="K887">
            <v>37012</v>
          </cell>
          <cell r="L887" t="str">
            <v>21</v>
          </cell>
          <cell r="M887" t="str">
            <v>A</v>
          </cell>
          <cell r="N887">
            <v>37012</v>
          </cell>
          <cell r="P887">
            <v>24</v>
          </cell>
          <cell r="Q887" t="str">
            <v>O</v>
          </cell>
          <cell r="R887" t="str">
            <v>N</v>
          </cell>
          <cell r="S887">
            <v>0</v>
          </cell>
          <cell r="T887" t="str">
            <v>M</v>
          </cell>
          <cell r="U887" t="str">
            <v>RACHIDA BENT BOUABID</v>
          </cell>
          <cell r="X887">
            <v>6</v>
          </cell>
          <cell r="Y887">
            <v>3</v>
          </cell>
          <cell r="AB887" t="str">
            <v>X</v>
          </cell>
          <cell r="AC887" t="str">
            <v>X</v>
          </cell>
          <cell r="AD887" t="str">
            <v>X</v>
          </cell>
          <cell r="AH887" t="str">
            <v>N</v>
          </cell>
          <cell r="AI887" t="str">
            <v>N</v>
          </cell>
          <cell r="AK887" t="str">
            <v>10 RUE 6 QUARTIER BRIQUE KHOURIBGA</v>
          </cell>
          <cell r="AL887" t="str">
            <v>CM2</v>
          </cell>
          <cell r="AP887" t="str">
            <v>Q 17591</v>
          </cell>
          <cell r="AQ887">
            <v>0</v>
          </cell>
          <cell r="AR887" t="str">
            <v>C</v>
          </cell>
          <cell r="AS887" t="str">
            <v>BCM -KHGA</v>
          </cell>
          <cell r="AT887" t="str">
            <v>NC233B300428</v>
          </cell>
          <cell r="AU887" t="str">
            <v>/  /</v>
          </cell>
          <cell r="AW887">
            <v>37803</v>
          </cell>
          <cell r="AY887" t="str">
            <v>XX</v>
          </cell>
          <cell r="BA887" t="str">
            <v>6</v>
          </cell>
          <cell r="BB887">
            <v>1</v>
          </cell>
          <cell r="BD887">
            <v>0</v>
          </cell>
          <cell r="BE887" t="str">
            <v>M</v>
          </cell>
          <cell r="BF887" t="str">
            <v>N</v>
          </cell>
          <cell r="BG887">
            <v>5</v>
          </cell>
          <cell r="BH887">
            <v>37803</v>
          </cell>
        </row>
        <row r="888">
          <cell r="A888">
            <v>70649</v>
          </cell>
          <cell r="B888">
            <v>476</v>
          </cell>
          <cell r="C888" t="str">
            <v>C4405</v>
          </cell>
          <cell r="D888" t="str">
            <v>SAROUTI</v>
          </cell>
          <cell r="E888" t="str">
            <v>DAOUI</v>
          </cell>
          <cell r="F888">
            <v>19892</v>
          </cell>
          <cell r="G888" t="str">
            <v>1</v>
          </cell>
          <cell r="H888" t="str">
            <v>OULED BHAR KBAR KHOURIBGA</v>
          </cell>
          <cell r="I888" t="str">
            <v>D</v>
          </cell>
          <cell r="J888">
            <v>28650</v>
          </cell>
          <cell r="K888">
            <v>29768</v>
          </cell>
          <cell r="L888" t="str">
            <v>22</v>
          </cell>
          <cell r="M888" t="str">
            <v>E</v>
          </cell>
          <cell r="N888">
            <v>35612</v>
          </cell>
          <cell r="P888">
            <v>24</v>
          </cell>
          <cell r="Q888" t="str">
            <v>O</v>
          </cell>
          <cell r="R888" t="str">
            <v>N</v>
          </cell>
          <cell r="S888">
            <v>0</v>
          </cell>
          <cell r="T888" t="str">
            <v>M</v>
          </cell>
          <cell r="U888" t="str">
            <v>HAKIMA BENT BOUAZZA EL KRAD</v>
          </cell>
          <cell r="X888">
            <v>6</v>
          </cell>
          <cell r="Y888">
            <v>6</v>
          </cell>
          <cell r="AB888" t="str">
            <v>X</v>
          </cell>
          <cell r="AC888" t="str">
            <v>X</v>
          </cell>
          <cell r="AD888" t="str">
            <v>X</v>
          </cell>
          <cell r="AH888" t="str">
            <v>O</v>
          </cell>
          <cell r="AI888" t="str">
            <v>N</v>
          </cell>
          <cell r="AK888" t="str">
            <v>193 NELLE CONSTRUCTION OCP KHOURIBGA</v>
          </cell>
          <cell r="AL888" t="str">
            <v>1AS</v>
          </cell>
          <cell r="AP888" t="str">
            <v>Q 83833</v>
          </cell>
          <cell r="AQ888">
            <v>0</v>
          </cell>
          <cell r="AR888" t="str">
            <v>B</v>
          </cell>
          <cell r="AS888" t="str">
            <v>BMCE - KHGA</v>
          </cell>
          <cell r="AT888" t="str">
            <v>4000001200001255819</v>
          </cell>
          <cell r="AU888" t="str">
            <v>/  /</v>
          </cell>
          <cell r="AW888">
            <v>38353</v>
          </cell>
          <cell r="AY888" t="str">
            <v>A+</v>
          </cell>
          <cell r="AZ888" t="str">
            <v>K</v>
          </cell>
          <cell r="BA888" t="str">
            <v>0</v>
          </cell>
          <cell r="BB888">
            <v>1</v>
          </cell>
          <cell r="BD888">
            <v>0</v>
          </cell>
          <cell r="BE888" t="str">
            <v>M</v>
          </cell>
          <cell r="BF888" t="str">
            <v>N</v>
          </cell>
          <cell r="BG888">
            <v>1</v>
          </cell>
          <cell r="BH888">
            <v>38353</v>
          </cell>
        </row>
        <row r="889">
          <cell r="A889">
            <v>70652</v>
          </cell>
          <cell r="B889">
            <v>468</v>
          </cell>
          <cell r="C889" t="str">
            <v>C2152</v>
          </cell>
          <cell r="D889" t="str">
            <v>EL BAHRAOUI</v>
          </cell>
          <cell r="E889" t="str">
            <v>AHMED</v>
          </cell>
          <cell r="F889">
            <v>19540</v>
          </cell>
          <cell r="G889" t="str">
            <v>5</v>
          </cell>
          <cell r="H889" t="str">
            <v>OULED YOUSSEF GHARBIYNE</v>
          </cell>
          <cell r="I889" t="str">
            <v>D</v>
          </cell>
          <cell r="J889">
            <v>28653</v>
          </cell>
          <cell r="K889">
            <v>30864</v>
          </cell>
          <cell r="L889" t="str">
            <v>12</v>
          </cell>
          <cell r="M889" t="str">
            <v>C</v>
          </cell>
          <cell r="N889">
            <v>35247</v>
          </cell>
          <cell r="P889">
            <v>24</v>
          </cell>
          <cell r="Q889" t="str">
            <v>O</v>
          </cell>
          <cell r="R889" t="str">
            <v>N</v>
          </cell>
          <cell r="S889">
            <v>0</v>
          </cell>
          <cell r="T889" t="str">
            <v>M</v>
          </cell>
          <cell r="U889" t="str">
            <v>FATIMA BT ABDELKADER MAACHOURI</v>
          </cell>
          <cell r="X889">
            <v>8</v>
          </cell>
          <cell r="Y889">
            <v>6</v>
          </cell>
          <cell r="AB889" t="str">
            <v>X</v>
          </cell>
          <cell r="AC889" t="str">
            <v>X</v>
          </cell>
          <cell r="AD889" t="str">
            <v>X</v>
          </cell>
          <cell r="AH889" t="str">
            <v>N</v>
          </cell>
          <cell r="AI889" t="str">
            <v>N</v>
          </cell>
          <cell r="AK889" t="str">
            <v>14 RUE 1 HAY KODIA ZIDANIA - OUED ZEM</v>
          </cell>
          <cell r="AL889" t="str">
            <v>CE1</v>
          </cell>
          <cell r="AP889" t="str">
            <v>Q 51061</v>
          </cell>
          <cell r="AQ889">
            <v>0</v>
          </cell>
          <cell r="AR889" t="str">
            <v>B</v>
          </cell>
          <cell r="AS889" t="str">
            <v>CREDIT DU MAROC-KHGA</v>
          </cell>
          <cell r="AT889" t="str">
            <v>082001069806</v>
          </cell>
          <cell r="AU889" t="str">
            <v>/  /</v>
          </cell>
          <cell r="AW889">
            <v>38353</v>
          </cell>
          <cell r="AY889" t="str">
            <v>O+</v>
          </cell>
          <cell r="BA889" t="str">
            <v>1</v>
          </cell>
          <cell r="BB889">
            <v>1</v>
          </cell>
          <cell r="BD889">
            <v>0</v>
          </cell>
          <cell r="BE889" t="str">
            <v>M</v>
          </cell>
          <cell r="BF889" t="str">
            <v>N</v>
          </cell>
          <cell r="BG889">
            <v>31</v>
          </cell>
          <cell r="BH889">
            <v>38353</v>
          </cell>
          <cell r="BI889" t="str">
            <v>O</v>
          </cell>
        </row>
        <row r="890">
          <cell r="A890">
            <v>70661</v>
          </cell>
          <cell r="B890">
            <v>400</v>
          </cell>
          <cell r="C890" t="str">
            <v>X1601</v>
          </cell>
          <cell r="D890" t="str">
            <v>AKKAR</v>
          </cell>
          <cell r="E890" t="str">
            <v>FATNA</v>
          </cell>
          <cell r="F890">
            <v>20636</v>
          </cell>
          <cell r="G890" t="str">
            <v>6</v>
          </cell>
          <cell r="H890" t="str">
            <v>M'FASSIS</v>
          </cell>
          <cell r="I890" t="str">
            <v>D</v>
          </cell>
          <cell r="J890">
            <v>28663</v>
          </cell>
          <cell r="K890">
            <v>33420</v>
          </cell>
          <cell r="L890" t="str">
            <v>41</v>
          </cell>
          <cell r="M890" t="str">
            <v>B</v>
          </cell>
          <cell r="N890">
            <v>35612</v>
          </cell>
          <cell r="P890">
            <v>24</v>
          </cell>
          <cell r="Q890" t="str">
            <v>O</v>
          </cell>
          <cell r="R890" t="str">
            <v>N</v>
          </cell>
          <cell r="S890">
            <v>0</v>
          </cell>
          <cell r="T890" t="str">
            <v>M</v>
          </cell>
          <cell r="U890" t="str">
            <v>NOUBLI MOHAMMED</v>
          </cell>
          <cell r="X890">
            <v>0</v>
          </cell>
          <cell r="Y890">
            <v>0</v>
          </cell>
          <cell r="AB890" t="str">
            <v>O</v>
          </cell>
          <cell r="AC890" t="str">
            <v>X</v>
          </cell>
          <cell r="AD890" t="str">
            <v>X</v>
          </cell>
          <cell r="AE890" t="str">
            <v>OCP.MLE 96251</v>
          </cell>
          <cell r="AH890" t="str">
            <v>N</v>
          </cell>
          <cell r="AI890" t="str">
            <v>N</v>
          </cell>
          <cell r="AK890" t="str">
            <v>59 AVENUE D'EGYPTE EL KARAM NAHDA - KHGA</v>
          </cell>
          <cell r="AL890" t="str">
            <v>7AS.S.EX</v>
          </cell>
          <cell r="AM890" t="str">
            <v>CES.CFO</v>
          </cell>
          <cell r="AN890" t="str">
            <v>562500</v>
          </cell>
          <cell r="AP890" t="str">
            <v>Q 45316</v>
          </cell>
          <cell r="AQ890">
            <v>0</v>
          </cell>
          <cell r="AR890" t="str">
            <v>B</v>
          </cell>
          <cell r="AS890" t="str">
            <v>BMCE - KHGA</v>
          </cell>
          <cell r="AT890" t="str">
            <v>4000001200001224294</v>
          </cell>
          <cell r="AU890" t="str">
            <v>/  /</v>
          </cell>
          <cell r="AW890">
            <v>39448</v>
          </cell>
          <cell r="AY890" t="str">
            <v>XX</v>
          </cell>
          <cell r="BA890" t="str">
            <v>2</v>
          </cell>
          <cell r="BB890">
            <v>1</v>
          </cell>
          <cell r="BD890">
            <v>0</v>
          </cell>
          <cell r="BE890" t="str">
            <v>F</v>
          </cell>
          <cell r="BF890" t="str">
            <v>O</v>
          </cell>
          <cell r="BG890">
            <v>1</v>
          </cell>
          <cell r="BH890">
            <v>39630</v>
          </cell>
          <cell r="BI890" t="str">
            <v>O</v>
          </cell>
        </row>
        <row r="891">
          <cell r="A891">
            <v>70673</v>
          </cell>
          <cell r="B891">
            <v>422</v>
          </cell>
          <cell r="C891" t="str">
            <v>C7036</v>
          </cell>
          <cell r="D891" t="str">
            <v>CHEKAIRI</v>
          </cell>
          <cell r="E891" t="str">
            <v>MOHAMMED</v>
          </cell>
          <cell r="F891">
            <v>19175</v>
          </cell>
          <cell r="G891" t="str">
            <v>1</v>
          </cell>
          <cell r="H891" t="str">
            <v>OULED BHAR KBAR KHOURIBGA</v>
          </cell>
          <cell r="I891" t="str">
            <v>F</v>
          </cell>
          <cell r="J891">
            <v>28669</v>
          </cell>
          <cell r="K891">
            <v>36526</v>
          </cell>
          <cell r="L891" t="str">
            <v>33</v>
          </cell>
          <cell r="M891" t="str">
            <v>A</v>
          </cell>
          <cell r="N891">
            <v>36526</v>
          </cell>
          <cell r="P891">
            <v>24</v>
          </cell>
          <cell r="Q891" t="str">
            <v>O</v>
          </cell>
          <cell r="R891" t="str">
            <v>N</v>
          </cell>
          <cell r="S891">
            <v>0</v>
          </cell>
          <cell r="T891" t="str">
            <v>M</v>
          </cell>
          <cell r="U891" t="str">
            <v>CHOURKANI LATIFA BENT MOHAMED</v>
          </cell>
          <cell r="X891">
            <v>7</v>
          </cell>
          <cell r="Y891">
            <v>6</v>
          </cell>
          <cell r="AB891" t="str">
            <v>X</v>
          </cell>
          <cell r="AC891" t="str">
            <v>X</v>
          </cell>
          <cell r="AD891" t="str">
            <v>X</v>
          </cell>
          <cell r="AH891" t="str">
            <v>N</v>
          </cell>
          <cell r="AI891" t="str">
            <v>N</v>
          </cell>
          <cell r="AK891" t="str">
            <v>14 LOTISSEMENT EL HANA - KHOURIBGA</v>
          </cell>
          <cell r="AL891" t="str">
            <v>7AS.LM</v>
          </cell>
          <cell r="AM891" t="str">
            <v>CES.CFO</v>
          </cell>
          <cell r="AP891" t="str">
            <v>Q 40842</v>
          </cell>
          <cell r="AQ891">
            <v>0</v>
          </cell>
          <cell r="AR891" t="str">
            <v>B</v>
          </cell>
          <cell r="AS891" t="str">
            <v>C.I.H - KHGA</v>
          </cell>
          <cell r="AT891" t="str">
            <v>9584590211004700</v>
          </cell>
          <cell r="AU891" t="str">
            <v>/  /</v>
          </cell>
          <cell r="AW891">
            <v>39878</v>
          </cell>
          <cell r="AX891">
            <v>39878</v>
          </cell>
          <cell r="AY891" t="str">
            <v>XX</v>
          </cell>
          <cell r="BA891" t="str">
            <v>6</v>
          </cell>
          <cell r="BB891">
            <v>1</v>
          </cell>
          <cell r="BC891" t="str">
            <v>O</v>
          </cell>
          <cell r="BD891">
            <v>4</v>
          </cell>
          <cell r="BE891" t="str">
            <v>M</v>
          </cell>
          <cell r="BF891" t="str">
            <v>N</v>
          </cell>
          <cell r="BG891">
            <v>4</v>
          </cell>
          <cell r="BH891">
            <v>38353</v>
          </cell>
        </row>
        <row r="892">
          <cell r="A892">
            <v>70684</v>
          </cell>
          <cell r="B892">
            <v>421</v>
          </cell>
          <cell r="C892" t="str">
            <v>C7002</v>
          </cell>
          <cell r="D892" t="str">
            <v>MENBAR</v>
          </cell>
          <cell r="E892" t="str">
            <v>SAID</v>
          </cell>
          <cell r="F892">
            <v>21001</v>
          </cell>
          <cell r="G892" t="str">
            <v>6</v>
          </cell>
          <cell r="H892" t="str">
            <v>OULED AZZOUZ - KHOURIBGA</v>
          </cell>
          <cell r="I892" t="str">
            <v>F</v>
          </cell>
          <cell r="J892">
            <v>28677</v>
          </cell>
          <cell r="K892">
            <v>33573</v>
          </cell>
          <cell r="L892" t="str">
            <v>33</v>
          </cell>
          <cell r="M892" t="str">
            <v>B</v>
          </cell>
          <cell r="N892">
            <v>35612</v>
          </cell>
          <cell r="P892">
            <v>24</v>
          </cell>
          <cell r="Q892" t="str">
            <v>O</v>
          </cell>
          <cell r="R892" t="str">
            <v>N</v>
          </cell>
          <cell r="S892">
            <v>0</v>
          </cell>
          <cell r="T892" t="str">
            <v>M</v>
          </cell>
          <cell r="U892" t="str">
            <v>FATIMA BENT ALI BOUGATAYA</v>
          </cell>
          <cell r="X892">
            <v>4</v>
          </cell>
          <cell r="Y892">
            <v>4</v>
          </cell>
          <cell r="AB892" t="str">
            <v>X</v>
          </cell>
          <cell r="AC892" t="str">
            <v>X</v>
          </cell>
          <cell r="AD892" t="str">
            <v>X</v>
          </cell>
          <cell r="AH892" t="str">
            <v>N</v>
          </cell>
          <cell r="AI892" t="str">
            <v>N</v>
          </cell>
          <cell r="AK892" t="str">
            <v>BLOC B, 69, EL KARAM, KHOURIBGA</v>
          </cell>
          <cell r="AL892" t="str">
            <v>4AS</v>
          </cell>
          <cell r="AM892" t="str">
            <v>CFP.CFO</v>
          </cell>
          <cell r="AP892" t="str">
            <v>Q 13042</v>
          </cell>
          <cell r="AQ892">
            <v>0</v>
          </cell>
          <cell r="AR892" t="str">
            <v>B</v>
          </cell>
          <cell r="AS892" t="str">
            <v>POPULAIRE.KHGA</v>
          </cell>
          <cell r="AT892" t="str">
            <v>2111112807900001</v>
          </cell>
          <cell r="AU892" t="str">
            <v>/  /</v>
          </cell>
          <cell r="AW892">
            <v>39264</v>
          </cell>
          <cell r="AY892" t="str">
            <v>XX</v>
          </cell>
          <cell r="AZ892" t="str">
            <v>M</v>
          </cell>
          <cell r="BA892" t="str">
            <v>2</v>
          </cell>
          <cell r="BB892">
            <v>1</v>
          </cell>
          <cell r="BC892" t="str">
            <v>O</v>
          </cell>
          <cell r="BD892">
            <v>4</v>
          </cell>
          <cell r="BE892" t="str">
            <v>M</v>
          </cell>
          <cell r="BF892" t="str">
            <v>N</v>
          </cell>
          <cell r="BG892">
            <v>4</v>
          </cell>
          <cell r="BH892">
            <v>39264</v>
          </cell>
        </row>
        <row r="893">
          <cell r="A893">
            <v>70694</v>
          </cell>
          <cell r="B893">
            <v>468</v>
          </cell>
          <cell r="C893" t="str">
            <v>C4102</v>
          </cell>
          <cell r="D893" t="str">
            <v>ZABAKH</v>
          </cell>
          <cell r="E893" t="str">
            <v>TAYEB</v>
          </cell>
          <cell r="F893">
            <v>20897</v>
          </cell>
          <cell r="H893" t="str">
            <v>DEBDOU - OUJDA</v>
          </cell>
          <cell r="I893" t="str">
            <v>D</v>
          </cell>
          <cell r="J893">
            <v>28678</v>
          </cell>
          <cell r="K893">
            <v>37012</v>
          </cell>
          <cell r="L893" t="str">
            <v>22</v>
          </cell>
          <cell r="M893" t="str">
            <v>A</v>
          </cell>
          <cell r="N893">
            <v>37012</v>
          </cell>
          <cell r="P893">
            <v>24</v>
          </cell>
          <cell r="Q893" t="str">
            <v>O</v>
          </cell>
          <cell r="R893" t="str">
            <v>N</v>
          </cell>
          <cell r="S893">
            <v>0</v>
          </cell>
          <cell r="T893" t="str">
            <v>M</v>
          </cell>
          <cell r="U893" t="str">
            <v>FATIMA BENT MOHAMED EL JABRI</v>
          </cell>
          <cell r="X893">
            <v>1</v>
          </cell>
          <cell r="Y893">
            <v>1</v>
          </cell>
          <cell r="AB893" t="str">
            <v>N</v>
          </cell>
          <cell r="AC893" t="str">
            <v>X</v>
          </cell>
          <cell r="AD893" t="str">
            <v>X</v>
          </cell>
          <cell r="AH893" t="str">
            <v>N</v>
          </cell>
          <cell r="AI893" t="str">
            <v>N</v>
          </cell>
          <cell r="AK893" t="str">
            <v>261 NOUVELLE MEDINA DU SECHAGE - KHGA</v>
          </cell>
          <cell r="AL893" t="str">
            <v>2AS</v>
          </cell>
          <cell r="AP893" t="str">
            <v>Q 13698</v>
          </cell>
          <cell r="AQ893">
            <v>0</v>
          </cell>
          <cell r="AR893" t="str">
            <v>C</v>
          </cell>
          <cell r="AU893" t="str">
            <v>01/10/89</v>
          </cell>
          <cell r="AW893">
            <v>39264</v>
          </cell>
          <cell r="AY893" t="str">
            <v>XX</v>
          </cell>
          <cell r="BA893" t="str">
            <v>1</v>
          </cell>
          <cell r="BB893">
            <v>1</v>
          </cell>
          <cell r="BD893">
            <v>0</v>
          </cell>
          <cell r="BE893" t="str">
            <v>M</v>
          </cell>
          <cell r="BF893" t="str">
            <v>N</v>
          </cell>
          <cell r="BG893">
            <v>51</v>
          </cell>
          <cell r="BH893">
            <v>39264</v>
          </cell>
        </row>
        <row r="894">
          <cell r="A894">
            <v>70699</v>
          </cell>
          <cell r="B894">
            <v>409</v>
          </cell>
          <cell r="C894" t="str">
            <v>C5017</v>
          </cell>
          <cell r="D894" t="str">
            <v>DEHBI</v>
          </cell>
          <cell r="E894" t="str">
            <v>AHMED</v>
          </cell>
          <cell r="F894">
            <v>20103</v>
          </cell>
          <cell r="G894" t="str">
            <v>1</v>
          </cell>
          <cell r="H894" t="str">
            <v>KHOURIBGA</v>
          </cell>
          <cell r="I894" t="str">
            <v>D</v>
          </cell>
          <cell r="J894">
            <v>28682</v>
          </cell>
          <cell r="K894">
            <v>35431</v>
          </cell>
          <cell r="L894" t="str">
            <v>31</v>
          </cell>
          <cell r="M894" t="str">
            <v>A</v>
          </cell>
          <cell r="N894">
            <v>35431</v>
          </cell>
          <cell r="P894">
            <v>24</v>
          </cell>
          <cell r="Q894" t="str">
            <v>O</v>
          </cell>
          <cell r="R894" t="str">
            <v>N</v>
          </cell>
          <cell r="S894">
            <v>0</v>
          </cell>
          <cell r="T894" t="str">
            <v>M</v>
          </cell>
          <cell r="U894" t="str">
            <v>SOUAD BENT MOHAMED EL GAZI</v>
          </cell>
          <cell r="X894">
            <v>4</v>
          </cell>
          <cell r="Y894">
            <v>4</v>
          </cell>
          <cell r="AB894" t="str">
            <v>X</v>
          </cell>
          <cell r="AC894" t="str">
            <v>X</v>
          </cell>
          <cell r="AD894" t="str">
            <v>X</v>
          </cell>
          <cell r="AH894" t="str">
            <v>N</v>
          </cell>
          <cell r="AI894" t="str">
            <v>N</v>
          </cell>
          <cell r="AK894" t="str">
            <v>31RUE SAADIENNE HAY ELFATH - KHGA</v>
          </cell>
          <cell r="AL894" t="str">
            <v>3AS</v>
          </cell>
          <cell r="AP894" t="str">
            <v>Q 11077</v>
          </cell>
          <cell r="AQ894">
            <v>0</v>
          </cell>
          <cell r="AR894" t="str">
            <v>B</v>
          </cell>
          <cell r="AS894" t="str">
            <v>B.M.C.E -KHGA-</v>
          </cell>
          <cell r="AT894" t="str">
            <v>400000120000149656</v>
          </cell>
          <cell r="AU894" t="str">
            <v>/  /</v>
          </cell>
          <cell r="AW894">
            <v>40210</v>
          </cell>
          <cell r="AX894">
            <v>40210</v>
          </cell>
          <cell r="AY894" t="str">
            <v>XX</v>
          </cell>
          <cell r="AZ894" t="str">
            <v>M</v>
          </cell>
          <cell r="BA894" t="str">
            <v>2</v>
          </cell>
          <cell r="BB894">
            <v>1</v>
          </cell>
          <cell r="BD894">
            <v>0</v>
          </cell>
          <cell r="BE894" t="str">
            <v>M</v>
          </cell>
          <cell r="BF894" t="str">
            <v>N</v>
          </cell>
          <cell r="BG894">
            <v>1</v>
          </cell>
          <cell r="BH894">
            <v>38534</v>
          </cell>
          <cell r="BI894" t="str">
            <v>O</v>
          </cell>
        </row>
        <row r="895">
          <cell r="A895">
            <v>70737</v>
          </cell>
          <cell r="B895">
            <v>461</v>
          </cell>
          <cell r="C895" t="str">
            <v>C4152</v>
          </cell>
          <cell r="D895" t="str">
            <v>RHZOUNI</v>
          </cell>
          <cell r="E895" t="str">
            <v>MOHAMMED</v>
          </cell>
          <cell r="F895">
            <v>18809</v>
          </cell>
          <cell r="G895" t="str">
            <v>2</v>
          </cell>
          <cell r="H895" t="str">
            <v>OUED-ZEM</v>
          </cell>
          <cell r="I895" t="str">
            <v>D</v>
          </cell>
          <cell r="J895">
            <v>28699</v>
          </cell>
          <cell r="K895">
            <v>37377</v>
          </cell>
          <cell r="L895" t="str">
            <v>22</v>
          </cell>
          <cell r="M895" t="str">
            <v>C</v>
          </cell>
          <cell r="N895">
            <v>37377</v>
          </cell>
          <cell r="P895">
            <v>24</v>
          </cell>
          <cell r="Q895" t="str">
            <v>O</v>
          </cell>
          <cell r="R895" t="str">
            <v>N</v>
          </cell>
          <cell r="S895">
            <v>0</v>
          </cell>
          <cell r="T895" t="str">
            <v>M</v>
          </cell>
          <cell r="U895" t="str">
            <v>CHAMCHOUM SAADIA BENT LARBI</v>
          </cell>
          <cell r="X895">
            <v>4</v>
          </cell>
          <cell r="Y895">
            <v>4</v>
          </cell>
          <cell r="AB895" t="str">
            <v>N</v>
          </cell>
          <cell r="AC895" t="str">
            <v>X</v>
          </cell>
          <cell r="AD895" t="str">
            <v>X</v>
          </cell>
          <cell r="AH895" t="str">
            <v>N</v>
          </cell>
          <cell r="AI895" t="str">
            <v>N</v>
          </cell>
          <cell r="AK895" t="str">
            <v>74 VILLAGE OCP OUED ZEM</v>
          </cell>
          <cell r="AL895" t="str">
            <v>1AS</v>
          </cell>
          <cell r="AP895" t="str">
            <v>Q 23960</v>
          </cell>
          <cell r="AQ895">
            <v>0</v>
          </cell>
          <cell r="AR895" t="str">
            <v>C</v>
          </cell>
          <cell r="AU895" t="str">
            <v>17/08/09</v>
          </cell>
          <cell r="AW895">
            <v>38353</v>
          </cell>
          <cell r="AY895" t="str">
            <v>O+</v>
          </cell>
          <cell r="BA895" t="str">
            <v>0</v>
          </cell>
          <cell r="BB895">
            <v>1</v>
          </cell>
          <cell r="BD895">
            <v>0</v>
          </cell>
          <cell r="BE895" t="str">
            <v>M</v>
          </cell>
          <cell r="BF895" t="str">
            <v>N</v>
          </cell>
          <cell r="BG895">
            <v>31</v>
          </cell>
          <cell r="BH895">
            <v>38353</v>
          </cell>
        </row>
        <row r="896">
          <cell r="A896">
            <v>70753</v>
          </cell>
          <cell r="B896">
            <v>461</v>
          </cell>
          <cell r="C896" t="str">
            <v>C4152</v>
          </cell>
          <cell r="D896" t="str">
            <v>KARAMANE</v>
          </cell>
          <cell r="E896" t="str">
            <v>MOHAMMED</v>
          </cell>
          <cell r="F896">
            <v>19525</v>
          </cell>
          <cell r="H896" t="str">
            <v>CASABLANCA</v>
          </cell>
          <cell r="I896" t="str">
            <v>D</v>
          </cell>
          <cell r="J896">
            <v>28709</v>
          </cell>
          <cell r="K896">
            <v>36526</v>
          </cell>
          <cell r="L896" t="str">
            <v>22</v>
          </cell>
          <cell r="M896" t="str">
            <v>A</v>
          </cell>
          <cell r="N896">
            <v>36526</v>
          </cell>
          <cell r="P896">
            <v>24</v>
          </cell>
          <cell r="Q896" t="str">
            <v>O</v>
          </cell>
          <cell r="R896" t="str">
            <v>N</v>
          </cell>
          <cell r="S896">
            <v>0</v>
          </cell>
          <cell r="T896" t="str">
            <v>M</v>
          </cell>
          <cell r="U896" t="str">
            <v>GHAZANI SAADIA BENT ABDELKADER</v>
          </cell>
          <cell r="X896">
            <v>3</v>
          </cell>
          <cell r="Y896">
            <v>3</v>
          </cell>
          <cell r="AB896" t="str">
            <v>N</v>
          </cell>
          <cell r="AC896" t="str">
            <v>X</v>
          </cell>
          <cell r="AD896" t="str">
            <v>X</v>
          </cell>
          <cell r="AH896" t="str">
            <v>N</v>
          </cell>
          <cell r="AI896" t="str">
            <v>N</v>
          </cell>
          <cell r="AK896" t="str">
            <v>546 VILLAGE OCP BOUJNIBA</v>
          </cell>
          <cell r="AL896" t="str">
            <v>3AS</v>
          </cell>
          <cell r="AP896" t="str">
            <v>B 107375</v>
          </cell>
          <cell r="AQ896">
            <v>0</v>
          </cell>
          <cell r="AR896" t="str">
            <v>B</v>
          </cell>
          <cell r="AS896" t="str">
            <v>BMCE - KHGA</v>
          </cell>
          <cell r="AT896" t="str">
            <v>4000001200001188501</v>
          </cell>
          <cell r="AU896" t="str">
            <v>/  /</v>
          </cell>
          <cell r="AW896">
            <v>38353</v>
          </cell>
          <cell r="AY896" t="str">
            <v>XX</v>
          </cell>
          <cell r="BA896" t="str">
            <v>6</v>
          </cell>
          <cell r="BB896">
            <v>1</v>
          </cell>
          <cell r="BD896">
            <v>0</v>
          </cell>
          <cell r="BE896" t="str">
            <v>M</v>
          </cell>
          <cell r="BF896" t="str">
            <v>N</v>
          </cell>
          <cell r="BG896">
            <v>51</v>
          </cell>
          <cell r="BH896">
            <v>38353</v>
          </cell>
        </row>
        <row r="897">
          <cell r="A897">
            <v>70768</v>
          </cell>
          <cell r="B897">
            <v>400</v>
          </cell>
          <cell r="C897" t="str">
            <v>C4152</v>
          </cell>
          <cell r="D897" t="str">
            <v>HAMID</v>
          </cell>
          <cell r="E897" t="str">
            <v>HAMMOU</v>
          </cell>
          <cell r="F897">
            <v>17348</v>
          </cell>
          <cell r="H897" t="str">
            <v>LAHLAF - SETTAT</v>
          </cell>
          <cell r="I897" t="str">
            <v>D</v>
          </cell>
          <cell r="J897">
            <v>28727</v>
          </cell>
          <cell r="K897">
            <v>36526</v>
          </cell>
          <cell r="L897" t="str">
            <v>22</v>
          </cell>
          <cell r="M897" t="str">
            <v>A</v>
          </cell>
          <cell r="N897">
            <v>36526</v>
          </cell>
          <cell r="P897">
            <v>24</v>
          </cell>
          <cell r="Q897" t="str">
            <v>O</v>
          </cell>
          <cell r="R897" t="str">
            <v>N</v>
          </cell>
          <cell r="S897">
            <v>0</v>
          </cell>
          <cell r="T897" t="str">
            <v>M</v>
          </cell>
          <cell r="U897" t="str">
            <v>ZAHRA BENT BELAID</v>
          </cell>
          <cell r="V897" t="str">
            <v>FATNA BENT EL MILOUDI</v>
          </cell>
          <cell r="X897">
            <v>9</v>
          </cell>
          <cell r="Y897">
            <v>5</v>
          </cell>
          <cell r="AB897" t="str">
            <v>X</v>
          </cell>
          <cell r="AC897" t="str">
            <v>X</v>
          </cell>
          <cell r="AD897" t="str">
            <v>X</v>
          </cell>
          <cell r="AH897" t="str">
            <v>N</v>
          </cell>
          <cell r="AI897" t="str">
            <v>N</v>
          </cell>
          <cell r="AK897" t="str">
            <v>10 RUE RABIA ADAOUIA DB BOUAZ.B.ALI KHGA</v>
          </cell>
          <cell r="AL897" t="str">
            <v>ALPHA.EN ARABE</v>
          </cell>
          <cell r="AP897" t="str">
            <v>Q 75154</v>
          </cell>
          <cell r="AQ897">
            <v>0</v>
          </cell>
          <cell r="AR897" t="str">
            <v>B</v>
          </cell>
          <cell r="AS897" t="str">
            <v>S.G.M.B - KHGA</v>
          </cell>
          <cell r="AT897" t="str">
            <v>0670009230438</v>
          </cell>
          <cell r="AU897" t="str">
            <v>/  /</v>
          </cell>
          <cell r="AW897">
            <v>38219</v>
          </cell>
          <cell r="AX897">
            <v>38219</v>
          </cell>
          <cell r="AY897" t="str">
            <v>XX</v>
          </cell>
          <cell r="BA897" t="str">
            <v>1</v>
          </cell>
          <cell r="BB897">
            <v>1</v>
          </cell>
          <cell r="BD897">
            <v>0</v>
          </cell>
          <cell r="BE897" t="str">
            <v>M</v>
          </cell>
          <cell r="BF897" t="str">
            <v>N</v>
          </cell>
          <cell r="BG897">
            <v>1</v>
          </cell>
          <cell r="BH897">
            <v>37438</v>
          </cell>
        </row>
        <row r="898">
          <cell r="A898">
            <v>70769</v>
          </cell>
          <cell r="B898">
            <v>406</v>
          </cell>
          <cell r="C898" t="str">
            <v>C6209</v>
          </cell>
          <cell r="D898" t="str">
            <v>MIHRAJE</v>
          </cell>
          <cell r="E898" t="str">
            <v>ABDESSAMAD</v>
          </cell>
          <cell r="F898">
            <v>19540</v>
          </cell>
          <cell r="H898" t="str">
            <v>SETTAT</v>
          </cell>
          <cell r="I898" t="str">
            <v>F</v>
          </cell>
          <cell r="J898">
            <v>28713</v>
          </cell>
          <cell r="K898">
            <v>37043</v>
          </cell>
          <cell r="L898" t="str">
            <v>32</v>
          </cell>
          <cell r="M898" t="str">
            <v>B</v>
          </cell>
          <cell r="N898">
            <v>37043</v>
          </cell>
          <cell r="P898">
            <v>24</v>
          </cell>
          <cell r="Q898" t="str">
            <v>O</v>
          </cell>
          <cell r="R898" t="str">
            <v>N</v>
          </cell>
          <cell r="S898">
            <v>0</v>
          </cell>
          <cell r="T898" t="str">
            <v>M</v>
          </cell>
          <cell r="U898" t="str">
            <v>KARMANI KHADDOUJ BENT MOHAMED</v>
          </cell>
          <cell r="X898">
            <v>3</v>
          </cell>
          <cell r="Y898">
            <v>3</v>
          </cell>
          <cell r="AB898" t="str">
            <v>X</v>
          </cell>
          <cell r="AC898" t="str">
            <v>X</v>
          </cell>
          <cell r="AD898" t="str">
            <v>X</v>
          </cell>
          <cell r="AH898" t="str">
            <v>N</v>
          </cell>
          <cell r="AI898" t="str">
            <v>N</v>
          </cell>
          <cell r="AK898" t="str">
            <v>315 BLOC 14 KHOUADRIA JDAD KHOURIBGA</v>
          </cell>
          <cell r="AL898" t="str">
            <v>4AS</v>
          </cell>
          <cell r="AM898" t="str">
            <v>CQP.CFO</v>
          </cell>
          <cell r="AP898" t="str">
            <v>B 346371</v>
          </cell>
          <cell r="AQ898">
            <v>0</v>
          </cell>
          <cell r="AR898" t="str">
            <v>B</v>
          </cell>
          <cell r="AS898" t="str">
            <v>B.M.C.E - KHGA</v>
          </cell>
          <cell r="AT898" t="str">
            <v>40001200001131853</v>
          </cell>
          <cell r="AU898" t="str">
            <v>/  /</v>
          </cell>
          <cell r="AW898">
            <v>38353</v>
          </cell>
          <cell r="AY898" t="str">
            <v>XX</v>
          </cell>
          <cell r="BA898" t="str">
            <v>2</v>
          </cell>
          <cell r="BB898">
            <v>1</v>
          </cell>
          <cell r="BD898">
            <v>0</v>
          </cell>
          <cell r="BE898" t="str">
            <v>M</v>
          </cell>
          <cell r="BF898" t="str">
            <v>N</v>
          </cell>
          <cell r="BG898">
            <v>1</v>
          </cell>
          <cell r="BH898">
            <v>38353</v>
          </cell>
        </row>
        <row r="899">
          <cell r="A899">
            <v>70774</v>
          </cell>
          <cell r="B899">
            <v>416</v>
          </cell>
          <cell r="C899" t="str">
            <v>C4050</v>
          </cell>
          <cell r="D899" t="str">
            <v>SAHOUFI</v>
          </cell>
          <cell r="E899" t="str">
            <v>MOHAMED</v>
          </cell>
          <cell r="F899">
            <v>18079</v>
          </cell>
          <cell r="H899" t="str">
            <v>LOULAD - SETTAT</v>
          </cell>
          <cell r="I899" t="str">
            <v>D</v>
          </cell>
          <cell r="J899">
            <v>28734</v>
          </cell>
          <cell r="K899">
            <v>33573</v>
          </cell>
          <cell r="L899" t="str">
            <v>22</v>
          </cell>
          <cell r="M899" t="str">
            <v>A</v>
          </cell>
          <cell r="N899">
            <v>33573</v>
          </cell>
          <cell r="O899">
            <v>0</v>
          </cell>
          <cell r="P899">
            <v>24</v>
          </cell>
          <cell r="Q899" t="str">
            <v>O</v>
          </cell>
          <cell r="R899" t="str">
            <v>N</v>
          </cell>
          <cell r="S899">
            <v>0</v>
          </cell>
          <cell r="T899" t="str">
            <v>M</v>
          </cell>
          <cell r="U899" t="str">
            <v>HABIBA BENT ABDESSLAM</v>
          </cell>
          <cell r="X899">
            <v>6</v>
          </cell>
          <cell r="Y899">
            <v>1</v>
          </cell>
          <cell r="AB899" t="str">
            <v>X</v>
          </cell>
          <cell r="AC899" t="str">
            <v>X</v>
          </cell>
          <cell r="AD899" t="str">
            <v>X</v>
          </cell>
          <cell r="AH899" t="str">
            <v>N</v>
          </cell>
          <cell r="AI899" t="str">
            <v>N</v>
          </cell>
          <cell r="AK899" t="str">
            <v>EL QODS YAY EL AMAL N° 704 - KHGA</v>
          </cell>
          <cell r="AL899" t="str">
            <v>ILLETTRE</v>
          </cell>
          <cell r="AP899" t="str">
            <v>Q 81073</v>
          </cell>
          <cell r="AQ899">
            <v>0</v>
          </cell>
          <cell r="AR899" t="str">
            <v>B</v>
          </cell>
          <cell r="AS899" t="str">
            <v>POPULAIRE - KHGA</v>
          </cell>
          <cell r="AT899" t="str">
            <v>211117497004007</v>
          </cell>
          <cell r="AU899" t="str">
            <v>/  /</v>
          </cell>
          <cell r="AW899">
            <v>38169</v>
          </cell>
          <cell r="AY899" t="str">
            <v>XX</v>
          </cell>
          <cell r="BA899" t="str">
            <v>2</v>
          </cell>
          <cell r="BB899">
            <v>1</v>
          </cell>
          <cell r="BD899">
            <v>0</v>
          </cell>
          <cell r="BE899" t="str">
            <v>M</v>
          </cell>
          <cell r="BF899" t="str">
            <v>N</v>
          </cell>
          <cell r="BG899">
            <v>1</v>
          </cell>
          <cell r="BH899">
            <v>38169</v>
          </cell>
          <cell r="BI899" t="str">
            <v>O</v>
          </cell>
        </row>
        <row r="900">
          <cell r="A900">
            <v>70778</v>
          </cell>
          <cell r="B900">
            <v>426</v>
          </cell>
          <cell r="C900" t="str">
            <v>C3050</v>
          </cell>
          <cell r="D900" t="str">
            <v>TNAINCHI</v>
          </cell>
          <cell r="E900" t="str">
            <v>EL ARBI</v>
          </cell>
          <cell r="F900">
            <v>18809</v>
          </cell>
          <cell r="G900" t="str">
            <v>6</v>
          </cell>
          <cell r="H900" t="str">
            <v>OULED AZZOUZ - KHOURIBGA</v>
          </cell>
          <cell r="I900" t="str">
            <v>D</v>
          </cell>
          <cell r="J900">
            <v>28739</v>
          </cell>
          <cell r="K900">
            <v>33420</v>
          </cell>
          <cell r="L900" t="str">
            <v>21</v>
          </cell>
          <cell r="M900" t="str">
            <v>A</v>
          </cell>
          <cell r="N900">
            <v>33420</v>
          </cell>
          <cell r="P900">
            <v>24</v>
          </cell>
          <cell r="Q900" t="str">
            <v>O</v>
          </cell>
          <cell r="R900" t="str">
            <v>N</v>
          </cell>
          <cell r="S900">
            <v>0</v>
          </cell>
          <cell r="T900" t="str">
            <v>M</v>
          </cell>
          <cell r="U900" t="str">
            <v>JEMAA BENT HAMMADI</v>
          </cell>
          <cell r="X900">
            <v>6</v>
          </cell>
          <cell r="Y900">
            <v>2</v>
          </cell>
          <cell r="AB900" t="str">
            <v>X</v>
          </cell>
          <cell r="AC900" t="str">
            <v>X</v>
          </cell>
          <cell r="AD900" t="str">
            <v>X</v>
          </cell>
          <cell r="AH900" t="str">
            <v>N</v>
          </cell>
          <cell r="AI900" t="str">
            <v>N</v>
          </cell>
          <cell r="AK900" t="str">
            <v>53 HAY EL AMAL - KHOURIBGA</v>
          </cell>
          <cell r="AL900" t="str">
            <v>ILLETTRE</v>
          </cell>
          <cell r="AP900" t="str">
            <v>Q 33799</v>
          </cell>
          <cell r="AQ900">
            <v>0</v>
          </cell>
          <cell r="AR900" t="str">
            <v>C</v>
          </cell>
          <cell r="AU900" t="str">
            <v>/  /</v>
          </cell>
          <cell r="AW900">
            <v>38353</v>
          </cell>
          <cell r="AY900" t="str">
            <v>XX</v>
          </cell>
          <cell r="BA900" t="str">
            <v>2</v>
          </cell>
          <cell r="BB900">
            <v>1</v>
          </cell>
          <cell r="BD900">
            <v>0</v>
          </cell>
          <cell r="BE900" t="str">
            <v>M</v>
          </cell>
          <cell r="BF900" t="str">
            <v>N</v>
          </cell>
          <cell r="BG900">
            <v>4</v>
          </cell>
          <cell r="BH900">
            <v>38534</v>
          </cell>
        </row>
        <row r="901">
          <cell r="A901">
            <v>70779</v>
          </cell>
          <cell r="B901">
            <v>428</v>
          </cell>
          <cell r="C901" t="str">
            <v>C3152</v>
          </cell>
          <cell r="D901" t="str">
            <v>AFRANI</v>
          </cell>
          <cell r="E901" t="str">
            <v>MOHAMED</v>
          </cell>
          <cell r="F901">
            <v>17714</v>
          </cell>
          <cell r="G901" t="str">
            <v>6</v>
          </cell>
          <cell r="H901" t="str">
            <v>OULED AZZOUZ</v>
          </cell>
          <cell r="I901" t="str">
            <v>D</v>
          </cell>
          <cell r="J901">
            <v>28739</v>
          </cell>
          <cell r="K901">
            <v>37012</v>
          </cell>
          <cell r="L901" t="str">
            <v>21</v>
          </cell>
          <cell r="M901" t="str">
            <v>A</v>
          </cell>
          <cell r="N901">
            <v>37012</v>
          </cell>
          <cell r="P901">
            <v>24</v>
          </cell>
          <cell r="Q901" t="str">
            <v>O</v>
          </cell>
          <cell r="R901" t="str">
            <v>N</v>
          </cell>
          <cell r="S901">
            <v>0</v>
          </cell>
          <cell r="T901" t="str">
            <v>M</v>
          </cell>
          <cell r="U901" t="str">
            <v>FATNA BENT ABDESSLAM</v>
          </cell>
          <cell r="X901">
            <v>8</v>
          </cell>
          <cell r="Y901">
            <v>2</v>
          </cell>
          <cell r="AB901" t="str">
            <v>X</v>
          </cell>
          <cell r="AC901" t="str">
            <v>X</v>
          </cell>
          <cell r="AD901" t="str">
            <v>X</v>
          </cell>
          <cell r="AH901" t="str">
            <v>N</v>
          </cell>
          <cell r="AI901" t="str">
            <v>N</v>
          </cell>
          <cell r="AK901" t="str">
            <v>41 RUE 1 KOREA OUED ZEM</v>
          </cell>
          <cell r="AL901" t="str">
            <v>ILLETTRE</v>
          </cell>
          <cell r="AP901" t="str">
            <v>Q 80653</v>
          </cell>
          <cell r="AQ901">
            <v>0</v>
          </cell>
          <cell r="AR901" t="str">
            <v>C</v>
          </cell>
          <cell r="AU901" t="str">
            <v>/  /</v>
          </cell>
          <cell r="AW901">
            <v>37803</v>
          </cell>
          <cell r="AY901" t="str">
            <v>XX</v>
          </cell>
          <cell r="BA901" t="str">
            <v>1</v>
          </cell>
          <cell r="BB901">
            <v>1</v>
          </cell>
          <cell r="BD901">
            <v>0</v>
          </cell>
          <cell r="BE901" t="str">
            <v>M</v>
          </cell>
          <cell r="BF901" t="str">
            <v>N</v>
          </cell>
          <cell r="BG901">
            <v>30</v>
          </cell>
          <cell r="BH901">
            <v>37803</v>
          </cell>
          <cell r="BI901" t="str">
            <v>O</v>
          </cell>
        </row>
        <row r="902">
          <cell r="A902">
            <v>70784</v>
          </cell>
          <cell r="B902">
            <v>418</v>
          </cell>
          <cell r="C902" t="str">
            <v>C3050</v>
          </cell>
          <cell r="D902" t="str">
            <v>EL ARISSI EL ID</v>
          </cell>
          <cell r="E902" t="str">
            <v>MUSTAPHA</v>
          </cell>
          <cell r="F902">
            <v>19540</v>
          </cell>
          <cell r="G902" t="str">
            <v>6</v>
          </cell>
          <cell r="H902" t="str">
            <v>HATTANE</v>
          </cell>
          <cell r="I902" t="str">
            <v>D</v>
          </cell>
          <cell r="J902">
            <v>28745</v>
          </cell>
          <cell r="K902">
            <v>36526</v>
          </cell>
          <cell r="L902" t="str">
            <v>21</v>
          </cell>
          <cell r="M902" t="str">
            <v>B</v>
          </cell>
          <cell r="N902">
            <v>36526</v>
          </cell>
          <cell r="P902">
            <v>24</v>
          </cell>
          <cell r="Q902" t="str">
            <v>O</v>
          </cell>
          <cell r="R902" t="str">
            <v>N</v>
          </cell>
          <cell r="S902">
            <v>0</v>
          </cell>
          <cell r="T902" t="str">
            <v>M</v>
          </cell>
          <cell r="U902" t="str">
            <v>FATNA BENT MOHAMED</v>
          </cell>
          <cell r="X902">
            <v>6</v>
          </cell>
          <cell r="Y902">
            <v>2</v>
          </cell>
          <cell r="AB902" t="str">
            <v>X</v>
          </cell>
          <cell r="AC902" t="str">
            <v>X</v>
          </cell>
          <cell r="AD902" t="str">
            <v>X</v>
          </cell>
          <cell r="AH902" t="str">
            <v>N</v>
          </cell>
          <cell r="AI902" t="str">
            <v>N</v>
          </cell>
          <cell r="AK902" t="str">
            <v>218,NX LOGEMENTS SECHAGE OCP KHOURIBGA</v>
          </cell>
          <cell r="AL902" t="str">
            <v>ILLETTRE</v>
          </cell>
          <cell r="AP902" t="str">
            <v>W 22647</v>
          </cell>
          <cell r="AQ902">
            <v>0</v>
          </cell>
          <cell r="AR902" t="str">
            <v>B</v>
          </cell>
          <cell r="AS902" t="str">
            <v>C.I.H - KHGA</v>
          </cell>
          <cell r="AT902" t="str">
            <v>9153669211004700</v>
          </cell>
          <cell r="AU902" t="str">
            <v>/  /</v>
          </cell>
          <cell r="AW902">
            <v>38353</v>
          </cell>
          <cell r="AY902" t="str">
            <v>XX</v>
          </cell>
          <cell r="BA902" t="str">
            <v>2</v>
          </cell>
          <cell r="BB902">
            <v>1</v>
          </cell>
          <cell r="BD902">
            <v>0</v>
          </cell>
          <cell r="BE902" t="str">
            <v>M</v>
          </cell>
          <cell r="BF902" t="str">
            <v>N</v>
          </cell>
          <cell r="BG902">
            <v>1</v>
          </cell>
          <cell r="BH902">
            <v>38534</v>
          </cell>
        </row>
        <row r="903">
          <cell r="A903">
            <v>70795</v>
          </cell>
          <cell r="B903">
            <v>401</v>
          </cell>
          <cell r="C903" t="str">
            <v>C4601</v>
          </cell>
          <cell r="D903" t="str">
            <v>MAADANE</v>
          </cell>
          <cell r="E903" t="str">
            <v>LAHSEN</v>
          </cell>
          <cell r="F903">
            <v>19241</v>
          </cell>
          <cell r="G903" t="str">
            <v>1</v>
          </cell>
          <cell r="H903" t="str">
            <v>KHOURIBGA</v>
          </cell>
          <cell r="I903" t="str">
            <v>D</v>
          </cell>
          <cell r="J903">
            <v>28772</v>
          </cell>
          <cell r="K903">
            <v>33573</v>
          </cell>
          <cell r="L903" t="str">
            <v>33</v>
          </cell>
          <cell r="M903" t="str">
            <v>B</v>
          </cell>
          <cell r="N903">
            <v>35612</v>
          </cell>
          <cell r="P903">
            <v>24</v>
          </cell>
          <cell r="Q903" t="str">
            <v>O</v>
          </cell>
          <cell r="R903" t="str">
            <v>N</v>
          </cell>
          <cell r="S903">
            <v>0</v>
          </cell>
          <cell r="T903" t="str">
            <v>M</v>
          </cell>
          <cell r="U903" t="str">
            <v>FATIMA BENT BELGACEM</v>
          </cell>
          <cell r="X903">
            <v>4</v>
          </cell>
          <cell r="Y903">
            <v>3</v>
          </cell>
          <cell r="AB903" t="str">
            <v>X</v>
          </cell>
          <cell r="AC903" t="str">
            <v>X</v>
          </cell>
          <cell r="AD903" t="str">
            <v>X</v>
          </cell>
          <cell r="AH903" t="str">
            <v>N</v>
          </cell>
          <cell r="AI903" t="str">
            <v>N</v>
          </cell>
          <cell r="AK903" t="str">
            <v>15 BLOC J HAY AL MASSIRA KHOURIBGA</v>
          </cell>
          <cell r="AL903" t="str">
            <v>7AS.</v>
          </cell>
          <cell r="AP903" t="str">
            <v>Q 11290</v>
          </cell>
          <cell r="AQ903">
            <v>0</v>
          </cell>
          <cell r="AR903" t="str">
            <v>B</v>
          </cell>
          <cell r="AS903" t="str">
            <v>CREDIT-DU-MAROC</v>
          </cell>
          <cell r="AT903" t="str">
            <v>082001039126</v>
          </cell>
          <cell r="AU903" t="str">
            <v>/  /</v>
          </cell>
          <cell r="AW903">
            <v>39448</v>
          </cell>
          <cell r="AY903" t="str">
            <v>XX</v>
          </cell>
          <cell r="AZ903" t="str">
            <v>M</v>
          </cell>
          <cell r="BA903" t="str">
            <v>2</v>
          </cell>
          <cell r="BB903">
            <v>1</v>
          </cell>
          <cell r="BD903">
            <v>0</v>
          </cell>
          <cell r="BE903" t="str">
            <v>M</v>
          </cell>
          <cell r="BF903" t="str">
            <v>N</v>
          </cell>
          <cell r="BG903">
            <v>1</v>
          </cell>
          <cell r="BH903">
            <v>39448</v>
          </cell>
        </row>
        <row r="904">
          <cell r="A904">
            <v>70796</v>
          </cell>
          <cell r="B904">
            <v>421</v>
          </cell>
          <cell r="C904" t="str">
            <v>C3152</v>
          </cell>
          <cell r="D904" t="str">
            <v>EL OIRZADI</v>
          </cell>
          <cell r="E904" t="str">
            <v>ZAARI</v>
          </cell>
          <cell r="F904">
            <v>17714</v>
          </cell>
          <cell r="G904" t="str">
            <v>5</v>
          </cell>
          <cell r="H904" t="str">
            <v>OULED YOUSSEF GHARBIYNE</v>
          </cell>
          <cell r="I904" t="str">
            <v>D</v>
          </cell>
          <cell r="J904">
            <v>28772</v>
          </cell>
          <cell r="K904">
            <v>37012</v>
          </cell>
          <cell r="L904" t="str">
            <v>21</v>
          </cell>
          <cell r="M904" t="str">
            <v>A</v>
          </cell>
          <cell r="N904">
            <v>37012</v>
          </cell>
          <cell r="P904">
            <v>24</v>
          </cell>
          <cell r="Q904" t="str">
            <v>O</v>
          </cell>
          <cell r="R904" t="str">
            <v>N</v>
          </cell>
          <cell r="S904">
            <v>0</v>
          </cell>
          <cell r="T904" t="str">
            <v>M</v>
          </cell>
          <cell r="U904" t="str">
            <v>IZZA BENT HADJ BEN OMAR</v>
          </cell>
          <cell r="X904">
            <v>5</v>
          </cell>
          <cell r="Y904">
            <v>1</v>
          </cell>
          <cell r="AB904" t="str">
            <v>X</v>
          </cell>
          <cell r="AC904" t="str">
            <v>X</v>
          </cell>
          <cell r="AD904" t="str">
            <v>X</v>
          </cell>
          <cell r="AH904" t="str">
            <v>N</v>
          </cell>
          <cell r="AI904" t="str">
            <v>N</v>
          </cell>
          <cell r="AK904" t="str">
            <v>106 RUE 21 KOREA - OUED ZEM</v>
          </cell>
          <cell r="AL904" t="str">
            <v>ILLETTRE</v>
          </cell>
          <cell r="AP904" t="str">
            <v>Q 18560</v>
          </cell>
          <cell r="AQ904">
            <v>0</v>
          </cell>
          <cell r="AR904" t="str">
            <v>C</v>
          </cell>
          <cell r="AU904" t="str">
            <v>/  /</v>
          </cell>
          <cell r="AW904">
            <v>37803</v>
          </cell>
          <cell r="AY904" t="str">
            <v>XX</v>
          </cell>
          <cell r="BA904" t="str">
            <v>1</v>
          </cell>
          <cell r="BB904">
            <v>1</v>
          </cell>
          <cell r="BD904">
            <v>0</v>
          </cell>
          <cell r="BE904" t="str">
            <v>M</v>
          </cell>
          <cell r="BF904" t="str">
            <v>N</v>
          </cell>
          <cell r="BG904">
            <v>30</v>
          </cell>
          <cell r="BH904">
            <v>37803</v>
          </cell>
          <cell r="BI904" t="str">
            <v>O</v>
          </cell>
        </row>
        <row r="905">
          <cell r="A905">
            <v>70799</v>
          </cell>
          <cell r="B905">
            <v>428</v>
          </cell>
          <cell r="C905" t="str">
            <v>C3152</v>
          </cell>
          <cell r="D905" t="str">
            <v>SMOUNI</v>
          </cell>
          <cell r="E905" t="str">
            <v>ABDELKADER</v>
          </cell>
          <cell r="F905">
            <v>18444</v>
          </cell>
          <cell r="G905" t="str">
            <v>2</v>
          </cell>
          <cell r="H905" t="str">
            <v>BENI SMIR OUED-ZEM</v>
          </cell>
          <cell r="I905" t="str">
            <v>D</v>
          </cell>
          <cell r="J905">
            <v>28779</v>
          </cell>
          <cell r="K905">
            <v>37012</v>
          </cell>
          <cell r="L905" t="str">
            <v>21</v>
          </cell>
          <cell r="M905" t="str">
            <v>B</v>
          </cell>
          <cell r="N905">
            <v>37012</v>
          </cell>
          <cell r="P905">
            <v>24</v>
          </cell>
          <cell r="Q905" t="str">
            <v>N</v>
          </cell>
          <cell r="R905" t="str">
            <v>O</v>
          </cell>
          <cell r="S905">
            <v>3</v>
          </cell>
          <cell r="T905" t="str">
            <v>M</v>
          </cell>
          <cell r="U905" t="str">
            <v>ZAHRA BENT JILALI</v>
          </cell>
          <cell r="X905">
            <v>8</v>
          </cell>
          <cell r="Y905">
            <v>2</v>
          </cell>
          <cell r="AB905" t="str">
            <v>X</v>
          </cell>
          <cell r="AC905" t="str">
            <v>X</v>
          </cell>
          <cell r="AD905" t="str">
            <v>X</v>
          </cell>
          <cell r="AH905" t="str">
            <v>N</v>
          </cell>
          <cell r="AI905" t="str">
            <v>N</v>
          </cell>
          <cell r="AK905" t="str">
            <v>DOUAR OULED BOUALI BNI SMIR OUED ZEM</v>
          </cell>
          <cell r="AL905" t="str">
            <v>ILLETTRE</v>
          </cell>
          <cell r="AP905" t="str">
            <v>Q 74085</v>
          </cell>
          <cell r="AQ905">
            <v>0</v>
          </cell>
          <cell r="AR905" t="str">
            <v>C</v>
          </cell>
          <cell r="AU905" t="str">
            <v>/  /</v>
          </cell>
          <cell r="AW905">
            <v>38534</v>
          </cell>
          <cell r="AY905" t="str">
            <v>XX</v>
          </cell>
          <cell r="BA905" t="str">
            <v>1</v>
          </cell>
          <cell r="BB905">
            <v>1</v>
          </cell>
          <cell r="BD905">
            <v>0</v>
          </cell>
          <cell r="BE905" t="str">
            <v>M</v>
          </cell>
          <cell r="BF905" t="str">
            <v>N</v>
          </cell>
          <cell r="BG905">
            <v>0</v>
          </cell>
          <cell r="BH905">
            <v>38534</v>
          </cell>
          <cell r="BI905" t="str">
            <v>O</v>
          </cell>
        </row>
        <row r="906">
          <cell r="A906">
            <v>70803</v>
          </cell>
          <cell r="B906">
            <v>403</v>
          </cell>
          <cell r="C906" t="str">
            <v>C3050</v>
          </cell>
          <cell r="D906" t="str">
            <v>OUTGHOUT</v>
          </cell>
          <cell r="E906" t="str">
            <v>LAHSEN</v>
          </cell>
          <cell r="F906">
            <v>17714</v>
          </cell>
          <cell r="H906" t="str">
            <v>BIOUGRA - AGADIR</v>
          </cell>
          <cell r="I906" t="str">
            <v>D</v>
          </cell>
          <cell r="J906">
            <v>28779</v>
          </cell>
          <cell r="K906">
            <v>37012</v>
          </cell>
          <cell r="L906" t="str">
            <v>21</v>
          </cell>
          <cell r="M906" t="str">
            <v>B</v>
          </cell>
          <cell r="N906">
            <v>37012</v>
          </cell>
          <cell r="P906">
            <v>24</v>
          </cell>
          <cell r="Q906" t="str">
            <v>O</v>
          </cell>
          <cell r="R906" t="str">
            <v>N</v>
          </cell>
          <cell r="S906">
            <v>0</v>
          </cell>
          <cell r="T906" t="str">
            <v>M</v>
          </cell>
          <cell r="U906" t="str">
            <v>ZAINA BENT AHMED</v>
          </cell>
          <cell r="X906">
            <v>8</v>
          </cell>
          <cell r="Y906">
            <v>4</v>
          </cell>
          <cell r="AB906" t="str">
            <v>X</v>
          </cell>
          <cell r="AC906" t="str">
            <v>X</v>
          </cell>
          <cell r="AD906" t="str">
            <v>X</v>
          </cell>
          <cell r="AH906" t="str">
            <v>N</v>
          </cell>
          <cell r="AI906" t="str">
            <v>N</v>
          </cell>
          <cell r="AK906" t="str">
            <v>1276 SBATA VILLAGE OCP HATTANE</v>
          </cell>
          <cell r="AL906" t="str">
            <v>ILLETTRE</v>
          </cell>
          <cell r="AP906" t="str">
            <v>Q 68319</v>
          </cell>
          <cell r="AQ906">
            <v>0</v>
          </cell>
          <cell r="AR906" t="str">
            <v>C</v>
          </cell>
          <cell r="AU906" t="str">
            <v>/  /</v>
          </cell>
          <cell r="AW906">
            <v>37803</v>
          </cell>
          <cell r="AY906" t="str">
            <v>XX</v>
          </cell>
          <cell r="BA906" t="str">
            <v>1</v>
          </cell>
          <cell r="BB906">
            <v>1</v>
          </cell>
          <cell r="BD906">
            <v>0</v>
          </cell>
          <cell r="BE906" t="str">
            <v>M</v>
          </cell>
          <cell r="BF906" t="str">
            <v>N</v>
          </cell>
          <cell r="BG906">
            <v>10</v>
          </cell>
          <cell r="BH906">
            <v>37803</v>
          </cell>
        </row>
        <row r="907">
          <cell r="A907">
            <v>70830</v>
          </cell>
          <cell r="B907">
            <v>446</v>
          </cell>
          <cell r="C907" t="str">
            <v>C4405</v>
          </cell>
          <cell r="D907" t="str">
            <v>SEKKA</v>
          </cell>
          <cell r="E907" t="str">
            <v>EL MOSTAPHA</v>
          </cell>
          <cell r="F907">
            <v>20270</v>
          </cell>
          <cell r="G907" t="str">
            <v>1</v>
          </cell>
          <cell r="H907" t="str">
            <v>OULED ABDOUNE</v>
          </cell>
          <cell r="I907" t="str">
            <v>D</v>
          </cell>
          <cell r="J907">
            <v>28794</v>
          </cell>
          <cell r="K907">
            <v>32478</v>
          </cell>
          <cell r="L907" t="str">
            <v>22</v>
          </cell>
          <cell r="M907" t="str">
            <v>B</v>
          </cell>
          <cell r="N907">
            <v>35612</v>
          </cell>
          <cell r="P907">
            <v>24</v>
          </cell>
          <cell r="Q907" t="str">
            <v>O</v>
          </cell>
          <cell r="R907" t="str">
            <v>N</v>
          </cell>
          <cell r="S907">
            <v>0</v>
          </cell>
          <cell r="T907" t="str">
            <v>M</v>
          </cell>
          <cell r="U907" t="str">
            <v>KODAR HABIBA BENT HAMMOU</v>
          </cell>
          <cell r="V907" t="str">
            <v>NAHI FATNA BENT CHERKI</v>
          </cell>
          <cell r="X907">
            <v>7</v>
          </cell>
          <cell r="Y907">
            <v>4</v>
          </cell>
          <cell r="AB907" t="str">
            <v>X</v>
          </cell>
          <cell r="AC907" t="str">
            <v>X</v>
          </cell>
          <cell r="AD907" t="str">
            <v>X</v>
          </cell>
          <cell r="AH907" t="str">
            <v>N</v>
          </cell>
          <cell r="AI907" t="str">
            <v>N</v>
          </cell>
          <cell r="AK907" t="str">
            <v>124 NELLE MEDINA DE SECHAGE KHOURIBGA</v>
          </cell>
          <cell r="AL907" t="str">
            <v>CM2</v>
          </cell>
          <cell r="AP907" t="str">
            <v>Q 17888</v>
          </cell>
          <cell r="AQ907">
            <v>0</v>
          </cell>
          <cell r="AR907" t="str">
            <v>B</v>
          </cell>
          <cell r="AS907" t="str">
            <v>C.I.H  KHGA</v>
          </cell>
          <cell r="AT907" t="str">
            <v>7934854</v>
          </cell>
          <cell r="AU907" t="str">
            <v>02/08/88</v>
          </cell>
          <cell r="AW907">
            <v>38534</v>
          </cell>
          <cell r="AY907" t="str">
            <v>O+</v>
          </cell>
          <cell r="BA907" t="str">
            <v>0</v>
          </cell>
          <cell r="BB907">
            <v>1</v>
          </cell>
          <cell r="BD907">
            <v>0</v>
          </cell>
          <cell r="BE907" t="str">
            <v>M</v>
          </cell>
          <cell r="BF907" t="str">
            <v>N</v>
          </cell>
          <cell r="BG907">
            <v>1</v>
          </cell>
          <cell r="BH907">
            <v>38534</v>
          </cell>
        </row>
        <row r="908">
          <cell r="A908">
            <v>70837</v>
          </cell>
          <cell r="B908">
            <v>461</v>
          </cell>
          <cell r="C908" t="str">
            <v>C6152</v>
          </cell>
          <cell r="D908" t="str">
            <v>TRIS</v>
          </cell>
          <cell r="E908" t="str">
            <v>BOUAZZA</v>
          </cell>
          <cell r="F908">
            <v>18994</v>
          </cell>
          <cell r="G908" t="str">
            <v>2</v>
          </cell>
          <cell r="H908" t="str">
            <v>OUED-ZEM</v>
          </cell>
          <cell r="I908" t="str">
            <v>D</v>
          </cell>
          <cell r="J908">
            <v>28796</v>
          </cell>
          <cell r="K908">
            <v>36526</v>
          </cell>
          <cell r="L908" t="str">
            <v>32</v>
          </cell>
          <cell r="M908" t="str">
            <v>A</v>
          </cell>
          <cell r="N908">
            <v>36526</v>
          </cell>
          <cell r="P908">
            <v>24</v>
          </cell>
          <cell r="Q908" t="str">
            <v>O</v>
          </cell>
          <cell r="R908" t="str">
            <v>N</v>
          </cell>
          <cell r="S908">
            <v>0</v>
          </cell>
          <cell r="T908" t="str">
            <v>M</v>
          </cell>
          <cell r="U908" t="str">
            <v>FATIMA BENT BOUJEMAA</v>
          </cell>
          <cell r="X908">
            <v>3</v>
          </cell>
          <cell r="Y908">
            <v>3</v>
          </cell>
          <cell r="AB908" t="str">
            <v>X</v>
          </cell>
          <cell r="AC908" t="str">
            <v>X</v>
          </cell>
          <cell r="AD908" t="str">
            <v>X</v>
          </cell>
          <cell r="AH908" t="str">
            <v>N</v>
          </cell>
          <cell r="AI908" t="str">
            <v>N</v>
          </cell>
          <cell r="AK908" t="str">
            <v>45 RUE ZIDANIA OUED ZEM</v>
          </cell>
          <cell r="AL908" t="str">
            <v>4AS</v>
          </cell>
          <cell r="AM908" t="str">
            <v>CFO.</v>
          </cell>
          <cell r="AP908" t="str">
            <v>B 194256</v>
          </cell>
          <cell r="AQ908">
            <v>0</v>
          </cell>
          <cell r="AR908" t="str">
            <v>B</v>
          </cell>
          <cell r="AS908" t="str">
            <v>C.I.H - KHGA</v>
          </cell>
          <cell r="AT908" t="str">
            <v>9828427211004700</v>
          </cell>
          <cell r="AU908" t="str">
            <v>/  /</v>
          </cell>
          <cell r="AW908">
            <v>38534</v>
          </cell>
          <cell r="AY908" t="str">
            <v>XX</v>
          </cell>
          <cell r="BA908" t="str">
            <v>1</v>
          </cell>
          <cell r="BB908">
            <v>1</v>
          </cell>
          <cell r="BD908">
            <v>0</v>
          </cell>
          <cell r="BE908" t="str">
            <v>M</v>
          </cell>
          <cell r="BF908" t="str">
            <v>N</v>
          </cell>
          <cell r="BG908">
            <v>31</v>
          </cell>
          <cell r="BH908">
            <v>38534</v>
          </cell>
        </row>
        <row r="909">
          <cell r="A909">
            <v>70870</v>
          </cell>
          <cell r="B909">
            <v>403</v>
          </cell>
          <cell r="C909" t="str">
            <v>C6801</v>
          </cell>
          <cell r="D909" t="str">
            <v>HEDDOUDI</v>
          </cell>
          <cell r="E909" t="str">
            <v>MUSTAPHA</v>
          </cell>
          <cell r="F909">
            <v>19118</v>
          </cell>
          <cell r="H909" t="str">
            <v>BENI MELLAL</v>
          </cell>
          <cell r="I909" t="str">
            <v>F</v>
          </cell>
          <cell r="J909">
            <v>28811</v>
          </cell>
          <cell r="K909">
            <v>33573</v>
          </cell>
          <cell r="L909" t="str">
            <v>32</v>
          </cell>
          <cell r="M909" t="str">
            <v>B</v>
          </cell>
          <cell r="N909">
            <v>35612</v>
          </cell>
          <cell r="P909">
            <v>24</v>
          </cell>
          <cell r="Q909" t="str">
            <v>O</v>
          </cell>
          <cell r="R909" t="str">
            <v>N</v>
          </cell>
          <cell r="S909">
            <v>0</v>
          </cell>
          <cell r="T909" t="str">
            <v>M</v>
          </cell>
          <cell r="U909" t="str">
            <v>FATIMA BENT MOHAMED MISRAOUI</v>
          </cell>
          <cell r="X909">
            <v>6</v>
          </cell>
          <cell r="Y909">
            <v>6</v>
          </cell>
          <cell r="AB909" t="str">
            <v>X</v>
          </cell>
          <cell r="AC909" t="str">
            <v>X</v>
          </cell>
          <cell r="AD909" t="str">
            <v>X</v>
          </cell>
          <cell r="AH909" t="str">
            <v>N</v>
          </cell>
          <cell r="AI909" t="str">
            <v>N</v>
          </cell>
          <cell r="AK909" t="str">
            <v>157 NLLE CONSTRUCTION O.C.P - KHGA</v>
          </cell>
          <cell r="AL909" t="str">
            <v>3AS</v>
          </cell>
          <cell r="AM909" t="str">
            <v>CFP.CFO</v>
          </cell>
          <cell r="AP909" t="str">
            <v>I 26517</v>
          </cell>
          <cell r="AQ909">
            <v>0</v>
          </cell>
          <cell r="AR909" t="str">
            <v>B</v>
          </cell>
          <cell r="AS909" t="str">
            <v>POPULAIRE  KHGA</v>
          </cell>
          <cell r="AT909" t="str">
            <v>2111112777390001</v>
          </cell>
          <cell r="AU909" t="str">
            <v>13/05/05</v>
          </cell>
          <cell r="AW909">
            <v>38534</v>
          </cell>
          <cell r="AY909" t="str">
            <v>O+</v>
          </cell>
          <cell r="BA909" t="str">
            <v>0</v>
          </cell>
          <cell r="BB909">
            <v>1</v>
          </cell>
          <cell r="BD909">
            <v>0</v>
          </cell>
          <cell r="BE909" t="str">
            <v>M</v>
          </cell>
          <cell r="BF909" t="str">
            <v>N</v>
          </cell>
          <cell r="BG909">
            <v>1</v>
          </cell>
          <cell r="BH909">
            <v>38534</v>
          </cell>
        </row>
        <row r="910">
          <cell r="A910">
            <v>70946</v>
          </cell>
          <cell r="B910">
            <v>406</v>
          </cell>
          <cell r="C910" t="str">
            <v>C7102</v>
          </cell>
          <cell r="D910" t="str">
            <v>LAHNIENE</v>
          </cell>
          <cell r="E910" t="str">
            <v>RAHAL</v>
          </cell>
          <cell r="F910">
            <v>19175</v>
          </cell>
          <cell r="G910" t="str">
            <v>1</v>
          </cell>
          <cell r="H910" t="str">
            <v>KHOURIBGA</v>
          </cell>
          <cell r="I910" t="str">
            <v>D</v>
          </cell>
          <cell r="J910">
            <v>28858</v>
          </cell>
          <cell r="K910">
            <v>35065</v>
          </cell>
          <cell r="L910" t="str">
            <v>33</v>
          </cell>
          <cell r="M910" t="str">
            <v>A</v>
          </cell>
          <cell r="N910">
            <v>35065</v>
          </cell>
          <cell r="P910">
            <v>24</v>
          </cell>
          <cell r="Q910" t="str">
            <v>O</v>
          </cell>
          <cell r="R910" t="str">
            <v>N</v>
          </cell>
          <cell r="S910">
            <v>0</v>
          </cell>
          <cell r="T910" t="str">
            <v>M</v>
          </cell>
          <cell r="U910" t="str">
            <v>EL BASRI NADIA BENT MOHAMED</v>
          </cell>
          <cell r="X910">
            <v>4</v>
          </cell>
          <cell r="Y910">
            <v>4</v>
          </cell>
          <cell r="AB910" t="str">
            <v>X</v>
          </cell>
          <cell r="AC910" t="str">
            <v>X</v>
          </cell>
          <cell r="AD910" t="str">
            <v>X</v>
          </cell>
          <cell r="AH910" t="str">
            <v>N</v>
          </cell>
          <cell r="AI910" t="str">
            <v>N</v>
          </cell>
          <cell r="AK910" t="str">
            <v>31 RUE NAHJ HOUDA QUAR.BOUAZA B ALI KHGA</v>
          </cell>
          <cell r="AL910" t="str">
            <v>4AS</v>
          </cell>
          <cell r="AM910" t="str">
            <v>CQP.CFO</v>
          </cell>
          <cell r="AP910" t="str">
            <v>Q 57432</v>
          </cell>
          <cell r="AQ910">
            <v>0</v>
          </cell>
          <cell r="AR910" t="str">
            <v>B</v>
          </cell>
          <cell r="AS910" t="str">
            <v>CREDIT DU MAROC</v>
          </cell>
          <cell r="AT910" t="str">
            <v>820010013781</v>
          </cell>
          <cell r="AU910" t="str">
            <v>19/06/92</v>
          </cell>
          <cell r="AW910">
            <v>38534</v>
          </cell>
          <cell r="AY910" t="str">
            <v>XX</v>
          </cell>
          <cell r="AZ910" t="str">
            <v>K</v>
          </cell>
          <cell r="BA910" t="str">
            <v>2</v>
          </cell>
          <cell r="BB910">
            <v>1</v>
          </cell>
          <cell r="BD910">
            <v>0</v>
          </cell>
          <cell r="BE910" t="str">
            <v>M</v>
          </cell>
          <cell r="BF910" t="str">
            <v>N</v>
          </cell>
          <cell r="BG910">
            <v>1</v>
          </cell>
          <cell r="BH910">
            <v>38534</v>
          </cell>
          <cell r="BI910" t="str">
            <v>O</v>
          </cell>
        </row>
        <row r="911">
          <cell r="A911">
            <v>70951</v>
          </cell>
          <cell r="B911">
            <v>421</v>
          </cell>
          <cell r="C911" t="str">
            <v>C7036</v>
          </cell>
          <cell r="D911" t="str">
            <v>MAKICH</v>
          </cell>
          <cell r="E911" t="str">
            <v>MOHAMMED</v>
          </cell>
          <cell r="F911">
            <v>20270</v>
          </cell>
          <cell r="H911" t="str">
            <v>OULED YOUNES - BEN SLIMANE</v>
          </cell>
          <cell r="I911" t="str">
            <v>F</v>
          </cell>
          <cell r="J911">
            <v>28858</v>
          </cell>
          <cell r="K911">
            <v>37043</v>
          </cell>
          <cell r="L911" t="str">
            <v>33</v>
          </cell>
          <cell r="M911" t="str">
            <v>C</v>
          </cell>
          <cell r="N911">
            <v>37043</v>
          </cell>
          <cell r="P911">
            <v>24</v>
          </cell>
          <cell r="Q911" t="str">
            <v>O</v>
          </cell>
          <cell r="R911" t="str">
            <v>N</v>
          </cell>
          <cell r="S911">
            <v>0</v>
          </cell>
          <cell r="T911" t="str">
            <v>M</v>
          </cell>
          <cell r="U911" t="str">
            <v>FATIHA BENT M'HAMED ECHAIBI</v>
          </cell>
          <cell r="X911">
            <v>4</v>
          </cell>
          <cell r="Y911">
            <v>4</v>
          </cell>
          <cell r="AB911" t="str">
            <v>X</v>
          </cell>
          <cell r="AC911" t="str">
            <v>X</v>
          </cell>
          <cell r="AD911" t="str">
            <v>X</v>
          </cell>
          <cell r="AH911" t="str">
            <v>N</v>
          </cell>
          <cell r="AI911" t="str">
            <v>N</v>
          </cell>
          <cell r="AK911" t="str">
            <v>143 BLOC O RUE MOKHTAR SOUSSI NAHDA KHGA</v>
          </cell>
          <cell r="AL911" t="str">
            <v>7AS.S.EXP</v>
          </cell>
          <cell r="AM911" t="str">
            <v>CFO.</v>
          </cell>
          <cell r="AP911" t="str">
            <v>Q 54117</v>
          </cell>
          <cell r="AQ911">
            <v>0</v>
          </cell>
          <cell r="AR911" t="str">
            <v>B</v>
          </cell>
          <cell r="AS911" t="str">
            <v>BMCE.KHGA</v>
          </cell>
          <cell r="AT911" t="str">
            <v>40001200000601748</v>
          </cell>
          <cell r="AU911" t="str">
            <v>/  /</v>
          </cell>
          <cell r="AW911">
            <v>40210</v>
          </cell>
          <cell r="AX911">
            <v>40210</v>
          </cell>
          <cell r="AY911" t="str">
            <v>XX</v>
          </cell>
          <cell r="BA911" t="str">
            <v>2</v>
          </cell>
          <cell r="BB911">
            <v>1</v>
          </cell>
          <cell r="BC911" t="str">
            <v>O</v>
          </cell>
          <cell r="BD911">
            <v>5</v>
          </cell>
          <cell r="BE911" t="str">
            <v>M</v>
          </cell>
          <cell r="BF911" t="str">
            <v>N</v>
          </cell>
          <cell r="BG911">
            <v>4</v>
          </cell>
          <cell r="BH911">
            <v>38534</v>
          </cell>
        </row>
        <row r="912">
          <cell r="A912">
            <v>70973</v>
          </cell>
          <cell r="B912">
            <v>466</v>
          </cell>
          <cell r="C912" t="str">
            <v>C3152</v>
          </cell>
          <cell r="D912" t="str">
            <v>RACHDAD</v>
          </cell>
          <cell r="E912" t="str">
            <v>MUSTAPHA</v>
          </cell>
          <cell r="F912">
            <v>18324</v>
          </cell>
          <cell r="G912" t="str">
            <v>2</v>
          </cell>
          <cell r="H912" t="str">
            <v>OUED-ZEM</v>
          </cell>
          <cell r="I912" t="str">
            <v>D</v>
          </cell>
          <cell r="J912">
            <v>28871</v>
          </cell>
          <cell r="K912">
            <v>33420</v>
          </cell>
          <cell r="L912" t="str">
            <v>21</v>
          </cell>
          <cell r="M912" t="str">
            <v>A</v>
          </cell>
          <cell r="N912">
            <v>33420</v>
          </cell>
          <cell r="P912">
            <v>24</v>
          </cell>
          <cell r="Q912" t="str">
            <v>O</v>
          </cell>
          <cell r="R912" t="str">
            <v>N</v>
          </cell>
          <cell r="S912">
            <v>0</v>
          </cell>
          <cell r="T912" t="str">
            <v>M</v>
          </cell>
          <cell r="U912" t="str">
            <v>ZAHRA BENT MOHAMED</v>
          </cell>
          <cell r="X912">
            <v>3</v>
          </cell>
          <cell r="Y912">
            <v>3</v>
          </cell>
          <cell r="AB912" t="str">
            <v>X</v>
          </cell>
          <cell r="AC912" t="str">
            <v>X</v>
          </cell>
          <cell r="AD912" t="str">
            <v>X</v>
          </cell>
          <cell r="AH912" t="str">
            <v>N</v>
          </cell>
          <cell r="AI912" t="str">
            <v>N</v>
          </cell>
          <cell r="AK912" t="str">
            <v>32 RUE 21 KOREA OUED ZEM</v>
          </cell>
          <cell r="AL912" t="str">
            <v>4AS</v>
          </cell>
          <cell r="AM912" t="str">
            <v>CES.</v>
          </cell>
          <cell r="AP912" t="str">
            <v>Q 59358</v>
          </cell>
          <cell r="AQ912">
            <v>0</v>
          </cell>
          <cell r="AR912" t="str">
            <v>B</v>
          </cell>
          <cell r="AS912" t="str">
            <v>BMCE.OUED ZEM</v>
          </cell>
          <cell r="AT912" t="str">
            <v>41101200000298323</v>
          </cell>
          <cell r="AU912" t="str">
            <v>/  /</v>
          </cell>
          <cell r="AW912">
            <v>38353</v>
          </cell>
          <cell r="AY912" t="str">
            <v>XX</v>
          </cell>
          <cell r="AZ912" t="str">
            <v>K</v>
          </cell>
          <cell r="BA912" t="str">
            <v>1</v>
          </cell>
          <cell r="BB912">
            <v>1</v>
          </cell>
          <cell r="BD912">
            <v>0</v>
          </cell>
          <cell r="BE912" t="str">
            <v>M</v>
          </cell>
          <cell r="BF912" t="str">
            <v>N</v>
          </cell>
          <cell r="BG912">
            <v>31</v>
          </cell>
          <cell r="BH912">
            <v>38534</v>
          </cell>
          <cell r="BI912" t="str">
            <v>O</v>
          </cell>
        </row>
        <row r="913">
          <cell r="A913">
            <v>71038</v>
          </cell>
          <cell r="B913">
            <v>461</v>
          </cell>
          <cell r="C913" t="str">
            <v>C7152</v>
          </cell>
          <cell r="D913" t="str">
            <v>BAATI</v>
          </cell>
          <cell r="E913" t="str">
            <v>MOHAMMED</v>
          </cell>
          <cell r="F913">
            <v>19540</v>
          </cell>
          <cell r="G913" t="str">
            <v>3</v>
          </cell>
          <cell r="H913" t="str">
            <v>BOUJNIBA</v>
          </cell>
          <cell r="I913" t="str">
            <v>D</v>
          </cell>
          <cell r="J913">
            <v>28927</v>
          </cell>
          <cell r="K913">
            <v>36526</v>
          </cell>
          <cell r="L913" t="str">
            <v>33</v>
          </cell>
          <cell r="M913" t="str">
            <v>A</v>
          </cell>
          <cell r="N913">
            <v>36526</v>
          </cell>
          <cell r="P913">
            <v>24</v>
          </cell>
          <cell r="Q913" t="str">
            <v>O</v>
          </cell>
          <cell r="R913" t="str">
            <v>N</v>
          </cell>
          <cell r="S913">
            <v>0</v>
          </cell>
          <cell r="T913" t="str">
            <v>M</v>
          </cell>
          <cell r="U913" t="str">
            <v>EL AMRI ZOHRA BENT BOUCHTA</v>
          </cell>
          <cell r="X913">
            <v>5</v>
          </cell>
          <cell r="Y913">
            <v>5</v>
          </cell>
          <cell r="AB913" t="str">
            <v>X</v>
          </cell>
          <cell r="AC913" t="str">
            <v>X</v>
          </cell>
          <cell r="AD913" t="str">
            <v>X</v>
          </cell>
          <cell r="AH913" t="str">
            <v>N</v>
          </cell>
          <cell r="AI913" t="str">
            <v>N</v>
          </cell>
          <cell r="AK913" t="str">
            <v>2 RUE OUED BEHT PEPINIERE KHOURIBGA</v>
          </cell>
          <cell r="AL913" t="str">
            <v>2AS</v>
          </cell>
          <cell r="AM913" t="str">
            <v>CFO</v>
          </cell>
          <cell r="AP913" t="str">
            <v>Q 946</v>
          </cell>
          <cell r="AQ913">
            <v>0</v>
          </cell>
          <cell r="AR913" t="str">
            <v>B</v>
          </cell>
          <cell r="AS913" t="str">
            <v>WAFABANK - KHGA</v>
          </cell>
          <cell r="AT913" t="str">
            <v>1220301218330</v>
          </cell>
          <cell r="AU913" t="str">
            <v>/  /</v>
          </cell>
          <cell r="AW913">
            <v>38534</v>
          </cell>
          <cell r="AY913" t="str">
            <v>XX</v>
          </cell>
          <cell r="BA913" t="str">
            <v>1</v>
          </cell>
          <cell r="BB913">
            <v>1</v>
          </cell>
          <cell r="BD913">
            <v>0</v>
          </cell>
          <cell r="BE913" t="str">
            <v>M</v>
          </cell>
          <cell r="BF913" t="str">
            <v>N</v>
          </cell>
          <cell r="BG913">
            <v>5</v>
          </cell>
          <cell r="BH913">
            <v>38534</v>
          </cell>
        </row>
        <row r="914">
          <cell r="A914">
            <v>71053</v>
          </cell>
          <cell r="B914">
            <v>468</v>
          </cell>
          <cell r="C914" t="str">
            <v>C3152</v>
          </cell>
          <cell r="D914" t="str">
            <v>EL BATOULI</v>
          </cell>
          <cell r="E914" t="str">
            <v>AHMED</v>
          </cell>
          <cell r="F914">
            <v>18444</v>
          </cell>
          <cell r="G914" t="str">
            <v>2</v>
          </cell>
          <cell r="H914" t="str">
            <v>SMAALA</v>
          </cell>
          <cell r="I914" t="str">
            <v>D</v>
          </cell>
          <cell r="J914">
            <v>28933</v>
          </cell>
          <cell r="K914">
            <v>37012</v>
          </cell>
          <cell r="L914" t="str">
            <v>21</v>
          </cell>
          <cell r="M914" t="str">
            <v>A</v>
          </cell>
          <cell r="N914">
            <v>37012</v>
          </cell>
          <cell r="O914">
            <v>0</v>
          </cell>
          <cell r="P914">
            <v>24</v>
          </cell>
          <cell r="Q914" t="str">
            <v>O</v>
          </cell>
          <cell r="R914" t="str">
            <v>N</v>
          </cell>
          <cell r="S914">
            <v>0</v>
          </cell>
          <cell r="T914" t="str">
            <v>M</v>
          </cell>
          <cell r="U914" t="str">
            <v>HAJIBA BENT MOHAMED</v>
          </cell>
          <cell r="X914">
            <v>8</v>
          </cell>
          <cell r="Y914">
            <v>5</v>
          </cell>
          <cell r="AB914" t="str">
            <v>X</v>
          </cell>
          <cell r="AC914" t="str">
            <v>X</v>
          </cell>
          <cell r="AD914" t="str">
            <v>X</v>
          </cell>
          <cell r="AH914" t="str">
            <v>N</v>
          </cell>
          <cell r="AI914" t="str">
            <v>N</v>
          </cell>
          <cell r="AK914" t="str">
            <v>65 VILLAGE OCP OUED ZEM</v>
          </cell>
          <cell r="AL914" t="str">
            <v>ILLETTRE</v>
          </cell>
          <cell r="AP914" t="str">
            <v>Q 92116</v>
          </cell>
          <cell r="AQ914">
            <v>0</v>
          </cell>
          <cell r="AR914" t="str">
            <v>B</v>
          </cell>
          <cell r="AS914" t="str">
            <v>POPULAIRE - O.ZEM</v>
          </cell>
          <cell r="AT914" t="str">
            <v>211113625919002772</v>
          </cell>
          <cell r="AU914" t="str">
            <v>/  /</v>
          </cell>
          <cell r="AW914">
            <v>38534</v>
          </cell>
          <cell r="AY914" t="str">
            <v>XX</v>
          </cell>
          <cell r="BA914" t="str">
            <v>1</v>
          </cell>
          <cell r="BB914">
            <v>1</v>
          </cell>
          <cell r="BD914">
            <v>0</v>
          </cell>
          <cell r="BE914" t="str">
            <v>M</v>
          </cell>
          <cell r="BF914" t="str">
            <v>N</v>
          </cell>
          <cell r="BG914">
            <v>31</v>
          </cell>
          <cell r="BH914">
            <v>38534</v>
          </cell>
        </row>
        <row r="915">
          <cell r="A915">
            <v>71065</v>
          </cell>
          <cell r="B915">
            <v>418</v>
          </cell>
          <cell r="C915" t="str">
            <v>C3050</v>
          </cell>
          <cell r="D915" t="str">
            <v>SENNA</v>
          </cell>
          <cell r="E915" t="str">
            <v>EL KBIR</v>
          </cell>
          <cell r="F915">
            <v>19175</v>
          </cell>
          <cell r="G915" t="str">
            <v>6</v>
          </cell>
          <cell r="H915" t="str">
            <v>OULED AZZOUZ</v>
          </cell>
          <cell r="I915" t="str">
            <v>D</v>
          </cell>
          <cell r="J915">
            <v>28947</v>
          </cell>
          <cell r="K915">
            <v>37377</v>
          </cell>
          <cell r="L915" t="str">
            <v>21</v>
          </cell>
          <cell r="M915" t="str">
            <v>A</v>
          </cell>
          <cell r="N915">
            <v>37377</v>
          </cell>
          <cell r="P915">
            <v>24</v>
          </cell>
          <cell r="Q915" t="str">
            <v>N</v>
          </cell>
          <cell r="R915" t="str">
            <v>O</v>
          </cell>
          <cell r="S915">
            <v>3</v>
          </cell>
          <cell r="T915" t="str">
            <v>M</v>
          </cell>
          <cell r="U915" t="str">
            <v>JEMAA BENT HADJ BOUZEKRI</v>
          </cell>
          <cell r="X915">
            <v>5</v>
          </cell>
          <cell r="Y915">
            <v>3</v>
          </cell>
          <cell r="AB915" t="str">
            <v>X</v>
          </cell>
          <cell r="AC915" t="str">
            <v>X</v>
          </cell>
          <cell r="AD915" t="str">
            <v>X</v>
          </cell>
          <cell r="AH915" t="str">
            <v>N</v>
          </cell>
          <cell r="AI915" t="str">
            <v>N</v>
          </cell>
          <cell r="AK915" t="str">
            <v>DOUAR OULED EL KOURI OULED AZZOUZ HATTAN</v>
          </cell>
          <cell r="AL915" t="str">
            <v>ILLETTRE</v>
          </cell>
          <cell r="AP915" t="str">
            <v>Q 66572</v>
          </cell>
          <cell r="AQ915">
            <v>0</v>
          </cell>
          <cell r="AR915" t="str">
            <v>C</v>
          </cell>
          <cell r="AU915" t="str">
            <v>/  /</v>
          </cell>
          <cell r="AW915">
            <v>38534</v>
          </cell>
          <cell r="AY915" t="str">
            <v>XX</v>
          </cell>
          <cell r="BA915" t="str">
            <v>2</v>
          </cell>
          <cell r="BB915">
            <v>1</v>
          </cell>
          <cell r="BD915">
            <v>0</v>
          </cell>
          <cell r="BE915" t="str">
            <v>M</v>
          </cell>
          <cell r="BF915" t="str">
            <v>N</v>
          </cell>
          <cell r="BG915">
            <v>0</v>
          </cell>
          <cell r="BH915">
            <v>38718</v>
          </cell>
        </row>
        <row r="916">
          <cell r="A916">
            <v>71072</v>
          </cell>
          <cell r="B916">
            <v>461</v>
          </cell>
          <cell r="C916" t="str">
            <v>C3020</v>
          </cell>
          <cell r="D916" t="str">
            <v>ER-RATBY</v>
          </cell>
          <cell r="E916" t="str">
            <v>BOUZEKRI</v>
          </cell>
          <cell r="F916">
            <v>19905</v>
          </cell>
          <cell r="G916" t="str">
            <v>6</v>
          </cell>
          <cell r="H916" t="str">
            <v>OULED AZZOUZ - KHOURIBGA</v>
          </cell>
          <cell r="I916" t="str">
            <v>D</v>
          </cell>
          <cell r="J916">
            <v>28940</v>
          </cell>
          <cell r="K916">
            <v>35370</v>
          </cell>
          <cell r="L916" t="str">
            <v>21</v>
          </cell>
          <cell r="M916" t="str">
            <v>A</v>
          </cell>
          <cell r="N916">
            <v>35370</v>
          </cell>
          <cell r="P916">
            <v>24</v>
          </cell>
          <cell r="Q916" t="str">
            <v>O</v>
          </cell>
          <cell r="R916" t="str">
            <v>N</v>
          </cell>
          <cell r="S916">
            <v>0</v>
          </cell>
          <cell r="T916" t="str">
            <v>M</v>
          </cell>
          <cell r="U916" t="str">
            <v>JEMAA BENT MOHAMED</v>
          </cell>
          <cell r="X916">
            <v>1</v>
          </cell>
          <cell r="Y916">
            <v>0</v>
          </cell>
          <cell r="AB916" t="str">
            <v>X</v>
          </cell>
          <cell r="AC916" t="str">
            <v>X</v>
          </cell>
          <cell r="AD916" t="str">
            <v>X</v>
          </cell>
          <cell r="AH916" t="str">
            <v>N</v>
          </cell>
          <cell r="AI916" t="str">
            <v>N</v>
          </cell>
          <cell r="AK916" t="str">
            <v>913 VILLAGE OCP - HATTANE</v>
          </cell>
          <cell r="AL916" t="str">
            <v>ILLETTRE</v>
          </cell>
          <cell r="AP916" t="str">
            <v>Q 73347</v>
          </cell>
          <cell r="AQ916">
            <v>0</v>
          </cell>
          <cell r="AR916" t="str">
            <v>B</v>
          </cell>
          <cell r="AS916" t="str">
            <v>SGMB - KHGA</v>
          </cell>
          <cell r="AT916" t="str">
            <v>6700091564</v>
          </cell>
          <cell r="AU916" t="str">
            <v>21/07/10</v>
          </cell>
          <cell r="AW916">
            <v>38534</v>
          </cell>
          <cell r="AY916" t="str">
            <v>O+</v>
          </cell>
          <cell r="BA916" t="str">
            <v>0</v>
          </cell>
          <cell r="BB916">
            <v>1</v>
          </cell>
          <cell r="BD916">
            <v>0</v>
          </cell>
          <cell r="BE916" t="str">
            <v>M</v>
          </cell>
          <cell r="BF916" t="str">
            <v>N</v>
          </cell>
          <cell r="BG916">
            <v>11</v>
          </cell>
          <cell r="BH916">
            <v>38534</v>
          </cell>
        </row>
        <row r="917">
          <cell r="A917">
            <v>71073</v>
          </cell>
          <cell r="B917">
            <v>468</v>
          </cell>
          <cell r="C917" t="str">
            <v>C3152</v>
          </cell>
          <cell r="D917" t="str">
            <v>QBAICH</v>
          </cell>
          <cell r="E917" t="str">
            <v>M'HAMED</v>
          </cell>
          <cell r="F917">
            <v>20801</v>
          </cell>
          <cell r="G917" t="str">
            <v>1</v>
          </cell>
          <cell r="H917" t="str">
            <v>OULED BHAR KBAR KHOURIBGA</v>
          </cell>
          <cell r="I917" t="str">
            <v>D</v>
          </cell>
          <cell r="J917">
            <v>28947</v>
          </cell>
          <cell r="K917">
            <v>36526</v>
          </cell>
          <cell r="L917" t="str">
            <v>21</v>
          </cell>
          <cell r="M917" t="str">
            <v>B</v>
          </cell>
          <cell r="N917">
            <v>36526</v>
          </cell>
          <cell r="P917">
            <v>24</v>
          </cell>
          <cell r="Q917" t="str">
            <v>O</v>
          </cell>
          <cell r="R917" t="str">
            <v>N</v>
          </cell>
          <cell r="S917">
            <v>0</v>
          </cell>
          <cell r="T917" t="str">
            <v>M</v>
          </cell>
          <cell r="U917" t="str">
            <v>QBAICH FATNA BENT HADJ OMAR</v>
          </cell>
          <cell r="X917">
            <v>5</v>
          </cell>
          <cell r="Y917">
            <v>3</v>
          </cell>
          <cell r="AB917" t="str">
            <v>X</v>
          </cell>
          <cell r="AC917" t="str">
            <v>X</v>
          </cell>
          <cell r="AD917" t="str">
            <v>X</v>
          </cell>
          <cell r="AH917" t="str">
            <v>N</v>
          </cell>
          <cell r="AI917" t="str">
            <v>N</v>
          </cell>
          <cell r="AK917" t="str">
            <v>34 HABITAT - BIR MEZOUI</v>
          </cell>
          <cell r="AL917" t="str">
            <v>ILLETTRE</v>
          </cell>
          <cell r="AP917" t="str">
            <v>Q 24714</v>
          </cell>
          <cell r="AQ917">
            <v>0</v>
          </cell>
          <cell r="AR917" t="str">
            <v>B</v>
          </cell>
          <cell r="AS917" t="str">
            <v>CNCA.KHGA</v>
          </cell>
          <cell r="AT917" t="str">
            <v>0805725 C 601</v>
          </cell>
          <cell r="AU917" t="str">
            <v>/  /</v>
          </cell>
          <cell r="AW917">
            <v>39083</v>
          </cell>
          <cell r="AY917" t="str">
            <v>XX</v>
          </cell>
          <cell r="BA917" t="str">
            <v>1</v>
          </cell>
          <cell r="BB917">
            <v>1</v>
          </cell>
          <cell r="BD917">
            <v>0</v>
          </cell>
          <cell r="BE917" t="str">
            <v>M</v>
          </cell>
          <cell r="BF917" t="str">
            <v>N</v>
          </cell>
          <cell r="BG917">
            <v>60</v>
          </cell>
          <cell r="BH917">
            <v>39264</v>
          </cell>
          <cell r="BI917" t="str">
            <v>O</v>
          </cell>
        </row>
        <row r="918">
          <cell r="A918">
            <v>71078</v>
          </cell>
          <cell r="B918">
            <v>416</v>
          </cell>
          <cell r="C918" t="str">
            <v>C3050</v>
          </cell>
          <cell r="D918" t="str">
            <v>TAIB</v>
          </cell>
          <cell r="E918" t="str">
            <v>EL MAMOUN</v>
          </cell>
          <cell r="F918">
            <v>19175</v>
          </cell>
          <cell r="H918" t="str">
            <v>OULED M'HAMED - SETTAT</v>
          </cell>
          <cell r="I918" t="str">
            <v>D</v>
          </cell>
          <cell r="J918">
            <v>28947</v>
          </cell>
          <cell r="K918">
            <v>37012</v>
          </cell>
          <cell r="L918" t="str">
            <v>21</v>
          </cell>
          <cell r="M918" t="str">
            <v>A</v>
          </cell>
          <cell r="N918">
            <v>37012</v>
          </cell>
          <cell r="P918">
            <v>24</v>
          </cell>
          <cell r="Q918" t="str">
            <v>O</v>
          </cell>
          <cell r="R918" t="str">
            <v>N</v>
          </cell>
          <cell r="S918">
            <v>0</v>
          </cell>
          <cell r="T918" t="str">
            <v>M</v>
          </cell>
          <cell r="U918" t="str">
            <v>RABHA BENT ABBES</v>
          </cell>
          <cell r="X918">
            <v>8</v>
          </cell>
          <cell r="Y918">
            <v>0</v>
          </cell>
          <cell r="AB918" t="str">
            <v>X</v>
          </cell>
          <cell r="AC918" t="str">
            <v>X</v>
          </cell>
          <cell r="AD918" t="str">
            <v>X</v>
          </cell>
          <cell r="AH918" t="str">
            <v>N</v>
          </cell>
          <cell r="AI918" t="str">
            <v>N</v>
          </cell>
          <cell r="AK918" t="str">
            <v>106 RUE JAMAL EDDINE EL AFGHANI - KHGA</v>
          </cell>
          <cell r="AL918" t="str">
            <v>ILLETTRE</v>
          </cell>
          <cell r="AP918" t="str">
            <v>W 4079</v>
          </cell>
          <cell r="AQ918">
            <v>0</v>
          </cell>
          <cell r="AR918" t="str">
            <v>C</v>
          </cell>
          <cell r="AU918" t="str">
            <v>/  /</v>
          </cell>
          <cell r="AW918">
            <v>38534</v>
          </cell>
          <cell r="AY918" t="str">
            <v>XX</v>
          </cell>
          <cell r="AZ918" t="str">
            <v>R</v>
          </cell>
          <cell r="BA918" t="str">
            <v>1</v>
          </cell>
          <cell r="BB918">
            <v>1</v>
          </cell>
          <cell r="BD918">
            <v>0</v>
          </cell>
          <cell r="BE918" t="str">
            <v>M</v>
          </cell>
          <cell r="BF918" t="str">
            <v>N</v>
          </cell>
          <cell r="BG918">
            <v>1</v>
          </cell>
          <cell r="BH918">
            <v>38718</v>
          </cell>
        </row>
        <row r="919">
          <cell r="A919">
            <v>71080</v>
          </cell>
          <cell r="B919">
            <v>428</v>
          </cell>
          <cell r="C919" t="str">
            <v>C3152</v>
          </cell>
          <cell r="D919" t="str">
            <v>LABRIGUI</v>
          </cell>
          <cell r="E919" t="str">
            <v>MOHAMMED</v>
          </cell>
          <cell r="F919">
            <v>20270</v>
          </cell>
          <cell r="G919" t="str">
            <v>1</v>
          </cell>
          <cell r="H919" t="str">
            <v>ROUACHED - KHOURIBGA</v>
          </cell>
          <cell r="I919" t="str">
            <v>D</v>
          </cell>
          <cell r="J919">
            <v>28948</v>
          </cell>
          <cell r="K919">
            <v>35977</v>
          </cell>
          <cell r="L919" t="str">
            <v>21</v>
          </cell>
          <cell r="M919" t="str">
            <v>B</v>
          </cell>
          <cell r="N919">
            <v>35977</v>
          </cell>
          <cell r="P919">
            <v>24</v>
          </cell>
          <cell r="Q919" t="str">
            <v>O</v>
          </cell>
          <cell r="R919" t="str">
            <v>N</v>
          </cell>
          <cell r="S919">
            <v>0</v>
          </cell>
          <cell r="T919" t="str">
            <v>M</v>
          </cell>
          <cell r="U919" t="str">
            <v>FATNA BENT CHERKI</v>
          </cell>
          <cell r="X919">
            <v>2</v>
          </cell>
          <cell r="Y919">
            <v>1</v>
          </cell>
          <cell r="AB919" t="str">
            <v>X</v>
          </cell>
          <cell r="AC919" t="str">
            <v>X</v>
          </cell>
          <cell r="AD919" t="str">
            <v>X</v>
          </cell>
          <cell r="AH919" t="str">
            <v>N</v>
          </cell>
          <cell r="AI919" t="str">
            <v>N</v>
          </cell>
          <cell r="AK919" t="str">
            <v>N° 97 RUE 15 MSALLA LAKDIMA - OUED ZEM</v>
          </cell>
          <cell r="AL919" t="str">
            <v>ILLETTRE</v>
          </cell>
          <cell r="AP919" t="str">
            <v>Q 54850</v>
          </cell>
          <cell r="AQ919">
            <v>0</v>
          </cell>
          <cell r="AR919" t="str">
            <v>C</v>
          </cell>
          <cell r="AU919" t="str">
            <v>/  /</v>
          </cell>
          <cell r="AW919">
            <v>38534</v>
          </cell>
          <cell r="AY919" t="str">
            <v>XX</v>
          </cell>
          <cell r="BA919" t="str">
            <v>1</v>
          </cell>
          <cell r="BB919">
            <v>1</v>
          </cell>
          <cell r="BD919">
            <v>0</v>
          </cell>
          <cell r="BE919" t="str">
            <v>M</v>
          </cell>
          <cell r="BF919" t="str">
            <v>N</v>
          </cell>
          <cell r="BG919">
            <v>30</v>
          </cell>
          <cell r="BH919">
            <v>38718</v>
          </cell>
          <cell r="BI919" t="str">
            <v>O</v>
          </cell>
        </row>
        <row r="920">
          <cell r="A920">
            <v>71081</v>
          </cell>
          <cell r="B920">
            <v>403</v>
          </cell>
          <cell r="C920" t="str">
            <v>C3050</v>
          </cell>
          <cell r="D920" t="str">
            <v>DACHRAOUI</v>
          </cell>
          <cell r="E920" t="str">
            <v>MOHAMED</v>
          </cell>
          <cell r="F920">
            <v>19540</v>
          </cell>
          <cell r="G920" t="str">
            <v>1</v>
          </cell>
          <cell r="H920" t="str">
            <v>OULED BHAR KBAR KHOURIBGA</v>
          </cell>
          <cell r="I920" t="str">
            <v>D</v>
          </cell>
          <cell r="J920">
            <v>28947</v>
          </cell>
          <cell r="K920">
            <v>37012</v>
          </cell>
          <cell r="L920" t="str">
            <v>21</v>
          </cell>
          <cell r="M920" t="str">
            <v>A</v>
          </cell>
          <cell r="N920">
            <v>37012</v>
          </cell>
          <cell r="P920">
            <v>24</v>
          </cell>
          <cell r="Q920" t="str">
            <v>O</v>
          </cell>
          <cell r="R920" t="str">
            <v>N</v>
          </cell>
          <cell r="S920">
            <v>0</v>
          </cell>
          <cell r="T920" t="str">
            <v>M</v>
          </cell>
          <cell r="U920" t="str">
            <v>FATIMA BENT JILALI</v>
          </cell>
          <cell r="X920">
            <v>5</v>
          </cell>
          <cell r="Y920">
            <v>2</v>
          </cell>
          <cell r="AB920" t="str">
            <v>X</v>
          </cell>
          <cell r="AC920" t="str">
            <v>X</v>
          </cell>
          <cell r="AD920" t="str">
            <v>X</v>
          </cell>
          <cell r="AH920" t="str">
            <v>N</v>
          </cell>
          <cell r="AI920" t="str">
            <v>N</v>
          </cell>
          <cell r="AK920" t="str">
            <v>301 VILLAGE OCP BOUJNIBA</v>
          </cell>
          <cell r="AL920" t="str">
            <v>CM2</v>
          </cell>
          <cell r="AP920" t="str">
            <v>Q 73585</v>
          </cell>
          <cell r="AQ920">
            <v>0</v>
          </cell>
          <cell r="AR920" t="str">
            <v>B</v>
          </cell>
          <cell r="AS920" t="str">
            <v>BMCE-OUED ZEM</v>
          </cell>
          <cell r="AT920" t="str">
            <v>141101200000198316</v>
          </cell>
          <cell r="AU920" t="str">
            <v>/  /</v>
          </cell>
          <cell r="AW920">
            <v>38534</v>
          </cell>
          <cell r="AY920" t="str">
            <v>XX</v>
          </cell>
          <cell r="BA920" t="str">
            <v>1</v>
          </cell>
          <cell r="BB920">
            <v>1</v>
          </cell>
          <cell r="BD920">
            <v>0</v>
          </cell>
          <cell r="BE920" t="str">
            <v>M</v>
          </cell>
          <cell r="BF920" t="str">
            <v>N</v>
          </cell>
          <cell r="BG920">
            <v>51</v>
          </cell>
          <cell r="BH920">
            <v>38718</v>
          </cell>
        </row>
        <row r="921">
          <cell r="A921">
            <v>71083</v>
          </cell>
          <cell r="B921">
            <v>428</v>
          </cell>
          <cell r="C921" t="str">
            <v>C3050</v>
          </cell>
          <cell r="D921" t="str">
            <v>ANBRI</v>
          </cell>
          <cell r="E921" t="str">
            <v>M'HAMED</v>
          </cell>
          <cell r="F921">
            <v>19175</v>
          </cell>
          <cell r="G921" t="str">
            <v>6</v>
          </cell>
          <cell r="H921" t="str">
            <v>OULED AZZOUZ</v>
          </cell>
          <cell r="I921" t="str">
            <v>D</v>
          </cell>
          <cell r="J921">
            <v>28949</v>
          </cell>
          <cell r="K921">
            <v>37012</v>
          </cell>
          <cell r="L921" t="str">
            <v>21</v>
          </cell>
          <cell r="M921" t="str">
            <v>A</v>
          </cell>
          <cell r="N921">
            <v>37012</v>
          </cell>
          <cell r="P921">
            <v>24</v>
          </cell>
          <cell r="Q921" t="str">
            <v>O</v>
          </cell>
          <cell r="R921" t="str">
            <v>N</v>
          </cell>
          <cell r="S921">
            <v>0</v>
          </cell>
          <cell r="T921" t="str">
            <v>M</v>
          </cell>
          <cell r="U921" t="str">
            <v>JEMAA BENT LAKBIR</v>
          </cell>
          <cell r="X921">
            <v>10</v>
          </cell>
          <cell r="Y921">
            <v>6</v>
          </cell>
          <cell r="AB921" t="str">
            <v>X</v>
          </cell>
          <cell r="AC921" t="str">
            <v>X</v>
          </cell>
          <cell r="AD921" t="str">
            <v>X</v>
          </cell>
          <cell r="AH921" t="str">
            <v>N</v>
          </cell>
          <cell r="AI921" t="str">
            <v>N</v>
          </cell>
          <cell r="AK921" t="str">
            <v>1035 SBATA VILLAGE OCP HATTANE</v>
          </cell>
          <cell r="AL921" t="str">
            <v>ILLETTRE</v>
          </cell>
          <cell r="AP921" t="str">
            <v>Q 68074</v>
          </cell>
          <cell r="AQ921">
            <v>0</v>
          </cell>
          <cell r="AR921" t="str">
            <v>C</v>
          </cell>
          <cell r="AU921" t="str">
            <v>/  /</v>
          </cell>
          <cell r="AW921">
            <v>38534</v>
          </cell>
          <cell r="AY921" t="str">
            <v>XX</v>
          </cell>
          <cell r="BA921" t="str">
            <v>2</v>
          </cell>
          <cell r="BB921">
            <v>1</v>
          </cell>
          <cell r="BD921">
            <v>0</v>
          </cell>
          <cell r="BE921" t="str">
            <v>M</v>
          </cell>
          <cell r="BF921" t="str">
            <v>N</v>
          </cell>
          <cell r="BG921">
            <v>11</v>
          </cell>
          <cell r="BH921">
            <v>38718</v>
          </cell>
        </row>
        <row r="922">
          <cell r="A922">
            <v>71091</v>
          </cell>
          <cell r="B922">
            <v>403</v>
          </cell>
          <cell r="C922" t="str">
            <v>C4801</v>
          </cell>
          <cell r="D922" t="str">
            <v>QANDIL</v>
          </cell>
          <cell r="E922" t="str">
            <v>MOHAMMED</v>
          </cell>
          <cell r="F922">
            <v>20273</v>
          </cell>
          <cell r="G922" t="str">
            <v>4</v>
          </cell>
          <cell r="H922" t="str">
            <v>BOULANOUAR</v>
          </cell>
          <cell r="I922" t="str">
            <v>D</v>
          </cell>
          <cell r="J922">
            <v>28950</v>
          </cell>
          <cell r="K922">
            <v>33573</v>
          </cell>
          <cell r="L922" t="str">
            <v>22</v>
          </cell>
          <cell r="M922" t="str">
            <v>A</v>
          </cell>
          <cell r="N922">
            <v>33573</v>
          </cell>
          <cell r="P922">
            <v>24</v>
          </cell>
          <cell r="Q922" t="str">
            <v>O</v>
          </cell>
          <cell r="R922" t="str">
            <v>N</v>
          </cell>
          <cell r="S922">
            <v>0</v>
          </cell>
          <cell r="T922" t="str">
            <v>M</v>
          </cell>
          <cell r="U922" t="str">
            <v>FATIMA BENT SALAH</v>
          </cell>
          <cell r="X922">
            <v>5</v>
          </cell>
          <cell r="Y922">
            <v>4</v>
          </cell>
          <cell r="AB922" t="str">
            <v>X</v>
          </cell>
          <cell r="AC922" t="str">
            <v>X</v>
          </cell>
          <cell r="AD922" t="str">
            <v>X</v>
          </cell>
          <cell r="AH922" t="str">
            <v>N</v>
          </cell>
          <cell r="AI922" t="str">
            <v>N</v>
          </cell>
          <cell r="AK922" t="str">
            <v>1029 VILLAGE OCP BOULANOUAR</v>
          </cell>
          <cell r="AL922" t="str">
            <v>CM2</v>
          </cell>
          <cell r="AP922" t="str">
            <v>Q 15934</v>
          </cell>
          <cell r="AQ922">
            <v>0</v>
          </cell>
          <cell r="AR922" t="str">
            <v>B</v>
          </cell>
          <cell r="AS922" t="str">
            <v>POPULAIRE.KHGA</v>
          </cell>
          <cell r="AT922" t="str">
            <v>2111112828210000</v>
          </cell>
          <cell r="AU922" t="str">
            <v>27/11/87</v>
          </cell>
          <cell r="AW922">
            <v>38718</v>
          </cell>
          <cell r="AY922" t="str">
            <v>O+</v>
          </cell>
          <cell r="BA922" t="str">
            <v>0</v>
          </cell>
          <cell r="BB922">
            <v>1</v>
          </cell>
          <cell r="BD922">
            <v>0</v>
          </cell>
          <cell r="BE922" t="str">
            <v>M</v>
          </cell>
          <cell r="BF922" t="str">
            <v>N</v>
          </cell>
          <cell r="BG922">
            <v>40</v>
          </cell>
          <cell r="BH922">
            <v>38718</v>
          </cell>
        </row>
        <row r="923">
          <cell r="A923">
            <v>71104</v>
          </cell>
          <cell r="B923">
            <v>466</v>
          </cell>
          <cell r="C923" t="str">
            <v>C4152</v>
          </cell>
          <cell r="D923" t="str">
            <v>CHBIKI</v>
          </cell>
          <cell r="E923" t="str">
            <v>KACEM</v>
          </cell>
          <cell r="F923">
            <v>17714</v>
          </cell>
          <cell r="G923" t="str">
            <v>2</v>
          </cell>
          <cell r="H923" t="str">
            <v>SMAALA</v>
          </cell>
          <cell r="I923" t="str">
            <v>D</v>
          </cell>
          <cell r="J923">
            <v>28957</v>
          </cell>
          <cell r="K923">
            <v>36526</v>
          </cell>
          <cell r="L923" t="str">
            <v>22</v>
          </cell>
          <cell r="M923" t="str">
            <v>A</v>
          </cell>
          <cell r="N923">
            <v>36526</v>
          </cell>
          <cell r="P923">
            <v>24</v>
          </cell>
          <cell r="Q923" t="str">
            <v>O</v>
          </cell>
          <cell r="R923" t="str">
            <v>N</v>
          </cell>
          <cell r="S923">
            <v>0</v>
          </cell>
          <cell r="T923" t="str">
            <v>M</v>
          </cell>
          <cell r="U923" t="str">
            <v>FATNA BENTABDELKADER</v>
          </cell>
          <cell r="X923">
            <v>6</v>
          </cell>
          <cell r="Y923">
            <v>1</v>
          </cell>
          <cell r="AB923" t="str">
            <v>X</v>
          </cell>
          <cell r="AC923" t="str">
            <v>X</v>
          </cell>
          <cell r="AD923" t="str">
            <v>X</v>
          </cell>
          <cell r="AH923" t="str">
            <v>N</v>
          </cell>
          <cell r="AI923" t="str">
            <v>N</v>
          </cell>
          <cell r="AK923" t="str">
            <v>24 RUE 5 HAY ZIDANIA OUED ZEM</v>
          </cell>
          <cell r="AL923" t="str">
            <v>ILLETTRE</v>
          </cell>
          <cell r="AP923" t="str">
            <v>Q 17112</v>
          </cell>
          <cell r="AQ923">
            <v>0</v>
          </cell>
          <cell r="AR923" t="str">
            <v>C</v>
          </cell>
          <cell r="AU923" t="str">
            <v>/  /</v>
          </cell>
          <cell r="AW923">
            <v>37803</v>
          </cell>
          <cell r="AY923" t="str">
            <v>XX</v>
          </cell>
          <cell r="BA923" t="str">
            <v>1</v>
          </cell>
          <cell r="BB923">
            <v>1</v>
          </cell>
          <cell r="BD923">
            <v>0</v>
          </cell>
          <cell r="BE923" t="str">
            <v>M</v>
          </cell>
          <cell r="BF923" t="str">
            <v>N</v>
          </cell>
          <cell r="BG923">
            <v>31</v>
          </cell>
          <cell r="BH923">
            <v>37803</v>
          </cell>
          <cell r="BI923" t="str">
            <v>O</v>
          </cell>
        </row>
        <row r="924">
          <cell r="A924">
            <v>71117</v>
          </cell>
          <cell r="B924">
            <v>414</v>
          </cell>
          <cell r="C924" t="str">
            <v>C3152</v>
          </cell>
          <cell r="D924" t="str">
            <v>AKAIOUAR</v>
          </cell>
          <cell r="E924" t="str">
            <v>SALAH</v>
          </cell>
          <cell r="F924">
            <v>20521</v>
          </cell>
          <cell r="H924" t="str">
            <v>IMARHRANE - OUARZAZATE</v>
          </cell>
          <cell r="I924" t="str">
            <v>D</v>
          </cell>
          <cell r="J924">
            <v>28958</v>
          </cell>
          <cell r="K924">
            <v>37377</v>
          </cell>
          <cell r="L924" t="str">
            <v>21</v>
          </cell>
          <cell r="M924" t="str">
            <v>C</v>
          </cell>
          <cell r="N924">
            <v>37377</v>
          </cell>
          <cell r="P924">
            <v>24</v>
          </cell>
          <cell r="Q924" t="str">
            <v>O</v>
          </cell>
          <cell r="R924" t="str">
            <v>N</v>
          </cell>
          <cell r="S924">
            <v>0</v>
          </cell>
          <cell r="T924" t="str">
            <v>M</v>
          </cell>
          <cell r="U924" t="str">
            <v>FATNA BENT MOHAMED</v>
          </cell>
          <cell r="X924">
            <v>6</v>
          </cell>
          <cell r="Y924">
            <v>2</v>
          </cell>
          <cell r="AB924" t="str">
            <v>X</v>
          </cell>
          <cell r="AC924" t="str">
            <v>X</v>
          </cell>
          <cell r="AD924" t="str">
            <v>X</v>
          </cell>
          <cell r="AH924" t="str">
            <v>N</v>
          </cell>
          <cell r="AI924" t="str">
            <v>N</v>
          </cell>
          <cell r="AK924" t="str">
            <v>975 BLOC 5 SBATA VILLAGE OCP HATTANE</v>
          </cell>
          <cell r="AL924" t="str">
            <v>CM1</v>
          </cell>
          <cell r="AP924" t="str">
            <v>B 388273</v>
          </cell>
          <cell r="AQ924">
            <v>0</v>
          </cell>
          <cell r="AR924" t="str">
            <v>B</v>
          </cell>
          <cell r="AS924" t="str">
            <v>CRE. MAROC KHGA</v>
          </cell>
          <cell r="AT924" t="str">
            <v>820010025485</v>
          </cell>
          <cell r="AU924" t="str">
            <v>/  /</v>
          </cell>
          <cell r="AW924">
            <v>38899</v>
          </cell>
          <cell r="AY924" t="str">
            <v>XX</v>
          </cell>
          <cell r="BA924" t="str">
            <v>2IN</v>
          </cell>
          <cell r="BB924">
            <v>1</v>
          </cell>
          <cell r="BD924">
            <v>0</v>
          </cell>
          <cell r="BE924" t="str">
            <v>M</v>
          </cell>
          <cell r="BF924" t="str">
            <v>N</v>
          </cell>
          <cell r="BG924">
            <v>10</v>
          </cell>
          <cell r="BH924">
            <v>38899</v>
          </cell>
        </row>
        <row r="925">
          <cell r="A925">
            <v>71119</v>
          </cell>
          <cell r="B925">
            <v>418</v>
          </cell>
          <cell r="C925" t="str">
            <v>C3050</v>
          </cell>
          <cell r="D925" t="str">
            <v>SAADOUNE</v>
          </cell>
          <cell r="E925" t="str">
            <v>ABDESSLEM</v>
          </cell>
          <cell r="F925">
            <v>18079</v>
          </cell>
          <cell r="H925" t="str">
            <v>LOULAD - SETTAT</v>
          </cell>
          <cell r="I925" t="str">
            <v>D</v>
          </cell>
          <cell r="J925">
            <v>28961</v>
          </cell>
          <cell r="K925">
            <v>37012</v>
          </cell>
          <cell r="L925" t="str">
            <v>21</v>
          </cell>
          <cell r="M925" t="str">
            <v>A</v>
          </cell>
          <cell r="N925">
            <v>37012</v>
          </cell>
          <cell r="P925">
            <v>24</v>
          </cell>
          <cell r="Q925" t="str">
            <v>O</v>
          </cell>
          <cell r="R925" t="str">
            <v>N</v>
          </cell>
          <cell r="S925">
            <v>0</v>
          </cell>
          <cell r="T925" t="str">
            <v>M</v>
          </cell>
          <cell r="U925" t="str">
            <v>FATIMA BENT HADJ CHAFI</v>
          </cell>
          <cell r="X925">
            <v>8</v>
          </cell>
          <cell r="Y925">
            <v>3</v>
          </cell>
          <cell r="AB925" t="str">
            <v>X</v>
          </cell>
          <cell r="AC925" t="str">
            <v>X</v>
          </cell>
          <cell r="AD925" t="str">
            <v>X</v>
          </cell>
          <cell r="AH925" t="str">
            <v>O</v>
          </cell>
          <cell r="AI925" t="str">
            <v>N</v>
          </cell>
          <cell r="AK925" t="str">
            <v>35 NOUVEAUX LOGEMENTS SECHAGE KHOURIBGA</v>
          </cell>
          <cell r="AL925" t="str">
            <v>ILLETTRE</v>
          </cell>
          <cell r="AP925" t="str">
            <v>Q 81775</v>
          </cell>
          <cell r="AQ925">
            <v>0</v>
          </cell>
          <cell r="AR925" t="str">
            <v>C</v>
          </cell>
          <cell r="AU925" t="str">
            <v>/  /</v>
          </cell>
          <cell r="AW925">
            <v>39546</v>
          </cell>
          <cell r="AX925">
            <v>39546</v>
          </cell>
          <cell r="AY925" t="str">
            <v>XX</v>
          </cell>
          <cell r="BA925" t="str">
            <v>1</v>
          </cell>
          <cell r="BB925">
            <v>1</v>
          </cell>
          <cell r="BD925">
            <v>0</v>
          </cell>
          <cell r="BE925" t="str">
            <v>M</v>
          </cell>
          <cell r="BF925" t="str">
            <v>N</v>
          </cell>
          <cell r="BG925">
            <v>1</v>
          </cell>
          <cell r="BH925">
            <v>38169</v>
          </cell>
        </row>
        <row r="926">
          <cell r="A926">
            <v>71124</v>
          </cell>
          <cell r="B926">
            <v>466</v>
          </cell>
          <cell r="C926" t="str">
            <v>C4050</v>
          </cell>
          <cell r="D926" t="str">
            <v>KHATTAB</v>
          </cell>
          <cell r="E926" t="str">
            <v>AHMED</v>
          </cell>
          <cell r="F926">
            <v>19175</v>
          </cell>
          <cell r="H926" t="str">
            <v>LOULAD - SETTAT</v>
          </cell>
          <cell r="I926" t="str">
            <v>D</v>
          </cell>
          <cell r="J926">
            <v>28964</v>
          </cell>
          <cell r="K926">
            <v>35065</v>
          </cell>
          <cell r="L926" t="str">
            <v>22</v>
          </cell>
          <cell r="M926" t="str">
            <v>A</v>
          </cell>
          <cell r="N926">
            <v>35065</v>
          </cell>
          <cell r="P926">
            <v>24</v>
          </cell>
          <cell r="Q926" t="str">
            <v>O</v>
          </cell>
          <cell r="R926" t="str">
            <v>N</v>
          </cell>
          <cell r="S926">
            <v>0</v>
          </cell>
          <cell r="T926" t="str">
            <v>M</v>
          </cell>
          <cell r="U926" t="str">
            <v>FATNA BENT CHAFI</v>
          </cell>
          <cell r="X926">
            <v>6</v>
          </cell>
          <cell r="Y926">
            <v>2</v>
          </cell>
          <cell r="AB926" t="str">
            <v>X</v>
          </cell>
          <cell r="AC926" t="str">
            <v>X</v>
          </cell>
          <cell r="AD926" t="str">
            <v>X</v>
          </cell>
          <cell r="AH926" t="str">
            <v>N</v>
          </cell>
          <cell r="AI926" t="str">
            <v>N</v>
          </cell>
          <cell r="AK926" t="str">
            <v>511 NELLE MEDINA DE SECHAGE KHOURIBGA</v>
          </cell>
          <cell r="AL926" t="str">
            <v>ILLETTRE</v>
          </cell>
          <cell r="AP926" t="str">
            <v>Q 76684</v>
          </cell>
          <cell r="AQ926">
            <v>0</v>
          </cell>
          <cell r="AR926" t="str">
            <v>B</v>
          </cell>
          <cell r="AS926" t="str">
            <v>BMCE-KHGA</v>
          </cell>
          <cell r="AT926" t="str">
            <v>4000001200001281330</v>
          </cell>
          <cell r="AU926" t="str">
            <v>/  /</v>
          </cell>
          <cell r="AW926">
            <v>38718</v>
          </cell>
          <cell r="AY926" t="str">
            <v>XX</v>
          </cell>
          <cell r="BA926" t="str">
            <v>2</v>
          </cell>
          <cell r="BB926">
            <v>1</v>
          </cell>
          <cell r="BD926">
            <v>0</v>
          </cell>
          <cell r="BE926" t="str">
            <v>M</v>
          </cell>
          <cell r="BF926" t="str">
            <v>N</v>
          </cell>
          <cell r="BG926">
            <v>5</v>
          </cell>
          <cell r="BH926">
            <v>38718</v>
          </cell>
        </row>
        <row r="927">
          <cell r="A927">
            <v>71129</v>
          </cell>
          <cell r="B927">
            <v>456</v>
          </cell>
          <cell r="C927" t="str">
            <v>C3200</v>
          </cell>
          <cell r="D927" t="str">
            <v>SELLAJI</v>
          </cell>
          <cell r="E927" t="str">
            <v>EL MAATI</v>
          </cell>
          <cell r="F927">
            <v>18079</v>
          </cell>
          <cell r="G927" t="str">
            <v>2</v>
          </cell>
          <cell r="H927" t="str">
            <v>BENI SMIR</v>
          </cell>
          <cell r="I927" t="str">
            <v>D</v>
          </cell>
          <cell r="J927">
            <v>28968</v>
          </cell>
          <cell r="K927">
            <v>37012</v>
          </cell>
          <cell r="L927" t="str">
            <v>21</v>
          </cell>
          <cell r="M927" t="str">
            <v>A</v>
          </cell>
          <cell r="N927">
            <v>37012</v>
          </cell>
          <cell r="P927">
            <v>24</v>
          </cell>
          <cell r="Q927" t="str">
            <v>O</v>
          </cell>
          <cell r="R927" t="str">
            <v>N</v>
          </cell>
          <cell r="S927">
            <v>0</v>
          </cell>
          <cell r="T927" t="str">
            <v>M</v>
          </cell>
          <cell r="U927" t="str">
            <v>FATIMA BENT MOHAMED</v>
          </cell>
          <cell r="X927">
            <v>5</v>
          </cell>
          <cell r="Y927">
            <v>3</v>
          </cell>
          <cell r="AB927" t="str">
            <v>X</v>
          </cell>
          <cell r="AC927" t="str">
            <v>X</v>
          </cell>
          <cell r="AD927" t="str">
            <v>X</v>
          </cell>
          <cell r="AH927" t="str">
            <v>N</v>
          </cell>
          <cell r="AI927" t="str">
            <v>N</v>
          </cell>
          <cell r="AK927" t="str">
            <v>192 RUE 21 KOREA - OUED ZEM</v>
          </cell>
          <cell r="AL927" t="str">
            <v>ILLETTRE</v>
          </cell>
          <cell r="AP927" t="str">
            <v>Q 92015</v>
          </cell>
          <cell r="AQ927">
            <v>0</v>
          </cell>
          <cell r="AR927" t="str">
            <v>B</v>
          </cell>
          <cell r="AS927" t="str">
            <v>POPULAIRE-OUED ZEM</v>
          </cell>
          <cell r="AT927" t="str">
            <v>211117332179000504</v>
          </cell>
          <cell r="AU927" t="str">
            <v>/  /</v>
          </cell>
          <cell r="AW927">
            <v>38169</v>
          </cell>
          <cell r="AY927" t="str">
            <v>XX</v>
          </cell>
          <cell r="BA927" t="str">
            <v>1</v>
          </cell>
          <cell r="BB927">
            <v>1</v>
          </cell>
          <cell r="BD927">
            <v>0</v>
          </cell>
          <cell r="BE927" t="str">
            <v>M</v>
          </cell>
          <cell r="BF927" t="str">
            <v>N</v>
          </cell>
          <cell r="BG927">
            <v>31</v>
          </cell>
          <cell r="BH927">
            <v>38169</v>
          </cell>
          <cell r="BI927" t="str">
            <v>O</v>
          </cell>
        </row>
        <row r="928">
          <cell r="A928">
            <v>71138</v>
          </cell>
          <cell r="B928">
            <v>428</v>
          </cell>
          <cell r="C928" t="str">
            <v>C3152</v>
          </cell>
          <cell r="D928" t="str">
            <v>LAHROURI</v>
          </cell>
          <cell r="E928" t="str">
            <v>AHMED</v>
          </cell>
          <cell r="F928">
            <v>18809</v>
          </cell>
          <cell r="G928" t="str">
            <v>2</v>
          </cell>
          <cell r="H928" t="str">
            <v>SMAALA</v>
          </cell>
          <cell r="I928" t="str">
            <v>D</v>
          </cell>
          <cell r="J928">
            <v>28970</v>
          </cell>
          <cell r="K928">
            <v>33420</v>
          </cell>
          <cell r="L928" t="str">
            <v>21</v>
          </cell>
          <cell r="M928" t="str">
            <v>A</v>
          </cell>
          <cell r="N928">
            <v>33420</v>
          </cell>
          <cell r="P928">
            <v>24</v>
          </cell>
          <cell r="Q928" t="str">
            <v>O</v>
          </cell>
          <cell r="R928" t="str">
            <v>N</v>
          </cell>
          <cell r="S928">
            <v>0</v>
          </cell>
          <cell r="T928" t="str">
            <v>M</v>
          </cell>
          <cell r="U928" t="str">
            <v>FATIMA BENT KETTANI LAHLALI</v>
          </cell>
          <cell r="X928">
            <v>7</v>
          </cell>
          <cell r="Y928">
            <v>4</v>
          </cell>
          <cell r="AB928" t="str">
            <v>X</v>
          </cell>
          <cell r="AC928" t="str">
            <v>X</v>
          </cell>
          <cell r="AD928" t="str">
            <v>X</v>
          </cell>
          <cell r="AH928" t="str">
            <v>N</v>
          </cell>
          <cell r="AI928" t="str">
            <v>N</v>
          </cell>
          <cell r="AK928" t="str">
            <v>04 RUE 21 EL KOREA - OUED ZEM</v>
          </cell>
          <cell r="AL928" t="str">
            <v>ILLETTRE</v>
          </cell>
          <cell r="AP928" t="str">
            <v>Q 63623</v>
          </cell>
          <cell r="AQ928">
            <v>0</v>
          </cell>
          <cell r="AR928" t="str">
            <v>B</v>
          </cell>
          <cell r="AS928" t="str">
            <v>POPULAIRE - OUED ZEM</v>
          </cell>
          <cell r="AT928" t="str">
            <v>2111136295400000</v>
          </cell>
          <cell r="AU928" t="str">
            <v>/  /</v>
          </cell>
          <cell r="AW928">
            <v>38718</v>
          </cell>
          <cell r="AY928" t="str">
            <v>XX</v>
          </cell>
          <cell r="BA928" t="str">
            <v>1</v>
          </cell>
          <cell r="BB928">
            <v>1</v>
          </cell>
          <cell r="BD928">
            <v>0</v>
          </cell>
          <cell r="BE928" t="str">
            <v>M</v>
          </cell>
          <cell r="BF928" t="str">
            <v>N</v>
          </cell>
          <cell r="BG928">
            <v>30</v>
          </cell>
          <cell r="BH928">
            <v>38718</v>
          </cell>
          <cell r="BI928" t="str">
            <v>O</v>
          </cell>
        </row>
        <row r="929">
          <cell r="A929">
            <v>71139</v>
          </cell>
          <cell r="B929">
            <v>466</v>
          </cell>
          <cell r="C929" t="str">
            <v>C3152</v>
          </cell>
          <cell r="D929" t="str">
            <v>HOUANTI</v>
          </cell>
          <cell r="E929" t="str">
            <v>MOHAMMED</v>
          </cell>
          <cell r="F929">
            <v>19905</v>
          </cell>
          <cell r="G929" t="str">
            <v>1</v>
          </cell>
          <cell r="H929" t="str">
            <v>OULED BHAR KBAR KHOURIBGA</v>
          </cell>
          <cell r="I929" t="str">
            <v>D</v>
          </cell>
          <cell r="J929">
            <v>28971</v>
          </cell>
          <cell r="K929">
            <v>37012</v>
          </cell>
          <cell r="L929" t="str">
            <v>21</v>
          </cell>
          <cell r="M929" t="str">
            <v>A</v>
          </cell>
          <cell r="N929">
            <v>37012</v>
          </cell>
          <cell r="P929">
            <v>24</v>
          </cell>
          <cell r="Q929" t="str">
            <v>O</v>
          </cell>
          <cell r="R929" t="str">
            <v>N</v>
          </cell>
          <cell r="S929">
            <v>0</v>
          </cell>
          <cell r="T929" t="str">
            <v>M</v>
          </cell>
          <cell r="U929" t="str">
            <v>LOURANE ZAHRA</v>
          </cell>
          <cell r="X929">
            <v>8</v>
          </cell>
          <cell r="Y929">
            <v>2</v>
          </cell>
          <cell r="AB929" t="str">
            <v>X</v>
          </cell>
          <cell r="AC929" t="str">
            <v>X</v>
          </cell>
          <cell r="AD929" t="str">
            <v>X</v>
          </cell>
          <cell r="AH929" t="str">
            <v>N</v>
          </cell>
          <cell r="AI929" t="str">
            <v>N</v>
          </cell>
          <cell r="AK929" t="str">
            <v>109 VILLAGE O.C.P - BOUJNIBA</v>
          </cell>
          <cell r="AL929" t="str">
            <v>ILLETTRE</v>
          </cell>
          <cell r="AP929" t="str">
            <v>Q 80452</v>
          </cell>
          <cell r="AQ929">
            <v>0</v>
          </cell>
          <cell r="AR929" t="str">
            <v>C</v>
          </cell>
          <cell r="AU929" t="str">
            <v>/  /</v>
          </cell>
          <cell r="AW929">
            <v>38718</v>
          </cell>
          <cell r="AY929" t="str">
            <v>XX</v>
          </cell>
          <cell r="BA929" t="str">
            <v>1</v>
          </cell>
          <cell r="BB929">
            <v>1</v>
          </cell>
          <cell r="BD929">
            <v>0</v>
          </cell>
          <cell r="BE929" t="str">
            <v>M</v>
          </cell>
          <cell r="BF929" t="str">
            <v>N</v>
          </cell>
          <cell r="BG929">
            <v>51</v>
          </cell>
          <cell r="BH929">
            <v>38718</v>
          </cell>
        </row>
        <row r="930">
          <cell r="A930">
            <v>71143</v>
          </cell>
          <cell r="B930">
            <v>410</v>
          </cell>
          <cell r="C930" t="str">
            <v>C4152</v>
          </cell>
          <cell r="D930" t="str">
            <v>BAQIL</v>
          </cell>
          <cell r="E930" t="str">
            <v>MOHAMMED</v>
          </cell>
          <cell r="F930">
            <v>20119</v>
          </cell>
          <cell r="G930" t="str">
            <v>6</v>
          </cell>
          <cell r="H930" t="str">
            <v>HATTANE</v>
          </cell>
          <cell r="I930" t="str">
            <v>D</v>
          </cell>
          <cell r="J930">
            <v>28972</v>
          </cell>
          <cell r="K930">
            <v>36526</v>
          </cell>
          <cell r="L930" t="str">
            <v>22</v>
          </cell>
          <cell r="M930" t="str">
            <v>A</v>
          </cell>
          <cell r="N930">
            <v>36526</v>
          </cell>
          <cell r="P930">
            <v>24</v>
          </cell>
          <cell r="Q930" t="str">
            <v>O</v>
          </cell>
          <cell r="R930" t="str">
            <v>N</v>
          </cell>
          <cell r="S930">
            <v>0</v>
          </cell>
          <cell r="T930" t="str">
            <v>M</v>
          </cell>
          <cell r="U930" t="str">
            <v>FRIMANE AICHA BENT ALI</v>
          </cell>
          <cell r="X930">
            <v>5</v>
          </cell>
          <cell r="Y930">
            <v>3</v>
          </cell>
          <cell r="AB930" t="str">
            <v>X</v>
          </cell>
          <cell r="AC930" t="str">
            <v>X</v>
          </cell>
          <cell r="AD930" t="str">
            <v>X</v>
          </cell>
          <cell r="AH930" t="str">
            <v>N</v>
          </cell>
          <cell r="AI930" t="str">
            <v>N</v>
          </cell>
          <cell r="AK930" t="str">
            <v>1140 VILLAGE OCP - HATTANE</v>
          </cell>
          <cell r="AL930" t="str">
            <v>CM2</v>
          </cell>
          <cell r="AP930" t="str">
            <v>Q 84475</v>
          </cell>
          <cell r="AQ930">
            <v>0</v>
          </cell>
          <cell r="AR930" t="str">
            <v>B</v>
          </cell>
          <cell r="AS930" t="str">
            <v>C.I.H   -  KHGA</v>
          </cell>
          <cell r="AT930" t="str">
            <v>7945496211004700</v>
          </cell>
          <cell r="AU930" t="str">
            <v>/  /</v>
          </cell>
          <cell r="AW930">
            <v>38718</v>
          </cell>
          <cell r="AY930" t="str">
            <v>XX</v>
          </cell>
          <cell r="BA930" t="str">
            <v>1</v>
          </cell>
          <cell r="BB930">
            <v>1</v>
          </cell>
          <cell r="BD930">
            <v>0</v>
          </cell>
          <cell r="BE930" t="str">
            <v>M</v>
          </cell>
          <cell r="BF930" t="str">
            <v>N</v>
          </cell>
          <cell r="BG930">
            <v>10</v>
          </cell>
          <cell r="BH930">
            <v>38718</v>
          </cell>
          <cell r="BI930" t="str">
            <v>O</v>
          </cell>
        </row>
        <row r="931">
          <cell r="A931">
            <v>71144</v>
          </cell>
          <cell r="B931">
            <v>421</v>
          </cell>
          <cell r="C931" t="str">
            <v>C4152</v>
          </cell>
          <cell r="D931" t="str">
            <v>EL BIR</v>
          </cell>
          <cell r="E931" t="str">
            <v>ABDERRAHMANE</v>
          </cell>
          <cell r="F931">
            <v>19540</v>
          </cell>
          <cell r="G931" t="str">
            <v>1</v>
          </cell>
          <cell r="H931" t="str">
            <v>OULED BHAR KBAR KHOURIBGA</v>
          </cell>
          <cell r="I931" t="str">
            <v>D</v>
          </cell>
          <cell r="J931">
            <v>28972</v>
          </cell>
          <cell r="K931">
            <v>36526</v>
          </cell>
          <cell r="L931" t="str">
            <v>22</v>
          </cell>
          <cell r="M931" t="str">
            <v>A</v>
          </cell>
          <cell r="N931">
            <v>36526</v>
          </cell>
          <cell r="P931">
            <v>24</v>
          </cell>
          <cell r="Q931" t="str">
            <v>O</v>
          </cell>
          <cell r="R931" t="str">
            <v>N</v>
          </cell>
          <cell r="S931">
            <v>0</v>
          </cell>
          <cell r="T931" t="str">
            <v>M</v>
          </cell>
          <cell r="U931" t="str">
            <v>NASRAOUI SALHA BENT MAATI</v>
          </cell>
          <cell r="X931">
            <v>5</v>
          </cell>
          <cell r="Y931">
            <v>5</v>
          </cell>
          <cell r="AB931" t="str">
            <v>X</v>
          </cell>
          <cell r="AC931" t="str">
            <v>X</v>
          </cell>
          <cell r="AD931" t="str">
            <v>X</v>
          </cell>
          <cell r="AH931" t="str">
            <v>N</v>
          </cell>
          <cell r="AI931" t="str">
            <v>N</v>
          </cell>
          <cell r="AK931" t="str">
            <v>21 VILLAGE O.C.P - BOUJNIBA</v>
          </cell>
          <cell r="AL931" t="str">
            <v>ILLETTRE</v>
          </cell>
          <cell r="AP931" t="str">
            <v>Q 80627</v>
          </cell>
          <cell r="AQ931">
            <v>0</v>
          </cell>
          <cell r="AR931" t="str">
            <v>C</v>
          </cell>
          <cell r="AU931" t="str">
            <v>/  /</v>
          </cell>
          <cell r="AW931">
            <v>38718</v>
          </cell>
          <cell r="AY931" t="str">
            <v>XX</v>
          </cell>
          <cell r="BA931" t="str">
            <v>1</v>
          </cell>
          <cell r="BB931">
            <v>1</v>
          </cell>
          <cell r="BD931">
            <v>0</v>
          </cell>
          <cell r="BE931" t="str">
            <v>M</v>
          </cell>
          <cell r="BF931" t="str">
            <v>N</v>
          </cell>
          <cell r="BG931">
            <v>52</v>
          </cell>
          <cell r="BH931">
            <v>38718</v>
          </cell>
        </row>
        <row r="932">
          <cell r="A932">
            <v>71145</v>
          </cell>
          <cell r="B932">
            <v>428</v>
          </cell>
          <cell r="C932" t="str">
            <v>C3152</v>
          </cell>
          <cell r="D932" t="str">
            <v>ENNAIRI</v>
          </cell>
          <cell r="E932" t="str">
            <v>M'HAMED</v>
          </cell>
          <cell r="F932">
            <v>19905</v>
          </cell>
          <cell r="G932" t="str">
            <v>6</v>
          </cell>
          <cell r="H932" t="str">
            <v>OULED AZZOUZ - KHOURIBGA</v>
          </cell>
          <cell r="I932" t="str">
            <v>D</v>
          </cell>
          <cell r="J932">
            <v>28972</v>
          </cell>
          <cell r="K932">
            <v>37377</v>
          </cell>
          <cell r="L932" t="str">
            <v>21</v>
          </cell>
          <cell r="M932" t="str">
            <v>A</v>
          </cell>
          <cell r="N932">
            <v>37377</v>
          </cell>
          <cell r="P932">
            <v>24</v>
          </cell>
          <cell r="Q932" t="str">
            <v>O</v>
          </cell>
          <cell r="R932" t="str">
            <v>N</v>
          </cell>
          <cell r="S932">
            <v>0</v>
          </cell>
          <cell r="T932" t="str">
            <v>M</v>
          </cell>
          <cell r="U932" t="str">
            <v>HABIBA BENT HADJ BOUAZZA</v>
          </cell>
          <cell r="X932">
            <v>5</v>
          </cell>
          <cell r="Y932">
            <v>3</v>
          </cell>
          <cell r="AB932" t="str">
            <v>X</v>
          </cell>
          <cell r="AC932" t="str">
            <v>X</v>
          </cell>
          <cell r="AD932" t="str">
            <v>X</v>
          </cell>
          <cell r="AH932" t="str">
            <v>N</v>
          </cell>
          <cell r="AI932" t="str">
            <v>N</v>
          </cell>
          <cell r="AK932" t="str">
            <v>138 VILLAGE O.C.P - BOUJNIBA</v>
          </cell>
          <cell r="AL932" t="str">
            <v>ILLETTRE</v>
          </cell>
          <cell r="AP932" t="str">
            <v>Q 70386</v>
          </cell>
          <cell r="AQ932">
            <v>0</v>
          </cell>
          <cell r="AR932" t="str">
            <v>B</v>
          </cell>
          <cell r="AS932" t="str">
            <v>POPULAIRE.O-ZEM</v>
          </cell>
          <cell r="AT932" t="str">
            <v>2111136265970008</v>
          </cell>
          <cell r="AU932" t="str">
            <v>/  /</v>
          </cell>
          <cell r="AW932">
            <v>38718</v>
          </cell>
          <cell r="AY932" t="str">
            <v>XX</v>
          </cell>
          <cell r="BA932" t="str">
            <v>1</v>
          </cell>
          <cell r="BB932">
            <v>1</v>
          </cell>
          <cell r="BD932">
            <v>0</v>
          </cell>
          <cell r="BE932" t="str">
            <v>M</v>
          </cell>
          <cell r="BF932" t="str">
            <v>N</v>
          </cell>
          <cell r="BG932">
            <v>52</v>
          </cell>
          <cell r="BH932">
            <v>38718</v>
          </cell>
        </row>
        <row r="933">
          <cell r="A933">
            <v>71146</v>
          </cell>
          <cell r="B933">
            <v>468</v>
          </cell>
          <cell r="C933" t="str">
            <v>C3152</v>
          </cell>
          <cell r="D933" t="str">
            <v>ET-THAIJI</v>
          </cell>
          <cell r="E933" t="str">
            <v>MOHAMMED</v>
          </cell>
          <cell r="F933">
            <v>19794</v>
          </cell>
          <cell r="G933" t="str">
            <v>1</v>
          </cell>
          <cell r="H933" t="str">
            <v>OULED BHAR KBAR KHOURIBGA</v>
          </cell>
          <cell r="I933" t="str">
            <v>D</v>
          </cell>
          <cell r="J933">
            <v>28972</v>
          </cell>
          <cell r="K933">
            <v>36526</v>
          </cell>
          <cell r="L933" t="str">
            <v>21</v>
          </cell>
          <cell r="M933" t="str">
            <v>A</v>
          </cell>
          <cell r="N933">
            <v>36526</v>
          </cell>
          <cell r="P933">
            <v>24</v>
          </cell>
          <cell r="Q933" t="str">
            <v>O</v>
          </cell>
          <cell r="R933" t="str">
            <v>N</v>
          </cell>
          <cell r="S933">
            <v>0</v>
          </cell>
          <cell r="T933" t="str">
            <v>M</v>
          </cell>
          <cell r="U933" t="str">
            <v>NAJIBI SAADIA BENT BENDAOUD</v>
          </cell>
          <cell r="X933">
            <v>5</v>
          </cell>
          <cell r="Y933">
            <v>4</v>
          </cell>
          <cell r="AB933" t="str">
            <v>X</v>
          </cell>
          <cell r="AC933" t="str">
            <v>X</v>
          </cell>
          <cell r="AD933" t="str">
            <v>X</v>
          </cell>
          <cell r="AH933" t="str">
            <v>N</v>
          </cell>
          <cell r="AI933" t="str">
            <v>N</v>
          </cell>
          <cell r="AK933" t="str">
            <v>N° 501 DERB 3 - BNOUJNIBA</v>
          </cell>
          <cell r="AL933" t="str">
            <v>CM2</v>
          </cell>
          <cell r="AP933" t="str">
            <v>Q 20372</v>
          </cell>
          <cell r="AQ933">
            <v>0</v>
          </cell>
          <cell r="AR933" t="str">
            <v>C</v>
          </cell>
          <cell r="AU933" t="str">
            <v>/  /</v>
          </cell>
          <cell r="AW933">
            <v>38718</v>
          </cell>
          <cell r="AY933" t="str">
            <v>XX</v>
          </cell>
          <cell r="BA933" t="str">
            <v>1</v>
          </cell>
          <cell r="BB933">
            <v>1</v>
          </cell>
          <cell r="BD933">
            <v>0</v>
          </cell>
          <cell r="BE933" t="str">
            <v>M</v>
          </cell>
          <cell r="BF933" t="str">
            <v>N</v>
          </cell>
          <cell r="BG933">
            <v>51</v>
          </cell>
          <cell r="BH933">
            <v>38718</v>
          </cell>
          <cell r="BI933" t="str">
            <v>O</v>
          </cell>
        </row>
        <row r="934">
          <cell r="A934">
            <v>71147</v>
          </cell>
          <cell r="B934">
            <v>403</v>
          </cell>
          <cell r="C934" t="str">
            <v>C4801</v>
          </cell>
          <cell r="D934" t="str">
            <v>MONSSIF</v>
          </cell>
          <cell r="E934" t="str">
            <v>EL ARBI</v>
          </cell>
          <cell r="F934">
            <v>19905</v>
          </cell>
          <cell r="G934" t="str">
            <v>2</v>
          </cell>
          <cell r="H934" t="str">
            <v>SMAALA</v>
          </cell>
          <cell r="I934" t="str">
            <v>D</v>
          </cell>
          <cell r="J934">
            <v>28977</v>
          </cell>
          <cell r="K934">
            <v>36526</v>
          </cell>
          <cell r="L934" t="str">
            <v>22</v>
          </cell>
          <cell r="M934" t="str">
            <v>A</v>
          </cell>
          <cell r="N934">
            <v>36526</v>
          </cell>
          <cell r="P934">
            <v>23</v>
          </cell>
          <cell r="Q934" t="str">
            <v>N</v>
          </cell>
          <cell r="R934" t="str">
            <v>O</v>
          </cell>
          <cell r="S934">
            <v>3</v>
          </cell>
          <cell r="T934" t="str">
            <v>M</v>
          </cell>
          <cell r="U934" t="str">
            <v>FATIMA BENT OMAR</v>
          </cell>
          <cell r="X934">
            <v>6</v>
          </cell>
          <cell r="Y934">
            <v>2</v>
          </cell>
          <cell r="AB934" t="str">
            <v>X</v>
          </cell>
          <cell r="AC934" t="str">
            <v>X</v>
          </cell>
          <cell r="AD934" t="str">
            <v>X</v>
          </cell>
          <cell r="AH934" t="str">
            <v>N</v>
          </cell>
          <cell r="AI934" t="str">
            <v>N</v>
          </cell>
          <cell r="AK934" t="str">
            <v>4 DAR DAOU RUE 22 ROUTE RABAT OUED ZEM</v>
          </cell>
          <cell r="AL934" t="str">
            <v>CM1</v>
          </cell>
          <cell r="AP934" t="str">
            <v>Q 25560</v>
          </cell>
          <cell r="AQ934">
            <v>0</v>
          </cell>
          <cell r="AR934" t="str">
            <v>B</v>
          </cell>
          <cell r="AS934" t="str">
            <v>BMCI  OUED-ZEM</v>
          </cell>
          <cell r="AT934" t="str">
            <v>02521543712301</v>
          </cell>
          <cell r="AU934" t="str">
            <v>01/06/08</v>
          </cell>
          <cell r="AW934">
            <v>38718</v>
          </cell>
          <cell r="AY934" t="str">
            <v>A+</v>
          </cell>
          <cell r="BA934" t="str">
            <v>0</v>
          </cell>
          <cell r="BB934">
            <v>1</v>
          </cell>
          <cell r="BD934">
            <v>0</v>
          </cell>
          <cell r="BE934" t="str">
            <v>M</v>
          </cell>
          <cell r="BF934" t="str">
            <v>N</v>
          </cell>
          <cell r="BG934">
            <v>0</v>
          </cell>
          <cell r="BH934">
            <v>38718</v>
          </cell>
          <cell r="BI934" t="str">
            <v>O</v>
          </cell>
        </row>
        <row r="935">
          <cell r="A935">
            <v>71169</v>
          </cell>
          <cell r="B935">
            <v>463</v>
          </cell>
          <cell r="C935" t="str">
            <v>C3200</v>
          </cell>
          <cell r="D935" t="str">
            <v>RCHOUQI</v>
          </cell>
          <cell r="E935" t="str">
            <v>ABDELKADER</v>
          </cell>
          <cell r="F935">
            <v>18415</v>
          </cell>
          <cell r="G935" t="str">
            <v>3</v>
          </cell>
          <cell r="H935" t="str">
            <v>DOUAR OULED ALI - BOUJNIBA</v>
          </cell>
          <cell r="I935" t="str">
            <v>D</v>
          </cell>
          <cell r="J935">
            <v>28983</v>
          </cell>
          <cell r="K935">
            <v>35674</v>
          </cell>
          <cell r="L935" t="str">
            <v>21</v>
          </cell>
          <cell r="M935" t="str">
            <v>A</v>
          </cell>
          <cell r="N935">
            <v>35674</v>
          </cell>
          <cell r="P935">
            <v>23</v>
          </cell>
          <cell r="Q935" t="str">
            <v>O</v>
          </cell>
          <cell r="R935" t="str">
            <v>N</v>
          </cell>
          <cell r="S935">
            <v>0</v>
          </cell>
          <cell r="T935" t="str">
            <v>M</v>
          </cell>
          <cell r="U935" t="str">
            <v>DACHRAOUI FATNA BENT SALAH</v>
          </cell>
          <cell r="X935">
            <v>5</v>
          </cell>
          <cell r="Y935">
            <v>5</v>
          </cell>
          <cell r="AB935" t="str">
            <v>X</v>
          </cell>
          <cell r="AC935" t="str">
            <v>X</v>
          </cell>
          <cell r="AD935" t="str">
            <v>X</v>
          </cell>
          <cell r="AH935" t="str">
            <v>N</v>
          </cell>
          <cell r="AI935" t="str">
            <v>N</v>
          </cell>
          <cell r="AK935" t="str">
            <v>555 VILLAGE OCP BOUJNIBA</v>
          </cell>
          <cell r="AL935" t="str">
            <v>CM2</v>
          </cell>
          <cell r="AP935" t="str">
            <v>Q 84676</v>
          </cell>
          <cell r="AQ935">
            <v>0</v>
          </cell>
          <cell r="AR935" t="str">
            <v>C</v>
          </cell>
          <cell r="AU935" t="str">
            <v>/  /</v>
          </cell>
          <cell r="AW935">
            <v>38534</v>
          </cell>
          <cell r="AY935" t="str">
            <v>XX</v>
          </cell>
          <cell r="BA935" t="str">
            <v>2</v>
          </cell>
          <cell r="BB935">
            <v>1</v>
          </cell>
          <cell r="BD935">
            <v>0</v>
          </cell>
          <cell r="BE935" t="str">
            <v>M</v>
          </cell>
          <cell r="BF935" t="str">
            <v>N</v>
          </cell>
          <cell r="BG935">
            <v>51</v>
          </cell>
          <cell r="BH935">
            <v>38534</v>
          </cell>
        </row>
        <row r="936">
          <cell r="A936">
            <v>71171</v>
          </cell>
          <cell r="B936">
            <v>468</v>
          </cell>
          <cell r="C936" t="str">
            <v>C3152</v>
          </cell>
          <cell r="D936" t="str">
            <v>LAMRICHI</v>
          </cell>
          <cell r="E936" t="str">
            <v>MOHAMMED</v>
          </cell>
          <cell r="F936">
            <v>20270</v>
          </cell>
          <cell r="G936" t="str">
            <v>2</v>
          </cell>
          <cell r="H936" t="str">
            <v>SMAALA</v>
          </cell>
          <cell r="I936" t="str">
            <v>D</v>
          </cell>
          <cell r="J936">
            <v>28983</v>
          </cell>
          <cell r="K936">
            <v>35977</v>
          </cell>
          <cell r="L936" t="str">
            <v>21</v>
          </cell>
          <cell r="M936" t="str">
            <v>A</v>
          </cell>
          <cell r="N936">
            <v>35977</v>
          </cell>
          <cell r="P936">
            <v>23</v>
          </cell>
          <cell r="Q936" t="str">
            <v>O</v>
          </cell>
          <cell r="R936" t="str">
            <v>N</v>
          </cell>
          <cell r="S936">
            <v>0</v>
          </cell>
          <cell r="T936" t="str">
            <v>M</v>
          </cell>
          <cell r="U936" t="str">
            <v>FATNA BENT MOHAMED</v>
          </cell>
          <cell r="V936" t="str">
            <v>FILALI KHADDOUJ BENT BOUZEKRI</v>
          </cell>
          <cell r="X936">
            <v>3</v>
          </cell>
          <cell r="Y936">
            <v>3</v>
          </cell>
          <cell r="AB936" t="str">
            <v>X</v>
          </cell>
          <cell r="AC936" t="str">
            <v>X</v>
          </cell>
          <cell r="AD936" t="str">
            <v>X</v>
          </cell>
          <cell r="AH936" t="str">
            <v>N</v>
          </cell>
          <cell r="AI936" t="str">
            <v>N</v>
          </cell>
          <cell r="AK936" t="str">
            <v>2 RUE 9 HAY DAR DAOU OUED ZEM</v>
          </cell>
          <cell r="AL936" t="str">
            <v>CM2</v>
          </cell>
          <cell r="AP936" t="str">
            <v>Q 39087</v>
          </cell>
          <cell r="AQ936">
            <v>0</v>
          </cell>
          <cell r="AR936" t="str">
            <v>B</v>
          </cell>
          <cell r="AS936" t="str">
            <v>BMCI - OUED ZEM</v>
          </cell>
          <cell r="AT936" t="str">
            <v>0252192841430100001</v>
          </cell>
          <cell r="AU936" t="str">
            <v>/  /</v>
          </cell>
          <cell r="AW936">
            <v>38718</v>
          </cell>
          <cell r="AY936" t="str">
            <v>XX</v>
          </cell>
          <cell r="BA936" t="str">
            <v>1</v>
          </cell>
          <cell r="BB936">
            <v>1</v>
          </cell>
          <cell r="BD936">
            <v>0</v>
          </cell>
          <cell r="BE936" t="str">
            <v>M</v>
          </cell>
          <cell r="BF936" t="str">
            <v>N</v>
          </cell>
          <cell r="BG936">
            <v>31</v>
          </cell>
          <cell r="BH936">
            <v>38718</v>
          </cell>
          <cell r="BI936" t="str">
            <v>O</v>
          </cell>
        </row>
        <row r="937">
          <cell r="A937">
            <v>71207</v>
          </cell>
          <cell r="B937">
            <v>401</v>
          </cell>
          <cell r="C937" t="str">
            <v>X1601</v>
          </cell>
          <cell r="D937" t="str">
            <v>MGADRI</v>
          </cell>
          <cell r="E937" t="str">
            <v>LAHSSEN</v>
          </cell>
          <cell r="F937">
            <v>19175</v>
          </cell>
          <cell r="G937" t="str">
            <v>2</v>
          </cell>
          <cell r="H937" t="str">
            <v>OUED-ZEM</v>
          </cell>
          <cell r="I937" t="str">
            <v>D</v>
          </cell>
          <cell r="J937">
            <v>29024</v>
          </cell>
          <cell r="K937">
            <v>37073</v>
          </cell>
          <cell r="L937" t="str">
            <v>41</v>
          </cell>
          <cell r="M937" t="str">
            <v>A</v>
          </cell>
          <cell r="N937">
            <v>37073</v>
          </cell>
          <cell r="P937">
            <v>23</v>
          </cell>
          <cell r="Q937" t="str">
            <v>O</v>
          </cell>
          <cell r="R937" t="str">
            <v>N</v>
          </cell>
          <cell r="S937">
            <v>0</v>
          </cell>
          <cell r="T937" t="str">
            <v>M</v>
          </cell>
          <cell r="U937" t="str">
            <v>LAABOURI RACHIDA BENT EL MAATI</v>
          </cell>
          <cell r="X937">
            <v>3</v>
          </cell>
          <cell r="Y937">
            <v>3</v>
          </cell>
          <cell r="AB937" t="str">
            <v>X</v>
          </cell>
          <cell r="AC937" t="str">
            <v>X</v>
          </cell>
          <cell r="AD937" t="str">
            <v>X</v>
          </cell>
          <cell r="AH937" t="str">
            <v>N</v>
          </cell>
          <cell r="AI937" t="str">
            <v>N</v>
          </cell>
          <cell r="AK937" t="str">
            <v>134,LOTISSEMENT EL HASSANIA OUED ZEM</v>
          </cell>
          <cell r="AL937" t="str">
            <v>7 AS.LM</v>
          </cell>
          <cell r="AM937" t="str">
            <v>CES</v>
          </cell>
          <cell r="AP937" t="str">
            <v>Q 6791</v>
          </cell>
          <cell r="AQ937">
            <v>0</v>
          </cell>
          <cell r="AR937" t="str">
            <v>B</v>
          </cell>
          <cell r="AS937" t="str">
            <v>BMCI- OUED ZEM</v>
          </cell>
          <cell r="AT937" t="str">
            <v>02521420134301</v>
          </cell>
          <cell r="AU937" t="str">
            <v>/  /</v>
          </cell>
          <cell r="AW937">
            <v>39264</v>
          </cell>
          <cell r="AY937" t="str">
            <v>XX</v>
          </cell>
          <cell r="BA937" t="str">
            <v>2</v>
          </cell>
          <cell r="BB937">
            <v>1</v>
          </cell>
          <cell r="BD937">
            <v>0</v>
          </cell>
          <cell r="BE937" t="str">
            <v>M</v>
          </cell>
          <cell r="BF937" t="str">
            <v>N</v>
          </cell>
          <cell r="BG937">
            <v>30</v>
          </cell>
          <cell r="BH937">
            <v>39264</v>
          </cell>
          <cell r="BI937" t="str">
            <v>O</v>
          </cell>
        </row>
        <row r="938">
          <cell r="A938">
            <v>71224</v>
          </cell>
          <cell r="B938">
            <v>468</v>
          </cell>
          <cell r="C938" t="str">
            <v>C3152</v>
          </cell>
          <cell r="D938" t="str">
            <v>FTITICH</v>
          </cell>
          <cell r="E938" t="str">
            <v>MUSTAPHA</v>
          </cell>
          <cell r="F938">
            <v>19175</v>
          </cell>
          <cell r="G938" t="str">
            <v>2</v>
          </cell>
          <cell r="H938" t="str">
            <v>OUED-ZEM</v>
          </cell>
          <cell r="I938" t="str">
            <v>D</v>
          </cell>
          <cell r="J938">
            <v>29038</v>
          </cell>
          <cell r="K938">
            <v>37377</v>
          </cell>
          <cell r="L938" t="str">
            <v>21</v>
          </cell>
          <cell r="M938" t="str">
            <v>A</v>
          </cell>
          <cell r="N938">
            <v>37377</v>
          </cell>
          <cell r="P938">
            <v>23</v>
          </cell>
          <cell r="Q938" t="str">
            <v>N</v>
          </cell>
          <cell r="R938" t="str">
            <v>O</v>
          </cell>
          <cell r="S938">
            <v>3</v>
          </cell>
          <cell r="T938" t="str">
            <v>M</v>
          </cell>
          <cell r="U938" t="str">
            <v>FATIMA BENT ABBES</v>
          </cell>
          <cell r="X938">
            <v>10</v>
          </cell>
          <cell r="Y938">
            <v>4</v>
          </cell>
          <cell r="AB938" t="str">
            <v>X</v>
          </cell>
          <cell r="AC938" t="str">
            <v>X</v>
          </cell>
          <cell r="AD938" t="str">
            <v>X</v>
          </cell>
          <cell r="AH938" t="str">
            <v>N</v>
          </cell>
          <cell r="AI938" t="str">
            <v>N</v>
          </cell>
          <cell r="AK938" t="str">
            <v>DOUAR OULED M'HAMOUSSA BNI SMIR OUED ZEM</v>
          </cell>
          <cell r="AL938" t="str">
            <v>CM2</v>
          </cell>
          <cell r="AP938" t="str">
            <v>Q 11881</v>
          </cell>
          <cell r="AQ938">
            <v>0</v>
          </cell>
          <cell r="AR938" t="str">
            <v>B</v>
          </cell>
          <cell r="AS938" t="str">
            <v>POPULAIRE.OUED ZEM</v>
          </cell>
          <cell r="AT938" t="str">
            <v>2111173320370007</v>
          </cell>
          <cell r="AU938" t="str">
            <v>/  /</v>
          </cell>
          <cell r="AW938">
            <v>38718</v>
          </cell>
          <cell r="AY938" t="str">
            <v>XX</v>
          </cell>
          <cell r="BA938" t="str">
            <v>1</v>
          </cell>
          <cell r="BB938">
            <v>1</v>
          </cell>
          <cell r="BD938">
            <v>0</v>
          </cell>
          <cell r="BE938" t="str">
            <v>M</v>
          </cell>
          <cell r="BF938" t="str">
            <v>N</v>
          </cell>
          <cell r="BG938">
            <v>0</v>
          </cell>
          <cell r="BH938">
            <v>38718</v>
          </cell>
        </row>
        <row r="939">
          <cell r="A939">
            <v>71227</v>
          </cell>
          <cell r="B939">
            <v>418</v>
          </cell>
          <cell r="C939" t="str">
            <v>C2050</v>
          </cell>
          <cell r="D939" t="str">
            <v>MOURID</v>
          </cell>
          <cell r="E939" t="str">
            <v>ABDELKADER</v>
          </cell>
          <cell r="F939">
            <v>19905</v>
          </cell>
          <cell r="G939" t="str">
            <v>1</v>
          </cell>
          <cell r="H939" t="str">
            <v>OULED ABDOUNE</v>
          </cell>
          <cell r="I939" t="str">
            <v>D</v>
          </cell>
          <cell r="J939">
            <v>29042</v>
          </cell>
          <cell r="K939">
            <v>31260</v>
          </cell>
          <cell r="L939" t="str">
            <v>12</v>
          </cell>
          <cell r="M939" t="str">
            <v>C</v>
          </cell>
          <cell r="N939">
            <v>35643</v>
          </cell>
          <cell r="P939">
            <v>23</v>
          </cell>
          <cell r="Q939" t="str">
            <v>O</v>
          </cell>
          <cell r="R939" t="str">
            <v>N</v>
          </cell>
          <cell r="S939">
            <v>0</v>
          </cell>
          <cell r="T939" t="str">
            <v>M</v>
          </cell>
          <cell r="U939" t="str">
            <v>MOUHIB ES-SAADIA BT EL KHADIR</v>
          </cell>
          <cell r="X939">
            <v>4</v>
          </cell>
          <cell r="Y939">
            <v>3</v>
          </cell>
          <cell r="AB939" t="str">
            <v>X</v>
          </cell>
          <cell r="AC939" t="str">
            <v>X</v>
          </cell>
          <cell r="AD939" t="str">
            <v>X</v>
          </cell>
          <cell r="AH939" t="str">
            <v>N</v>
          </cell>
          <cell r="AI939" t="str">
            <v>N</v>
          </cell>
          <cell r="AK939" t="str">
            <v>175 ANCIENNE MEDINA SECHAGE  KHGA</v>
          </cell>
          <cell r="AL939" t="str">
            <v>ILLETTRE</v>
          </cell>
          <cell r="AP939" t="str">
            <v>Q 35566</v>
          </cell>
          <cell r="AQ939">
            <v>0</v>
          </cell>
          <cell r="AR939" t="str">
            <v>C</v>
          </cell>
          <cell r="AU939" t="str">
            <v>/  /</v>
          </cell>
          <cell r="AW939">
            <v>38718</v>
          </cell>
          <cell r="AY939" t="str">
            <v>XX</v>
          </cell>
          <cell r="BA939" t="str">
            <v>2</v>
          </cell>
          <cell r="BB939">
            <v>1</v>
          </cell>
          <cell r="BD939">
            <v>0</v>
          </cell>
          <cell r="BE939" t="str">
            <v>M</v>
          </cell>
          <cell r="BF939" t="str">
            <v>N</v>
          </cell>
          <cell r="BG939">
            <v>1</v>
          </cell>
          <cell r="BH939">
            <v>38718</v>
          </cell>
        </row>
        <row r="940">
          <cell r="A940">
            <v>71234</v>
          </cell>
          <cell r="B940">
            <v>411</v>
          </cell>
          <cell r="C940" t="str">
            <v>X4150</v>
          </cell>
          <cell r="D940" t="str">
            <v>BOURAMDANE</v>
          </cell>
          <cell r="E940" t="str">
            <v>MOHAMMED</v>
          </cell>
          <cell r="F940">
            <v>18079</v>
          </cell>
          <cell r="H940" t="str">
            <v>AIT AMOU BENI SADEN - FES</v>
          </cell>
          <cell r="I940" t="str">
            <v>F</v>
          </cell>
          <cell r="J940">
            <v>29048</v>
          </cell>
          <cell r="K940">
            <v>36526</v>
          </cell>
          <cell r="L940" t="str">
            <v>42</v>
          </cell>
          <cell r="M940" t="str">
            <v>A</v>
          </cell>
          <cell r="N940">
            <v>36526</v>
          </cell>
          <cell r="P940">
            <v>23</v>
          </cell>
          <cell r="Q940" t="str">
            <v>O</v>
          </cell>
          <cell r="R940" t="str">
            <v>N</v>
          </cell>
          <cell r="S940">
            <v>0</v>
          </cell>
          <cell r="T940" t="str">
            <v>M</v>
          </cell>
          <cell r="U940" t="str">
            <v>KAFOUNI FATIMA BENT HADDOU</v>
          </cell>
          <cell r="X940">
            <v>5</v>
          </cell>
          <cell r="Y940">
            <v>5</v>
          </cell>
          <cell r="AB940" t="str">
            <v>X</v>
          </cell>
          <cell r="AC940" t="str">
            <v>X</v>
          </cell>
          <cell r="AD940" t="str">
            <v>X</v>
          </cell>
          <cell r="AH940" t="str">
            <v>N</v>
          </cell>
          <cell r="AI940" t="str">
            <v>N</v>
          </cell>
          <cell r="AK940" t="str">
            <v>90 BLOC B HAY EL WIFAK KHOURIBGA</v>
          </cell>
          <cell r="AL940" t="str">
            <v>4AS</v>
          </cell>
          <cell r="AM940" t="str">
            <v>CFO</v>
          </cell>
          <cell r="AP940" t="str">
            <v>C 27305</v>
          </cell>
          <cell r="AQ940">
            <v>0</v>
          </cell>
          <cell r="AR940" t="str">
            <v>B</v>
          </cell>
          <cell r="AS940" t="str">
            <v>WAFABANK - KHGA</v>
          </cell>
          <cell r="AT940" t="str">
            <v>1220301051612</v>
          </cell>
          <cell r="AU940" t="str">
            <v>/  /</v>
          </cell>
          <cell r="AW940">
            <v>38169</v>
          </cell>
          <cell r="AY940" t="str">
            <v>XX</v>
          </cell>
          <cell r="AZ940" t="str">
            <v>M</v>
          </cell>
          <cell r="BA940" t="str">
            <v>1</v>
          </cell>
          <cell r="BB940">
            <v>1</v>
          </cell>
          <cell r="BC940" t="str">
            <v>O</v>
          </cell>
          <cell r="BD940">
            <v>4</v>
          </cell>
          <cell r="BE940" t="str">
            <v>M</v>
          </cell>
          <cell r="BF940" t="str">
            <v>N</v>
          </cell>
          <cell r="BG940">
            <v>4</v>
          </cell>
          <cell r="BH940">
            <v>38169</v>
          </cell>
        </row>
        <row r="941">
          <cell r="A941">
            <v>71236</v>
          </cell>
          <cell r="B941">
            <v>409</v>
          </cell>
          <cell r="C941" t="str">
            <v>C7002</v>
          </cell>
          <cell r="D941" t="str">
            <v>JAOUAD</v>
          </cell>
          <cell r="E941" t="str">
            <v>AHMED</v>
          </cell>
          <cell r="F941">
            <v>19905</v>
          </cell>
          <cell r="H941" t="str">
            <v>CASABLANCA</v>
          </cell>
          <cell r="I941" t="str">
            <v>F</v>
          </cell>
          <cell r="J941">
            <v>29047</v>
          </cell>
          <cell r="K941">
            <v>33573</v>
          </cell>
          <cell r="L941" t="str">
            <v>33</v>
          </cell>
          <cell r="M941" t="str">
            <v>A</v>
          </cell>
          <cell r="N941">
            <v>33573</v>
          </cell>
          <cell r="P941">
            <v>23</v>
          </cell>
          <cell r="Q941" t="str">
            <v>O</v>
          </cell>
          <cell r="R941" t="str">
            <v>N</v>
          </cell>
          <cell r="S941">
            <v>0</v>
          </cell>
          <cell r="T941" t="str">
            <v>M</v>
          </cell>
          <cell r="U941" t="str">
            <v>MADDI KHADIJA BENT BOUAZZA</v>
          </cell>
          <cell r="X941">
            <v>4</v>
          </cell>
          <cell r="Y941">
            <v>4</v>
          </cell>
          <cell r="AB941" t="str">
            <v>X</v>
          </cell>
          <cell r="AC941" t="str">
            <v>X</v>
          </cell>
          <cell r="AD941" t="str">
            <v>X</v>
          </cell>
          <cell r="AH941" t="str">
            <v>N</v>
          </cell>
          <cell r="AI941" t="str">
            <v>N</v>
          </cell>
          <cell r="AK941" t="str">
            <v>84 RUE AL MOUDOUN AL ARABIA KHGA - KHGA</v>
          </cell>
          <cell r="AL941" t="str">
            <v>5AS</v>
          </cell>
          <cell r="AM941" t="str">
            <v>CFP.CFO</v>
          </cell>
          <cell r="AN941" t="str">
            <v>56═46═32</v>
          </cell>
          <cell r="AP941" t="str">
            <v>B 179032</v>
          </cell>
          <cell r="AQ941">
            <v>0</v>
          </cell>
          <cell r="AR941" t="str">
            <v>B</v>
          </cell>
          <cell r="AS941" t="str">
            <v>C.I.H - KHGA</v>
          </cell>
          <cell r="AT941" t="str">
            <v>9829870</v>
          </cell>
          <cell r="AU941" t="str">
            <v>/  /</v>
          </cell>
          <cell r="AW941">
            <v>38718</v>
          </cell>
          <cell r="AY941" t="str">
            <v>XX</v>
          </cell>
          <cell r="AZ941" t="str">
            <v>M</v>
          </cell>
          <cell r="BA941" t="str">
            <v>2</v>
          </cell>
          <cell r="BB941">
            <v>1</v>
          </cell>
          <cell r="BC941" t="str">
            <v>O</v>
          </cell>
          <cell r="BD941">
            <v>4</v>
          </cell>
          <cell r="BE941" t="str">
            <v>M</v>
          </cell>
          <cell r="BF941" t="str">
            <v>N</v>
          </cell>
          <cell r="BG941">
            <v>1</v>
          </cell>
          <cell r="BH941">
            <v>38718</v>
          </cell>
        </row>
        <row r="942">
          <cell r="A942">
            <v>71241</v>
          </cell>
          <cell r="B942">
            <v>403</v>
          </cell>
          <cell r="C942" t="str">
            <v>C4801</v>
          </cell>
          <cell r="D942" t="str">
            <v>NABIRH</v>
          </cell>
          <cell r="E942" t="str">
            <v>M'HAMED</v>
          </cell>
          <cell r="F942">
            <v>18079</v>
          </cell>
          <cell r="G942" t="str">
            <v>6</v>
          </cell>
          <cell r="H942" t="str">
            <v>M'FASSIS</v>
          </cell>
          <cell r="I942" t="str">
            <v>D</v>
          </cell>
          <cell r="J942">
            <v>29045</v>
          </cell>
          <cell r="K942">
            <v>37012</v>
          </cell>
          <cell r="L942" t="str">
            <v>22</v>
          </cell>
          <cell r="M942" t="str">
            <v>B</v>
          </cell>
          <cell r="N942">
            <v>37012</v>
          </cell>
          <cell r="P942">
            <v>23</v>
          </cell>
          <cell r="Q942" t="str">
            <v>N</v>
          </cell>
          <cell r="R942" t="str">
            <v>O</v>
          </cell>
          <cell r="S942">
            <v>3</v>
          </cell>
          <cell r="T942" t="str">
            <v>M</v>
          </cell>
          <cell r="U942" t="str">
            <v>MATQAOUI KHADIJA</v>
          </cell>
          <cell r="V942" t="str">
            <v>KNOUFI ESSAADIA</v>
          </cell>
          <cell r="X942">
            <v>7</v>
          </cell>
          <cell r="Y942">
            <v>3</v>
          </cell>
          <cell r="AB942" t="str">
            <v>X</v>
          </cell>
          <cell r="AC942" t="str">
            <v>X</v>
          </cell>
          <cell r="AD942" t="str">
            <v>X</v>
          </cell>
          <cell r="AH942" t="str">
            <v>N</v>
          </cell>
          <cell r="AI942" t="str">
            <v>N</v>
          </cell>
          <cell r="AK942" t="str">
            <v>DOUAR CHORFA M'FASSIS HATTANE</v>
          </cell>
          <cell r="AL942" t="str">
            <v>ILLETTRE</v>
          </cell>
          <cell r="AP942" t="str">
            <v>Q 35100</v>
          </cell>
          <cell r="AQ942">
            <v>0</v>
          </cell>
          <cell r="AR942" t="str">
            <v>B</v>
          </cell>
          <cell r="AS942" t="str">
            <v>SGMB - KHGA</v>
          </cell>
          <cell r="AT942" t="str">
            <v>0670009368275</v>
          </cell>
          <cell r="AU942" t="str">
            <v>06/10/05</v>
          </cell>
          <cell r="AW942">
            <v>38169</v>
          </cell>
          <cell r="AY942" t="str">
            <v>XX</v>
          </cell>
          <cell r="BA942" t="str">
            <v>0</v>
          </cell>
          <cell r="BB942">
            <v>1</v>
          </cell>
          <cell r="BD942">
            <v>0</v>
          </cell>
          <cell r="BE942" t="str">
            <v>M</v>
          </cell>
          <cell r="BF942" t="str">
            <v>N</v>
          </cell>
          <cell r="BG942">
            <v>0</v>
          </cell>
          <cell r="BH942">
            <v>38169</v>
          </cell>
          <cell r="BI942" t="str">
            <v>O</v>
          </cell>
        </row>
        <row r="943">
          <cell r="A943">
            <v>71253</v>
          </cell>
          <cell r="B943">
            <v>403</v>
          </cell>
          <cell r="C943" t="str">
            <v>C4801</v>
          </cell>
          <cell r="D943" t="str">
            <v>ABIDATE</v>
          </cell>
          <cell r="E943" t="str">
            <v>EL KBIR</v>
          </cell>
          <cell r="F943">
            <v>20528</v>
          </cell>
          <cell r="G943" t="str">
            <v>1</v>
          </cell>
          <cell r="H943" t="str">
            <v>OULED BHAR KBAR KHOURIBGA</v>
          </cell>
          <cell r="I943" t="str">
            <v>D</v>
          </cell>
          <cell r="J943">
            <v>29049</v>
          </cell>
          <cell r="K943">
            <v>37377</v>
          </cell>
          <cell r="L943" t="str">
            <v>22</v>
          </cell>
          <cell r="M943" t="str">
            <v>B</v>
          </cell>
          <cell r="N943">
            <v>37377</v>
          </cell>
          <cell r="O943">
            <v>0</v>
          </cell>
          <cell r="P943">
            <v>23</v>
          </cell>
          <cell r="Q943" t="str">
            <v>O</v>
          </cell>
          <cell r="R943" t="str">
            <v>N</v>
          </cell>
          <cell r="S943">
            <v>0</v>
          </cell>
          <cell r="T943" t="str">
            <v>M</v>
          </cell>
          <cell r="U943" t="str">
            <v>ABIDATE EZ-ZAHIA BENT EL MAATI</v>
          </cell>
          <cell r="X943">
            <v>5</v>
          </cell>
          <cell r="Y943">
            <v>4</v>
          </cell>
          <cell r="AB943" t="str">
            <v>X</v>
          </cell>
          <cell r="AC943" t="str">
            <v>X</v>
          </cell>
          <cell r="AD943" t="str">
            <v>X</v>
          </cell>
          <cell r="AH943" t="str">
            <v>N</v>
          </cell>
          <cell r="AI943" t="str">
            <v>N</v>
          </cell>
          <cell r="AK943" t="str">
            <v>38 NELLE MEDINA DE SECHAGE KHOURIBGA</v>
          </cell>
          <cell r="AL943" t="str">
            <v>CM1</v>
          </cell>
          <cell r="AP943" t="str">
            <v>Q 31227</v>
          </cell>
          <cell r="AQ943">
            <v>0</v>
          </cell>
          <cell r="AR943" t="str">
            <v>B</v>
          </cell>
          <cell r="AS943" t="str">
            <v>B.M.C.I  KHGA</v>
          </cell>
          <cell r="AT943" t="str">
            <v>02820950217301</v>
          </cell>
          <cell r="AU943" t="str">
            <v>17/01/88</v>
          </cell>
          <cell r="AW943">
            <v>38899</v>
          </cell>
          <cell r="AY943" t="str">
            <v>XX</v>
          </cell>
          <cell r="BA943" t="str">
            <v>0</v>
          </cell>
          <cell r="BB943">
            <v>1</v>
          </cell>
          <cell r="BD943">
            <v>0</v>
          </cell>
          <cell r="BE943" t="str">
            <v>M</v>
          </cell>
          <cell r="BF943" t="str">
            <v>N</v>
          </cell>
          <cell r="BG943">
            <v>1</v>
          </cell>
          <cell r="BH943">
            <v>38899</v>
          </cell>
        </row>
        <row r="944">
          <cell r="A944">
            <v>71263</v>
          </cell>
          <cell r="B944">
            <v>468</v>
          </cell>
          <cell r="C944" t="str">
            <v>C4152</v>
          </cell>
          <cell r="D944" t="str">
            <v>ZINEDINE</v>
          </cell>
          <cell r="E944" t="str">
            <v>MOHAMMED</v>
          </cell>
          <cell r="F944">
            <v>18079</v>
          </cell>
          <cell r="G944" t="str">
            <v>1</v>
          </cell>
          <cell r="H944" t="str">
            <v>OULED BHAR KBAR KHOURIBGA</v>
          </cell>
          <cell r="I944" t="str">
            <v>D</v>
          </cell>
          <cell r="J944">
            <v>29053</v>
          </cell>
          <cell r="K944">
            <v>36526</v>
          </cell>
          <cell r="L944" t="str">
            <v>22</v>
          </cell>
          <cell r="M944" t="str">
            <v>A</v>
          </cell>
          <cell r="N944">
            <v>36526</v>
          </cell>
          <cell r="P944">
            <v>23</v>
          </cell>
          <cell r="Q944" t="str">
            <v>O</v>
          </cell>
          <cell r="R944" t="str">
            <v>N</v>
          </cell>
          <cell r="S944">
            <v>0</v>
          </cell>
          <cell r="T944" t="str">
            <v>M</v>
          </cell>
          <cell r="U944" t="str">
            <v>SAADIA BENT LAHCEN</v>
          </cell>
          <cell r="X944">
            <v>4</v>
          </cell>
          <cell r="Y944">
            <v>4</v>
          </cell>
          <cell r="AB944" t="str">
            <v>X</v>
          </cell>
          <cell r="AC944" t="str">
            <v>X</v>
          </cell>
          <cell r="AD944" t="str">
            <v>X</v>
          </cell>
          <cell r="AH944" t="str">
            <v>N</v>
          </cell>
          <cell r="AI944" t="str">
            <v>N</v>
          </cell>
          <cell r="AK944" t="str">
            <v>263 DERB 2 LOT. EL HANA - BOUJNIBA</v>
          </cell>
          <cell r="AL944" t="str">
            <v>CM2</v>
          </cell>
          <cell r="AP944" t="str">
            <v>Q 21245</v>
          </cell>
          <cell r="AQ944">
            <v>0</v>
          </cell>
          <cell r="AR944" t="str">
            <v>B</v>
          </cell>
          <cell r="AS944" t="str">
            <v>CR.AGRICOL KHGA</v>
          </cell>
          <cell r="AT944" t="str">
            <v>0805901E601</v>
          </cell>
          <cell r="AU944" t="str">
            <v>25/09/13</v>
          </cell>
          <cell r="AW944">
            <v>38169</v>
          </cell>
          <cell r="AY944" t="str">
            <v>O+</v>
          </cell>
          <cell r="BA944" t="str">
            <v>1</v>
          </cell>
          <cell r="BB944">
            <v>1</v>
          </cell>
          <cell r="BD944">
            <v>0</v>
          </cell>
          <cell r="BE944" t="str">
            <v>M</v>
          </cell>
          <cell r="BF944" t="str">
            <v>N</v>
          </cell>
          <cell r="BG944">
            <v>51</v>
          </cell>
          <cell r="BH944">
            <v>38169</v>
          </cell>
          <cell r="BI944" t="str">
            <v>O</v>
          </cell>
        </row>
        <row r="945">
          <cell r="A945">
            <v>71267</v>
          </cell>
          <cell r="B945">
            <v>428</v>
          </cell>
          <cell r="C945" t="str">
            <v>C3152</v>
          </cell>
          <cell r="D945" t="str">
            <v>DEROUI</v>
          </cell>
          <cell r="E945" t="str">
            <v>SALAH</v>
          </cell>
          <cell r="F945">
            <v>19175</v>
          </cell>
          <cell r="G945" t="str">
            <v>6</v>
          </cell>
          <cell r="H945" t="str">
            <v>OULED AZZOUZ</v>
          </cell>
          <cell r="I945" t="str">
            <v>D</v>
          </cell>
          <cell r="J945">
            <v>29053</v>
          </cell>
          <cell r="K945">
            <v>33420</v>
          </cell>
          <cell r="L945" t="str">
            <v>21</v>
          </cell>
          <cell r="M945" t="str">
            <v>A</v>
          </cell>
          <cell r="N945">
            <v>33420</v>
          </cell>
          <cell r="P945">
            <v>23</v>
          </cell>
          <cell r="Q945" t="str">
            <v>O</v>
          </cell>
          <cell r="R945" t="str">
            <v>N</v>
          </cell>
          <cell r="S945">
            <v>0</v>
          </cell>
          <cell r="T945" t="str">
            <v>M</v>
          </cell>
          <cell r="U945" t="str">
            <v>EL KHADFA BENT SALAH KAMANI</v>
          </cell>
          <cell r="X945">
            <v>9</v>
          </cell>
          <cell r="Y945">
            <v>5</v>
          </cell>
          <cell r="AB945" t="str">
            <v>X</v>
          </cell>
          <cell r="AC945" t="str">
            <v>X</v>
          </cell>
          <cell r="AD945" t="str">
            <v>X</v>
          </cell>
          <cell r="AH945" t="str">
            <v>N</v>
          </cell>
          <cell r="AI945" t="str">
            <v>N</v>
          </cell>
          <cell r="AK945" t="str">
            <v>1077  VILLAGE O.C.P - HATTANE</v>
          </cell>
          <cell r="AL945" t="str">
            <v>CM2</v>
          </cell>
          <cell r="AP945" t="str">
            <v>Q 53830</v>
          </cell>
          <cell r="AQ945">
            <v>0</v>
          </cell>
          <cell r="AR945" t="str">
            <v>C</v>
          </cell>
          <cell r="AU945" t="str">
            <v>/  /</v>
          </cell>
          <cell r="AW945">
            <v>38718</v>
          </cell>
          <cell r="AY945" t="str">
            <v>XX</v>
          </cell>
          <cell r="BA945" t="str">
            <v>1</v>
          </cell>
          <cell r="BB945">
            <v>1</v>
          </cell>
          <cell r="BD945">
            <v>0</v>
          </cell>
          <cell r="BE945" t="str">
            <v>M</v>
          </cell>
          <cell r="BF945" t="str">
            <v>N</v>
          </cell>
          <cell r="BG945">
            <v>11</v>
          </cell>
          <cell r="BH945">
            <v>38718</v>
          </cell>
        </row>
        <row r="946">
          <cell r="A946">
            <v>71278</v>
          </cell>
          <cell r="B946">
            <v>403</v>
          </cell>
          <cell r="C946" t="str">
            <v>C3152</v>
          </cell>
          <cell r="D946" t="str">
            <v>MIQDAM</v>
          </cell>
          <cell r="E946" t="str">
            <v>EL MOSTAFA</v>
          </cell>
          <cell r="F946">
            <v>20270</v>
          </cell>
          <cell r="G946" t="str">
            <v>1</v>
          </cell>
          <cell r="H946" t="str">
            <v>OULED ABDOUNE</v>
          </cell>
          <cell r="I946" t="str">
            <v>D</v>
          </cell>
          <cell r="J946">
            <v>29054</v>
          </cell>
          <cell r="K946">
            <v>37377</v>
          </cell>
          <cell r="L946" t="str">
            <v>21</v>
          </cell>
          <cell r="M946" t="str">
            <v>A</v>
          </cell>
          <cell r="N946">
            <v>37377</v>
          </cell>
          <cell r="P946">
            <v>23</v>
          </cell>
          <cell r="Q946" t="str">
            <v>O</v>
          </cell>
          <cell r="R946" t="str">
            <v>N</v>
          </cell>
          <cell r="S946">
            <v>0</v>
          </cell>
          <cell r="T946" t="str">
            <v>M</v>
          </cell>
          <cell r="U946" t="str">
            <v>MOSTAOUI HABIBA BENT MOHAMED</v>
          </cell>
          <cell r="X946">
            <v>5</v>
          </cell>
          <cell r="Y946">
            <v>4</v>
          </cell>
          <cell r="AB946" t="str">
            <v>X</v>
          </cell>
          <cell r="AC946" t="str">
            <v>X</v>
          </cell>
          <cell r="AD946" t="str">
            <v>X</v>
          </cell>
          <cell r="AH946" t="str">
            <v>N</v>
          </cell>
          <cell r="AI946" t="str">
            <v>N</v>
          </cell>
          <cell r="AK946" t="str">
            <v>OULED SAAD OULED ABDOUNE KHOURIBGA</v>
          </cell>
          <cell r="AL946" t="str">
            <v>CM2</v>
          </cell>
          <cell r="AP946" t="str">
            <v>Q 71540</v>
          </cell>
          <cell r="AQ946">
            <v>0</v>
          </cell>
          <cell r="AR946" t="str">
            <v>B</v>
          </cell>
          <cell r="AS946" t="str">
            <v>CR. DU MAROC -KHGA</v>
          </cell>
          <cell r="AT946" t="str">
            <v>082001086935</v>
          </cell>
          <cell r="AU946" t="str">
            <v>/  /</v>
          </cell>
          <cell r="AW946">
            <v>38718</v>
          </cell>
          <cell r="AY946" t="str">
            <v>XX</v>
          </cell>
          <cell r="BA946" t="str">
            <v>1</v>
          </cell>
          <cell r="BB946">
            <v>1</v>
          </cell>
          <cell r="BD946">
            <v>0</v>
          </cell>
          <cell r="BE946" t="str">
            <v>M</v>
          </cell>
          <cell r="BF946" t="str">
            <v>N</v>
          </cell>
          <cell r="BG946">
            <v>0</v>
          </cell>
          <cell r="BH946">
            <v>38718</v>
          </cell>
        </row>
        <row r="947">
          <cell r="A947">
            <v>71283</v>
          </cell>
          <cell r="B947">
            <v>421</v>
          </cell>
          <cell r="C947" t="str">
            <v>C4152</v>
          </cell>
          <cell r="D947" t="str">
            <v>HAMMADA</v>
          </cell>
          <cell r="E947" t="str">
            <v>BELKACEM</v>
          </cell>
          <cell r="F947">
            <v>21366</v>
          </cell>
          <cell r="H947" t="str">
            <v>DOUAR M'HANDA - TAZA</v>
          </cell>
          <cell r="I947" t="str">
            <v>D</v>
          </cell>
          <cell r="J947">
            <v>29056</v>
          </cell>
          <cell r="K947">
            <v>36526</v>
          </cell>
          <cell r="L947" t="str">
            <v>22</v>
          </cell>
          <cell r="M947" t="str">
            <v>A</v>
          </cell>
          <cell r="N947">
            <v>36526</v>
          </cell>
          <cell r="P947">
            <v>23</v>
          </cell>
          <cell r="Q947" t="str">
            <v>O</v>
          </cell>
          <cell r="R947" t="str">
            <v>N</v>
          </cell>
          <cell r="S947">
            <v>0</v>
          </cell>
          <cell r="T947" t="str">
            <v>M</v>
          </cell>
          <cell r="U947" t="str">
            <v>ES-SAADIA BENT ABDELKADER</v>
          </cell>
          <cell r="X947">
            <v>2</v>
          </cell>
          <cell r="Y947">
            <v>2</v>
          </cell>
          <cell r="AB947" t="str">
            <v>N</v>
          </cell>
          <cell r="AC947" t="str">
            <v>X</v>
          </cell>
          <cell r="AD947" t="str">
            <v>X</v>
          </cell>
          <cell r="AH947" t="str">
            <v>N</v>
          </cell>
          <cell r="AI947" t="str">
            <v>N</v>
          </cell>
          <cell r="AK947" t="str">
            <v>447 NELLE MEDINA DE SECHAGE KHOURIBGA</v>
          </cell>
          <cell r="AL947" t="str">
            <v>ILLETTRE</v>
          </cell>
          <cell r="AP947" t="str">
            <v>Z 16853</v>
          </cell>
          <cell r="AQ947">
            <v>0</v>
          </cell>
          <cell r="AR947" t="str">
            <v>B</v>
          </cell>
          <cell r="AS947" t="str">
            <v>SGMB.KHGA</v>
          </cell>
          <cell r="AT947" t="str">
            <v>670009117724-41</v>
          </cell>
          <cell r="AU947" t="str">
            <v>/  /</v>
          </cell>
          <cell r="AW947">
            <v>39630</v>
          </cell>
          <cell r="AY947" t="str">
            <v>XX</v>
          </cell>
          <cell r="BA947" t="str">
            <v>1</v>
          </cell>
          <cell r="BB947">
            <v>1</v>
          </cell>
          <cell r="BD947">
            <v>0</v>
          </cell>
          <cell r="BE947" t="str">
            <v>M</v>
          </cell>
          <cell r="BF947" t="str">
            <v>N</v>
          </cell>
          <cell r="BG947">
            <v>4</v>
          </cell>
          <cell r="BH947">
            <v>39630</v>
          </cell>
        </row>
        <row r="948">
          <cell r="A948">
            <v>71285</v>
          </cell>
          <cell r="B948">
            <v>421</v>
          </cell>
          <cell r="C948" t="str">
            <v>C3020</v>
          </cell>
          <cell r="D948" t="str">
            <v>RHANNAM</v>
          </cell>
          <cell r="E948" t="str">
            <v>EL MATI</v>
          </cell>
          <cell r="F948">
            <v>20210</v>
          </cell>
          <cell r="G948" t="str">
            <v>1</v>
          </cell>
          <cell r="H948" t="str">
            <v>OULED BHAR SGHAR KHOURIBGA</v>
          </cell>
          <cell r="I948" t="str">
            <v>D</v>
          </cell>
          <cell r="J948">
            <v>29056</v>
          </cell>
          <cell r="K948">
            <v>33664</v>
          </cell>
          <cell r="L948" t="str">
            <v>21</v>
          </cell>
          <cell r="M948" t="str">
            <v>A</v>
          </cell>
          <cell r="N948">
            <v>33664</v>
          </cell>
          <cell r="P948">
            <v>23</v>
          </cell>
          <cell r="Q948" t="str">
            <v>O</v>
          </cell>
          <cell r="R948" t="str">
            <v>N</v>
          </cell>
          <cell r="S948">
            <v>0</v>
          </cell>
          <cell r="T948" t="str">
            <v>M</v>
          </cell>
          <cell r="U948" t="str">
            <v>FATNA BENT ABDELAZIZ</v>
          </cell>
          <cell r="X948">
            <v>3</v>
          </cell>
          <cell r="Y948">
            <v>4</v>
          </cell>
          <cell r="AB948" t="str">
            <v>N</v>
          </cell>
          <cell r="AC948" t="str">
            <v>X</v>
          </cell>
          <cell r="AD948" t="str">
            <v>X</v>
          </cell>
          <cell r="AH948" t="str">
            <v>N</v>
          </cell>
          <cell r="AI948" t="str">
            <v>N</v>
          </cell>
          <cell r="AK948" t="str">
            <v>134 RUE 18 KOREA OUED ZEM</v>
          </cell>
          <cell r="AL948" t="str">
            <v>1AS</v>
          </cell>
          <cell r="AM948" t="str">
            <v>CEP.</v>
          </cell>
          <cell r="AP948" t="str">
            <v>Q 35834</v>
          </cell>
          <cell r="AQ948">
            <v>0</v>
          </cell>
          <cell r="AR948" t="str">
            <v>B</v>
          </cell>
          <cell r="AS948" t="str">
            <v>S.G.M.B - KHGA</v>
          </cell>
          <cell r="AT948" t="str">
            <v>0670009230729</v>
          </cell>
          <cell r="AU948" t="str">
            <v>19/01/18</v>
          </cell>
          <cell r="AW948">
            <v>38718</v>
          </cell>
          <cell r="AY948" t="str">
            <v>XX</v>
          </cell>
          <cell r="BA948" t="str">
            <v>0</v>
          </cell>
          <cell r="BB948">
            <v>1</v>
          </cell>
          <cell r="BD948">
            <v>0</v>
          </cell>
          <cell r="BE948" t="str">
            <v>M</v>
          </cell>
          <cell r="BF948" t="str">
            <v>N</v>
          </cell>
          <cell r="BG948">
            <v>30</v>
          </cell>
          <cell r="BH948">
            <v>38718</v>
          </cell>
          <cell r="BI948" t="str">
            <v>O</v>
          </cell>
        </row>
        <row r="949">
          <cell r="A949">
            <v>71312</v>
          </cell>
          <cell r="B949">
            <v>476</v>
          </cell>
          <cell r="C949" t="str">
            <v>C3050</v>
          </cell>
          <cell r="D949" t="str">
            <v>ZINEDDINE</v>
          </cell>
          <cell r="E949" t="str">
            <v>MOHAMED</v>
          </cell>
          <cell r="F949">
            <v>19175</v>
          </cell>
          <cell r="H949" t="str">
            <v>OULED M'HAMED - SETTAT</v>
          </cell>
          <cell r="I949" t="str">
            <v>D</v>
          </cell>
          <cell r="J949">
            <v>29061</v>
          </cell>
          <cell r="K949">
            <v>37377</v>
          </cell>
          <cell r="L949" t="str">
            <v>21</v>
          </cell>
          <cell r="M949" t="str">
            <v>A</v>
          </cell>
          <cell r="N949">
            <v>37377</v>
          </cell>
          <cell r="P949">
            <v>23</v>
          </cell>
          <cell r="Q949" t="str">
            <v>O</v>
          </cell>
          <cell r="R949" t="str">
            <v>N</v>
          </cell>
          <cell r="S949">
            <v>0</v>
          </cell>
          <cell r="T949" t="str">
            <v>M</v>
          </cell>
          <cell r="U949" t="str">
            <v>MAHJOUBA BENT ABDELKADER</v>
          </cell>
          <cell r="V949" t="str">
            <v>NEZHA BENT RAHAL</v>
          </cell>
          <cell r="X949">
            <v>8</v>
          </cell>
          <cell r="Y949">
            <v>1</v>
          </cell>
          <cell r="AB949" t="str">
            <v>X</v>
          </cell>
          <cell r="AC949" t="str">
            <v>X</v>
          </cell>
          <cell r="AD949" t="str">
            <v>X</v>
          </cell>
          <cell r="AH949" t="str">
            <v>N</v>
          </cell>
          <cell r="AI949" t="str">
            <v>N</v>
          </cell>
          <cell r="AK949" t="str">
            <v>75 ERAC EL AMAL - KHGA</v>
          </cell>
          <cell r="AL949" t="str">
            <v>ILLETTRE</v>
          </cell>
          <cell r="AP949" t="str">
            <v>W 5164</v>
          </cell>
          <cell r="AQ949">
            <v>0</v>
          </cell>
          <cell r="AR949" t="str">
            <v>B</v>
          </cell>
          <cell r="AS949" t="str">
            <v>POPULAIRE.KHGA</v>
          </cell>
          <cell r="AT949" t="str">
            <v>2111156452830005</v>
          </cell>
          <cell r="AU949" t="str">
            <v>/  /</v>
          </cell>
          <cell r="AW949">
            <v>38718</v>
          </cell>
          <cell r="AY949" t="str">
            <v>XX</v>
          </cell>
          <cell r="AZ949" t="str">
            <v>K</v>
          </cell>
          <cell r="BA949" t="str">
            <v>1</v>
          </cell>
          <cell r="BB949">
            <v>1</v>
          </cell>
          <cell r="BD949">
            <v>0</v>
          </cell>
          <cell r="BE949" t="str">
            <v>M</v>
          </cell>
          <cell r="BF949" t="str">
            <v>N</v>
          </cell>
          <cell r="BG949">
            <v>1</v>
          </cell>
          <cell r="BH949">
            <v>38718</v>
          </cell>
        </row>
        <row r="950">
          <cell r="A950">
            <v>71313</v>
          </cell>
          <cell r="B950">
            <v>428</v>
          </cell>
          <cell r="C950" t="str">
            <v>C4152</v>
          </cell>
          <cell r="D950" t="str">
            <v>NADIF</v>
          </cell>
          <cell r="E950" t="str">
            <v>MUSTAPHA</v>
          </cell>
          <cell r="F950">
            <v>19540</v>
          </cell>
          <cell r="H950" t="str">
            <v>OULED M'RAH - SETTAT</v>
          </cell>
          <cell r="I950" t="str">
            <v>D</v>
          </cell>
          <cell r="J950">
            <v>29067</v>
          </cell>
          <cell r="K950">
            <v>36526</v>
          </cell>
          <cell r="L950" t="str">
            <v>22</v>
          </cell>
          <cell r="M950" t="str">
            <v>A</v>
          </cell>
          <cell r="N950">
            <v>36526</v>
          </cell>
          <cell r="P950">
            <v>23</v>
          </cell>
          <cell r="Q950" t="str">
            <v>O</v>
          </cell>
          <cell r="R950" t="str">
            <v>N</v>
          </cell>
          <cell r="S950">
            <v>0</v>
          </cell>
          <cell r="T950" t="str">
            <v>M</v>
          </cell>
          <cell r="U950" t="str">
            <v>KHADDOUJ BENT ECH-CHAFI</v>
          </cell>
          <cell r="X950">
            <v>4</v>
          </cell>
          <cell r="Y950">
            <v>2</v>
          </cell>
          <cell r="AB950" t="str">
            <v>X</v>
          </cell>
          <cell r="AC950" t="str">
            <v>X</v>
          </cell>
          <cell r="AD950" t="str">
            <v>X</v>
          </cell>
          <cell r="AH950" t="str">
            <v>N</v>
          </cell>
          <cell r="AI950" t="str">
            <v>N</v>
          </cell>
          <cell r="AK950" t="str">
            <v>371 NOUVEAUX LOGEMENTS SECHAGE KHGA</v>
          </cell>
          <cell r="AL950" t="str">
            <v>ILLETTRE</v>
          </cell>
          <cell r="AP950" t="str">
            <v>Q 97733</v>
          </cell>
          <cell r="AQ950">
            <v>0</v>
          </cell>
          <cell r="AR950" t="str">
            <v>B</v>
          </cell>
          <cell r="AS950" t="str">
            <v>WAFABANK.KHGA</v>
          </cell>
          <cell r="AT950" t="str">
            <v>1220301063332</v>
          </cell>
          <cell r="AU950" t="str">
            <v>/  /</v>
          </cell>
          <cell r="AW950">
            <v>38718</v>
          </cell>
          <cell r="AY950" t="str">
            <v>XX</v>
          </cell>
          <cell r="BA950" t="str">
            <v>1</v>
          </cell>
          <cell r="BB950">
            <v>1</v>
          </cell>
          <cell r="BD950">
            <v>0</v>
          </cell>
          <cell r="BE950" t="str">
            <v>M</v>
          </cell>
          <cell r="BF950" t="str">
            <v>N</v>
          </cell>
          <cell r="BG950">
            <v>4</v>
          </cell>
          <cell r="BH950">
            <v>38718</v>
          </cell>
        </row>
        <row r="951">
          <cell r="A951">
            <v>71316</v>
          </cell>
          <cell r="B951">
            <v>428</v>
          </cell>
          <cell r="C951" t="str">
            <v>C4152</v>
          </cell>
          <cell r="D951" t="str">
            <v>KARKOUR</v>
          </cell>
          <cell r="E951" t="str">
            <v>AHMED</v>
          </cell>
          <cell r="F951">
            <v>19912</v>
          </cell>
          <cell r="G951" t="str">
            <v>1</v>
          </cell>
          <cell r="H951" t="str">
            <v>KHOURIBGA</v>
          </cell>
          <cell r="I951" t="str">
            <v>D</v>
          </cell>
          <cell r="J951">
            <v>29067</v>
          </cell>
          <cell r="K951">
            <v>36526</v>
          </cell>
          <cell r="L951" t="str">
            <v>22</v>
          </cell>
          <cell r="M951" t="str">
            <v>A</v>
          </cell>
          <cell r="N951">
            <v>36526</v>
          </cell>
          <cell r="P951">
            <v>23</v>
          </cell>
          <cell r="Q951" t="str">
            <v>O</v>
          </cell>
          <cell r="R951" t="str">
            <v>N</v>
          </cell>
          <cell r="S951">
            <v>0</v>
          </cell>
          <cell r="T951" t="str">
            <v>M</v>
          </cell>
          <cell r="U951" t="str">
            <v>EL BAZ RABIA BENT MOHAMED</v>
          </cell>
          <cell r="X951">
            <v>3</v>
          </cell>
          <cell r="Y951">
            <v>3</v>
          </cell>
          <cell r="AB951" t="str">
            <v>X</v>
          </cell>
          <cell r="AC951" t="str">
            <v>X</v>
          </cell>
          <cell r="AD951" t="str">
            <v>X</v>
          </cell>
          <cell r="AH951" t="str">
            <v>N</v>
          </cell>
          <cell r="AI951" t="str">
            <v>N</v>
          </cell>
          <cell r="AK951" t="str">
            <v>320 NX LOGEMENTS DE SECHAGE OCP KHGA</v>
          </cell>
          <cell r="AL951" t="str">
            <v>CM2</v>
          </cell>
          <cell r="AN951" t="str">
            <v>.</v>
          </cell>
          <cell r="AP951" t="str">
            <v>Q 21613</v>
          </cell>
          <cell r="AQ951">
            <v>0</v>
          </cell>
          <cell r="AR951" t="str">
            <v>B</v>
          </cell>
          <cell r="AS951" t="str">
            <v>CR.MAROC - KHGA</v>
          </cell>
          <cell r="AT951" t="str">
            <v>082001046876</v>
          </cell>
          <cell r="AU951" t="str">
            <v>/  /</v>
          </cell>
          <cell r="AW951">
            <v>38718</v>
          </cell>
          <cell r="AY951" t="str">
            <v>XX</v>
          </cell>
          <cell r="BA951" t="str">
            <v>1</v>
          </cell>
          <cell r="BB951">
            <v>1</v>
          </cell>
          <cell r="BD951">
            <v>0</v>
          </cell>
          <cell r="BE951" t="str">
            <v>M</v>
          </cell>
          <cell r="BF951" t="str">
            <v>N</v>
          </cell>
          <cell r="BG951">
            <v>4</v>
          </cell>
          <cell r="BH951">
            <v>38718</v>
          </cell>
        </row>
        <row r="952">
          <cell r="A952">
            <v>71317</v>
          </cell>
          <cell r="B952">
            <v>426</v>
          </cell>
          <cell r="C952" t="str">
            <v>C3152</v>
          </cell>
          <cell r="D952" t="str">
            <v>KOURAICHI</v>
          </cell>
          <cell r="E952" t="str">
            <v>MOHAMED</v>
          </cell>
          <cell r="F952">
            <v>19905</v>
          </cell>
          <cell r="H952" t="str">
            <v>LOULAD - SETTAT</v>
          </cell>
          <cell r="I952" t="str">
            <v>D</v>
          </cell>
          <cell r="J952">
            <v>29067</v>
          </cell>
          <cell r="K952">
            <v>35977</v>
          </cell>
          <cell r="L952" t="str">
            <v>21</v>
          </cell>
          <cell r="M952" t="str">
            <v>A</v>
          </cell>
          <cell r="N952">
            <v>35977</v>
          </cell>
          <cell r="P952">
            <v>23</v>
          </cell>
          <cell r="Q952" t="str">
            <v>O</v>
          </cell>
          <cell r="R952" t="str">
            <v>N</v>
          </cell>
          <cell r="S952">
            <v>0</v>
          </cell>
          <cell r="T952" t="str">
            <v>M</v>
          </cell>
          <cell r="U952" t="str">
            <v>FATNA BENT HACHEM</v>
          </cell>
          <cell r="X952">
            <v>5</v>
          </cell>
          <cell r="Y952">
            <v>3</v>
          </cell>
          <cell r="AB952" t="str">
            <v>X</v>
          </cell>
          <cell r="AC952" t="str">
            <v>X</v>
          </cell>
          <cell r="AD952" t="str">
            <v>X</v>
          </cell>
          <cell r="AH952" t="str">
            <v>N</v>
          </cell>
          <cell r="AI952" t="str">
            <v>N</v>
          </cell>
          <cell r="AK952" t="str">
            <v>1103 VILLAGE O.C.P - HATTANE</v>
          </cell>
          <cell r="AL952" t="str">
            <v>ILLETTRE</v>
          </cell>
          <cell r="AP952" t="str">
            <v>Q 64668</v>
          </cell>
          <cell r="AQ952">
            <v>0</v>
          </cell>
          <cell r="AR952" t="str">
            <v>B</v>
          </cell>
          <cell r="AS952" t="str">
            <v>POPULAIRE.KHGA</v>
          </cell>
          <cell r="AT952" t="str">
            <v>4002111136306000005</v>
          </cell>
          <cell r="AU952" t="str">
            <v>/  /</v>
          </cell>
          <cell r="AW952">
            <v>38718</v>
          </cell>
          <cell r="AY952" t="str">
            <v>XX</v>
          </cell>
          <cell r="BA952" t="str">
            <v>1</v>
          </cell>
          <cell r="BB952">
            <v>1</v>
          </cell>
          <cell r="BD952">
            <v>0</v>
          </cell>
          <cell r="BE952" t="str">
            <v>M</v>
          </cell>
          <cell r="BF952" t="str">
            <v>N</v>
          </cell>
          <cell r="BG952">
            <v>11</v>
          </cell>
          <cell r="BH952">
            <v>38718</v>
          </cell>
        </row>
        <row r="953">
          <cell r="A953">
            <v>71321</v>
          </cell>
          <cell r="B953">
            <v>468</v>
          </cell>
          <cell r="C953" t="str">
            <v>C3152</v>
          </cell>
          <cell r="D953" t="str">
            <v>EL OMRANI IDRIS</v>
          </cell>
          <cell r="E953" t="str">
            <v>ABDELKADER</v>
          </cell>
          <cell r="F953">
            <v>19175</v>
          </cell>
          <cell r="H953" t="str">
            <v>OULED M'RAH - SETTAT</v>
          </cell>
          <cell r="I953" t="str">
            <v>D</v>
          </cell>
          <cell r="J953">
            <v>29067</v>
          </cell>
          <cell r="K953">
            <v>36526</v>
          </cell>
          <cell r="L953" t="str">
            <v>21</v>
          </cell>
          <cell r="M953" t="str">
            <v>A</v>
          </cell>
          <cell r="N953">
            <v>36526</v>
          </cell>
          <cell r="P953">
            <v>23</v>
          </cell>
          <cell r="Q953" t="str">
            <v>O</v>
          </cell>
          <cell r="R953" t="str">
            <v>N</v>
          </cell>
          <cell r="S953">
            <v>0</v>
          </cell>
          <cell r="T953" t="str">
            <v>M</v>
          </cell>
          <cell r="U953" t="str">
            <v>AMINA BENT ABDELKADER</v>
          </cell>
          <cell r="X953">
            <v>5</v>
          </cell>
          <cell r="Y953">
            <v>2</v>
          </cell>
          <cell r="AB953" t="str">
            <v>X</v>
          </cell>
          <cell r="AC953" t="str">
            <v>X</v>
          </cell>
          <cell r="AD953" t="str">
            <v>X</v>
          </cell>
          <cell r="AH953" t="str">
            <v>N</v>
          </cell>
          <cell r="AI953" t="str">
            <v>N</v>
          </cell>
          <cell r="AK953" t="str">
            <v>145 NLLE MEDINA O.C.P - KHGA</v>
          </cell>
          <cell r="AL953" t="str">
            <v>ILLETTRE</v>
          </cell>
          <cell r="AP953" t="str">
            <v>Q 89627</v>
          </cell>
          <cell r="AQ953">
            <v>0</v>
          </cell>
          <cell r="AR953" t="str">
            <v>B</v>
          </cell>
          <cell r="AS953" t="str">
            <v>WAFABANK - KHGA</v>
          </cell>
          <cell r="AT953" t="str">
            <v>1220301157908</v>
          </cell>
          <cell r="AU953" t="str">
            <v>/  /</v>
          </cell>
          <cell r="AW953">
            <v>38718</v>
          </cell>
          <cell r="AY953" t="str">
            <v>XX</v>
          </cell>
          <cell r="BA953" t="str">
            <v>1</v>
          </cell>
          <cell r="BB953">
            <v>1</v>
          </cell>
          <cell r="BD953">
            <v>0</v>
          </cell>
          <cell r="BE953" t="str">
            <v>M</v>
          </cell>
          <cell r="BF953" t="str">
            <v>N</v>
          </cell>
          <cell r="BG953">
            <v>5</v>
          </cell>
          <cell r="BH953">
            <v>38718</v>
          </cell>
        </row>
        <row r="954">
          <cell r="A954">
            <v>71326</v>
          </cell>
          <cell r="B954">
            <v>411</v>
          </cell>
          <cell r="C954" t="str">
            <v>C3152</v>
          </cell>
          <cell r="D954" t="str">
            <v>LIASSINE</v>
          </cell>
          <cell r="E954" t="str">
            <v>MOHAMMED</v>
          </cell>
          <cell r="F954">
            <v>21001</v>
          </cell>
          <cell r="G954" t="str">
            <v>1</v>
          </cell>
          <cell r="H954" t="str">
            <v>EL FOKRA OULED BHAR SGHAR</v>
          </cell>
          <cell r="I954" t="str">
            <v>D</v>
          </cell>
          <cell r="J954">
            <v>29067</v>
          </cell>
          <cell r="K954">
            <v>36526</v>
          </cell>
          <cell r="L954" t="str">
            <v>21</v>
          </cell>
          <cell r="M954" t="str">
            <v>A</v>
          </cell>
          <cell r="N954">
            <v>36526</v>
          </cell>
          <cell r="P954">
            <v>23</v>
          </cell>
          <cell r="Q954" t="str">
            <v>O</v>
          </cell>
          <cell r="R954" t="str">
            <v>N</v>
          </cell>
          <cell r="S954">
            <v>0</v>
          </cell>
          <cell r="T954" t="str">
            <v>M</v>
          </cell>
          <cell r="U954" t="str">
            <v>LIASSINE FATNA BENT EL KBIR</v>
          </cell>
          <cell r="X954">
            <v>4</v>
          </cell>
          <cell r="Y954">
            <v>2</v>
          </cell>
          <cell r="AB954" t="str">
            <v>X</v>
          </cell>
          <cell r="AC954" t="str">
            <v>X</v>
          </cell>
          <cell r="AD954" t="str">
            <v>X</v>
          </cell>
          <cell r="AH954" t="str">
            <v>N</v>
          </cell>
          <cell r="AI954" t="str">
            <v>N</v>
          </cell>
          <cell r="AK954" t="str">
            <v>572 VILLAGE OCP BOULANOUAR</v>
          </cell>
          <cell r="AL954" t="str">
            <v>1AS</v>
          </cell>
          <cell r="AP954" t="str">
            <v>Q 2886</v>
          </cell>
          <cell r="AQ954">
            <v>0</v>
          </cell>
          <cell r="AR954" t="str">
            <v>B</v>
          </cell>
          <cell r="AS954" t="str">
            <v>BMCE - KHGA</v>
          </cell>
          <cell r="AT954" t="str">
            <v>0000001200001385993</v>
          </cell>
          <cell r="AU954" t="str">
            <v>/  /</v>
          </cell>
          <cell r="AW954">
            <v>39264</v>
          </cell>
          <cell r="AY954" t="str">
            <v>XX</v>
          </cell>
          <cell r="BA954" t="str">
            <v>1</v>
          </cell>
          <cell r="BB954">
            <v>1</v>
          </cell>
          <cell r="BD954">
            <v>0</v>
          </cell>
          <cell r="BE954" t="str">
            <v>M</v>
          </cell>
          <cell r="BF954" t="str">
            <v>N</v>
          </cell>
          <cell r="BG954">
            <v>40</v>
          </cell>
          <cell r="BH954">
            <v>39264</v>
          </cell>
        </row>
        <row r="955">
          <cell r="A955">
            <v>71334</v>
          </cell>
          <cell r="B955">
            <v>418</v>
          </cell>
          <cell r="C955" t="str">
            <v>C3152</v>
          </cell>
          <cell r="D955" t="str">
            <v>MALEK</v>
          </cell>
          <cell r="E955" t="str">
            <v>EL HASSAN</v>
          </cell>
          <cell r="F955">
            <v>18444</v>
          </cell>
          <cell r="H955" t="str">
            <v>LOULAD - SETTAT</v>
          </cell>
          <cell r="I955" t="str">
            <v>D</v>
          </cell>
          <cell r="J955">
            <v>29063</v>
          </cell>
          <cell r="K955">
            <v>35977</v>
          </cell>
          <cell r="L955" t="str">
            <v>21</v>
          </cell>
          <cell r="M955" t="str">
            <v>A</v>
          </cell>
          <cell r="N955">
            <v>35977</v>
          </cell>
          <cell r="P955">
            <v>23</v>
          </cell>
          <cell r="Q955" t="str">
            <v>O</v>
          </cell>
          <cell r="R955" t="str">
            <v>N</v>
          </cell>
          <cell r="S955">
            <v>0</v>
          </cell>
          <cell r="T955" t="str">
            <v>M</v>
          </cell>
          <cell r="U955" t="str">
            <v>FATIMA BENT BOUABID</v>
          </cell>
          <cell r="X955">
            <v>8</v>
          </cell>
          <cell r="Y955">
            <v>1</v>
          </cell>
          <cell r="AB955" t="str">
            <v>X</v>
          </cell>
          <cell r="AC955" t="str">
            <v>X</v>
          </cell>
          <cell r="AD955" t="str">
            <v>X</v>
          </cell>
          <cell r="AH955" t="str">
            <v>N</v>
          </cell>
          <cell r="AI955" t="str">
            <v>N</v>
          </cell>
          <cell r="AK955" t="str">
            <v>361 DOUAR BEN JELLOUNE - KHGA</v>
          </cell>
          <cell r="AL955" t="str">
            <v>ILLETTRE</v>
          </cell>
          <cell r="AP955" t="str">
            <v>Q 81156</v>
          </cell>
          <cell r="AQ955">
            <v>0</v>
          </cell>
          <cell r="AR955" t="str">
            <v>C</v>
          </cell>
          <cell r="AU955" t="str">
            <v>/  /</v>
          </cell>
          <cell r="AW955">
            <v>38534</v>
          </cell>
          <cell r="AY955" t="str">
            <v>XX</v>
          </cell>
          <cell r="BA955" t="str">
            <v>1</v>
          </cell>
          <cell r="BB955">
            <v>1</v>
          </cell>
          <cell r="BD955">
            <v>0</v>
          </cell>
          <cell r="BE955" t="str">
            <v>M</v>
          </cell>
          <cell r="BF955" t="str">
            <v>N</v>
          </cell>
          <cell r="BG955">
            <v>1</v>
          </cell>
          <cell r="BH955">
            <v>38534</v>
          </cell>
        </row>
        <row r="956">
          <cell r="A956">
            <v>71335</v>
          </cell>
          <cell r="B956">
            <v>466</v>
          </cell>
          <cell r="C956" t="str">
            <v>C3152</v>
          </cell>
          <cell r="D956" t="str">
            <v>KRAIDI</v>
          </cell>
          <cell r="E956" t="str">
            <v>SALAH</v>
          </cell>
          <cell r="F956">
            <v>19540</v>
          </cell>
          <cell r="G956" t="str">
            <v>2</v>
          </cell>
          <cell r="H956" t="str">
            <v>SMAALA</v>
          </cell>
          <cell r="I956" t="str">
            <v>D</v>
          </cell>
          <cell r="J956">
            <v>29064</v>
          </cell>
          <cell r="K956">
            <v>36526</v>
          </cell>
          <cell r="L956" t="str">
            <v>21</v>
          </cell>
          <cell r="M956" t="str">
            <v>A</v>
          </cell>
          <cell r="N956">
            <v>36526</v>
          </cell>
          <cell r="P956">
            <v>23</v>
          </cell>
          <cell r="Q956" t="str">
            <v>N</v>
          </cell>
          <cell r="R956" t="str">
            <v>O</v>
          </cell>
          <cell r="S956">
            <v>3</v>
          </cell>
          <cell r="T956" t="str">
            <v>M</v>
          </cell>
          <cell r="U956" t="str">
            <v>MERYEM BENT AHMED KHATIBI</v>
          </cell>
          <cell r="X956">
            <v>10</v>
          </cell>
          <cell r="Y956">
            <v>5</v>
          </cell>
          <cell r="AB956" t="str">
            <v>X</v>
          </cell>
          <cell r="AC956" t="str">
            <v>X</v>
          </cell>
          <cell r="AD956" t="str">
            <v>X</v>
          </cell>
          <cell r="AH956" t="str">
            <v>N</v>
          </cell>
          <cell r="AI956" t="str">
            <v>N</v>
          </cell>
          <cell r="AK956" t="str">
            <v>DOUAR OULED BEN AYAD SMAALA OUED ZEM</v>
          </cell>
          <cell r="AL956" t="str">
            <v>ILLETTRE</v>
          </cell>
          <cell r="AP956" t="str">
            <v>Q 79997</v>
          </cell>
          <cell r="AQ956">
            <v>0</v>
          </cell>
          <cell r="AR956" t="str">
            <v>C</v>
          </cell>
          <cell r="AU956" t="str">
            <v>/  /</v>
          </cell>
          <cell r="AW956">
            <v>38718</v>
          </cell>
          <cell r="AY956" t="str">
            <v>XX</v>
          </cell>
          <cell r="BA956" t="str">
            <v>1</v>
          </cell>
          <cell r="BB956">
            <v>1</v>
          </cell>
          <cell r="BD956">
            <v>0</v>
          </cell>
          <cell r="BE956" t="str">
            <v>M</v>
          </cell>
          <cell r="BF956" t="str">
            <v>N</v>
          </cell>
          <cell r="BG956">
            <v>0</v>
          </cell>
          <cell r="BH956">
            <v>38718</v>
          </cell>
        </row>
        <row r="957">
          <cell r="A957">
            <v>71433</v>
          </cell>
          <cell r="B957">
            <v>468</v>
          </cell>
          <cell r="C957" t="str">
            <v>C2152</v>
          </cell>
          <cell r="D957" t="str">
            <v>EL GAROUAZ</v>
          </cell>
          <cell r="E957" t="str">
            <v>EL ARBI</v>
          </cell>
          <cell r="F957">
            <v>21001</v>
          </cell>
          <cell r="G957" t="str">
            <v>1</v>
          </cell>
          <cell r="H957" t="str">
            <v>OULED BHAR KBAR KHOURIBGA</v>
          </cell>
          <cell r="I957" t="str">
            <v>D</v>
          </cell>
          <cell r="J957">
            <v>29136</v>
          </cell>
          <cell r="K957">
            <v>31352</v>
          </cell>
          <cell r="L957" t="str">
            <v>12</v>
          </cell>
          <cell r="M957" t="str">
            <v>D</v>
          </cell>
          <cell r="N957">
            <v>35612</v>
          </cell>
          <cell r="P957">
            <v>23</v>
          </cell>
          <cell r="Q957" t="str">
            <v>O</v>
          </cell>
          <cell r="R957" t="str">
            <v>N</v>
          </cell>
          <cell r="S957">
            <v>0</v>
          </cell>
          <cell r="T957" t="str">
            <v>M</v>
          </cell>
          <cell r="U957" t="str">
            <v>NAJAT BENT HADJ MOHAMED</v>
          </cell>
          <cell r="X957">
            <v>6</v>
          </cell>
          <cell r="Y957">
            <v>6</v>
          </cell>
          <cell r="AB957" t="str">
            <v>X</v>
          </cell>
          <cell r="AC957" t="str">
            <v>X</v>
          </cell>
          <cell r="AD957" t="str">
            <v>X</v>
          </cell>
          <cell r="AH957" t="str">
            <v>N</v>
          </cell>
          <cell r="AI957" t="str">
            <v>N</v>
          </cell>
          <cell r="AK957" t="str">
            <v>97 RUE 2 ZIDANIA - OUED ZEM</v>
          </cell>
          <cell r="AL957" t="str">
            <v>ILLETTRE</v>
          </cell>
          <cell r="AP957" t="str">
            <v>Q 90584</v>
          </cell>
          <cell r="AQ957">
            <v>0</v>
          </cell>
          <cell r="AR957" t="str">
            <v>C</v>
          </cell>
          <cell r="AU957" t="str">
            <v>/  /</v>
          </cell>
          <cell r="AW957">
            <v>39264</v>
          </cell>
          <cell r="AY957" t="str">
            <v>XX</v>
          </cell>
          <cell r="BA957" t="str">
            <v>1</v>
          </cell>
          <cell r="BB957">
            <v>1</v>
          </cell>
          <cell r="BD957">
            <v>0</v>
          </cell>
          <cell r="BE957" t="str">
            <v>M</v>
          </cell>
          <cell r="BF957" t="str">
            <v>N</v>
          </cell>
          <cell r="BG957">
            <v>31</v>
          </cell>
          <cell r="BH957">
            <v>39264</v>
          </cell>
          <cell r="BI957" t="str">
            <v>O</v>
          </cell>
        </row>
        <row r="958">
          <cell r="A958">
            <v>71436</v>
          </cell>
          <cell r="B958">
            <v>468</v>
          </cell>
          <cell r="C958" t="str">
            <v>C3152</v>
          </cell>
          <cell r="D958" t="str">
            <v>SDAIRI</v>
          </cell>
          <cell r="E958" t="str">
            <v>MOHAMMED</v>
          </cell>
          <cell r="F958">
            <v>18809</v>
          </cell>
          <cell r="G958" t="str">
            <v>1</v>
          </cell>
          <cell r="H958" t="str">
            <v>OULED BHAR KBAR KHOURIBGA</v>
          </cell>
          <cell r="I958" t="str">
            <v>D</v>
          </cell>
          <cell r="J958">
            <v>29136</v>
          </cell>
          <cell r="K958">
            <v>37012</v>
          </cell>
          <cell r="L958" t="str">
            <v>21</v>
          </cell>
          <cell r="M958" t="str">
            <v>A</v>
          </cell>
          <cell r="N958">
            <v>37012</v>
          </cell>
          <cell r="P958">
            <v>23</v>
          </cell>
          <cell r="Q958" t="str">
            <v>O</v>
          </cell>
          <cell r="R958" t="str">
            <v>N</v>
          </cell>
          <cell r="S958">
            <v>0</v>
          </cell>
          <cell r="T958" t="str">
            <v>M</v>
          </cell>
          <cell r="U958" t="str">
            <v>FATNA BENT ED-DAOUI SDAIRI</v>
          </cell>
          <cell r="X958">
            <v>4</v>
          </cell>
          <cell r="Y958">
            <v>0</v>
          </cell>
          <cell r="AB958" t="str">
            <v>X</v>
          </cell>
          <cell r="AC958" t="str">
            <v>X</v>
          </cell>
          <cell r="AD958" t="str">
            <v>X</v>
          </cell>
          <cell r="AH958" t="str">
            <v>N</v>
          </cell>
          <cell r="AI958" t="str">
            <v>N</v>
          </cell>
          <cell r="AK958" t="str">
            <v>DOUAR OULED CHARKI EL GUEFFAF - BOUJNIBA</v>
          </cell>
          <cell r="AL958" t="str">
            <v>CM2</v>
          </cell>
          <cell r="AP958" t="str">
            <v>Q 22417</v>
          </cell>
          <cell r="AQ958">
            <v>0</v>
          </cell>
          <cell r="AR958" t="str">
            <v>C</v>
          </cell>
          <cell r="AU958" t="str">
            <v>/  /</v>
          </cell>
          <cell r="AW958">
            <v>38718</v>
          </cell>
          <cell r="AY958" t="str">
            <v>XX</v>
          </cell>
          <cell r="AZ958" t="str">
            <v>K</v>
          </cell>
          <cell r="BA958" t="str">
            <v>1</v>
          </cell>
          <cell r="BB958">
            <v>1</v>
          </cell>
          <cell r="BD958">
            <v>0</v>
          </cell>
          <cell r="BE958" t="str">
            <v>M</v>
          </cell>
          <cell r="BF958" t="str">
            <v>N</v>
          </cell>
          <cell r="BG958">
            <v>20</v>
          </cell>
          <cell r="BH958">
            <v>38899</v>
          </cell>
          <cell r="BI958" t="str">
            <v>O</v>
          </cell>
        </row>
        <row r="959">
          <cell r="A959">
            <v>71437</v>
          </cell>
          <cell r="B959">
            <v>428</v>
          </cell>
          <cell r="C959" t="str">
            <v>C3152</v>
          </cell>
          <cell r="D959" t="str">
            <v>KARRATE</v>
          </cell>
          <cell r="E959" t="str">
            <v>SALAH</v>
          </cell>
          <cell r="F959">
            <v>21230</v>
          </cell>
          <cell r="G959" t="str">
            <v>1</v>
          </cell>
          <cell r="H959" t="str">
            <v>KHOURIBGA</v>
          </cell>
          <cell r="I959" t="str">
            <v>D</v>
          </cell>
          <cell r="J959">
            <v>29136</v>
          </cell>
          <cell r="K959">
            <v>33420</v>
          </cell>
          <cell r="L959" t="str">
            <v>21</v>
          </cell>
          <cell r="M959" t="str">
            <v>A</v>
          </cell>
          <cell r="N959">
            <v>33420</v>
          </cell>
          <cell r="P959">
            <v>23</v>
          </cell>
          <cell r="Q959" t="str">
            <v>O</v>
          </cell>
          <cell r="R959" t="str">
            <v>N</v>
          </cell>
          <cell r="S959">
            <v>0</v>
          </cell>
          <cell r="T959" t="str">
            <v>M</v>
          </cell>
          <cell r="U959" t="str">
            <v>EL KBIRA BENT KHALIFA</v>
          </cell>
          <cell r="X959">
            <v>3</v>
          </cell>
          <cell r="Y959">
            <v>3</v>
          </cell>
          <cell r="AB959" t="str">
            <v>X</v>
          </cell>
          <cell r="AC959" t="str">
            <v>X</v>
          </cell>
          <cell r="AD959" t="str">
            <v>X</v>
          </cell>
          <cell r="AH959" t="str">
            <v>N</v>
          </cell>
          <cell r="AI959" t="str">
            <v>N</v>
          </cell>
          <cell r="AK959" t="str">
            <v>190 NELLE CONSTRUCTION DE SECHAGE KHGA</v>
          </cell>
          <cell r="AL959" t="str">
            <v>CM2</v>
          </cell>
          <cell r="AP959" t="str">
            <v>Q 14982</v>
          </cell>
          <cell r="AQ959">
            <v>0</v>
          </cell>
          <cell r="AR959" t="str">
            <v>B</v>
          </cell>
          <cell r="AS959" t="str">
            <v>CIH - KHGA</v>
          </cell>
          <cell r="AT959" t="str">
            <v>079449112110047001</v>
          </cell>
          <cell r="AU959" t="str">
            <v>/  /</v>
          </cell>
          <cell r="AW959">
            <v>39630</v>
          </cell>
          <cell r="AY959" t="str">
            <v>XX</v>
          </cell>
          <cell r="BA959" t="str">
            <v>1</v>
          </cell>
          <cell r="BB959">
            <v>1</v>
          </cell>
          <cell r="BD959">
            <v>0</v>
          </cell>
          <cell r="BE959" t="str">
            <v>M</v>
          </cell>
          <cell r="BF959" t="str">
            <v>N</v>
          </cell>
          <cell r="BG959">
            <v>4</v>
          </cell>
          <cell r="BH959">
            <v>39630</v>
          </cell>
        </row>
        <row r="960">
          <cell r="A960">
            <v>71468</v>
          </cell>
          <cell r="B960">
            <v>466</v>
          </cell>
          <cell r="C960" t="str">
            <v>C3152</v>
          </cell>
          <cell r="D960" t="str">
            <v>MAKINE</v>
          </cell>
          <cell r="E960" t="str">
            <v>AHMED</v>
          </cell>
          <cell r="F960">
            <v>18809</v>
          </cell>
          <cell r="G960" t="str">
            <v>1</v>
          </cell>
          <cell r="H960" t="str">
            <v>OULED BHAR KBAR KHOURIBGA</v>
          </cell>
          <cell r="I960" t="str">
            <v>D</v>
          </cell>
          <cell r="J960">
            <v>29157</v>
          </cell>
          <cell r="K960">
            <v>36526</v>
          </cell>
          <cell r="L960" t="str">
            <v>21</v>
          </cell>
          <cell r="M960" t="str">
            <v>A</v>
          </cell>
          <cell r="N960">
            <v>36526</v>
          </cell>
          <cell r="P960">
            <v>23</v>
          </cell>
          <cell r="Q960" t="str">
            <v>O</v>
          </cell>
          <cell r="R960" t="str">
            <v>N</v>
          </cell>
          <cell r="S960">
            <v>0</v>
          </cell>
          <cell r="T960" t="str">
            <v>M</v>
          </cell>
          <cell r="U960" t="str">
            <v>BAMANE FATIMA BENT SALAH</v>
          </cell>
          <cell r="X960">
            <v>6</v>
          </cell>
          <cell r="Y960">
            <v>6</v>
          </cell>
          <cell r="AB960" t="str">
            <v>X</v>
          </cell>
          <cell r="AC960" t="str">
            <v>X</v>
          </cell>
          <cell r="AD960" t="str">
            <v>X</v>
          </cell>
          <cell r="AH960" t="str">
            <v>N</v>
          </cell>
          <cell r="AI960" t="str">
            <v>N</v>
          </cell>
          <cell r="AK960" t="str">
            <v>592 NOUVEAU TACHERON O.C.P -  BOUJNIBA</v>
          </cell>
          <cell r="AL960" t="str">
            <v>ILLETTRE</v>
          </cell>
          <cell r="AP960" t="str">
            <v>Q 80449</v>
          </cell>
          <cell r="AQ960">
            <v>0</v>
          </cell>
          <cell r="AR960" t="str">
            <v>C</v>
          </cell>
          <cell r="AU960" t="str">
            <v>/  /</v>
          </cell>
          <cell r="AW960">
            <v>38899</v>
          </cell>
          <cell r="AY960" t="str">
            <v>XX</v>
          </cell>
          <cell r="BA960" t="str">
            <v>1</v>
          </cell>
          <cell r="BB960">
            <v>1</v>
          </cell>
          <cell r="BD960">
            <v>0</v>
          </cell>
          <cell r="BE960" t="str">
            <v>M</v>
          </cell>
          <cell r="BF960" t="str">
            <v>N</v>
          </cell>
          <cell r="BG960">
            <v>51</v>
          </cell>
          <cell r="BH960">
            <v>38899</v>
          </cell>
        </row>
        <row r="961">
          <cell r="A961">
            <v>71469</v>
          </cell>
          <cell r="B961">
            <v>468</v>
          </cell>
          <cell r="C961" t="str">
            <v>C3152</v>
          </cell>
          <cell r="D961" t="str">
            <v>EL OMARI</v>
          </cell>
          <cell r="E961" t="str">
            <v>MOHAMMED</v>
          </cell>
          <cell r="F961">
            <v>17714</v>
          </cell>
          <cell r="G961" t="str">
            <v>2</v>
          </cell>
          <cell r="H961" t="str">
            <v>OUED-ZEM</v>
          </cell>
          <cell r="I961" t="str">
            <v>D</v>
          </cell>
          <cell r="J961">
            <v>29166</v>
          </cell>
          <cell r="K961">
            <v>37012</v>
          </cell>
          <cell r="L961" t="str">
            <v>21</v>
          </cell>
          <cell r="M961" t="str">
            <v>B</v>
          </cell>
          <cell r="N961">
            <v>37012</v>
          </cell>
          <cell r="P961">
            <v>23</v>
          </cell>
          <cell r="Q961" t="str">
            <v>O</v>
          </cell>
          <cell r="R961" t="str">
            <v>N</v>
          </cell>
          <cell r="S961">
            <v>0</v>
          </cell>
          <cell r="T961" t="str">
            <v>M</v>
          </cell>
          <cell r="U961" t="str">
            <v>FATIMA BENT BOUAZZA HADIR</v>
          </cell>
          <cell r="X961">
            <v>6</v>
          </cell>
          <cell r="Y961">
            <v>4</v>
          </cell>
          <cell r="AB961" t="str">
            <v>X</v>
          </cell>
          <cell r="AC961" t="str">
            <v>X</v>
          </cell>
          <cell r="AD961" t="str">
            <v>X</v>
          </cell>
          <cell r="AH961" t="str">
            <v>N</v>
          </cell>
          <cell r="AI961" t="str">
            <v>N</v>
          </cell>
          <cell r="AK961" t="str">
            <v>119 VILLAGE OCP OUED ZEM</v>
          </cell>
          <cell r="AL961" t="str">
            <v>ILLETTRE</v>
          </cell>
          <cell r="AP961" t="str">
            <v>Q 550455</v>
          </cell>
          <cell r="AQ961">
            <v>0</v>
          </cell>
          <cell r="AR961" t="str">
            <v>B</v>
          </cell>
          <cell r="AS961" t="str">
            <v>POPULAIRE.O-ZEM</v>
          </cell>
          <cell r="AT961" t="str">
            <v>2111113627226005</v>
          </cell>
          <cell r="AU961" t="str">
            <v>/  /</v>
          </cell>
          <cell r="AW961">
            <v>37803</v>
          </cell>
          <cell r="AY961" t="str">
            <v>XX</v>
          </cell>
          <cell r="BA961" t="str">
            <v>1</v>
          </cell>
          <cell r="BB961">
            <v>1</v>
          </cell>
          <cell r="BD961">
            <v>0</v>
          </cell>
          <cell r="BE961" t="str">
            <v>M</v>
          </cell>
          <cell r="BF961" t="str">
            <v>N</v>
          </cell>
          <cell r="BG961">
            <v>31</v>
          </cell>
          <cell r="BH961">
            <v>37803</v>
          </cell>
          <cell r="BI961" t="str">
            <v>O</v>
          </cell>
        </row>
        <row r="962">
          <cell r="A962">
            <v>71472</v>
          </cell>
          <cell r="B962">
            <v>468</v>
          </cell>
          <cell r="C962" t="str">
            <v>C3152</v>
          </cell>
          <cell r="D962" t="str">
            <v>SIBAA</v>
          </cell>
          <cell r="E962" t="str">
            <v>ALLAL</v>
          </cell>
          <cell r="F962">
            <v>20305</v>
          </cell>
          <cell r="G962" t="str">
            <v>1</v>
          </cell>
          <cell r="H962" t="str">
            <v>OULED BHAR KBAR KHOURIBGA</v>
          </cell>
          <cell r="I962" t="str">
            <v>D</v>
          </cell>
          <cell r="J962">
            <v>29166</v>
          </cell>
          <cell r="K962">
            <v>35977</v>
          </cell>
          <cell r="L962" t="str">
            <v>21</v>
          </cell>
          <cell r="M962" t="str">
            <v>A</v>
          </cell>
          <cell r="N962">
            <v>35977</v>
          </cell>
          <cell r="P962">
            <v>23</v>
          </cell>
          <cell r="Q962" t="str">
            <v>O</v>
          </cell>
          <cell r="R962" t="str">
            <v>N</v>
          </cell>
          <cell r="S962">
            <v>0</v>
          </cell>
          <cell r="T962" t="str">
            <v>M</v>
          </cell>
          <cell r="U962" t="str">
            <v>HOUKMI SAADIA BENT BOUAZZA</v>
          </cell>
          <cell r="X962">
            <v>5</v>
          </cell>
          <cell r="Y962">
            <v>5</v>
          </cell>
          <cell r="AB962" t="str">
            <v>X</v>
          </cell>
          <cell r="AC962" t="str">
            <v>X</v>
          </cell>
          <cell r="AD962" t="str">
            <v>X</v>
          </cell>
          <cell r="AH962" t="str">
            <v>N</v>
          </cell>
          <cell r="AI962" t="str">
            <v>N</v>
          </cell>
          <cell r="AK962" t="str">
            <v>576 VILLAGE OCP BOUJNIBA</v>
          </cell>
          <cell r="AL962" t="str">
            <v>ILLETTRE</v>
          </cell>
          <cell r="AP962" t="str">
            <v>Q 71811</v>
          </cell>
          <cell r="AQ962">
            <v>0</v>
          </cell>
          <cell r="AR962" t="str">
            <v>C</v>
          </cell>
          <cell r="AS962" t="str">
            <v>POPULAIRE.KHGA</v>
          </cell>
          <cell r="AT962" t="str">
            <v>2111156450560000</v>
          </cell>
          <cell r="AU962" t="str">
            <v>/  /</v>
          </cell>
          <cell r="AW962">
            <v>38899</v>
          </cell>
          <cell r="AY962" t="str">
            <v>XX</v>
          </cell>
          <cell r="BA962" t="str">
            <v>1</v>
          </cell>
          <cell r="BB962">
            <v>1</v>
          </cell>
          <cell r="BD962">
            <v>0</v>
          </cell>
          <cell r="BE962" t="str">
            <v>M</v>
          </cell>
          <cell r="BF962" t="str">
            <v>N</v>
          </cell>
          <cell r="BG962">
            <v>51</v>
          </cell>
          <cell r="BH962">
            <v>38899</v>
          </cell>
        </row>
        <row r="963">
          <cell r="A963">
            <v>71485</v>
          </cell>
          <cell r="B963">
            <v>421</v>
          </cell>
          <cell r="C963" t="str">
            <v>C7017</v>
          </cell>
          <cell r="D963" t="str">
            <v>MOUDNI</v>
          </cell>
          <cell r="E963" t="str">
            <v>LARBI</v>
          </cell>
          <cell r="F963">
            <v>17714</v>
          </cell>
          <cell r="G963" t="str">
            <v>2</v>
          </cell>
          <cell r="H963" t="str">
            <v>BENI SMIR</v>
          </cell>
          <cell r="I963" t="str">
            <v>D</v>
          </cell>
          <cell r="J963">
            <v>29178</v>
          </cell>
          <cell r="K963">
            <v>36526</v>
          </cell>
          <cell r="L963" t="str">
            <v>33</v>
          </cell>
          <cell r="M963" t="str">
            <v>B</v>
          </cell>
          <cell r="N963">
            <v>36526</v>
          </cell>
          <cell r="P963">
            <v>23</v>
          </cell>
          <cell r="Q963" t="str">
            <v>O</v>
          </cell>
          <cell r="R963" t="str">
            <v>N</v>
          </cell>
          <cell r="S963">
            <v>0</v>
          </cell>
          <cell r="T963" t="str">
            <v>M</v>
          </cell>
          <cell r="U963" t="str">
            <v>EL KHARROUBI SAADA BENT LARBI</v>
          </cell>
          <cell r="X963">
            <v>5</v>
          </cell>
          <cell r="Y963">
            <v>5</v>
          </cell>
          <cell r="AB963" t="str">
            <v>X</v>
          </cell>
          <cell r="AC963" t="str">
            <v>X</v>
          </cell>
          <cell r="AD963" t="str">
            <v>X</v>
          </cell>
          <cell r="AH963" t="str">
            <v>N</v>
          </cell>
          <cell r="AI963" t="str">
            <v>N</v>
          </cell>
          <cell r="AK963" t="str">
            <v>231 RUE DES HADDADAS OUED ZEM</v>
          </cell>
          <cell r="AL963" t="str">
            <v>5AS.T.C</v>
          </cell>
          <cell r="AM963" t="str">
            <v>CES.CFP.</v>
          </cell>
          <cell r="AP963" t="str">
            <v>Q 12132</v>
          </cell>
          <cell r="AQ963">
            <v>0</v>
          </cell>
          <cell r="AR963" t="str">
            <v>B</v>
          </cell>
          <cell r="AS963" t="str">
            <v>POPULAIRE.O.ZEM</v>
          </cell>
          <cell r="AT963" t="str">
            <v>2111113031120002</v>
          </cell>
          <cell r="AU963" t="str">
            <v>/  /</v>
          </cell>
          <cell r="AW963">
            <v>37803</v>
          </cell>
          <cell r="AY963" t="str">
            <v>XX</v>
          </cell>
          <cell r="BA963" t="str">
            <v>2</v>
          </cell>
          <cell r="BB963">
            <v>1</v>
          </cell>
          <cell r="BD963">
            <v>0</v>
          </cell>
          <cell r="BE963" t="str">
            <v>M</v>
          </cell>
          <cell r="BF963" t="str">
            <v>N</v>
          </cell>
          <cell r="BG963">
            <v>30</v>
          </cell>
          <cell r="BH963">
            <v>37803</v>
          </cell>
        </row>
        <row r="964">
          <cell r="A964">
            <v>71487</v>
          </cell>
          <cell r="B964">
            <v>428</v>
          </cell>
          <cell r="C964" t="str">
            <v>C4152</v>
          </cell>
          <cell r="D964" t="str">
            <v>ESSAI</v>
          </cell>
          <cell r="E964" t="str">
            <v>MOHAMED</v>
          </cell>
          <cell r="F964">
            <v>20636</v>
          </cell>
          <cell r="G964" t="str">
            <v>6</v>
          </cell>
          <cell r="H964" t="str">
            <v>OULED AZZOUZ - KHOURIBGA</v>
          </cell>
          <cell r="I964" t="str">
            <v>D</v>
          </cell>
          <cell r="J964">
            <v>29173</v>
          </cell>
          <cell r="K964">
            <v>36526</v>
          </cell>
          <cell r="L964" t="str">
            <v>22</v>
          </cell>
          <cell r="M964" t="str">
            <v>A</v>
          </cell>
          <cell r="N964">
            <v>36526</v>
          </cell>
          <cell r="P964">
            <v>23</v>
          </cell>
          <cell r="Q964" t="str">
            <v>O</v>
          </cell>
          <cell r="R964" t="str">
            <v>N</v>
          </cell>
          <cell r="S964">
            <v>0</v>
          </cell>
          <cell r="T964" t="str">
            <v>M</v>
          </cell>
          <cell r="U964" t="str">
            <v>EL OMRANI MALIKA BENT ABDELHAK</v>
          </cell>
          <cell r="X964">
            <v>4</v>
          </cell>
          <cell r="Y964">
            <v>3</v>
          </cell>
          <cell r="AB964" t="str">
            <v>X</v>
          </cell>
          <cell r="AC964" t="str">
            <v>X</v>
          </cell>
          <cell r="AD964" t="str">
            <v>X</v>
          </cell>
          <cell r="AH964" t="str">
            <v>O</v>
          </cell>
          <cell r="AI964" t="str">
            <v>N</v>
          </cell>
          <cell r="AK964" t="str">
            <v>50 NELLE EXTENSION SECHAGE KHOURIBGA</v>
          </cell>
          <cell r="AL964" t="str">
            <v>CM2</v>
          </cell>
          <cell r="AM964" t="str">
            <v>CEP.</v>
          </cell>
          <cell r="AP964" t="str">
            <v>Q 36608</v>
          </cell>
          <cell r="AQ964">
            <v>0</v>
          </cell>
          <cell r="AR964" t="str">
            <v>B</v>
          </cell>
          <cell r="AS964" t="str">
            <v>BMCE - KHGA</v>
          </cell>
          <cell r="AT964" t="str">
            <v>40001200000737257</v>
          </cell>
          <cell r="AU964" t="str">
            <v>/  /</v>
          </cell>
          <cell r="AW964">
            <v>38899</v>
          </cell>
          <cell r="AY964" t="str">
            <v>XX</v>
          </cell>
          <cell r="BA964" t="str">
            <v>1</v>
          </cell>
          <cell r="BB964">
            <v>1</v>
          </cell>
          <cell r="BD964">
            <v>0</v>
          </cell>
          <cell r="BE964" t="str">
            <v>M</v>
          </cell>
          <cell r="BF964" t="str">
            <v>N</v>
          </cell>
          <cell r="BG964">
            <v>4</v>
          </cell>
          <cell r="BH964">
            <v>38899</v>
          </cell>
        </row>
        <row r="965">
          <cell r="A965">
            <v>71491</v>
          </cell>
          <cell r="B965">
            <v>468</v>
          </cell>
          <cell r="C965" t="str">
            <v>C3152</v>
          </cell>
          <cell r="D965" t="str">
            <v>RHARRAF</v>
          </cell>
          <cell r="E965" t="str">
            <v>GHAZOUANI</v>
          </cell>
          <cell r="F965">
            <v>20636</v>
          </cell>
          <cell r="G965" t="str">
            <v>2</v>
          </cell>
          <cell r="H965" t="str">
            <v>BENI SMIR</v>
          </cell>
          <cell r="I965" t="str">
            <v>D</v>
          </cell>
          <cell r="J965">
            <v>29174</v>
          </cell>
          <cell r="K965">
            <v>35096</v>
          </cell>
          <cell r="L965" t="str">
            <v>21</v>
          </cell>
          <cell r="M965" t="str">
            <v>A</v>
          </cell>
          <cell r="N965">
            <v>35096</v>
          </cell>
          <cell r="P965">
            <v>23</v>
          </cell>
          <cell r="Q965" t="str">
            <v>O</v>
          </cell>
          <cell r="R965" t="str">
            <v>N</v>
          </cell>
          <cell r="S965">
            <v>0</v>
          </cell>
          <cell r="T965" t="str">
            <v>M</v>
          </cell>
          <cell r="U965" t="str">
            <v>TABIT SAADIA BENT MOHAMED</v>
          </cell>
          <cell r="X965">
            <v>3</v>
          </cell>
          <cell r="Y965">
            <v>3</v>
          </cell>
          <cell r="AB965" t="str">
            <v>X</v>
          </cell>
          <cell r="AC965" t="str">
            <v>X</v>
          </cell>
          <cell r="AD965" t="str">
            <v>X</v>
          </cell>
          <cell r="AH965" t="str">
            <v>N</v>
          </cell>
          <cell r="AI965" t="str">
            <v>N</v>
          </cell>
          <cell r="AK965" t="str">
            <v>40 RUE 26 QUARTIER KOREA - OUED ZEM</v>
          </cell>
          <cell r="AL965" t="str">
            <v>CM2</v>
          </cell>
          <cell r="AP965" t="str">
            <v>Q 68040</v>
          </cell>
          <cell r="AQ965">
            <v>0</v>
          </cell>
          <cell r="AR965" t="str">
            <v>B</v>
          </cell>
          <cell r="AS965" t="str">
            <v>BMCE.OUED ZEM</v>
          </cell>
          <cell r="AT965" t="str">
            <v>41101200000171835</v>
          </cell>
          <cell r="AU965" t="str">
            <v>/  /</v>
          </cell>
          <cell r="AW965">
            <v>38899</v>
          </cell>
          <cell r="AY965" t="str">
            <v>XX</v>
          </cell>
          <cell r="BA965" t="str">
            <v>1</v>
          </cell>
          <cell r="BB965">
            <v>1</v>
          </cell>
          <cell r="BD965">
            <v>0</v>
          </cell>
          <cell r="BE965" t="str">
            <v>M</v>
          </cell>
          <cell r="BF965" t="str">
            <v>N</v>
          </cell>
          <cell r="BG965">
            <v>31</v>
          </cell>
          <cell r="BH965">
            <v>38899</v>
          </cell>
          <cell r="BI965" t="str">
            <v>O</v>
          </cell>
        </row>
        <row r="966">
          <cell r="A966">
            <v>71492</v>
          </cell>
          <cell r="B966">
            <v>418</v>
          </cell>
          <cell r="C966" t="str">
            <v>C3152</v>
          </cell>
          <cell r="D966" t="str">
            <v>ABABA</v>
          </cell>
          <cell r="E966" t="str">
            <v>ABDENNABI</v>
          </cell>
          <cell r="F966">
            <v>19540</v>
          </cell>
          <cell r="G966" t="str">
            <v>2</v>
          </cell>
          <cell r="H966" t="str">
            <v>BENI SMIR</v>
          </cell>
          <cell r="I966" t="str">
            <v>D</v>
          </cell>
          <cell r="J966">
            <v>29174</v>
          </cell>
          <cell r="K966">
            <v>35977</v>
          </cell>
          <cell r="L966" t="str">
            <v>21</v>
          </cell>
          <cell r="M966" t="str">
            <v>A</v>
          </cell>
          <cell r="N966">
            <v>35977</v>
          </cell>
          <cell r="P966">
            <v>23</v>
          </cell>
          <cell r="Q966" t="str">
            <v>O</v>
          </cell>
          <cell r="R966" t="str">
            <v>N</v>
          </cell>
          <cell r="S966">
            <v>0</v>
          </cell>
          <cell r="T966" t="str">
            <v>M</v>
          </cell>
          <cell r="U966" t="str">
            <v>CHARIFI MERYEM BENT MOHAMED</v>
          </cell>
          <cell r="X966">
            <v>4</v>
          </cell>
          <cell r="Y966">
            <v>4</v>
          </cell>
          <cell r="AB966" t="str">
            <v>X</v>
          </cell>
          <cell r="AC966" t="str">
            <v>X</v>
          </cell>
          <cell r="AD966" t="str">
            <v>X</v>
          </cell>
          <cell r="AH966" t="str">
            <v>N</v>
          </cell>
          <cell r="AI966" t="str">
            <v>N</v>
          </cell>
          <cell r="AK966" t="str">
            <v>856,VILLAGE OCP BOULANOUAR</v>
          </cell>
          <cell r="AL966" t="str">
            <v>ILLETTRE</v>
          </cell>
          <cell r="AP966" t="str">
            <v>Q 48545</v>
          </cell>
          <cell r="AQ966">
            <v>0</v>
          </cell>
          <cell r="AR966" t="str">
            <v>C</v>
          </cell>
          <cell r="AU966" t="str">
            <v>/  /</v>
          </cell>
          <cell r="AW966">
            <v>38899</v>
          </cell>
          <cell r="AY966" t="str">
            <v>XX</v>
          </cell>
          <cell r="BA966" t="str">
            <v>1</v>
          </cell>
          <cell r="BB966">
            <v>1</v>
          </cell>
          <cell r="BD966">
            <v>0</v>
          </cell>
          <cell r="BE966" t="str">
            <v>M</v>
          </cell>
          <cell r="BF966" t="str">
            <v>N</v>
          </cell>
          <cell r="BG966">
            <v>41</v>
          </cell>
          <cell r="BH966">
            <v>38899</v>
          </cell>
        </row>
        <row r="967">
          <cell r="A967">
            <v>71497</v>
          </cell>
          <cell r="B967">
            <v>468</v>
          </cell>
          <cell r="C967" t="str">
            <v>C3152</v>
          </cell>
          <cell r="D967" t="str">
            <v>BAYA</v>
          </cell>
          <cell r="E967" t="str">
            <v>ABBES</v>
          </cell>
          <cell r="F967">
            <v>19511</v>
          </cell>
          <cell r="G967" t="str">
            <v>2</v>
          </cell>
          <cell r="H967" t="str">
            <v>BENI KHIRANE</v>
          </cell>
          <cell r="I967" t="str">
            <v>D</v>
          </cell>
          <cell r="J967">
            <v>29174</v>
          </cell>
          <cell r="K967">
            <v>35977</v>
          </cell>
          <cell r="L967" t="str">
            <v>21</v>
          </cell>
          <cell r="M967" t="str">
            <v>A</v>
          </cell>
          <cell r="N967">
            <v>35977</v>
          </cell>
          <cell r="P967">
            <v>23</v>
          </cell>
          <cell r="Q967" t="str">
            <v>O</v>
          </cell>
          <cell r="R967" t="str">
            <v>N</v>
          </cell>
          <cell r="S967">
            <v>0</v>
          </cell>
          <cell r="T967" t="str">
            <v>M</v>
          </cell>
          <cell r="U967" t="str">
            <v>IDRISSIA BENT MOHAMED</v>
          </cell>
          <cell r="X967">
            <v>5</v>
          </cell>
          <cell r="Y967">
            <v>3</v>
          </cell>
          <cell r="AB967" t="str">
            <v>X</v>
          </cell>
          <cell r="AC967" t="str">
            <v>X</v>
          </cell>
          <cell r="AD967" t="str">
            <v>X</v>
          </cell>
          <cell r="AH967" t="str">
            <v>N</v>
          </cell>
          <cell r="AI967" t="str">
            <v>N</v>
          </cell>
          <cell r="AK967" t="str">
            <v>39 RUE DE MARRAKECH OUED ZEM</v>
          </cell>
          <cell r="AL967" t="str">
            <v>ILLETTRE</v>
          </cell>
          <cell r="AP967" t="str">
            <v>Q 16392</v>
          </cell>
          <cell r="AQ967">
            <v>0</v>
          </cell>
          <cell r="AR967" t="str">
            <v>C</v>
          </cell>
          <cell r="AU967" t="str">
            <v>01/08/99</v>
          </cell>
          <cell r="AW967">
            <v>38899</v>
          </cell>
          <cell r="AY967" t="str">
            <v>XX</v>
          </cell>
          <cell r="BA967" t="str">
            <v>1</v>
          </cell>
          <cell r="BB967">
            <v>1</v>
          </cell>
          <cell r="BD967">
            <v>0</v>
          </cell>
          <cell r="BE967" t="str">
            <v>M</v>
          </cell>
          <cell r="BF967" t="str">
            <v>N</v>
          </cell>
          <cell r="BG967">
            <v>31</v>
          </cell>
          <cell r="BH967">
            <v>38899</v>
          </cell>
        </row>
        <row r="968">
          <cell r="A968">
            <v>71498</v>
          </cell>
          <cell r="B968">
            <v>403</v>
          </cell>
          <cell r="C968" t="str">
            <v>C4801</v>
          </cell>
          <cell r="D968" t="str">
            <v>SAMIRI</v>
          </cell>
          <cell r="E968" t="str">
            <v>EL MATI</v>
          </cell>
          <cell r="F968">
            <v>21089</v>
          </cell>
          <cell r="G968" t="str">
            <v>1</v>
          </cell>
          <cell r="H968" t="str">
            <v>OULED BHAR KBAR KHOURIBGA</v>
          </cell>
          <cell r="I968" t="str">
            <v>D</v>
          </cell>
          <cell r="J968">
            <v>29173</v>
          </cell>
          <cell r="K968">
            <v>36526</v>
          </cell>
          <cell r="L968" t="str">
            <v>22</v>
          </cell>
          <cell r="M968" t="str">
            <v>A</v>
          </cell>
          <cell r="N968">
            <v>36526</v>
          </cell>
          <cell r="P968">
            <v>23</v>
          </cell>
          <cell r="Q968" t="str">
            <v>O</v>
          </cell>
          <cell r="R968" t="str">
            <v>N</v>
          </cell>
          <cell r="S968">
            <v>0</v>
          </cell>
          <cell r="T968" t="str">
            <v>M</v>
          </cell>
          <cell r="U968" t="str">
            <v>AICHA BENT LEKBIR</v>
          </cell>
          <cell r="X968">
            <v>3</v>
          </cell>
          <cell r="Y968">
            <v>2</v>
          </cell>
          <cell r="AB968" t="str">
            <v>X</v>
          </cell>
          <cell r="AC968" t="str">
            <v>X</v>
          </cell>
          <cell r="AD968" t="str">
            <v>X</v>
          </cell>
          <cell r="AH968" t="str">
            <v>N</v>
          </cell>
          <cell r="AI968" t="str">
            <v>N</v>
          </cell>
          <cell r="AK968" t="str">
            <v>460 VILLAGE OCP BOUJNIBA</v>
          </cell>
          <cell r="AL968" t="str">
            <v>ILLETTRE</v>
          </cell>
          <cell r="AP968" t="str">
            <v>Q 64802</v>
          </cell>
          <cell r="AQ968">
            <v>0</v>
          </cell>
          <cell r="AR968" t="str">
            <v>B</v>
          </cell>
          <cell r="AS968" t="str">
            <v>BMCE - KHGA</v>
          </cell>
          <cell r="AT968" t="str">
            <v>4000001200001262706</v>
          </cell>
          <cell r="AU968" t="str">
            <v>28/01/89</v>
          </cell>
          <cell r="AW968">
            <v>39448</v>
          </cell>
          <cell r="AY968" t="str">
            <v>XX</v>
          </cell>
          <cell r="BA968" t="str">
            <v>0</v>
          </cell>
          <cell r="BB968">
            <v>1</v>
          </cell>
          <cell r="BD968">
            <v>0</v>
          </cell>
          <cell r="BE968" t="str">
            <v>M</v>
          </cell>
          <cell r="BF968" t="str">
            <v>N</v>
          </cell>
          <cell r="BG968">
            <v>50</v>
          </cell>
          <cell r="BH968">
            <v>39448</v>
          </cell>
        </row>
        <row r="969">
          <cell r="A969">
            <v>71499</v>
          </cell>
          <cell r="B969">
            <v>446</v>
          </cell>
          <cell r="C969" t="str">
            <v>C4411</v>
          </cell>
          <cell r="D969" t="str">
            <v>EL BEZDAOUI</v>
          </cell>
          <cell r="E969" t="str">
            <v>M'HAMMED</v>
          </cell>
          <cell r="F969">
            <v>21311</v>
          </cell>
          <cell r="G969" t="str">
            <v>1</v>
          </cell>
          <cell r="H969" t="str">
            <v>OULED BHAR KBAR KHOURIBGA</v>
          </cell>
          <cell r="I969" t="str">
            <v>D</v>
          </cell>
          <cell r="J969">
            <v>29173</v>
          </cell>
          <cell r="K969">
            <v>34639</v>
          </cell>
          <cell r="L969" t="str">
            <v>22</v>
          </cell>
          <cell r="M969" t="str">
            <v>A</v>
          </cell>
          <cell r="N969">
            <v>34639</v>
          </cell>
          <cell r="P969">
            <v>23</v>
          </cell>
          <cell r="Q969" t="str">
            <v>O</v>
          </cell>
          <cell r="R969" t="str">
            <v>N</v>
          </cell>
          <cell r="S969">
            <v>0</v>
          </cell>
          <cell r="T969" t="str">
            <v>M</v>
          </cell>
          <cell r="U969" t="str">
            <v>TARIF KHADIJA BENT MAATI</v>
          </cell>
          <cell r="X969">
            <v>4</v>
          </cell>
          <cell r="Y969">
            <v>4</v>
          </cell>
          <cell r="AB969" t="str">
            <v>X</v>
          </cell>
          <cell r="AC969" t="str">
            <v>X</v>
          </cell>
          <cell r="AD969" t="str">
            <v>X</v>
          </cell>
          <cell r="AH969" t="str">
            <v>N</v>
          </cell>
          <cell r="AI969" t="str">
            <v>N</v>
          </cell>
          <cell r="AK969" t="str">
            <v>86 VILLAGE O.C.P - BOUJNIBA</v>
          </cell>
          <cell r="AL969" t="str">
            <v>CM2</v>
          </cell>
          <cell r="AP969" t="str">
            <v>Q 73307</v>
          </cell>
          <cell r="AQ969">
            <v>0</v>
          </cell>
          <cell r="AR969" t="str">
            <v>B</v>
          </cell>
          <cell r="AS969" t="str">
            <v>POPULAIRE-KHGA</v>
          </cell>
          <cell r="AT969" t="str">
            <v>211111289214000</v>
          </cell>
          <cell r="AU969" t="str">
            <v>/  /</v>
          </cell>
          <cell r="AW969">
            <v>41620</v>
          </cell>
          <cell r="AX969">
            <v>41620</v>
          </cell>
          <cell r="AY969" t="str">
            <v>XX</v>
          </cell>
          <cell r="AZ969" t="str">
            <v>R</v>
          </cell>
          <cell r="BA969" t="str">
            <v>0</v>
          </cell>
          <cell r="BB969">
            <v>1</v>
          </cell>
          <cell r="BD969">
            <v>0</v>
          </cell>
          <cell r="BE969" t="str">
            <v>M</v>
          </cell>
          <cell r="BF969" t="str">
            <v>N</v>
          </cell>
          <cell r="BG969">
            <v>50</v>
          </cell>
          <cell r="BH969">
            <v>39630</v>
          </cell>
        </row>
        <row r="970">
          <cell r="A970">
            <v>71504</v>
          </cell>
          <cell r="B970">
            <v>466</v>
          </cell>
          <cell r="C970" t="str">
            <v>C3754</v>
          </cell>
          <cell r="D970" t="str">
            <v>EL HADINE</v>
          </cell>
          <cell r="E970" t="str">
            <v>BOUAZZA</v>
          </cell>
          <cell r="F970">
            <v>18079</v>
          </cell>
          <cell r="G970" t="str">
            <v>1</v>
          </cell>
          <cell r="H970" t="str">
            <v>OULED BHAR KBAR KHOURIBGA</v>
          </cell>
          <cell r="I970" t="str">
            <v>D</v>
          </cell>
          <cell r="J970">
            <v>29175</v>
          </cell>
          <cell r="K970">
            <v>37012</v>
          </cell>
          <cell r="L970" t="str">
            <v>21</v>
          </cell>
          <cell r="M970" t="str">
            <v>A</v>
          </cell>
          <cell r="N970">
            <v>37012</v>
          </cell>
          <cell r="O970">
            <v>0</v>
          </cell>
          <cell r="P970">
            <v>23</v>
          </cell>
          <cell r="Q970" t="str">
            <v>O</v>
          </cell>
          <cell r="R970" t="str">
            <v>N</v>
          </cell>
          <cell r="S970">
            <v>0</v>
          </cell>
          <cell r="T970" t="str">
            <v>M</v>
          </cell>
          <cell r="U970" t="str">
            <v>AICHA BENT JILALI</v>
          </cell>
          <cell r="X970">
            <v>7</v>
          </cell>
          <cell r="Y970">
            <v>2</v>
          </cell>
          <cell r="AB970" t="str">
            <v>X</v>
          </cell>
          <cell r="AC970" t="str">
            <v>X</v>
          </cell>
          <cell r="AD970" t="str">
            <v>X</v>
          </cell>
          <cell r="AH970" t="str">
            <v>N</v>
          </cell>
          <cell r="AI970" t="str">
            <v>N</v>
          </cell>
          <cell r="AK970" t="str">
            <v>27 BIR MEZOUI - BOUJNIBA</v>
          </cell>
          <cell r="AL970" t="str">
            <v>ILLETTRE</v>
          </cell>
          <cell r="AP970" t="str">
            <v>Q 14509</v>
          </cell>
          <cell r="AQ970">
            <v>0</v>
          </cell>
          <cell r="AR970" t="str">
            <v>B</v>
          </cell>
          <cell r="AS970" t="str">
            <v>WAFABANK-KHGA</v>
          </cell>
          <cell r="AT970" t="str">
            <v>1220301143861</v>
          </cell>
          <cell r="AU970" t="str">
            <v>/  /</v>
          </cell>
          <cell r="AW970">
            <v>38169</v>
          </cell>
          <cell r="AY970" t="str">
            <v>XX</v>
          </cell>
          <cell r="BA970" t="str">
            <v>2</v>
          </cell>
          <cell r="BB970">
            <v>1</v>
          </cell>
          <cell r="BD970">
            <v>0</v>
          </cell>
          <cell r="BE970" t="str">
            <v>M</v>
          </cell>
          <cell r="BF970" t="str">
            <v>N</v>
          </cell>
          <cell r="BG970">
            <v>60</v>
          </cell>
          <cell r="BH970">
            <v>38169</v>
          </cell>
          <cell r="BI970" t="str">
            <v>O</v>
          </cell>
        </row>
        <row r="971">
          <cell r="A971">
            <v>71505</v>
          </cell>
          <cell r="B971">
            <v>438</v>
          </cell>
          <cell r="C971" t="str">
            <v>C3152</v>
          </cell>
          <cell r="D971" t="str">
            <v>ODEIDAT</v>
          </cell>
          <cell r="E971" t="str">
            <v>EL HAJ</v>
          </cell>
          <cell r="F971">
            <v>18444</v>
          </cell>
          <cell r="G971" t="str">
            <v>6</v>
          </cell>
          <cell r="H971" t="str">
            <v>M'FASSIS</v>
          </cell>
          <cell r="I971" t="str">
            <v>D</v>
          </cell>
          <cell r="J971">
            <v>29175</v>
          </cell>
          <cell r="K971">
            <v>37377</v>
          </cell>
          <cell r="L971" t="str">
            <v>21</v>
          </cell>
          <cell r="M971" t="str">
            <v>A</v>
          </cell>
          <cell r="N971">
            <v>37377</v>
          </cell>
          <cell r="P971">
            <v>23</v>
          </cell>
          <cell r="Q971" t="str">
            <v>N</v>
          </cell>
          <cell r="R971" t="str">
            <v>O</v>
          </cell>
          <cell r="S971">
            <v>3</v>
          </cell>
          <cell r="T971" t="str">
            <v>M</v>
          </cell>
          <cell r="U971" t="str">
            <v>HENDAOUI FATNA BENT AHMED</v>
          </cell>
          <cell r="X971">
            <v>5</v>
          </cell>
          <cell r="Y971">
            <v>5</v>
          </cell>
          <cell r="AB971" t="str">
            <v>X</v>
          </cell>
          <cell r="AC971" t="str">
            <v>X</v>
          </cell>
          <cell r="AD971" t="str">
            <v>X</v>
          </cell>
          <cell r="AH971" t="str">
            <v>N</v>
          </cell>
          <cell r="AI971" t="str">
            <v>N</v>
          </cell>
          <cell r="AK971" t="str">
            <v>DOUAR OULED BOUAZZA BEN KACEM M'FASSIS</v>
          </cell>
          <cell r="AL971" t="str">
            <v>ILLETTRE</v>
          </cell>
          <cell r="AP971" t="str">
            <v>Q 81164</v>
          </cell>
          <cell r="AQ971">
            <v>0</v>
          </cell>
          <cell r="AR971" t="str">
            <v>C</v>
          </cell>
          <cell r="AU971" t="str">
            <v>/  /</v>
          </cell>
          <cell r="AW971">
            <v>38534</v>
          </cell>
          <cell r="AY971" t="str">
            <v>XX</v>
          </cell>
          <cell r="BA971" t="str">
            <v>1</v>
          </cell>
          <cell r="BB971">
            <v>1</v>
          </cell>
          <cell r="BD971">
            <v>0</v>
          </cell>
          <cell r="BE971" t="str">
            <v>M</v>
          </cell>
          <cell r="BF971" t="str">
            <v>N</v>
          </cell>
          <cell r="BG971">
            <v>11</v>
          </cell>
          <cell r="BH971">
            <v>38534</v>
          </cell>
          <cell r="BI971" t="str">
            <v>O</v>
          </cell>
        </row>
        <row r="972">
          <cell r="A972">
            <v>71506</v>
          </cell>
          <cell r="B972">
            <v>411</v>
          </cell>
          <cell r="C972" t="str">
            <v>C3152</v>
          </cell>
          <cell r="D972" t="str">
            <v>EJJADRAOUI</v>
          </cell>
          <cell r="E972" t="str">
            <v>EL KBIR</v>
          </cell>
          <cell r="F972">
            <v>20270</v>
          </cell>
          <cell r="G972" t="str">
            <v>1</v>
          </cell>
          <cell r="H972" t="str">
            <v>OULED BHAR KBAR KHOURIBGA</v>
          </cell>
          <cell r="I972" t="str">
            <v>D</v>
          </cell>
          <cell r="J972">
            <v>29178</v>
          </cell>
          <cell r="K972">
            <v>36526</v>
          </cell>
          <cell r="L972" t="str">
            <v>21</v>
          </cell>
          <cell r="M972" t="str">
            <v>A</v>
          </cell>
          <cell r="N972">
            <v>36526</v>
          </cell>
          <cell r="P972">
            <v>23</v>
          </cell>
          <cell r="Q972" t="str">
            <v>O</v>
          </cell>
          <cell r="R972" t="str">
            <v>N</v>
          </cell>
          <cell r="S972">
            <v>0</v>
          </cell>
          <cell r="T972" t="str">
            <v>M</v>
          </cell>
          <cell r="U972" t="str">
            <v>SAADIA BENT BOUAZZA</v>
          </cell>
          <cell r="X972">
            <v>5</v>
          </cell>
          <cell r="Y972">
            <v>3</v>
          </cell>
          <cell r="AB972" t="str">
            <v>X</v>
          </cell>
          <cell r="AC972" t="str">
            <v>X</v>
          </cell>
          <cell r="AD972" t="str">
            <v>X</v>
          </cell>
          <cell r="AH972" t="str">
            <v>N</v>
          </cell>
          <cell r="AI972" t="str">
            <v>N</v>
          </cell>
          <cell r="AK972" t="str">
            <v>770 VILLAGE OCP BOULANOUAR</v>
          </cell>
          <cell r="AL972" t="str">
            <v>ILLETTRE</v>
          </cell>
          <cell r="AP972" t="str">
            <v>Q 66705</v>
          </cell>
          <cell r="AQ972">
            <v>0</v>
          </cell>
          <cell r="AR972" t="str">
            <v>B</v>
          </cell>
          <cell r="AS972" t="str">
            <v>WAFABANK - KHGA</v>
          </cell>
          <cell r="AT972" t="str">
            <v>12203011886-24</v>
          </cell>
          <cell r="AU972" t="str">
            <v>/  /</v>
          </cell>
          <cell r="AW972">
            <v>38899</v>
          </cell>
          <cell r="AY972" t="str">
            <v>XX</v>
          </cell>
          <cell r="BA972" t="str">
            <v>1</v>
          </cell>
          <cell r="BB972">
            <v>1</v>
          </cell>
          <cell r="BD972">
            <v>0</v>
          </cell>
          <cell r="BE972" t="str">
            <v>M</v>
          </cell>
          <cell r="BF972" t="str">
            <v>N</v>
          </cell>
          <cell r="BG972">
            <v>40</v>
          </cell>
          <cell r="BH972">
            <v>38899</v>
          </cell>
        </row>
        <row r="973">
          <cell r="A973">
            <v>71507</v>
          </cell>
          <cell r="B973">
            <v>468</v>
          </cell>
          <cell r="C973" t="str">
            <v>C3152</v>
          </cell>
          <cell r="D973" t="str">
            <v>SALILI</v>
          </cell>
          <cell r="E973" t="str">
            <v>MOHAMMED</v>
          </cell>
          <cell r="F973">
            <v>20636</v>
          </cell>
          <cell r="G973" t="str">
            <v>1</v>
          </cell>
          <cell r="H973" t="str">
            <v>OULED BHAR KBAR KHOURIBGA</v>
          </cell>
          <cell r="I973" t="str">
            <v>D</v>
          </cell>
          <cell r="J973">
            <v>29178</v>
          </cell>
          <cell r="K973">
            <v>36526</v>
          </cell>
          <cell r="L973" t="str">
            <v>21</v>
          </cell>
          <cell r="M973" t="str">
            <v>B</v>
          </cell>
          <cell r="N973">
            <v>36526</v>
          </cell>
          <cell r="P973">
            <v>23</v>
          </cell>
          <cell r="Q973" t="str">
            <v>O</v>
          </cell>
          <cell r="R973" t="str">
            <v>N</v>
          </cell>
          <cell r="S973">
            <v>0</v>
          </cell>
          <cell r="T973" t="str">
            <v>M</v>
          </cell>
          <cell r="U973" t="str">
            <v>EL ICHI FATNA BENT JILALI</v>
          </cell>
          <cell r="X973">
            <v>4</v>
          </cell>
          <cell r="Y973">
            <v>4</v>
          </cell>
          <cell r="AB973" t="str">
            <v>X</v>
          </cell>
          <cell r="AC973" t="str">
            <v>X</v>
          </cell>
          <cell r="AD973" t="str">
            <v>X</v>
          </cell>
          <cell r="AH973" t="str">
            <v>N</v>
          </cell>
          <cell r="AI973" t="str">
            <v>N</v>
          </cell>
          <cell r="AK973" t="str">
            <v>DOUAR OULED ALI EL GUEFFAF BOUJNIBA</v>
          </cell>
          <cell r="AL973" t="str">
            <v>CM2</v>
          </cell>
          <cell r="AP973" t="str">
            <v>Q 34831</v>
          </cell>
          <cell r="AQ973">
            <v>0</v>
          </cell>
          <cell r="AR973" t="str">
            <v>B</v>
          </cell>
          <cell r="AS973" t="str">
            <v>POPULAIRE  KHGA</v>
          </cell>
          <cell r="AT973" t="str">
            <v>2111112889580002</v>
          </cell>
          <cell r="AU973" t="str">
            <v>/  /</v>
          </cell>
          <cell r="AW973">
            <v>38899</v>
          </cell>
          <cell r="AY973" t="str">
            <v>XX</v>
          </cell>
          <cell r="BA973" t="str">
            <v>1</v>
          </cell>
          <cell r="BB973">
            <v>1</v>
          </cell>
          <cell r="BD973">
            <v>0</v>
          </cell>
          <cell r="BE973" t="str">
            <v>M</v>
          </cell>
          <cell r="BF973" t="str">
            <v>N</v>
          </cell>
          <cell r="BG973">
            <v>20</v>
          </cell>
          <cell r="BH973">
            <v>38899</v>
          </cell>
          <cell r="BI973" t="str">
            <v>O</v>
          </cell>
        </row>
        <row r="974">
          <cell r="A974">
            <v>71508</v>
          </cell>
          <cell r="B974">
            <v>468</v>
          </cell>
          <cell r="C974" t="str">
            <v>C2152</v>
          </cell>
          <cell r="D974" t="str">
            <v>EL KRIMI</v>
          </cell>
          <cell r="E974" t="str">
            <v>ALLAL</v>
          </cell>
          <cell r="F974">
            <v>20534</v>
          </cell>
          <cell r="G974" t="str">
            <v>1</v>
          </cell>
          <cell r="H974" t="str">
            <v>OULED BHAR KBAR KHOURIBGA</v>
          </cell>
          <cell r="I974" t="str">
            <v>D</v>
          </cell>
          <cell r="J974">
            <v>29178</v>
          </cell>
          <cell r="K974">
            <v>31382</v>
          </cell>
          <cell r="L974" t="str">
            <v>12</v>
          </cell>
          <cell r="M974" t="str">
            <v>C</v>
          </cell>
          <cell r="N974">
            <v>35765</v>
          </cell>
          <cell r="P974">
            <v>23</v>
          </cell>
          <cell r="Q974" t="str">
            <v>O</v>
          </cell>
          <cell r="R974" t="str">
            <v>N</v>
          </cell>
          <cell r="S974">
            <v>0</v>
          </cell>
          <cell r="T974" t="str">
            <v>M</v>
          </cell>
          <cell r="U974" t="str">
            <v>M'BARKA BENT LARBI</v>
          </cell>
          <cell r="X974">
            <v>8</v>
          </cell>
          <cell r="Y974">
            <v>6</v>
          </cell>
          <cell r="AB974" t="str">
            <v>X</v>
          </cell>
          <cell r="AC974" t="str">
            <v>X</v>
          </cell>
          <cell r="AD974" t="str">
            <v>X</v>
          </cell>
          <cell r="AH974" t="str">
            <v>N</v>
          </cell>
          <cell r="AI974" t="str">
            <v>N</v>
          </cell>
          <cell r="AK974" t="str">
            <v>DOUAR OULED ALI EL GUEFFAF BOUJNIBA</v>
          </cell>
          <cell r="AL974" t="str">
            <v>CM1</v>
          </cell>
          <cell r="AP974" t="str">
            <v>Q 12817</v>
          </cell>
          <cell r="AQ974">
            <v>0</v>
          </cell>
          <cell r="AR974" t="str">
            <v>B</v>
          </cell>
          <cell r="AS974" t="str">
            <v>WAFABANK - KHGA</v>
          </cell>
          <cell r="AT974" t="str">
            <v>1220301296031</v>
          </cell>
          <cell r="AU974" t="str">
            <v>/  /</v>
          </cell>
          <cell r="AW974">
            <v>38899</v>
          </cell>
          <cell r="AY974" t="str">
            <v>XX</v>
          </cell>
          <cell r="BA974" t="str">
            <v>1</v>
          </cell>
          <cell r="BB974">
            <v>1</v>
          </cell>
          <cell r="BD974">
            <v>0</v>
          </cell>
          <cell r="BE974" t="str">
            <v>M</v>
          </cell>
          <cell r="BF974" t="str">
            <v>N</v>
          </cell>
          <cell r="BG974">
            <v>20</v>
          </cell>
          <cell r="BH974">
            <v>38899</v>
          </cell>
        </row>
        <row r="975">
          <cell r="A975">
            <v>71511</v>
          </cell>
          <cell r="B975">
            <v>419</v>
          </cell>
          <cell r="C975" t="str">
            <v>C3152</v>
          </cell>
          <cell r="D975" t="str">
            <v>SERKOUH</v>
          </cell>
          <cell r="E975" t="str">
            <v>MOHAMED</v>
          </cell>
          <cell r="F975">
            <v>19905</v>
          </cell>
          <cell r="G975" t="str">
            <v>4</v>
          </cell>
          <cell r="H975" t="str">
            <v>BOULANOUAR</v>
          </cell>
          <cell r="I975" t="str">
            <v>D</v>
          </cell>
          <cell r="J975">
            <v>29178</v>
          </cell>
          <cell r="K975">
            <v>35977</v>
          </cell>
          <cell r="L975" t="str">
            <v>21</v>
          </cell>
          <cell r="M975" t="str">
            <v>A</v>
          </cell>
          <cell r="N975">
            <v>35977</v>
          </cell>
          <cell r="O975">
            <v>0</v>
          </cell>
          <cell r="P975">
            <v>23</v>
          </cell>
          <cell r="Q975" t="str">
            <v>O</v>
          </cell>
          <cell r="R975" t="str">
            <v>N</v>
          </cell>
          <cell r="S975">
            <v>0</v>
          </cell>
          <cell r="T975" t="str">
            <v>M</v>
          </cell>
          <cell r="U975" t="str">
            <v>FATIMA BENT MOHAMED</v>
          </cell>
          <cell r="X975">
            <v>3</v>
          </cell>
          <cell r="Y975">
            <v>1</v>
          </cell>
          <cell r="AB975" t="str">
            <v>X</v>
          </cell>
          <cell r="AC975" t="str">
            <v>X</v>
          </cell>
          <cell r="AD975" t="str">
            <v>X</v>
          </cell>
          <cell r="AH975" t="str">
            <v>N</v>
          </cell>
          <cell r="AI975" t="str">
            <v>N</v>
          </cell>
          <cell r="AK975" t="str">
            <v>298 VILLAGE OCP BOULANOUAR</v>
          </cell>
          <cell r="AL975" t="str">
            <v>CM2</v>
          </cell>
          <cell r="AP975" t="str">
            <v>Q 80852</v>
          </cell>
          <cell r="AQ975">
            <v>0</v>
          </cell>
          <cell r="AR975" t="str">
            <v>B</v>
          </cell>
          <cell r="AS975" t="str">
            <v>SGMB - KHGA</v>
          </cell>
          <cell r="AT975" t="str">
            <v>067000940435941</v>
          </cell>
          <cell r="AU975" t="str">
            <v>/  /</v>
          </cell>
          <cell r="AW975">
            <v>38899</v>
          </cell>
          <cell r="AY975" t="str">
            <v>XX</v>
          </cell>
          <cell r="BA975" t="str">
            <v>1</v>
          </cell>
          <cell r="BB975">
            <v>1</v>
          </cell>
          <cell r="BD975">
            <v>0</v>
          </cell>
          <cell r="BE975" t="str">
            <v>M</v>
          </cell>
          <cell r="BF975" t="str">
            <v>N</v>
          </cell>
          <cell r="BG975">
            <v>40</v>
          </cell>
          <cell r="BH975">
            <v>38899</v>
          </cell>
        </row>
        <row r="976">
          <cell r="A976">
            <v>71513</v>
          </cell>
          <cell r="B976">
            <v>468</v>
          </cell>
          <cell r="C976" t="str">
            <v>C4411</v>
          </cell>
          <cell r="D976" t="str">
            <v>JAZRAOUI</v>
          </cell>
          <cell r="E976" t="str">
            <v>ERRAFA</v>
          </cell>
          <cell r="F976">
            <v>19905</v>
          </cell>
          <cell r="G976" t="str">
            <v>1</v>
          </cell>
          <cell r="H976" t="str">
            <v>OULED BHAR KBAR KHOURIBGA</v>
          </cell>
          <cell r="I976" t="str">
            <v>D</v>
          </cell>
          <cell r="J976">
            <v>29179</v>
          </cell>
          <cell r="K976">
            <v>34639</v>
          </cell>
          <cell r="L976" t="str">
            <v>22</v>
          </cell>
          <cell r="M976" t="str">
            <v>A</v>
          </cell>
          <cell r="N976">
            <v>34639</v>
          </cell>
          <cell r="P976">
            <v>23</v>
          </cell>
          <cell r="Q976" t="str">
            <v>O</v>
          </cell>
          <cell r="R976" t="str">
            <v>N</v>
          </cell>
          <cell r="S976">
            <v>0</v>
          </cell>
          <cell r="T976" t="str">
            <v>M</v>
          </cell>
          <cell r="U976" t="str">
            <v>SELKAOUI AICHA BENT MOHAMED</v>
          </cell>
          <cell r="X976">
            <v>5</v>
          </cell>
          <cell r="Y976">
            <v>5</v>
          </cell>
          <cell r="AB976" t="str">
            <v>X</v>
          </cell>
          <cell r="AC976" t="str">
            <v>X</v>
          </cell>
          <cell r="AD976" t="str">
            <v>X</v>
          </cell>
          <cell r="AH976" t="str">
            <v>N</v>
          </cell>
          <cell r="AI976" t="str">
            <v>N</v>
          </cell>
          <cell r="AK976" t="str">
            <v>DOUAR OULED SGHIR OULED BRAHIM</v>
          </cell>
          <cell r="AL976" t="str">
            <v>CM2</v>
          </cell>
          <cell r="AP976" t="str">
            <v>Q 23446</v>
          </cell>
          <cell r="AQ976">
            <v>0</v>
          </cell>
          <cell r="AR976" t="str">
            <v>C</v>
          </cell>
          <cell r="AU976" t="str">
            <v>18/06/07</v>
          </cell>
          <cell r="AW976">
            <v>38899</v>
          </cell>
          <cell r="AY976" t="str">
            <v>A+</v>
          </cell>
          <cell r="BA976" t="str">
            <v>0</v>
          </cell>
          <cell r="BB976">
            <v>1</v>
          </cell>
          <cell r="BD976">
            <v>0</v>
          </cell>
          <cell r="BE976" t="str">
            <v>M</v>
          </cell>
          <cell r="BF976" t="str">
            <v>N</v>
          </cell>
          <cell r="BG976">
            <v>51</v>
          </cell>
          <cell r="BH976">
            <v>38899</v>
          </cell>
          <cell r="BI976" t="str">
            <v>O</v>
          </cell>
        </row>
        <row r="977">
          <cell r="A977">
            <v>71515</v>
          </cell>
          <cell r="B977">
            <v>466</v>
          </cell>
          <cell r="C977" t="str">
            <v>C2152</v>
          </cell>
          <cell r="D977" t="str">
            <v>SOUADLI</v>
          </cell>
          <cell r="E977" t="str">
            <v>ABDELAZIZ</v>
          </cell>
          <cell r="F977">
            <v>19322</v>
          </cell>
          <cell r="G977" t="str">
            <v>2</v>
          </cell>
          <cell r="H977" t="str">
            <v>OUED-ZEM</v>
          </cell>
          <cell r="I977" t="str">
            <v>D</v>
          </cell>
          <cell r="J977">
            <v>29179</v>
          </cell>
          <cell r="K977">
            <v>31382</v>
          </cell>
          <cell r="L977" t="str">
            <v>12</v>
          </cell>
          <cell r="M977" t="str">
            <v>C</v>
          </cell>
          <cell r="N977">
            <v>35765</v>
          </cell>
          <cell r="O977">
            <v>0</v>
          </cell>
          <cell r="P977">
            <v>23</v>
          </cell>
          <cell r="Q977" t="str">
            <v>O</v>
          </cell>
          <cell r="R977" t="str">
            <v>N</v>
          </cell>
          <cell r="S977">
            <v>0</v>
          </cell>
          <cell r="T977" t="str">
            <v>M</v>
          </cell>
          <cell r="U977" t="str">
            <v>LAARISS ZOHRA</v>
          </cell>
          <cell r="V977" t="str">
            <v>ZAKARI KHADIJA BENT EL ARBI</v>
          </cell>
          <cell r="W977" t="str">
            <v>SALHA BENT MOHAMED</v>
          </cell>
          <cell r="X977">
            <v>11</v>
          </cell>
          <cell r="Y977">
            <v>6</v>
          </cell>
          <cell r="AB977" t="str">
            <v>X</v>
          </cell>
          <cell r="AC977" t="str">
            <v>X</v>
          </cell>
          <cell r="AD977" t="str">
            <v>X</v>
          </cell>
          <cell r="AH977" t="str">
            <v>N</v>
          </cell>
          <cell r="AI977" t="str">
            <v>N</v>
          </cell>
          <cell r="AK977" t="str">
            <v>587 HAY MOUKAOUAMA - OUED ZEM</v>
          </cell>
          <cell r="AL977" t="str">
            <v>CM1</v>
          </cell>
          <cell r="AP977" t="str">
            <v>Q 90961</v>
          </cell>
          <cell r="AQ977">
            <v>0</v>
          </cell>
          <cell r="AR977" t="str">
            <v>B</v>
          </cell>
          <cell r="AS977" t="str">
            <v>POPULAIRE.O-ZEM</v>
          </cell>
          <cell r="AT977" t="str">
            <v>2111113070860005</v>
          </cell>
          <cell r="AU977" t="str">
            <v>/  /</v>
          </cell>
          <cell r="AW977">
            <v>38899</v>
          </cell>
          <cell r="AY977" t="str">
            <v>XX</v>
          </cell>
          <cell r="BA977" t="str">
            <v>1</v>
          </cell>
          <cell r="BB977">
            <v>1</v>
          </cell>
          <cell r="BD977">
            <v>0</v>
          </cell>
          <cell r="BE977" t="str">
            <v>M</v>
          </cell>
          <cell r="BF977" t="str">
            <v>N</v>
          </cell>
          <cell r="BG977">
            <v>31</v>
          </cell>
          <cell r="BH977">
            <v>38899</v>
          </cell>
          <cell r="BI977" t="str">
            <v>O</v>
          </cell>
        </row>
        <row r="978">
          <cell r="A978">
            <v>71522</v>
          </cell>
          <cell r="B978">
            <v>468</v>
          </cell>
          <cell r="C978" t="str">
            <v>C3152</v>
          </cell>
          <cell r="D978" t="str">
            <v>SKENNDRI</v>
          </cell>
          <cell r="E978" t="str">
            <v>SALAH</v>
          </cell>
          <cell r="F978">
            <v>19905</v>
          </cell>
          <cell r="G978" t="str">
            <v>1</v>
          </cell>
          <cell r="H978" t="str">
            <v>OULED BHAR KBAR KHOURIBGA</v>
          </cell>
          <cell r="I978" t="str">
            <v>D</v>
          </cell>
          <cell r="J978">
            <v>29187</v>
          </cell>
          <cell r="K978">
            <v>36526</v>
          </cell>
          <cell r="L978" t="str">
            <v>21</v>
          </cell>
          <cell r="M978" t="str">
            <v>A</v>
          </cell>
          <cell r="N978">
            <v>36526</v>
          </cell>
          <cell r="P978">
            <v>23</v>
          </cell>
          <cell r="Q978" t="str">
            <v>O</v>
          </cell>
          <cell r="R978" t="str">
            <v>N</v>
          </cell>
          <cell r="S978">
            <v>0</v>
          </cell>
          <cell r="T978" t="str">
            <v>M</v>
          </cell>
          <cell r="U978" t="str">
            <v>HAMDI MALIKA BENT LEKBIR</v>
          </cell>
          <cell r="X978">
            <v>4</v>
          </cell>
          <cell r="Y978">
            <v>3</v>
          </cell>
          <cell r="AB978" t="str">
            <v>X</v>
          </cell>
          <cell r="AC978" t="str">
            <v>X</v>
          </cell>
          <cell r="AD978" t="str">
            <v>X</v>
          </cell>
          <cell r="AH978" t="str">
            <v>N</v>
          </cell>
          <cell r="AI978" t="str">
            <v>N</v>
          </cell>
          <cell r="AK978" t="str">
            <v>123 VILLAGE O.C.P - BOUJNIBA</v>
          </cell>
          <cell r="AL978" t="str">
            <v>ILLETTRE</v>
          </cell>
          <cell r="AP978" t="str">
            <v>Q 25473</v>
          </cell>
          <cell r="AQ978">
            <v>0</v>
          </cell>
          <cell r="AR978" t="str">
            <v>B</v>
          </cell>
          <cell r="AS978" t="str">
            <v>POPULAIRE.O-ZEM</v>
          </cell>
          <cell r="AT978" t="str">
            <v>2111136271370003</v>
          </cell>
          <cell r="AU978" t="str">
            <v>/  /</v>
          </cell>
          <cell r="AW978">
            <v>38899</v>
          </cell>
          <cell r="AY978" t="str">
            <v>XX</v>
          </cell>
          <cell r="BA978" t="str">
            <v>6</v>
          </cell>
          <cell r="BB978">
            <v>1</v>
          </cell>
          <cell r="BD978">
            <v>0</v>
          </cell>
          <cell r="BE978" t="str">
            <v>M</v>
          </cell>
          <cell r="BF978" t="str">
            <v>N</v>
          </cell>
          <cell r="BG978">
            <v>51</v>
          </cell>
          <cell r="BH978">
            <v>38899</v>
          </cell>
        </row>
        <row r="979">
          <cell r="A979">
            <v>71523</v>
          </cell>
          <cell r="B979">
            <v>468</v>
          </cell>
          <cell r="C979" t="str">
            <v>C2152</v>
          </cell>
          <cell r="D979" t="str">
            <v>MONSIF</v>
          </cell>
          <cell r="E979" t="str">
            <v>MUSTAPHA</v>
          </cell>
          <cell r="F979">
            <v>19175</v>
          </cell>
          <cell r="G979" t="str">
            <v>2</v>
          </cell>
          <cell r="H979" t="str">
            <v>SMAALA</v>
          </cell>
          <cell r="I979" t="str">
            <v>D</v>
          </cell>
          <cell r="J979">
            <v>29185</v>
          </cell>
          <cell r="K979">
            <v>31382</v>
          </cell>
          <cell r="L979" t="str">
            <v>12</v>
          </cell>
          <cell r="M979" t="str">
            <v>D</v>
          </cell>
          <cell r="N979">
            <v>35612</v>
          </cell>
          <cell r="P979">
            <v>23</v>
          </cell>
          <cell r="Q979" t="str">
            <v>O</v>
          </cell>
          <cell r="R979" t="str">
            <v>N</v>
          </cell>
          <cell r="S979">
            <v>0</v>
          </cell>
          <cell r="T979" t="str">
            <v>M</v>
          </cell>
          <cell r="U979" t="str">
            <v>MAHJAR FATIMA BENT BOUAZZA</v>
          </cell>
          <cell r="X979">
            <v>6</v>
          </cell>
          <cell r="Y979">
            <v>6</v>
          </cell>
          <cell r="AB979" t="str">
            <v>X</v>
          </cell>
          <cell r="AC979" t="str">
            <v>X</v>
          </cell>
          <cell r="AD979" t="str">
            <v>X</v>
          </cell>
          <cell r="AH979" t="str">
            <v>N</v>
          </cell>
          <cell r="AI979" t="str">
            <v>N</v>
          </cell>
          <cell r="AK979" t="str">
            <v>20 RUE BILAL ABBES KRIFI - OUED ZEM</v>
          </cell>
          <cell r="AL979" t="str">
            <v>ILLETTRE</v>
          </cell>
          <cell r="AP979" t="str">
            <v>Q 26429</v>
          </cell>
          <cell r="AQ979">
            <v>0</v>
          </cell>
          <cell r="AR979" t="str">
            <v>B</v>
          </cell>
          <cell r="AS979" t="str">
            <v>BMCI-OZ</v>
          </cell>
          <cell r="AT979" t="str">
            <v>0252198564430100001</v>
          </cell>
          <cell r="AU979" t="str">
            <v>/  /</v>
          </cell>
          <cell r="AW979">
            <v>38899</v>
          </cell>
          <cell r="AY979" t="str">
            <v>XX</v>
          </cell>
          <cell r="BA979" t="str">
            <v>1</v>
          </cell>
          <cell r="BB979">
            <v>1</v>
          </cell>
          <cell r="BD979">
            <v>0</v>
          </cell>
          <cell r="BE979" t="str">
            <v>M</v>
          </cell>
          <cell r="BF979" t="str">
            <v>N</v>
          </cell>
          <cell r="BG979">
            <v>31</v>
          </cell>
          <cell r="BH979">
            <v>38899</v>
          </cell>
          <cell r="BI979" t="str">
            <v>O</v>
          </cell>
        </row>
        <row r="980">
          <cell r="A980">
            <v>71525</v>
          </cell>
          <cell r="B980">
            <v>435</v>
          </cell>
          <cell r="C980" t="str">
            <v>C2000</v>
          </cell>
          <cell r="D980" t="str">
            <v>CHAKIB</v>
          </cell>
          <cell r="E980" t="str">
            <v>M'HAMMED</v>
          </cell>
          <cell r="F980">
            <v>19540</v>
          </cell>
          <cell r="G980" t="str">
            <v>1</v>
          </cell>
          <cell r="H980" t="str">
            <v>OULED ABDOUNE</v>
          </cell>
          <cell r="I980" t="str">
            <v>D</v>
          </cell>
          <cell r="J980">
            <v>29186</v>
          </cell>
          <cell r="K980">
            <v>31382</v>
          </cell>
          <cell r="L980" t="str">
            <v>12</v>
          </cell>
          <cell r="M980" t="str">
            <v>C</v>
          </cell>
          <cell r="N980">
            <v>35765</v>
          </cell>
          <cell r="O980">
            <v>0</v>
          </cell>
          <cell r="P980">
            <v>23</v>
          </cell>
          <cell r="Q980" t="str">
            <v>N</v>
          </cell>
          <cell r="R980" t="str">
            <v>N</v>
          </cell>
          <cell r="S980">
            <v>0</v>
          </cell>
          <cell r="T980" t="str">
            <v>M</v>
          </cell>
          <cell r="U980" t="str">
            <v>EL HAOUDI JAMMA BENT RAHAL</v>
          </cell>
          <cell r="X980">
            <v>6</v>
          </cell>
          <cell r="Y980">
            <v>4</v>
          </cell>
          <cell r="AB980" t="str">
            <v>X</v>
          </cell>
          <cell r="AC980" t="str">
            <v>X</v>
          </cell>
          <cell r="AD980" t="str">
            <v>X</v>
          </cell>
          <cell r="AH980" t="str">
            <v>N</v>
          </cell>
          <cell r="AI980" t="str">
            <v>N</v>
          </cell>
          <cell r="AK980" t="str">
            <v>42 NELLE MEDINA DE SECHAGE KHOURIBGA</v>
          </cell>
          <cell r="AL980" t="str">
            <v>ILLETTRE</v>
          </cell>
          <cell r="AP980" t="str">
            <v>Q 15744</v>
          </cell>
          <cell r="AQ980">
            <v>0</v>
          </cell>
          <cell r="AR980" t="str">
            <v>B</v>
          </cell>
          <cell r="AS980" t="str">
            <v>POPULAIRE.KHGA</v>
          </cell>
          <cell r="AT980" t="str">
            <v>211115648573000862</v>
          </cell>
          <cell r="AU980" t="str">
            <v>/  /</v>
          </cell>
          <cell r="AW980">
            <v>38899</v>
          </cell>
          <cell r="AY980" t="str">
            <v>XX</v>
          </cell>
          <cell r="AZ980" t="str">
            <v>R</v>
          </cell>
          <cell r="BA980" t="str">
            <v>1</v>
          </cell>
          <cell r="BB980">
            <v>1</v>
          </cell>
          <cell r="BD980">
            <v>0</v>
          </cell>
          <cell r="BE980" t="str">
            <v>M</v>
          </cell>
          <cell r="BF980" t="str">
            <v>N</v>
          </cell>
          <cell r="BG980">
            <v>0</v>
          </cell>
          <cell r="BH980">
            <v>38899</v>
          </cell>
        </row>
        <row r="981">
          <cell r="A981">
            <v>71526</v>
          </cell>
          <cell r="B981">
            <v>401</v>
          </cell>
          <cell r="C981" t="str">
            <v>C7300</v>
          </cell>
          <cell r="D981" t="str">
            <v>KHALIL</v>
          </cell>
          <cell r="E981" t="str">
            <v>EL MOSTAFA</v>
          </cell>
          <cell r="F981">
            <v>19582</v>
          </cell>
          <cell r="G981" t="str">
            <v>1</v>
          </cell>
          <cell r="H981" t="str">
            <v>KHOURIBGA</v>
          </cell>
          <cell r="I981" t="str">
            <v>F</v>
          </cell>
          <cell r="J981">
            <v>29186</v>
          </cell>
          <cell r="K981">
            <v>37043</v>
          </cell>
          <cell r="L981" t="str">
            <v>33</v>
          </cell>
          <cell r="M981" t="str">
            <v>B</v>
          </cell>
          <cell r="N981">
            <v>37043</v>
          </cell>
          <cell r="P981">
            <v>23</v>
          </cell>
          <cell r="Q981" t="str">
            <v>N</v>
          </cell>
          <cell r="R981" t="str">
            <v>N</v>
          </cell>
          <cell r="S981">
            <v>0</v>
          </cell>
          <cell r="T981" t="str">
            <v>M</v>
          </cell>
          <cell r="U981" t="str">
            <v>MALIKA BENT JILALI</v>
          </cell>
          <cell r="X981">
            <v>2</v>
          </cell>
          <cell r="Y981">
            <v>2</v>
          </cell>
          <cell r="AB981" t="str">
            <v>X</v>
          </cell>
          <cell r="AC981" t="str">
            <v>X</v>
          </cell>
          <cell r="AD981" t="str">
            <v>X</v>
          </cell>
          <cell r="AH981" t="str">
            <v>N</v>
          </cell>
          <cell r="AI981" t="str">
            <v>N</v>
          </cell>
          <cell r="AK981" t="str">
            <v>22 RUE RABIAA EL ADAOUIA KHOURIBGA</v>
          </cell>
          <cell r="AL981" t="str">
            <v>4AS</v>
          </cell>
          <cell r="AM981" t="str">
            <v>CQP.CFO</v>
          </cell>
          <cell r="AP981" t="str">
            <v>Q 18019</v>
          </cell>
          <cell r="AQ981">
            <v>0</v>
          </cell>
          <cell r="AR981" t="str">
            <v>B</v>
          </cell>
          <cell r="AS981" t="str">
            <v>POPULAIRE.KHGA</v>
          </cell>
          <cell r="AT981" t="str">
            <v>2111113120650000</v>
          </cell>
          <cell r="AU981" t="str">
            <v>/  /</v>
          </cell>
          <cell r="AW981">
            <v>40889</v>
          </cell>
          <cell r="AX981">
            <v>40889</v>
          </cell>
          <cell r="AY981" t="str">
            <v>XX</v>
          </cell>
          <cell r="BA981" t="str">
            <v>6</v>
          </cell>
          <cell r="BB981">
            <v>1</v>
          </cell>
          <cell r="BD981">
            <v>0</v>
          </cell>
          <cell r="BE981" t="str">
            <v>M</v>
          </cell>
          <cell r="BF981" t="str">
            <v>N</v>
          </cell>
          <cell r="BG981">
            <v>0</v>
          </cell>
          <cell r="BH981">
            <v>38899</v>
          </cell>
        </row>
        <row r="982">
          <cell r="A982">
            <v>71540</v>
          </cell>
          <cell r="B982">
            <v>403</v>
          </cell>
          <cell r="C982" t="str">
            <v>C2000</v>
          </cell>
          <cell r="D982" t="str">
            <v>EL QLECH</v>
          </cell>
          <cell r="E982" t="str">
            <v>MOHAMED</v>
          </cell>
          <cell r="F982">
            <v>18444</v>
          </cell>
          <cell r="G982" t="str">
            <v>1</v>
          </cell>
          <cell r="H982" t="str">
            <v>OULED BHAR KBAR KHOURIBGA</v>
          </cell>
          <cell r="I982" t="str">
            <v>D</v>
          </cell>
          <cell r="J982">
            <v>29192</v>
          </cell>
          <cell r="K982">
            <v>31413</v>
          </cell>
          <cell r="L982" t="str">
            <v>12</v>
          </cell>
          <cell r="M982" t="str">
            <v>C</v>
          </cell>
          <cell r="N982">
            <v>33604</v>
          </cell>
          <cell r="P982">
            <v>23</v>
          </cell>
          <cell r="Q982" t="str">
            <v>O</v>
          </cell>
          <cell r="R982" t="str">
            <v>N</v>
          </cell>
          <cell r="S982">
            <v>0</v>
          </cell>
          <cell r="T982" t="str">
            <v>M</v>
          </cell>
          <cell r="U982" t="str">
            <v>SALHA BENT EL MAATI</v>
          </cell>
          <cell r="X982">
            <v>5</v>
          </cell>
          <cell r="Y982">
            <v>4</v>
          </cell>
          <cell r="AB982" t="str">
            <v>X</v>
          </cell>
          <cell r="AC982" t="str">
            <v>X</v>
          </cell>
          <cell r="AD982" t="str">
            <v>X</v>
          </cell>
          <cell r="AH982" t="str">
            <v>N</v>
          </cell>
          <cell r="AI982" t="str">
            <v>N</v>
          </cell>
          <cell r="AK982" t="str">
            <v>800 VILLAGE OCP BOULANOUAR</v>
          </cell>
          <cell r="AL982" t="str">
            <v>ILLETTRE</v>
          </cell>
          <cell r="AP982" t="str">
            <v>Q 80774</v>
          </cell>
          <cell r="AQ982">
            <v>0</v>
          </cell>
          <cell r="AR982" t="str">
            <v>B</v>
          </cell>
          <cell r="AS982" t="str">
            <v>SGMB - KHGA</v>
          </cell>
          <cell r="AT982" t="str">
            <v>000067000937846041</v>
          </cell>
          <cell r="AU982" t="str">
            <v>/  /</v>
          </cell>
          <cell r="AW982">
            <v>38534</v>
          </cell>
          <cell r="AY982" t="str">
            <v>XX</v>
          </cell>
          <cell r="BA982" t="str">
            <v>2</v>
          </cell>
          <cell r="BB982">
            <v>1</v>
          </cell>
          <cell r="BD982">
            <v>0</v>
          </cell>
          <cell r="BE982" t="str">
            <v>M</v>
          </cell>
          <cell r="BF982" t="str">
            <v>N</v>
          </cell>
          <cell r="BG982">
            <v>40</v>
          </cell>
          <cell r="BH982">
            <v>38534</v>
          </cell>
        </row>
        <row r="983">
          <cell r="A983">
            <v>71544</v>
          </cell>
          <cell r="B983">
            <v>428</v>
          </cell>
          <cell r="C983" t="str">
            <v>C3152</v>
          </cell>
          <cell r="D983" t="str">
            <v>EL AZZOUNI</v>
          </cell>
          <cell r="E983" t="str">
            <v>MOHAMED</v>
          </cell>
          <cell r="F983">
            <v>18809</v>
          </cell>
          <cell r="G983" t="str">
            <v>6</v>
          </cell>
          <cell r="H983" t="str">
            <v>OULED AZZOUZ - KHOURIBGA</v>
          </cell>
          <cell r="I983" t="str">
            <v>D</v>
          </cell>
          <cell r="J983">
            <v>29193</v>
          </cell>
          <cell r="K983">
            <v>37012</v>
          </cell>
          <cell r="L983" t="str">
            <v>21</v>
          </cell>
          <cell r="M983" t="str">
            <v>A</v>
          </cell>
          <cell r="N983">
            <v>37012</v>
          </cell>
          <cell r="P983">
            <v>23</v>
          </cell>
          <cell r="Q983" t="str">
            <v>O</v>
          </cell>
          <cell r="R983" t="str">
            <v>N</v>
          </cell>
          <cell r="S983">
            <v>0</v>
          </cell>
          <cell r="T983" t="str">
            <v>M</v>
          </cell>
          <cell r="U983" t="str">
            <v>KHADIJA BENT M'HAMED</v>
          </cell>
          <cell r="X983">
            <v>6</v>
          </cell>
          <cell r="Y983">
            <v>2</v>
          </cell>
          <cell r="AB983" t="str">
            <v>X</v>
          </cell>
          <cell r="AC983" t="str">
            <v>X</v>
          </cell>
          <cell r="AD983" t="str">
            <v>X</v>
          </cell>
          <cell r="AH983" t="str">
            <v>N</v>
          </cell>
          <cell r="AI983" t="str">
            <v>N</v>
          </cell>
          <cell r="AK983" t="str">
            <v>1202 SBATA VILLAGE O.C.P - HATTANE</v>
          </cell>
          <cell r="AL983" t="str">
            <v>ILLETTRE</v>
          </cell>
          <cell r="AP983" t="str">
            <v>Q 80512</v>
          </cell>
          <cell r="AQ983">
            <v>0</v>
          </cell>
          <cell r="AR983" t="str">
            <v>B</v>
          </cell>
          <cell r="AS983" t="str">
            <v>SGMB- KHGA</v>
          </cell>
          <cell r="AT983" t="str">
            <v>067000948613041</v>
          </cell>
          <cell r="AU983" t="str">
            <v>/  /</v>
          </cell>
          <cell r="AW983">
            <v>38899</v>
          </cell>
          <cell r="AY983" t="str">
            <v>XX</v>
          </cell>
          <cell r="AZ983" t="str">
            <v>R</v>
          </cell>
          <cell r="BA983" t="str">
            <v>1</v>
          </cell>
          <cell r="BB983">
            <v>1</v>
          </cell>
          <cell r="BD983">
            <v>0</v>
          </cell>
          <cell r="BE983" t="str">
            <v>M</v>
          </cell>
          <cell r="BF983" t="str">
            <v>N</v>
          </cell>
          <cell r="BG983">
            <v>11</v>
          </cell>
          <cell r="BH983">
            <v>38899</v>
          </cell>
        </row>
        <row r="984">
          <cell r="A984">
            <v>71548</v>
          </cell>
          <cell r="B984">
            <v>421</v>
          </cell>
          <cell r="C984" t="str">
            <v>C3020</v>
          </cell>
          <cell r="D984" t="str">
            <v>BASSRI</v>
          </cell>
          <cell r="E984" t="str">
            <v>HASSANE</v>
          </cell>
          <cell r="F984">
            <v>20505</v>
          </cell>
          <cell r="G984" t="str">
            <v>2</v>
          </cell>
          <cell r="H984" t="str">
            <v>BENI SMIR</v>
          </cell>
          <cell r="I984" t="str">
            <v>D</v>
          </cell>
          <cell r="J984">
            <v>29194</v>
          </cell>
          <cell r="K984">
            <v>34851</v>
          </cell>
          <cell r="L984" t="str">
            <v>21</v>
          </cell>
          <cell r="M984" t="str">
            <v>A</v>
          </cell>
          <cell r="N984">
            <v>34851</v>
          </cell>
          <cell r="P984">
            <v>23</v>
          </cell>
          <cell r="Q984" t="str">
            <v>O</v>
          </cell>
          <cell r="R984" t="str">
            <v>N</v>
          </cell>
          <cell r="S984">
            <v>0</v>
          </cell>
          <cell r="T984" t="str">
            <v>M</v>
          </cell>
          <cell r="U984" t="str">
            <v>MABROUK FATIMA BENT LARBI</v>
          </cell>
          <cell r="X984">
            <v>4</v>
          </cell>
          <cell r="Y984">
            <v>4</v>
          </cell>
          <cell r="AB984" t="str">
            <v>X</v>
          </cell>
          <cell r="AC984" t="str">
            <v>X</v>
          </cell>
          <cell r="AD984" t="str">
            <v>X</v>
          </cell>
          <cell r="AH984" t="str">
            <v>N</v>
          </cell>
          <cell r="AI984" t="str">
            <v>N</v>
          </cell>
          <cell r="AK984" t="str">
            <v>N° 33 RUE 16 ZIDANIA - OUED ZEM</v>
          </cell>
          <cell r="AL984" t="str">
            <v>ILLETTRE</v>
          </cell>
          <cell r="AP984" t="str">
            <v>Q 26446</v>
          </cell>
          <cell r="AQ984">
            <v>0</v>
          </cell>
          <cell r="AR984" t="str">
            <v>B</v>
          </cell>
          <cell r="AS984" t="str">
            <v>BMCE OUED ZEM</v>
          </cell>
          <cell r="AT984" t="str">
            <v>41101200000455754</v>
          </cell>
          <cell r="AU984" t="str">
            <v>/  /</v>
          </cell>
          <cell r="AW984">
            <v>38899</v>
          </cell>
          <cell r="AY984" t="str">
            <v>XX</v>
          </cell>
          <cell r="BA984" t="str">
            <v>0</v>
          </cell>
          <cell r="BB984">
            <v>1</v>
          </cell>
          <cell r="BD984">
            <v>0</v>
          </cell>
          <cell r="BE984" t="str">
            <v>M</v>
          </cell>
          <cell r="BF984" t="str">
            <v>N</v>
          </cell>
          <cell r="BG984">
            <v>30</v>
          </cell>
          <cell r="BH984">
            <v>38899</v>
          </cell>
          <cell r="BI984" t="str">
            <v>O</v>
          </cell>
        </row>
        <row r="985">
          <cell r="A985">
            <v>71553</v>
          </cell>
          <cell r="B985">
            <v>468</v>
          </cell>
          <cell r="C985" t="str">
            <v>C2000</v>
          </cell>
          <cell r="D985" t="str">
            <v>AOUAMI</v>
          </cell>
          <cell r="E985" t="str">
            <v>MOHAMED</v>
          </cell>
          <cell r="F985">
            <v>19905</v>
          </cell>
          <cell r="G985" t="str">
            <v>2</v>
          </cell>
          <cell r="H985" t="str">
            <v>BENI SMIR</v>
          </cell>
          <cell r="I985" t="str">
            <v>D</v>
          </cell>
          <cell r="J985">
            <v>29195</v>
          </cell>
          <cell r="K985">
            <v>31413</v>
          </cell>
          <cell r="L985" t="str">
            <v>12</v>
          </cell>
          <cell r="M985" t="str">
            <v>C</v>
          </cell>
          <cell r="N985">
            <v>33604</v>
          </cell>
          <cell r="P985">
            <v>23</v>
          </cell>
          <cell r="Q985" t="str">
            <v>O</v>
          </cell>
          <cell r="R985" t="str">
            <v>N</v>
          </cell>
          <cell r="S985">
            <v>0</v>
          </cell>
          <cell r="T985" t="str">
            <v>M</v>
          </cell>
          <cell r="U985" t="str">
            <v>FATIMA BENT AHMED</v>
          </cell>
          <cell r="X985">
            <v>5</v>
          </cell>
          <cell r="Y985">
            <v>0</v>
          </cell>
          <cell r="AB985" t="str">
            <v>X</v>
          </cell>
          <cell r="AC985" t="str">
            <v>X</v>
          </cell>
          <cell r="AD985" t="str">
            <v>X</v>
          </cell>
          <cell r="AH985" t="str">
            <v>N</v>
          </cell>
          <cell r="AI985" t="str">
            <v>N</v>
          </cell>
          <cell r="AK985" t="str">
            <v>47 DERB LAATORA RAY EL HARCHA - OUED ZEM</v>
          </cell>
          <cell r="AL985" t="str">
            <v>ILLETTRE</v>
          </cell>
          <cell r="AP985" t="str">
            <v>Q 70451</v>
          </cell>
          <cell r="AQ985">
            <v>0</v>
          </cell>
          <cell r="AR985" t="str">
            <v>B</v>
          </cell>
          <cell r="AS985" t="str">
            <v>B.M.C.I - O.ZEM</v>
          </cell>
          <cell r="AT985" t="str">
            <v>02521804933301</v>
          </cell>
          <cell r="AU985" t="str">
            <v>/  /</v>
          </cell>
          <cell r="AW985">
            <v>38899</v>
          </cell>
          <cell r="AY985" t="str">
            <v>XX</v>
          </cell>
          <cell r="AZ985" t="str">
            <v>K</v>
          </cell>
          <cell r="BA985" t="str">
            <v>1</v>
          </cell>
          <cell r="BB985">
            <v>1</v>
          </cell>
          <cell r="BD985">
            <v>0</v>
          </cell>
          <cell r="BE985" t="str">
            <v>M</v>
          </cell>
          <cell r="BF985" t="str">
            <v>N</v>
          </cell>
          <cell r="BG985">
            <v>31</v>
          </cell>
          <cell r="BH985">
            <v>38899</v>
          </cell>
          <cell r="BI985" t="str">
            <v>O</v>
          </cell>
        </row>
        <row r="986">
          <cell r="A986">
            <v>71557</v>
          </cell>
          <cell r="B986">
            <v>408</v>
          </cell>
          <cell r="C986" t="str">
            <v>C3020</v>
          </cell>
          <cell r="D986" t="str">
            <v>HAMDI</v>
          </cell>
          <cell r="E986" t="str">
            <v>EL MAATI</v>
          </cell>
          <cell r="F986">
            <v>19034</v>
          </cell>
          <cell r="G986" t="str">
            <v>2</v>
          </cell>
          <cell r="H986" t="str">
            <v>SMAALA</v>
          </cell>
          <cell r="I986" t="str">
            <v>D</v>
          </cell>
          <cell r="J986">
            <v>29195</v>
          </cell>
          <cell r="K986">
            <v>34851</v>
          </cell>
          <cell r="L986" t="str">
            <v>21</v>
          </cell>
          <cell r="M986" t="str">
            <v>A</v>
          </cell>
          <cell r="N986">
            <v>34851</v>
          </cell>
          <cell r="P986">
            <v>23</v>
          </cell>
          <cell r="Q986" t="str">
            <v>O</v>
          </cell>
          <cell r="R986" t="str">
            <v>N</v>
          </cell>
          <cell r="S986">
            <v>0</v>
          </cell>
          <cell r="T986" t="str">
            <v>M</v>
          </cell>
          <cell r="U986" t="str">
            <v>HADDA BENT AHMED</v>
          </cell>
          <cell r="X986">
            <v>6</v>
          </cell>
          <cell r="Y986">
            <v>6</v>
          </cell>
          <cell r="AB986" t="str">
            <v>X</v>
          </cell>
          <cell r="AC986" t="str">
            <v>X</v>
          </cell>
          <cell r="AD986" t="str">
            <v>X</v>
          </cell>
          <cell r="AH986" t="str">
            <v>N</v>
          </cell>
          <cell r="AI986" t="str">
            <v>N</v>
          </cell>
          <cell r="AK986" t="str">
            <v>1031 VILLAGE OCP BOULANOUAR</v>
          </cell>
          <cell r="AL986" t="str">
            <v>CM1</v>
          </cell>
          <cell r="AP986" t="str">
            <v>Q 7073</v>
          </cell>
          <cell r="AQ986">
            <v>0</v>
          </cell>
          <cell r="AR986" t="str">
            <v>B</v>
          </cell>
          <cell r="AS986" t="str">
            <v>POPULAIRE  KHGA</v>
          </cell>
          <cell r="AT986" t="str">
            <v>2111112873630003</v>
          </cell>
          <cell r="AU986" t="str">
            <v>05/10/86</v>
          </cell>
          <cell r="AW986">
            <v>38899</v>
          </cell>
          <cell r="AY986" t="str">
            <v>A+</v>
          </cell>
          <cell r="BA986" t="str">
            <v>0</v>
          </cell>
          <cell r="BB986">
            <v>1</v>
          </cell>
          <cell r="BD986">
            <v>0</v>
          </cell>
          <cell r="BE986" t="str">
            <v>M</v>
          </cell>
          <cell r="BF986" t="str">
            <v>N</v>
          </cell>
          <cell r="BG986">
            <v>40</v>
          </cell>
          <cell r="BH986">
            <v>38899</v>
          </cell>
        </row>
        <row r="987">
          <cell r="A987">
            <v>71561</v>
          </cell>
          <cell r="B987">
            <v>468</v>
          </cell>
          <cell r="C987" t="str">
            <v>C4405</v>
          </cell>
          <cell r="D987" t="str">
            <v>EL MAHI</v>
          </cell>
          <cell r="E987" t="str">
            <v>BENDAOUD</v>
          </cell>
          <cell r="F987">
            <v>19905</v>
          </cell>
          <cell r="G987" t="str">
            <v>1</v>
          </cell>
          <cell r="H987" t="str">
            <v>OULED ABDOUNE</v>
          </cell>
          <cell r="I987" t="str">
            <v>D</v>
          </cell>
          <cell r="J987">
            <v>29193</v>
          </cell>
          <cell r="K987">
            <v>30651</v>
          </cell>
          <cell r="L987" t="str">
            <v>22</v>
          </cell>
          <cell r="M987" t="str">
            <v>B</v>
          </cell>
          <cell r="N987">
            <v>35612</v>
          </cell>
          <cell r="P987">
            <v>23</v>
          </cell>
          <cell r="Q987" t="str">
            <v>O</v>
          </cell>
          <cell r="R987" t="str">
            <v>N</v>
          </cell>
          <cell r="S987">
            <v>0</v>
          </cell>
          <cell r="T987" t="str">
            <v>M</v>
          </cell>
          <cell r="U987" t="str">
            <v>MALIKA BENT ABBES</v>
          </cell>
          <cell r="V987" t="str">
            <v>EL ADRALI NADIA</v>
          </cell>
          <cell r="X987">
            <v>6</v>
          </cell>
          <cell r="Y987">
            <v>3</v>
          </cell>
          <cell r="AB987" t="str">
            <v>X</v>
          </cell>
          <cell r="AC987" t="str">
            <v>X</v>
          </cell>
          <cell r="AD987" t="str">
            <v>X</v>
          </cell>
          <cell r="AH987" t="str">
            <v>N</v>
          </cell>
          <cell r="AI987" t="str">
            <v>N</v>
          </cell>
          <cell r="AK987" t="str">
            <v>273 ANCIENNE MEDINA SECHAGE OCP - KHGA</v>
          </cell>
          <cell r="AL987" t="str">
            <v>CM2</v>
          </cell>
          <cell r="AP987" t="str">
            <v>Q 29021</v>
          </cell>
          <cell r="AQ987">
            <v>0</v>
          </cell>
          <cell r="AR987" t="str">
            <v>B</v>
          </cell>
          <cell r="AS987" t="str">
            <v>WAFABANK - KHGA</v>
          </cell>
          <cell r="AT987" t="str">
            <v>1220301268951</v>
          </cell>
          <cell r="AU987" t="str">
            <v>11/04/08</v>
          </cell>
          <cell r="AW987">
            <v>38899</v>
          </cell>
          <cell r="AY987" t="str">
            <v>B+</v>
          </cell>
          <cell r="BA987" t="str">
            <v>0</v>
          </cell>
          <cell r="BB987">
            <v>1</v>
          </cell>
          <cell r="BD987">
            <v>0</v>
          </cell>
          <cell r="BE987" t="str">
            <v>M</v>
          </cell>
          <cell r="BF987" t="str">
            <v>N</v>
          </cell>
          <cell r="BG987">
            <v>5</v>
          </cell>
          <cell r="BH987">
            <v>38899</v>
          </cell>
        </row>
        <row r="988">
          <cell r="A988">
            <v>71566</v>
          </cell>
          <cell r="B988">
            <v>418</v>
          </cell>
          <cell r="C988" t="str">
            <v>C3152</v>
          </cell>
          <cell r="D988" t="str">
            <v>OISFI</v>
          </cell>
          <cell r="E988" t="str">
            <v>THOUHAMI</v>
          </cell>
          <cell r="F988">
            <v>20270</v>
          </cell>
          <cell r="H988" t="str">
            <v>LOULAD - SETTAT</v>
          </cell>
          <cell r="I988" t="str">
            <v>D</v>
          </cell>
          <cell r="J988">
            <v>29200</v>
          </cell>
          <cell r="K988">
            <v>35977</v>
          </cell>
          <cell r="L988" t="str">
            <v>21</v>
          </cell>
          <cell r="M988" t="str">
            <v>A</v>
          </cell>
          <cell r="N988">
            <v>35977</v>
          </cell>
          <cell r="P988">
            <v>23</v>
          </cell>
          <cell r="Q988" t="str">
            <v>N</v>
          </cell>
          <cell r="R988" t="str">
            <v>N</v>
          </cell>
          <cell r="S988">
            <v>0</v>
          </cell>
          <cell r="T988" t="str">
            <v>M</v>
          </cell>
          <cell r="U988" t="str">
            <v>FATNA BENT MOHAMED</v>
          </cell>
          <cell r="X988">
            <v>6</v>
          </cell>
          <cell r="Y988">
            <v>2</v>
          </cell>
          <cell r="AB988" t="str">
            <v>X</v>
          </cell>
          <cell r="AC988" t="str">
            <v>X</v>
          </cell>
          <cell r="AD988" t="str">
            <v>X</v>
          </cell>
          <cell r="AH988" t="str">
            <v>N</v>
          </cell>
          <cell r="AI988" t="str">
            <v>N</v>
          </cell>
          <cell r="AK988" t="str">
            <v>337,NELLE MEDINA DE SECHAGE KHOURIBGA</v>
          </cell>
          <cell r="AL988" t="str">
            <v>ILLETTRE</v>
          </cell>
          <cell r="AP988" t="str">
            <v>W 80007</v>
          </cell>
          <cell r="AQ988">
            <v>0</v>
          </cell>
          <cell r="AR988" t="str">
            <v>B</v>
          </cell>
          <cell r="AS988" t="str">
            <v>WAFABANK - KHGA</v>
          </cell>
          <cell r="AT988" t="str">
            <v>1220301320986</v>
          </cell>
          <cell r="AU988" t="str">
            <v>/  /</v>
          </cell>
          <cell r="AW988">
            <v>38899</v>
          </cell>
          <cell r="AY988" t="str">
            <v>XX</v>
          </cell>
          <cell r="BA988" t="str">
            <v>1</v>
          </cell>
          <cell r="BB988">
            <v>1</v>
          </cell>
          <cell r="BD988">
            <v>0</v>
          </cell>
          <cell r="BE988" t="str">
            <v>M</v>
          </cell>
          <cell r="BF988" t="str">
            <v>N</v>
          </cell>
          <cell r="BG988">
            <v>0</v>
          </cell>
          <cell r="BH988">
            <v>38899</v>
          </cell>
          <cell r="BI988" t="str">
            <v>O</v>
          </cell>
        </row>
        <row r="989">
          <cell r="A989">
            <v>71569</v>
          </cell>
          <cell r="B989">
            <v>421</v>
          </cell>
          <cell r="C989" t="str">
            <v>C4152</v>
          </cell>
          <cell r="D989" t="str">
            <v>BADI</v>
          </cell>
          <cell r="E989" t="str">
            <v>SALAH</v>
          </cell>
          <cell r="F989">
            <v>20270</v>
          </cell>
          <cell r="H989" t="str">
            <v>BENI AMIR</v>
          </cell>
          <cell r="I989" t="str">
            <v>D</v>
          </cell>
          <cell r="J989">
            <v>29196</v>
          </cell>
          <cell r="K989">
            <v>36526</v>
          </cell>
          <cell r="L989" t="str">
            <v>22</v>
          </cell>
          <cell r="M989" t="str">
            <v>A</v>
          </cell>
          <cell r="N989">
            <v>36526</v>
          </cell>
          <cell r="O989">
            <v>0</v>
          </cell>
          <cell r="P989">
            <v>23</v>
          </cell>
          <cell r="Q989" t="str">
            <v>O</v>
          </cell>
          <cell r="R989" t="str">
            <v>N</v>
          </cell>
          <cell r="S989">
            <v>0</v>
          </cell>
          <cell r="T989" t="str">
            <v>M</v>
          </cell>
          <cell r="U989" t="str">
            <v>HAFIDA BENT SLIMANE</v>
          </cell>
          <cell r="X989">
            <v>6</v>
          </cell>
          <cell r="Y989">
            <v>3</v>
          </cell>
          <cell r="AB989" t="str">
            <v>X</v>
          </cell>
          <cell r="AC989" t="str">
            <v>X</v>
          </cell>
          <cell r="AD989" t="str">
            <v>X</v>
          </cell>
          <cell r="AH989" t="str">
            <v>N</v>
          </cell>
          <cell r="AI989" t="str">
            <v>N</v>
          </cell>
          <cell r="AK989" t="str">
            <v>340 ANCIENNE MEDINA DE SECHAGE KHOURIBGA</v>
          </cell>
          <cell r="AL989" t="str">
            <v>CM2</v>
          </cell>
          <cell r="AP989" t="str">
            <v>I 19381</v>
          </cell>
          <cell r="AQ989">
            <v>0</v>
          </cell>
          <cell r="AR989" t="str">
            <v>B</v>
          </cell>
          <cell r="AS989" t="str">
            <v>CREDIT-MAROC-KHGA</v>
          </cell>
          <cell r="AT989" t="str">
            <v>082001083877</v>
          </cell>
          <cell r="AU989" t="str">
            <v>/  /</v>
          </cell>
          <cell r="AW989">
            <v>38899</v>
          </cell>
          <cell r="AY989" t="str">
            <v>XX</v>
          </cell>
          <cell r="BA989" t="str">
            <v>1</v>
          </cell>
          <cell r="BB989">
            <v>1</v>
          </cell>
          <cell r="BD989">
            <v>0</v>
          </cell>
          <cell r="BE989" t="str">
            <v>M</v>
          </cell>
          <cell r="BF989" t="str">
            <v>N</v>
          </cell>
          <cell r="BG989">
            <v>4</v>
          </cell>
          <cell r="BH989">
            <v>38899</v>
          </cell>
        </row>
        <row r="990">
          <cell r="A990">
            <v>71570</v>
          </cell>
          <cell r="B990">
            <v>403</v>
          </cell>
          <cell r="C990" t="str">
            <v>C2050</v>
          </cell>
          <cell r="D990" t="str">
            <v>NECHCHADI</v>
          </cell>
          <cell r="E990" t="str">
            <v>MOHAMMED</v>
          </cell>
          <cell r="F990">
            <v>18444</v>
          </cell>
          <cell r="G990" t="str">
            <v>3</v>
          </cell>
          <cell r="H990" t="str">
            <v>EL GUEFFAF</v>
          </cell>
          <cell r="I990" t="str">
            <v>D</v>
          </cell>
          <cell r="J990">
            <v>29199</v>
          </cell>
          <cell r="K990">
            <v>31413</v>
          </cell>
          <cell r="L990" t="str">
            <v>12</v>
          </cell>
          <cell r="M990" t="str">
            <v>E</v>
          </cell>
          <cell r="N990">
            <v>35612</v>
          </cell>
          <cell r="P990">
            <v>23</v>
          </cell>
          <cell r="Q990" t="str">
            <v>N</v>
          </cell>
          <cell r="R990" t="str">
            <v>O</v>
          </cell>
          <cell r="S990">
            <v>3</v>
          </cell>
          <cell r="T990" t="str">
            <v>M</v>
          </cell>
          <cell r="U990" t="str">
            <v>RAHMA BENT HASSAN</v>
          </cell>
          <cell r="V990" t="str">
            <v>BABNAR ES SALHA BENT HADJ ALI</v>
          </cell>
          <cell r="X990">
            <v>5</v>
          </cell>
          <cell r="Y990">
            <v>4</v>
          </cell>
          <cell r="AB990" t="str">
            <v>X</v>
          </cell>
          <cell r="AC990" t="str">
            <v>X</v>
          </cell>
          <cell r="AD990" t="str">
            <v>X</v>
          </cell>
          <cell r="AH990" t="str">
            <v>N</v>
          </cell>
          <cell r="AI990" t="str">
            <v>N</v>
          </cell>
          <cell r="AK990" t="str">
            <v>724 VILLAGE OCP BOULANOUAR</v>
          </cell>
          <cell r="AL990" t="str">
            <v>CM2</v>
          </cell>
          <cell r="AP990" t="str">
            <v>Q 81556</v>
          </cell>
          <cell r="AQ990">
            <v>0</v>
          </cell>
          <cell r="AR990" t="str">
            <v>C</v>
          </cell>
          <cell r="AU990" t="str">
            <v>/  /</v>
          </cell>
          <cell r="AW990">
            <v>38534</v>
          </cell>
          <cell r="AY990" t="str">
            <v>XX</v>
          </cell>
          <cell r="AZ990" t="str">
            <v>K</v>
          </cell>
          <cell r="BA990" t="str">
            <v>2</v>
          </cell>
          <cell r="BB990">
            <v>1</v>
          </cell>
          <cell r="BD990">
            <v>0</v>
          </cell>
          <cell r="BE990" t="str">
            <v>M</v>
          </cell>
          <cell r="BF990" t="str">
            <v>N</v>
          </cell>
          <cell r="BG990">
            <v>40</v>
          </cell>
          <cell r="BH990">
            <v>38534</v>
          </cell>
        </row>
        <row r="991">
          <cell r="A991">
            <v>71596</v>
          </cell>
          <cell r="B991">
            <v>401</v>
          </cell>
          <cell r="C991" t="str">
            <v>C4754</v>
          </cell>
          <cell r="D991" t="str">
            <v>BOUHOUCH</v>
          </cell>
          <cell r="E991" t="str">
            <v>AHMED</v>
          </cell>
          <cell r="F991">
            <v>19175</v>
          </cell>
          <cell r="H991" t="str">
            <v>DOUAR AZROUAMANE - TIZNIT</v>
          </cell>
          <cell r="I991" t="str">
            <v>D</v>
          </cell>
          <cell r="J991">
            <v>29217</v>
          </cell>
          <cell r="K991">
            <v>33573</v>
          </cell>
          <cell r="L991" t="str">
            <v>22</v>
          </cell>
          <cell r="M991" t="str">
            <v>A</v>
          </cell>
          <cell r="N991">
            <v>33573</v>
          </cell>
          <cell r="P991">
            <v>23</v>
          </cell>
          <cell r="Q991" t="str">
            <v>N</v>
          </cell>
          <cell r="R991" t="str">
            <v>N</v>
          </cell>
          <cell r="S991">
            <v>0</v>
          </cell>
          <cell r="T991" t="str">
            <v>M</v>
          </cell>
          <cell r="U991" t="str">
            <v>RKIA BENT MOHAMED</v>
          </cell>
          <cell r="X991">
            <v>4</v>
          </cell>
          <cell r="Y991">
            <v>1</v>
          </cell>
          <cell r="AB991" t="str">
            <v>X</v>
          </cell>
          <cell r="AC991" t="str">
            <v>X</v>
          </cell>
          <cell r="AD991" t="str">
            <v>X</v>
          </cell>
          <cell r="AH991" t="str">
            <v>N</v>
          </cell>
          <cell r="AI991" t="str">
            <v>N</v>
          </cell>
          <cell r="AK991" t="str">
            <v>183 ANCIENNE MEDINA SECHAGE OCP - KHGA</v>
          </cell>
          <cell r="AL991" t="str">
            <v>ILLETTRE</v>
          </cell>
          <cell r="AP991" t="str">
            <v>Q 66577</v>
          </cell>
          <cell r="AQ991">
            <v>0</v>
          </cell>
          <cell r="AR991" t="str">
            <v>B</v>
          </cell>
          <cell r="AS991" t="str">
            <v>S.G.M.B - KHGA</v>
          </cell>
          <cell r="AT991" t="str">
            <v>067000925575541</v>
          </cell>
          <cell r="AU991" t="str">
            <v>/  /</v>
          </cell>
          <cell r="AW991">
            <v>38899</v>
          </cell>
          <cell r="AY991" t="str">
            <v>XX</v>
          </cell>
          <cell r="BA991" t="str">
            <v>2</v>
          </cell>
          <cell r="BB991">
            <v>1</v>
          </cell>
          <cell r="BD991">
            <v>0</v>
          </cell>
          <cell r="BE991" t="str">
            <v>M</v>
          </cell>
          <cell r="BF991" t="str">
            <v>N</v>
          </cell>
          <cell r="BG991">
            <v>0</v>
          </cell>
          <cell r="BH991">
            <v>38899</v>
          </cell>
        </row>
        <row r="992">
          <cell r="A992">
            <v>71597</v>
          </cell>
          <cell r="B992">
            <v>426</v>
          </cell>
          <cell r="C992" t="str">
            <v>C3050</v>
          </cell>
          <cell r="D992" t="str">
            <v>LOUHA</v>
          </cell>
          <cell r="E992" t="str">
            <v>EL MILOUDI</v>
          </cell>
          <cell r="F992">
            <v>20270</v>
          </cell>
          <cell r="G992" t="str">
            <v>1</v>
          </cell>
          <cell r="H992" t="str">
            <v>OULED BHAR KBAR KHOURIBGA</v>
          </cell>
          <cell r="I992" t="str">
            <v>D</v>
          </cell>
          <cell r="J992">
            <v>29217</v>
          </cell>
          <cell r="K992">
            <v>37012</v>
          </cell>
          <cell r="L992" t="str">
            <v>21</v>
          </cell>
          <cell r="M992" t="str">
            <v>B</v>
          </cell>
          <cell r="N992">
            <v>37012</v>
          </cell>
          <cell r="P992">
            <v>23</v>
          </cell>
          <cell r="Q992" t="str">
            <v>N</v>
          </cell>
          <cell r="R992" t="str">
            <v>O</v>
          </cell>
          <cell r="S992">
            <v>3</v>
          </cell>
          <cell r="T992" t="str">
            <v>M</v>
          </cell>
          <cell r="U992" t="str">
            <v>MILOUDIA BENT OMAR</v>
          </cell>
          <cell r="X992">
            <v>4</v>
          </cell>
          <cell r="Y992">
            <v>4</v>
          </cell>
          <cell r="AB992" t="str">
            <v>X</v>
          </cell>
          <cell r="AC992" t="str">
            <v>X</v>
          </cell>
          <cell r="AD992" t="str">
            <v>X</v>
          </cell>
          <cell r="AH992" t="str">
            <v>N</v>
          </cell>
          <cell r="AI992" t="str">
            <v>N</v>
          </cell>
          <cell r="AK992" t="str">
            <v>DOUAR OULED EL ATI OULED BRAHIM BOUJNIBA</v>
          </cell>
          <cell r="AL992" t="str">
            <v>ILLETTRE</v>
          </cell>
          <cell r="AP992" t="str">
            <v>Q 80499</v>
          </cell>
          <cell r="AQ992">
            <v>0</v>
          </cell>
          <cell r="AR992" t="str">
            <v>B</v>
          </cell>
          <cell r="AS992" t="str">
            <v>POPULAIRE.KHGA</v>
          </cell>
          <cell r="AT992" t="str">
            <v>211113631615000697</v>
          </cell>
          <cell r="AU992" t="str">
            <v>/  /</v>
          </cell>
          <cell r="AW992">
            <v>38899</v>
          </cell>
          <cell r="AY992" t="str">
            <v>XX</v>
          </cell>
          <cell r="BA992" t="str">
            <v>1</v>
          </cell>
          <cell r="BB992">
            <v>1</v>
          </cell>
          <cell r="BD992">
            <v>0</v>
          </cell>
          <cell r="BE992" t="str">
            <v>M</v>
          </cell>
          <cell r="BF992" t="str">
            <v>N</v>
          </cell>
          <cell r="BG992">
            <v>0</v>
          </cell>
          <cell r="BH992">
            <v>38899</v>
          </cell>
          <cell r="BI992" t="str">
            <v>O</v>
          </cell>
        </row>
        <row r="993">
          <cell r="A993">
            <v>71634</v>
          </cell>
          <cell r="B993">
            <v>426</v>
          </cell>
          <cell r="C993" t="str">
            <v>C2000</v>
          </cell>
          <cell r="D993" t="str">
            <v>EL BIR</v>
          </cell>
          <cell r="E993" t="str">
            <v>DRISS</v>
          </cell>
          <cell r="F993">
            <v>20063</v>
          </cell>
          <cell r="G993" t="str">
            <v>1</v>
          </cell>
          <cell r="H993" t="str">
            <v>OULED BHAR KBAR KHOURIBGA</v>
          </cell>
          <cell r="I993" t="str">
            <v>D</v>
          </cell>
          <cell r="J993">
            <v>29227</v>
          </cell>
          <cell r="K993">
            <v>31444</v>
          </cell>
          <cell r="L993" t="str">
            <v>12</v>
          </cell>
          <cell r="M993" t="str">
            <v>C</v>
          </cell>
          <cell r="N993">
            <v>35827</v>
          </cell>
          <cell r="P993">
            <v>23</v>
          </cell>
          <cell r="Q993" t="str">
            <v>O</v>
          </cell>
          <cell r="R993" t="str">
            <v>N</v>
          </cell>
          <cell r="S993">
            <v>0</v>
          </cell>
          <cell r="T993" t="str">
            <v>M</v>
          </cell>
          <cell r="U993" t="str">
            <v>KHADDOUJ BENT MOHAMED</v>
          </cell>
          <cell r="X993">
            <v>4</v>
          </cell>
          <cell r="Y993">
            <v>4</v>
          </cell>
          <cell r="AB993" t="str">
            <v>X</v>
          </cell>
          <cell r="AC993" t="str">
            <v>X</v>
          </cell>
          <cell r="AD993" t="str">
            <v>X</v>
          </cell>
          <cell r="AH993" t="str">
            <v>N</v>
          </cell>
          <cell r="AI993" t="str">
            <v>N</v>
          </cell>
          <cell r="AK993" t="str">
            <v>191 VILLAGE OCP - BOUJNIBA</v>
          </cell>
          <cell r="AL993" t="str">
            <v>ILLETTRE</v>
          </cell>
          <cell r="AP993" t="str">
            <v>Q 82507</v>
          </cell>
          <cell r="AQ993">
            <v>0</v>
          </cell>
          <cell r="AR993" t="str">
            <v>B</v>
          </cell>
          <cell r="AS993" t="str">
            <v>POPULAIRE.KHGA</v>
          </cell>
          <cell r="AT993" t="str">
            <v>211113631242000777</v>
          </cell>
          <cell r="AU993" t="str">
            <v>/  /</v>
          </cell>
          <cell r="AW993">
            <v>38899</v>
          </cell>
          <cell r="AY993" t="str">
            <v>XX</v>
          </cell>
          <cell r="BA993" t="str">
            <v>1</v>
          </cell>
          <cell r="BB993">
            <v>1</v>
          </cell>
          <cell r="BD993">
            <v>0</v>
          </cell>
          <cell r="BE993" t="str">
            <v>M</v>
          </cell>
          <cell r="BF993" t="str">
            <v>N</v>
          </cell>
          <cell r="BG993">
            <v>52</v>
          </cell>
          <cell r="BH993">
            <v>38899</v>
          </cell>
        </row>
        <row r="994">
          <cell r="A994">
            <v>71640</v>
          </cell>
          <cell r="B994">
            <v>416</v>
          </cell>
          <cell r="C994" t="str">
            <v>C3050</v>
          </cell>
          <cell r="D994" t="str">
            <v>EL QASSOUMY</v>
          </cell>
          <cell r="E994" t="str">
            <v>MOHAMED</v>
          </cell>
          <cell r="F994">
            <v>19540</v>
          </cell>
          <cell r="G994" t="str">
            <v>6</v>
          </cell>
          <cell r="H994" t="str">
            <v>OULED AZZOUZ - KHOURIBGA</v>
          </cell>
          <cell r="I994" t="str">
            <v>D</v>
          </cell>
          <cell r="J994">
            <v>29231</v>
          </cell>
          <cell r="K994">
            <v>37377</v>
          </cell>
          <cell r="L994" t="str">
            <v>21</v>
          </cell>
          <cell r="M994" t="str">
            <v>A</v>
          </cell>
          <cell r="N994">
            <v>37377</v>
          </cell>
          <cell r="P994">
            <v>23</v>
          </cell>
          <cell r="Q994" t="str">
            <v>O</v>
          </cell>
          <cell r="R994" t="str">
            <v>N</v>
          </cell>
          <cell r="S994">
            <v>0</v>
          </cell>
          <cell r="T994" t="str">
            <v>M</v>
          </cell>
          <cell r="U994" t="str">
            <v>LEKBIRA BENT AHMED</v>
          </cell>
          <cell r="X994">
            <v>6</v>
          </cell>
          <cell r="Y994">
            <v>2</v>
          </cell>
          <cell r="AB994" t="str">
            <v>X</v>
          </cell>
          <cell r="AC994" t="str">
            <v>X</v>
          </cell>
          <cell r="AD994" t="str">
            <v>X</v>
          </cell>
          <cell r="AH994" t="str">
            <v>O</v>
          </cell>
          <cell r="AI994" t="str">
            <v>N</v>
          </cell>
          <cell r="AK994" t="str">
            <v>352 NOUVEAUX LOGEMENTS SECHAGE KHOURIBGA</v>
          </cell>
          <cell r="AL994" t="str">
            <v>ILLETTRE</v>
          </cell>
          <cell r="AP994" t="str">
            <v>Q 68650</v>
          </cell>
          <cell r="AQ994">
            <v>0</v>
          </cell>
          <cell r="AR994" t="str">
            <v>B</v>
          </cell>
          <cell r="AS994" t="str">
            <v>CIH-KHGA</v>
          </cell>
          <cell r="AT994" t="str">
            <v>915384221104700-95</v>
          </cell>
          <cell r="AU994" t="str">
            <v>/  /</v>
          </cell>
          <cell r="AW994">
            <v>38899</v>
          </cell>
          <cell r="AY994" t="str">
            <v>XX</v>
          </cell>
          <cell r="BA994" t="str">
            <v>1</v>
          </cell>
          <cell r="BB994">
            <v>1</v>
          </cell>
          <cell r="BD994">
            <v>0</v>
          </cell>
          <cell r="BE994" t="str">
            <v>M</v>
          </cell>
          <cell r="BF994" t="str">
            <v>N</v>
          </cell>
          <cell r="BG994">
            <v>1</v>
          </cell>
          <cell r="BH994">
            <v>38899</v>
          </cell>
        </row>
        <row r="995">
          <cell r="A995">
            <v>71653</v>
          </cell>
          <cell r="B995">
            <v>462</v>
          </cell>
          <cell r="C995" t="str">
            <v>C5036</v>
          </cell>
          <cell r="D995" t="str">
            <v>OUCHNAHIM</v>
          </cell>
          <cell r="E995" t="str">
            <v>MOHAMED</v>
          </cell>
          <cell r="F995">
            <v>20636</v>
          </cell>
          <cell r="G995" t="str">
            <v>1</v>
          </cell>
          <cell r="H995" t="str">
            <v>KHOURIBGA</v>
          </cell>
          <cell r="I995" t="str">
            <v>D</v>
          </cell>
          <cell r="J995">
            <v>29235</v>
          </cell>
          <cell r="K995">
            <v>29312</v>
          </cell>
          <cell r="L995" t="str">
            <v>31</v>
          </cell>
          <cell r="M995" t="str">
            <v>B</v>
          </cell>
          <cell r="N995">
            <v>32690</v>
          </cell>
          <cell r="P995">
            <v>23</v>
          </cell>
          <cell r="Q995" t="str">
            <v>O</v>
          </cell>
          <cell r="R995" t="str">
            <v>N</v>
          </cell>
          <cell r="S995">
            <v>0</v>
          </cell>
          <cell r="T995" t="str">
            <v>M</v>
          </cell>
          <cell r="U995" t="str">
            <v>MAYOUHAL M'BARKA BENT AHMED</v>
          </cell>
          <cell r="X995">
            <v>2</v>
          </cell>
          <cell r="Y995">
            <v>2</v>
          </cell>
          <cell r="AB995" t="str">
            <v>X</v>
          </cell>
          <cell r="AC995" t="str">
            <v>X</v>
          </cell>
          <cell r="AD995" t="str">
            <v>X</v>
          </cell>
          <cell r="AH995" t="str">
            <v>N</v>
          </cell>
          <cell r="AI995" t="str">
            <v>N</v>
          </cell>
          <cell r="AK995" t="str">
            <v>174 CITE JAMILA KHOURIBGA</v>
          </cell>
          <cell r="AL995" t="str">
            <v>4AS.</v>
          </cell>
          <cell r="AM995" t="str">
            <v>CFP.CQP</v>
          </cell>
          <cell r="AP995" t="str">
            <v>Q 46310</v>
          </cell>
          <cell r="AQ995">
            <v>0</v>
          </cell>
          <cell r="AR995" t="str">
            <v>B</v>
          </cell>
          <cell r="AS995" t="str">
            <v>C.I.H - KHGA</v>
          </cell>
          <cell r="AT995" t="str">
            <v>9585274</v>
          </cell>
          <cell r="AU995" t="str">
            <v>/  /</v>
          </cell>
          <cell r="AW995">
            <v>38899</v>
          </cell>
          <cell r="AY995" t="str">
            <v>XX</v>
          </cell>
          <cell r="BA995" t="str">
            <v>2</v>
          </cell>
          <cell r="BB995">
            <v>1</v>
          </cell>
          <cell r="BC995" t="str">
            <v>O</v>
          </cell>
          <cell r="BD995">
            <v>4</v>
          </cell>
          <cell r="BE995" t="str">
            <v>M</v>
          </cell>
          <cell r="BF995" t="str">
            <v>N</v>
          </cell>
          <cell r="BG995">
            <v>1</v>
          </cell>
          <cell r="BH995">
            <v>38899</v>
          </cell>
        </row>
        <row r="996">
          <cell r="A996">
            <v>71685</v>
          </cell>
          <cell r="B996">
            <v>461</v>
          </cell>
          <cell r="C996" t="str">
            <v>C3152</v>
          </cell>
          <cell r="D996" t="str">
            <v>GHARIB</v>
          </cell>
          <cell r="E996" t="str">
            <v>MUSTAPHA</v>
          </cell>
          <cell r="F996">
            <v>19175</v>
          </cell>
          <cell r="H996" t="str">
            <v>LAHLAF - SETTAT</v>
          </cell>
          <cell r="I996" t="str">
            <v>D</v>
          </cell>
          <cell r="J996">
            <v>29245</v>
          </cell>
          <cell r="K996">
            <v>36526</v>
          </cell>
          <cell r="L996" t="str">
            <v>21</v>
          </cell>
          <cell r="M996" t="str">
            <v>B</v>
          </cell>
          <cell r="N996">
            <v>36526</v>
          </cell>
          <cell r="O996">
            <v>0</v>
          </cell>
          <cell r="P996">
            <v>23</v>
          </cell>
          <cell r="Q996" t="str">
            <v>O</v>
          </cell>
          <cell r="R996" t="str">
            <v>N</v>
          </cell>
          <cell r="S996">
            <v>0</v>
          </cell>
          <cell r="T996" t="str">
            <v>M</v>
          </cell>
          <cell r="U996" t="str">
            <v>KHADIJA BENT HADJ ABDESSLAM</v>
          </cell>
          <cell r="X996">
            <v>3</v>
          </cell>
          <cell r="Y996">
            <v>3</v>
          </cell>
          <cell r="AB996" t="str">
            <v>X</v>
          </cell>
          <cell r="AC996" t="str">
            <v>X</v>
          </cell>
          <cell r="AD996" t="str">
            <v>X</v>
          </cell>
          <cell r="AH996" t="str">
            <v>N</v>
          </cell>
          <cell r="AI996" t="str">
            <v>N</v>
          </cell>
          <cell r="AK996" t="str">
            <v>135  VILLAGE OCP BOUJNIBA</v>
          </cell>
          <cell r="AL996" t="str">
            <v>ILLETTRE</v>
          </cell>
          <cell r="AP996" t="str">
            <v>Q 51522</v>
          </cell>
          <cell r="AQ996">
            <v>0</v>
          </cell>
          <cell r="AR996" t="str">
            <v>C</v>
          </cell>
          <cell r="AU996" t="str">
            <v>/  /</v>
          </cell>
          <cell r="AW996">
            <v>38899</v>
          </cell>
          <cell r="AY996" t="str">
            <v>XX</v>
          </cell>
          <cell r="BA996" t="str">
            <v>6</v>
          </cell>
          <cell r="BB996">
            <v>1</v>
          </cell>
          <cell r="BD996">
            <v>0</v>
          </cell>
          <cell r="BE996" t="str">
            <v>M</v>
          </cell>
          <cell r="BF996" t="str">
            <v>N</v>
          </cell>
          <cell r="BG996">
            <v>51</v>
          </cell>
          <cell r="BH996">
            <v>38899</v>
          </cell>
          <cell r="BI996" t="str">
            <v>O</v>
          </cell>
        </row>
        <row r="997">
          <cell r="A997">
            <v>71689</v>
          </cell>
          <cell r="B997">
            <v>428</v>
          </cell>
          <cell r="C997" t="str">
            <v>C3152</v>
          </cell>
          <cell r="D997" t="str">
            <v>HAMAM</v>
          </cell>
          <cell r="E997" t="str">
            <v>MOHAMED</v>
          </cell>
          <cell r="F997">
            <v>18809</v>
          </cell>
          <cell r="H997" t="str">
            <v>OULED M'RAH - SETTAT</v>
          </cell>
          <cell r="I997" t="str">
            <v>D</v>
          </cell>
          <cell r="J997">
            <v>29244</v>
          </cell>
          <cell r="K997">
            <v>37012</v>
          </cell>
          <cell r="L997" t="str">
            <v>21</v>
          </cell>
          <cell r="M997" t="str">
            <v>A</v>
          </cell>
          <cell r="N997">
            <v>37012</v>
          </cell>
          <cell r="P997">
            <v>23</v>
          </cell>
          <cell r="Q997" t="str">
            <v>O</v>
          </cell>
          <cell r="R997" t="str">
            <v>N</v>
          </cell>
          <cell r="S997">
            <v>0</v>
          </cell>
          <cell r="T997" t="str">
            <v>M</v>
          </cell>
          <cell r="U997" t="str">
            <v>ESSAADIA BENT BOUCHAIB</v>
          </cell>
          <cell r="X997">
            <v>6</v>
          </cell>
          <cell r="Y997">
            <v>6</v>
          </cell>
          <cell r="AB997" t="str">
            <v>X</v>
          </cell>
          <cell r="AC997" t="str">
            <v>X</v>
          </cell>
          <cell r="AD997" t="str">
            <v>X</v>
          </cell>
          <cell r="AH997" t="str">
            <v>N</v>
          </cell>
          <cell r="AI997" t="str">
            <v>N</v>
          </cell>
          <cell r="AK997" t="str">
            <v>158 ANCIENNE MEDINA DE SECHAGE OCP KHGA</v>
          </cell>
          <cell r="AL997" t="str">
            <v>ILLETRE</v>
          </cell>
          <cell r="AP997" t="str">
            <v>Q 48502</v>
          </cell>
          <cell r="AQ997">
            <v>0</v>
          </cell>
          <cell r="AR997" t="str">
            <v>B</v>
          </cell>
          <cell r="AS997" t="str">
            <v>SGMB KHOURIBGA</v>
          </cell>
          <cell r="AT997" t="str">
            <v>0670009259732</v>
          </cell>
          <cell r="AU997" t="str">
            <v>/  /</v>
          </cell>
          <cell r="AW997">
            <v>38899</v>
          </cell>
          <cell r="AY997" t="str">
            <v>XX</v>
          </cell>
          <cell r="AZ997" t="str">
            <v>R</v>
          </cell>
          <cell r="BA997" t="str">
            <v>1</v>
          </cell>
          <cell r="BB997">
            <v>1</v>
          </cell>
          <cell r="BD997">
            <v>0</v>
          </cell>
          <cell r="BE997" t="str">
            <v>M</v>
          </cell>
          <cell r="BF997" t="str">
            <v>N</v>
          </cell>
          <cell r="BG997">
            <v>4</v>
          </cell>
          <cell r="BH997">
            <v>38899</v>
          </cell>
        </row>
        <row r="998">
          <cell r="A998">
            <v>71700</v>
          </cell>
          <cell r="B998">
            <v>408</v>
          </cell>
          <cell r="C998" t="str">
            <v>C4754</v>
          </cell>
          <cell r="D998" t="str">
            <v>ACHADACHAR</v>
          </cell>
          <cell r="E998" t="str">
            <v>MOHAMED</v>
          </cell>
          <cell r="F998">
            <v>17714</v>
          </cell>
          <cell r="H998" t="str">
            <v>AIT ZALTEN - ESSAOUIRA</v>
          </cell>
          <cell r="I998" t="str">
            <v>D</v>
          </cell>
          <cell r="J998">
            <v>29256</v>
          </cell>
          <cell r="K998">
            <v>37012</v>
          </cell>
          <cell r="L998" t="str">
            <v>22</v>
          </cell>
          <cell r="M998" t="str">
            <v>B</v>
          </cell>
          <cell r="N998">
            <v>37012</v>
          </cell>
          <cell r="P998">
            <v>24</v>
          </cell>
          <cell r="Q998" t="str">
            <v>N</v>
          </cell>
          <cell r="R998" t="str">
            <v>O</v>
          </cell>
          <cell r="S998">
            <v>1</v>
          </cell>
          <cell r="T998" t="str">
            <v>M</v>
          </cell>
          <cell r="U998" t="str">
            <v>CHTAIBI M'BARKA BENT EL KHATIB</v>
          </cell>
          <cell r="X998">
            <v>4</v>
          </cell>
          <cell r="Y998">
            <v>1</v>
          </cell>
          <cell r="AB998" t="str">
            <v>X</v>
          </cell>
          <cell r="AC998" t="str">
            <v>X</v>
          </cell>
          <cell r="AD998" t="str">
            <v>X</v>
          </cell>
          <cell r="AH998" t="str">
            <v>O</v>
          </cell>
          <cell r="AI998" t="str">
            <v>N</v>
          </cell>
          <cell r="AK998" t="str">
            <v>757 VILLAGE O.C.P - HATTANE</v>
          </cell>
          <cell r="AL998" t="str">
            <v>ILLETTRE</v>
          </cell>
          <cell r="AP998" t="str">
            <v>Q 84001</v>
          </cell>
          <cell r="AQ998">
            <v>0</v>
          </cell>
          <cell r="AR998" t="str">
            <v>B</v>
          </cell>
          <cell r="AS998" t="str">
            <v>CNCA.KHGA</v>
          </cell>
          <cell r="AT998" t="str">
            <v>0805689 R 601</v>
          </cell>
          <cell r="AU998" t="str">
            <v>/  /</v>
          </cell>
          <cell r="AW998">
            <v>37803</v>
          </cell>
          <cell r="AY998" t="str">
            <v>XX</v>
          </cell>
          <cell r="BA998" t="str">
            <v>2</v>
          </cell>
          <cell r="BB998">
            <v>1</v>
          </cell>
          <cell r="BD998">
            <v>0</v>
          </cell>
          <cell r="BE998" t="str">
            <v>M</v>
          </cell>
          <cell r="BF998" t="str">
            <v>N</v>
          </cell>
          <cell r="BG998">
            <v>0</v>
          </cell>
          <cell r="BH998">
            <v>37803</v>
          </cell>
        </row>
        <row r="999">
          <cell r="A999">
            <v>71701</v>
          </cell>
          <cell r="B999">
            <v>428</v>
          </cell>
          <cell r="C999" t="str">
            <v>C2050</v>
          </cell>
          <cell r="D999" t="str">
            <v>DAHRAOUI</v>
          </cell>
          <cell r="E999" t="str">
            <v>ABDELLAH</v>
          </cell>
          <cell r="F999">
            <v>20270</v>
          </cell>
          <cell r="G999" t="str">
            <v>6</v>
          </cell>
          <cell r="H999" t="str">
            <v>M'FASSIS</v>
          </cell>
          <cell r="I999" t="str">
            <v>D</v>
          </cell>
          <cell r="J999">
            <v>29256</v>
          </cell>
          <cell r="K999">
            <v>31472</v>
          </cell>
          <cell r="L999" t="str">
            <v>12</v>
          </cell>
          <cell r="M999" t="str">
            <v>C</v>
          </cell>
          <cell r="N999">
            <v>34516</v>
          </cell>
          <cell r="P999">
            <v>24</v>
          </cell>
          <cell r="Q999" t="str">
            <v>O</v>
          </cell>
          <cell r="R999" t="str">
            <v>N</v>
          </cell>
          <cell r="S999">
            <v>0</v>
          </cell>
          <cell r="T999" t="str">
            <v>M</v>
          </cell>
          <cell r="U999" t="str">
            <v>M'HAOUCHE HAFIDA BENT MILOUD</v>
          </cell>
          <cell r="X999">
            <v>5</v>
          </cell>
          <cell r="Y999">
            <v>4</v>
          </cell>
          <cell r="AB999" t="str">
            <v>X</v>
          </cell>
          <cell r="AC999" t="str">
            <v>X</v>
          </cell>
          <cell r="AD999" t="str">
            <v>X</v>
          </cell>
          <cell r="AH999" t="str">
            <v>N</v>
          </cell>
          <cell r="AI999" t="str">
            <v>N</v>
          </cell>
          <cell r="AK999" t="str">
            <v>347 NLLE MEDINA DE SECHAGE KHGA</v>
          </cell>
          <cell r="AL999" t="str">
            <v>ILLETTRE</v>
          </cell>
          <cell r="AP999" t="str">
            <v>Q 88805</v>
          </cell>
          <cell r="AQ999">
            <v>0</v>
          </cell>
          <cell r="AR999" t="str">
            <v>B</v>
          </cell>
          <cell r="AS999" t="str">
            <v>BMCE - KHGA</v>
          </cell>
          <cell r="AT999" t="str">
            <v>4000001200001396178</v>
          </cell>
          <cell r="AU999" t="str">
            <v>/  /</v>
          </cell>
          <cell r="AW999">
            <v>38899</v>
          </cell>
          <cell r="AY999" t="str">
            <v>XX</v>
          </cell>
          <cell r="BA999" t="str">
            <v>2</v>
          </cell>
          <cell r="BB999">
            <v>1</v>
          </cell>
          <cell r="BD999">
            <v>0</v>
          </cell>
          <cell r="BE999" t="str">
            <v>M</v>
          </cell>
          <cell r="BF999" t="str">
            <v>N</v>
          </cell>
          <cell r="BG999">
            <v>4</v>
          </cell>
          <cell r="BH999">
            <v>38899</v>
          </cell>
        </row>
        <row r="1000">
          <cell r="A1000">
            <v>71721</v>
          </cell>
          <cell r="B1000">
            <v>403</v>
          </cell>
          <cell r="C1000" t="str">
            <v>C3050</v>
          </cell>
          <cell r="D1000" t="str">
            <v>AZRAIOUIL</v>
          </cell>
          <cell r="E1000" t="str">
            <v>MOHAMED</v>
          </cell>
          <cell r="F1000">
            <v>19540</v>
          </cell>
          <cell r="H1000" t="str">
            <v>OULED M'HAMED - SETTAT</v>
          </cell>
          <cell r="I1000" t="str">
            <v>D</v>
          </cell>
          <cell r="J1000">
            <v>29265</v>
          </cell>
          <cell r="K1000">
            <v>37012</v>
          </cell>
          <cell r="L1000" t="str">
            <v>21</v>
          </cell>
          <cell r="M1000" t="str">
            <v>A</v>
          </cell>
          <cell r="N1000">
            <v>37012</v>
          </cell>
          <cell r="P1000">
            <v>24</v>
          </cell>
          <cell r="Q1000" t="str">
            <v>O</v>
          </cell>
          <cell r="R1000" t="str">
            <v>N</v>
          </cell>
          <cell r="S1000">
            <v>0</v>
          </cell>
          <cell r="T1000" t="str">
            <v>M</v>
          </cell>
          <cell r="U1000" t="str">
            <v>SADRAOUI FATNA</v>
          </cell>
          <cell r="X1000">
            <v>8</v>
          </cell>
          <cell r="Y1000">
            <v>2</v>
          </cell>
          <cell r="AB1000" t="str">
            <v>X</v>
          </cell>
          <cell r="AC1000" t="str">
            <v>X</v>
          </cell>
          <cell r="AD1000" t="str">
            <v>X</v>
          </cell>
          <cell r="AH1000" t="str">
            <v>N</v>
          </cell>
          <cell r="AI1000" t="str">
            <v>N</v>
          </cell>
          <cell r="AK1000" t="str">
            <v>41 NELLE MEDINA DE SECHAGE KHOURIBGA</v>
          </cell>
          <cell r="AL1000" t="str">
            <v>ILLETTRE</v>
          </cell>
          <cell r="AP1000" t="str">
            <v>W 83426</v>
          </cell>
          <cell r="AQ1000">
            <v>0</v>
          </cell>
          <cell r="AR1000" t="str">
            <v>C</v>
          </cell>
          <cell r="AU1000" t="str">
            <v>/  /</v>
          </cell>
          <cell r="AW1000">
            <v>38899</v>
          </cell>
          <cell r="AY1000" t="str">
            <v>XX</v>
          </cell>
          <cell r="AZ1000" t="str">
            <v>K</v>
          </cell>
          <cell r="BA1000" t="str">
            <v>1</v>
          </cell>
          <cell r="BB1000">
            <v>0</v>
          </cell>
          <cell r="BD1000">
            <v>0</v>
          </cell>
          <cell r="BE1000" t="str">
            <v>M</v>
          </cell>
          <cell r="BF1000" t="str">
            <v>N</v>
          </cell>
          <cell r="BG1000">
            <v>1</v>
          </cell>
          <cell r="BH1000">
            <v>38899</v>
          </cell>
        </row>
        <row r="1001">
          <cell r="A1001">
            <v>71722</v>
          </cell>
          <cell r="B1001">
            <v>428</v>
          </cell>
          <cell r="C1001" t="str">
            <v>C3152</v>
          </cell>
          <cell r="D1001" t="str">
            <v>EL BIR</v>
          </cell>
          <cell r="E1001" t="str">
            <v>ABDELLAH</v>
          </cell>
          <cell r="F1001">
            <v>18809</v>
          </cell>
          <cell r="G1001" t="str">
            <v>1</v>
          </cell>
          <cell r="H1001" t="str">
            <v>OULED BHAR KBAR KHOURIBGA</v>
          </cell>
          <cell r="I1001" t="str">
            <v>D</v>
          </cell>
          <cell r="J1001">
            <v>29269</v>
          </cell>
          <cell r="K1001">
            <v>36526</v>
          </cell>
          <cell r="L1001" t="str">
            <v>21</v>
          </cell>
          <cell r="M1001" t="str">
            <v>B</v>
          </cell>
          <cell r="N1001">
            <v>36526</v>
          </cell>
          <cell r="P1001">
            <v>24</v>
          </cell>
          <cell r="Q1001" t="str">
            <v>O</v>
          </cell>
          <cell r="R1001" t="str">
            <v>N</v>
          </cell>
          <cell r="S1001">
            <v>0</v>
          </cell>
          <cell r="T1001" t="str">
            <v>M</v>
          </cell>
          <cell r="U1001" t="str">
            <v>ESSAADIA BENT ABDESSELAM</v>
          </cell>
          <cell r="X1001">
            <v>6</v>
          </cell>
          <cell r="Y1001">
            <v>3</v>
          </cell>
          <cell r="AB1001" t="str">
            <v>X</v>
          </cell>
          <cell r="AC1001" t="str">
            <v>X</v>
          </cell>
          <cell r="AD1001" t="str">
            <v>X</v>
          </cell>
          <cell r="AH1001" t="str">
            <v>N</v>
          </cell>
          <cell r="AI1001" t="str">
            <v>N</v>
          </cell>
          <cell r="AK1001" t="str">
            <v>700 VILLAGE O.C.P - BOUJNIBA</v>
          </cell>
          <cell r="AL1001" t="str">
            <v>ILLETTRE</v>
          </cell>
          <cell r="AP1001" t="str">
            <v>Q 28194</v>
          </cell>
          <cell r="AQ1001">
            <v>0</v>
          </cell>
          <cell r="AR1001" t="str">
            <v>C</v>
          </cell>
          <cell r="AU1001" t="str">
            <v>/  /</v>
          </cell>
          <cell r="AW1001">
            <v>38899</v>
          </cell>
          <cell r="AY1001" t="str">
            <v>XX</v>
          </cell>
          <cell r="BA1001" t="str">
            <v>1</v>
          </cell>
          <cell r="BB1001">
            <v>1</v>
          </cell>
          <cell r="BD1001">
            <v>0</v>
          </cell>
          <cell r="BE1001" t="str">
            <v>M</v>
          </cell>
          <cell r="BF1001" t="str">
            <v>N</v>
          </cell>
          <cell r="BG1001">
            <v>52</v>
          </cell>
          <cell r="BH1001">
            <v>38899</v>
          </cell>
          <cell r="BI1001" t="str">
            <v>O</v>
          </cell>
        </row>
        <row r="1002">
          <cell r="A1002">
            <v>67228</v>
          </cell>
          <cell r="B1002">
            <v>411</v>
          </cell>
          <cell r="C1002" t="str">
            <v>C4152</v>
          </cell>
          <cell r="D1002" t="str">
            <v>MEMDOUH</v>
          </cell>
          <cell r="E1002" t="str">
            <v>EL MAATI</v>
          </cell>
          <cell r="F1002">
            <v>20270</v>
          </cell>
          <cell r="G1002" t="str">
            <v>1</v>
          </cell>
          <cell r="H1002" t="str">
            <v>OULED BHAR KBAR KHOURIBGA</v>
          </cell>
          <cell r="I1002" t="str">
            <v>D</v>
          </cell>
          <cell r="J1002">
            <v>27417</v>
          </cell>
          <cell r="K1002">
            <v>32843</v>
          </cell>
          <cell r="L1002" t="str">
            <v>22</v>
          </cell>
          <cell r="M1002" t="str">
            <v>B</v>
          </cell>
          <cell r="N1002">
            <v>35612</v>
          </cell>
          <cell r="P1002">
            <v>28</v>
          </cell>
          <cell r="Q1002" t="str">
            <v>O</v>
          </cell>
          <cell r="R1002" t="str">
            <v>N</v>
          </cell>
          <cell r="S1002">
            <v>0</v>
          </cell>
          <cell r="T1002" t="str">
            <v>M</v>
          </cell>
          <cell r="U1002" t="str">
            <v>SEFSAFI MAHJOUBA BT FATEH</v>
          </cell>
          <cell r="X1002">
            <v>2</v>
          </cell>
          <cell r="Y1002">
            <v>0</v>
          </cell>
          <cell r="AB1002" t="str">
            <v>X</v>
          </cell>
          <cell r="AC1002" t="str">
            <v>X</v>
          </cell>
          <cell r="AD1002" t="str">
            <v>X</v>
          </cell>
          <cell r="AH1002" t="str">
            <v>N</v>
          </cell>
          <cell r="AI1002" t="str">
            <v>N</v>
          </cell>
          <cell r="AK1002" t="str">
            <v>231 HAY EL AMAL ERAC - KHGA</v>
          </cell>
          <cell r="AL1002" t="str">
            <v>2AS</v>
          </cell>
          <cell r="AP1002" t="str">
            <v>Q 80793</v>
          </cell>
          <cell r="AQ1002">
            <v>0</v>
          </cell>
          <cell r="AR1002" t="str">
            <v>B</v>
          </cell>
          <cell r="AS1002" t="str">
            <v>WAFABANK - KHGA</v>
          </cell>
          <cell r="AT1002" t="str">
            <v>1220301158413</v>
          </cell>
          <cell r="AU1002" t="str">
            <v>/  /</v>
          </cell>
          <cell r="AW1002">
            <v>38534</v>
          </cell>
          <cell r="AY1002" t="str">
            <v>XX</v>
          </cell>
          <cell r="AZ1002" t="str">
            <v>M</v>
          </cell>
          <cell r="BA1002" t="str">
            <v>1</v>
          </cell>
          <cell r="BB1002">
            <v>1</v>
          </cell>
          <cell r="BD1002">
            <v>0</v>
          </cell>
          <cell r="BE1002" t="str">
            <v>M</v>
          </cell>
          <cell r="BF1002" t="str">
            <v>N</v>
          </cell>
          <cell r="BG1002">
            <v>1</v>
          </cell>
          <cell r="BH1002">
            <v>38534</v>
          </cell>
          <cell r="BI1002" t="str">
            <v>O</v>
          </cell>
        </row>
        <row r="1003">
          <cell r="A1003">
            <v>71800</v>
          </cell>
          <cell r="B1003">
            <v>406</v>
          </cell>
          <cell r="C1003" t="str">
            <v>C4152</v>
          </cell>
          <cell r="D1003" t="str">
            <v>FERDAOUI</v>
          </cell>
          <cell r="E1003" t="str">
            <v>MOHAMED</v>
          </cell>
          <cell r="F1003">
            <v>19175</v>
          </cell>
          <cell r="G1003" t="str">
            <v>1</v>
          </cell>
          <cell r="H1003" t="str">
            <v>OULED BHAR KBAR KHOURIBGA</v>
          </cell>
          <cell r="I1003" t="str">
            <v>D</v>
          </cell>
          <cell r="J1003">
            <v>29293</v>
          </cell>
          <cell r="K1003">
            <v>35065</v>
          </cell>
          <cell r="L1003" t="str">
            <v>22</v>
          </cell>
          <cell r="M1003" t="str">
            <v>A</v>
          </cell>
          <cell r="N1003">
            <v>35065</v>
          </cell>
          <cell r="P1003">
            <v>23</v>
          </cell>
          <cell r="Q1003" t="str">
            <v>O</v>
          </cell>
          <cell r="R1003" t="str">
            <v>N</v>
          </cell>
          <cell r="S1003">
            <v>0</v>
          </cell>
          <cell r="T1003" t="str">
            <v>M</v>
          </cell>
          <cell r="U1003" t="str">
            <v>FARTASSE FATIMA BENT MOHAMED</v>
          </cell>
          <cell r="V1003" t="str">
            <v>NAIMA BENT SALAH</v>
          </cell>
          <cell r="X1003">
            <v>4</v>
          </cell>
          <cell r="Y1003">
            <v>5</v>
          </cell>
          <cell r="AB1003" t="str">
            <v>X</v>
          </cell>
          <cell r="AC1003" t="str">
            <v>X</v>
          </cell>
          <cell r="AD1003" t="str">
            <v>X</v>
          </cell>
          <cell r="AH1003" t="str">
            <v>N</v>
          </cell>
          <cell r="AI1003" t="str">
            <v>N</v>
          </cell>
          <cell r="AK1003" t="str">
            <v>311 VILLAGE O.C.P - BOULANOIR</v>
          </cell>
          <cell r="AL1003" t="str">
            <v>CM1</v>
          </cell>
          <cell r="AP1003" t="str">
            <v>Q 78246</v>
          </cell>
          <cell r="AQ1003">
            <v>0</v>
          </cell>
          <cell r="AR1003" t="str">
            <v>B</v>
          </cell>
          <cell r="AS1003" t="str">
            <v>BMCE-KHOURIBGA-</v>
          </cell>
          <cell r="AT1003" t="str">
            <v>40001200001116333</v>
          </cell>
          <cell r="AU1003" t="str">
            <v>/  /</v>
          </cell>
          <cell r="AW1003">
            <v>38899</v>
          </cell>
          <cell r="AY1003" t="str">
            <v>XX</v>
          </cell>
          <cell r="AZ1003" t="str">
            <v>K</v>
          </cell>
          <cell r="BA1003" t="str">
            <v>1</v>
          </cell>
          <cell r="BB1003">
            <v>1</v>
          </cell>
          <cell r="BD1003">
            <v>0</v>
          </cell>
          <cell r="BE1003" t="str">
            <v>M</v>
          </cell>
          <cell r="BF1003" t="str">
            <v>N</v>
          </cell>
          <cell r="BG1003">
            <v>40</v>
          </cell>
          <cell r="BH1003">
            <v>38899</v>
          </cell>
        </row>
        <row r="1004">
          <cell r="A1004">
            <v>71773</v>
          </cell>
          <cell r="B1004">
            <v>428</v>
          </cell>
          <cell r="C1004" t="str">
            <v>C3152</v>
          </cell>
          <cell r="D1004" t="str">
            <v>BRILLA</v>
          </cell>
          <cell r="E1004" t="str">
            <v>MOHAMMED</v>
          </cell>
          <cell r="F1004">
            <v>19540</v>
          </cell>
          <cell r="G1004" t="str">
            <v>3</v>
          </cell>
          <cell r="H1004" t="str">
            <v>BOUJNIBA</v>
          </cell>
          <cell r="I1004" t="str">
            <v>D</v>
          </cell>
          <cell r="J1004">
            <v>29288</v>
          </cell>
          <cell r="K1004">
            <v>36526</v>
          </cell>
          <cell r="L1004" t="str">
            <v>21</v>
          </cell>
          <cell r="M1004" t="str">
            <v>B</v>
          </cell>
          <cell r="N1004">
            <v>36526</v>
          </cell>
          <cell r="P1004">
            <v>23</v>
          </cell>
          <cell r="Q1004" t="str">
            <v>O</v>
          </cell>
          <cell r="R1004" t="str">
            <v>N</v>
          </cell>
          <cell r="S1004">
            <v>0</v>
          </cell>
          <cell r="T1004" t="str">
            <v>M</v>
          </cell>
          <cell r="U1004" t="str">
            <v>FATNA BENT AHMED</v>
          </cell>
          <cell r="V1004" t="str">
            <v>SELLAJI BOUCHTAOUIA BT MOHAMED</v>
          </cell>
          <cell r="X1004">
            <v>3</v>
          </cell>
          <cell r="Y1004">
            <v>3</v>
          </cell>
          <cell r="AB1004" t="str">
            <v>X</v>
          </cell>
          <cell r="AC1004" t="str">
            <v>X</v>
          </cell>
          <cell r="AD1004" t="str">
            <v>X</v>
          </cell>
          <cell r="AH1004" t="str">
            <v>N</v>
          </cell>
          <cell r="AI1004" t="str">
            <v>N</v>
          </cell>
          <cell r="AK1004" t="str">
            <v>N° 5 RUE 2 - OUED ZEM</v>
          </cell>
          <cell r="AL1004" t="str">
            <v>ILLETTRE</v>
          </cell>
          <cell r="AP1004" t="str">
            <v>Q 72943</v>
          </cell>
          <cell r="AQ1004">
            <v>0</v>
          </cell>
          <cell r="AR1004" t="str">
            <v>B</v>
          </cell>
          <cell r="AS1004" t="str">
            <v>POPULAIRE O-ZEM</v>
          </cell>
          <cell r="AT1004" t="str">
            <v>2111113067960008</v>
          </cell>
          <cell r="AU1004" t="str">
            <v>/  /</v>
          </cell>
          <cell r="AW1004">
            <v>40889</v>
          </cell>
          <cell r="AX1004">
            <v>40889</v>
          </cell>
          <cell r="AY1004" t="str">
            <v>XX</v>
          </cell>
          <cell r="BA1004" t="str">
            <v>1</v>
          </cell>
          <cell r="BB1004">
            <v>1</v>
          </cell>
          <cell r="BD1004">
            <v>0</v>
          </cell>
          <cell r="BE1004" t="str">
            <v>M</v>
          </cell>
          <cell r="BF1004" t="str">
            <v>N</v>
          </cell>
          <cell r="BG1004">
            <v>30</v>
          </cell>
          <cell r="BH1004">
            <v>38899</v>
          </cell>
          <cell r="BI1004" t="str">
            <v>O</v>
          </cell>
        </row>
        <row r="1005">
          <cell r="A1005">
            <v>71796</v>
          </cell>
          <cell r="B1005">
            <v>421</v>
          </cell>
          <cell r="C1005" t="str">
            <v>C3152</v>
          </cell>
          <cell r="D1005" t="str">
            <v>MEDIANI</v>
          </cell>
          <cell r="E1005" t="str">
            <v>ALI</v>
          </cell>
          <cell r="F1005">
            <v>19371</v>
          </cell>
          <cell r="G1005" t="str">
            <v>2</v>
          </cell>
          <cell r="H1005" t="str">
            <v>AIT AMMAR - KHOURIBGA</v>
          </cell>
          <cell r="I1005" t="str">
            <v>D</v>
          </cell>
          <cell r="J1005">
            <v>29293</v>
          </cell>
          <cell r="K1005">
            <v>37012</v>
          </cell>
          <cell r="L1005" t="str">
            <v>21</v>
          </cell>
          <cell r="M1005" t="str">
            <v>A</v>
          </cell>
          <cell r="N1005">
            <v>37012</v>
          </cell>
          <cell r="P1005">
            <v>23</v>
          </cell>
          <cell r="Q1005" t="str">
            <v>O</v>
          </cell>
          <cell r="R1005" t="str">
            <v>N</v>
          </cell>
          <cell r="S1005">
            <v>0</v>
          </cell>
          <cell r="T1005" t="str">
            <v>M</v>
          </cell>
          <cell r="U1005" t="str">
            <v>MEDIANI AICHA BENT EL MEKKI</v>
          </cell>
          <cell r="X1005">
            <v>3</v>
          </cell>
          <cell r="Y1005">
            <v>3</v>
          </cell>
          <cell r="AB1005" t="str">
            <v>X</v>
          </cell>
          <cell r="AC1005" t="str">
            <v>X</v>
          </cell>
          <cell r="AD1005" t="str">
            <v>X</v>
          </cell>
          <cell r="AH1005" t="str">
            <v>N</v>
          </cell>
          <cell r="AI1005" t="str">
            <v>N</v>
          </cell>
          <cell r="AK1005" t="str">
            <v>1378 VILLAGE O.C.P - HATTANE</v>
          </cell>
          <cell r="AL1005" t="str">
            <v>ILLETTRE</v>
          </cell>
          <cell r="AP1005" t="str">
            <v>Q 20886</v>
          </cell>
          <cell r="AQ1005">
            <v>0</v>
          </cell>
          <cell r="AR1005" t="str">
            <v>B</v>
          </cell>
          <cell r="AS1005" t="str">
            <v>B.POPULAIRE-KHGA</v>
          </cell>
          <cell r="AT1005" t="str">
            <v>211113632203000244</v>
          </cell>
          <cell r="AU1005" t="str">
            <v>/  /</v>
          </cell>
          <cell r="AW1005">
            <v>38899</v>
          </cell>
          <cell r="AY1005" t="str">
            <v>XX</v>
          </cell>
          <cell r="BA1005" t="str">
            <v>1</v>
          </cell>
          <cell r="BB1005">
            <v>1</v>
          </cell>
          <cell r="BD1005">
            <v>0</v>
          </cell>
          <cell r="BE1005" t="str">
            <v>M</v>
          </cell>
          <cell r="BF1005" t="str">
            <v>N</v>
          </cell>
          <cell r="BG1005">
            <v>11</v>
          </cell>
          <cell r="BH1005">
            <v>38899</v>
          </cell>
        </row>
        <row r="1006">
          <cell r="A1006">
            <v>71756</v>
          </cell>
          <cell r="B1006">
            <v>403</v>
          </cell>
          <cell r="C1006" t="str">
            <v>C3152</v>
          </cell>
          <cell r="D1006" t="str">
            <v>EL ASLAMY</v>
          </cell>
          <cell r="E1006" t="str">
            <v>BOUAZZA</v>
          </cell>
          <cell r="F1006">
            <v>19175</v>
          </cell>
          <cell r="H1006" t="str">
            <v>LOULAD - SETTAT</v>
          </cell>
          <cell r="I1006" t="str">
            <v>D</v>
          </cell>
          <cell r="J1006">
            <v>29278</v>
          </cell>
          <cell r="K1006">
            <v>35096</v>
          </cell>
          <cell r="L1006" t="str">
            <v>21</v>
          </cell>
          <cell r="M1006" t="str">
            <v>A</v>
          </cell>
          <cell r="N1006">
            <v>35096</v>
          </cell>
          <cell r="P1006">
            <v>24</v>
          </cell>
          <cell r="Q1006" t="str">
            <v>O</v>
          </cell>
          <cell r="R1006" t="str">
            <v>N</v>
          </cell>
          <cell r="S1006">
            <v>0</v>
          </cell>
          <cell r="T1006" t="str">
            <v>M</v>
          </cell>
          <cell r="U1006" t="str">
            <v>FATNA BENT EL KHADIR ZAABOUL</v>
          </cell>
          <cell r="X1006">
            <v>6</v>
          </cell>
          <cell r="Y1006">
            <v>4</v>
          </cell>
          <cell r="AB1006" t="str">
            <v>X</v>
          </cell>
          <cell r="AC1006" t="str">
            <v>X</v>
          </cell>
          <cell r="AD1006" t="str">
            <v>X</v>
          </cell>
          <cell r="AH1006" t="str">
            <v>N</v>
          </cell>
          <cell r="AI1006" t="str">
            <v>N</v>
          </cell>
          <cell r="AK1006" t="str">
            <v>202 NELLE MEDINA DE SECHAGE KHOURIBGA</v>
          </cell>
          <cell r="AL1006" t="str">
            <v>ILLETTRE</v>
          </cell>
          <cell r="AP1006" t="str">
            <v>Q 81645</v>
          </cell>
          <cell r="AQ1006">
            <v>0</v>
          </cell>
          <cell r="AR1006" t="str">
            <v>C</v>
          </cell>
          <cell r="AU1006" t="str">
            <v>/  /</v>
          </cell>
          <cell r="AW1006">
            <v>38899</v>
          </cell>
          <cell r="AY1006" t="str">
            <v>XX</v>
          </cell>
          <cell r="AZ1006" t="str">
            <v>K</v>
          </cell>
          <cell r="BA1006" t="str">
            <v>1</v>
          </cell>
          <cell r="BB1006">
            <v>1</v>
          </cell>
          <cell r="BD1006">
            <v>0</v>
          </cell>
          <cell r="BE1006" t="str">
            <v>M</v>
          </cell>
          <cell r="BF1006" t="str">
            <v>N</v>
          </cell>
          <cell r="BG1006">
            <v>1</v>
          </cell>
          <cell r="BH1006">
            <v>38899</v>
          </cell>
        </row>
        <row r="1007">
          <cell r="A1007">
            <v>71825</v>
          </cell>
          <cell r="B1007">
            <v>428</v>
          </cell>
          <cell r="C1007" t="str">
            <v>C3152</v>
          </cell>
          <cell r="D1007" t="str">
            <v>JALAL</v>
          </cell>
          <cell r="E1007" t="str">
            <v>MOHAMED</v>
          </cell>
          <cell r="F1007">
            <v>19540</v>
          </cell>
          <cell r="H1007" t="str">
            <v>BENI AMIR - FQUIH BEN SALAH</v>
          </cell>
          <cell r="I1007" t="str">
            <v>D</v>
          </cell>
          <cell r="J1007">
            <v>29301</v>
          </cell>
          <cell r="K1007">
            <v>33420</v>
          </cell>
          <cell r="L1007" t="str">
            <v>21</v>
          </cell>
          <cell r="M1007" t="str">
            <v>A</v>
          </cell>
          <cell r="N1007">
            <v>33420</v>
          </cell>
          <cell r="P1007">
            <v>23</v>
          </cell>
          <cell r="Q1007" t="str">
            <v>O</v>
          </cell>
          <cell r="R1007" t="str">
            <v>N</v>
          </cell>
          <cell r="S1007">
            <v>0</v>
          </cell>
          <cell r="T1007" t="str">
            <v>M</v>
          </cell>
          <cell r="U1007" t="str">
            <v>MALIKA BENT SALAH</v>
          </cell>
          <cell r="X1007">
            <v>4</v>
          </cell>
          <cell r="Y1007">
            <v>1</v>
          </cell>
          <cell r="AB1007" t="str">
            <v>X</v>
          </cell>
          <cell r="AC1007" t="str">
            <v>X</v>
          </cell>
          <cell r="AD1007" t="str">
            <v>X</v>
          </cell>
          <cell r="AH1007" t="str">
            <v>N</v>
          </cell>
          <cell r="AI1007" t="str">
            <v>N</v>
          </cell>
          <cell r="AK1007" t="str">
            <v>281 ANCIENNE MEDINA DE SECHAGE KHOURIBGA</v>
          </cell>
          <cell r="AL1007" t="str">
            <v>CM2</v>
          </cell>
          <cell r="AP1007" t="str">
            <v>Q 62680</v>
          </cell>
          <cell r="AQ1007">
            <v>0</v>
          </cell>
          <cell r="AR1007" t="str">
            <v>B</v>
          </cell>
          <cell r="AS1007" t="str">
            <v>WAFABANK - KHGA</v>
          </cell>
          <cell r="AT1007" t="str">
            <v>1220301059894</v>
          </cell>
          <cell r="AU1007" t="str">
            <v>/  /</v>
          </cell>
          <cell r="AW1007">
            <v>38899</v>
          </cell>
          <cell r="AY1007" t="str">
            <v>XX</v>
          </cell>
          <cell r="BA1007" t="str">
            <v>1</v>
          </cell>
          <cell r="BB1007">
            <v>1</v>
          </cell>
          <cell r="BD1007">
            <v>0</v>
          </cell>
          <cell r="BE1007" t="str">
            <v>M</v>
          </cell>
          <cell r="BF1007" t="str">
            <v>N</v>
          </cell>
          <cell r="BG1007">
            <v>4</v>
          </cell>
          <cell r="BH1007">
            <v>38899</v>
          </cell>
        </row>
        <row r="1008">
          <cell r="A1008">
            <v>71945</v>
          </cell>
          <cell r="B1008">
            <v>426</v>
          </cell>
          <cell r="C1008" t="str">
            <v>C4050</v>
          </cell>
          <cell r="D1008" t="str">
            <v>LOUKRI</v>
          </cell>
          <cell r="E1008" t="str">
            <v>MILOUD</v>
          </cell>
          <cell r="F1008">
            <v>20270</v>
          </cell>
          <cell r="H1008" t="str">
            <v>AIT ATAB - AZILAL</v>
          </cell>
          <cell r="I1008" t="str">
            <v>D</v>
          </cell>
          <cell r="J1008">
            <v>29364</v>
          </cell>
          <cell r="K1008">
            <v>36526</v>
          </cell>
          <cell r="L1008" t="str">
            <v>22</v>
          </cell>
          <cell r="M1008" t="str">
            <v>A</v>
          </cell>
          <cell r="N1008">
            <v>36526</v>
          </cell>
          <cell r="P1008">
            <v>22</v>
          </cell>
          <cell r="Q1008" t="str">
            <v>O</v>
          </cell>
          <cell r="R1008" t="str">
            <v>N</v>
          </cell>
          <cell r="S1008">
            <v>0</v>
          </cell>
          <cell r="T1008" t="str">
            <v>M</v>
          </cell>
          <cell r="U1008" t="str">
            <v>FATIMA BENT MOHAMED AMANSOUR</v>
          </cell>
          <cell r="X1008">
            <v>4</v>
          </cell>
          <cell r="Y1008">
            <v>4</v>
          </cell>
          <cell r="AB1008" t="str">
            <v>X</v>
          </cell>
          <cell r="AC1008" t="str">
            <v>X</v>
          </cell>
          <cell r="AD1008" t="str">
            <v>X</v>
          </cell>
          <cell r="AH1008" t="str">
            <v>N</v>
          </cell>
          <cell r="AI1008" t="str">
            <v>N</v>
          </cell>
          <cell r="AK1008" t="str">
            <v>376 NELLE MEDINA DE SECHAGE KHOURIBGA</v>
          </cell>
          <cell r="AL1008" t="str">
            <v>CM2</v>
          </cell>
          <cell r="AP1008" t="str">
            <v>Q 16000</v>
          </cell>
          <cell r="AQ1008">
            <v>0</v>
          </cell>
          <cell r="AR1008" t="str">
            <v>B</v>
          </cell>
          <cell r="AS1008" t="str">
            <v>B.M.C.E   KHGA</v>
          </cell>
          <cell r="AT1008" t="str">
            <v>40001200000844203</v>
          </cell>
          <cell r="AU1008" t="str">
            <v>/  /</v>
          </cell>
          <cell r="AW1008">
            <v>39083</v>
          </cell>
          <cell r="AY1008" t="str">
            <v>XX</v>
          </cell>
          <cell r="BA1008" t="str">
            <v>2</v>
          </cell>
          <cell r="BB1008">
            <v>1</v>
          </cell>
          <cell r="BD1008">
            <v>0</v>
          </cell>
          <cell r="BE1008" t="str">
            <v>M</v>
          </cell>
          <cell r="BF1008" t="str">
            <v>N</v>
          </cell>
          <cell r="BG1008">
            <v>4</v>
          </cell>
          <cell r="BH1008">
            <v>39083</v>
          </cell>
        </row>
        <row r="1009">
          <cell r="A1009">
            <v>71965</v>
          </cell>
          <cell r="B1009">
            <v>428</v>
          </cell>
          <cell r="C1009" t="str">
            <v>C3152</v>
          </cell>
          <cell r="D1009" t="str">
            <v>MAKROUDI</v>
          </cell>
          <cell r="E1009" t="str">
            <v>MOHAMED</v>
          </cell>
          <cell r="F1009">
            <v>20456</v>
          </cell>
          <cell r="G1009" t="str">
            <v>2</v>
          </cell>
          <cell r="H1009" t="str">
            <v>BENI SMIR OUED-ZEM</v>
          </cell>
          <cell r="I1009" t="str">
            <v>D</v>
          </cell>
          <cell r="J1009">
            <v>29381</v>
          </cell>
          <cell r="K1009">
            <v>35977</v>
          </cell>
          <cell r="L1009" t="str">
            <v>21</v>
          </cell>
          <cell r="M1009" t="str">
            <v>A</v>
          </cell>
          <cell r="N1009">
            <v>35977</v>
          </cell>
          <cell r="P1009">
            <v>22</v>
          </cell>
          <cell r="Q1009" t="str">
            <v>N</v>
          </cell>
          <cell r="R1009" t="str">
            <v>O</v>
          </cell>
          <cell r="S1009">
            <v>3</v>
          </cell>
          <cell r="T1009" t="str">
            <v>M</v>
          </cell>
          <cell r="U1009" t="str">
            <v>EL ASLAOUI MOULOUDIA BT LEKBIR</v>
          </cell>
          <cell r="X1009">
            <v>4</v>
          </cell>
          <cell r="Y1009">
            <v>4</v>
          </cell>
          <cell r="AB1009" t="str">
            <v>X</v>
          </cell>
          <cell r="AC1009" t="str">
            <v>X</v>
          </cell>
          <cell r="AD1009" t="str">
            <v>X</v>
          </cell>
          <cell r="AH1009" t="str">
            <v>N</v>
          </cell>
          <cell r="AI1009" t="str">
            <v>N</v>
          </cell>
          <cell r="AK1009" t="str">
            <v>OULED BOUALI BNI SMIR - OUED ZEM</v>
          </cell>
          <cell r="AL1009" t="str">
            <v>ILLETTRE</v>
          </cell>
          <cell r="AP1009" t="str">
            <v>Q 23880</v>
          </cell>
          <cell r="AQ1009">
            <v>0</v>
          </cell>
          <cell r="AR1009" t="str">
            <v>B</v>
          </cell>
          <cell r="AS1009" t="str">
            <v>POPULAIRE.O-ZEM</v>
          </cell>
          <cell r="AT1009" t="str">
            <v>2111136284190000</v>
          </cell>
          <cell r="AU1009" t="str">
            <v>/  /</v>
          </cell>
          <cell r="AW1009">
            <v>39083</v>
          </cell>
          <cell r="AY1009" t="str">
            <v>XX</v>
          </cell>
          <cell r="BA1009" t="str">
            <v>1</v>
          </cell>
          <cell r="BB1009">
            <v>1</v>
          </cell>
          <cell r="BD1009">
            <v>0</v>
          </cell>
          <cell r="BE1009" t="str">
            <v>M</v>
          </cell>
          <cell r="BF1009" t="str">
            <v>N</v>
          </cell>
          <cell r="BG1009">
            <v>0</v>
          </cell>
          <cell r="BH1009">
            <v>39083</v>
          </cell>
          <cell r="BI1009" t="str">
            <v>O</v>
          </cell>
        </row>
        <row r="1010">
          <cell r="A1010">
            <v>71954</v>
          </cell>
          <cell r="B1010">
            <v>463</v>
          </cell>
          <cell r="C1010" t="str">
            <v>C3200</v>
          </cell>
          <cell r="D1010" t="str">
            <v>DEHAIDEHI</v>
          </cell>
          <cell r="E1010" t="str">
            <v>AHMED</v>
          </cell>
          <cell r="F1010">
            <v>18334</v>
          </cell>
          <cell r="G1010" t="str">
            <v>2</v>
          </cell>
          <cell r="H1010" t="str">
            <v>SMAALA OUED-ZEM</v>
          </cell>
          <cell r="I1010" t="str">
            <v>D</v>
          </cell>
          <cell r="J1010">
            <v>29376</v>
          </cell>
          <cell r="K1010">
            <v>35674</v>
          </cell>
          <cell r="L1010" t="str">
            <v>21</v>
          </cell>
          <cell r="M1010" t="str">
            <v>A</v>
          </cell>
          <cell r="N1010">
            <v>35674</v>
          </cell>
          <cell r="P1010">
            <v>22</v>
          </cell>
          <cell r="Q1010" t="str">
            <v>O</v>
          </cell>
          <cell r="R1010" t="str">
            <v>N</v>
          </cell>
          <cell r="S1010">
            <v>0</v>
          </cell>
          <cell r="T1010" t="str">
            <v>M</v>
          </cell>
          <cell r="U1010" t="str">
            <v>CHERKAOUIA BENT JILALI</v>
          </cell>
          <cell r="X1010">
            <v>5</v>
          </cell>
          <cell r="Y1010">
            <v>4</v>
          </cell>
          <cell r="AB1010" t="str">
            <v>X</v>
          </cell>
          <cell r="AC1010" t="str">
            <v>X</v>
          </cell>
          <cell r="AD1010" t="str">
            <v>X</v>
          </cell>
          <cell r="AH1010" t="str">
            <v>N</v>
          </cell>
          <cell r="AI1010" t="str">
            <v>N</v>
          </cell>
          <cell r="AK1010" t="str">
            <v>128 RUE OUED EDDAHAB KOREA OUED ZEM</v>
          </cell>
          <cell r="AL1010" t="str">
            <v>CM2</v>
          </cell>
          <cell r="AP1010" t="str">
            <v>Q 72286</v>
          </cell>
          <cell r="AQ1010">
            <v>0</v>
          </cell>
          <cell r="AR1010" t="str">
            <v>B</v>
          </cell>
          <cell r="AS1010" t="str">
            <v>BMCI - OUED ZEM</v>
          </cell>
          <cell r="AT1010" t="str">
            <v>0252151820130100001</v>
          </cell>
          <cell r="AU1010" t="str">
            <v>/  /</v>
          </cell>
          <cell r="AW1010">
            <v>38534</v>
          </cell>
          <cell r="AY1010" t="str">
            <v>XX</v>
          </cell>
          <cell r="AZ1010" t="str">
            <v>K</v>
          </cell>
          <cell r="BA1010" t="str">
            <v>2</v>
          </cell>
          <cell r="BB1010">
            <v>1</v>
          </cell>
          <cell r="BD1010">
            <v>0</v>
          </cell>
          <cell r="BE1010" t="str">
            <v>M</v>
          </cell>
          <cell r="BF1010" t="str">
            <v>N</v>
          </cell>
          <cell r="BG1010">
            <v>31</v>
          </cell>
          <cell r="BH1010">
            <v>38534</v>
          </cell>
          <cell r="BI1010" t="str">
            <v>O</v>
          </cell>
        </row>
        <row r="1011">
          <cell r="A1011">
            <v>71953</v>
          </cell>
          <cell r="B1011">
            <v>403</v>
          </cell>
          <cell r="C1011" t="str">
            <v>C4754</v>
          </cell>
          <cell r="D1011" t="str">
            <v>SOULAIMANI</v>
          </cell>
          <cell r="E1011" t="str">
            <v>BRAHIM</v>
          </cell>
          <cell r="F1011">
            <v>19905</v>
          </cell>
          <cell r="H1011" t="str">
            <v>TAHALA - TIZNIT</v>
          </cell>
          <cell r="I1011" t="str">
            <v>D</v>
          </cell>
          <cell r="J1011">
            <v>29376</v>
          </cell>
          <cell r="K1011">
            <v>36526</v>
          </cell>
          <cell r="L1011" t="str">
            <v>22</v>
          </cell>
          <cell r="M1011" t="str">
            <v>B</v>
          </cell>
          <cell r="N1011">
            <v>36526</v>
          </cell>
          <cell r="P1011">
            <v>22</v>
          </cell>
          <cell r="Q1011" t="str">
            <v>O</v>
          </cell>
          <cell r="R1011" t="str">
            <v>N</v>
          </cell>
          <cell r="S1011">
            <v>0</v>
          </cell>
          <cell r="T1011" t="str">
            <v>M</v>
          </cell>
          <cell r="U1011" t="str">
            <v>SOULAIMANI KHADIJA BT HOUSSINE</v>
          </cell>
          <cell r="X1011">
            <v>3</v>
          </cell>
          <cell r="Y1011">
            <v>3</v>
          </cell>
          <cell r="AB1011" t="str">
            <v>X</v>
          </cell>
          <cell r="AC1011" t="str">
            <v>X</v>
          </cell>
          <cell r="AD1011" t="str">
            <v>X</v>
          </cell>
          <cell r="AH1011" t="str">
            <v>N</v>
          </cell>
          <cell r="AI1011" t="str">
            <v>N</v>
          </cell>
          <cell r="AK1011" t="str">
            <v>613 NOUVELLE MEDINA SECHAGE - KHGA</v>
          </cell>
          <cell r="AL1011" t="str">
            <v>ILLETTRE</v>
          </cell>
          <cell r="AN1011" t="str">
            <v>57═77═21</v>
          </cell>
          <cell r="AO1011" t="str">
            <v>2404</v>
          </cell>
          <cell r="AP1011" t="str">
            <v>Q 16093</v>
          </cell>
          <cell r="AQ1011">
            <v>0</v>
          </cell>
          <cell r="AR1011" t="str">
            <v>B</v>
          </cell>
          <cell r="AS1011" t="str">
            <v>CR.MAROC - KHGA</v>
          </cell>
          <cell r="AT1011" t="str">
            <v>082001061208</v>
          </cell>
          <cell r="AU1011" t="str">
            <v>/  /</v>
          </cell>
          <cell r="AW1011">
            <v>39083</v>
          </cell>
          <cell r="AY1011" t="str">
            <v>XX</v>
          </cell>
          <cell r="BA1011" t="str">
            <v>2</v>
          </cell>
          <cell r="BB1011">
            <v>1</v>
          </cell>
          <cell r="BD1011">
            <v>0</v>
          </cell>
          <cell r="BE1011" t="str">
            <v>M</v>
          </cell>
          <cell r="BF1011" t="str">
            <v>N</v>
          </cell>
          <cell r="BG1011">
            <v>1</v>
          </cell>
          <cell r="BH1011">
            <v>39083</v>
          </cell>
        </row>
        <row r="1012">
          <cell r="A1012">
            <v>71804</v>
          </cell>
          <cell r="B1012">
            <v>466</v>
          </cell>
          <cell r="C1012" t="str">
            <v>C3152</v>
          </cell>
          <cell r="D1012" t="str">
            <v>BOUCHTAOUI</v>
          </cell>
          <cell r="E1012" t="str">
            <v>M'BAREK</v>
          </cell>
          <cell r="F1012">
            <v>19175</v>
          </cell>
          <cell r="G1012" t="str">
            <v>2</v>
          </cell>
          <cell r="H1012" t="str">
            <v>BENI SMIR OUED-ZEM</v>
          </cell>
          <cell r="I1012" t="str">
            <v>D</v>
          </cell>
          <cell r="J1012">
            <v>29298</v>
          </cell>
          <cell r="K1012">
            <v>37377</v>
          </cell>
          <cell r="L1012" t="str">
            <v>21</v>
          </cell>
          <cell r="M1012" t="str">
            <v>A</v>
          </cell>
          <cell r="N1012">
            <v>37377</v>
          </cell>
          <cell r="P1012">
            <v>23</v>
          </cell>
          <cell r="Q1012" t="str">
            <v>O</v>
          </cell>
          <cell r="R1012" t="str">
            <v>N</v>
          </cell>
          <cell r="S1012">
            <v>0</v>
          </cell>
          <cell r="T1012" t="str">
            <v>M</v>
          </cell>
          <cell r="U1012" t="str">
            <v>KHADIJA BENT LARBI</v>
          </cell>
          <cell r="X1012">
            <v>4</v>
          </cell>
          <cell r="Y1012">
            <v>3</v>
          </cell>
          <cell r="AB1012" t="str">
            <v>X</v>
          </cell>
          <cell r="AC1012" t="str">
            <v>X</v>
          </cell>
          <cell r="AD1012" t="str">
            <v>X</v>
          </cell>
          <cell r="AH1012" t="str">
            <v>N</v>
          </cell>
          <cell r="AI1012" t="str">
            <v>N</v>
          </cell>
          <cell r="AK1012" t="str">
            <v>DOUAR OULED HADDAD BENI SMIR OUED ZEM</v>
          </cell>
          <cell r="AL1012" t="str">
            <v>ILLETTRE</v>
          </cell>
          <cell r="AP1012" t="str">
            <v>Q 92667</v>
          </cell>
          <cell r="AQ1012">
            <v>0</v>
          </cell>
          <cell r="AR1012" t="str">
            <v>B</v>
          </cell>
          <cell r="AS1012" t="str">
            <v>WAFABANK - KHGA</v>
          </cell>
          <cell r="AT1012" t="str">
            <v>0301160837</v>
          </cell>
          <cell r="AU1012" t="str">
            <v>/  /</v>
          </cell>
          <cell r="AW1012">
            <v>38899</v>
          </cell>
          <cell r="AY1012" t="str">
            <v>XX</v>
          </cell>
          <cell r="BA1012" t="str">
            <v>1</v>
          </cell>
          <cell r="BB1012">
            <v>1</v>
          </cell>
          <cell r="BD1012">
            <v>0</v>
          </cell>
          <cell r="BE1012" t="str">
            <v>M</v>
          </cell>
          <cell r="BF1012" t="str">
            <v>N</v>
          </cell>
          <cell r="BG1012">
            <v>31</v>
          </cell>
          <cell r="BH1012">
            <v>38899</v>
          </cell>
          <cell r="BI1012" t="str">
            <v>O</v>
          </cell>
        </row>
        <row r="1013">
          <cell r="A1013">
            <v>71808</v>
          </cell>
          <cell r="B1013">
            <v>428</v>
          </cell>
          <cell r="C1013" t="str">
            <v>C3050</v>
          </cell>
          <cell r="D1013" t="str">
            <v>EL HASSANI</v>
          </cell>
          <cell r="E1013" t="str">
            <v>AHMED</v>
          </cell>
          <cell r="F1013">
            <v>19905</v>
          </cell>
          <cell r="G1013" t="str">
            <v>2</v>
          </cell>
          <cell r="H1013" t="str">
            <v>SMAALA OUED-ZEM</v>
          </cell>
          <cell r="I1013" t="str">
            <v>D</v>
          </cell>
          <cell r="J1013">
            <v>29297</v>
          </cell>
          <cell r="K1013">
            <v>37012</v>
          </cell>
          <cell r="L1013" t="str">
            <v>21</v>
          </cell>
          <cell r="M1013" t="str">
            <v>B</v>
          </cell>
          <cell r="N1013">
            <v>37012</v>
          </cell>
          <cell r="P1013">
            <v>23</v>
          </cell>
          <cell r="Q1013" t="str">
            <v>O</v>
          </cell>
          <cell r="R1013" t="str">
            <v>N</v>
          </cell>
          <cell r="S1013">
            <v>0</v>
          </cell>
          <cell r="T1013" t="str">
            <v>M</v>
          </cell>
          <cell r="U1013" t="str">
            <v>RACHIDA BT BOUAZZA</v>
          </cell>
          <cell r="X1013">
            <v>6</v>
          </cell>
          <cell r="Y1013">
            <v>4</v>
          </cell>
          <cell r="AB1013" t="str">
            <v>X</v>
          </cell>
          <cell r="AC1013" t="str">
            <v>X</v>
          </cell>
          <cell r="AD1013" t="str">
            <v>X</v>
          </cell>
          <cell r="AH1013" t="str">
            <v>N</v>
          </cell>
          <cell r="AI1013" t="str">
            <v>N</v>
          </cell>
          <cell r="AK1013" t="str">
            <v>20 VILLAGE O.C.P - BOUJNIBA</v>
          </cell>
          <cell r="AL1013" t="str">
            <v>ILLETTRE</v>
          </cell>
          <cell r="AP1013" t="str">
            <v>Q 67984</v>
          </cell>
          <cell r="AQ1013">
            <v>0</v>
          </cell>
          <cell r="AR1013" t="str">
            <v>C</v>
          </cell>
          <cell r="AU1013" t="str">
            <v>/  /</v>
          </cell>
          <cell r="AW1013">
            <v>38899</v>
          </cell>
          <cell r="AY1013" t="str">
            <v>XX</v>
          </cell>
          <cell r="BA1013" t="str">
            <v>2</v>
          </cell>
          <cell r="BB1013">
            <v>1</v>
          </cell>
          <cell r="BD1013">
            <v>0</v>
          </cell>
          <cell r="BE1013" t="str">
            <v>M</v>
          </cell>
          <cell r="BF1013" t="str">
            <v>N</v>
          </cell>
          <cell r="BG1013">
            <v>11</v>
          </cell>
          <cell r="BH1013">
            <v>38899</v>
          </cell>
        </row>
        <row r="1014">
          <cell r="A1014">
            <v>71967</v>
          </cell>
          <cell r="B1014">
            <v>406</v>
          </cell>
          <cell r="C1014" t="str">
            <v>C2000</v>
          </cell>
          <cell r="D1014" t="str">
            <v>ERRADI</v>
          </cell>
          <cell r="E1014" t="str">
            <v>MOHAMMED</v>
          </cell>
          <cell r="F1014">
            <v>20380</v>
          </cell>
          <cell r="G1014" t="str">
            <v>2</v>
          </cell>
          <cell r="H1014" t="str">
            <v>OUED-ZEM</v>
          </cell>
          <cell r="I1014" t="str">
            <v>D</v>
          </cell>
          <cell r="J1014">
            <v>29378</v>
          </cell>
          <cell r="K1014">
            <v>31594</v>
          </cell>
          <cell r="L1014" t="str">
            <v>12</v>
          </cell>
          <cell r="M1014" t="str">
            <v>C</v>
          </cell>
          <cell r="N1014">
            <v>35977</v>
          </cell>
          <cell r="P1014">
            <v>22</v>
          </cell>
          <cell r="Q1014" t="str">
            <v>O</v>
          </cell>
          <cell r="R1014" t="str">
            <v>N</v>
          </cell>
          <cell r="S1014">
            <v>0</v>
          </cell>
          <cell r="T1014" t="str">
            <v>M</v>
          </cell>
          <cell r="U1014" t="str">
            <v>ERRADI LEKBIRA BENT ABDELKADER</v>
          </cell>
          <cell r="X1014">
            <v>5</v>
          </cell>
          <cell r="Y1014">
            <v>2</v>
          </cell>
          <cell r="AB1014" t="str">
            <v>X</v>
          </cell>
          <cell r="AC1014" t="str">
            <v>X</v>
          </cell>
          <cell r="AD1014" t="str">
            <v>X</v>
          </cell>
          <cell r="AH1014" t="str">
            <v>N</v>
          </cell>
          <cell r="AI1014" t="str">
            <v>N</v>
          </cell>
          <cell r="AK1014" t="str">
            <v>730 LOT MOUKAOUAMA OUED ZEM</v>
          </cell>
          <cell r="AL1014" t="str">
            <v>CM2</v>
          </cell>
          <cell r="AP1014" t="str">
            <v>Q 24746</v>
          </cell>
          <cell r="AQ1014">
            <v>0</v>
          </cell>
          <cell r="AR1014" t="str">
            <v>B</v>
          </cell>
          <cell r="AS1014" t="str">
            <v>POPULAIRE.O.ZEM</v>
          </cell>
          <cell r="AT1014" t="str">
            <v>2111113050010001</v>
          </cell>
          <cell r="AU1014" t="str">
            <v>/  /</v>
          </cell>
          <cell r="AW1014">
            <v>39083</v>
          </cell>
          <cell r="AY1014" t="str">
            <v>XX</v>
          </cell>
          <cell r="BA1014" t="str">
            <v>7</v>
          </cell>
          <cell r="BB1014">
            <v>1</v>
          </cell>
          <cell r="BD1014">
            <v>0</v>
          </cell>
          <cell r="BE1014" t="str">
            <v>M</v>
          </cell>
          <cell r="BF1014" t="str">
            <v>N</v>
          </cell>
          <cell r="BG1014">
            <v>30</v>
          </cell>
          <cell r="BH1014">
            <v>39083</v>
          </cell>
          <cell r="BI1014" t="str">
            <v>O</v>
          </cell>
        </row>
        <row r="1015">
          <cell r="A1015">
            <v>71724</v>
          </cell>
          <cell r="B1015">
            <v>468</v>
          </cell>
          <cell r="C1015" t="str">
            <v>C3152</v>
          </cell>
          <cell r="D1015" t="str">
            <v>ZOULLIKH</v>
          </cell>
          <cell r="E1015" t="str">
            <v>ABDELKADER</v>
          </cell>
          <cell r="F1015">
            <v>20270</v>
          </cell>
          <cell r="G1015" t="str">
            <v>1</v>
          </cell>
          <cell r="H1015" t="str">
            <v>OULED BHAR KBAR KHOURIBGA</v>
          </cell>
          <cell r="I1015" t="str">
            <v>D</v>
          </cell>
          <cell r="J1015">
            <v>29270</v>
          </cell>
          <cell r="K1015">
            <v>35977</v>
          </cell>
          <cell r="L1015" t="str">
            <v>21</v>
          </cell>
          <cell r="M1015" t="str">
            <v>B</v>
          </cell>
          <cell r="N1015">
            <v>35977</v>
          </cell>
          <cell r="P1015">
            <v>24</v>
          </cell>
          <cell r="Q1015" t="str">
            <v>O</v>
          </cell>
          <cell r="R1015" t="str">
            <v>N</v>
          </cell>
          <cell r="S1015">
            <v>0</v>
          </cell>
          <cell r="T1015" t="str">
            <v>M</v>
          </cell>
          <cell r="U1015" t="str">
            <v>FATIMA BENT KHADIR</v>
          </cell>
          <cell r="X1015">
            <v>7</v>
          </cell>
          <cell r="Y1015">
            <v>4</v>
          </cell>
          <cell r="AB1015" t="str">
            <v>X</v>
          </cell>
          <cell r="AC1015" t="str">
            <v>X</v>
          </cell>
          <cell r="AD1015" t="str">
            <v>X</v>
          </cell>
          <cell r="AH1015" t="str">
            <v>N</v>
          </cell>
          <cell r="AI1015" t="str">
            <v>N</v>
          </cell>
          <cell r="AK1015" t="str">
            <v>53 RUE 13 HAY ZIDANIA OUED ZEM</v>
          </cell>
          <cell r="AL1015" t="str">
            <v>ILLETTRE</v>
          </cell>
          <cell r="AP1015" t="str">
            <v>Q 35651</v>
          </cell>
          <cell r="AQ1015">
            <v>0</v>
          </cell>
          <cell r="AR1015" t="str">
            <v>B</v>
          </cell>
          <cell r="AS1015" t="str">
            <v>BMCI - KHGA</v>
          </cell>
          <cell r="AT1015" t="str">
            <v>0282119135930100001</v>
          </cell>
          <cell r="AU1015" t="str">
            <v>/  /</v>
          </cell>
          <cell r="AW1015">
            <v>38899</v>
          </cell>
          <cell r="AY1015" t="str">
            <v>XX</v>
          </cell>
          <cell r="AZ1015" t="str">
            <v>K</v>
          </cell>
          <cell r="BA1015" t="str">
            <v>1</v>
          </cell>
          <cell r="BB1015">
            <v>1</v>
          </cell>
          <cell r="BD1015">
            <v>0</v>
          </cell>
          <cell r="BE1015" t="str">
            <v>M</v>
          </cell>
          <cell r="BF1015" t="str">
            <v>N</v>
          </cell>
          <cell r="BG1015">
            <v>31</v>
          </cell>
          <cell r="BH1015">
            <v>38899</v>
          </cell>
          <cell r="BI1015" t="str">
            <v>O</v>
          </cell>
        </row>
        <row r="1016">
          <cell r="A1016">
            <v>71738</v>
          </cell>
          <cell r="B1016">
            <v>452</v>
          </cell>
          <cell r="C1016" t="str">
            <v>C4152</v>
          </cell>
          <cell r="D1016" t="str">
            <v>LEMBARKI</v>
          </cell>
          <cell r="E1016" t="str">
            <v>MOHAMMED</v>
          </cell>
          <cell r="F1016">
            <v>18444</v>
          </cell>
          <cell r="G1016" t="str">
            <v>2</v>
          </cell>
          <cell r="H1016" t="str">
            <v>AIT AMMAR - KHOURIBGA</v>
          </cell>
          <cell r="I1016" t="str">
            <v>D</v>
          </cell>
          <cell r="J1016">
            <v>29270</v>
          </cell>
          <cell r="K1016">
            <v>37012</v>
          </cell>
          <cell r="L1016" t="str">
            <v>22</v>
          </cell>
          <cell r="M1016" t="str">
            <v>A</v>
          </cell>
          <cell r="N1016">
            <v>37012</v>
          </cell>
          <cell r="P1016">
            <v>24</v>
          </cell>
          <cell r="Q1016" t="str">
            <v>O</v>
          </cell>
          <cell r="R1016" t="str">
            <v>N</v>
          </cell>
          <cell r="S1016">
            <v>0</v>
          </cell>
          <cell r="T1016" t="str">
            <v>M</v>
          </cell>
          <cell r="U1016" t="str">
            <v>LEGLITI RACHIDA BENT BOUABI</v>
          </cell>
          <cell r="X1016">
            <v>5</v>
          </cell>
          <cell r="Y1016">
            <v>5</v>
          </cell>
          <cell r="AB1016" t="str">
            <v>X</v>
          </cell>
          <cell r="AC1016" t="str">
            <v>X</v>
          </cell>
          <cell r="AD1016" t="str">
            <v>X</v>
          </cell>
          <cell r="AH1016" t="str">
            <v>N</v>
          </cell>
          <cell r="AI1016" t="str">
            <v>N</v>
          </cell>
          <cell r="AK1016" t="str">
            <v>108 VILLAGE OCP OUED ZEM</v>
          </cell>
          <cell r="AL1016" t="str">
            <v>CM2</v>
          </cell>
          <cell r="AP1016" t="str">
            <v>Q 18905</v>
          </cell>
          <cell r="AQ1016">
            <v>0</v>
          </cell>
          <cell r="AR1016" t="str">
            <v>B</v>
          </cell>
          <cell r="AS1016" t="str">
            <v>POPULAIRE O.ZEM</v>
          </cell>
          <cell r="AT1016" t="str">
            <v>2111136268400003</v>
          </cell>
          <cell r="AU1016" t="str">
            <v>20/11/84</v>
          </cell>
          <cell r="AW1016">
            <v>40210</v>
          </cell>
          <cell r="AX1016">
            <v>40210</v>
          </cell>
          <cell r="AY1016" t="str">
            <v>A+</v>
          </cell>
          <cell r="BA1016" t="str">
            <v>6ID</v>
          </cell>
          <cell r="BB1016">
            <v>1</v>
          </cell>
          <cell r="BD1016">
            <v>0</v>
          </cell>
          <cell r="BE1016" t="str">
            <v>M</v>
          </cell>
          <cell r="BF1016" t="str">
            <v>N</v>
          </cell>
          <cell r="BG1016">
            <v>31</v>
          </cell>
          <cell r="BH1016">
            <v>38534</v>
          </cell>
        </row>
        <row r="1017">
          <cell r="A1017">
            <v>71743</v>
          </cell>
          <cell r="B1017">
            <v>446</v>
          </cell>
          <cell r="C1017" t="str">
            <v>C2152</v>
          </cell>
          <cell r="D1017" t="str">
            <v>AMARI</v>
          </cell>
          <cell r="E1017" t="str">
            <v>ABDELLAH</v>
          </cell>
          <cell r="F1017">
            <v>19540</v>
          </cell>
          <cell r="G1017" t="str">
            <v>1</v>
          </cell>
          <cell r="H1017" t="str">
            <v>KHOURIBGA</v>
          </cell>
          <cell r="I1017" t="str">
            <v>D</v>
          </cell>
          <cell r="J1017">
            <v>29272</v>
          </cell>
          <cell r="K1017">
            <v>31472</v>
          </cell>
          <cell r="L1017" t="str">
            <v>12</v>
          </cell>
          <cell r="M1017" t="str">
            <v>C</v>
          </cell>
          <cell r="N1017">
            <v>35855</v>
          </cell>
          <cell r="P1017">
            <v>24</v>
          </cell>
          <cell r="Q1017" t="str">
            <v>O</v>
          </cell>
          <cell r="R1017" t="str">
            <v>N</v>
          </cell>
          <cell r="S1017">
            <v>0</v>
          </cell>
          <cell r="T1017" t="str">
            <v>M</v>
          </cell>
          <cell r="U1017" t="str">
            <v>MAGHFOUR MINA BENT SALAH</v>
          </cell>
          <cell r="X1017">
            <v>2</v>
          </cell>
          <cell r="Y1017">
            <v>2</v>
          </cell>
          <cell r="AB1017" t="str">
            <v>X</v>
          </cell>
          <cell r="AC1017" t="str">
            <v>X</v>
          </cell>
          <cell r="AD1017" t="str">
            <v>X</v>
          </cell>
          <cell r="AH1017" t="str">
            <v>N</v>
          </cell>
          <cell r="AI1017" t="str">
            <v>N</v>
          </cell>
          <cell r="AK1017" t="str">
            <v>637 VILLAGE OCP BOUJNIBA</v>
          </cell>
          <cell r="AL1017" t="str">
            <v>ILLETTRE</v>
          </cell>
          <cell r="AP1017" t="str">
            <v>Q 120806</v>
          </cell>
          <cell r="AQ1017">
            <v>0</v>
          </cell>
          <cell r="AR1017" t="str">
            <v>B</v>
          </cell>
          <cell r="AS1017" t="str">
            <v>BMCE.KHGA</v>
          </cell>
          <cell r="AT1017" t="str">
            <v>40001200000602621</v>
          </cell>
          <cell r="AU1017" t="str">
            <v>/  /</v>
          </cell>
          <cell r="AW1017">
            <v>38899</v>
          </cell>
          <cell r="AY1017" t="str">
            <v>XX</v>
          </cell>
          <cell r="BA1017" t="str">
            <v>1</v>
          </cell>
          <cell r="BB1017">
            <v>1</v>
          </cell>
          <cell r="BD1017">
            <v>0</v>
          </cell>
          <cell r="BE1017" t="str">
            <v>M</v>
          </cell>
          <cell r="BF1017" t="str">
            <v>N</v>
          </cell>
          <cell r="BG1017">
            <v>51</v>
          </cell>
          <cell r="BH1017">
            <v>38899</v>
          </cell>
        </row>
        <row r="1018">
          <cell r="A1018">
            <v>71758</v>
          </cell>
          <cell r="B1018">
            <v>426</v>
          </cell>
          <cell r="C1018" t="str">
            <v>C4754</v>
          </cell>
          <cell r="D1018" t="str">
            <v>ENNAHI</v>
          </cell>
          <cell r="E1018" t="str">
            <v>KADDOUR</v>
          </cell>
          <cell r="F1018">
            <v>18079</v>
          </cell>
          <cell r="G1018" t="str">
            <v>2</v>
          </cell>
          <cell r="H1018" t="str">
            <v>BENI SMIR</v>
          </cell>
          <cell r="I1018" t="str">
            <v>D</v>
          </cell>
          <cell r="J1018">
            <v>29279</v>
          </cell>
          <cell r="K1018">
            <v>37377</v>
          </cell>
          <cell r="L1018" t="str">
            <v>22</v>
          </cell>
          <cell r="M1018" t="str">
            <v>B</v>
          </cell>
          <cell r="N1018">
            <v>37377</v>
          </cell>
          <cell r="P1018">
            <v>24</v>
          </cell>
          <cell r="Q1018" t="str">
            <v>O</v>
          </cell>
          <cell r="R1018" t="str">
            <v>N</v>
          </cell>
          <cell r="S1018">
            <v>0</v>
          </cell>
          <cell r="T1018" t="str">
            <v>M</v>
          </cell>
          <cell r="U1018" t="str">
            <v>LAHMAR MOULOUDIA BENT BOUAZZA</v>
          </cell>
          <cell r="X1018">
            <v>7</v>
          </cell>
          <cell r="Y1018">
            <v>1</v>
          </cell>
          <cell r="AB1018" t="str">
            <v>X</v>
          </cell>
          <cell r="AC1018" t="str">
            <v>X</v>
          </cell>
          <cell r="AD1018" t="str">
            <v>X</v>
          </cell>
          <cell r="AH1018" t="str">
            <v>N</v>
          </cell>
          <cell r="AI1018" t="str">
            <v>N</v>
          </cell>
          <cell r="AK1018" t="str">
            <v>126 RUE BENI HASAN OUED ZEM</v>
          </cell>
          <cell r="AL1018" t="str">
            <v>ILLETTRE</v>
          </cell>
          <cell r="AP1018" t="str">
            <v>Q 2566</v>
          </cell>
          <cell r="AQ1018">
            <v>0</v>
          </cell>
          <cell r="AR1018" t="str">
            <v>C</v>
          </cell>
          <cell r="AU1018" t="str">
            <v>/  /</v>
          </cell>
          <cell r="AW1018">
            <v>38169</v>
          </cell>
          <cell r="AY1018" t="str">
            <v>XX</v>
          </cell>
          <cell r="BA1018" t="str">
            <v>2</v>
          </cell>
          <cell r="BB1018">
            <v>1</v>
          </cell>
          <cell r="BD1018">
            <v>0</v>
          </cell>
          <cell r="BE1018" t="str">
            <v>M</v>
          </cell>
          <cell r="BF1018" t="str">
            <v>N</v>
          </cell>
          <cell r="BG1018">
            <v>0</v>
          </cell>
          <cell r="BH1018">
            <v>38169</v>
          </cell>
          <cell r="BI1018" t="str">
            <v>O</v>
          </cell>
        </row>
        <row r="1019">
          <cell r="A1019">
            <v>71760</v>
          </cell>
          <cell r="B1019">
            <v>468</v>
          </cell>
          <cell r="C1019" t="str">
            <v>C2000</v>
          </cell>
          <cell r="D1019" t="str">
            <v>DAKI</v>
          </cell>
          <cell r="E1019" t="str">
            <v>MAATI</v>
          </cell>
          <cell r="F1019">
            <v>20059</v>
          </cell>
          <cell r="G1019" t="str">
            <v>2</v>
          </cell>
          <cell r="H1019" t="str">
            <v>BENI SMIR</v>
          </cell>
          <cell r="I1019" t="str">
            <v>D</v>
          </cell>
          <cell r="J1019">
            <v>29280</v>
          </cell>
          <cell r="K1019">
            <v>31472</v>
          </cell>
          <cell r="L1019" t="str">
            <v>12</v>
          </cell>
          <cell r="M1019" t="str">
            <v>C</v>
          </cell>
          <cell r="N1019">
            <v>35855</v>
          </cell>
          <cell r="P1019">
            <v>24</v>
          </cell>
          <cell r="Q1019" t="str">
            <v>O</v>
          </cell>
          <cell r="R1019" t="str">
            <v>N</v>
          </cell>
          <cell r="S1019">
            <v>0</v>
          </cell>
          <cell r="T1019" t="str">
            <v>M</v>
          </cell>
          <cell r="U1019" t="str">
            <v>MESSOUDA BENT EL MAMOUNE</v>
          </cell>
          <cell r="X1019">
            <v>4</v>
          </cell>
          <cell r="Y1019">
            <v>4</v>
          </cell>
          <cell r="AB1019" t="str">
            <v>X</v>
          </cell>
          <cell r="AC1019" t="str">
            <v>X</v>
          </cell>
          <cell r="AD1019" t="str">
            <v>X</v>
          </cell>
          <cell r="AH1019" t="str">
            <v>N</v>
          </cell>
          <cell r="AI1019" t="str">
            <v>N</v>
          </cell>
          <cell r="AK1019" t="str">
            <v>28 RUE 17 ANCIEN MSALLA OUED ZEM</v>
          </cell>
          <cell r="AL1019" t="str">
            <v>ILLETTRE</v>
          </cell>
          <cell r="AP1019" t="str">
            <v>Q 92164</v>
          </cell>
          <cell r="AQ1019">
            <v>0</v>
          </cell>
          <cell r="AR1019" t="str">
            <v>C</v>
          </cell>
          <cell r="AU1019" t="str">
            <v>/  /</v>
          </cell>
          <cell r="AW1019">
            <v>38899</v>
          </cell>
          <cell r="AY1019" t="str">
            <v>XX</v>
          </cell>
          <cell r="BA1019" t="str">
            <v>1</v>
          </cell>
          <cell r="BB1019">
            <v>1</v>
          </cell>
          <cell r="BD1019">
            <v>0</v>
          </cell>
          <cell r="BE1019" t="str">
            <v>M</v>
          </cell>
          <cell r="BF1019" t="str">
            <v>N</v>
          </cell>
          <cell r="BG1019">
            <v>31</v>
          </cell>
          <cell r="BH1019">
            <v>38899</v>
          </cell>
          <cell r="BI1019" t="str">
            <v>O</v>
          </cell>
        </row>
        <row r="1020">
          <cell r="A1020">
            <v>71762</v>
          </cell>
          <cell r="B1020">
            <v>428</v>
          </cell>
          <cell r="C1020" t="str">
            <v>C3152</v>
          </cell>
          <cell r="D1020" t="str">
            <v>BOUKHATIR</v>
          </cell>
          <cell r="E1020" t="str">
            <v>AHMED</v>
          </cell>
          <cell r="F1020">
            <v>20021</v>
          </cell>
          <cell r="G1020" t="str">
            <v>6</v>
          </cell>
          <cell r="H1020" t="str">
            <v>M'FASSIS</v>
          </cell>
          <cell r="I1020" t="str">
            <v>D</v>
          </cell>
          <cell r="J1020">
            <v>29284</v>
          </cell>
          <cell r="K1020">
            <v>37377</v>
          </cell>
          <cell r="L1020" t="str">
            <v>21</v>
          </cell>
          <cell r="M1020" t="str">
            <v>A</v>
          </cell>
          <cell r="N1020">
            <v>37377</v>
          </cell>
          <cell r="P1020">
            <v>23</v>
          </cell>
          <cell r="Q1020" t="str">
            <v>O</v>
          </cell>
          <cell r="R1020" t="str">
            <v>N</v>
          </cell>
          <cell r="S1020">
            <v>0</v>
          </cell>
          <cell r="T1020" t="str">
            <v>M</v>
          </cell>
          <cell r="U1020" t="str">
            <v>MINA BENT M'HAMED</v>
          </cell>
          <cell r="X1020">
            <v>4</v>
          </cell>
          <cell r="Y1020">
            <v>3</v>
          </cell>
          <cell r="AB1020" t="str">
            <v>X</v>
          </cell>
          <cell r="AC1020" t="str">
            <v>X</v>
          </cell>
          <cell r="AD1020" t="str">
            <v>X</v>
          </cell>
          <cell r="AH1020" t="str">
            <v>N</v>
          </cell>
          <cell r="AI1020" t="str">
            <v>N</v>
          </cell>
          <cell r="AK1020" t="str">
            <v>DOUAR OULED AMAR M'FASSIS HATTANE</v>
          </cell>
          <cell r="AL1020" t="str">
            <v>ILLETTRE</v>
          </cell>
          <cell r="AP1020" t="str">
            <v>Q 80903</v>
          </cell>
          <cell r="AQ1020">
            <v>0</v>
          </cell>
          <cell r="AR1020" t="str">
            <v>B</v>
          </cell>
          <cell r="AS1020" t="str">
            <v>C.N.C.A KHGA</v>
          </cell>
          <cell r="AT1020" t="str">
            <v>0805555A601</v>
          </cell>
          <cell r="AU1020" t="str">
            <v>/  /</v>
          </cell>
          <cell r="AW1020">
            <v>38899</v>
          </cell>
          <cell r="AY1020" t="str">
            <v>XX</v>
          </cell>
          <cell r="BA1020" t="str">
            <v>1</v>
          </cell>
          <cell r="BB1020">
            <v>1</v>
          </cell>
          <cell r="BD1020">
            <v>0</v>
          </cell>
          <cell r="BE1020" t="str">
            <v>M</v>
          </cell>
          <cell r="BF1020" t="str">
            <v>N</v>
          </cell>
          <cell r="BG1020">
            <v>11</v>
          </cell>
          <cell r="BH1020">
            <v>38899</v>
          </cell>
          <cell r="BI1020" t="str">
            <v>O</v>
          </cell>
        </row>
        <row r="1021">
          <cell r="A1021">
            <v>71764</v>
          </cell>
          <cell r="B1021">
            <v>428</v>
          </cell>
          <cell r="C1021" t="str">
            <v>C2152</v>
          </cell>
          <cell r="D1021" t="str">
            <v>LAALOULI</v>
          </cell>
          <cell r="E1021" t="str">
            <v>MOHAMMED</v>
          </cell>
          <cell r="F1021">
            <v>19905</v>
          </cell>
          <cell r="G1021" t="str">
            <v>2</v>
          </cell>
          <cell r="H1021" t="str">
            <v>SMAALA</v>
          </cell>
          <cell r="I1021" t="str">
            <v>D</v>
          </cell>
          <cell r="J1021">
            <v>29285</v>
          </cell>
          <cell r="K1021">
            <v>31503</v>
          </cell>
          <cell r="L1021" t="str">
            <v>12</v>
          </cell>
          <cell r="M1021" t="str">
            <v>C</v>
          </cell>
          <cell r="N1021">
            <v>35886</v>
          </cell>
          <cell r="O1021">
            <v>0</v>
          </cell>
          <cell r="P1021">
            <v>23</v>
          </cell>
          <cell r="Q1021" t="str">
            <v>O</v>
          </cell>
          <cell r="R1021" t="str">
            <v>N</v>
          </cell>
          <cell r="S1021">
            <v>0</v>
          </cell>
          <cell r="T1021" t="str">
            <v>M</v>
          </cell>
          <cell r="U1021" t="str">
            <v>FATNA BENT EL MAATI</v>
          </cell>
          <cell r="X1021">
            <v>5</v>
          </cell>
          <cell r="Y1021">
            <v>3</v>
          </cell>
          <cell r="AB1021" t="str">
            <v>X</v>
          </cell>
          <cell r="AC1021" t="str">
            <v>X</v>
          </cell>
          <cell r="AD1021" t="str">
            <v>X</v>
          </cell>
          <cell r="AH1021" t="str">
            <v>N</v>
          </cell>
          <cell r="AI1021" t="str">
            <v>N</v>
          </cell>
          <cell r="AK1021" t="str">
            <v>19 RUE 15 DERB HAJ M'BAREK - OUED ZEM</v>
          </cell>
          <cell r="AL1021" t="str">
            <v>ILLETTRE</v>
          </cell>
          <cell r="AP1021" t="str">
            <v>Q 90932</v>
          </cell>
          <cell r="AQ1021">
            <v>0</v>
          </cell>
          <cell r="AR1021" t="str">
            <v>B</v>
          </cell>
          <cell r="AS1021" t="str">
            <v>BMCE - OUED ZEM</v>
          </cell>
          <cell r="AT1021" t="str">
            <v>4110001200000694374</v>
          </cell>
          <cell r="AU1021" t="str">
            <v>/  /</v>
          </cell>
          <cell r="AW1021">
            <v>38899</v>
          </cell>
          <cell r="AY1021" t="str">
            <v>XX</v>
          </cell>
          <cell r="BA1021" t="str">
            <v>1</v>
          </cell>
          <cell r="BB1021">
            <v>1</v>
          </cell>
          <cell r="BD1021">
            <v>0</v>
          </cell>
          <cell r="BE1021" t="str">
            <v>M</v>
          </cell>
          <cell r="BF1021" t="str">
            <v>N</v>
          </cell>
          <cell r="BG1021">
            <v>30</v>
          </cell>
          <cell r="BH1021">
            <v>38899</v>
          </cell>
          <cell r="BI1021" t="str">
            <v>O</v>
          </cell>
        </row>
        <row r="1022">
          <cell r="A1022">
            <v>71769</v>
          </cell>
          <cell r="B1022">
            <v>426</v>
          </cell>
          <cell r="C1022" t="str">
            <v>C3152</v>
          </cell>
          <cell r="D1022" t="str">
            <v>SLIMI</v>
          </cell>
          <cell r="E1022" t="str">
            <v>MOHAMED</v>
          </cell>
          <cell r="F1022">
            <v>20255</v>
          </cell>
          <cell r="G1022" t="str">
            <v>2</v>
          </cell>
          <cell r="H1022" t="str">
            <v>SMAALA</v>
          </cell>
          <cell r="I1022" t="str">
            <v>D</v>
          </cell>
          <cell r="J1022">
            <v>29288</v>
          </cell>
          <cell r="K1022">
            <v>37012</v>
          </cell>
          <cell r="L1022" t="str">
            <v>21</v>
          </cell>
          <cell r="M1022" t="str">
            <v>A</v>
          </cell>
          <cell r="N1022">
            <v>37012</v>
          </cell>
          <cell r="P1022">
            <v>23</v>
          </cell>
          <cell r="Q1022" t="str">
            <v>O</v>
          </cell>
          <cell r="R1022" t="str">
            <v>N</v>
          </cell>
          <cell r="S1022">
            <v>0</v>
          </cell>
          <cell r="T1022" t="str">
            <v>M</v>
          </cell>
          <cell r="U1022" t="str">
            <v>LAIMOUNI RAHMA BENT ABDELKADER</v>
          </cell>
          <cell r="X1022">
            <v>6</v>
          </cell>
          <cell r="Y1022">
            <v>6</v>
          </cell>
          <cell r="AB1022" t="str">
            <v>X</v>
          </cell>
          <cell r="AC1022" t="str">
            <v>X</v>
          </cell>
          <cell r="AD1022" t="str">
            <v>X</v>
          </cell>
          <cell r="AH1022" t="str">
            <v>N</v>
          </cell>
          <cell r="AI1022" t="str">
            <v>N</v>
          </cell>
          <cell r="AK1022" t="str">
            <v>7 RUE 20 ANCIEN MSALLA OUED ZEM</v>
          </cell>
          <cell r="AL1022" t="str">
            <v>ILLETTRE</v>
          </cell>
          <cell r="AP1022" t="str">
            <v>Q 90715</v>
          </cell>
          <cell r="AQ1022">
            <v>0</v>
          </cell>
          <cell r="AR1022" t="str">
            <v>B</v>
          </cell>
          <cell r="AS1022" t="str">
            <v>POPULAIRE.O-ZEM</v>
          </cell>
          <cell r="AT1022" t="str">
            <v>1211113626313000100</v>
          </cell>
          <cell r="AU1022" t="str">
            <v>/  /</v>
          </cell>
          <cell r="AW1022">
            <v>38899</v>
          </cell>
          <cell r="AY1022" t="str">
            <v>XX</v>
          </cell>
          <cell r="BA1022" t="str">
            <v>1</v>
          </cell>
          <cell r="BB1022">
            <v>1</v>
          </cell>
          <cell r="BD1022">
            <v>0</v>
          </cell>
          <cell r="BE1022" t="str">
            <v>M</v>
          </cell>
          <cell r="BF1022" t="str">
            <v>N</v>
          </cell>
          <cell r="BG1022">
            <v>30</v>
          </cell>
          <cell r="BH1022">
            <v>38899</v>
          </cell>
          <cell r="BI1022" t="str">
            <v>O</v>
          </cell>
        </row>
        <row r="1023">
          <cell r="A1023">
            <v>71770</v>
          </cell>
          <cell r="B1023">
            <v>416</v>
          </cell>
          <cell r="C1023" t="str">
            <v>C2000</v>
          </cell>
          <cell r="D1023" t="str">
            <v>ORAICH</v>
          </cell>
          <cell r="E1023" t="str">
            <v>KHATIR</v>
          </cell>
          <cell r="F1023">
            <v>19175</v>
          </cell>
          <cell r="H1023" t="str">
            <v>LOULED - SETTAT</v>
          </cell>
          <cell r="I1023" t="str">
            <v>D</v>
          </cell>
          <cell r="J1023">
            <v>29286</v>
          </cell>
          <cell r="K1023">
            <v>31503</v>
          </cell>
          <cell r="L1023" t="str">
            <v>12</v>
          </cell>
          <cell r="M1023" t="str">
            <v>C</v>
          </cell>
          <cell r="N1023">
            <v>34516</v>
          </cell>
          <cell r="P1023">
            <v>23</v>
          </cell>
          <cell r="Q1023" t="str">
            <v>O</v>
          </cell>
          <cell r="R1023" t="str">
            <v>N</v>
          </cell>
          <cell r="S1023">
            <v>0</v>
          </cell>
          <cell r="T1023" t="str">
            <v>M</v>
          </cell>
          <cell r="U1023" t="str">
            <v>OUAHIDI MALIKA BENT ZAITOUNI</v>
          </cell>
          <cell r="X1023">
            <v>12</v>
          </cell>
          <cell r="Y1023">
            <v>5</v>
          </cell>
          <cell r="AB1023" t="str">
            <v>X</v>
          </cell>
          <cell r="AC1023" t="str">
            <v>X</v>
          </cell>
          <cell r="AD1023" t="str">
            <v>X</v>
          </cell>
          <cell r="AH1023" t="str">
            <v>N</v>
          </cell>
          <cell r="AI1023" t="str">
            <v>N</v>
          </cell>
          <cell r="AK1023" t="str">
            <v>980 VILLAGE OCP BOULANOUAR</v>
          </cell>
          <cell r="AL1023" t="str">
            <v>ILLETTRE</v>
          </cell>
          <cell r="AP1023" t="str">
            <v>W 83651</v>
          </cell>
          <cell r="AQ1023">
            <v>0</v>
          </cell>
          <cell r="AR1023" t="str">
            <v>C</v>
          </cell>
          <cell r="AU1023" t="str">
            <v>/  /</v>
          </cell>
          <cell r="AW1023">
            <v>38899</v>
          </cell>
          <cell r="AY1023" t="str">
            <v>XX</v>
          </cell>
          <cell r="AZ1023" t="str">
            <v>R</v>
          </cell>
          <cell r="BA1023" t="str">
            <v>2TD</v>
          </cell>
          <cell r="BB1023">
            <v>1</v>
          </cell>
          <cell r="BD1023">
            <v>0</v>
          </cell>
          <cell r="BE1023" t="str">
            <v>M</v>
          </cell>
          <cell r="BF1023" t="str">
            <v>N</v>
          </cell>
          <cell r="BG1023">
            <v>41</v>
          </cell>
          <cell r="BH1023">
            <v>38899</v>
          </cell>
        </row>
        <row r="1024">
          <cell r="A1024">
            <v>71777</v>
          </cell>
          <cell r="B1024">
            <v>468</v>
          </cell>
          <cell r="C1024" t="str">
            <v>C3152</v>
          </cell>
          <cell r="D1024" t="str">
            <v>NECHCHADI</v>
          </cell>
          <cell r="E1024" t="str">
            <v>BOUAZZA</v>
          </cell>
          <cell r="F1024">
            <v>20270</v>
          </cell>
          <cell r="G1024" t="str">
            <v>1</v>
          </cell>
          <cell r="H1024" t="str">
            <v>OULED BHAR KBAR KHOURIBGA</v>
          </cell>
          <cell r="I1024" t="str">
            <v>D</v>
          </cell>
          <cell r="J1024">
            <v>29290</v>
          </cell>
          <cell r="K1024">
            <v>37377</v>
          </cell>
          <cell r="L1024" t="str">
            <v>21</v>
          </cell>
          <cell r="M1024" t="str">
            <v>A</v>
          </cell>
          <cell r="N1024">
            <v>37377</v>
          </cell>
          <cell r="P1024">
            <v>23</v>
          </cell>
          <cell r="Q1024" t="str">
            <v>O</v>
          </cell>
          <cell r="R1024" t="str">
            <v>N</v>
          </cell>
          <cell r="S1024">
            <v>0</v>
          </cell>
          <cell r="T1024" t="str">
            <v>M</v>
          </cell>
          <cell r="U1024" t="str">
            <v>KHADIJA BENT HAMADI</v>
          </cell>
          <cell r="X1024">
            <v>5</v>
          </cell>
          <cell r="Y1024">
            <v>3</v>
          </cell>
          <cell r="AB1024" t="str">
            <v>N</v>
          </cell>
          <cell r="AC1024" t="str">
            <v>X</v>
          </cell>
          <cell r="AD1024" t="str">
            <v>X</v>
          </cell>
          <cell r="AH1024" t="str">
            <v>N</v>
          </cell>
          <cell r="AI1024" t="str">
            <v>N</v>
          </cell>
          <cell r="AK1024" t="str">
            <v>503 NOUVEAU TACHERON O.C.P - BOUJNIBA</v>
          </cell>
          <cell r="AL1024" t="str">
            <v>ILLETTRE</v>
          </cell>
          <cell r="AP1024" t="str">
            <v>Q 80897</v>
          </cell>
          <cell r="AQ1024">
            <v>0</v>
          </cell>
          <cell r="AR1024" t="str">
            <v>B</v>
          </cell>
          <cell r="AS1024" t="str">
            <v>POPULAIRE.KHGA</v>
          </cell>
          <cell r="AT1024" t="str">
            <v>211115648683000511</v>
          </cell>
          <cell r="AU1024" t="str">
            <v>/  /</v>
          </cell>
          <cell r="AW1024">
            <v>38899</v>
          </cell>
          <cell r="AY1024" t="str">
            <v>XX</v>
          </cell>
          <cell r="BA1024" t="str">
            <v>1</v>
          </cell>
          <cell r="BB1024">
            <v>1</v>
          </cell>
          <cell r="BD1024">
            <v>0</v>
          </cell>
          <cell r="BE1024" t="str">
            <v>M</v>
          </cell>
          <cell r="BF1024" t="str">
            <v>N</v>
          </cell>
          <cell r="BG1024">
            <v>51</v>
          </cell>
          <cell r="BH1024">
            <v>38899</v>
          </cell>
        </row>
        <row r="1025">
          <cell r="A1025">
            <v>71782</v>
          </cell>
          <cell r="B1025">
            <v>428</v>
          </cell>
          <cell r="C1025" t="str">
            <v>C3152</v>
          </cell>
          <cell r="D1025" t="str">
            <v>EL FIYAD</v>
          </cell>
          <cell r="E1025" t="str">
            <v>MOHAMED</v>
          </cell>
          <cell r="F1025">
            <v>19175</v>
          </cell>
          <cell r="G1025" t="str">
            <v>6</v>
          </cell>
          <cell r="H1025" t="str">
            <v>OULED AZZOUZ</v>
          </cell>
          <cell r="I1025" t="str">
            <v>D</v>
          </cell>
          <cell r="J1025">
            <v>29291</v>
          </cell>
          <cell r="K1025">
            <v>37377</v>
          </cell>
          <cell r="L1025" t="str">
            <v>21</v>
          </cell>
          <cell r="M1025" t="str">
            <v>A</v>
          </cell>
          <cell r="N1025">
            <v>37377</v>
          </cell>
          <cell r="P1025">
            <v>23</v>
          </cell>
          <cell r="Q1025" t="str">
            <v>O</v>
          </cell>
          <cell r="R1025" t="str">
            <v>N</v>
          </cell>
          <cell r="S1025">
            <v>0</v>
          </cell>
          <cell r="T1025" t="str">
            <v>M</v>
          </cell>
          <cell r="U1025" t="str">
            <v>FATNA BENT EL MAATI</v>
          </cell>
          <cell r="X1025">
            <v>6</v>
          </cell>
          <cell r="Y1025">
            <v>1</v>
          </cell>
          <cell r="AB1025" t="str">
            <v>X</v>
          </cell>
          <cell r="AC1025" t="str">
            <v>X</v>
          </cell>
          <cell r="AD1025" t="str">
            <v>X</v>
          </cell>
          <cell r="AH1025" t="str">
            <v>N</v>
          </cell>
          <cell r="AI1025" t="str">
            <v>N</v>
          </cell>
          <cell r="AK1025" t="str">
            <v>124 DERB 7 DERB OULED AZZOUZ HATTANE</v>
          </cell>
          <cell r="AL1025" t="str">
            <v>ILLETTRE</v>
          </cell>
          <cell r="AP1025" t="str">
            <v>Q 37323</v>
          </cell>
          <cell r="AQ1025">
            <v>0</v>
          </cell>
          <cell r="AR1025" t="str">
            <v>C</v>
          </cell>
          <cell r="AU1025" t="str">
            <v>/  /</v>
          </cell>
          <cell r="AW1025">
            <v>38899</v>
          </cell>
          <cell r="AY1025" t="str">
            <v>XX</v>
          </cell>
          <cell r="AZ1025" t="str">
            <v>R</v>
          </cell>
          <cell r="BA1025" t="str">
            <v>1</v>
          </cell>
          <cell r="BB1025">
            <v>1</v>
          </cell>
          <cell r="BD1025">
            <v>0</v>
          </cell>
          <cell r="BE1025" t="str">
            <v>M</v>
          </cell>
          <cell r="BF1025" t="str">
            <v>N</v>
          </cell>
          <cell r="BG1025">
            <v>11</v>
          </cell>
          <cell r="BH1025">
            <v>38899</v>
          </cell>
          <cell r="BI1025" t="str">
            <v>O</v>
          </cell>
        </row>
        <row r="1026">
          <cell r="A1026">
            <v>71785</v>
          </cell>
          <cell r="B1026">
            <v>418</v>
          </cell>
          <cell r="C1026" t="str">
            <v>C2000</v>
          </cell>
          <cell r="D1026" t="str">
            <v>EL ANBAOUI</v>
          </cell>
          <cell r="E1026" t="str">
            <v>MOHAMED</v>
          </cell>
          <cell r="F1026">
            <v>18809</v>
          </cell>
          <cell r="H1026" t="str">
            <v>LOULED - SETTAT</v>
          </cell>
          <cell r="I1026" t="str">
            <v>D</v>
          </cell>
          <cell r="J1026">
            <v>29293</v>
          </cell>
          <cell r="K1026">
            <v>31503</v>
          </cell>
          <cell r="L1026" t="str">
            <v>12</v>
          </cell>
          <cell r="M1026" t="str">
            <v>C</v>
          </cell>
          <cell r="N1026">
            <v>35886</v>
          </cell>
          <cell r="P1026">
            <v>23</v>
          </cell>
          <cell r="Q1026" t="str">
            <v>O</v>
          </cell>
          <cell r="R1026" t="str">
            <v>N</v>
          </cell>
          <cell r="S1026">
            <v>0</v>
          </cell>
          <cell r="T1026" t="str">
            <v>D</v>
          </cell>
          <cell r="X1026">
            <v>0</v>
          </cell>
          <cell r="Y1026">
            <v>1</v>
          </cell>
          <cell r="AB1026" t="str">
            <v>X</v>
          </cell>
          <cell r="AC1026" t="str">
            <v>X</v>
          </cell>
          <cell r="AD1026" t="str">
            <v>X</v>
          </cell>
          <cell r="AH1026" t="str">
            <v>N</v>
          </cell>
          <cell r="AI1026" t="str">
            <v>N</v>
          </cell>
          <cell r="AK1026" t="str">
            <v>93 NELLE CONSTRUCTION DE SECHAGE KHGA</v>
          </cell>
          <cell r="AL1026" t="str">
            <v>ILLETTRE</v>
          </cell>
          <cell r="AP1026" t="str">
            <v>Q 115788</v>
          </cell>
          <cell r="AQ1026">
            <v>0</v>
          </cell>
          <cell r="AR1026" t="str">
            <v>B</v>
          </cell>
          <cell r="AS1026" t="str">
            <v>POPULAIRE.KHGA</v>
          </cell>
          <cell r="AT1026" t="str">
            <v>211113631412000164</v>
          </cell>
          <cell r="AU1026" t="str">
            <v>/  /</v>
          </cell>
          <cell r="AW1026">
            <v>38899</v>
          </cell>
          <cell r="AY1026" t="str">
            <v>XX</v>
          </cell>
          <cell r="AZ1026" t="str">
            <v>R</v>
          </cell>
          <cell r="BA1026" t="str">
            <v>1</v>
          </cell>
          <cell r="BB1026">
            <v>1</v>
          </cell>
          <cell r="BD1026">
            <v>0</v>
          </cell>
          <cell r="BE1026" t="str">
            <v>M</v>
          </cell>
          <cell r="BF1026" t="str">
            <v>N</v>
          </cell>
          <cell r="BG1026">
            <v>1</v>
          </cell>
          <cell r="BH1026">
            <v>38899</v>
          </cell>
        </row>
        <row r="1027">
          <cell r="A1027">
            <v>71793</v>
          </cell>
          <cell r="B1027">
            <v>426</v>
          </cell>
          <cell r="C1027" t="str">
            <v>C3050</v>
          </cell>
          <cell r="D1027" t="str">
            <v>ENNACIRI</v>
          </cell>
          <cell r="E1027" t="str">
            <v>MOHAMED</v>
          </cell>
          <cell r="F1027">
            <v>19540</v>
          </cell>
          <cell r="G1027" t="str">
            <v>2</v>
          </cell>
          <cell r="H1027" t="str">
            <v>BENI KHIRANE</v>
          </cell>
          <cell r="I1027" t="str">
            <v>D</v>
          </cell>
          <cell r="J1027">
            <v>29297</v>
          </cell>
          <cell r="K1027">
            <v>37012</v>
          </cell>
          <cell r="L1027" t="str">
            <v>21</v>
          </cell>
          <cell r="M1027" t="str">
            <v>B</v>
          </cell>
          <cell r="N1027">
            <v>37012</v>
          </cell>
          <cell r="O1027">
            <v>0</v>
          </cell>
          <cell r="P1027">
            <v>23</v>
          </cell>
          <cell r="Q1027" t="str">
            <v>O</v>
          </cell>
          <cell r="R1027" t="str">
            <v>N</v>
          </cell>
          <cell r="S1027">
            <v>0</v>
          </cell>
          <cell r="T1027" t="str">
            <v>M</v>
          </cell>
          <cell r="U1027" t="str">
            <v>FATNA BENT MOHAMED</v>
          </cell>
          <cell r="X1027">
            <v>5</v>
          </cell>
          <cell r="Y1027">
            <v>3</v>
          </cell>
          <cell r="AB1027" t="str">
            <v>X</v>
          </cell>
          <cell r="AC1027" t="str">
            <v>X</v>
          </cell>
          <cell r="AD1027" t="str">
            <v>X</v>
          </cell>
          <cell r="AH1027" t="str">
            <v>N</v>
          </cell>
          <cell r="AI1027" t="str">
            <v>N</v>
          </cell>
          <cell r="AK1027" t="str">
            <v>1362 SBATA VILLAGE OCP HATTANE</v>
          </cell>
          <cell r="AL1027" t="str">
            <v>ILLETTRE</v>
          </cell>
          <cell r="AP1027" t="str">
            <v>Q 35074</v>
          </cell>
          <cell r="AQ1027">
            <v>0</v>
          </cell>
          <cell r="AR1027" t="str">
            <v>B</v>
          </cell>
          <cell r="AS1027" t="str">
            <v>POPULAIRE.KHGA</v>
          </cell>
          <cell r="AT1027" t="str">
            <v>2111136305730008</v>
          </cell>
          <cell r="AU1027" t="str">
            <v>/  /</v>
          </cell>
          <cell r="AW1027">
            <v>38899</v>
          </cell>
          <cell r="AY1027" t="str">
            <v>XX</v>
          </cell>
          <cell r="BA1027" t="str">
            <v>6</v>
          </cell>
          <cell r="BB1027">
            <v>1</v>
          </cell>
          <cell r="BD1027">
            <v>0</v>
          </cell>
          <cell r="BE1027" t="str">
            <v>M</v>
          </cell>
          <cell r="BF1027" t="str">
            <v>N</v>
          </cell>
          <cell r="BG1027">
            <v>11</v>
          </cell>
          <cell r="BH1027">
            <v>38899</v>
          </cell>
        </row>
        <row r="1028">
          <cell r="A1028">
            <v>71795</v>
          </cell>
          <cell r="B1028">
            <v>428</v>
          </cell>
          <cell r="C1028" t="str">
            <v>C3050</v>
          </cell>
          <cell r="D1028" t="str">
            <v>BOUTARBOUCH</v>
          </cell>
          <cell r="E1028" t="str">
            <v>LARBI</v>
          </cell>
          <cell r="F1028">
            <v>19175</v>
          </cell>
          <cell r="G1028" t="str">
            <v>5</v>
          </cell>
          <cell r="H1028" t="str">
            <v>OULED YOUSSEF - BOUJAD</v>
          </cell>
          <cell r="I1028" t="str">
            <v>D</v>
          </cell>
          <cell r="J1028">
            <v>29293</v>
          </cell>
          <cell r="K1028">
            <v>36526</v>
          </cell>
          <cell r="L1028" t="str">
            <v>21</v>
          </cell>
          <cell r="M1028" t="str">
            <v>A</v>
          </cell>
          <cell r="N1028">
            <v>36526</v>
          </cell>
          <cell r="P1028">
            <v>23</v>
          </cell>
          <cell r="Q1028" t="str">
            <v>O</v>
          </cell>
          <cell r="R1028" t="str">
            <v>N</v>
          </cell>
          <cell r="S1028">
            <v>0</v>
          </cell>
          <cell r="T1028" t="str">
            <v>M</v>
          </cell>
          <cell r="U1028" t="str">
            <v>RABHA BENT HADJ AHMED</v>
          </cell>
          <cell r="X1028">
            <v>2</v>
          </cell>
          <cell r="Y1028">
            <v>2</v>
          </cell>
          <cell r="AB1028" t="str">
            <v>X</v>
          </cell>
          <cell r="AC1028" t="str">
            <v>X</v>
          </cell>
          <cell r="AD1028" t="str">
            <v>X</v>
          </cell>
          <cell r="AH1028" t="str">
            <v>N</v>
          </cell>
          <cell r="AI1028" t="str">
            <v>N</v>
          </cell>
          <cell r="AK1028" t="str">
            <v>59 RUE 17 ANCIEN MSALLA - OUED ZEM</v>
          </cell>
          <cell r="AL1028" t="str">
            <v>ILLETTRE</v>
          </cell>
          <cell r="AP1028" t="str">
            <v>Q 46750</v>
          </cell>
          <cell r="AQ1028">
            <v>0</v>
          </cell>
          <cell r="AR1028" t="str">
            <v>C</v>
          </cell>
          <cell r="AU1028" t="str">
            <v>/  /</v>
          </cell>
          <cell r="AW1028">
            <v>38899</v>
          </cell>
          <cell r="AY1028" t="str">
            <v>XX</v>
          </cell>
          <cell r="BA1028" t="str">
            <v>2</v>
          </cell>
          <cell r="BB1028">
            <v>1</v>
          </cell>
          <cell r="BD1028">
            <v>0</v>
          </cell>
          <cell r="BE1028" t="str">
            <v>M</v>
          </cell>
          <cell r="BF1028" t="str">
            <v>N</v>
          </cell>
          <cell r="BG1028">
            <v>30</v>
          </cell>
          <cell r="BH1028">
            <v>38899</v>
          </cell>
          <cell r="BI1028" t="str">
            <v>O</v>
          </cell>
        </row>
        <row r="1029">
          <cell r="A1029">
            <v>71799</v>
          </cell>
          <cell r="B1029">
            <v>446</v>
          </cell>
          <cell r="C1029" t="str">
            <v>C2754</v>
          </cell>
          <cell r="D1029" t="str">
            <v>EL OUAHIDI</v>
          </cell>
          <cell r="E1029" t="str">
            <v>AHMED</v>
          </cell>
          <cell r="F1029">
            <v>18809</v>
          </cell>
          <cell r="H1029" t="str">
            <v>OULED M'RAH</v>
          </cell>
          <cell r="I1029" t="str">
            <v>D</v>
          </cell>
          <cell r="J1029">
            <v>29298</v>
          </cell>
          <cell r="K1029">
            <v>31503</v>
          </cell>
          <cell r="L1029" t="str">
            <v>12</v>
          </cell>
          <cell r="M1029" t="str">
            <v>C</v>
          </cell>
          <cell r="N1029">
            <v>35886</v>
          </cell>
          <cell r="P1029">
            <v>23</v>
          </cell>
          <cell r="Q1029" t="str">
            <v>N</v>
          </cell>
          <cell r="R1029" t="str">
            <v>N</v>
          </cell>
          <cell r="S1029">
            <v>0</v>
          </cell>
          <cell r="T1029" t="str">
            <v>M</v>
          </cell>
          <cell r="U1029" t="str">
            <v>FATNA BENT MOHAMED BEN HAJ ALI</v>
          </cell>
          <cell r="X1029">
            <v>7</v>
          </cell>
          <cell r="Y1029">
            <v>0</v>
          </cell>
          <cell r="AB1029" t="str">
            <v>X</v>
          </cell>
          <cell r="AC1029" t="str">
            <v>X</v>
          </cell>
          <cell r="AD1029" t="str">
            <v>X</v>
          </cell>
          <cell r="AH1029" t="str">
            <v>N</v>
          </cell>
          <cell r="AI1029" t="str">
            <v>N</v>
          </cell>
          <cell r="AK1029" t="str">
            <v>191 HAY ESSALAM EL MASSIRA - KHOURIBGA</v>
          </cell>
          <cell r="AL1029" t="str">
            <v>ILLETTRE</v>
          </cell>
          <cell r="AP1029" t="str">
            <v>Q 36155</v>
          </cell>
          <cell r="AQ1029">
            <v>0</v>
          </cell>
          <cell r="AR1029" t="str">
            <v>C</v>
          </cell>
          <cell r="AU1029" t="str">
            <v>/  /</v>
          </cell>
          <cell r="AW1029">
            <v>38899</v>
          </cell>
          <cell r="AY1029" t="str">
            <v>XX</v>
          </cell>
          <cell r="BA1029" t="str">
            <v>2</v>
          </cell>
          <cell r="BB1029">
            <v>1</v>
          </cell>
          <cell r="BD1029">
            <v>0</v>
          </cell>
          <cell r="BE1029" t="str">
            <v>M</v>
          </cell>
          <cell r="BF1029" t="str">
            <v>N</v>
          </cell>
          <cell r="BG1029">
            <v>0</v>
          </cell>
          <cell r="BH1029">
            <v>38899</v>
          </cell>
        </row>
        <row r="1030">
          <cell r="A1030">
            <v>71802</v>
          </cell>
          <cell r="B1030">
            <v>461</v>
          </cell>
          <cell r="C1030" t="str">
            <v>X3150</v>
          </cell>
          <cell r="D1030" t="str">
            <v>LAMNAOUR</v>
          </cell>
          <cell r="E1030" t="str">
            <v>LARBI</v>
          </cell>
          <cell r="F1030">
            <v>19175</v>
          </cell>
          <cell r="G1030" t="str">
            <v>5</v>
          </cell>
          <cell r="H1030" t="str">
            <v>OULED YOUSSEF - BOUJAD</v>
          </cell>
          <cell r="I1030" t="str">
            <v>D</v>
          </cell>
          <cell r="J1030">
            <v>29290</v>
          </cell>
          <cell r="K1030">
            <v>37073</v>
          </cell>
          <cell r="L1030" t="str">
            <v>41</v>
          </cell>
          <cell r="M1030" t="str">
            <v>A</v>
          </cell>
          <cell r="N1030">
            <v>37073</v>
          </cell>
          <cell r="O1030">
            <v>0</v>
          </cell>
          <cell r="P1030">
            <v>23</v>
          </cell>
          <cell r="Q1030" t="str">
            <v>O</v>
          </cell>
          <cell r="R1030" t="str">
            <v>N</v>
          </cell>
          <cell r="S1030">
            <v>0</v>
          </cell>
          <cell r="T1030" t="str">
            <v>M</v>
          </cell>
          <cell r="U1030" t="str">
            <v>HASNAOUI NAIMA BENT MOHAMED</v>
          </cell>
          <cell r="X1030">
            <v>5</v>
          </cell>
          <cell r="Y1030">
            <v>3</v>
          </cell>
          <cell r="AB1030" t="str">
            <v>X</v>
          </cell>
          <cell r="AC1030" t="str">
            <v>X</v>
          </cell>
          <cell r="AD1030" t="str">
            <v>X</v>
          </cell>
          <cell r="AH1030" t="str">
            <v>N</v>
          </cell>
          <cell r="AI1030" t="str">
            <v>N</v>
          </cell>
          <cell r="AK1030" t="str">
            <v>17 RUE 20 ANCIENNE MESALA KOREA OUED ZEM</v>
          </cell>
          <cell r="AL1030" t="str">
            <v>7AS .S.EXP</v>
          </cell>
          <cell r="AM1030" t="str">
            <v>ELECTROMECANIQUE(ECOLE TOUISSIT)</v>
          </cell>
          <cell r="AP1030" t="str">
            <v>Q 48095</v>
          </cell>
          <cell r="AQ1030">
            <v>0</v>
          </cell>
          <cell r="AR1030" t="str">
            <v>B</v>
          </cell>
          <cell r="AS1030" t="str">
            <v>BMCE.OUED ZEM</v>
          </cell>
          <cell r="AT1030" t="str">
            <v>41101200000077260</v>
          </cell>
          <cell r="AU1030" t="str">
            <v>/  /</v>
          </cell>
          <cell r="AW1030">
            <v>38899</v>
          </cell>
          <cell r="AY1030" t="str">
            <v>XX</v>
          </cell>
          <cell r="AZ1030" t="str">
            <v>M</v>
          </cell>
          <cell r="BA1030" t="str">
            <v>1</v>
          </cell>
          <cell r="BB1030">
            <v>1</v>
          </cell>
          <cell r="BD1030">
            <v>0</v>
          </cell>
          <cell r="BE1030" t="str">
            <v>M</v>
          </cell>
          <cell r="BF1030" t="str">
            <v>N</v>
          </cell>
          <cell r="BG1030">
            <v>31</v>
          </cell>
          <cell r="BH1030">
            <v>39264</v>
          </cell>
        </row>
        <row r="1031">
          <cell r="A1031">
            <v>71805</v>
          </cell>
          <cell r="B1031">
            <v>418</v>
          </cell>
          <cell r="C1031" t="str">
            <v>C3050</v>
          </cell>
          <cell r="D1031" t="str">
            <v>EL KTATI</v>
          </cell>
          <cell r="E1031" t="str">
            <v>EL ARBI</v>
          </cell>
          <cell r="F1031">
            <v>19973</v>
          </cell>
          <cell r="G1031" t="str">
            <v>1</v>
          </cell>
          <cell r="H1031" t="str">
            <v>OULED BHAR KBAR KHOURIBGA</v>
          </cell>
          <cell r="I1031" t="str">
            <v>D</v>
          </cell>
          <cell r="J1031">
            <v>29297</v>
          </cell>
          <cell r="K1031">
            <v>37012</v>
          </cell>
          <cell r="L1031" t="str">
            <v>21</v>
          </cell>
          <cell r="M1031" t="str">
            <v>A</v>
          </cell>
          <cell r="N1031">
            <v>37012</v>
          </cell>
          <cell r="P1031">
            <v>23</v>
          </cell>
          <cell r="Q1031" t="str">
            <v>O</v>
          </cell>
          <cell r="R1031" t="str">
            <v>O</v>
          </cell>
          <cell r="S1031">
            <v>0</v>
          </cell>
          <cell r="T1031" t="str">
            <v>M</v>
          </cell>
          <cell r="U1031" t="str">
            <v>JEMAA BENT MOHAMED</v>
          </cell>
          <cell r="X1031">
            <v>6</v>
          </cell>
          <cell r="Y1031">
            <v>3</v>
          </cell>
          <cell r="AB1031" t="str">
            <v>X</v>
          </cell>
          <cell r="AC1031" t="str">
            <v>X</v>
          </cell>
          <cell r="AD1031" t="str">
            <v>X</v>
          </cell>
          <cell r="AH1031" t="str">
            <v>N</v>
          </cell>
          <cell r="AI1031" t="str">
            <v>N</v>
          </cell>
          <cell r="AK1031" t="str">
            <v>658 VILLAGE O.C.P - BOULANOUAR</v>
          </cell>
          <cell r="AL1031" t="str">
            <v>CM2</v>
          </cell>
          <cell r="AP1031" t="str">
            <v>Q 67288</v>
          </cell>
          <cell r="AQ1031">
            <v>0</v>
          </cell>
          <cell r="AR1031" t="str">
            <v>B</v>
          </cell>
          <cell r="AS1031" t="str">
            <v>BMCE - KHGA</v>
          </cell>
          <cell r="AT1031" t="str">
            <v>40001200001289866</v>
          </cell>
          <cell r="AU1031" t="str">
            <v>/  /</v>
          </cell>
          <cell r="AW1031">
            <v>38899</v>
          </cell>
          <cell r="AY1031" t="str">
            <v>XX</v>
          </cell>
          <cell r="BA1031" t="str">
            <v>2</v>
          </cell>
          <cell r="BB1031">
            <v>1</v>
          </cell>
          <cell r="BD1031">
            <v>0</v>
          </cell>
          <cell r="BE1031" t="str">
            <v>M</v>
          </cell>
          <cell r="BF1031" t="str">
            <v>N</v>
          </cell>
          <cell r="BG1031">
            <v>40</v>
          </cell>
          <cell r="BH1031">
            <v>38899</v>
          </cell>
        </row>
        <row r="1032">
          <cell r="A1032">
            <v>71806</v>
          </cell>
          <cell r="B1032">
            <v>418</v>
          </cell>
          <cell r="C1032" t="str">
            <v>C3050</v>
          </cell>
          <cell r="D1032" t="str">
            <v>BOUMZYL</v>
          </cell>
          <cell r="E1032" t="str">
            <v>DRISS</v>
          </cell>
          <cell r="F1032">
            <v>18079</v>
          </cell>
          <cell r="H1032" t="str">
            <v>OULED M'HAMED - SETTAT</v>
          </cell>
          <cell r="I1032" t="str">
            <v>D</v>
          </cell>
          <cell r="J1032">
            <v>29298</v>
          </cell>
          <cell r="K1032">
            <v>37012</v>
          </cell>
          <cell r="L1032" t="str">
            <v>21</v>
          </cell>
          <cell r="M1032" t="str">
            <v>A</v>
          </cell>
          <cell r="N1032">
            <v>37012</v>
          </cell>
          <cell r="P1032">
            <v>23</v>
          </cell>
          <cell r="Q1032" t="str">
            <v>O</v>
          </cell>
          <cell r="R1032" t="str">
            <v>N</v>
          </cell>
          <cell r="S1032">
            <v>0</v>
          </cell>
          <cell r="T1032" t="str">
            <v>M</v>
          </cell>
          <cell r="U1032" t="str">
            <v>MALIKA BENT AHMED</v>
          </cell>
          <cell r="X1032">
            <v>6</v>
          </cell>
          <cell r="Y1032">
            <v>5</v>
          </cell>
          <cell r="AB1032" t="str">
            <v>X</v>
          </cell>
          <cell r="AC1032" t="str">
            <v>X</v>
          </cell>
          <cell r="AD1032" t="str">
            <v>X</v>
          </cell>
          <cell r="AH1032" t="str">
            <v>N</v>
          </cell>
          <cell r="AI1032" t="str">
            <v>N</v>
          </cell>
          <cell r="AK1032" t="str">
            <v>327 NELLE MEDINA SECHAGE KHGA</v>
          </cell>
          <cell r="AL1032" t="str">
            <v>ILLETTRE</v>
          </cell>
          <cell r="AP1032" t="str">
            <v>Q 82972</v>
          </cell>
          <cell r="AQ1032">
            <v>0</v>
          </cell>
          <cell r="AR1032" t="str">
            <v>C</v>
          </cell>
          <cell r="AU1032" t="str">
            <v>/  /</v>
          </cell>
          <cell r="AW1032">
            <v>38169</v>
          </cell>
          <cell r="AY1032" t="str">
            <v>XX</v>
          </cell>
          <cell r="AZ1032" t="str">
            <v>R</v>
          </cell>
          <cell r="BA1032" t="str">
            <v>2</v>
          </cell>
          <cell r="BB1032">
            <v>1</v>
          </cell>
          <cell r="BD1032">
            <v>0</v>
          </cell>
          <cell r="BE1032" t="str">
            <v>M</v>
          </cell>
          <cell r="BF1032" t="str">
            <v>N</v>
          </cell>
          <cell r="BG1032">
            <v>1</v>
          </cell>
          <cell r="BH1032">
            <v>38169</v>
          </cell>
        </row>
        <row r="1033">
          <cell r="A1033">
            <v>71807</v>
          </cell>
          <cell r="B1033">
            <v>426</v>
          </cell>
          <cell r="C1033" t="str">
            <v>C3050</v>
          </cell>
          <cell r="D1033" t="str">
            <v>HASNAOUI</v>
          </cell>
          <cell r="E1033" t="str">
            <v>MOHAMMED</v>
          </cell>
          <cell r="F1033">
            <v>19438</v>
          </cell>
          <cell r="G1033" t="str">
            <v>2</v>
          </cell>
          <cell r="H1033" t="str">
            <v>BENI SMIR OUED-ZEM</v>
          </cell>
          <cell r="I1033" t="str">
            <v>D</v>
          </cell>
          <cell r="J1033">
            <v>29298</v>
          </cell>
          <cell r="K1033">
            <v>36526</v>
          </cell>
          <cell r="L1033" t="str">
            <v>21</v>
          </cell>
          <cell r="M1033" t="str">
            <v>A</v>
          </cell>
          <cell r="N1033">
            <v>36526</v>
          </cell>
          <cell r="P1033">
            <v>23</v>
          </cell>
          <cell r="Q1033" t="str">
            <v>O</v>
          </cell>
          <cell r="R1033" t="str">
            <v>N</v>
          </cell>
          <cell r="S1033">
            <v>0</v>
          </cell>
          <cell r="T1033" t="str">
            <v>M</v>
          </cell>
          <cell r="U1033" t="str">
            <v>AICHA BENT LARBI</v>
          </cell>
          <cell r="X1033">
            <v>7</v>
          </cell>
          <cell r="Y1033">
            <v>6</v>
          </cell>
          <cell r="AB1033" t="str">
            <v>X</v>
          </cell>
          <cell r="AC1033" t="str">
            <v>X</v>
          </cell>
          <cell r="AD1033" t="str">
            <v>X</v>
          </cell>
          <cell r="AH1033" t="str">
            <v>N</v>
          </cell>
          <cell r="AI1033" t="str">
            <v>N</v>
          </cell>
          <cell r="AK1033" t="str">
            <v>16 HAY LAATOURA - OUED ZEM</v>
          </cell>
          <cell r="AL1033" t="str">
            <v>CM2</v>
          </cell>
          <cell r="AP1033" t="str">
            <v>Q 90107</v>
          </cell>
          <cell r="AQ1033">
            <v>0</v>
          </cell>
          <cell r="AR1033" t="str">
            <v>B</v>
          </cell>
          <cell r="AS1033" t="str">
            <v>POPULAIRE.O.ZEM</v>
          </cell>
          <cell r="AT1033" t="str">
            <v>1211113627379000018</v>
          </cell>
          <cell r="AU1033" t="str">
            <v>/  /</v>
          </cell>
          <cell r="AW1033">
            <v>38899</v>
          </cell>
          <cell r="AY1033" t="str">
            <v>XX</v>
          </cell>
          <cell r="BA1033" t="str">
            <v>6</v>
          </cell>
          <cell r="BB1033">
            <v>1</v>
          </cell>
          <cell r="BD1033">
            <v>0</v>
          </cell>
          <cell r="BE1033" t="str">
            <v>M</v>
          </cell>
          <cell r="BF1033" t="str">
            <v>N</v>
          </cell>
          <cell r="BG1033">
            <v>30</v>
          </cell>
          <cell r="BH1033">
            <v>38899</v>
          </cell>
          <cell r="BI1033" t="str">
            <v>O</v>
          </cell>
        </row>
        <row r="1034">
          <cell r="A1034">
            <v>71810</v>
          </cell>
          <cell r="B1034">
            <v>409</v>
          </cell>
          <cell r="C1034" t="str">
            <v>C3020</v>
          </cell>
          <cell r="D1034" t="str">
            <v>ESSALOUA</v>
          </cell>
          <cell r="E1034" t="str">
            <v>EL HOUSSINE</v>
          </cell>
          <cell r="F1034">
            <v>19540</v>
          </cell>
          <cell r="G1034" t="str">
            <v>1</v>
          </cell>
          <cell r="H1034" t="str">
            <v>OULED BHAR SGHAR KHOURIBGA</v>
          </cell>
          <cell r="I1034" t="str">
            <v>D</v>
          </cell>
          <cell r="J1034">
            <v>29298</v>
          </cell>
          <cell r="K1034">
            <v>32690</v>
          </cell>
          <cell r="L1034" t="str">
            <v>21</v>
          </cell>
          <cell r="M1034" t="str">
            <v>D</v>
          </cell>
          <cell r="N1034">
            <v>35612</v>
          </cell>
          <cell r="P1034">
            <v>23</v>
          </cell>
          <cell r="Q1034" t="str">
            <v>O</v>
          </cell>
          <cell r="R1034" t="str">
            <v>N</v>
          </cell>
          <cell r="S1034">
            <v>0</v>
          </cell>
          <cell r="T1034" t="str">
            <v>M</v>
          </cell>
          <cell r="U1034" t="str">
            <v>DAHOUM AICHA BENT ABDERRAHMANE</v>
          </cell>
          <cell r="X1034">
            <v>5</v>
          </cell>
          <cell r="Y1034">
            <v>5</v>
          </cell>
          <cell r="AB1034" t="str">
            <v>X</v>
          </cell>
          <cell r="AC1034" t="str">
            <v>X</v>
          </cell>
          <cell r="AD1034" t="str">
            <v>X</v>
          </cell>
          <cell r="AH1034" t="str">
            <v>N</v>
          </cell>
          <cell r="AI1034" t="str">
            <v>N</v>
          </cell>
          <cell r="AK1034" t="str">
            <v>91 DR OULED AHMED LAKHDAMA  OLD ABDOUNE</v>
          </cell>
          <cell r="AL1034" t="str">
            <v>CM2</v>
          </cell>
          <cell r="AP1034" t="str">
            <v>Q 26188</v>
          </cell>
          <cell r="AQ1034">
            <v>0</v>
          </cell>
          <cell r="AR1034" t="str">
            <v>C</v>
          </cell>
          <cell r="AU1034" t="str">
            <v>08/05/82</v>
          </cell>
          <cell r="AW1034">
            <v>38899</v>
          </cell>
          <cell r="AY1034" t="str">
            <v>XX</v>
          </cell>
          <cell r="BA1034" t="str">
            <v>0</v>
          </cell>
          <cell r="BB1034">
            <v>1</v>
          </cell>
          <cell r="BD1034">
            <v>0</v>
          </cell>
          <cell r="BE1034" t="str">
            <v>M</v>
          </cell>
          <cell r="BF1034" t="str">
            <v>N</v>
          </cell>
          <cell r="BG1034">
            <v>1</v>
          </cell>
          <cell r="BH1034">
            <v>38899</v>
          </cell>
          <cell r="BI1034" t="str">
            <v>O</v>
          </cell>
        </row>
        <row r="1035">
          <cell r="A1035">
            <v>71811</v>
          </cell>
          <cell r="B1035">
            <v>411</v>
          </cell>
          <cell r="C1035" t="str">
            <v>C4152</v>
          </cell>
          <cell r="D1035" t="str">
            <v>JEBNAOUI</v>
          </cell>
          <cell r="E1035" t="str">
            <v>DAHMANE</v>
          </cell>
          <cell r="F1035">
            <v>19905</v>
          </cell>
          <cell r="G1035" t="str">
            <v>1</v>
          </cell>
          <cell r="H1035" t="str">
            <v>OULED BHAR KBAR KHOURIBGA</v>
          </cell>
          <cell r="I1035" t="str">
            <v>D</v>
          </cell>
          <cell r="J1035">
            <v>29297</v>
          </cell>
          <cell r="K1035">
            <v>36526</v>
          </cell>
          <cell r="L1035" t="str">
            <v>22</v>
          </cell>
          <cell r="M1035" t="str">
            <v>A</v>
          </cell>
          <cell r="N1035">
            <v>36526</v>
          </cell>
          <cell r="P1035">
            <v>23</v>
          </cell>
          <cell r="Q1035" t="str">
            <v>O</v>
          </cell>
          <cell r="R1035" t="str">
            <v>N</v>
          </cell>
          <cell r="S1035">
            <v>0</v>
          </cell>
          <cell r="T1035" t="str">
            <v>M</v>
          </cell>
          <cell r="U1035" t="str">
            <v>KHADIJA BENT M'HAMED</v>
          </cell>
          <cell r="X1035">
            <v>0</v>
          </cell>
          <cell r="Y1035">
            <v>0</v>
          </cell>
          <cell r="AB1035" t="str">
            <v>N</v>
          </cell>
          <cell r="AC1035" t="str">
            <v>X</v>
          </cell>
          <cell r="AD1035" t="str">
            <v>X</v>
          </cell>
          <cell r="AH1035" t="str">
            <v>N</v>
          </cell>
          <cell r="AI1035" t="str">
            <v>N</v>
          </cell>
          <cell r="AK1035" t="str">
            <v>43 RUE 27 BRIQUE - KHGA</v>
          </cell>
          <cell r="AL1035" t="str">
            <v>ILLETTRE</v>
          </cell>
          <cell r="AP1035" t="str">
            <v>Q 82001</v>
          </cell>
          <cell r="AQ1035">
            <v>0</v>
          </cell>
          <cell r="AR1035" t="str">
            <v>B</v>
          </cell>
          <cell r="AS1035" t="str">
            <v>POPULAIRE  KHGA</v>
          </cell>
          <cell r="AT1035" t="str">
            <v>2111112870980005</v>
          </cell>
          <cell r="AU1035" t="str">
            <v>/  /</v>
          </cell>
          <cell r="AW1035">
            <v>38899</v>
          </cell>
          <cell r="AY1035" t="str">
            <v>XX</v>
          </cell>
          <cell r="BA1035" t="str">
            <v>1</v>
          </cell>
          <cell r="BB1035">
            <v>1</v>
          </cell>
          <cell r="BD1035">
            <v>0</v>
          </cell>
          <cell r="BE1035" t="str">
            <v>M</v>
          </cell>
          <cell r="BF1035" t="str">
            <v>N</v>
          </cell>
          <cell r="BG1035">
            <v>1</v>
          </cell>
          <cell r="BH1035">
            <v>38899</v>
          </cell>
        </row>
        <row r="1036">
          <cell r="A1036">
            <v>71812</v>
          </cell>
          <cell r="B1036">
            <v>428</v>
          </cell>
          <cell r="C1036" t="str">
            <v>C3152</v>
          </cell>
          <cell r="D1036" t="str">
            <v>TOUIMI</v>
          </cell>
          <cell r="E1036" t="str">
            <v>BOUAZZA</v>
          </cell>
          <cell r="F1036">
            <v>18809</v>
          </cell>
          <cell r="G1036" t="str">
            <v>2</v>
          </cell>
          <cell r="H1036" t="str">
            <v>SMAALA</v>
          </cell>
          <cell r="I1036" t="str">
            <v>D</v>
          </cell>
          <cell r="J1036">
            <v>29297</v>
          </cell>
          <cell r="K1036">
            <v>37012</v>
          </cell>
          <cell r="L1036" t="str">
            <v>21</v>
          </cell>
          <cell r="M1036" t="str">
            <v>A</v>
          </cell>
          <cell r="N1036">
            <v>37012</v>
          </cell>
          <cell r="P1036">
            <v>23</v>
          </cell>
          <cell r="Q1036" t="str">
            <v>O</v>
          </cell>
          <cell r="R1036" t="str">
            <v>N</v>
          </cell>
          <cell r="S1036">
            <v>0</v>
          </cell>
          <cell r="T1036" t="str">
            <v>M</v>
          </cell>
          <cell r="U1036" t="str">
            <v>SAADIA BENT HAMMOU HADDOU</v>
          </cell>
          <cell r="X1036">
            <v>8</v>
          </cell>
          <cell r="Y1036">
            <v>5</v>
          </cell>
          <cell r="AB1036" t="str">
            <v>X</v>
          </cell>
          <cell r="AC1036" t="str">
            <v>X</v>
          </cell>
          <cell r="AD1036" t="str">
            <v>X</v>
          </cell>
          <cell r="AH1036" t="str">
            <v>N</v>
          </cell>
          <cell r="AI1036" t="str">
            <v>N</v>
          </cell>
          <cell r="AK1036" t="str">
            <v>9 RUE 15 ANCIEN MSALLA - OUED ZEM</v>
          </cell>
          <cell r="AL1036" t="str">
            <v>ILLETTRE</v>
          </cell>
          <cell r="AP1036" t="str">
            <v>Q 45218</v>
          </cell>
          <cell r="AQ1036">
            <v>0</v>
          </cell>
          <cell r="AR1036" t="str">
            <v>B</v>
          </cell>
          <cell r="AS1036" t="str">
            <v>POPULAIRE.OUED ZEM</v>
          </cell>
          <cell r="AT1036" t="str">
            <v>36295410009</v>
          </cell>
          <cell r="AU1036" t="str">
            <v>/  /</v>
          </cell>
          <cell r="AW1036">
            <v>38899</v>
          </cell>
          <cell r="AY1036" t="str">
            <v>XX</v>
          </cell>
          <cell r="AZ1036" t="str">
            <v>R</v>
          </cell>
          <cell r="BA1036" t="str">
            <v>1</v>
          </cell>
          <cell r="BB1036">
            <v>1</v>
          </cell>
          <cell r="BD1036">
            <v>0</v>
          </cell>
          <cell r="BE1036" t="str">
            <v>M</v>
          </cell>
          <cell r="BF1036" t="str">
            <v>N</v>
          </cell>
          <cell r="BG1036">
            <v>30</v>
          </cell>
          <cell r="BH1036">
            <v>38899</v>
          </cell>
          <cell r="BI1036" t="str">
            <v>O</v>
          </cell>
        </row>
        <row r="1037">
          <cell r="A1037">
            <v>71843</v>
          </cell>
          <cell r="B1037">
            <v>409</v>
          </cell>
          <cell r="C1037" t="str">
            <v>C7001</v>
          </cell>
          <cell r="D1037" t="str">
            <v>LAGOUBI</v>
          </cell>
          <cell r="E1037" t="str">
            <v>EL HABIB</v>
          </cell>
          <cell r="F1037">
            <v>19540</v>
          </cell>
          <cell r="G1037" t="str">
            <v>5</v>
          </cell>
          <cell r="H1037" t="str">
            <v>BOUJAAD</v>
          </cell>
          <cell r="I1037" t="str">
            <v>D</v>
          </cell>
          <cell r="J1037">
            <v>29327</v>
          </cell>
          <cell r="K1037">
            <v>36526</v>
          </cell>
          <cell r="L1037" t="str">
            <v>33</v>
          </cell>
          <cell r="M1037" t="str">
            <v>A</v>
          </cell>
          <cell r="N1037">
            <v>36526</v>
          </cell>
          <cell r="O1037">
            <v>0</v>
          </cell>
          <cell r="P1037">
            <v>23</v>
          </cell>
          <cell r="Q1037" t="str">
            <v>O</v>
          </cell>
          <cell r="R1037" t="str">
            <v>N</v>
          </cell>
          <cell r="S1037">
            <v>0</v>
          </cell>
          <cell r="T1037" t="str">
            <v>M</v>
          </cell>
          <cell r="U1037" t="str">
            <v>ARROUBI REBBOUHA BENT LAHCEN</v>
          </cell>
          <cell r="X1037">
            <v>3</v>
          </cell>
          <cell r="Y1037">
            <v>3</v>
          </cell>
          <cell r="AB1037" t="str">
            <v>X</v>
          </cell>
          <cell r="AC1037" t="str">
            <v>X</v>
          </cell>
          <cell r="AD1037" t="str">
            <v>X</v>
          </cell>
          <cell r="AH1037" t="str">
            <v>N</v>
          </cell>
          <cell r="AI1037" t="str">
            <v>N</v>
          </cell>
          <cell r="AK1037" t="str">
            <v>358 NOUVEAUX LOGEMENTS SECHAGE KHOURIBGA</v>
          </cell>
          <cell r="AL1037" t="str">
            <v>4AS</v>
          </cell>
          <cell r="AM1037" t="str">
            <v>CFO</v>
          </cell>
          <cell r="AP1037" t="str">
            <v>Q 44154</v>
          </cell>
          <cell r="AQ1037">
            <v>0</v>
          </cell>
          <cell r="AR1037" t="str">
            <v>B</v>
          </cell>
          <cell r="AS1037" t="str">
            <v>BMCE - KHGA</v>
          </cell>
          <cell r="AT1037" t="str">
            <v>4000001200001232927</v>
          </cell>
          <cell r="AU1037" t="str">
            <v>/  /</v>
          </cell>
          <cell r="AW1037">
            <v>39083</v>
          </cell>
          <cell r="AY1037" t="str">
            <v>XX</v>
          </cell>
          <cell r="BA1037" t="str">
            <v>2</v>
          </cell>
          <cell r="BB1037">
            <v>1</v>
          </cell>
          <cell r="BC1037" t="str">
            <v>O</v>
          </cell>
          <cell r="BD1037">
            <v>4</v>
          </cell>
          <cell r="BE1037" t="str">
            <v>M</v>
          </cell>
          <cell r="BF1037" t="str">
            <v>N</v>
          </cell>
          <cell r="BG1037">
            <v>4</v>
          </cell>
          <cell r="BH1037">
            <v>39083</v>
          </cell>
        </row>
        <row r="1038">
          <cell r="A1038">
            <v>71887</v>
          </cell>
          <cell r="B1038">
            <v>401</v>
          </cell>
          <cell r="C1038" t="str">
            <v>C4102</v>
          </cell>
          <cell r="D1038" t="str">
            <v>EL KINANI</v>
          </cell>
          <cell r="E1038" t="str">
            <v>ABDELHAMID</v>
          </cell>
          <cell r="F1038">
            <v>21298</v>
          </cell>
          <cell r="G1038" t="str">
            <v>1</v>
          </cell>
          <cell r="H1038" t="str">
            <v>KHOURIBGA</v>
          </cell>
          <cell r="I1038" t="str">
            <v>D</v>
          </cell>
          <cell r="J1038">
            <v>29346</v>
          </cell>
          <cell r="K1038">
            <v>35065</v>
          </cell>
          <cell r="L1038" t="str">
            <v>22</v>
          </cell>
          <cell r="M1038" t="str">
            <v>B</v>
          </cell>
          <cell r="N1038">
            <v>35065</v>
          </cell>
          <cell r="P1038">
            <v>22</v>
          </cell>
          <cell r="Q1038" t="str">
            <v>O</v>
          </cell>
          <cell r="R1038" t="str">
            <v>N</v>
          </cell>
          <cell r="S1038">
            <v>0</v>
          </cell>
          <cell r="T1038" t="str">
            <v>M</v>
          </cell>
          <cell r="U1038" t="str">
            <v>HAMMAR FATIMA BENT MOHAMED</v>
          </cell>
          <cell r="X1038">
            <v>2</v>
          </cell>
          <cell r="Y1038">
            <v>2</v>
          </cell>
          <cell r="AB1038" t="str">
            <v>X</v>
          </cell>
          <cell r="AC1038" t="str">
            <v>X</v>
          </cell>
          <cell r="AD1038" t="str">
            <v>X</v>
          </cell>
          <cell r="AH1038" t="str">
            <v>N</v>
          </cell>
          <cell r="AI1038" t="str">
            <v>N</v>
          </cell>
          <cell r="AK1038" t="str">
            <v>534 VILLAGE OCP BOUJNIBA</v>
          </cell>
          <cell r="AL1038" t="str">
            <v>4AS</v>
          </cell>
          <cell r="AP1038" t="str">
            <v>Q 128170</v>
          </cell>
          <cell r="AQ1038">
            <v>0</v>
          </cell>
          <cell r="AR1038" t="str">
            <v>C</v>
          </cell>
          <cell r="AU1038" t="str">
            <v>/  /</v>
          </cell>
          <cell r="AW1038">
            <v>39630</v>
          </cell>
          <cell r="AY1038" t="str">
            <v>XX</v>
          </cell>
          <cell r="BA1038" t="str">
            <v>1</v>
          </cell>
          <cell r="BB1038">
            <v>1</v>
          </cell>
          <cell r="BD1038">
            <v>0</v>
          </cell>
          <cell r="BE1038" t="str">
            <v>M</v>
          </cell>
          <cell r="BF1038" t="str">
            <v>N</v>
          </cell>
          <cell r="BG1038">
            <v>51</v>
          </cell>
          <cell r="BH1038">
            <v>39630</v>
          </cell>
        </row>
        <row r="1039">
          <cell r="A1039">
            <v>71913</v>
          </cell>
          <cell r="B1039">
            <v>418</v>
          </cell>
          <cell r="C1039" t="str">
            <v>C5152</v>
          </cell>
          <cell r="D1039" t="str">
            <v>EL AYOUBI</v>
          </cell>
          <cell r="E1039" t="str">
            <v>BOUCHTA</v>
          </cell>
          <cell r="F1039">
            <v>20636</v>
          </cell>
          <cell r="G1039" t="str">
            <v>1</v>
          </cell>
          <cell r="H1039" t="str">
            <v>OULED BHAR KBAR KHOURIBGA</v>
          </cell>
          <cell r="I1039" t="str">
            <v>D</v>
          </cell>
          <cell r="J1039">
            <v>29348</v>
          </cell>
          <cell r="K1039">
            <v>37073</v>
          </cell>
          <cell r="L1039" t="str">
            <v>31</v>
          </cell>
          <cell r="M1039" t="str">
            <v>A</v>
          </cell>
          <cell r="N1039">
            <v>37073</v>
          </cell>
          <cell r="O1039">
            <v>0</v>
          </cell>
          <cell r="P1039">
            <v>22</v>
          </cell>
          <cell r="Q1039" t="str">
            <v>O</v>
          </cell>
          <cell r="R1039" t="str">
            <v>N</v>
          </cell>
          <cell r="S1039">
            <v>0</v>
          </cell>
          <cell r="T1039" t="str">
            <v>M</v>
          </cell>
          <cell r="U1039" t="str">
            <v>FATNA BENT MOHAMED NOUJOUMI</v>
          </cell>
          <cell r="X1039">
            <v>9</v>
          </cell>
          <cell r="Y1039">
            <v>6</v>
          </cell>
          <cell r="AB1039" t="str">
            <v>X</v>
          </cell>
          <cell r="AC1039" t="str">
            <v>X</v>
          </cell>
          <cell r="AD1039" t="str">
            <v>X</v>
          </cell>
          <cell r="AH1039" t="str">
            <v>N</v>
          </cell>
          <cell r="AI1039" t="str">
            <v>N</v>
          </cell>
          <cell r="AK1039" t="str">
            <v>904 VILLAGE OCP - BOULANOUAR</v>
          </cell>
          <cell r="AL1039" t="str">
            <v>1AS</v>
          </cell>
          <cell r="AP1039" t="str">
            <v>Q 9892</v>
          </cell>
          <cell r="AQ1039">
            <v>0</v>
          </cell>
          <cell r="AR1039" t="str">
            <v>B</v>
          </cell>
          <cell r="AS1039" t="str">
            <v>BMCE.KHGA</v>
          </cell>
          <cell r="AT1039" t="str">
            <v>40001200000649569</v>
          </cell>
          <cell r="AU1039" t="str">
            <v>20/04/84</v>
          </cell>
          <cell r="AW1039">
            <v>39083</v>
          </cell>
          <cell r="AY1039" t="str">
            <v>AB</v>
          </cell>
          <cell r="BA1039" t="str">
            <v>0</v>
          </cell>
          <cell r="BB1039">
            <v>1</v>
          </cell>
          <cell r="BD1039">
            <v>0</v>
          </cell>
          <cell r="BE1039" t="str">
            <v>M</v>
          </cell>
          <cell r="BF1039" t="str">
            <v>N</v>
          </cell>
          <cell r="BG1039">
            <v>40</v>
          </cell>
          <cell r="BH1039">
            <v>39083</v>
          </cell>
        </row>
        <row r="1040">
          <cell r="A1040">
            <v>71915</v>
          </cell>
          <cell r="B1040">
            <v>411</v>
          </cell>
          <cell r="C1040" t="str">
            <v>C3152</v>
          </cell>
          <cell r="D1040" t="str">
            <v>ATOUFI</v>
          </cell>
          <cell r="E1040" t="str">
            <v>EL MATI</v>
          </cell>
          <cell r="F1040">
            <v>20528</v>
          </cell>
          <cell r="G1040" t="str">
            <v>1</v>
          </cell>
          <cell r="H1040" t="str">
            <v>OULED BHAR SGHAR KHOURIBGA</v>
          </cell>
          <cell r="I1040" t="str">
            <v>D</v>
          </cell>
          <cell r="J1040">
            <v>29348</v>
          </cell>
          <cell r="K1040">
            <v>33420</v>
          </cell>
          <cell r="L1040" t="str">
            <v>21</v>
          </cell>
          <cell r="M1040" t="str">
            <v>B</v>
          </cell>
          <cell r="N1040">
            <v>35612</v>
          </cell>
          <cell r="P1040">
            <v>22</v>
          </cell>
          <cell r="Q1040" t="str">
            <v>O</v>
          </cell>
          <cell r="R1040" t="str">
            <v>N</v>
          </cell>
          <cell r="S1040">
            <v>0</v>
          </cell>
          <cell r="T1040" t="str">
            <v>M</v>
          </cell>
          <cell r="U1040" t="str">
            <v>RABIAA BT MOHAMED</v>
          </cell>
          <cell r="X1040">
            <v>4</v>
          </cell>
          <cell r="Y1040">
            <v>4</v>
          </cell>
          <cell r="Z1040" t="str">
            <v>N</v>
          </cell>
          <cell r="AB1040" t="str">
            <v>X</v>
          </cell>
          <cell r="AC1040" t="str">
            <v>X</v>
          </cell>
          <cell r="AD1040" t="str">
            <v>X</v>
          </cell>
          <cell r="AH1040" t="str">
            <v>N</v>
          </cell>
          <cell r="AI1040" t="str">
            <v>N</v>
          </cell>
          <cell r="AK1040" t="str">
            <v>715 NLLE MEDINA DE SECHAGE OCP - KHGA</v>
          </cell>
          <cell r="AL1040" t="str">
            <v>1AS</v>
          </cell>
          <cell r="AP1040" t="str">
            <v>Q 57591</v>
          </cell>
          <cell r="AQ1040">
            <v>0</v>
          </cell>
          <cell r="AR1040" t="str">
            <v>B</v>
          </cell>
          <cell r="AS1040" t="str">
            <v>WAFABANK - KHGA</v>
          </cell>
          <cell r="AT1040" t="str">
            <v>1220301085863</v>
          </cell>
          <cell r="AU1040" t="str">
            <v>18/12/87</v>
          </cell>
          <cell r="AW1040">
            <v>39083</v>
          </cell>
          <cell r="AY1040" t="str">
            <v>O+</v>
          </cell>
          <cell r="BA1040" t="str">
            <v>1</v>
          </cell>
          <cell r="BB1040">
            <v>1</v>
          </cell>
          <cell r="BD1040">
            <v>0</v>
          </cell>
          <cell r="BE1040" t="str">
            <v>M</v>
          </cell>
          <cell r="BF1040" t="str">
            <v>N</v>
          </cell>
          <cell r="BG1040">
            <v>1</v>
          </cell>
          <cell r="BH1040">
            <v>39083</v>
          </cell>
        </row>
        <row r="1041">
          <cell r="A1041">
            <v>71917</v>
          </cell>
          <cell r="B1041">
            <v>468</v>
          </cell>
          <cell r="C1041" t="str">
            <v>C2152</v>
          </cell>
          <cell r="D1041" t="str">
            <v>BENCHERIFI</v>
          </cell>
          <cell r="E1041" t="str">
            <v>AHMED</v>
          </cell>
          <cell r="F1041">
            <v>21366</v>
          </cell>
          <cell r="G1041" t="str">
            <v>2</v>
          </cell>
          <cell r="H1041" t="str">
            <v>OUED-ZEM</v>
          </cell>
          <cell r="I1041" t="str">
            <v>D</v>
          </cell>
          <cell r="J1041">
            <v>29350</v>
          </cell>
          <cell r="K1041">
            <v>31564</v>
          </cell>
          <cell r="L1041" t="str">
            <v>12</v>
          </cell>
          <cell r="M1041" t="str">
            <v>D</v>
          </cell>
          <cell r="N1041">
            <v>35612</v>
          </cell>
          <cell r="P1041">
            <v>22</v>
          </cell>
          <cell r="Q1041" t="str">
            <v>O</v>
          </cell>
          <cell r="R1041" t="str">
            <v>N</v>
          </cell>
          <cell r="S1041">
            <v>0</v>
          </cell>
          <cell r="T1041" t="str">
            <v>M</v>
          </cell>
          <cell r="U1041" t="str">
            <v>MANSAR KHADDOUJ BENT GHAZOUANI</v>
          </cell>
          <cell r="V1041" t="str">
            <v>CHEKAKI FATIMA</v>
          </cell>
          <cell r="X1041">
            <v>6</v>
          </cell>
          <cell r="Y1041">
            <v>4</v>
          </cell>
          <cell r="AB1041" t="str">
            <v>X</v>
          </cell>
          <cell r="AC1041" t="str">
            <v>X</v>
          </cell>
          <cell r="AD1041" t="str">
            <v>X</v>
          </cell>
          <cell r="AH1041" t="str">
            <v>N</v>
          </cell>
          <cell r="AI1041" t="str">
            <v>N</v>
          </cell>
          <cell r="AK1041" t="str">
            <v>130 VILLAGE OCP OUED ZEM</v>
          </cell>
          <cell r="AL1041" t="str">
            <v>CM2</v>
          </cell>
          <cell r="AP1041" t="str">
            <v>Q 20557</v>
          </cell>
          <cell r="AQ1041">
            <v>0</v>
          </cell>
          <cell r="AR1041" t="str">
            <v>B</v>
          </cell>
          <cell r="AS1041" t="str">
            <v>BMCE.OUED ZEM</v>
          </cell>
          <cell r="AT1041" t="str">
            <v>41101200000296965</v>
          </cell>
          <cell r="AU1041" t="str">
            <v>/  /</v>
          </cell>
          <cell r="AW1041">
            <v>39630</v>
          </cell>
          <cell r="AY1041" t="str">
            <v>XX</v>
          </cell>
          <cell r="AZ1041" t="str">
            <v>K</v>
          </cell>
          <cell r="BA1041" t="str">
            <v>1</v>
          </cell>
          <cell r="BB1041">
            <v>1</v>
          </cell>
          <cell r="BD1041">
            <v>0</v>
          </cell>
          <cell r="BE1041" t="str">
            <v>M</v>
          </cell>
          <cell r="BF1041" t="str">
            <v>N</v>
          </cell>
          <cell r="BG1041">
            <v>31</v>
          </cell>
          <cell r="BH1041">
            <v>39630</v>
          </cell>
          <cell r="BI1041" t="str">
            <v>O</v>
          </cell>
        </row>
        <row r="1042">
          <cell r="A1042">
            <v>71930</v>
          </cell>
          <cell r="B1042">
            <v>426</v>
          </cell>
          <cell r="C1042" t="str">
            <v>C2050</v>
          </cell>
          <cell r="D1042" t="str">
            <v>NAQLI</v>
          </cell>
          <cell r="E1042" t="str">
            <v>HAJJAJ</v>
          </cell>
          <cell r="F1042">
            <v>21010</v>
          </cell>
          <cell r="G1042" t="str">
            <v>1</v>
          </cell>
          <cell r="H1042" t="str">
            <v>OULED ABDOUNE</v>
          </cell>
          <cell r="I1042" t="str">
            <v>D</v>
          </cell>
          <cell r="J1042">
            <v>29357</v>
          </cell>
          <cell r="K1042">
            <v>31564</v>
          </cell>
          <cell r="L1042" t="str">
            <v>12</v>
          </cell>
          <cell r="M1042" t="str">
            <v>C</v>
          </cell>
          <cell r="N1042">
            <v>35947</v>
          </cell>
          <cell r="P1042">
            <v>22</v>
          </cell>
          <cell r="Q1042" t="str">
            <v>O</v>
          </cell>
          <cell r="R1042" t="str">
            <v>N</v>
          </cell>
          <cell r="S1042">
            <v>0</v>
          </cell>
          <cell r="T1042" t="str">
            <v>M</v>
          </cell>
          <cell r="U1042" t="str">
            <v>KHOUADRI KHADDOUJ BT DRISS</v>
          </cell>
          <cell r="X1042">
            <v>4</v>
          </cell>
          <cell r="Y1042">
            <v>4</v>
          </cell>
          <cell r="AB1042" t="str">
            <v>X</v>
          </cell>
          <cell r="AC1042" t="str">
            <v>X</v>
          </cell>
          <cell r="AD1042" t="str">
            <v>X</v>
          </cell>
          <cell r="AH1042" t="str">
            <v>N</v>
          </cell>
          <cell r="AI1042" t="str">
            <v>N</v>
          </cell>
          <cell r="AK1042" t="str">
            <v>1009 VILLAGE O C P HATTANE</v>
          </cell>
          <cell r="AL1042" t="str">
            <v>CM2</v>
          </cell>
          <cell r="AP1042" t="str">
            <v>Q 81089</v>
          </cell>
          <cell r="AQ1042">
            <v>0</v>
          </cell>
          <cell r="AR1042" t="str">
            <v>C</v>
          </cell>
          <cell r="AU1042" t="str">
            <v>/  /</v>
          </cell>
          <cell r="AW1042">
            <v>41438</v>
          </cell>
          <cell r="AX1042">
            <v>41438</v>
          </cell>
          <cell r="AY1042" t="str">
            <v>XX</v>
          </cell>
          <cell r="BA1042" t="str">
            <v>2</v>
          </cell>
          <cell r="BB1042">
            <v>1</v>
          </cell>
          <cell r="BD1042">
            <v>0</v>
          </cell>
          <cell r="BE1042" t="str">
            <v>M</v>
          </cell>
          <cell r="BF1042" t="str">
            <v>N</v>
          </cell>
          <cell r="BG1042">
            <v>11</v>
          </cell>
          <cell r="BH1042">
            <v>39448</v>
          </cell>
        </row>
        <row r="1043">
          <cell r="A1043">
            <v>71942</v>
          </cell>
          <cell r="B1043">
            <v>426</v>
          </cell>
          <cell r="C1043" t="str">
            <v>C3050</v>
          </cell>
          <cell r="D1043" t="str">
            <v>EL MACHI</v>
          </cell>
          <cell r="E1043" t="str">
            <v>ABDESSALAM</v>
          </cell>
          <cell r="F1043">
            <v>18444</v>
          </cell>
          <cell r="G1043" t="str">
            <v>6</v>
          </cell>
          <cell r="H1043" t="str">
            <v>OULED AZZOUZ</v>
          </cell>
          <cell r="I1043" t="str">
            <v>D</v>
          </cell>
          <cell r="J1043">
            <v>29364</v>
          </cell>
          <cell r="K1043">
            <v>37377</v>
          </cell>
          <cell r="L1043" t="str">
            <v>21</v>
          </cell>
          <cell r="M1043" t="str">
            <v>A</v>
          </cell>
          <cell r="N1043">
            <v>37377</v>
          </cell>
          <cell r="P1043">
            <v>22</v>
          </cell>
          <cell r="Q1043" t="str">
            <v>O</v>
          </cell>
          <cell r="R1043" t="str">
            <v>N</v>
          </cell>
          <cell r="S1043">
            <v>0</v>
          </cell>
          <cell r="T1043" t="str">
            <v>M</v>
          </cell>
          <cell r="U1043" t="str">
            <v>RABHA BENT MOHAMED</v>
          </cell>
          <cell r="X1043">
            <v>8</v>
          </cell>
          <cell r="Y1043">
            <v>1</v>
          </cell>
          <cell r="AB1043" t="str">
            <v>X</v>
          </cell>
          <cell r="AC1043" t="str">
            <v>X</v>
          </cell>
          <cell r="AD1043" t="str">
            <v>X</v>
          </cell>
          <cell r="AH1043" t="str">
            <v>N</v>
          </cell>
          <cell r="AI1043" t="str">
            <v>N</v>
          </cell>
          <cell r="AK1043" t="str">
            <v>1163 VILLAGE OCP - HATTANE</v>
          </cell>
          <cell r="AL1043" t="str">
            <v>ILLETTRE</v>
          </cell>
          <cell r="AP1043" t="str">
            <v>Q 36299</v>
          </cell>
          <cell r="AQ1043">
            <v>0</v>
          </cell>
          <cell r="AR1043" t="str">
            <v>B</v>
          </cell>
          <cell r="AS1043" t="str">
            <v>POPULAIRE.KHGA</v>
          </cell>
          <cell r="AT1043" t="str">
            <v>211113631258000830</v>
          </cell>
          <cell r="AU1043" t="str">
            <v>/  /</v>
          </cell>
          <cell r="AW1043">
            <v>38534</v>
          </cell>
          <cell r="AY1043" t="str">
            <v>XX</v>
          </cell>
          <cell r="BA1043" t="str">
            <v>1</v>
          </cell>
          <cell r="BB1043">
            <v>1</v>
          </cell>
          <cell r="BD1043">
            <v>0</v>
          </cell>
          <cell r="BE1043" t="str">
            <v>M</v>
          </cell>
          <cell r="BF1043" t="str">
            <v>N</v>
          </cell>
          <cell r="BG1043">
            <v>11</v>
          </cell>
          <cell r="BH1043">
            <v>38534</v>
          </cell>
        </row>
        <row r="1044">
          <cell r="A1044">
            <v>71946</v>
          </cell>
          <cell r="B1044">
            <v>426</v>
          </cell>
          <cell r="C1044" t="str">
            <v>C3050</v>
          </cell>
          <cell r="D1044" t="str">
            <v>REMMAL</v>
          </cell>
          <cell r="E1044" t="str">
            <v>MOHAMMED</v>
          </cell>
          <cell r="F1044">
            <v>19673</v>
          </cell>
          <cell r="G1044" t="str">
            <v>1</v>
          </cell>
          <cell r="H1044" t="str">
            <v>KHOURIBGA</v>
          </cell>
          <cell r="I1044" t="str">
            <v>D</v>
          </cell>
          <cell r="J1044">
            <v>29367</v>
          </cell>
          <cell r="K1044">
            <v>33420</v>
          </cell>
          <cell r="L1044" t="str">
            <v>21</v>
          </cell>
          <cell r="M1044" t="str">
            <v>A</v>
          </cell>
          <cell r="N1044">
            <v>33420</v>
          </cell>
          <cell r="P1044">
            <v>22</v>
          </cell>
          <cell r="Q1044" t="str">
            <v>O</v>
          </cell>
          <cell r="R1044" t="str">
            <v>N</v>
          </cell>
          <cell r="S1044">
            <v>0</v>
          </cell>
          <cell r="T1044" t="str">
            <v>M</v>
          </cell>
          <cell r="U1044" t="str">
            <v>MAHJOUBA BENT EL HASSANE SABTI</v>
          </cell>
          <cell r="X1044">
            <v>5</v>
          </cell>
          <cell r="Y1044">
            <v>2</v>
          </cell>
          <cell r="AB1044" t="str">
            <v>X</v>
          </cell>
          <cell r="AC1044" t="str">
            <v>X</v>
          </cell>
          <cell r="AD1044" t="str">
            <v>X</v>
          </cell>
          <cell r="AH1044" t="str">
            <v>N</v>
          </cell>
          <cell r="AI1044" t="str">
            <v>N</v>
          </cell>
          <cell r="AK1044" t="str">
            <v>32 ANCIENNE HABITA OUED ZEM</v>
          </cell>
          <cell r="AL1044" t="str">
            <v>CM2</v>
          </cell>
          <cell r="AN1044" t="str">
            <v>41═13═33</v>
          </cell>
          <cell r="AP1044" t="str">
            <v>Q 31393</v>
          </cell>
          <cell r="AQ1044">
            <v>0</v>
          </cell>
          <cell r="AR1044" t="str">
            <v>C</v>
          </cell>
          <cell r="AU1044" t="str">
            <v>/  /</v>
          </cell>
          <cell r="AW1044">
            <v>39083</v>
          </cell>
          <cell r="AY1044" t="str">
            <v>XX</v>
          </cell>
          <cell r="BA1044" t="str">
            <v>2</v>
          </cell>
          <cell r="BB1044">
            <v>1</v>
          </cell>
          <cell r="BD1044">
            <v>0</v>
          </cell>
          <cell r="BE1044" t="str">
            <v>M</v>
          </cell>
          <cell r="BF1044" t="str">
            <v>N</v>
          </cell>
          <cell r="BG1044">
            <v>30</v>
          </cell>
          <cell r="BH1044">
            <v>39083</v>
          </cell>
          <cell r="BI1044" t="str">
            <v>O</v>
          </cell>
        </row>
        <row r="1045">
          <cell r="A1045">
            <v>71947</v>
          </cell>
          <cell r="B1045">
            <v>426</v>
          </cell>
          <cell r="C1045" t="str">
            <v>C3050</v>
          </cell>
          <cell r="D1045" t="str">
            <v>EL FOUL</v>
          </cell>
          <cell r="E1045" t="str">
            <v>MOHAMED</v>
          </cell>
          <cell r="F1045">
            <v>19175</v>
          </cell>
          <cell r="G1045" t="str">
            <v>1</v>
          </cell>
          <cell r="H1045" t="str">
            <v>OULED BHAR KBAR KHOURIBGA</v>
          </cell>
          <cell r="I1045" t="str">
            <v>D</v>
          </cell>
          <cell r="J1045">
            <v>29369</v>
          </cell>
          <cell r="K1045">
            <v>36526</v>
          </cell>
          <cell r="L1045" t="str">
            <v>21</v>
          </cell>
          <cell r="M1045" t="str">
            <v>B</v>
          </cell>
          <cell r="N1045">
            <v>36526</v>
          </cell>
          <cell r="O1045">
            <v>0</v>
          </cell>
          <cell r="P1045">
            <v>22</v>
          </cell>
          <cell r="Q1045" t="str">
            <v>O</v>
          </cell>
          <cell r="R1045" t="str">
            <v>N</v>
          </cell>
          <cell r="S1045">
            <v>0</v>
          </cell>
          <cell r="T1045" t="str">
            <v>M</v>
          </cell>
          <cell r="U1045" t="str">
            <v>RABHA BT LAKBIR</v>
          </cell>
          <cell r="X1045">
            <v>10</v>
          </cell>
          <cell r="Y1045">
            <v>5</v>
          </cell>
          <cell r="Z1045" t="str">
            <v>O</v>
          </cell>
          <cell r="AB1045" t="str">
            <v>X</v>
          </cell>
          <cell r="AC1045" t="str">
            <v>X</v>
          </cell>
          <cell r="AD1045" t="str">
            <v>X</v>
          </cell>
          <cell r="AH1045" t="str">
            <v>N</v>
          </cell>
          <cell r="AI1045" t="str">
            <v>N</v>
          </cell>
          <cell r="AK1045" t="str">
            <v>58 RUE 11 KOREA OUED ZEM</v>
          </cell>
          <cell r="AL1045" t="str">
            <v>CM2</v>
          </cell>
          <cell r="AP1045" t="str">
            <v>Q 72465</v>
          </cell>
          <cell r="AQ1045">
            <v>0</v>
          </cell>
          <cell r="AR1045" t="str">
            <v>B</v>
          </cell>
          <cell r="AS1045" t="str">
            <v>POPULAIRE.O-ZEM</v>
          </cell>
          <cell r="AT1045" t="str">
            <v>1211113627174000700</v>
          </cell>
          <cell r="AU1045" t="str">
            <v>/  /</v>
          </cell>
          <cell r="AW1045">
            <v>39083</v>
          </cell>
          <cell r="AY1045" t="str">
            <v>XX</v>
          </cell>
          <cell r="BA1045" t="str">
            <v>1</v>
          </cell>
          <cell r="BB1045">
            <v>1</v>
          </cell>
          <cell r="BD1045">
            <v>0</v>
          </cell>
          <cell r="BE1045" t="str">
            <v>M</v>
          </cell>
          <cell r="BF1045" t="str">
            <v>N</v>
          </cell>
          <cell r="BG1045">
            <v>30</v>
          </cell>
          <cell r="BH1045">
            <v>39083</v>
          </cell>
          <cell r="BI1045" t="str">
            <v>O</v>
          </cell>
        </row>
        <row r="1046">
          <cell r="A1046">
            <v>71948</v>
          </cell>
          <cell r="B1046">
            <v>468</v>
          </cell>
          <cell r="C1046" t="str">
            <v>C3050</v>
          </cell>
          <cell r="D1046" t="str">
            <v>ESSALHI</v>
          </cell>
          <cell r="E1046" t="str">
            <v>MOHAMMED</v>
          </cell>
          <cell r="F1046">
            <v>20636</v>
          </cell>
          <cell r="G1046" t="str">
            <v>2</v>
          </cell>
          <cell r="H1046" t="str">
            <v>SMAALA OUED ZEM</v>
          </cell>
          <cell r="I1046" t="str">
            <v>D</v>
          </cell>
          <cell r="J1046">
            <v>29375</v>
          </cell>
          <cell r="K1046">
            <v>37377</v>
          </cell>
          <cell r="L1046" t="str">
            <v>21</v>
          </cell>
          <cell r="M1046" t="str">
            <v>B</v>
          </cell>
          <cell r="N1046">
            <v>37377</v>
          </cell>
          <cell r="P1046">
            <v>22</v>
          </cell>
          <cell r="Q1046" t="str">
            <v>O</v>
          </cell>
          <cell r="R1046" t="str">
            <v>N</v>
          </cell>
          <cell r="S1046">
            <v>0</v>
          </cell>
          <cell r="T1046" t="str">
            <v>M</v>
          </cell>
          <cell r="U1046" t="str">
            <v>KHADIJA BENT MOHA CHERBOUT</v>
          </cell>
          <cell r="X1046">
            <v>3</v>
          </cell>
          <cell r="Y1046">
            <v>2</v>
          </cell>
          <cell r="AB1046" t="str">
            <v>X</v>
          </cell>
          <cell r="AC1046" t="str">
            <v>X</v>
          </cell>
          <cell r="AD1046" t="str">
            <v>X</v>
          </cell>
          <cell r="AH1046" t="str">
            <v>N</v>
          </cell>
          <cell r="AI1046" t="str">
            <v>N</v>
          </cell>
          <cell r="AK1046" t="str">
            <v>67 RUE 14 ANCIEN MSALLA OUED ZEM</v>
          </cell>
          <cell r="AL1046" t="str">
            <v>ILLETTRE</v>
          </cell>
          <cell r="AP1046" t="str">
            <v>Q 91292</v>
          </cell>
          <cell r="AQ1046">
            <v>0</v>
          </cell>
          <cell r="AR1046" t="str">
            <v>B</v>
          </cell>
          <cell r="AS1046" t="str">
            <v>WAFABANK - KHGA</v>
          </cell>
          <cell r="AT1046" t="str">
            <v>1220301134767</v>
          </cell>
          <cell r="AU1046" t="str">
            <v>/  /</v>
          </cell>
          <cell r="AW1046">
            <v>39083</v>
          </cell>
          <cell r="AY1046" t="str">
            <v>XX</v>
          </cell>
          <cell r="BA1046" t="str">
            <v>1</v>
          </cell>
          <cell r="BB1046">
            <v>1</v>
          </cell>
          <cell r="BD1046">
            <v>0</v>
          </cell>
          <cell r="BE1046" t="str">
            <v>M</v>
          </cell>
          <cell r="BF1046" t="str">
            <v>N</v>
          </cell>
          <cell r="BG1046">
            <v>31</v>
          </cell>
          <cell r="BH1046">
            <v>39083</v>
          </cell>
          <cell r="BI1046" t="str">
            <v>O</v>
          </cell>
        </row>
        <row r="1047">
          <cell r="A1047">
            <v>71951</v>
          </cell>
          <cell r="B1047">
            <v>426</v>
          </cell>
          <cell r="C1047" t="str">
            <v>C3050</v>
          </cell>
          <cell r="D1047" t="str">
            <v>AMANI</v>
          </cell>
          <cell r="E1047" t="str">
            <v>MOHAMED</v>
          </cell>
          <cell r="F1047">
            <v>18079</v>
          </cell>
          <cell r="G1047" t="str">
            <v>2</v>
          </cell>
          <cell r="H1047" t="str">
            <v>OUED-ZEM</v>
          </cell>
          <cell r="I1047" t="str">
            <v>D</v>
          </cell>
          <cell r="J1047">
            <v>29375</v>
          </cell>
          <cell r="K1047">
            <v>33420</v>
          </cell>
          <cell r="L1047" t="str">
            <v>21</v>
          </cell>
          <cell r="M1047" t="str">
            <v>A</v>
          </cell>
          <cell r="N1047">
            <v>33420</v>
          </cell>
          <cell r="P1047">
            <v>22</v>
          </cell>
          <cell r="Q1047" t="str">
            <v>O</v>
          </cell>
          <cell r="R1047" t="str">
            <v>N</v>
          </cell>
          <cell r="S1047">
            <v>0</v>
          </cell>
          <cell r="T1047" t="str">
            <v>M</v>
          </cell>
          <cell r="U1047" t="str">
            <v>MALIKA BENT MAATI</v>
          </cell>
          <cell r="X1047">
            <v>4</v>
          </cell>
          <cell r="Y1047">
            <v>4</v>
          </cell>
          <cell r="AB1047" t="str">
            <v>X</v>
          </cell>
          <cell r="AC1047" t="str">
            <v>X</v>
          </cell>
          <cell r="AD1047" t="str">
            <v>X</v>
          </cell>
          <cell r="AH1047" t="str">
            <v>N</v>
          </cell>
          <cell r="AI1047" t="str">
            <v>N</v>
          </cell>
          <cell r="AK1047" t="str">
            <v>105 RUE 19 KOREA OUED ZEM</v>
          </cell>
          <cell r="AL1047" t="str">
            <v>CM2</v>
          </cell>
          <cell r="AN1047" t="str">
            <v>41═63═86</v>
          </cell>
          <cell r="AP1047" t="str">
            <v>Q 800401</v>
          </cell>
          <cell r="AQ1047">
            <v>0</v>
          </cell>
          <cell r="AR1047" t="str">
            <v>C</v>
          </cell>
          <cell r="AU1047" t="str">
            <v>/  /</v>
          </cell>
          <cell r="AW1047">
            <v>38169</v>
          </cell>
          <cell r="AY1047" t="str">
            <v>XX</v>
          </cell>
          <cell r="BA1047" t="str">
            <v>2</v>
          </cell>
          <cell r="BB1047">
            <v>1</v>
          </cell>
          <cell r="BD1047">
            <v>0</v>
          </cell>
          <cell r="BE1047" t="str">
            <v>M</v>
          </cell>
          <cell r="BF1047" t="str">
            <v>N</v>
          </cell>
          <cell r="BG1047">
            <v>30</v>
          </cell>
          <cell r="BH1047">
            <v>38169</v>
          </cell>
          <cell r="BI1047" t="str">
            <v>O</v>
          </cell>
        </row>
        <row r="1048">
          <cell r="A1048">
            <v>71956</v>
          </cell>
          <cell r="B1048">
            <v>428</v>
          </cell>
          <cell r="C1048" t="str">
            <v>C4152</v>
          </cell>
          <cell r="D1048" t="str">
            <v>CHAHID</v>
          </cell>
          <cell r="E1048" t="str">
            <v>EL MOSTAFA</v>
          </cell>
          <cell r="F1048">
            <v>20883</v>
          </cell>
          <cell r="G1048" t="str">
            <v>1</v>
          </cell>
          <cell r="H1048" t="str">
            <v>KHOURIBGA</v>
          </cell>
          <cell r="I1048" t="str">
            <v>D</v>
          </cell>
          <cell r="J1048">
            <v>29377</v>
          </cell>
          <cell r="K1048">
            <v>36526</v>
          </cell>
          <cell r="L1048" t="str">
            <v>22</v>
          </cell>
          <cell r="M1048" t="str">
            <v>A</v>
          </cell>
          <cell r="N1048">
            <v>36526</v>
          </cell>
          <cell r="P1048">
            <v>22</v>
          </cell>
          <cell r="Q1048" t="str">
            <v>O</v>
          </cell>
          <cell r="R1048" t="str">
            <v>N</v>
          </cell>
          <cell r="S1048">
            <v>0</v>
          </cell>
          <cell r="T1048" t="str">
            <v>M</v>
          </cell>
          <cell r="U1048" t="str">
            <v>FATIHA BT MOHAMED</v>
          </cell>
          <cell r="X1048">
            <v>4</v>
          </cell>
          <cell r="Y1048">
            <v>4</v>
          </cell>
          <cell r="AB1048" t="str">
            <v>X</v>
          </cell>
          <cell r="AC1048" t="str">
            <v>X</v>
          </cell>
          <cell r="AD1048" t="str">
            <v>X</v>
          </cell>
          <cell r="AH1048" t="str">
            <v>N</v>
          </cell>
          <cell r="AI1048" t="str">
            <v>N</v>
          </cell>
          <cell r="AK1048" t="str">
            <v>200 NELLE CONSTRUCTION DE SECHAGE KHGA</v>
          </cell>
          <cell r="AL1048" t="str">
            <v>CM2</v>
          </cell>
          <cell r="AP1048" t="str">
            <v>Q 84286</v>
          </cell>
          <cell r="AQ1048">
            <v>0</v>
          </cell>
          <cell r="AR1048" t="str">
            <v>B</v>
          </cell>
          <cell r="AS1048" t="str">
            <v>WAFABANK - KHGA</v>
          </cell>
          <cell r="AT1048" t="str">
            <v>12203013525-14</v>
          </cell>
          <cell r="AU1048" t="str">
            <v>/  /</v>
          </cell>
          <cell r="AW1048">
            <v>39264</v>
          </cell>
          <cell r="AY1048" t="str">
            <v>XX</v>
          </cell>
          <cell r="BA1048" t="str">
            <v>1</v>
          </cell>
          <cell r="BB1048">
            <v>1</v>
          </cell>
          <cell r="BD1048">
            <v>0</v>
          </cell>
          <cell r="BE1048" t="str">
            <v>M</v>
          </cell>
          <cell r="BF1048" t="str">
            <v>N</v>
          </cell>
          <cell r="BG1048">
            <v>4</v>
          </cell>
          <cell r="BH1048">
            <v>39264</v>
          </cell>
        </row>
        <row r="1049">
          <cell r="A1049">
            <v>71957</v>
          </cell>
          <cell r="B1049">
            <v>426</v>
          </cell>
          <cell r="C1049" t="str">
            <v>C2000</v>
          </cell>
          <cell r="D1049" t="str">
            <v>IRAZANI</v>
          </cell>
          <cell r="E1049" t="str">
            <v>KHADIR</v>
          </cell>
          <cell r="F1049">
            <v>20636</v>
          </cell>
          <cell r="H1049" t="str">
            <v>LOULAD - SETTAT</v>
          </cell>
          <cell r="I1049" t="str">
            <v>D</v>
          </cell>
          <cell r="J1049">
            <v>29377</v>
          </cell>
          <cell r="K1049">
            <v>31594</v>
          </cell>
          <cell r="L1049" t="str">
            <v>12</v>
          </cell>
          <cell r="M1049" t="str">
            <v>C</v>
          </cell>
          <cell r="N1049">
            <v>35977</v>
          </cell>
          <cell r="P1049">
            <v>22</v>
          </cell>
          <cell r="Q1049" t="str">
            <v>O</v>
          </cell>
          <cell r="R1049" t="str">
            <v>N</v>
          </cell>
          <cell r="S1049">
            <v>0</v>
          </cell>
          <cell r="T1049" t="str">
            <v>M</v>
          </cell>
          <cell r="U1049" t="str">
            <v>FATNA BENT SALAH</v>
          </cell>
          <cell r="V1049" t="str">
            <v>ZGHAIDA HABIBA BENT MOHAMED</v>
          </cell>
          <cell r="X1049">
            <v>7</v>
          </cell>
          <cell r="Y1049">
            <v>4</v>
          </cell>
          <cell r="AB1049" t="str">
            <v>X</v>
          </cell>
          <cell r="AC1049" t="str">
            <v>X</v>
          </cell>
          <cell r="AD1049" t="str">
            <v>X</v>
          </cell>
          <cell r="AH1049" t="str">
            <v>N</v>
          </cell>
          <cell r="AI1049" t="str">
            <v>N</v>
          </cell>
          <cell r="AK1049" t="str">
            <v>51 HAY EL QODS II B2 - KHGA</v>
          </cell>
          <cell r="AL1049" t="str">
            <v>CM2</v>
          </cell>
          <cell r="AP1049" t="str">
            <v>Q 17522</v>
          </cell>
          <cell r="AQ1049">
            <v>0</v>
          </cell>
          <cell r="AR1049" t="str">
            <v>B</v>
          </cell>
          <cell r="AS1049" t="str">
            <v>B.M.C.E  KHGA</v>
          </cell>
          <cell r="AT1049" t="str">
            <v>400001200000817573</v>
          </cell>
          <cell r="AU1049" t="str">
            <v>/  /</v>
          </cell>
          <cell r="AW1049">
            <v>39083</v>
          </cell>
          <cell r="AY1049" t="str">
            <v>XX</v>
          </cell>
          <cell r="BA1049" t="str">
            <v>1</v>
          </cell>
          <cell r="BB1049">
            <v>1</v>
          </cell>
          <cell r="BD1049">
            <v>0</v>
          </cell>
          <cell r="BE1049" t="str">
            <v>M</v>
          </cell>
          <cell r="BF1049" t="str">
            <v>N</v>
          </cell>
          <cell r="BG1049">
            <v>4</v>
          </cell>
          <cell r="BH1049">
            <v>39083</v>
          </cell>
          <cell r="BI1049" t="str">
            <v>O</v>
          </cell>
        </row>
        <row r="1050">
          <cell r="A1050">
            <v>71958</v>
          </cell>
          <cell r="B1050">
            <v>428</v>
          </cell>
          <cell r="C1050" t="str">
            <v>C3152</v>
          </cell>
          <cell r="D1050" t="str">
            <v>NEBDAOUI</v>
          </cell>
          <cell r="E1050" t="str">
            <v>EL MOSTAFA</v>
          </cell>
          <cell r="F1050">
            <v>20256</v>
          </cell>
          <cell r="G1050" t="str">
            <v>1</v>
          </cell>
          <cell r="H1050" t="str">
            <v>KHOURIBGA</v>
          </cell>
          <cell r="I1050" t="str">
            <v>D</v>
          </cell>
          <cell r="J1050">
            <v>29377</v>
          </cell>
          <cell r="K1050">
            <v>33420</v>
          </cell>
          <cell r="L1050" t="str">
            <v>21</v>
          </cell>
          <cell r="M1050" t="str">
            <v>A</v>
          </cell>
          <cell r="N1050">
            <v>33420</v>
          </cell>
          <cell r="P1050">
            <v>22</v>
          </cell>
          <cell r="Q1050" t="str">
            <v>O</v>
          </cell>
          <cell r="R1050" t="str">
            <v>N</v>
          </cell>
          <cell r="S1050">
            <v>0</v>
          </cell>
          <cell r="T1050" t="str">
            <v>M</v>
          </cell>
          <cell r="U1050" t="str">
            <v>FATIMA BENT EL MAATI</v>
          </cell>
          <cell r="X1050">
            <v>4</v>
          </cell>
          <cell r="Y1050">
            <v>5</v>
          </cell>
          <cell r="AB1050" t="str">
            <v>X</v>
          </cell>
          <cell r="AC1050" t="str">
            <v>X</v>
          </cell>
          <cell r="AD1050" t="str">
            <v>X</v>
          </cell>
          <cell r="AH1050" t="str">
            <v>N</v>
          </cell>
          <cell r="AI1050" t="str">
            <v>N</v>
          </cell>
          <cell r="AK1050" t="str">
            <v>587 NELLE MEDINA DE SECHAGE KHOURIBGA</v>
          </cell>
          <cell r="AL1050" t="str">
            <v>CM2</v>
          </cell>
          <cell r="AP1050" t="str">
            <v>Q 10459</v>
          </cell>
          <cell r="AQ1050">
            <v>0</v>
          </cell>
          <cell r="AR1050" t="str">
            <v>B</v>
          </cell>
          <cell r="AS1050" t="str">
            <v>B.M.C.E - KHGA</v>
          </cell>
          <cell r="AT1050" t="str">
            <v>400001200000789055</v>
          </cell>
          <cell r="AU1050" t="str">
            <v>/  /</v>
          </cell>
          <cell r="AW1050">
            <v>39083</v>
          </cell>
          <cell r="AY1050" t="str">
            <v>XX</v>
          </cell>
          <cell r="BA1050" t="str">
            <v>1</v>
          </cell>
          <cell r="BB1050">
            <v>1</v>
          </cell>
          <cell r="BD1050">
            <v>0</v>
          </cell>
          <cell r="BE1050" t="str">
            <v>M</v>
          </cell>
          <cell r="BF1050" t="str">
            <v>N</v>
          </cell>
          <cell r="BG1050">
            <v>4</v>
          </cell>
          <cell r="BH1050">
            <v>39083</v>
          </cell>
        </row>
        <row r="1051">
          <cell r="A1051">
            <v>71959</v>
          </cell>
          <cell r="B1051">
            <v>446</v>
          </cell>
          <cell r="C1051" t="str">
            <v>C2050</v>
          </cell>
          <cell r="D1051" t="str">
            <v>FAKINE</v>
          </cell>
          <cell r="E1051" t="str">
            <v>BOUABID</v>
          </cell>
          <cell r="F1051">
            <v>20636</v>
          </cell>
          <cell r="G1051" t="str">
            <v>1</v>
          </cell>
          <cell r="H1051" t="str">
            <v>EL FOKRA - KHOURIBGA</v>
          </cell>
          <cell r="I1051" t="str">
            <v>D</v>
          </cell>
          <cell r="J1051">
            <v>29378</v>
          </cell>
          <cell r="K1051">
            <v>31594</v>
          </cell>
          <cell r="L1051" t="str">
            <v>12</v>
          </cell>
          <cell r="M1051" t="str">
            <v>C</v>
          </cell>
          <cell r="N1051">
            <v>35977</v>
          </cell>
          <cell r="O1051">
            <v>0</v>
          </cell>
          <cell r="P1051">
            <v>22</v>
          </cell>
          <cell r="Q1051" t="str">
            <v>O</v>
          </cell>
          <cell r="R1051" t="str">
            <v>N</v>
          </cell>
          <cell r="S1051">
            <v>0</v>
          </cell>
          <cell r="T1051" t="str">
            <v>M</v>
          </cell>
          <cell r="U1051" t="str">
            <v>FATNA BENT BOUAZZA</v>
          </cell>
          <cell r="X1051">
            <v>6</v>
          </cell>
          <cell r="Y1051">
            <v>3</v>
          </cell>
          <cell r="AB1051" t="str">
            <v>X</v>
          </cell>
          <cell r="AC1051" t="str">
            <v>X</v>
          </cell>
          <cell r="AD1051" t="str">
            <v>X</v>
          </cell>
          <cell r="AH1051" t="str">
            <v>N</v>
          </cell>
          <cell r="AI1051" t="str">
            <v>N</v>
          </cell>
          <cell r="AK1051" t="str">
            <v>918 VILLAGE OCP BOULANOUAR</v>
          </cell>
          <cell r="AL1051" t="str">
            <v>CM2</v>
          </cell>
          <cell r="AP1051" t="str">
            <v>Q 75361</v>
          </cell>
          <cell r="AQ1051">
            <v>0</v>
          </cell>
          <cell r="AR1051" t="str">
            <v>B</v>
          </cell>
          <cell r="AS1051" t="str">
            <v>SGMB - KHGA</v>
          </cell>
          <cell r="AT1051" t="str">
            <v>067000940416541</v>
          </cell>
          <cell r="AU1051" t="str">
            <v>/  /</v>
          </cell>
          <cell r="AW1051">
            <v>39083</v>
          </cell>
          <cell r="AY1051" t="str">
            <v>XX</v>
          </cell>
          <cell r="BA1051" t="str">
            <v>2</v>
          </cell>
          <cell r="BB1051">
            <v>1</v>
          </cell>
          <cell r="BD1051">
            <v>0</v>
          </cell>
          <cell r="BE1051" t="str">
            <v>M</v>
          </cell>
          <cell r="BF1051" t="str">
            <v>N</v>
          </cell>
          <cell r="BG1051">
            <v>40</v>
          </cell>
          <cell r="BH1051">
            <v>39083</v>
          </cell>
        </row>
        <row r="1052">
          <cell r="A1052">
            <v>71963</v>
          </cell>
          <cell r="B1052">
            <v>428</v>
          </cell>
          <cell r="C1052" t="str">
            <v>C2050</v>
          </cell>
          <cell r="D1052" t="str">
            <v>SRIAR</v>
          </cell>
          <cell r="E1052" t="str">
            <v>JILALI</v>
          </cell>
          <cell r="F1052">
            <v>19704</v>
          </cell>
          <cell r="G1052" t="str">
            <v>2</v>
          </cell>
          <cell r="H1052" t="str">
            <v>OUED-ZEM</v>
          </cell>
          <cell r="I1052" t="str">
            <v>D</v>
          </cell>
          <cell r="J1052">
            <v>29376</v>
          </cell>
          <cell r="K1052">
            <v>31594</v>
          </cell>
          <cell r="L1052" t="str">
            <v>12</v>
          </cell>
          <cell r="M1052" t="str">
            <v>C</v>
          </cell>
          <cell r="N1052">
            <v>35977</v>
          </cell>
          <cell r="P1052">
            <v>22</v>
          </cell>
          <cell r="Q1052" t="str">
            <v>O</v>
          </cell>
          <cell r="R1052" t="str">
            <v>N</v>
          </cell>
          <cell r="S1052">
            <v>0</v>
          </cell>
          <cell r="T1052" t="str">
            <v>M</v>
          </cell>
          <cell r="U1052" t="str">
            <v>FATNA BENT SALAH</v>
          </cell>
          <cell r="X1052">
            <v>6</v>
          </cell>
          <cell r="Y1052">
            <v>3</v>
          </cell>
          <cell r="AB1052" t="str">
            <v>X</v>
          </cell>
          <cell r="AC1052" t="str">
            <v>X</v>
          </cell>
          <cell r="AD1052" t="str">
            <v>X</v>
          </cell>
          <cell r="AH1052" t="str">
            <v>N</v>
          </cell>
          <cell r="AI1052" t="str">
            <v>N</v>
          </cell>
          <cell r="AK1052" t="str">
            <v>16 RUE 10 DAR DAOU - OUED ZEM</v>
          </cell>
          <cell r="AL1052" t="str">
            <v>CM2</v>
          </cell>
          <cell r="AP1052" t="str">
            <v>Q 19665</v>
          </cell>
          <cell r="AQ1052">
            <v>0</v>
          </cell>
          <cell r="AR1052" t="str">
            <v>B</v>
          </cell>
          <cell r="AS1052" t="str">
            <v>BMCE - O.ZEM</v>
          </cell>
          <cell r="AT1052" t="str">
            <v>4110001200000527340</v>
          </cell>
          <cell r="AU1052" t="str">
            <v>/  /</v>
          </cell>
          <cell r="AW1052">
            <v>39083</v>
          </cell>
          <cell r="AY1052" t="str">
            <v>XX</v>
          </cell>
          <cell r="AZ1052" t="str">
            <v>K</v>
          </cell>
          <cell r="BA1052" t="str">
            <v>2</v>
          </cell>
          <cell r="BB1052">
            <v>1</v>
          </cell>
          <cell r="BD1052">
            <v>0</v>
          </cell>
          <cell r="BE1052" t="str">
            <v>M</v>
          </cell>
          <cell r="BF1052" t="str">
            <v>N</v>
          </cell>
          <cell r="BG1052">
            <v>30</v>
          </cell>
          <cell r="BH1052">
            <v>39083</v>
          </cell>
          <cell r="BI1052" t="str">
            <v>O</v>
          </cell>
        </row>
        <row r="1053">
          <cell r="A1053">
            <v>71966</v>
          </cell>
          <cell r="B1053">
            <v>468</v>
          </cell>
          <cell r="C1053" t="str">
            <v>C3050</v>
          </cell>
          <cell r="D1053" t="str">
            <v>LABZAGUI</v>
          </cell>
          <cell r="E1053" t="str">
            <v>MOHAMMED</v>
          </cell>
          <cell r="F1053">
            <v>20636</v>
          </cell>
          <cell r="G1053" t="str">
            <v>1</v>
          </cell>
          <cell r="H1053" t="str">
            <v>OULED BHAR KBAR KHOURIBGA</v>
          </cell>
          <cell r="I1053" t="str">
            <v>D</v>
          </cell>
          <cell r="J1053">
            <v>29378</v>
          </cell>
          <cell r="K1053">
            <v>37012</v>
          </cell>
          <cell r="L1053" t="str">
            <v>21</v>
          </cell>
          <cell r="M1053" t="str">
            <v>A</v>
          </cell>
          <cell r="N1053">
            <v>37012</v>
          </cell>
          <cell r="P1053">
            <v>22</v>
          </cell>
          <cell r="Q1053" t="str">
            <v>O</v>
          </cell>
          <cell r="R1053" t="str">
            <v>N</v>
          </cell>
          <cell r="S1053">
            <v>0</v>
          </cell>
          <cell r="T1053" t="str">
            <v>M</v>
          </cell>
          <cell r="U1053" t="str">
            <v>ZAHRA BENT MAATI</v>
          </cell>
          <cell r="X1053">
            <v>5</v>
          </cell>
          <cell r="Y1053">
            <v>5</v>
          </cell>
          <cell r="AB1053" t="str">
            <v>X</v>
          </cell>
          <cell r="AC1053" t="str">
            <v>X</v>
          </cell>
          <cell r="AD1053" t="str">
            <v>X</v>
          </cell>
          <cell r="AH1053" t="str">
            <v>N</v>
          </cell>
          <cell r="AI1053" t="str">
            <v>N</v>
          </cell>
          <cell r="AK1053" t="str">
            <v>51 HABITAT - BIR MEZOUI</v>
          </cell>
          <cell r="AL1053" t="str">
            <v>ILLETTRE</v>
          </cell>
          <cell r="AP1053" t="str">
            <v>Q 83243</v>
          </cell>
          <cell r="AQ1053">
            <v>0</v>
          </cell>
          <cell r="AR1053" t="str">
            <v>B</v>
          </cell>
          <cell r="AS1053" t="str">
            <v>CREDIT AGRIC-KHGA</v>
          </cell>
          <cell r="AT1053" t="str">
            <v>0805475A601</v>
          </cell>
          <cell r="AU1053" t="str">
            <v>/  /</v>
          </cell>
          <cell r="AW1053">
            <v>39083</v>
          </cell>
          <cell r="AY1053" t="str">
            <v>XX</v>
          </cell>
          <cell r="AZ1053" t="str">
            <v>R</v>
          </cell>
          <cell r="BA1053" t="str">
            <v>1</v>
          </cell>
          <cell r="BB1053">
            <v>1</v>
          </cell>
          <cell r="BD1053">
            <v>0</v>
          </cell>
          <cell r="BE1053" t="str">
            <v>M</v>
          </cell>
          <cell r="BF1053" t="str">
            <v>N</v>
          </cell>
          <cell r="BG1053">
            <v>60</v>
          </cell>
          <cell r="BH1053">
            <v>39083</v>
          </cell>
          <cell r="BI1053" t="str">
            <v>O</v>
          </cell>
        </row>
        <row r="1054">
          <cell r="A1054">
            <v>71970</v>
          </cell>
          <cell r="B1054">
            <v>428</v>
          </cell>
          <cell r="C1054" t="str">
            <v>C3152</v>
          </cell>
          <cell r="D1054" t="str">
            <v>BOUGTAIRA</v>
          </cell>
          <cell r="E1054" t="str">
            <v>ALLAL</v>
          </cell>
          <cell r="F1054">
            <v>17714</v>
          </cell>
          <cell r="G1054" t="str">
            <v>1</v>
          </cell>
          <cell r="H1054" t="str">
            <v>OULED BHAR SGHAR KHOURIBGA</v>
          </cell>
          <cell r="I1054" t="str">
            <v>D</v>
          </cell>
          <cell r="J1054">
            <v>29378</v>
          </cell>
          <cell r="K1054">
            <v>37377</v>
          </cell>
          <cell r="L1054" t="str">
            <v>21</v>
          </cell>
          <cell r="M1054" t="str">
            <v>A</v>
          </cell>
          <cell r="N1054">
            <v>37377</v>
          </cell>
          <cell r="P1054">
            <v>22</v>
          </cell>
          <cell r="Q1054" t="str">
            <v>O</v>
          </cell>
          <cell r="R1054" t="str">
            <v>N</v>
          </cell>
          <cell r="S1054">
            <v>0</v>
          </cell>
          <cell r="T1054" t="str">
            <v>M</v>
          </cell>
          <cell r="U1054" t="str">
            <v>BOUGTAIRA R'KIA BT EL MOULOUDI</v>
          </cell>
          <cell r="X1054">
            <v>8</v>
          </cell>
          <cell r="Y1054">
            <v>4</v>
          </cell>
          <cell r="AB1054" t="str">
            <v>X</v>
          </cell>
          <cell r="AC1054" t="str">
            <v>X</v>
          </cell>
          <cell r="AD1054" t="str">
            <v>X</v>
          </cell>
          <cell r="AH1054" t="str">
            <v>N</v>
          </cell>
          <cell r="AI1054" t="str">
            <v>N</v>
          </cell>
          <cell r="AK1054" t="str">
            <v>100/101 VILLAGE O.C.P - BOUJNIBA</v>
          </cell>
          <cell r="AL1054" t="str">
            <v>ILLETTRE</v>
          </cell>
          <cell r="AP1054" t="str">
            <v>Q 80728</v>
          </cell>
          <cell r="AQ1054">
            <v>0</v>
          </cell>
          <cell r="AR1054" t="str">
            <v>C</v>
          </cell>
          <cell r="AU1054" t="str">
            <v>/  /</v>
          </cell>
          <cell r="AW1054">
            <v>37803</v>
          </cell>
          <cell r="AY1054" t="str">
            <v>XX</v>
          </cell>
          <cell r="AZ1054" t="str">
            <v>R</v>
          </cell>
          <cell r="BA1054" t="str">
            <v>1</v>
          </cell>
          <cell r="BB1054">
            <v>1</v>
          </cell>
          <cell r="BD1054">
            <v>0</v>
          </cell>
          <cell r="BE1054" t="str">
            <v>M</v>
          </cell>
          <cell r="BF1054" t="str">
            <v>N</v>
          </cell>
          <cell r="BG1054">
            <v>52</v>
          </cell>
          <cell r="BH1054">
            <v>37803</v>
          </cell>
        </row>
        <row r="1055">
          <cell r="A1055">
            <v>71972</v>
          </cell>
          <cell r="B1055">
            <v>468</v>
          </cell>
          <cell r="C1055" t="str">
            <v>C2152</v>
          </cell>
          <cell r="D1055" t="str">
            <v>HMAMI</v>
          </cell>
          <cell r="E1055" t="str">
            <v>EL MAATI</v>
          </cell>
          <cell r="F1055">
            <v>21001</v>
          </cell>
          <cell r="G1055" t="str">
            <v>2</v>
          </cell>
          <cell r="H1055" t="str">
            <v>BENI SMIR OUED-ZEM</v>
          </cell>
          <cell r="I1055" t="str">
            <v>D</v>
          </cell>
          <cell r="J1055">
            <v>29378</v>
          </cell>
          <cell r="K1055">
            <v>31594</v>
          </cell>
          <cell r="L1055" t="str">
            <v>12</v>
          </cell>
          <cell r="M1055" t="str">
            <v>C</v>
          </cell>
          <cell r="N1055">
            <v>35977</v>
          </cell>
          <cell r="P1055">
            <v>22</v>
          </cell>
          <cell r="Q1055" t="str">
            <v>O</v>
          </cell>
          <cell r="R1055" t="str">
            <v>N</v>
          </cell>
          <cell r="S1055">
            <v>0</v>
          </cell>
          <cell r="T1055" t="str">
            <v>M</v>
          </cell>
          <cell r="U1055" t="str">
            <v>ZOHRA BENT SALAH</v>
          </cell>
          <cell r="X1055">
            <v>5</v>
          </cell>
          <cell r="Y1055">
            <v>2</v>
          </cell>
          <cell r="AB1055" t="str">
            <v>X</v>
          </cell>
          <cell r="AC1055" t="str">
            <v>X</v>
          </cell>
          <cell r="AD1055" t="str">
            <v>X</v>
          </cell>
          <cell r="AH1055" t="str">
            <v>N</v>
          </cell>
          <cell r="AI1055" t="str">
            <v>N</v>
          </cell>
          <cell r="AK1055" t="str">
            <v>44 RUE 13 ZIDANIA 1 OUED ZEM</v>
          </cell>
          <cell r="AL1055" t="str">
            <v>CM2</v>
          </cell>
          <cell r="AP1055" t="str">
            <v>Q 92016</v>
          </cell>
          <cell r="AQ1055">
            <v>0</v>
          </cell>
          <cell r="AR1055" t="str">
            <v>B</v>
          </cell>
          <cell r="AS1055" t="str">
            <v>POPULAIRE.O-ZEM</v>
          </cell>
          <cell r="AT1055" t="str">
            <v>2111136290180003</v>
          </cell>
          <cell r="AU1055" t="str">
            <v>/  /</v>
          </cell>
          <cell r="AW1055">
            <v>39264</v>
          </cell>
          <cell r="AY1055" t="str">
            <v>XX</v>
          </cell>
          <cell r="BA1055" t="str">
            <v>1</v>
          </cell>
          <cell r="BB1055">
            <v>1</v>
          </cell>
          <cell r="BD1055">
            <v>0</v>
          </cell>
          <cell r="BE1055" t="str">
            <v>M</v>
          </cell>
          <cell r="BF1055" t="str">
            <v>N</v>
          </cell>
          <cell r="BG1055">
            <v>31</v>
          </cell>
          <cell r="BH1055">
            <v>39264</v>
          </cell>
          <cell r="BI1055" t="str">
            <v>O</v>
          </cell>
        </row>
        <row r="1056">
          <cell r="A1056">
            <v>71973</v>
          </cell>
          <cell r="B1056">
            <v>446</v>
          </cell>
          <cell r="C1056" t="str">
            <v>C3152</v>
          </cell>
          <cell r="D1056" t="str">
            <v>SALLAM</v>
          </cell>
          <cell r="E1056" t="str">
            <v>AHMED</v>
          </cell>
          <cell r="F1056">
            <v>20275</v>
          </cell>
          <cell r="G1056" t="str">
            <v>6</v>
          </cell>
          <cell r="H1056" t="str">
            <v>M'FASSIS</v>
          </cell>
          <cell r="I1056" t="str">
            <v>D</v>
          </cell>
          <cell r="J1056">
            <v>29381</v>
          </cell>
          <cell r="K1056">
            <v>33420</v>
          </cell>
          <cell r="L1056" t="str">
            <v>21</v>
          </cell>
          <cell r="M1056" t="str">
            <v>A</v>
          </cell>
          <cell r="N1056">
            <v>33420</v>
          </cell>
          <cell r="O1056">
            <v>0</v>
          </cell>
          <cell r="P1056">
            <v>22</v>
          </cell>
          <cell r="Q1056" t="str">
            <v>O</v>
          </cell>
          <cell r="R1056" t="str">
            <v>N</v>
          </cell>
          <cell r="S1056">
            <v>3</v>
          </cell>
          <cell r="T1056" t="str">
            <v>M</v>
          </cell>
          <cell r="U1056" t="str">
            <v>EL RHADFA BENT ABDELAZIZ</v>
          </cell>
          <cell r="X1056">
            <v>1</v>
          </cell>
          <cell r="Y1056">
            <v>1</v>
          </cell>
          <cell r="AB1056" t="str">
            <v>X</v>
          </cell>
          <cell r="AC1056" t="str">
            <v>X</v>
          </cell>
          <cell r="AD1056" t="str">
            <v>X</v>
          </cell>
          <cell r="AH1056" t="str">
            <v>N</v>
          </cell>
          <cell r="AI1056" t="str">
            <v>N</v>
          </cell>
          <cell r="AK1056" t="str">
            <v>997 VILLAGE O.C.P - HATTANE</v>
          </cell>
          <cell r="AL1056" t="str">
            <v>ILLETTRE</v>
          </cell>
          <cell r="AP1056" t="str">
            <v>Q 34118</v>
          </cell>
          <cell r="AQ1056">
            <v>0</v>
          </cell>
          <cell r="AR1056" t="str">
            <v>B</v>
          </cell>
          <cell r="AS1056" t="str">
            <v>BMCE - KHGA</v>
          </cell>
          <cell r="AT1056" t="str">
            <v>4000001200001383374</v>
          </cell>
          <cell r="AU1056" t="str">
            <v>/  /</v>
          </cell>
          <cell r="AW1056">
            <v>39083</v>
          </cell>
          <cell r="AY1056" t="str">
            <v>XX</v>
          </cell>
          <cell r="BA1056" t="str">
            <v>1</v>
          </cell>
          <cell r="BB1056">
            <v>1</v>
          </cell>
          <cell r="BD1056">
            <v>0</v>
          </cell>
          <cell r="BE1056" t="str">
            <v>M</v>
          </cell>
          <cell r="BF1056" t="str">
            <v>N</v>
          </cell>
          <cell r="BG1056">
            <v>0</v>
          </cell>
          <cell r="BH1056">
            <v>39083</v>
          </cell>
        </row>
        <row r="1057">
          <cell r="A1057">
            <v>71974</v>
          </cell>
          <cell r="B1057">
            <v>413</v>
          </cell>
          <cell r="C1057" t="str">
            <v>C3152</v>
          </cell>
          <cell r="D1057" t="str">
            <v>HICHAMI</v>
          </cell>
          <cell r="E1057" t="str">
            <v>ABDELOUAHED</v>
          </cell>
          <cell r="F1057">
            <v>20506</v>
          </cell>
          <cell r="G1057" t="str">
            <v>1</v>
          </cell>
          <cell r="H1057" t="str">
            <v>OULED BHAR KBAR KHOURIBGA</v>
          </cell>
          <cell r="I1057" t="str">
            <v>D</v>
          </cell>
          <cell r="J1057">
            <v>29381</v>
          </cell>
          <cell r="K1057">
            <v>37012</v>
          </cell>
          <cell r="L1057" t="str">
            <v>21</v>
          </cell>
          <cell r="M1057" t="str">
            <v>A</v>
          </cell>
          <cell r="N1057">
            <v>37012</v>
          </cell>
          <cell r="P1057">
            <v>22</v>
          </cell>
          <cell r="Q1057" t="str">
            <v>O</v>
          </cell>
          <cell r="R1057" t="str">
            <v>N</v>
          </cell>
          <cell r="S1057">
            <v>0</v>
          </cell>
          <cell r="T1057" t="str">
            <v>M</v>
          </cell>
          <cell r="U1057" t="str">
            <v>MANI KHADIJA BENT MOHAMED</v>
          </cell>
          <cell r="X1057">
            <v>6</v>
          </cell>
          <cell r="Y1057">
            <v>5</v>
          </cell>
          <cell r="AB1057" t="str">
            <v>X</v>
          </cell>
          <cell r="AC1057" t="str">
            <v>X</v>
          </cell>
          <cell r="AD1057" t="str">
            <v>X</v>
          </cell>
          <cell r="AH1057" t="str">
            <v>N</v>
          </cell>
          <cell r="AI1057" t="str">
            <v>N</v>
          </cell>
          <cell r="AK1057" t="str">
            <v>204 VILLAGE O.C.P - BOUJNIBA</v>
          </cell>
          <cell r="AL1057" t="str">
            <v>ILLETTRE</v>
          </cell>
          <cell r="AP1057" t="str">
            <v>Q 21402</v>
          </cell>
          <cell r="AQ1057">
            <v>0</v>
          </cell>
          <cell r="AR1057" t="str">
            <v>C</v>
          </cell>
          <cell r="AU1057" t="str">
            <v>/  /</v>
          </cell>
          <cell r="AW1057">
            <v>39083</v>
          </cell>
          <cell r="AY1057" t="str">
            <v>XX</v>
          </cell>
          <cell r="BA1057" t="str">
            <v>1</v>
          </cell>
          <cell r="BB1057">
            <v>1</v>
          </cell>
          <cell r="BD1057">
            <v>0</v>
          </cell>
          <cell r="BE1057" t="str">
            <v>M</v>
          </cell>
          <cell r="BF1057" t="str">
            <v>N</v>
          </cell>
          <cell r="BG1057">
            <v>50</v>
          </cell>
          <cell r="BH1057">
            <v>39083</v>
          </cell>
          <cell r="BI1057" t="str">
            <v>O</v>
          </cell>
        </row>
        <row r="1058">
          <cell r="A1058">
            <v>71987</v>
          </cell>
          <cell r="B1058">
            <v>418</v>
          </cell>
          <cell r="C1058" t="str">
            <v>C5102</v>
          </cell>
          <cell r="D1058" t="str">
            <v>BOUCHTA</v>
          </cell>
          <cell r="E1058" t="str">
            <v>ABDELLATIF</v>
          </cell>
          <cell r="F1058">
            <v>18079</v>
          </cell>
          <cell r="H1058" t="str">
            <v>CASABLANCA</v>
          </cell>
          <cell r="I1058" t="str">
            <v>D</v>
          </cell>
          <cell r="J1058">
            <v>29389</v>
          </cell>
          <cell r="K1058">
            <v>33420</v>
          </cell>
          <cell r="L1058" t="str">
            <v>31</v>
          </cell>
          <cell r="M1058" t="str">
            <v>A</v>
          </cell>
          <cell r="N1058">
            <v>33420</v>
          </cell>
          <cell r="P1058">
            <v>22</v>
          </cell>
          <cell r="Q1058" t="str">
            <v>O</v>
          </cell>
          <cell r="R1058" t="str">
            <v>N</v>
          </cell>
          <cell r="S1058">
            <v>0</v>
          </cell>
          <cell r="T1058" t="str">
            <v>M</v>
          </cell>
          <cell r="U1058" t="str">
            <v>EL JARRADY LATIFA BT SLIMANE</v>
          </cell>
          <cell r="X1058">
            <v>2</v>
          </cell>
          <cell r="Y1058">
            <v>2</v>
          </cell>
          <cell r="AB1058" t="str">
            <v>N</v>
          </cell>
          <cell r="AC1058" t="str">
            <v>X</v>
          </cell>
          <cell r="AD1058" t="str">
            <v>X</v>
          </cell>
          <cell r="AH1058" t="str">
            <v>N</v>
          </cell>
          <cell r="AI1058" t="str">
            <v>N</v>
          </cell>
          <cell r="AK1058" t="str">
            <v>17 RUE DE MARRAKECH - KHGA</v>
          </cell>
          <cell r="AL1058" t="str">
            <v>4AS.ARABISEE</v>
          </cell>
          <cell r="AM1058" t="str">
            <v>CES.</v>
          </cell>
          <cell r="AP1058" t="str">
            <v>B 219617</v>
          </cell>
          <cell r="AQ1058">
            <v>0</v>
          </cell>
          <cell r="AR1058" t="str">
            <v>B</v>
          </cell>
          <cell r="AS1058" t="str">
            <v>C.I.H - KHGA</v>
          </cell>
          <cell r="AT1058" t="str">
            <v>31967712110047</v>
          </cell>
          <cell r="AU1058" t="str">
            <v>/  /</v>
          </cell>
          <cell r="AW1058">
            <v>38169</v>
          </cell>
          <cell r="AY1058" t="str">
            <v>XX</v>
          </cell>
          <cell r="AZ1058" t="str">
            <v>R</v>
          </cell>
          <cell r="BA1058" t="str">
            <v>1</v>
          </cell>
          <cell r="BB1058">
            <v>1</v>
          </cell>
          <cell r="BD1058">
            <v>0</v>
          </cell>
          <cell r="BE1058" t="str">
            <v>M</v>
          </cell>
          <cell r="BF1058" t="str">
            <v>N</v>
          </cell>
          <cell r="BG1058">
            <v>1</v>
          </cell>
          <cell r="BH1058">
            <v>38169</v>
          </cell>
        </row>
        <row r="1059">
          <cell r="A1059">
            <v>71995</v>
          </cell>
          <cell r="B1059">
            <v>418</v>
          </cell>
          <cell r="C1059" t="str">
            <v>C3020</v>
          </cell>
          <cell r="D1059" t="str">
            <v>EL MJABBER</v>
          </cell>
          <cell r="E1059" t="str">
            <v>ABDELKADER</v>
          </cell>
          <cell r="F1059">
            <v>19905</v>
          </cell>
          <cell r="G1059" t="str">
            <v>1</v>
          </cell>
          <cell r="H1059" t="str">
            <v>OULED BHAR KBAR KHOURIBGA</v>
          </cell>
          <cell r="I1059" t="str">
            <v>D</v>
          </cell>
          <cell r="J1059">
            <v>29402</v>
          </cell>
          <cell r="K1059">
            <v>33420</v>
          </cell>
          <cell r="L1059" t="str">
            <v>21</v>
          </cell>
          <cell r="M1059" t="str">
            <v>A</v>
          </cell>
          <cell r="N1059">
            <v>33420</v>
          </cell>
          <cell r="P1059">
            <v>22</v>
          </cell>
          <cell r="Q1059" t="str">
            <v>O</v>
          </cell>
          <cell r="R1059" t="str">
            <v>N</v>
          </cell>
          <cell r="S1059">
            <v>0</v>
          </cell>
          <cell r="T1059" t="str">
            <v>M</v>
          </cell>
          <cell r="U1059" t="str">
            <v>LAAJAJ LATIFA BENT ALLAL</v>
          </cell>
          <cell r="X1059">
            <v>4</v>
          </cell>
          <cell r="Y1059">
            <v>4</v>
          </cell>
          <cell r="AB1059" t="str">
            <v>X</v>
          </cell>
          <cell r="AC1059" t="str">
            <v>X</v>
          </cell>
          <cell r="AD1059" t="str">
            <v>X</v>
          </cell>
          <cell r="AH1059" t="str">
            <v>N</v>
          </cell>
          <cell r="AI1059" t="str">
            <v>N</v>
          </cell>
          <cell r="AK1059" t="str">
            <v>580 NELLE MEDINA DE SECHAGE KHOURIBGA</v>
          </cell>
          <cell r="AL1059" t="str">
            <v>CM2</v>
          </cell>
          <cell r="AP1059" t="str">
            <v>Q 28708</v>
          </cell>
          <cell r="AQ1059">
            <v>0</v>
          </cell>
          <cell r="AR1059" t="str">
            <v>B</v>
          </cell>
          <cell r="AS1059" t="str">
            <v>BMCE - KHGA</v>
          </cell>
          <cell r="AT1059" t="str">
            <v>000001200001386284</v>
          </cell>
          <cell r="AU1059" t="str">
            <v>02/02/13</v>
          </cell>
          <cell r="AW1059">
            <v>39083</v>
          </cell>
          <cell r="AY1059" t="str">
            <v>A+</v>
          </cell>
          <cell r="BA1059" t="str">
            <v>0</v>
          </cell>
          <cell r="BB1059">
            <v>1</v>
          </cell>
          <cell r="BD1059">
            <v>0</v>
          </cell>
          <cell r="BE1059" t="str">
            <v>M</v>
          </cell>
          <cell r="BF1059" t="str">
            <v>N</v>
          </cell>
          <cell r="BG1059">
            <v>1</v>
          </cell>
          <cell r="BH1059">
            <v>39083</v>
          </cell>
        </row>
        <row r="1060">
          <cell r="A1060">
            <v>72000</v>
          </cell>
          <cell r="B1060">
            <v>421</v>
          </cell>
          <cell r="C1060" t="str">
            <v>X3150</v>
          </cell>
          <cell r="D1060" t="str">
            <v>SADRANI</v>
          </cell>
          <cell r="E1060" t="str">
            <v>MOHAMMED</v>
          </cell>
          <cell r="F1060">
            <v>21538</v>
          </cell>
          <cell r="G1060" t="str">
            <v>1</v>
          </cell>
          <cell r="H1060" t="str">
            <v>KHOURIBGA</v>
          </cell>
          <cell r="I1060" t="str">
            <v>F</v>
          </cell>
          <cell r="J1060">
            <v>29406</v>
          </cell>
          <cell r="K1060">
            <v>35612</v>
          </cell>
          <cell r="L1060" t="str">
            <v>41</v>
          </cell>
          <cell r="M1060" t="str">
            <v>A</v>
          </cell>
          <cell r="N1060">
            <v>35612</v>
          </cell>
          <cell r="P1060">
            <v>22</v>
          </cell>
          <cell r="Q1060" t="str">
            <v>O</v>
          </cell>
          <cell r="R1060" t="str">
            <v>N</v>
          </cell>
          <cell r="S1060">
            <v>0</v>
          </cell>
          <cell r="T1060" t="str">
            <v>M</v>
          </cell>
          <cell r="U1060" t="str">
            <v>JEMAA BENT LAHSEN</v>
          </cell>
          <cell r="X1060">
            <v>4</v>
          </cell>
          <cell r="Y1060">
            <v>4</v>
          </cell>
          <cell r="AB1060" t="str">
            <v>X</v>
          </cell>
          <cell r="AC1060" t="str">
            <v>X</v>
          </cell>
          <cell r="AD1060" t="str">
            <v>X</v>
          </cell>
          <cell r="AH1060" t="str">
            <v>N</v>
          </cell>
          <cell r="AI1060" t="str">
            <v>N</v>
          </cell>
          <cell r="AK1060" t="str">
            <v>7 RUE AGHMATE BLOC Q NAHDA KHOURIBGA</v>
          </cell>
          <cell r="AL1060" t="str">
            <v>4AS</v>
          </cell>
          <cell r="AM1060" t="str">
            <v>CFP.CFO</v>
          </cell>
          <cell r="AP1060" t="str">
            <v>Q 66749</v>
          </cell>
          <cell r="AQ1060">
            <v>0</v>
          </cell>
          <cell r="AR1060" t="str">
            <v>B</v>
          </cell>
          <cell r="AS1060" t="str">
            <v>C.I.H - KHGA</v>
          </cell>
          <cell r="AT1060" t="str">
            <v>9585498211004700</v>
          </cell>
          <cell r="AU1060" t="str">
            <v>/  /</v>
          </cell>
          <cell r="AW1060">
            <v>39814</v>
          </cell>
          <cell r="AY1060" t="str">
            <v>XX</v>
          </cell>
          <cell r="AZ1060" t="str">
            <v>M</v>
          </cell>
          <cell r="BA1060" t="str">
            <v>1</v>
          </cell>
          <cell r="BB1060">
            <v>1</v>
          </cell>
          <cell r="BC1060" t="str">
            <v>O</v>
          </cell>
          <cell r="BD1060">
            <v>4</v>
          </cell>
          <cell r="BE1060" t="str">
            <v>M</v>
          </cell>
          <cell r="BF1060" t="str">
            <v>N</v>
          </cell>
          <cell r="BG1060">
            <v>4</v>
          </cell>
          <cell r="BH1060">
            <v>39995</v>
          </cell>
        </row>
        <row r="1061">
          <cell r="A1061">
            <v>72086</v>
          </cell>
          <cell r="B1061">
            <v>461</v>
          </cell>
          <cell r="C1061" t="str">
            <v>C6002</v>
          </cell>
          <cell r="D1061" t="str">
            <v>JABBAHI</v>
          </cell>
          <cell r="E1061" t="str">
            <v>MOHAMED</v>
          </cell>
          <cell r="F1061">
            <v>20790</v>
          </cell>
          <cell r="G1061" t="str">
            <v>2</v>
          </cell>
          <cell r="H1061" t="str">
            <v>BENI SMIR - KHOURIBGA</v>
          </cell>
          <cell r="I1061" t="str">
            <v>D</v>
          </cell>
          <cell r="J1061">
            <v>29427</v>
          </cell>
          <cell r="K1061">
            <v>33573</v>
          </cell>
          <cell r="L1061" t="str">
            <v>32</v>
          </cell>
          <cell r="M1061" t="str">
            <v>A</v>
          </cell>
          <cell r="N1061">
            <v>33573</v>
          </cell>
          <cell r="P1061">
            <v>22</v>
          </cell>
          <cell r="Q1061" t="str">
            <v>O</v>
          </cell>
          <cell r="R1061" t="str">
            <v>N</v>
          </cell>
          <cell r="S1061">
            <v>0</v>
          </cell>
          <cell r="T1061" t="str">
            <v>M</v>
          </cell>
          <cell r="U1061" t="str">
            <v>CHEKAIRI MALIKA BT ABDESSELAM</v>
          </cell>
          <cell r="X1061">
            <v>5</v>
          </cell>
          <cell r="Y1061">
            <v>5</v>
          </cell>
          <cell r="AB1061" t="str">
            <v>X</v>
          </cell>
          <cell r="AC1061" t="str">
            <v>X</v>
          </cell>
          <cell r="AD1061" t="str">
            <v>X</v>
          </cell>
          <cell r="AH1061" t="str">
            <v>N</v>
          </cell>
          <cell r="AI1061" t="str">
            <v>N</v>
          </cell>
          <cell r="AK1061" t="str">
            <v>112 RUE SIDI ABDELAZIZ OUED ZEM</v>
          </cell>
          <cell r="AL1061" t="str">
            <v>4AS</v>
          </cell>
          <cell r="AM1061" t="str">
            <v>CES.CFO</v>
          </cell>
          <cell r="AP1061" t="str">
            <v>Q  38212</v>
          </cell>
          <cell r="AQ1061">
            <v>0</v>
          </cell>
          <cell r="AR1061" t="str">
            <v>B</v>
          </cell>
          <cell r="AS1061" t="str">
            <v>C.R - MAR.KHGA</v>
          </cell>
          <cell r="AT1061" t="str">
            <v>082001055546</v>
          </cell>
          <cell r="AU1061" t="str">
            <v>/  /</v>
          </cell>
          <cell r="AW1061">
            <v>39083</v>
          </cell>
          <cell r="AY1061" t="str">
            <v>XX</v>
          </cell>
          <cell r="BA1061" t="str">
            <v>2</v>
          </cell>
          <cell r="BB1061">
            <v>1</v>
          </cell>
          <cell r="BD1061">
            <v>0</v>
          </cell>
          <cell r="BE1061" t="str">
            <v>M</v>
          </cell>
          <cell r="BF1061" t="str">
            <v>N</v>
          </cell>
          <cell r="BG1061">
            <v>31</v>
          </cell>
          <cell r="BH1061">
            <v>39264</v>
          </cell>
        </row>
        <row r="1062">
          <cell r="A1062">
            <v>72093</v>
          </cell>
          <cell r="B1062">
            <v>410</v>
          </cell>
          <cell r="C1062" t="str">
            <v>C3262</v>
          </cell>
          <cell r="D1062" t="str">
            <v>SELLAMI</v>
          </cell>
          <cell r="E1062" t="str">
            <v>MOHAMED</v>
          </cell>
          <cell r="F1062">
            <v>19175</v>
          </cell>
          <cell r="G1062" t="str">
            <v>1</v>
          </cell>
          <cell r="H1062" t="str">
            <v>OULED ABDOUNE</v>
          </cell>
          <cell r="I1062" t="str">
            <v>D</v>
          </cell>
          <cell r="J1062">
            <v>29427</v>
          </cell>
          <cell r="K1062">
            <v>36526</v>
          </cell>
          <cell r="L1062" t="str">
            <v>21</v>
          </cell>
          <cell r="M1062" t="str">
            <v>A</v>
          </cell>
          <cell r="N1062">
            <v>36526</v>
          </cell>
          <cell r="P1062">
            <v>22</v>
          </cell>
          <cell r="Q1062" t="str">
            <v>O</v>
          </cell>
          <cell r="R1062" t="str">
            <v>N</v>
          </cell>
          <cell r="S1062">
            <v>0</v>
          </cell>
          <cell r="T1062" t="str">
            <v>M</v>
          </cell>
          <cell r="U1062" t="str">
            <v>SELLAMI SAADIA BENT JILALI</v>
          </cell>
          <cell r="X1062">
            <v>5</v>
          </cell>
          <cell r="Y1062">
            <v>4</v>
          </cell>
          <cell r="AB1062" t="str">
            <v>X</v>
          </cell>
          <cell r="AC1062" t="str">
            <v>X</v>
          </cell>
          <cell r="AD1062" t="str">
            <v>X</v>
          </cell>
          <cell r="AH1062" t="str">
            <v>O</v>
          </cell>
          <cell r="AI1062" t="str">
            <v>N</v>
          </cell>
          <cell r="AK1062" t="str">
            <v>348 VILLAGE O.C.P - BOULANOIR</v>
          </cell>
          <cell r="AL1062" t="str">
            <v>ILLETTRE</v>
          </cell>
          <cell r="AP1062" t="str">
            <v>Q 78642</v>
          </cell>
          <cell r="AQ1062">
            <v>0</v>
          </cell>
          <cell r="AR1062" t="str">
            <v>C</v>
          </cell>
          <cell r="AU1062" t="str">
            <v>/  /</v>
          </cell>
          <cell r="AW1062">
            <v>39083</v>
          </cell>
          <cell r="AY1062" t="str">
            <v>XX</v>
          </cell>
          <cell r="BA1062" t="str">
            <v>1</v>
          </cell>
          <cell r="BB1062">
            <v>1</v>
          </cell>
          <cell r="BD1062">
            <v>0</v>
          </cell>
          <cell r="BE1062" t="str">
            <v>M</v>
          </cell>
          <cell r="BF1062" t="str">
            <v>N</v>
          </cell>
          <cell r="BG1062">
            <v>40</v>
          </cell>
          <cell r="BH1062">
            <v>39083</v>
          </cell>
        </row>
        <row r="1063">
          <cell r="A1063">
            <v>72098</v>
          </cell>
          <cell r="B1063">
            <v>423</v>
          </cell>
          <cell r="C1063" t="str">
            <v>C3200</v>
          </cell>
          <cell r="D1063" t="str">
            <v>LAMHAMDI</v>
          </cell>
          <cell r="E1063" t="str">
            <v>MOHAMMED</v>
          </cell>
          <cell r="F1063">
            <v>20270</v>
          </cell>
          <cell r="G1063" t="str">
            <v>1</v>
          </cell>
          <cell r="H1063" t="str">
            <v>ROICHED - KHOURIBGA</v>
          </cell>
          <cell r="I1063" t="str">
            <v>D</v>
          </cell>
          <cell r="J1063">
            <v>29431</v>
          </cell>
          <cell r="K1063">
            <v>35674</v>
          </cell>
          <cell r="L1063" t="str">
            <v>21</v>
          </cell>
          <cell r="M1063" t="str">
            <v>A</v>
          </cell>
          <cell r="N1063">
            <v>35674</v>
          </cell>
          <cell r="P1063">
            <v>22</v>
          </cell>
          <cell r="Q1063" t="str">
            <v>O</v>
          </cell>
          <cell r="R1063" t="str">
            <v>N</v>
          </cell>
          <cell r="S1063">
            <v>0</v>
          </cell>
          <cell r="T1063" t="str">
            <v>M</v>
          </cell>
          <cell r="U1063" t="str">
            <v>SOUHAIL JAMAA BT HAJ MILOUDI</v>
          </cell>
          <cell r="X1063">
            <v>4</v>
          </cell>
          <cell r="Y1063">
            <v>4</v>
          </cell>
          <cell r="AB1063" t="str">
            <v>X</v>
          </cell>
          <cell r="AC1063" t="str">
            <v>X</v>
          </cell>
          <cell r="AD1063" t="str">
            <v>X</v>
          </cell>
          <cell r="AH1063" t="str">
            <v>N</v>
          </cell>
          <cell r="AI1063" t="str">
            <v>N</v>
          </cell>
          <cell r="AK1063" t="str">
            <v>1349 SBATA VILLAGE OCP HATTANE</v>
          </cell>
          <cell r="AL1063" t="str">
            <v>CM2</v>
          </cell>
          <cell r="AP1063" t="str">
            <v>Q 86598</v>
          </cell>
          <cell r="AQ1063">
            <v>0</v>
          </cell>
          <cell r="AR1063" t="str">
            <v>B</v>
          </cell>
          <cell r="AS1063" t="str">
            <v>POPULAIRE.KHGA</v>
          </cell>
          <cell r="AT1063" t="str">
            <v>2111136312670007</v>
          </cell>
          <cell r="AU1063" t="str">
            <v>/  /</v>
          </cell>
          <cell r="AW1063">
            <v>41073</v>
          </cell>
          <cell r="AX1063">
            <v>41073</v>
          </cell>
          <cell r="AY1063" t="str">
            <v>XX</v>
          </cell>
          <cell r="BA1063" t="str">
            <v>2</v>
          </cell>
          <cell r="BB1063">
            <v>1</v>
          </cell>
          <cell r="BD1063">
            <v>0</v>
          </cell>
          <cell r="BE1063" t="str">
            <v>M</v>
          </cell>
          <cell r="BF1063" t="str">
            <v>N</v>
          </cell>
          <cell r="BG1063">
            <v>11</v>
          </cell>
          <cell r="BH1063">
            <v>39083</v>
          </cell>
        </row>
        <row r="1064">
          <cell r="A1064">
            <v>72102</v>
          </cell>
          <cell r="B1064">
            <v>411</v>
          </cell>
          <cell r="C1064" t="str">
            <v>C3152</v>
          </cell>
          <cell r="D1064" t="str">
            <v>RAIS</v>
          </cell>
          <cell r="E1064" t="str">
            <v>EL ARBI</v>
          </cell>
          <cell r="F1064">
            <v>20270</v>
          </cell>
          <cell r="G1064" t="str">
            <v>1</v>
          </cell>
          <cell r="H1064" t="str">
            <v>OULED BHAR KBAR KHOURIBGA</v>
          </cell>
          <cell r="I1064" t="str">
            <v>D</v>
          </cell>
          <cell r="J1064">
            <v>29427</v>
          </cell>
          <cell r="K1064">
            <v>33420</v>
          </cell>
          <cell r="L1064" t="str">
            <v>21</v>
          </cell>
          <cell r="M1064" t="str">
            <v>B</v>
          </cell>
          <cell r="N1064">
            <v>35612</v>
          </cell>
          <cell r="P1064">
            <v>22</v>
          </cell>
          <cell r="Q1064" t="str">
            <v>O</v>
          </cell>
          <cell r="R1064" t="str">
            <v>N</v>
          </cell>
          <cell r="S1064">
            <v>0</v>
          </cell>
          <cell r="T1064" t="str">
            <v>M</v>
          </cell>
          <cell r="U1064" t="str">
            <v>GHADFA BENT MOHAMED ES-SOUALHI</v>
          </cell>
          <cell r="X1064">
            <v>5</v>
          </cell>
          <cell r="Y1064">
            <v>5</v>
          </cell>
          <cell r="AB1064" t="str">
            <v>X</v>
          </cell>
          <cell r="AC1064" t="str">
            <v>X</v>
          </cell>
          <cell r="AD1064" t="str">
            <v>X</v>
          </cell>
          <cell r="AH1064" t="str">
            <v>N</v>
          </cell>
          <cell r="AI1064" t="str">
            <v>N</v>
          </cell>
          <cell r="AK1064" t="str">
            <v>1087 VILLAGE OCP BOULANOIR</v>
          </cell>
          <cell r="AL1064" t="str">
            <v>ILLETTRE</v>
          </cell>
          <cell r="AP1064" t="str">
            <v>Q 13508</v>
          </cell>
          <cell r="AQ1064">
            <v>0</v>
          </cell>
          <cell r="AR1064" t="str">
            <v>B</v>
          </cell>
          <cell r="AS1064" t="str">
            <v>BMCE - KHGA</v>
          </cell>
          <cell r="AT1064" t="str">
            <v>4000001200001480277</v>
          </cell>
          <cell r="AU1064" t="str">
            <v>/  /</v>
          </cell>
          <cell r="AW1064">
            <v>39083</v>
          </cell>
          <cell r="AY1064" t="str">
            <v>XX</v>
          </cell>
          <cell r="BA1064" t="str">
            <v>1</v>
          </cell>
          <cell r="BB1064">
            <v>1</v>
          </cell>
          <cell r="BD1064">
            <v>0</v>
          </cell>
          <cell r="BE1064" t="str">
            <v>M</v>
          </cell>
          <cell r="BF1064" t="str">
            <v>N</v>
          </cell>
          <cell r="BG1064">
            <v>40</v>
          </cell>
          <cell r="BH1064">
            <v>39083</v>
          </cell>
        </row>
        <row r="1065">
          <cell r="A1065">
            <v>72107</v>
          </cell>
          <cell r="B1065">
            <v>468</v>
          </cell>
          <cell r="C1065" t="str">
            <v>C2152</v>
          </cell>
          <cell r="D1065" t="str">
            <v>EL AKKAOUI</v>
          </cell>
          <cell r="E1065" t="str">
            <v>MOHAMMED</v>
          </cell>
          <cell r="F1065">
            <v>20885</v>
          </cell>
          <cell r="G1065" t="str">
            <v>2</v>
          </cell>
          <cell r="H1065" t="str">
            <v>OUED-ZEM</v>
          </cell>
          <cell r="I1065" t="str">
            <v>D</v>
          </cell>
          <cell r="J1065">
            <v>29427</v>
          </cell>
          <cell r="K1065">
            <v>31625</v>
          </cell>
          <cell r="L1065" t="str">
            <v>12</v>
          </cell>
          <cell r="M1065" t="str">
            <v>C</v>
          </cell>
          <cell r="N1065">
            <v>36008</v>
          </cell>
          <cell r="P1065">
            <v>22</v>
          </cell>
          <cell r="Q1065" t="str">
            <v>O</v>
          </cell>
          <cell r="R1065" t="str">
            <v>N</v>
          </cell>
          <cell r="S1065">
            <v>0</v>
          </cell>
          <cell r="T1065" t="str">
            <v>M</v>
          </cell>
          <cell r="U1065" t="str">
            <v>IDA BENT M'HAMED RAFIA</v>
          </cell>
          <cell r="X1065">
            <v>4</v>
          </cell>
          <cell r="Y1065">
            <v>3</v>
          </cell>
          <cell r="AB1065" t="str">
            <v>X</v>
          </cell>
          <cell r="AC1065" t="str">
            <v>X</v>
          </cell>
          <cell r="AD1065" t="str">
            <v>X</v>
          </cell>
          <cell r="AH1065" t="str">
            <v>N</v>
          </cell>
          <cell r="AI1065" t="str">
            <v>N</v>
          </cell>
          <cell r="AK1065" t="str">
            <v>68 RUE BENI AMIR - OUED ZEM</v>
          </cell>
          <cell r="AL1065" t="str">
            <v>CM2</v>
          </cell>
          <cell r="AP1065" t="str">
            <v>Q 93559</v>
          </cell>
          <cell r="AQ1065">
            <v>0</v>
          </cell>
          <cell r="AR1065" t="str">
            <v>C</v>
          </cell>
          <cell r="AU1065" t="str">
            <v>/  /</v>
          </cell>
          <cell r="AW1065">
            <v>39264</v>
          </cell>
          <cell r="AY1065" t="str">
            <v>XX</v>
          </cell>
          <cell r="BA1065" t="str">
            <v>1</v>
          </cell>
          <cell r="BB1065">
            <v>1</v>
          </cell>
          <cell r="BD1065">
            <v>0</v>
          </cell>
          <cell r="BE1065" t="str">
            <v>M</v>
          </cell>
          <cell r="BF1065" t="str">
            <v>N</v>
          </cell>
          <cell r="BG1065">
            <v>31</v>
          </cell>
          <cell r="BH1065">
            <v>39264</v>
          </cell>
          <cell r="BI1065" t="str">
            <v>O</v>
          </cell>
        </row>
        <row r="1066">
          <cell r="A1066">
            <v>72110</v>
          </cell>
          <cell r="B1066">
            <v>403</v>
          </cell>
          <cell r="C1066" t="str">
            <v>C3801</v>
          </cell>
          <cell r="D1066" t="str">
            <v>SABIL</v>
          </cell>
          <cell r="E1066" t="str">
            <v>AHMED</v>
          </cell>
          <cell r="F1066">
            <v>20762</v>
          </cell>
          <cell r="G1066" t="str">
            <v>1</v>
          </cell>
          <cell r="H1066" t="str">
            <v>OULED BHAR KBAR KHOURIBGA</v>
          </cell>
          <cell r="I1066" t="str">
            <v>D</v>
          </cell>
          <cell r="J1066">
            <v>29431</v>
          </cell>
          <cell r="K1066">
            <v>32325</v>
          </cell>
          <cell r="L1066" t="str">
            <v>21</v>
          </cell>
          <cell r="M1066" t="str">
            <v>A</v>
          </cell>
          <cell r="N1066">
            <v>32325</v>
          </cell>
          <cell r="P1066">
            <v>22</v>
          </cell>
          <cell r="Q1066" t="str">
            <v>O</v>
          </cell>
          <cell r="R1066" t="str">
            <v>N</v>
          </cell>
          <cell r="S1066">
            <v>0</v>
          </cell>
          <cell r="T1066" t="str">
            <v>M</v>
          </cell>
          <cell r="U1066" t="str">
            <v>YAMNA BENT AHMED RAKHCHAOUI</v>
          </cell>
          <cell r="X1066">
            <v>5</v>
          </cell>
          <cell r="Y1066">
            <v>5</v>
          </cell>
          <cell r="AB1066" t="str">
            <v>X</v>
          </cell>
          <cell r="AC1066" t="str">
            <v>X</v>
          </cell>
          <cell r="AD1066" t="str">
            <v>X</v>
          </cell>
          <cell r="AH1066" t="str">
            <v>N</v>
          </cell>
          <cell r="AI1066" t="str">
            <v>N</v>
          </cell>
          <cell r="AK1066" t="str">
            <v>492 VILLAGE OCP BOUJNIBA</v>
          </cell>
          <cell r="AL1066" t="str">
            <v>2AS</v>
          </cell>
          <cell r="AP1066" t="str">
            <v>Q 43651</v>
          </cell>
          <cell r="AQ1066">
            <v>0</v>
          </cell>
          <cell r="AR1066" t="str">
            <v>B</v>
          </cell>
          <cell r="AS1066" t="str">
            <v>POPULAIRE.KHGA</v>
          </cell>
          <cell r="AT1066" t="str">
            <v>2111112828650007</v>
          </cell>
          <cell r="AU1066" t="str">
            <v>21/01/12</v>
          </cell>
          <cell r="AW1066">
            <v>39083</v>
          </cell>
          <cell r="AY1066" t="str">
            <v>A+</v>
          </cell>
          <cell r="AZ1066" t="str">
            <v>R</v>
          </cell>
          <cell r="BA1066" t="str">
            <v>0</v>
          </cell>
          <cell r="BB1066">
            <v>1</v>
          </cell>
          <cell r="BD1066">
            <v>0</v>
          </cell>
          <cell r="BE1066" t="str">
            <v>M</v>
          </cell>
          <cell r="BF1066" t="str">
            <v>N</v>
          </cell>
          <cell r="BG1066">
            <v>50</v>
          </cell>
          <cell r="BH1066">
            <v>39083</v>
          </cell>
        </row>
        <row r="1067">
          <cell r="A1067">
            <v>72111</v>
          </cell>
          <cell r="B1067">
            <v>403</v>
          </cell>
          <cell r="C1067" t="str">
            <v>C2000</v>
          </cell>
          <cell r="D1067" t="str">
            <v>JALAN</v>
          </cell>
          <cell r="E1067" t="str">
            <v>MOHAMED</v>
          </cell>
          <cell r="F1067">
            <v>19905</v>
          </cell>
          <cell r="H1067" t="str">
            <v>LOULAD - SETTAT</v>
          </cell>
          <cell r="I1067" t="str">
            <v>D</v>
          </cell>
          <cell r="J1067">
            <v>29434</v>
          </cell>
          <cell r="K1067">
            <v>31656</v>
          </cell>
          <cell r="L1067" t="str">
            <v>12</v>
          </cell>
          <cell r="M1067" t="str">
            <v>C</v>
          </cell>
          <cell r="N1067">
            <v>36039</v>
          </cell>
          <cell r="P1067">
            <v>22</v>
          </cell>
          <cell r="Q1067" t="str">
            <v>O</v>
          </cell>
          <cell r="R1067" t="str">
            <v>N</v>
          </cell>
          <cell r="S1067">
            <v>0</v>
          </cell>
          <cell r="T1067" t="str">
            <v>M</v>
          </cell>
          <cell r="U1067" t="str">
            <v>SAIDI ZOUBIDA BENT ABDESLAM</v>
          </cell>
          <cell r="X1067">
            <v>3</v>
          </cell>
          <cell r="Y1067">
            <v>3</v>
          </cell>
          <cell r="AB1067" t="str">
            <v>X</v>
          </cell>
          <cell r="AC1067" t="str">
            <v>X</v>
          </cell>
          <cell r="AD1067" t="str">
            <v>X</v>
          </cell>
          <cell r="AH1067" t="str">
            <v>N</v>
          </cell>
          <cell r="AI1067" t="str">
            <v>N</v>
          </cell>
          <cell r="AK1067" t="str">
            <v>662 VILLAGE OCP BOULANOUAR</v>
          </cell>
          <cell r="AL1067" t="str">
            <v>ILLETTRE</v>
          </cell>
          <cell r="AP1067" t="str">
            <v>Q 76991</v>
          </cell>
          <cell r="AQ1067">
            <v>0</v>
          </cell>
          <cell r="AR1067" t="str">
            <v>B</v>
          </cell>
          <cell r="AS1067" t="str">
            <v>POPULAIRE.KHGA</v>
          </cell>
          <cell r="AT1067" t="str">
            <v>211111283613000073</v>
          </cell>
          <cell r="AU1067" t="str">
            <v>/  /</v>
          </cell>
          <cell r="AW1067">
            <v>39083</v>
          </cell>
          <cell r="AY1067" t="str">
            <v>XX</v>
          </cell>
          <cell r="BA1067" t="str">
            <v>1</v>
          </cell>
          <cell r="BB1067">
            <v>1</v>
          </cell>
          <cell r="BD1067">
            <v>0</v>
          </cell>
          <cell r="BE1067" t="str">
            <v>M</v>
          </cell>
          <cell r="BF1067" t="str">
            <v>N</v>
          </cell>
          <cell r="BG1067">
            <v>40</v>
          </cell>
          <cell r="BH1067">
            <v>39083</v>
          </cell>
        </row>
        <row r="1068">
          <cell r="A1068">
            <v>72116</v>
          </cell>
          <cell r="B1068">
            <v>468</v>
          </cell>
          <cell r="C1068" t="str">
            <v>C3152</v>
          </cell>
          <cell r="D1068" t="str">
            <v>ZAIR</v>
          </cell>
          <cell r="E1068" t="str">
            <v>BOUAZZA</v>
          </cell>
          <cell r="F1068">
            <v>18809</v>
          </cell>
          <cell r="G1068" t="str">
            <v>1</v>
          </cell>
          <cell r="H1068" t="str">
            <v>OULED BHAR KBAR KHOURIBGA</v>
          </cell>
          <cell r="I1068" t="str">
            <v>D</v>
          </cell>
          <cell r="J1068">
            <v>29431</v>
          </cell>
          <cell r="K1068">
            <v>37377</v>
          </cell>
          <cell r="L1068" t="str">
            <v>21</v>
          </cell>
          <cell r="M1068" t="str">
            <v>A</v>
          </cell>
          <cell r="N1068">
            <v>37377</v>
          </cell>
          <cell r="P1068">
            <v>22</v>
          </cell>
          <cell r="Q1068" t="str">
            <v>O</v>
          </cell>
          <cell r="R1068" t="str">
            <v>N</v>
          </cell>
          <cell r="S1068">
            <v>0</v>
          </cell>
          <cell r="T1068" t="str">
            <v>M</v>
          </cell>
          <cell r="U1068" t="str">
            <v>KHADIJA BENT MOHAMED</v>
          </cell>
          <cell r="X1068">
            <v>1</v>
          </cell>
          <cell r="Y1068">
            <v>1</v>
          </cell>
          <cell r="Z1068" t="str">
            <v>N</v>
          </cell>
          <cell r="AB1068" t="str">
            <v>X</v>
          </cell>
          <cell r="AC1068" t="str">
            <v>X</v>
          </cell>
          <cell r="AD1068" t="str">
            <v>X</v>
          </cell>
          <cell r="AH1068" t="str">
            <v>N</v>
          </cell>
          <cell r="AI1068" t="str">
            <v>N</v>
          </cell>
          <cell r="AK1068" t="str">
            <v>09 VILLAGE OCP  - OUED ZEM</v>
          </cell>
          <cell r="AL1068" t="str">
            <v>CM2</v>
          </cell>
          <cell r="AO1068" t="str">
            <v>.</v>
          </cell>
          <cell r="AP1068" t="str">
            <v>Q 33582</v>
          </cell>
          <cell r="AQ1068">
            <v>0</v>
          </cell>
          <cell r="AR1068" t="str">
            <v>B</v>
          </cell>
          <cell r="AS1068" t="str">
            <v>BMCI - OUED ZEM</v>
          </cell>
          <cell r="AT1068" t="str">
            <v>02521785727301</v>
          </cell>
          <cell r="AU1068" t="str">
            <v>/  /</v>
          </cell>
          <cell r="AW1068">
            <v>38899</v>
          </cell>
          <cell r="AY1068" t="str">
            <v>XX</v>
          </cell>
          <cell r="BA1068" t="str">
            <v>1</v>
          </cell>
          <cell r="BB1068">
            <v>1</v>
          </cell>
          <cell r="BD1068">
            <v>0</v>
          </cell>
          <cell r="BE1068" t="str">
            <v>M</v>
          </cell>
          <cell r="BF1068" t="str">
            <v>N</v>
          </cell>
          <cell r="BG1068">
            <v>31</v>
          </cell>
          <cell r="BH1068">
            <v>38899</v>
          </cell>
          <cell r="BI1068" t="str">
            <v>O</v>
          </cell>
        </row>
        <row r="1069">
          <cell r="A1069">
            <v>72119</v>
          </cell>
          <cell r="B1069">
            <v>446</v>
          </cell>
          <cell r="C1069" t="str">
            <v>C2050</v>
          </cell>
          <cell r="D1069" t="str">
            <v>ZEHHAF</v>
          </cell>
          <cell r="E1069" t="str">
            <v>MOHAMMED</v>
          </cell>
          <cell r="F1069">
            <v>20420</v>
          </cell>
          <cell r="G1069" t="str">
            <v>1</v>
          </cell>
          <cell r="H1069" t="str">
            <v>OULED ABDOUNE</v>
          </cell>
          <cell r="I1069" t="str">
            <v>D</v>
          </cell>
          <cell r="J1069">
            <v>29431</v>
          </cell>
          <cell r="K1069">
            <v>31625</v>
          </cell>
          <cell r="L1069" t="str">
            <v>12</v>
          </cell>
          <cell r="M1069" t="str">
            <v>C</v>
          </cell>
          <cell r="N1069">
            <v>36008</v>
          </cell>
          <cell r="P1069">
            <v>22</v>
          </cell>
          <cell r="Q1069" t="str">
            <v>N</v>
          </cell>
          <cell r="R1069" t="str">
            <v>N</v>
          </cell>
          <cell r="S1069">
            <v>0</v>
          </cell>
          <cell r="T1069" t="str">
            <v>M</v>
          </cell>
          <cell r="U1069" t="str">
            <v>JAMILA BENT HADJ MOHAMED</v>
          </cell>
          <cell r="X1069">
            <v>5</v>
          </cell>
          <cell r="Y1069">
            <v>3</v>
          </cell>
          <cell r="AB1069" t="str">
            <v>X</v>
          </cell>
          <cell r="AC1069" t="str">
            <v>X</v>
          </cell>
          <cell r="AD1069" t="str">
            <v>X</v>
          </cell>
          <cell r="AH1069" t="str">
            <v>N</v>
          </cell>
          <cell r="AI1069" t="str">
            <v>N</v>
          </cell>
          <cell r="AK1069" t="str">
            <v>410 VILLAGE O.C.P - BOULANOIR</v>
          </cell>
          <cell r="AL1069" t="str">
            <v>ILLETTRE</v>
          </cell>
          <cell r="AP1069" t="str">
            <v>Q 83912</v>
          </cell>
          <cell r="AQ1069">
            <v>0</v>
          </cell>
          <cell r="AR1069" t="str">
            <v>B</v>
          </cell>
          <cell r="AS1069" t="str">
            <v>WAFABANK - KHGA</v>
          </cell>
          <cell r="AT1069" t="str">
            <v>1220301348571</v>
          </cell>
          <cell r="AU1069" t="str">
            <v>/  /</v>
          </cell>
          <cell r="AW1069">
            <v>39083</v>
          </cell>
          <cell r="AY1069" t="str">
            <v>XX</v>
          </cell>
          <cell r="AZ1069" t="str">
            <v>R</v>
          </cell>
          <cell r="BA1069" t="str">
            <v>2</v>
          </cell>
          <cell r="BB1069">
            <v>1</v>
          </cell>
          <cell r="BD1069">
            <v>0</v>
          </cell>
          <cell r="BE1069" t="str">
            <v>M</v>
          </cell>
          <cell r="BF1069" t="str">
            <v>N</v>
          </cell>
          <cell r="BG1069">
            <v>0</v>
          </cell>
          <cell r="BH1069">
            <v>39083</v>
          </cell>
        </row>
        <row r="1070">
          <cell r="A1070">
            <v>72123</v>
          </cell>
          <cell r="B1070">
            <v>468</v>
          </cell>
          <cell r="C1070" t="str">
            <v>C2152</v>
          </cell>
          <cell r="D1070" t="str">
            <v>CHABANI</v>
          </cell>
          <cell r="E1070" t="str">
            <v>SALAH</v>
          </cell>
          <cell r="F1070">
            <v>19758</v>
          </cell>
          <cell r="G1070" t="str">
            <v>2</v>
          </cell>
          <cell r="H1070" t="str">
            <v>OUED-ZEM</v>
          </cell>
          <cell r="I1070" t="str">
            <v>D</v>
          </cell>
          <cell r="J1070">
            <v>29437</v>
          </cell>
          <cell r="K1070">
            <v>31656</v>
          </cell>
          <cell r="L1070" t="str">
            <v>12</v>
          </cell>
          <cell r="M1070" t="str">
            <v>C</v>
          </cell>
          <cell r="N1070">
            <v>36039</v>
          </cell>
          <cell r="P1070">
            <v>22</v>
          </cell>
          <cell r="Q1070" t="str">
            <v>O</v>
          </cell>
          <cell r="R1070" t="str">
            <v>N</v>
          </cell>
          <cell r="S1070">
            <v>0</v>
          </cell>
          <cell r="T1070" t="str">
            <v>M</v>
          </cell>
          <cell r="U1070" t="str">
            <v>EL HACHMI SALHA BENT LEKBIR</v>
          </cell>
          <cell r="X1070">
            <v>5</v>
          </cell>
          <cell r="Y1070">
            <v>6</v>
          </cell>
          <cell r="AB1070" t="str">
            <v>X</v>
          </cell>
          <cell r="AC1070" t="str">
            <v>X</v>
          </cell>
          <cell r="AD1070" t="str">
            <v>X</v>
          </cell>
          <cell r="AH1070" t="str">
            <v>N</v>
          </cell>
          <cell r="AI1070" t="str">
            <v>N</v>
          </cell>
          <cell r="AK1070" t="str">
            <v>138 RUE 16 ZIDANIA KOREA - OUED ZEM</v>
          </cell>
          <cell r="AL1070" t="str">
            <v>ILLETTRE</v>
          </cell>
          <cell r="AP1070" t="str">
            <v>Q 39505</v>
          </cell>
          <cell r="AQ1070">
            <v>0</v>
          </cell>
          <cell r="AR1070" t="str">
            <v>B</v>
          </cell>
          <cell r="AS1070" t="str">
            <v>B.M.C.I  O-ZEM</v>
          </cell>
          <cell r="AT1070" t="str">
            <v>02521767588301</v>
          </cell>
          <cell r="AU1070" t="str">
            <v>/  /</v>
          </cell>
          <cell r="AW1070">
            <v>39083</v>
          </cell>
          <cell r="AY1070" t="str">
            <v>XX</v>
          </cell>
          <cell r="BA1070" t="str">
            <v>1</v>
          </cell>
          <cell r="BB1070">
            <v>1</v>
          </cell>
          <cell r="BD1070">
            <v>0</v>
          </cell>
          <cell r="BE1070" t="str">
            <v>M</v>
          </cell>
          <cell r="BF1070" t="str">
            <v>N</v>
          </cell>
          <cell r="BG1070">
            <v>31</v>
          </cell>
          <cell r="BH1070">
            <v>39083</v>
          </cell>
          <cell r="BI1070" t="str">
            <v>O</v>
          </cell>
        </row>
        <row r="1071">
          <cell r="A1071">
            <v>72124</v>
          </cell>
          <cell r="B1071">
            <v>421</v>
          </cell>
          <cell r="C1071" t="str">
            <v>C3152</v>
          </cell>
          <cell r="D1071" t="str">
            <v>HRAITA</v>
          </cell>
          <cell r="E1071" t="str">
            <v>MOHAMMED</v>
          </cell>
          <cell r="F1071">
            <v>19905</v>
          </cell>
          <cell r="G1071" t="str">
            <v>6</v>
          </cell>
          <cell r="H1071" t="str">
            <v>M'FASSIS</v>
          </cell>
          <cell r="I1071" t="str">
            <v>D</v>
          </cell>
          <cell r="J1071">
            <v>29432</v>
          </cell>
          <cell r="K1071">
            <v>36526</v>
          </cell>
          <cell r="L1071" t="str">
            <v>21</v>
          </cell>
          <cell r="M1071" t="str">
            <v>A</v>
          </cell>
          <cell r="N1071">
            <v>36526</v>
          </cell>
          <cell r="P1071">
            <v>22</v>
          </cell>
          <cell r="Q1071" t="str">
            <v>O</v>
          </cell>
          <cell r="R1071" t="str">
            <v>N</v>
          </cell>
          <cell r="S1071">
            <v>0</v>
          </cell>
          <cell r="T1071" t="str">
            <v>M</v>
          </cell>
          <cell r="U1071" t="str">
            <v>FATIMA BENT SALAH</v>
          </cell>
          <cell r="X1071">
            <v>8</v>
          </cell>
          <cell r="Y1071">
            <v>6</v>
          </cell>
          <cell r="AB1071" t="str">
            <v>X</v>
          </cell>
          <cell r="AC1071" t="str">
            <v>X</v>
          </cell>
          <cell r="AD1071" t="str">
            <v>X</v>
          </cell>
          <cell r="AH1071" t="str">
            <v>N</v>
          </cell>
          <cell r="AI1071" t="str">
            <v>N</v>
          </cell>
          <cell r="AK1071" t="str">
            <v>1341 VILLAGE O.C.P - HATTANE</v>
          </cell>
          <cell r="AL1071" t="str">
            <v>CM2</v>
          </cell>
          <cell r="AP1071" t="str">
            <v>Q 8174</v>
          </cell>
          <cell r="AQ1071">
            <v>0</v>
          </cell>
          <cell r="AR1071" t="str">
            <v>C</v>
          </cell>
          <cell r="AU1071" t="str">
            <v>/  /</v>
          </cell>
          <cell r="AW1071">
            <v>39083</v>
          </cell>
          <cell r="AY1071" t="str">
            <v>XX</v>
          </cell>
          <cell r="BA1071" t="str">
            <v>1</v>
          </cell>
          <cell r="BB1071">
            <v>1</v>
          </cell>
          <cell r="BD1071">
            <v>0</v>
          </cell>
          <cell r="BE1071" t="str">
            <v>M</v>
          </cell>
          <cell r="BF1071" t="str">
            <v>N</v>
          </cell>
          <cell r="BG1071">
            <v>11</v>
          </cell>
          <cell r="BH1071">
            <v>39083</v>
          </cell>
        </row>
        <row r="1072">
          <cell r="A1072">
            <v>72130</v>
          </cell>
          <cell r="B1072">
            <v>456</v>
          </cell>
          <cell r="C1072" t="str">
            <v>C2050</v>
          </cell>
          <cell r="D1072" t="str">
            <v>DEBBAJI</v>
          </cell>
          <cell r="E1072" t="str">
            <v>MOHAMMED</v>
          </cell>
          <cell r="F1072">
            <v>21092</v>
          </cell>
          <cell r="G1072" t="str">
            <v>1</v>
          </cell>
          <cell r="H1072" t="str">
            <v>OULED BHAR KBAR KHOURIBGA</v>
          </cell>
          <cell r="I1072" t="str">
            <v>D</v>
          </cell>
          <cell r="J1072">
            <v>29433</v>
          </cell>
          <cell r="K1072">
            <v>31625</v>
          </cell>
          <cell r="L1072" t="str">
            <v>12</v>
          </cell>
          <cell r="M1072" t="str">
            <v>C</v>
          </cell>
          <cell r="N1072">
            <v>36008</v>
          </cell>
          <cell r="O1072">
            <v>0</v>
          </cell>
          <cell r="P1072">
            <v>22</v>
          </cell>
          <cell r="Q1072" t="str">
            <v>N</v>
          </cell>
          <cell r="R1072" t="str">
            <v>O</v>
          </cell>
          <cell r="S1072">
            <v>3</v>
          </cell>
          <cell r="T1072" t="str">
            <v>M</v>
          </cell>
          <cell r="U1072" t="str">
            <v>KHARMOUDI SAADIA BT HAJ CHERKI</v>
          </cell>
          <cell r="X1072">
            <v>7</v>
          </cell>
          <cell r="Y1072">
            <v>6</v>
          </cell>
          <cell r="AB1072" t="str">
            <v>X</v>
          </cell>
          <cell r="AC1072" t="str">
            <v>X</v>
          </cell>
          <cell r="AD1072" t="str">
            <v>X</v>
          </cell>
          <cell r="AH1072" t="str">
            <v>N</v>
          </cell>
          <cell r="AI1072" t="str">
            <v>N</v>
          </cell>
          <cell r="AK1072" t="str">
            <v>DOUAR OULED EL ATI OULED BRAHIM BOUJNIBA</v>
          </cell>
          <cell r="AL1072" t="str">
            <v>CM2</v>
          </cell>
          <cell r="AP1072" t="str">
            <v>Q 80654</v>
          </cell>
          <cell r="AQ1072">
            <v>0</v>
          </cell>
          <cell r="AR1072" t="str">
            <v>C</v>
          </cell>
          <cell r="AU1072" t="str">
            <v>/  /</v>
          </cell>
          <cell r="AW1072">
            <v>39448</v>
          </cell>
          <cell r="AY1072" t="str">
            <v>XX</v>
          </cell>
          <cell r="BA1072" t="str">
            <v>2</v>
          </cell>
          <cell r="BB1072">
            <v>1</v>
          </cell>
          <cell r="BD1072">
            <v>0</v>
          </cell>
          <cell r="BE1072" t="str">
            <v>M</v>
          </cell>
          <cell r="BF1072" t="str">
            <v>N</v>
          </cell>
          <cell r="BG1072">
            <v>0</v>
          </cell>
          <cell r="BH1072">
            <v>39448</v>
          </cell>
        </row>
        <row r="1073">
          <cell r="A1073">
            <v>72131</v>
          </cell>
          <cell r="B1073">
            <v>418</v>
          </cell>
          <cell r="C1073" t="str">
            <v>C4411</v>
          </cell>
          <cell r="D1073" t="str">
            <v>EL BITI</v>
          </cell>
          <cell r="E1073" t="str">
            <v>MOHAMED</v>
          </cell>
          <cell r="F1073">
            <v>19905</v>
          </cell>
          <cell r="G1073" t="str">
            <v>1</v>
          </cell>
          <cell r="H1073" t="str">
            <v>OULED BHAR SGHAR KHOURIBGA</v>
          </cell>
          <cell r="I1073" t="str">
            <v>D</v>
          </cell>
          <cell r="J1073">
            <v>29434</v>
          </cell>
          <cell r="K1073">
            <v>34547</v>
          </cell>
          <cell r="L1073" t="str">
            <v>22</v>
          </cell>
          <cell r="M1073" t="str">
            <v>B</v>
          </cell>
          <cell r="N1073">
            <v>35612</v>
          </cell>
          <cell r="P1073">
            <v>22</v>
          </cell>
          <cell r="Q1073" t="str">
            <v>O</v>
          </cell>
          <cell r="R1073" t="str">
            <v>N</v>
          </cell>
          <cell r="S1073">
            <v>0</v>
          </cell>
          <cell r="T1073" t="str">
            <v>M</v>
          </cell>
          <cell r="U1073" t="str">
            <v>OUAHIB YAMNA BT MOHAMED</v>
          </cell>
          <cell r="X1073">
            <v>6</v>
          </cell>
          <cell r="Y1073">
            <v>6</v>
          </cell>
          <cell r="AB1073" t="str">
            <v>X</v>
          </cell>
          <cell r="AC1073" t="str">
            <v>X</v>
          </cell>
          <cell r="AD1073" t="str">
            <v>X</v>
          </cell>
          <cell r="AH1073" t="str">
            <v>N</v>
          </cell>
          <cell r="AI1073" t="str">
            <v>N</v>
          </cell>
          <cell r="AK1073" t="str">
            <v>1046 VILLAGE OCP - HATTANE</v>
          </cell>
          <cell r="AL1073" t="str">
            <v>CM2</v>
          </cell>
          <cell r="AP1073" t="str">
            <v>Q 80537</v>
          </cell>
          <cell r="AQ1073">
            <v>0</v>
          </cell>
          <cell r="AR1073" t="str">
            <v>C</v>
          </cell>
          <cell r="AU1073" t="str">
            <v>/  /</v>
          </cell>
          <cell r="AW1073">
            <v>39083</v>
          </cell>
          <cell r="AY1073" t="str">
            <v>XX</v>
          </cell>
          <cell r="AZ1073" t="str">
            <v>M</v>
          </cell>
          <cell r="BA1073" t="str">
            <v>0</v>
          </cell>
          <cell r="BB1073">
            <v>1</v>
          </cell>
          <cell r="BD1073">
            <v>0</v>
          </cell>
          <cell r="BE1073" t="str">
            <v>M</v>
          </cell>
          <cell r="BF1073" t="str">
            <v>N</v>
          </cell>
          <cell r="BG1073">
            <v>11</v>
          </cell>
          <cell r="BH1073">
            <v>39083</v>
          </cell>
        </row>
        <row r="1074">
          <cell r="A1074">
            <v>72134</v>
          </cell>
          <cell r="B1074">
            <v>452</v>
          </cell>
          <cell r="C1074" t="str">
            <v>C2152</v>
          </cell>
          <cell r="D1074" t="str">
            <v>MAHRAOUI</v>
          </cell>
          <cell r="E1074" t="str">
            <v>EL MOSTAFA</v>
          </cell>
          <cell r="F1074">
            <v>22144</v>
          </cell>
          <cell r="G1074" t="str">
            <v>1</v>
          </cell>
          <cell r="H1074" t="str">
            <v>KHOURIBGA</v>
          </cell>
          <cell r="I1074" t="str">
            <v>D</v>
          </cell>
          <cell r="J1074">
            <v>29434</v>
          </cell>
          <cell r="K1074">
            <v>31656</v>
          </cell>
          <cell r="L1074" t="str">
            <v>12</v>
          </cell>
          <cell r="M1074" t="str">
            <v>C</v>
          </cell>
          <cell r="N1074">
            <v>36039</v>
          </cell>
          <cell r="P1074">
            <v>22</v>
          </cell>
          <cell r="Q1074" t="str">
            <v>O</v>
          </cell>
          <cell r="R1074" t="str">
            <v>N</v>
          </cell>
          <cell r="S1074">
            <v>0</v>
          </cell>
          <cell r="T1074" t="str">
            <v>M</v>
          </cell>
          <cell r="U1074" t="str">
            <v>MASMOUDI ZINEB BT MOULAY AHMED</v>
          </cell>
          <cell r="X1074">
            <v>6</v>
          </cell>
          <cell r="Y1074">
            <v>5</v>
          </cell>
          <cell r="AB1074" t="str">
            <v>X</v>
          </cell>
          <cell r="AC1074" t="str">
            <v>X</v>
          </cell>
          <cell r="AD1074" t="str">
            <v>X</v>
          </cell>
          <cell r="AH1074" t="str">
            <v>N</v>
          </cell>
          <cell r="AI1074" t="str">
            <v>N</v>
          </cell>
          <cell r="AK1074" t="str">
            <v>33 RUE 12 KOREA OUED ZEM</v>
          </cell>
          <cell r="AL1074" t="str">
            <v>2AS</v>
          </cell>
          <cell r="AM1074" t="str">
            <v>CFP.</v>
          </cell>
          <cell r="AP1074" t="str">
            <v>A 143677</v>
          </cell>
          <cell r="AQ1074">
            <v>0</v>
          </cell>
          <cell r="AR1074" t="str">
            <v>B</v>
          </cell>
          <cell r="AS1074" t="str">
            <v>BMCE - OUED ZEM</v>
          </cell>
          <cell r="AT1074" t="str">
            <v>41101200000550620</v>
          </cell>
          <cell r="AU1074" t="str">
            <v>/  /</v>
          </cell>
          <cell r="AW1074">
            <v>40544</v>
          </cell>
          <cell r="AY1074" t="str">
            <v>XX</v>
          </cell>
          <cell r="BA1074" t="str">
            <v>5ID</v>
          </cell>
          <cell r="BB1074">
            <v>1</v>
          </cell>
          <cell r="BD1074">
            <v>0</v>
          </cell>
          <cell r="BE1074" t="str">
            <v>M</v>
          </cell>
          <cell r="BF1074" t="str">
            <v>N</v>
          </cell>
          <cell r="BG1074">
            <v>30</v>
          </cell>
          <cell r="BH1074">
            <v>40544</v>
          </cell>
          <cell r="BI1074" t="str">
            <v>O</v>
          </cell>
        </row>
        <row r="1075">
          <cell r="A1075">
            <v>72141</v>
          </cell>
          <cell r="B1075">
            <v>411</v>
          </cell>
          <cell r="C1075" t="str">
            <v>C4152</v>
          </cell>
          <cell r="D1075" t="str">
            <v>MARKOUN</v>
          </cell>
          <cell r="E1075" t="str">
            <v>MOHAMMED</v>
          </cell>
          <cell r="F1075">
            <v>19905</v>
          </cell>
          <cell r="H1075" t="str">
            <v>BENI AMIR</v>
          </cell>
          <cell r="I1075" t="str">
            <v>D</v>
          </cell>
          <cell r="J1075">
            <v>29437</v>
          </cell>
          <cell r="K1075">
            <v>35065</v>
          </cell>
          <cell r="L1075" t="str">
            <v>22</v>
          </cell>
          <cell r="M1075" t="str">
            <v>A</v>
          </cell>
          <cell r="N1075">
            <v>35065</v>
          </cell>
          <cell r="P1075">
            <v>22</v>
          </cell>
          <cell r="Q1075" t="str">
            <v>O</v>
          </cell>
          <cell r="R1075" t="str">
            <v>N</v>
          </cell>
          <cell r="S1075">
            <v>0</v>
          </cell>
          <cell r="T1075" t="str">
            <v>M</v>
          </cell>
          <cell r="U1075" t="str">
            <v>HABIBA BENT MOHAMED</v>
          </cell>
          <cell r="X1075">
            <v>5</v>
          </cell>
          <cell r="Y1075">
            <v>4</v>
          </cell>
          <cell r="AB1075" t="str">
            <v>X</v>
          </cell>
          <cell r="AC1075" t="str">
            <v>X</v>
          </cell>
          <cell r="AD1075" t="str">
            <v>X</v>
          </cell>
          <cell r="AH1075" t="str">
            <v>N</v>
          </cell>
          <cell r="AI1075" t="str">
            <v>N</v>
          </cell>
          <cell r="AK1075" t="str">
            <v>735 VILLAGE O.C.P - BOULANOIR</v>
          </cell>
          <cell r="AL1075" t="str">
            <v>CM2</v>
          </cell>
          <cell r="AP1075" t="str">
            <v>Q 17005</v>
          </cell>
          <cell r="AQ1075">
            <v>0</v>
          </cell>
          <cell r="AR1075" t="str">
            <v>C</v>
          </cell>
          <cell r="AU1075" t="str">
            <v>/  /</v>
          </cell>
          <cell r="AW1075">
            <v>39083</v>
          </cell>
          <cell r="AY1075" t="str">
            <v>XX</v>
          </cell>
          <cell r="BA1075" t="str">
            <v>1</v>
          </cell>
          <cell r="BB1075">
            <v>1</v>
          </cell>
          <cell r="BD1075">
            <v>0</v>
          </cell>
          <cell r="BE1075" t="str">
            <v>M</v>
          </cell>
          <cell r="BF1075" t="str">
            <v>N</v>
          </cell>
          <cell r="BG1075">
            <v>40</v>
          </cell>
          <cell r="BH1075">
            <v>39083</v>
          </cell>
          <cell r="BI1075" t="str">
            <v>O</v>
          </cell>
        </row>
        <row r="1076">
          <cell r="A1076">
            <v>72142</v>
          </cell>
          <cell r="B1076">
            <v>468</v>
          </cell>
          <cell r="C1076" t="str">
            <v>C3152</v>
          </cell>
          <cell r="D1076" t="str">
            <v>EL GARGATI</v>
          </cell>
          <cell r="E1076" t="str">
            <v>SALAH</v>
          </cell>
          <cell r="F1076">
            <v>19175</v>
          </cell>
          <cell r="G1076" t="str">
            <v>1</v>
          </cell>
          <cell r="H1076" t="str">
            <v>OULED BHAR KBAR KHOURIBGA</v>
          </cell>
          <cell r="I1076" t="str">
            <v>D</v>
          </cell>
          <cell r="J1076">
            <v>29434</v>
          </cell>
          <cell r="K1076">
            <v>36526</v>
          </cell>
          <cell r="L1076" t="str">
            <v>21</v>
          </cell>
          <cell r="M1076" t="str">
            <v>A</v>
          </cell>
          <cell r="N1076">
            <v>36526</v>
          </cell>
          <cell r="P1076">
            <v>22</v>
          </cell>
          <cell r="Q1076" t="str">
            <v>O</v>
          </cell>
          <cell r="R1076" t="str">
            <v>N</v>
          </cell>
          <cell r="S1076">
            <v>0</v>
          </cell>
          <cell r="T1076" t="str">
            <v>M</v>
          </cell>
          <cell r="U1076" t="str">
            <v>ES-SAADIA BENT LARBI</v>
          </cell>
          <cell r="X1076">
            <v>5</v>
          </cell>
          <cell r="Y1076">
            <v>2</v>
          </cell>
          <cell r="AB1076" t="str">
            <v>X</v>
          </cell>
          <cell r="AC1076" t="str">
            <v>X</v>
          </cell>
          <cell r="AD1076" t="str">
            <v>X</v>
          </cell>
          <cell r="AH1076" t="str">
            <v>N</v>
          </cell>
          <cell r="AI1076" t="str">
            <v>N</v>
          </cell>
          <cell r="AK1076" t="str">
            <v>DOUAR LARBI - BOUJNIBA</v>
          </cell>
          <cell r="AL1076" t="str">
            <v>ILLETTRE</v>
          </cell>
          <cell r="AP1076" t="str">
            <v>Q 80468</v>
          </cell>
          <cell r="AQ1076">
            <v>0</v>
          </cell>
          <cell r="AR1076" t="str">
            <v>B</v>
          </cell>
          <cell r="AS1076" t="str">
            <v>C.N.C.A  KHGA</v>
          </cell>
          <cell r="AT1076" t="str">
            <v>0806352P601</v>
          </cell>
          <cell r="AU1076" t="str">
            <v>/  /</v>
          </cell>
          <cell r="AW1076">
            <v>39083</v>
          </cell>
          <cell r="AY1076" t="str">
            <v>XX</v>
          </cell>
          <cell r="BA1076" t="str">
            <v>1</v>
          </cell>
          <cell r="BB1076">
            <v>1</v>
          </cell>
          <cell r="BD1076">
            <v>0</v>
          </cell>
          <cell r="BE1076" t="str">
            <v>M</v>
          </cell>
          <cell r="BF1076" t="str">
            <v>N</v>
          </cell>
          <cell r="BG1076">
            <v>51</v>
          </cell>
          <cell r="BH1076">
            <v>39083</v>
          </cell>
          <cell r="BI1076" t="str">
            <v>O</v>
          </cell>
        </row>
        <row r="1077">
          <cell r="A1077">
            <v>72143</v>
          </cell>
          <cell r="B1077">
            <v>468</v>
          </cell>
          <cell r="C1077" t="str">
            <v>C3152</v>
          </cell>
          <cell r="D1077" t="str">
            <v>HASNAOUI</v>
          </cell>
          <cell r="E1077" t="str">
            <v>ABDELGHANI</v>
          </cell>
          <cell r="F1077">
            <v>21001</v>
          </cell>
          <cell r="G1077" t="str">
            <v>2</v>
          </cell>
          <cell r="H1077" t="str">
            <v>TACHRAFTE  OUED-ZEM</v>
          </cell>
          <cell r="I1077" t="str">
            <v>D</v>
          </cell>
          <cell r="J1077">
            <v>29434</v>
          </cell>
          <cell r="K1077">
            <v>37012</v>
          </cell>
          <cell r="L1077" t="str">
            <v>21</v>
          </cell>
          <cell r="M1077" t="str">
            <v>A</v>
          </cell>
          <cell r="N1077">
            <v>37012</v>
          </cell>
          <cell r="P1077">
            <v>22</v>
          </cell>
          <cell r="Q1077" t="str">
            <v>O</v>
          </cell>
          <cell r="R1077" t="str">
            <v>N</v>
          </cell>
          <cell r="S1077">
            <v>0</v>
          </cell>
          <cell r="T1077" t="str">
            <v>M</v>
          </cell>
          <cell r="U1077" t="str">
            <v>EL BACHANI RKIA BT RAFA</v>
          </cell>
          <cell r="X1077">
            <v>5</v>
          </cell>
          <cell r="Y1077">
            <v>5</v>
          </cell>
          <cell r="AB1077" t="str">
            <v>N</v>
          </cell>
          <cell r="AC1077" t="str">
            <v>X</v>
          </cell>
          <cell r="AD1077" t="str">
            <v>X</v>
          </cell>
          <cell r="AH1077" t="str">
            <v>N</v>
          </cell>
          <cell r="AI1077" t="str">
            <v>N</v>
          </cell>
          <cell r="AK1077" t="str">
            <v>121 VILLAGE OCP - OUED ZEM</v>
          </cell>
          <cell r="AL1077" t="str">
            <v>ILLETTRE</v>
          </cell>
          <cell r="AP1077" t="str">
            <v>Q 92652</v>
          </cell>
          <cell r="AQ1077">
            <v>0</v>
          </cell>
          <cell r="AR1077" t="str">
            <v>C</v>
          </cell>
          <cell r="AU1077" t="str">
            <v>/  /</v>
          </cell>
          <cell r="AW1077">
            <v>39264</v>
          </cell>
          <cell r="AY1077" t="str">
            <v>XX</v>
          </cell>
          <cell r="BA1077" t="str">
            <v>1</v>
          </cell>
          <cell r="BB1077">
            <v>1</v>
          </cell>
          <cell r="BD1077">
            <v>0</v>
          </cell>
          <cell r="BE1077" t="str">
            <v>M</v>
          </cell>
          <cell r="BF1077" t="str">
            <v>N</v>
          </cell>
          <cell r="BG1077">
            <v>60</v>
          </cell>
          <cell r="BH1077">
            <v>39264</v>
          </cell>
          <cell r="BI1077" t="str">
            <v>O</v>
          </cell>
        </row>
        <row r="1078">
          <cell r="A1078">
            <v>72157</v>
          </cell>
          <cell r="B1078">
            <v>428</v>
          </cell>
          <cell r="C1078" t="str">
            <v>C3152</v>
          </cell>
          <cell r="D1078" t="str">
            <v>DAKIR</v>
          </cell>
          <cell r="E1078" t="str">
            <v>SALAH</v>
          </cell>
          <cell r="F1078">
            <v>21256</v>
          </cell>
          <cell r="G1078" t="str">
            <v>1</v>
          </cell>
          <cell r="H1078" t="str">
            <v>OULED BHAR KBAR KHOURIBGA</v>
          </cell>
          <cell r="I1078" t="str">
            <v>D</v>
          </cell>
          <cell r="J1078">
            <v>29444</v>
          </cell>
          <cell r="K1078">
            <v>36526</v>
          </cell>
          <cell r="L1078" t="str">
            <v>21</v>
          </cell>
          <cell r="M1078" t="str">
            <v>A</v>
          </cell>
          <cell r="N1078">
            <v>36526</v>
          </cell>
          <cell r="P1078">
            <v>22</v>
          </cell>
          <cell r="Q1078" t="str">
            <v>O</v>
          </cell>
          <cell r="R1078" t="str">
            <v>N</v>
          </cell>
          <cell r="S1078">
            <v>0</v>
          </cell>
          <cell r="T1078" t="str">
            <v>M</v>
          </cell>
          <cell r="U1078" t="str">
            <v>RAJILI NAIMA BENT AHMED</v>
          </cell>
          <cell r="X1078">
            <v>6</v>
          </cell>
          <cell r="Y1078">
            <v>5</v>
          </cell>
          <cell r="AB1078" t="str">
            <v>X</v>
          </cell>
          <cell r="AC1078" t="str">
            <v>X</v>
          </cell>
          <cell r="AD1078" t="str">
            <v>X</v>
          </cell>
          <cell r="AH1078" t="str">
            <v>N</v>
          </cell>
          <cell r="AI1078" t="str">
            <v>N</v>
          </cell>
          <cell r="AK1078" t="str">
            <v>DOUAR MSAADA OULED BRAHIM BOUJNIBA</v>
          </cell>
          <cell r="AL1078" t="str">
            <v>ILLETTRE</v>
          </cell>
          <cell r="AP1078" t="str">
            <v>Q 24785</v>
          </cell>
          <cell r="AQ1078">
            <v>0</v>
          </cell>
          <cell r="AR1078" t="str">
            <v>B</v>
          </cell>
          <cell r="AS1078" t="str">
            <v>C.N.C.A  KHGA</v>
          </cell>
          <cell r="AT1078" t="str">
            <v>0806097U601</v>
          </cell>
          <cell r="AU1078" t="str">
            <v>/  /</v>
          </cell>
          <cell r="AW1078">
            <v>39630</v>
          </cell>
          <cell r="AY1078" t="str">
            <v>XX</v>
          </cell>
          <cell r="BA1078" t="str">
            <v>1</v>
          </cell>
          <cell r="BB1078">
            <v>1</v>
          </cell>
          <cell r="BD1078">
            <v>0</v>
          </cell>
          <cell r="BE1078" t="str">
            <v>M</v>
          </cell>
          <cell r="BF1078" t="str">
            <v>N</v>
          </cell>
          <cell r="BG1078">
            <v>0</v>
          </cell>
          <cell r="BH1078">
            <v>39630</v>
          </cell>
          <cell r="BI1078" t="str">
            <v>O</v>
          </cell>
        </row>
        <row r="1079">
          <cell r="A1079">
            <v>72158</v>
          </cell>
          <cell r="B1079">
            <v>426</v>
          </cell>
          <cell r="C1079" t="str">
            <v>C3050</v>
          </cell>
          <cell r="D1079" t="str">
            <v>BELMOUMEN</v>
          </cell>
          <cell r="E1079" t="str">
            <v>ABDESLAM</v>
          </cell>
          <cell r="F1079">
            <v>18697</v>
          </cell>
          <cell r="G1079" t="str">
            <v>2</v>
          </cell>
          <cell r="H1079" t="str">
            <v>BENI SMIR</v>
          </cell>
          <cell r="I1079" t="str">
            <v>D</v>
          </cell>
          <cell r="J1079">
            <v>29444</v>
          </cell>
          <cell r="K1079">
            <v>37012</v>
          </cell>
          <cell r="L1079" t="str">
            <v>21</v>
          </cell>
          <cell r="M1079" t="str">
            <v>A</v>
          </cell>
          <cell r="N1079">
            <v>37012</v>
          </cell>
          <cell r="P1079">
            <v>22</v>
          </cell>
          <cell r="Q1079" t="str">
            <v>O</v>
          </cell>
          <cell r="R1079" t="str">
            <v>N</v>
          </cell>
          <cell r="S1079">
            <v>0</v>
          </cell>
          <cell r="T1079" t="str">
            <v>M</v>
          </cell>
          <cell r="U1079" t="str">
            <v>SERBOUTI SAADIA BENT BENHADOU</v>
          </cell>
          <cell r="X1079">
            <v>5</v>
          </cell>
          <cell r="Y1079">
            <v>5</v>
          </cell>
          <cell r="AB1079" t="str">
            <v>X</v>
          </cell>
          <cell r="AC1079" t="str">
            <v>X</v>
          </cell>
          <cell r="AD1079" t="str">
            <v>X</v>
          </cell>
          <cell r="AH1079" t="str">
            <v>N</v>
          </cell>
          <cell r="AI1079" t="str">
            <v>N</v>
          </cell>
          <cell r="AK1079" t="str">
            <v>38 BLOC 2 MSALLA LAKDIMA OUED ZEM</v>
          </cell>
          <cell r="AL1079" t="str">
            <v>ILLETTRE</v>
          </cell>
          <cell r="AP1079" t="str">
            <v>Q 22584</v>
          </cell>
          <cell r="AQ1079">
            <v>0</v>
          </cell>
          <cell r="AR1079" t="str">
            <v>B</v>
          </cell>
          <cell r="AS1079" t="str">
            <v>POPULAIRE.O.ZEM</v>
          </cell>
          <cell r="AT1079" t="str">
            <v>2111136313220000</v>
          </cell>
          <cell r="AU1079" t="str">
            <v>/  /</v>
          </cell>
          <cell r="AW1079">
            <v>38899</v>
          </cell>
          <cell r="AY1079" t="str">
            <v>XX</v>
          </cell>
          <cell r="BA1079" t="str">
            <v>1</v>
          </cell>
          <cell r="BB1079">
            <v>1</v>
          </cell>
          <cell r="BD1079">
            <v>0</v>
          </cell>
          <cell r="BE1079" t="str">
            <v>M</v>
          </cell>
          <cell r="BF1079" t="str">
            <v>N</v>
          </cell>
          <cell r="BG1079">
            <v>30</v>
          </cell>
          <cell r="BH1079">
            <v>38899</v>
          </cell>
          <cell r="BI1079" t="str">
            <v>O</v>
          </cell>
        </row>
        <row r="1080">
          <cell r="A1080">
            <v>72160</v>
          </cell>
          <cell r="B1080">
            <v>426</v>
          </cell>
          <cell r="C1080" t="str">
            <v>C3152</v>
          </cell>
          <cell r="D1080" t="str">
            <v>GRIMEH</v>
          </cell>
          <cell r="E1080" t="str">
            <v>MOHAMMED</v>
          </cell>
          <cell r="F1080">
            <v>20400</v>
          </cell>
          <cell r="G1080" t="str">
            <v>6</v>
          </cell>
          <cell r="H1080" t="str">
            <v>M'FASSIS</v>
          </cell>
          <cell r="I1080" t="str">
            <v>D</v>
          </cell>
          <cell r="J1080">
            <v>29444</v>
          </cell>
          <cell r="K1080">
            <v>33420</v>
          </cell>
          <cell r="L1080" t="str">
            <v>21</v>
          </cell>
          <cell r="M1080" t="str">
            <v>A</v>
          </cell>
          <cell r="N1080">
            <v>33420</v>
          </cell>
          <cell r="P1080">
            <v>22</v>
          </cell>
          <cell r="Q1080" t="str">
            <v>O</v>
          </cell>
          <cell r="R1080" t="str">
            <v>N</v>
          </cell>
          <cell r="S1080">
            <v>0</v>
          </cell>
          <cell r="T1080" t="str">
            <v>M</v>
          </cell>
          <cell r="U1080" t="str">
            <v>KHADDOUJ BENT BOUZEKRI NAJAH</v>
          </cell>
          <cell r="X1080">
            <v>6</v>
          </cell>
          <cell r="Y1080">
            <v>3</v>
          </cell>
          <cell r="AB1080" t="str">
            <v>X</v>
          </cell>
          <cell r="AC1080" t="str">
            <v>X</v>
          </cell>
          <cell r="AD1080" t="str">
            <v>X</v>
          </cell>
          <cell r="AH1080" t="str">
            <v>N</v>
          </cell>
          <cell r="AI1080" t="str">
            <v>N</v>
          </cell>
          <cell r="AK1080" t="str">
            <v>18 HAY OMAR IBN EL KHATTAB HATTANE</v>
          </cell>
          <cell r="AL1080" t="str">
            <v>ILLETTRE</v>
          </cell>
          <cell r="AP1080" t="str">
            <v>Q 28638</v>
          </cell>
          <cell r="AQ1080">
            <v>0</v>
          </cell>
          <cell r="AR1080" t="str">
            <v>B</v>
          </cell>
          <cell r="AS1080" t="str">
            <v>C.N.C.A - KHGA</v>
          </cell>
          <cell r="AT1080" t="str">
            <v>0806457H601</v>
          </cell>
          <cell r="AU1080" t="str">
            <v>/  /</v>
          </cell>
          <cell r="AW1080">
            <v>39083</v>
          </cell>
          <cell r="AY1080" t="str">
            <v>XX</v>
          </cell>
          <cell r="BA1080" t="str">
            <v>1</v>
          </cell>
          <cell r="BB1080">
            <v>1</v>
          </cell>
          <cell r="BD1080">
            <v>0</v>
          </cell>
          <cell r="BE1080" t="str">
            <v>M</v>
          </cell>
          <cell r="BF1080" t="str">
            <v>N</v>
          </cell>
          <cell r="BG1080">
            <v>11</v>
          </cell>
          <cell r="BH1080">
            <v>39083</v>
          </cell>
          <cell r="BI1080" t="str">
            <v>O</v>
          </cell>
        </row>
        <row r="1081">
          <cell r="A1081">
            <v>72161</v>
          </cell>
          <cell r="B1081">
            <v>446</v>
          </cell>
          <cell r="C1081" t="str">
            <v>C4152</v>
          </cell>
          <cell r="D1081" t="str">
            <v>EL BERRI</v>
          </cell>
          <cell r="E1081" t="str">
            <v>MOHAMED</v>
          </cell>
          <cell r="F1081">
            <v>20752</v>
          </cell>
          <cell r="G1081" t="str">
            <v>1</v>
          </cell>
          <cell r="H1081" t="str">
            <v>KHOURIBGA</v>
          </cell>
          <cell r="I1081" t="str">
            <v>D</v>
          </cell>
          <cell r="J1081">
            <v>29444</v>
          </cell>
          <cell r="K1081">
            <v>36526</v>
          </cell>
          <cell r="L1081" t="str">
            <v>22</v>
          </cell>
          <cell r="M1081" t="str">
            <v>A</v>
          </cell>
          <cell r="N1081">
            <v>36526</v>
          </cell>
          <cell r="P1081">
            <v>22</v>
          </cell>
          <cell r="Q1081" t="str">
            <v>O</v>
          </cell>
          <cell r="R1081" t="str">
            <v>N</v>
          </cell>
          <cell r="S1081">
            <v>0</v>
          </cell>
          <cell r="T1081" t="str">
            <v>M</v>
          </cell>
          <cell r="U1081" t="str">
            <v>AABOUCHE BENT ABDERRAHMANE</v>
          </cell>
          <cell r="X1081">
            <v>5</v>
          </cell>
          <cell r="Y1081">
            <v>5</v>
          </cell>
          <cell r="AB1081" t="str">
            <v>X</v>
          </cell>
          <cell r="AC1081" t="str">
            <v>X</v>
          </cell>
          <cell r="AD1081" t="str">
            <v>X</v>
          </cell>
          <cell r="AH1081" t="str">
            <v>N</v>
          </cell>
          <cell r="AI1081" t="str">
            <v>N</v>
          </cell>
          <cell r="AK1081" t="str">
            <v>317 VILLAGE OCP BOULANOUAR</v>
          </cell>
          <cell r="AL1081" t="str">
            <v>ILLETTRE</v>
          </cell>
          <cell r="AP1081" t="str">
            <v>Q 35202</v>
          </cell>
          <cell r="AQ1081">
            <v>0</v>
          </cell>
          <cell r="AR1081" t="str">
            <v>B</v>
          </cell>
          <cell r="AS1081" t="str">
            <v>BMCE.KHGA</v>
          </cell>
          <cell r="AT1081" t="str">
            <v>40001200000637735</v>
          </cell>
          <cell r="AU1081" t="str">
            <v>/  /</v>
          </cell>
          <cell r="AW1081">
            <v>39083</v>
          </cell>
          <cell r="AY1081" t="str">
            <v>XX</v>
          </cell>
          <cell r="BA1081" t="str">
            <v>1</v>
          </cell>
          <cell r="BB1081">
            <v>1</v>
          </cell>
          <cell r="BD1081">
            <v>0</v>
          </cell>
          <cell r="BE1081" t="str">
            <v>M</v>
          </cell>
          <cell r="BF1081" t="str">
            <v>N</v>
          </cell>
          <cell r="BG1081">
            <v>40</v>
          </cell>
          <cell r="BH1081">
            <v>39083</v>
          </cell>
          <cell r="BI1081" t="str">
            <v>O</v>
          </cell>
        </row>
        <row r="1082">
          <cell r="A1082">
            <v>72165</v>
          </cell>
          <cell r="B1082">
            <v>468</v>
          </cell>
          <cell r="C1082" t="str">
            <v>C3152</v>
          </cell>
          <cell r="D1082" t="str">
            <v>MARIH</v>
          </cell>
          <cell r="E1082" t="str">
            <v>ABDELLAH</v>
          </cell>
          <cell r="F1082">
            <v>21160</v>
          </cell>
          <cell r="G1082" t="str">
            <v>3</v>
          </cell>
          <cell r="H1082" t="str">
            <v>BENI KHLEF - KHOURIBGA</v>
          </cell>
          <cell r="I1082" t="str">
            <v>D</v>
          </cell>
          <cell r="J1082">
            <v>29444</v>
          </cell>
          <cell r="K1082">
            <v>37012</v>
          </cell>
          <cell r="L1082" t="str">
            <v>21</v>
          </cell>
          <cell r="M1082" t="str">
            <v>A</v>
          </cell>
          <cell r="N1082">
            <v>37012</v>
          </cell>
          <cell r="P1082">
            <v>22</v>
          </cell>
          <cell r="Q1082" t="str">
            <v>O</v>
          </cell>
          <cell r="R1082" t="str">
            <v>N</v>
          </cell>
          <cell r="S1082">
            <v>0</v>
          </cell>
          <cell r="T1082" t="str">
            <v>M</v>
          </cell>
          <cell r="U1082" t="str">
            <v>FATNA BENT SALAH</v>
          </cell>
          <cell r="X1082">
            <v>5</v>
          </cell>
          <cell r="Y1082">
            <v>3</v>
          </cell>
          <cell r="AB1082" t="str">
            <v>X</v>
          </cell>
          <cell r="AC1082" t="str">
            <v>X</v>
          </cell>
          <cell r="AD1082" t="str">
            <v>X</v>
          </cell>
          <cell r="AH1082" t="str">
            <v>N</v>
          </cell>
          <cell r="AI1082" t="str">
            <v>N</v>
          </cell>
          <cell r="AK1082" t="str">
            <v>330 VILLAGE OCP BOUJNIBA</v>
          </cell>
          <cell r="AL1082" t="str">
            <v>ILLETTRE</v>
          </cell>
          <cell r="AP1082" t="str">
            <v>Q 81958</v>
          </cell>
          <cell r="AQ1082">
            <v>0</v>
          </cell>
          <cell r="AR1082" t="str">
            <v>B</v>
          </cell>
          <cell r="AS1082" t="str">
            <v>POPULAIRE.KHGA</v>
          </cell>
          <cell r="AT1082" t="str">
            <v>2111156487550008</v>
          </cell>
          <cell r="AU1082" t="str">
            <v>/  /</v>
          </cell>
          <cell r="AW1082">
            <v>39448</v>
          </cell>
          <cell r="AY1082" t="str">
            <v>XX</v>
          </cell>
          <cell r="BA1082" t="str">
            <v>1</v>
          </cell>
          <cell r="BB1082">
            <v>1</v>
          </cell>
          <cell r="BD1082">
            <v>0</v>
          </cell>
          <cell r="BE1082" t="str">
            <v>M</v>
          </cell>
          <cell r="BF1082" t="str">
            <v>N</v>
          </cell>
          <cell r="BG1082">
            <v>51</v>
          </cell>
          <cell r="BH1082">
            <v>39630</v>
          </cell>
        </row>
        <row r="1083">
          <cell r="A1083">
            <v>72167</v>
          </cell>
          <cell r="B1083">
            <v>468</v>
          </cell>
          <cell r="C1083" t="str">
            <v>C3152</v>
          </cell>
          <cell r="D1083" t="str">
            <v>QABIL</v>
          </cell>
          <cell r="E1083" t="str">
            <v>MOHAMED</v>
          </cell>
          <cell r="F1083">
            <v>20358</v>
          </cell>
          <cell r="G1083" t="str">
            <v>3</v>
          </cell>
          <cell r="H1083" t="str">
            <v>BOUJNIBA - KHOURIBGA</v>
          </cell>
          <cell r="I1083" t="str">
            <v>D</v>
          </cell>
          <cell r="J1083">
            <v>29454</v>
          </cell>
          <cell r="K1083">
            <v>37012</v>
          </cell>
          <cell r="L1083" t="str">
            <v>21</v>
          </cell>
          <cell r="M1083" t="str">
            <v>A</v>
          </cell>
          <cell r="N1083">
            <v>37012</v>
          </cell>
          <cell r="P1083">
            <v>22</v>
          </cell>
          <cell r="Q1083" t="str">
            <v>O</v>
          </cell>
          <cell r="R1083" t="str">
            <v>N</v>
          </cell>
          <cell r="S1083">
            <v>0</v>
          </cell>
          <cell r="T1083" t="str">
            <v>M</v>
          </cell>
          <cell r="U1083" t="str">
            <v>FADILI FATNA BENT ALLAL</v>
          </cell>
          <cell r="X1083">
            <v>4</v>
          </cell>
          <cell r="Y1083">
            <v>4</v>
          </cell>
          <cell r="AB1083" t="str">
            <v>X</v>
          </cell>
          <cell r="AC1083" t="str">
            <v>X</v>
          </cell>
          <cell r="AD1083" t="str">
            <v>X</v>
          </cell>
          <cell r="AH1083" t="str">
            <v>N</v>
          </cell>
          <cell r="AI1083" t="str">
            <v>N</v>
          </cell>
          <cell r="AK1083" t="str">
            <v>109 VILLAGE OCP - OUED ZEM</v>
          </cell>
          <cell r="AL1083" t="str">
            <v>CM2</v>
          </cell>
          <cell r="AP1083" t="str">
            <v>Q 18374</v>
          </cell>
          <cell r="AQ1083">
            <v>0</v>
          </cell>
          <cell r="AR1083" t="str">
            <v>B</v>
          </cell>
          <cell r="AS1083" t="str">
            <v>BMCI.OUED ZEM</v>
          </cell>
          <cell r="AT1083" t="str">
            <v>0252193219730100001</v>
          </cell>
          <cell r="AU1083" t="str">
            <v>/  /</v>
          </cell>
          <cell r="AW1083">
            <v>39083</v>
          </cell>
          <cell r="AY1083" t="str">
            <v>XX</v>
          </cell>
          <cell r="BA1083" t="str">
            <v>1</v>
          </cell>
          <cell r="BB1083">
            <v>1</v>
          </cell>
          <cell r="BD1083">
            <v>0</v>
          </cell>
          <cell r="BE1083" t="str">
            <v>M</v>
          </cell>
          <cell r="BF1083" t="str">
            <v>N</v>
          </cell>
          <cell r="BG1083">
            <v>31</v>
          </cell>
          <cell r="BH1083">
            <v>39083</v>
          </cell>
        </row>
        <row r="1084">
          <cell r="A1084">
            <v>72168</v>
          </cell>
          <cell r="B1084">
            <v>468</v>
          </cell>
          <cell r="C1084" t="str">
            <v>C3020</v>
          </cell>
          <cell r="D1084" t="str">
            <v>EL HANBALI</v>
          </cell>
          <cell r="E1084" t="str">
            <v>MOHAMMED</v>
          </cell>
          <cell r="F1084">
            <v>21272</v>
          </cell>
          <cell r="G1084" t="str">
            <v>1</v>
          </cell>
          <cell r="H1084" t="str">
            <v>OULED BHAR KBAR KHOURIBGA</v>
          </cell>
          <cell r="I1084" t="str">
            <v>D</v>
          </cell>
          <cell r="J1084">
            <v>29454</v>
          </cell>
          <cell r="K1084">
            <v>34639</v>
          </cell>
          <cell r="L1084" t="str">
            <v>21</v>
          </cell>
          <cell r="M1084" t="str">
            <v>A</v>
          </cell>
          <cell r="N1084">
            <v>34639</v>
          </cell>
          <cell r="O1084">
            <v>0</v>
          </cell>
          <cell r="P1084">
            <v>22</v>
          </cell>
          <cell r="Q1084" t="str">
            <v>O</v>
          </cell>
          <cell r="R1084" t="str">
            <v>N</v>
          </cell>
          <cell r="S1084">
            <v>0</v>
          </cell>
          <cell r="T1084" t="str">
            <v>M</v>
          </cell>
          <cell r="U1084" t="str">
            <v>ZOHRA BENT HADJ EL GHAZOUANI</v>
          </cell>
          <cell r="X1084">
            <v>7</v>
          </cell>
          <cell r="Y1084">
            <v>6</v>
          </cell>
          <cell r="AB1084" t="str">
            <v>X</v>
          </cell>
          <cell r="AC1084" t="str">
            <v>X</v>
          </cell>
          <cell r="AD1084" t="str">
            <v>X</v>
          </cell>
          <cell r="AH1084" t="str">
            <v>N</v>
          </cell>
          <cell r="AI1084" t="str">
            <v>N</v>
          </cell>
          <cell r="AK1084" t="str">
            <v>105 ANCIENNE MEDINA  OCP - BOUJNIBA</v>
          </cell>
          <cell r="AL1084" t="str">
            <v>CM2</v>
          </cell>
          <cell r="AP1084" t="str">
            <v>Q 76748</v>
          </cell>
          <cell r="AQ1084">
            <v>0</v>
          </cell>
          <cell r="AR1084" t="str">
            <v>B</v>
          </cell>
          <cell r="AS1084" t="str">
            <v>POPULAIRE OUED ZEM</v>
          </cell>
          <cell r="AT1084" t="str">
            <v>211117333044000623</v>
          </cell>
          <cell r="AU1084" t="str">
            <v>/  /</v>
          </cell>
          <cell r="AW1084">
            <v>39630</v>
          </cell>
          <cell r="AY1084" t="str">
            <v>XX</v>
          </cell>
          <cell r="BA1084" t="str">
            <v>0</v>
          </cell>
          <cell r="BB1084">
            <v>1</v>
          </cell>
          <cell r="BD1084">
            <v>0</v>
          </cell>
          <cell r="BE1084" t="str">
            <v>M</v>
          </cell>
          <cell r="BF1084" t="str">
            <v>N</v>
          </cell>
          <cell r="BG1084">
            <v>51</v>
          </cell>
          <cell r="BH1084">
            <v>39630</v>
          </cell>
          <cell r="BI1084" t="str">
            <v>O</v>
          </cell>
        </row>
        <row r="1085">
          <cell r="A1085">
            <v>72172</v>
          </cell>
          <cell r="B1085">
            <v>406</v>
          </cell>
          <cell r="C1085" t="str">
            <v>C4102</v>
          </cell>
          <cell r="D1085" t="str">
            <v>TOUNSADI</v>
          </cell>
          <cell r="E1085" t="str">
            <v>ABDELKBIR</v>
          </cell>
          <cell r="F1085">
            <v>19540</v>
          </cell>
          <cell r="G1085" t="str">
            <v>1</v>
          </cell>
          <cell r="H1085" t="str">
            <v>OULED BHAR KBAR KHOURIBGA</v>
          </cell>
          <cell r="I1085" t="str">
            <v>D</v>
          </cell>
          <cell r="J1085">
            <v>29444</v>
          </cell>
          <cell r="K1085">
            <v>36526</v>
          </cell>
          <cell r="L1085" t="str">
            <v>22</v>
          </cell>
          <cell r="M1085" t="str">
            <v>C</v>
          </cell>
          <cell r="N1085">
            <v>36526</v>
          </cell>
          <cell r="P1085">
            <v>22</v>
          </cell>
          <cell r="Q1085" t="str">
            <v>N</v>
          </cell>
          <cell r="R1085" t="str">
            <v>O</v>
          </cell>
          <cell r="S1085">
            <v>3</v>
          </cell>
          <cell r="T1085" t="str">
            <v>M</v>
          </cell>
          <cell r="U1085" t="str">
            <v>FATIMA BENT KADDOUR ICHOUA</v>
          </cell>
          <cell r="X1085">
            <v>3</v>
          </cell>
          <cell r="Y1085">
            <v>2</v>
          </cell>
          <cell r="AB1085" t="str">
            <v>N</v>
          </cell>
          <cell r="AC1085" t="str">
            <v>X</v>
          </cell>
          <cell r="AD1085" t="str">
            <v>X</v>
          </cell>
          <cell r="AH1085" t="str">
            <v>N</v>
          </cell>
          <cell r="AI1085" t="str">
            <v>N</v>
          </cell>
          <cell r="AK1085" t="str">
            <v>828 RUE YANBOUA HAY AMAL IRAK  KHGA</v>
          </cell>
          <cell r="AL1085" t="str">
            <v>4AS</v>
          </cell>
          <cell r="AM1085" t="str">
            <v>CES.</v>
          </cell>
          <cell r="AP1085" t="str">
            <v>Q 33139</v>
          </cell>
          <cell r="AQ1085">
            <v>0</v>
          </cell>
          <cell r="AR1085" t="str">
            <v>B</v>
          </cell>
          <cell r="AS1085" t="str">
            <v>CRE. MAROC KHGA</v>
          </cell>
          <cell r="AT1085" t="str">
            <v>820010019534</v>
          </cell>
          <cell r="AU1085" t="str">
            <v>/  /</v>
          </cell>
          <cell r="AW1085">
            <v>39083</v>
          </cell>
          <cell r="AY1085" t="str">
            <v>XX</v>
          </cell>
          <cell r="BA1085" t="str">
            <v>2</v>
          </cell>
          <cell r="BB1085">
            <v>1</v>
          </cell>
          <cell r="BD1085">
            <v>0</v>
          </cell>
          <cell r="BE1085" t="str">
            <v>M</v>
          </cell>
          <cell r="BF1085" t="str">
            <v>N</v>
          </cell>
          <cell r="BG1085">
            <v>40</v>
          </cell>
          <cell r="BH1085">
            <v>39083</v>
          </cell>
        </row>
        <row r="1086">
          <cell r="A1086">
            <v>72173</v>
          </cell>
          <cell r="B1086">
            <v>468</v>
          </cell>
          <cell r="C1086" t="str">
            <v>C3152</v>
          </cell>
          <cell r="D1086" t="str">
            <v>FOUAH</v>
          </cell>
          <cell r="E1086" t="str">
            <v>SALAH</v>
          </cell>
          <cell r="F1086">
            <v>20636</v>
          </cell>
          <cell r="G1086" t="str">
            <v>1</v>
          </cell>
          <cell r="H1086" t="str">
            <v>OULED BHAR KBAR KHOURIBGA</v>
          </cell>
          <cell r="I1086" t="str">
            <v>D</v>
          </cell>
          <cell r="J1086">
            <v>29444</v>
          </cell>
          <cell r="K1086">
            <v>37012</v>
          </cell>
          <cell r="L1086" t="str">
            <v>21</v>
          </cell>
          <cell r="M1086" t="str">
            <v>A</v>
          </cell>
          <cell r="N1086">
            <v>37012</v>
          </cell>
          <cell r="O1086">
            <v>0</v>
          </cell>
          <cell r="P1086">
            <v>22</v>
          </cell>
          <cell r="Q1086" t="str">
            <v>O</v>
          </cell>
          <cell r="R1086" t="str">
            <v>N</v>
          </cell>
          <cell r="S1086">
            <v>0</v>
          </cell>
          <cell r="T1086" t="str">
            <v>M</v>
          </cell>
          <cell r="U1086" t="str">
            <v>FATNA BENT LARBI ZAIR</v>
          </cell>
          <cell r="X1086">
            <v>6</v>
          </cell>
          <cell r="Y1086">
            <v>2</v>
          </cell>
          <cell r="AB1086" t="str">
            <v>X</v>
          </cell>
          <cell r="AC1086" t="str">
            <v>X</v>
          </cell>
          <cell r="AD1086" t="str">
            <v>X</v>
          </cell>
          <cell r="AH1086" t="str">
            <v>N</v>
          </cell>
          <cell r="AI1086" t="str">
            <v>N</v>
          </cell>
          <cell r="AK1086" t="str">
            <v>DOUAR OULED SGHAYER OD BRAHIM BOUJNIBA</v>
          </cell>
          <cell r="AL1086" t="str">
            <v>ILLETTRE</v>
          </cell>
          <cell r="AP1086" t="str">
            <v>Q 83336</v>
          </cell>
          <cell r="AQ1086">
            <v>0</v>
          </cell>
          <cell r="AR1086" t="str">
            <v>B</v>
          </cell>
          <cell r="AS1086" t="str">
            <v>POPULAIRE.O-ZEM</v>
          </cell>
          <cell r="AT1086" t="str">
            <v>2111136264840004</v>
          </cell>
          <cell r="AU1086" t="str">
            <v>/  /</v>
          </cell>
          <cell r="AW1086">
            <v>39083</v>
          </cell>
          <cell r="AY1086" t="str">
            <v>XX</v>
          </cell>
          <cell r="BA1086" t="str">
            <v>1</v>
          </cell>
          <cell r="BB1086">
            <v>1</v>
          </cell>
          <cell r="BD1086">
            <v>0</v>
          </cell>
          <cell r="BE1086" t="str">
            <v>M</v>
          </cell>
          <cell r="BF1086" t="str">
            <v>N</v>
          </cell>
          <cell r="BG1086">
            <v>51</v>
          </cell>
          <cell r="BH1086">
            <v>39083</v>
          </cell>
        </row>
        <row r="1087">
          <cell r="A1087">
            <v>72178</v>
          </cell>
          <cell r="B1087">
            <v>468</v>
          </cell>
          <cell r="C1087" t="str">
            <v>C3152</v>
          </cell>
          <cell r="D1087" t="str">
            <v>BACHRAOUI</v>
          </cell>
          <cell r="E1087" t="str">
            <v>ECH-CHERKI</v>
          </cell>
          <cell r="F1087">
            <v>21001</v>
          </cell>
          <cell r="G1087" t="str">
            <v>1</v>
          </cell>
          <cell r="H1087" t="str">
            <v>OULED BHAR KBAR KHOURIBGA</v>
          </cell>
          <cell r="I1087" t="str">
            <v>D</v>
          </cell>
          <cell r="J1087">
            <v>29454</v>
          </cell>
          <cell r="K1087">
            <v>36526</v>
          </cell>
          <cell r="L1087" t="str">
            <v>21</v>
          </cell>
          <cell r="M1087" t="str">
            <v>A</v>
          </cell>
          <cell r="N1087">
            <v>36526</v>
          </cell>
          <cell r="O1087">
            <v>0</v>
          </cell>
          <cell r="P1087">
            <v>22</v>
          </cell>
          <cell r="Q1087" t="str">
            <v>O</v>
          </cell>
          <cell r="R1087" t="str">
            <v>N</v>
          </cell>
          <cell r="S1087">
            <v>0</v>
          </cell>
          <cell r="T1087" t="str">
            <v>M</v>
          </cell>
          <cell r="U1087" t="str">
            <v>ANICH HAFIDA BENT AHMED</v>
          </cell>
          <cell r="X1087">
            <v>4</v>
          </cell>
          <cell r="Y1087">
            <v>4</v>
          </cell>
          <cell r="AB1087" t="str">
            <v>X</v>
          </cell>
          <cell r="AC1087" t="str">
            <v>X</v>
          </cell>
          <cell r="AD1087" t="str">
            <v>X</v>
          </cell>
          <cell r="AH1087" t="str">
            <v>N</v>
          </cell>
          <cell r="AI1087" t="str">
            <v>N</v>
          </cell>
          <cell r="AK1087" t="str">
            <v>92  VILLAGE O.C.P - BOUJNIBA</v>
          </cell>
          <cell r="AL1087" t="str">
            <v>ILLETTRE</v>
          </cell>
          <cell r="AP1087" t="str">
            <v>Q 71937</v>
          </cell>
          <cell r="AQ1087">
            <v>0</v>
          </cell>
          <cell r="AR1087" t="str">
            <v>B</v>
          </cell>
          <cell r="AS1087" t="str">
            <v>WAFABANK-KHOURIBGA</v>
          </cell>
          <cell r="AT1087" t="str">
            <v>1220301451938</v>
          </cell>
          <cell r="AU1087" t="str">
            <v>/  /</v>
          </cell>
          <cell r="AW1087">
            <v>39264</v>
          </cell>
          <cell r="AY1087" t="str">
            <v>XX</v>
          </cell>
          <cell r="BA1087" t="str">
            <v>1</v>
          </cell>
          <cell r="BB1087">
            <v>1</v>
          </cell>
          <cell r="BD1087">
            <v>0</v>
          </cell>
          <cell r="BE1087" t="str">
            <v>M</v>
          </cell>
          <cell r="BF1087" t="str">
            <v>N</v>
          </cell>
          <cell r="BG1087">
            <v>51</v>
          </cell>
          <cell r="BH1087">
            <v>39264</v>
          </cell>
        </row>
        <row r="1088">
          <cell r="A1088">
            <v>72179</v>
          </cell>
          <cell r="B1088">
            <v>419</v>
          </cell>
          <cell r="C1088" t="str">
            <v>C2000</v>
          </cell>
          <cell r="D1088" t="str">
            <v>JABNI</v>
          </cell>
          <cell r="E1088" t="str">
            <v>ABDELKADER</v>
          </cell>
          <cell r="F1088">
            <v>19540</v>
          </cell>
          <cell r="G1088" t="str">
            <v>1</v>
          </cell>
          <cell r="H1088" t="str">
            <v>OULED BHAR KBAR KHOURIBGA</v>
          </cell>
          <cell r="I1088" t="str">
            <v>D</v>
          </cell>
          <cell r="J1088">
            <v>29454</v>
          </cell>
          <cell r="K1088">
            <v>31656</v>
          </cell>
          <cell r="L1088" t="str">
            <v>12</v>
          </cell>
          <cell r="M1088" t="str">
            <v>C</v>
          </cell>
          <cell r="N1088">
            <v>36039</v>
          </cell>
          <cell r="P1088">
            <v>22</v>
          </cell>
          <cell r="Q1088" t="str">
            <v>O</v>
          </cell>
          <cell r="R1088" t="str">
            <v>N</v>
          </cell>
          <cell r="S1088">
            <v>0</v>
          </cell>
          <cell r="T1088" t="str">
            <v>M</v>
          </cell>
          <cell r="U1088" t="str">
            <v>KHOLKHAL SALHA BENT EL MAATI</v>
          </cell>
          <cell r="X1088">
            <v>5</v>
          </cell>
          <cell r="Y1088">
            <v>5</v>
          </cell>
          <cell r="AB1088" t="str">
            <v>X</v>
          </cell>
          <cell r="AC1088" t="str">
            <v>X</v>
          </cell>
          <cell r="AD1088" t="str">
            <v>X</v>
          </cell>
          <cell r="AH1088" t="str">
            <v>N</v>
          </cell>
          <cell r="AI1088" t="str">
            <v>N</v>
          </cell>
          <cell r="AK1088" t="str">
            <v>27 NELLE MEDINA DE SECHAGE KHOURIBGA</v>
          </cell>
          <cell r="AL1088" t="str">
            <v>ILLETTRE</v>
          </cell>
          <cell r="AP1088" t="str">
            <v>Q 37097</v>
          </cell>
          <cell r="AQ1088">
            <v>0</v>
          </cell>
          <cell r="AR1088" t="str">
            <v>B</v>
          </cell>
          <cell r="AS1088" t="str">
            <v>BMCE - KHGA</v>
          </cell>
          <cell r="AT1088" t="str">
            <v>4000001200001316250</v>
          </cell>
          <cell r="AU1088" t="str">
            <v>/  /</v>
          </cell>
          <cell r="AW1088">
            <v>39083</v>
          </cell>
          <cell r="AY1088" t="str">
            <v>XX</v>
          </cell>
          <cell r="BA1088" t="str">
            <v>1</v>
          </cell>
          <cell r="BB1088">
            <v>1</v>
          </cell>
          <cell r="BD1088">
            <v>0</v>
          </cell>
          <cell r="BE1088" t="str">
            <v>M</v>
          </cell>
          <cell r="BF1088" t="str">
            <v>N</v>
          </cell>
          <cell r="BG1088">
            <v>1</v>
          </cell>
          <cell r="BH1088">
            <v>39083</v>
          </cell>
          <cell r="BI1088" t="str">
            <v>O</v>
          </cell>
        </row>
        <row r="1089">
          <cell r="A1089">
            <v>72180</v>
          </cell>
          <cell r="B1089">
            <v>466</v>
          </cell>
          <cell r="C1089" t="str">
            <v>C3152</v>
          </cell>
          <cell r="D1089" t="str">
            <v>ROCHI</v>
          </cell>
          <cell r="E1089" t="str">
            <v>M'HAMMED</v>
          </cell>
          <cell r="F1089">
            <v>20390</v>
          </cell>
          <cell r="G1089" t="str">
            <v>1</v>
          </cell>
          <cell r="H1089" t="str">
            <v>OULED BHAR KBAR KHOURIBGA</v>
          </cell>
          <cell r="I1089" t="str">
            <v>D</v>
          </cell>
          <cell r="J1089">
            <v>29455</v>
          </cell>
          <cell r="K1089">
            <v>35977</v>
          </cell>
          <cell r="L1089" t="str">
            <v>21</v>
          </cell>
          <cell r="M1089" t="str">
            <v>A</v>
          </cell>
          <cell r="N1089">
            <v>35977</v>
          </cell>
          <cell r="P1089">
            <v>22</v>
          </cell>
          <cell r="Q1089" t="str">
            <v>O</v>
          </cell>
          <cell r="R1089" t="str">
            <v>N</v>
          </cell>
          <cell r="S1089">
            <v>0</v>
          </cell>
          <cell r="T1089" t="str">
            <v>M</v>
          </cell>
          <cell r="U1089" t="str">
            <v>ZOHRA BENT BOUAZZA</v>
          </cell>
          <cell r="X1089">
            <v>4</v>
          </cell>
          <cell r="Y1089">
            <v>4</v>
          </cell>
          <cell r="AB1089" t="str">
            <v>X</v>
          </cell>
          <cell r="AC1089" t="str">
            <v>X</v>
          </cell>
          <cell r="AD1089" t="str">
            <v>X</v>
          </cell>
          <cell r="AH1089" t="str">
            <v>N</v>
          </cell>
          <cell r="AI1089" t="str">
            <v>N</v>
          </cell>
          <cell r="AK1089" t="str">
            <v>588 VILLAGE OCP BOUJNIBA</v>
          </cell>
          <cell r="AL1089" t="str">
            <v>CM2</v>
          </cell>
          <cell r="AP1089" t="str">
            <v>Q 37593</v>
          </cell>
          <cell r="AQ1089">
            <v>0</v>
          </cell>
          <cell r="AR1089" t="str">
            <v>B</v>
          </cell>
          <cell r="AS1089" t="str">
            <v>POPULAIRE.KHGA</v>
          </cell>
          <cell r="AT1089" t="str">
            <v>2111156488130008</v>
          </cell>
          <cell r="AU1089" t="str">
            <v>/  /</v>
          </cell>
          <cell r="AW1089">
            <v>39083</v>
          </cell>
          <cell r="AY1089" t="str">
            <v>XX</v>
          </cell>
          <cell r="BA1089" t="str">
            <v>1</v>
          </cell>
          <cell r="BB1089">
            <v>1</v>
          </cell>
          <cell r="BD1089">
            <v>0</v>
          </cell>
          <cell r="BE1089" t="str">
            <v>M</v>
          </cell>
          <cell r="BF1089" t="str">
            <v>N</v>
          </cell>
          <cell r="BG1089">
            <v>51</v>
          </cell>
          <cell r="BH1089">
            <v>39083</v>
          </cell>
        </row>
        <row r="1090">
          <cell r="A1090">
            <v>72188</v>
          </cell>
          <cell r="B1090">
            <v>416</v>
          </cell>
          <cell r="C1090" t="str">
            <v>C3152</v>
          </cell>
          <cell r="D1090" t="str">
            <v>BAQDID</v>
          </cell>
          <cell r="E1090" t="str">
            <v>EL MAATI</v>
          </cell>
          <cell r="F1090">
            <v>18546</v>
          </cell>
          <cell r="G1090" t="str">
            <v>1</v>
          </cell>
          <cell r="H1090" t="str">
            <v>OULED BHAR SGHAR KHOURIBGA</v>
          </cell>
          <cell r="I1090" t="str">
            <v>D</v>
          </cell>
          <cell r="J1090">
            <v>29455</v>
          </cell>
          <cell r="K1090">
            <v>36526</v>
          </cell>
          <cell r="L1090" t="str">
            <v>21</v>
          </cell>
          <cell r="M1090" t="str">
            <v>A</v>
          </cell>
          <cell r="N1090">
            <v>36526</v>
          </cell>
          <cell r="P1090">
            <v>22</v>
          </cell>
          <cell r="Q1090" t="str">
            <v>O</v>
          </cell>
          <cell r="R1090" t="str">
            <v>N</v>
          </cell>
          <cell r="S1090">
            <v>0</v>
          </cell>
          <cell r="T1090" t="str">
            <v>M</v>
          </cell>
          <cell r="U1090" t="str">
            <v>EL GHABI FATIMA BENT BOUAZZA</v>
          </cell>
          <cell r="X1090">
            <v>2</v>
          </cell>
          <cell r="Y1090">
            <v>0</v>
          </cell>
          <cell r="AB1090" t="str">
            <v>X</v>
          </cell>
          <cell r="AC1090" t="str">
            <v>X</v>
          </cell>
          <cell r="AD1090" t="str">
            <v>X</v>
          </cell>
          <cell r="AH1090" t="str">
            <v>N</v>
          </cell>
          <cell r="AI1090" t="str">
            <v>N</v>
          </cell>
          <cell r="AK1090" t="str">
            <v>LOT N° 8 ER-RACHAD III NAHDA - KHGA</v>
          </cell>
          <cell r="AL1090" t="str">
            <v>ILLETTRE</v>
          </cell>
          <cell r="AP1090" t="str">
            <v>Q 24802</v>
          </cell>
          <cell r="AQ1090">
            <v>0</v>
          </cell>
          <cell r="AR1090" t="str">
            <v>B</v>
          </cell>
          <cell r="AS1090" t="str">
            <v>C.I.H  KHGA</v>
          </cell>
          <cell r="AT1090" t="str">
            <v>7940430211004700</v>
          </cell>
          <cell r="AU1090" t="str">
            <v>/  /</v>
          </cell>
          <cell r="AW1090">
            <v>38718</v>
          </cell>
          <cell r="AY1090" t="str">
            <v>XX</v>
          </cell>
          <cell r="BA1090" t="str">
            <v>1</v>
          </cell>
          <cell r="BB1090">
            <v>1</v>
          </cell>
          <cell r="BD1090">
            <v>0</v>
          </cell>
          <cell r="BE1090" t="str">
            <v>M</v>
          </cell>
          <cell r="BF1090" t="str">
            <v>N</v>
          </cell>
          <cell r="BG1090">
            <v>1</v>
          </cell>
          <cell r="BH1090">
            <v>38718</v>
          </cell>
          <cell r="BI1090" t="str">
            <v>O</v>
          </cell>
        </row>
        <row r="1091">
          <cell r="A1091">
            <v>72196</v>
          </cell>
          <cell r="B1091">
            <v>437</v>
          </cell>
          <cell r="C1091" t="str">
            <v>C2000</v>
          </cell>
          <cell r="D1091" t="str">
            <v>SEMTA</v>
          </cell>
          <cell r="E1091" t="str">
            <v>ECH-CHERKI</v>
          </cell>
          <cell r="F1091">
            <v>20781</v>
          </cell>
          <cell r="G1091" t="str">
            <v>1</v>
          </cell>
          <cell r="H1091" t="str">
            <v>OULED ABDOUNE - KHOURIBGA</v>
          </cell>
          <cell r="I1091" t="str">
            <v>D</v>
          </cell>
          <cell r="J1091">
            <v>29454</v>
          </cell>
          <cell r="K1091">
            <v>31656</v>
          </cell>
          <cell r="L1091" t="str">
            <v>12</v>
          </cell>
          <cell r="M1091" t="str">
            <v>C</v>
          </cell>
          <cell r="N1091">
            <v>36039</v>
          </cell>
          <cell r="P1091">
            <v>22</v>
          </cell>
          <cell r="Q1091" t="str">
            <v>N</v>
          </cell>
          <cell r="R1091" t="str">
            <v>O</v>
          </cell>
          <cell r="S1091">
            <v>3</v>
          </cell>
          <cell r="T1091" t="str">
            <v>M</v>
          </cell>
          <cell r="U1091" t="str">
            <v>SAADIA BT EL HADJ AHMED</v>
          </cell>
          <cell r="X1091">
            <v>5</v>
          </cell>
          <cell r="Y1091">
            <v>3</v>
          </cell>
          <cell r="AB1091" t="str">
            <v>X</v>
          </cell>
          <cell r="AC1091" t="str">
            <v>X</v>
          </cell>
          <cell r="AD1091" t="str">
            <v>X</v>
          </cell>
          <cell r="AH1091" t="str">
            <v>N</v>
          </cell>
          <cell r="AI1091" t="str">
            <v>N</v>
          </cell>
          <cell r="AK1091" t="str">
            <v>DR OULED CHEIKH ALI OULED ABDOUNE KHGA</v>
          </cell>
          <cell r="AL1091" t="str">
            <v>ILLETTRE</v>
          </cell>
          <cell r="AP1091" t="str">
            <v>Q 20526</v>
          </cell>
          <cell r="AQ1091">
            <v>0</v>
          </cell>
          <cell r="AR1091" t="str">
            <v>C</v>
          </cell>
          <cell r="AU1091" t="str">
            <v>/  /</v>
          </cell>
          <cell r="AW1091">
            <v>39083</v>
          </cell>
          <cell r="AY1091" t="str">
            <v>XX</v>
          </cell>
          <cell r="BA1091" t="str">
            <v>1</v>
          </cell>
          <cell r="BB1091">
            <v>1</v>
          </cell>
          <cell r="BD1091">
            <v>0</v>
          </cell>
          <cell r="BE1091" t="str">
            <v>M</v>
          </cell>
          <cell r="BF1091" t="str">
            <v>N</v>
          </cell>
          <cell r="BG1091">
            <v>0</v>
          </cell>
          <cell r="BH1091">
            <v>39083</v>
          </cell>
          <cell r="BI1091" t="str">
            <v>O</v>
          </cell>
        </row>
        <row r="1092">
          <cell r="A1092">
            <v>72198</v>
          </cell>
          <cell r="B1092">
            <v>468</v>
          </cell>
          <cell r="C1092" t="str">
            <v>C3152</v>
          </cell>
          <cell r="D1092" t="str">
            <v>RHOUJJANE</v>
          </cell>
          <cell r="E1092" t="str">
            <v>AHMED</v>
          </cell>
          <cell r="F1092">
            <v>20636</v>
          </cell>
          <cell r="H1092" t="str">
            <v>TNANT - AZILAL</v>
          </cell>
          <cell r="I1092" t="str">
            <v>D</v>
          </cell>
          <cell r="J1092">
            <v>29454</v>
          </cell>
          <cell r="K1092">
            <v>37377</v>
          </cell>
          <cell r="L1092" t="str">
            <v>21</v>
          </cell>
          <cell r="M1092" t="str">
            <v>A</v>
          </cell>
          <cell r="N1092">
            <v>37377</v>
          </cell>
          <cell r="P1092">
            <v>22</v>
          </cell>
          <cell r="Q1092" t="str">
            <v>O</v>
          </cell>
          <cell r="R1092" t="str">
            <v>N</v>
          </cell>
          <cell r="S1092">
            <v>0</v>
          </cell>
          <cell r="T1092" t="str">
            <v>M</v>
          </cell>
          <cell r="U1092" t="str">
            <v>AICHA BENT AHMED</v>
          </cell>
          <cell r="X1092">
            <v>2</v>
          </cell>
          <cell r="Y1092">
            <v>2</v>
          </cell>
          <cell r="AB1092" t="str">
            <v>X</v>
          </cell>
          <cell r="AC1092" t="str">
            <v>X</v>
          </cell>
          <cell r="AD1092" t="str">
            <v>X</v>
          </cell>
          <cell r="AH1092" t="str">
            <v>N</v>
          </cell>
          <cell r="AI1092" t="str">
            <v>N</v>
          </cell>
          <cell r="AK1092" t="str">
            <v>26 VILLAGE O.C.P - BOUJNIBA</v>
          </cell>
          <cell r="AL1092" t="str">
            <v>CM2</v>
          </cell>
          <cell r="AP1092" t="str">
            <v>Q 98356</v>
          </cell>
          <cell r="AQ1092">
            <v>0</v>
          </cell>
          <cell r="AR1092" t="str">
            <v>B</v>
          </cell>
          <cell r="AS1092" t="str">
            <v>BMCE - KHGA</v>
          </cell>
          <cell r="AT1092" t="str">
            <v>4000001200001352334</v>
          </cell>
          <cell r="AU1092" t="str">
            <v>/  /</v>
          </cell>
          <cell r="AW1092">
            <v>39083</v>
          </cell>
          <cell r="AY1092" t="str">
            <v>XX</v>
          </cell>
          <cell r="BA1092" t="str">
            <v>1</v>
          </cell>
          <cell r="BB1092">
            <v>1</v>
          </cell>
          <cell r="BD1092">
            <v>0</v>
          </cell>
          <cell r="BE1092" t="str">
            <v>M</v>
          </cell>
          <cell r="BF1092" t="str">
            <v>N</v>
          </cell>
          <cell r="BG1092">
            <v>51</v>
          </cell>
          <cell r="BH1092">
            <v>39083</v>
          </cell>
        </row>
        <row r="1093">
          <cell r="A1093">
            <v>72227</v>
          </cell>
          <cell r="B1093">
            <v>421</v>
          </cell>
          <cell r="C1093" t="str">
            <v>C3020</v>
          </cell>
          <cell r="D1093" t="str">
            <v>CHAOUKI</v>
          </cell>
          <cell r="E1093" t="str">
            <v>DRISS</v>
          </cell>
          <cell r="F1093">
            <v>21430</v>
          </cell>
          <cell r="G1093" t="str">
            <v>6</v>
          </cell>
          <cell r="H1093" t="str">
            <v>M'FASSIS</v>
          </cell>
          <cell r="I1093" t="str">
            <v>D</v>
          </cell>
          <cell r="J1093">
            <v>29476</v>
          </cell>
          <cell r="K1093">
            <v>33664</v>
          </cell>
          <cell r="L1093" t="str">
            <v>21</v>
          </cell>
          <cell r="M1093" t="str">
            <v>A</v>
          </cell>
          <cell r="N1093">
            <v>33664</v>
          </cell>
          <cell r="O1093">
            <v>0</v>
          </cell>
          <cell r="P1093">
            <v>22</v>
          </cell>
          <cell r="Q1093" t="str">
            <v>O</v>
          </cell>
          <cell r="R1093" t="str">
            <v>N</v>
          </cell>
          <cell r="S1093">
            <v>0</v>
          </cell>
          <cell r="T1093" t="str">
            <v>M</v>
          </cell>
          <cell r="U1093" t="str">
            <v>BOUCHTAOUIA BENT MOHAMED</v>
          </cell>
          <cell r="X1093">
            <v>7</v>
          </cell>
          <cell r="Y1093">
            <v>6</v>
          </cell>
          <cell r="AB1093" t="str">
            <v>X</v>
          </cell>
          <cell r="AC1093" t="str">
            <v>X</v>
          </cell>
          <cell r="AD1093" t="str">
            <v>X</v>
          </cell>
          <cell r="AH1093" t="str">
            <v>N</v>
          </cell>
          <cell r="AI1093" t="str">
            <v>N</v>
          </cell>
          <cell r="AK1093" t="str">
            <v>1182 SBATA VILLAGE OCP HATTANE</v>
          </cell>
          <cell r="AL1093" t="str">
            <v>ILLETTRE</v>
          </cell>
          <cell r="AP1093" t="str">
            <v>Q 32152</v>
          </cell>
          <cell r="AQ1093">
            <v>0</v>
          </cell>
          <cell r="AR1093" t="str">
            <v>B</v>
          </cell>
          <cell r="AS1093" t="str">
            <v>SGMB - KHGA</v>
          </cell>
          <cell r="AT1093" t="str">
            <v>067000951891641</v>
          </cell>
          <cell r="AU1093" t="str">
            <v>/  /</v>
          </cell>
          <cell r="AW1093">
            <v>39814</v>
          </cell>
          <cell r="AY1093" t="str">
            <v>XX</v>
          </cell>
          <cell r="BA1093" t="str">
            <v>0</v>
          </cell>
          <cell r="BB1093">
            <v>1</v>
          </cell>
          <cell r="BD1093">
            <v>0</v>
          </cell>
          <cell r="BE1093" t="str">
            <v>M</v>
          </cell>
          <cell r="BF1093" t="str">
            <v>N</v>
          </cell>
          <cell r="BG1093">
            <v>11</v>
          </cell>
          <cell r="BH1093">
            <v>39814</v>
          </cell>
        </row>
        <row r="1094">
          <cell r="A1094">
            <v>72241</v>
          </cell>
          <cell r="B1094">
            <v>468</v>
          </cell>
          <cell r="C1094" t="str">
            <v>C3050</v>
          </cell>
          <cell r="D1094" t="str">
            <v>AZIZI</v>
          </cell>
          <cell r="E1094" t="str">
            <v>MOHAMMED</v>
          </cell>
          <cell r="F1094">
            <v>20270</v>
          </cell>
          <cell r="H1094" t="str">
            <v>BENI SADDEN - FES</v>
          </cell>
          <cell r="I1094" t="str">
            <v>D</v>
          </cell>
          <cell r="J1094">
            <v>29489</v>
          </cell>
          <cell r="K1094">
            <v>36526</v>
          </cell>
          <cell r="L1094" t="str">
            <v>21</v>
          </cell>
          <cell r="M1094" t="str">
            <v>A</v>
          </cell>
          <cell r="N1094">
            <v>36526</v>
          </cell>
          <cell r="P1094">
            <v>22</v>
          </cell>
          <cell r="Q1094" t="str">
            <v>O</v>
          </cell>
          <cell r="R1094" t="str">
            <v>N</v>
          </cell>
          <cell r="S1094">
            <v>0</v>
          </cell>
          <cell r="T1094" t="str">
            <v>M</v>
          </cell>
          <cell r="U1094" t="str">
            <v>KHADIJA BENT  BENAIDI BOUSSARG</v>
          </cell>
          <cell r="X1094">
            <v>3</v>
          </cell>
          <cell r="Y1094">
            <v>3</v>
          </cell>
          <cell r="AB1094" t="str">
            <v>X</v>
          </cell>
          <cell r="AC1094" t="str">
            <v>X</v>
          </cell>
          <cell r="AD1094" t="str">
            <v>X</v>
          </cell>
          <cell r="AH1094" t="str">
            <v>N</v>
          </cell>
          <cell r="AI1094" t="str">
            <v>N</v>
          </cell>
          <cell r="AK1094" t="str">
            <v>381 VILLAGE OCP BOUJNIBA</v>
          </cell>
          <cell r="AL1094" t="str">
            <v>CM2</v>
          </cell>
          <cell r="AP1094" t="str">
            <v>Q 69410</v>
          </cell>
          <cell r="AQ1094">
            <v>0</v>
          </cell>
          <cell r="AR1094" t="str">
            <v>C</v>
          </cell>
          <cell r="AU1094" t="str">
            <v>/  /</v>
          </cell>
          <cell r="AW1094">
            <v>39083</v>
          </cell>
          <cell r="AY1094" t="str">
            <v>XX</v>
          </cell>
          <cell r="AZ1094" t="str">
            <v>K</v>
          </cell>
          <cell r="BA1094" t="str">
            <v>2</v>
          </cell>
          <cell r="BB1094">
            <v>1</v>
          </cell>
          <cell r="BD1094">
            <v>0</v>
          </cell>
          <cell r="BE1094" t="str">
            <v>M</v>
          </cell>
          <cell r="BF1094" t="str">
            <v>N</v>
          </cell>
          <cell r="BG1094">
            <v>51</v>
          </cell>
          <cell r="BH1094">
            <v>39264</v>
          </cell>
        </row>
        <row r="1095">
          <cell r="A1095">
            <v>72245</v>
          </cell>
          <cell r="B1095">
            <v>421</v>
          </cell>
          <cell r="C1095" t="str">
            <v>C4152</v>
          </cell>
          <cell r="D1095" t="str">
            <v>ATTIOUI</v>
          </cell>
          <cell r="E1095" t="str">
            <v>ABDELHADI</v>
          </cell>
          <cell r="F1095">
            <v>19687</v>
          </cell>
          <cell r="G1095" t="str">
            <v>4</v>
          </cell>
          <cell r="H1095" t="str">
            <v>BOULANOUAR</v>
          </cell>
          <cell r="I1095" t="str">
            <v>D</v>
          </cell>
          <cell r="J1095">
            <v>29486</v>
          </cell>
          <cell r="K1095">
            <v>35065</v>
          </cell>
          <cell r="L1095" t="str">
            <v>22</v>
          </cell>
          <cell r="M1095" t="str">
            <v>A</v>
          </cell>
          <cell r="N1095">
            <v>35065</v>
          </cell>
          <cell r="P1095">
            <v>22</v>
          </cell>
          <cell r="Q1095" t="str">
            <v>O</v>
          </cell>
          <cell r="R1095" t="str">
            <v>N</v>
          </cell>
          <cell r="S1095">
            <v>0</v>
          </cell>
          <cell r="T1095" t="str">
            <v>M</v>
          </cell>
          <cell r="U1095" t="str">
            <v>SALHA BENT BOUAZZA</v>
          </cell>
          <cell r="X1095">
            <v>4</v>
          </cell>
          <cell r="Y1095">
            <v>4</v>
          </cell>
          <cell r="AB1095" t="str">
            <v>X</v>
          </cell>
          <cell r="AC1095" t="str">
            <v>X</v>
          </cell>
          <cell r="AD1095" t="str">
            <v>X</v>
          </cell>
          <cell r="AH1095" t="str">
            <v>N</v>
          </cell>
          <cell r="AI1095" t="str">
            <v>N</v>
          </cell>
          <cell r="AK1095" t="str">
            <v>66 NELLE CONSTRUCTION DE SECHAGE KHGA</v>
          </cell>
          <cell r="AL1095" t="str">
            <v>CM2</v>
          </cell>
          <cell r="AP1095" t="str">
            <v>Q 88934</v>
          </cell>
          <cell r="AQ1095">
            <v>0</v>
          </cell>
          <cell r="AR1095" t="str">
            <v>B</v>
          </cell>
          <cell r="AS1095" t="str">
            <v>B.M.C.E  KHGA</v>
          </cell>
          <cell r="AT1095" t="str">
            <v>40001200000881787</v>
          </cell>
          <cell r="AU1095" t="str">
            <v>/  /</v>
          </cell>
          <cell r="AW1095">
            <v>39083</v>
          </cell>
          <cell r="AY1095" t="str">
            <v>XX</v>
          </cell>
          <cell r="BA1095" t="str">
            <v>1</v>
          </cell>
          <cell r="BB1095">
            <v>1</v>
          </cell>
          <cell r="BD1095">
            <v>0</v>
          </cell>
          <cell r="BE1095" t="str">
            <v>M</v>
          </cell>
          <cell r="BF1095" t="str">
            <v>N</v>
          </cell>
          <cell r="BG1095">
            <v>4</v>
          </cell>
          <cell r="BH1095">
            <v>39264</v>
          </cell>
        </row>
        <row r="1096">
          <cell r="A1096">
            <v>72256</v>
          </cell>
          <cell r="B1096">
            <v>468</v>
          </cell>
          <cell r="C1096" t="str">
            <v>C4405</v>
          </cell>
          <cell r="D1096" t="str">
            <v>ADNI</v>
          </cell>
          <cell r="E1096" t="str">
            <v>ABDELKADER</v>
          </cell>
          <cell r="F1096">
            <v>19027</v>
          </cell>
          <cell r="G1096" t="str">
            <v>2</v>
          </cell>
          <cell r="H1096" t="str">
            <v>OUED-ZEM</v>
          </cell>
          <cell r="I1096" t="str">
            <v>D</v>
          </cell>
          <cell r="J1096">
            <v>29496</v>
          </cell>
          <cell r="K1096">
            <v>30651</v>
          </cell>
          <cell r="L1096" t="str">
            <v>22</v>
          </cell>
          <cell r="M1096" t="str">
            <v>B</v>
          </cell>
          <cell r="N1096">
            <v>35612</v>
          </cell>
          <cell r="P1096">
            <v>22</v>
          </cell>
          <cell r="Q1096" t="str">
            <v>O</v>
          </cell>
          <cell r="R1096" t="str">
            <v>N</v>
          </cell>
          <cell r="S1096">
            <v>0</v>
          </cell>
          <cell r="T1096" t="str">
            <v>M</v>
          </cell>
          <cell r="U1096" t="str">
            <v>ADNI AICHA BENT SALAH</v>
          </cell>
          <cell r="X1096">
            <v>4</v>
          </cell>
          <cell r="Y1096">
            <v>4</v>
          </cell>
          <cell r="AB1096" t="str">
            <v>X</v>
          </cell>
          <cell r="AC1096" t="str">
            <v>X</v>
          </cell>
          <cell r="AD1096" t="str">
            <v>X</v>
          </cell>
          <cell r="AH1096" t="str">
            <v>N</v>
          </cell>
          <cell r="AI1096" t="str">
            <v>N</v>
          </cell>
          <cell r="AK1096" t="str">
            <v>133 RUE EL HADDADA OUED ZEM</v>
          </cell>
          <cell r="AL1096" t="str">
            <v>CM2</v>
          </cell>
          <cell r="AP1096" t="str">
            <v>Q 31482</v>
          </cell>
          <cell r="AQ1096">
            <v>0</v>
          </cell>
          <cell r="AR1096" t="str">
            <v>B</v>
          </cell>
          <cell r="AS1096" t="str">
            <v>BMCE - OUED ZEM</v>
          </cell>
          <cell r="AT1096" t="str">
            <v>41101200000527922</v>
          </cell>
          <cell r="AU1096" t="str">
            <v>/  /</v>
          </cell>
          <cell r="AW1096">
            <v>39083</v>
          </cell>
          <cell r="AY1096" t="str">
            <v>XX</v>
          </cell>
          <cell r="BA1096" t="str">
            <v>0</v>
          </cell>
          <cell r="BB1096">
            <v>1</v>
          </cell>
          <cell r="BD1096">
            <v>0</v>
          </cell>
          <cell r="BE1096" t="str">
            <v>M</v>
          </cell>
          <cell r="BF1096" t="str">
            <v>N</v>
          </cell>
          <cell r="BG1096">
            <v>31</v>
          </cell>
          <cell r="BH1096">
            <v>39264</v>
          </cell>
          <cell r="BI1096" t="str">
            <v>O</v>
          </cell>
        </row>
        <row r="1097">
          <cell r="A1097">
            <v>72258</v>
          </cell>
          <cell r="B1097">
            <v>461</v>
          </cell>
          <cell r="C1097" t="str">
            <v>C4152</v>
          </cell>
          <cell r="D1097" t="str">
            <v>EL MAKRI</v>
          </cell>
          <cell r="E1097" t="str">
            <v>EL KBIR</v>
          </cell>
          <cell r="F1097">
            <v>20676</v>
          </cell>
          <cell r="G1097" t="str">
            <v>6</v>
          </cell>
          <cell r="H1097" t="str">
            <v>HATTANE - KHOURIBGA</v>
          </cell>
          <cell r="I1097" t="str">
            <v>D</v>
          </cell>
          <cell r="J1097">
            <v>29497</v>
          </cell>
          <cell r="K1097">
            <v>36526</v>
          </cell>
          <cell r="L1097" t="str">
            <v>22</v>
          </cell>
          <cell r="M1097" t="str">
            <v>C</v>
          </cell>
          <cell r="N1097">
            <v>36526</v>
          </cell>
          <cell r="P1097">
            <v>22</v>
          </cell>
          <cell r="Q1097" t="str">
            <v>O</v>
          </cell>
          <cell r="R1097" t="str">
            <v>N</v>
          </cell>
          <cell r="S1097">
            <v>0</v>
          </cell>
          <cell r="T1097" t="str">
            <v>M</v>
          </cell>
          <cell r="U1097" t="str">
            <v>LAGHDAF SAADIA BENT EL YAZID</v>
          </cell>
          <cell r="X1097">
            <v>4</v>
          </cell>
          <cell r="Y1097">
            <v>3</v>
          </cell>
          <cell r="AB1097" t="str">
            <v>X</v>
          </cell>
          <cell r="AC1097" t="str">
            <v>X</v>
          </cell>
          <cell r="AD1097" t="str">
            <v>X</v>
          </cell>
          <cell r="AH1097" t="str">
            <v>N</v>
          </cell>
          <cell r="AI1097" t="str">
            <v>N</v>
          </cell>
          <cell r="AK1097" t="str">
            <v>12 RUE 14 KOREA OUED ZEM</v>
          </cell>
          <cell r="AL1097" t="str">
            <v>CM2</v>
          </cell>
          <cell r="AP1097" t="str">
            <v>Q 13362</v>
          </cell>
          <cell r="AQ1097">
            <v>0</v>
          </cell>
          <cell r="AR1097" t="str">
            <v>C</v>
          </cell>
          <cell r="AU1097" t="str">
            <v>/  /</v>
          </cell>
          <cell r="AW1097">
            <v>39083</v>
          </cell>
          <cell r="AY1097" t="str">
            <v>A+</v>
          </cell>
          <cell r="BA1097" t="str">
            <v>0</v>
          </cell>
          <cell r="BB1097">
            <v>1</v>
          </cell>
          <cell r="BD1097">
            <v>0</v>
          </cell>
          <cell r="BE1097" t="str">
            <v>M</v>
          </cell>
          <cell r="BF1097" t="str">
            <v>N</v>
          </cell>
          <cell r="BG1097">
            <v>31</v>
          </cell>
          <cell r="BH1097">
            <v>39264</v>
          </cell>
          <cell r="BI1097" t="str">
            <v>O</v>
          </cell>
        </row>
        <row r="1098">
          <cell r="A1098">
            <v>72259</v>
          </cell>
          <cell r="B1098">
            <v>468</v>
          </cell>
          <cell r="C1098" t="str">
            <v>C4405</v>
          </cell>
          <cell r="D1098" t="str">
            <v>TANSSAOUI</v>
          </cell>
          <cell r="E1098" t="str">
            <v>MOHAMMED</v>
          </cell>
          <cell r="F1098">
            <v>19579</v>
          </cell>
          <cell r="G1098" t="str">
            <v>2</v>
          </cell>
          <cell r="H1098" t="str">
            <v>OUED-ZEM</v>
          </cell>
          <cell r="I1098" t="str">
            <v>D</v>
          </cell>
          <cell r="J1098">
            <v>29497</v>
          </cell>
          <cell r="K1098">
            <v>30651</v>
          </cell>
          <cell r="L1098" t="str">
            <v>22</v>
          </cell>
          <cell r="M1098" t="str">
            <v>B</v>
          </cell>
          <cell r="N1098">
            <v>35612</v>
          </cell>
          <cell r="P1098">
            <v>22</v>
          </cell>
          <cell r="Q1098" t="str">
            <v>O</v>
          </cell>
          <cell r="R1098" t="str">
            <v>N</v>
          </cell>
          <cell r="S1098">
            <v>0</v>
          </cell>
          <cell r="T1098" t="str">
            <v>M</v>
          </cell>
          <cell r="U1098" t="str">
            <v>BELEBSIR NAIMA BENT LEBSIR</v>
          </cell>
          <cell r="X1098">
            <v>5</v>
          </cell>
          <cell r="Y1098">
            <v>4</v>
          </cell>
          <cell r="AB1098" t="str">
            <v>X</v>
          </cell>
          <cell r="AC1098" t="str">
            <v>X</v>
          </cell>
          <cell r="AD1098" t="str">
            <v>X</v>
          </cell>
          <cell r="AH1098" t="str">
            <v>N</v>
          </cell>
          <cell r="AI1098" t="str">
            <v>N</v>
          </cell>
          <cell r="AK1098" t="str">
            <v>42 RUE DU BARRAGE - OUED ZEM</v>
          </cell>
          <cell r="AL1098" t="str">
            <v>1AS</v>
          </cell>
          <cell r="AP1098" t="str">
            <v>Q 48744</v>
          </cell>
          <cell r="AQ1098">
            <v>0</v>
          </cell>
          <cell r="AR1098" t="str">
            <v>B</v>
          </cell>
          <cell r="AS1098" t="str">
            <v>C.I.H - KHGA</v>
          </cell>
          <cell r="AT1098" t="str">
            <v>7948615211004700</v>
          </cell>
          <cell r="AU1098" t="str">
            <v>/  /</v>
          </cell>
          <cell r="AW1098">
            <v>39083</v>
          </cell>
          <cell r="AY1098" t="str">
            <v>O+</v>
          </cell>
          <cell r="BA1098" t="str">
            <v>0</v>
          </cell>
          <cell r="BB1098">
            <v>1</v>
          </cell>
          <cell r="BD1098">
            <v>0</v>
          </cell>
          <cell r="BE1098" t="str">
            <v>M</v>
          </cell>
          <cell r="BF1098" t="str">
            <v>N</v>
          </cell>
          <cell r="BG1098">
            <v>31</v>
          </cell>
          <cell r="BH1098">
            <v>39264</v>
          </cell>
          <cell r="BI1098" t="str">
            <v>O</v>
          </cell>
        </row>
        <row r="1099">
          <cell r="A1099">
            <v>72276</v>
          </cell>
          <cell r="B1099">
            <v>416</v>
          </cell>
          <cell r="C1099" t="str">
            <v>C4152</v>
          </cell>
          <cell r="D1099" t="str">
            <v>KNOUZI</v>
          </cell>
          <cell r="E1099" t="str">
            <v>MOHAMED</v>
          </cell>
          <cell r="F1099">
            <v>20855</v>
          </cell>
          <cell r="G1099" t="str">
            <v>1</v>
          </cell>
          <cell r="H1099" t="str">
            <v>OULED BHAR KBAR KHOURIBGA</v>
          </cell>
          <cell r="I1099" t="str">
            <v>D</v>
          </cell>
          <cell r="J1099">
            <v>29503</v>
          </cell>
          <cell r="K1099">
            <v>36526</v>
          </cell>
          <cell r="L1099" t="str">
            <v>22</v>
          </cell>
          <cell r="M1099" t="str">
            <v>A</v>
          </cell>
          <cell r="N1099">
            <v>36526</v>
          </cell>
          <cell r="P1099">
            <v>22</v>
          </cell>
          <cell r="Q1099" t="str">
            <v>O</v>
          </cell>
          <cell r="R1099" t="str">
            <v>N</v>
          </cell>
          <cell r="S1099">
            <v>0</v>
          </cell>
          <cell r="T1099" t="str">
            <v>M</v>
          </cell>
          <cell r="U1099" t="str">
            <v>AICHA BENT MOHAMED</v>
          </cell>
          <cell r="X1099">
            <v>6</v>
          </cell>
          <cell r="Y1099">
            <v>6</v>
          </cell>
          <cell r="AB1099" t="str">
            <v>X</v>
          </cell>
          <cell r="AC1099" t="str">
            <v>X</v>
          </cell>
          <cell r="AD1099" t="str">
            <v>X</v>
          </cell>
          <cell r="AH1099" t="str">
            <v>N</v>
          </cell>
          <cell r="AI1099" t="str">
            <v>N</v>
          </cell>
          <cell r="AK1099" t="str">
            <v>1026 VILLAGE O.C.P - BOULANOIR</v>
          </cell>
          <cell r="AL1099" t="str">
            <v>CM2</v>
          </cell>
          <cell r="AP1099" t="str">
            <v>Q 24063</v>
          </cell>
          <cell r="AQ1099">
            <v>0</v>
          </cell>
          <cell r="AR1099" t="str">
            <v>B</v>
          </cell>
          <cell r="AS1099" t="str">
            <v>SGMB - KHGA</v>
          </cell>
          <cell r="AT1099" t="str">
            <v>067000950271741</v>
          </cell>
          <cell r="AU1099" t="str">
            <v>/  /</v>
          </cell>
          <cell r="AW1099">
            <v>39264</v>
          </cell>
          <cell r="AY1099" t="str">
            <v>XX</v>
          </cell>
          <cell r="BA1099" t="str">
            <v>1</v>
          </cell>
          <cell r="BB1099">
            <v>1</v>
          </cell>
          <cell r="BD1099">
            <v>0</v>
          </cell>
          <cell r="BE1099" t="str">
            <v>M</v>
          </cell>
          <cell r="BF1099" t="str">
            <v>N</v>
          </cell>
          <cell r="BG1099">
            <v>40</v>
          </cell>
          <cell r="BH1099">
            <v>39264</v>
          </cell>
        </row>
        <row r="1100">
          <cell r="A1100">
            <v>72277</v>
          </cell>
          <cell r="B1100">
            <v>411</v>
          </cell>
          <cell r="C1100" t="str">
            <v>C4152</v>
          </cell>
          <cell r="D1100" t="str">
            <v>EL MAQASS</v>
          </cell>
          <cell r="E1100" t="str">
            <v>EL MATI</v>
          </cell>
          <cell r="F1100">
            <v>19905</v>
          </cell>
          <cell r="G1100" t="str">
            <v>1</v>
          </cell>
          <cell r="H1100" t="str">
            <v>OULED BHAR KBAR KHOURIBGA</v>
          </cell>
          <cell r="I1100" t="str">
            <v>D</v>
          </cell>
          <cell r="J1100">
            <v>29503</v>
          </cell>
          <cell r="K1100">
            <v>36526</v>
          </cell>
          <cell r="L1100" t="str">
            <v>22</v>
          </cell>
          <cell r="M1100" t="str">
            <v>A</v>
          </cell>
          <cell r="N1100">
            <v>36526</v>
          </cell>
          <cell r="O1100">
            <v>0</v>
          </cell>
          <cell r="P1100">
            <v>22</v>
          </cell>
          <cell r="Q1100" t="str">
            <v>O</v>
          </cell>
          <cell r="R1100" t="str">
            <v>N</v>
          </cell>
          <cell r="S1100">
            <v>0</v>
          </cell>
          <cell r="T1100" t="str">
            <v>M</v>
          </cell>
          <cell r="U1100" t="str">
            <v>MILOUDIA BENT HADJ CHERKI</v>
          </cell>
          <cell r="X1100">
            <v>5</v>
          </cell>
          <cell r="Y1100">
            <v>5</v>
          </cell>
          <cell r="AB1100" t="str">
            <v>X</v>
          </cell>
          <cell r="AC1100" t="str">
            <v>X</v>
          </cell>
          <cell r="AD1100" t="str">
            <v>X</v>
          </cell>
          <cell r="AH1100" t="str">
            <v>N</v>
          </cell>
          <cell r="AI1100" t="str">
            <v>N</v>
          </cell>
          <cell r="AK1100" t="str">
            <v>1009 VILLAGE OCP - BOULANOIR</v>
          </cell>
          <cell r="AL1100" t="str">
            <v>ILLETTRE</v>
          </cell>
          <cell r="AP1100" t="str">
            <v>Q 80377</v>
          </cell>
          <cell r="AQ1100">
            <v>0</v>
          </cell>
          <cell r="AR1100" t="str">
            <v>B</v>
          </cell>
          <cell r="AS1100" t="str">
            <v>SGMB - KHGA</v>
          </cell>
          <cell r="AT1100" t="str">
            <v>067000951891641</v>
          </cell>
          <cell r="AU1100" t="str">
            <v>/  /</v>
          </cell>
          <cell r="AW1100">
            <v>39083</v>
          </cell>
          <cell r="AY1100" t="str">
            <v>XX</v>
          </cell>
          <cell r="BA1100" t="str">
            <v>1</v>
          </cell>
          <cell r="BB1100">
            <v>1</v>
          </cell>
          <cell r="BD1100">
            <v>0</v>
          </cell>
          <cell r="BE1100" t="str">
            <v>M</v>
          </cell>
          <cell r="BF1100" t="str">
            <v>N</v>
          </cell>
          <cell r="BG1100">
            <v>40</v>
          </cell>
          <cell r="BH1100">
            <v>39264</v>
          </cell>
        </row>
        <row r="1101">
          <cell r="A1101">
            <v>72306</v>
          </cell>
          <cell r="B1101">
            <v>403</v>
          </cell>
          <cell r="C1101" t="str">
            <v>C4801</v>
          </cell>
          <cell r="D1101" t="str">
            <v>ZAHID</v>
          </cell>
          <cell r="E1101" t="str">
            <v>EL MUSTAFA</v>
          </cell>
          <cell r="F1101">
            <v>21298</v>
          </cell>
          <cell r="G1101" t="str">
            <v>1</v>
          </cell>
          <cell r="H1101" t="str">
            <v>OULED BHAR SGHAR KHOURIBGA</v>
          </cell>
          <cell r="I1101" t="str">
            <v>D</v>
          </cell>
          <cell r="J1101">
            <v>29524</v>
          </cell>
          <cell r="K1101">
            <v>36526</v>
          </cell>
          <cell r="L1101" t="str">
            <v>22</v>
          </cell>
          <cell r="M1101" t="str">
            <v>B</v>
          </cell>
          <cell r="N1101">
            <v>36526</v>
          </cell>
          <cell r="P1101">
            <v>22</v>
          </cell>
          <cell r="Q1101" t="str">
            <v>O</v>
          </cell>
          <cell r="R1101" t="str">
            <v>N</v>
          </cell>
          <cell r="S1101">
            <v>0</v>
          </cell>
          <cell r="T1101" t="str">
            <v>M</v>
          </cell>
          <cell r="U1101" t="str">
            <v>AICHA BENT MOHAMED MOUSTAJIB</v>
          </cell>
          <cell r="X1101">
            <v>5</v>
          </cell>
          <cell r="Y1101">
            <v>5</v>
          </cell>
          <cell r="AB1101" t="str">
            <v>X</v>
          </cell>
          <cell r="AC1101" t="str">
            <v>X</v>
          </cell>
          <cell r="AD1101" t="str">
            <v>X</v>
          </cell>
          <cell r="AH1101" t="str">
            <v>N</v>
          </cell>
          <cell r="AI1101" t="str">
            <v>N</v>
          </cell>
          <cell r="AK1101" t="str">
            <v>238 ANCIENNE MEDINA SECHAGE OCP - KHGA</v>
          </cell>
          <cell r="AL1101" t="str">
            <v>CM1</v>
          </cell>
          <cell r="AP1101" t="str">
            <v>Q 24944</v>
          </cell>
          <cell r="AQ1101">
            <v>0</v>
          </cell>
          <cell r="AR1101" t="str">
            <v>B</v>
          </cell>
          <cell r="AS1101" t="str">
            <v>BMCE - KHGA</v>
          </cell>
          <cell r="AT1101" t="str">
            <v>40001200000973646</v>
          </cell>
          <cell r="AU1101" t="str">
            <v>/  /</v>
          </cell>
          <cell r="AW1101">
            <v>39630</v>
          </cell>
          <cell r="AY1101" t="str">
            <v>XX</v>
          </cell>
          <cell r="AZ1101" t="str">
            <v>R</v>
          </cell>
          <cell r="BA1101" t="str">
            <v>0</v>
          </cell>
          <cell r="BB1101">
            <v>1</v>
          </cell>
          <cell r="BD1101">
            <v>0</v>
          </cell>
          <cell r="BE1101" t="str">
            <v>M</v>
          </cell>
          <cell r="BF1101" t="str">
            <v>N</v>
          </cell>
          <cell r="BG1101">
            <v>1</v>
          </cell>
          <cell r="BH1101">
            <v>39630</v>
          </cell>
        </row>
        <row r="1102">
          <cell r="A1102">
            <v>72320</v>
          </cell>
          <cell r="B1102">
            <v>466</v>
          </cell>
          <cell r="C1102" t="str">
            <v>C3152</v>
          </cell>
          <cell r="D1102" t="str">
            <v>BERTANI</v>
          </cell>
          <cell r="E1102" t="str">
            <v>MOHAMED</v>
          </cell>
          <cell r="F1102">
            <v>20565</v>
          </cell>
          <cell r="G1102" t="str">
            <v>1</v>
          </cell>
          <cell r="H1102" t="str">
            <v>OULED BHAR KBAR KHOURIBGA</v>
          </cell>
          <cell r="I1102" t="str">
            <v>D</v>
          </cell>
          <cell r="J1102">
            <v>29525</v>
          </cell>
          <cell r="K1102">
            <v>36526</v>
          </cell>
          <cell r="L1102" t="str">
            <v>21</v>
          </cell>
          <cell r="M1102" t="str">
            <v>A</v>
          </cell>
          <cell r="N1102">
            <v>36526</v>
          </cell>
          <cell r="P1102">
            <v>22</v>
          </cell>
          <cell r="Q1102" t="str">
            <v>O</v>
          </cell>
          <cell r="R1102" t="str">
            <v>N</v>
          </cell>
          <cell r="S1102">
            <v>0</v>
          </cell>
          <cell r="T1102" t="str">
            <v>M</v>
          </cell>
          <cell r="U1102" t="str">
            <v>FATNA BENT KADDOUR AATIT</v>
          </cell>
          <cell r="X1102">
            <v>8</v>
          </cell>
          <cell r="Y1102">
            <v>5</v>
          </cell>
          <cell r="AB1102" t="str">
            <v>X</v>
          </cell>
          <cell r="AC1102" t="str">
            <v>X</v>
          </cell>
          <cell r="AD1102" t="str">
            <v>X</v>
          </cell>
          <cell r="AH1102" t="str">
            <v>N</v>
          </cell>
          <cell r="AI1102" t="str">
            <v>N</v>
          </cell>
          <cell r="AK1102" t="str">
            <v>232 - BIR MEZOUI</v>
          </cell>
          <cell r="AL1102" t="str">
            <v>ILLETTRE</v>
          </cell>
          <cell r="AP1102" t="str">
            <v>Q 83276</v>
          </cell>
          <cell r="AQ1102">
            <v>0</v>
          </cell>
          <cell r="AR1102" t="str">
            <v>B</v>
          </cell>
          <cell r="AS1102" t="str">
            <v>CNCA.KHGA</v>
          </cell>
          <cell r="AT1102" t="str">
            <v>0805401 H 601</v>
          </cell>
          <cell r="AU1102" t="str">
            <v>/  /</v>
          </cell>
          <cell r="AW1102">
            <v>39264</v>
          </cell>
          <cell r="AY1102" t="str">
            <v>XX</v>
          </cell>
          <cell r="BA1102" t="str">
            <v>1</v>
          </cell>
          <cell r="BB1102">
            <v>1</v>
          </cell>
          <cell r="BC1102" t="str">
            <v>N</v>
          </cell>
          <cell r="BD1102">
            <v>0</v>
          </cell>
          <cell r="BE1102" t="str">
            <v>M</v>
          </cell>
          <cell r="BF1102" t="str">
            <v>N</v>
          </cell>
          <cell r="BG1102">
            <v>60</v>
          </cell>
          <cell r="BH1102">
            <v>39264</v>
          </cell>
          <cell r="BI1102" t="str">
            <v>O</v>
          </cell>
        </row>
        <row r="1103">
          <cell r="A1103">
            <v>72326</v>
          </cell>
          <cell r="B1103">
            <v>428</v>
          </cell>
          <cell r="C1103" t="str">
            <v>C3152</v>
          </cell>
          <cell r="D1103" t="str">
            <v>EL HADEG</v>
          </cell>
          <cell r="E1103" t="str">
            <v>AHMED</v>
          </cell>
          <cell r="F1103">
            <v>19327</v>
          </cell>
          <cell r="G1103" t="str">
            <v>1</v>
          </cell>
          <cell r="H1103" t="str">
            <v>OULED BHAR SGHAR KHOURIBGA</v>
          </cell>
          <cell r="I1103" t="str">
            <v>D</v>
          </cell>
          <cell r="J1103">
            <v>29529</v>
          </cell>
          <cell r="K1103">
            <v>37012</v>
          </cell>
          <cell r="L1103" t="str">
            <v>21</v>
          </cell>
          <cell r="M1103" t="str">
            <v>A</v>
          </cell>
          <cell r="N1103">
            <v>37012</v>
          </cell>
          <cell r="P1103">
            <v>22</v>
          </cell>
          <cell r="Q1103" t="str">
            <v>O</v>
          </cell>
          <cell r="R1103" t="str">
            <v>N</v>
          </cell>
          <cell r="S1103">
            <v>0</v>
          </cell>
          <cell r="T1103" t="str">
            <v>M</v>
          </cell>
          <cell r="U1103" t="str">
            <v>BOUGTIRA AICHA BENT BOUAZZA</v>
          </cell>
          <cell r="X1103">
            <v>5</v>
          </cell>
          <cell r="Y1103">
            <v>3</v>
          </cell>
          <cell r="AB1103" t="str">
            <v>X</v>
          </cell>
          <cell r="AC1103" t="str">
            <v>X</v>
          </cell>
          <cell r="AD1103" t="str">
            <v>X</v>
          </cell>
          <cell r="AH1103" t="str">
            <v>N</v>
          </cell>
          <cell r="AI1103" t="str">
            <v>N</v>
          </cell>
          <cell r="AK1103" t="str">
            <v>1057 SBATTA VILLAGE OCP - HATTANE</v>
          </cell>
          <cell r="AL1103" t="str">
            <v>CM2</v>
          </cell>
          <cell r="AP1103" t="str">
            <v>Q 81087</v>
          </cell>
          <cell r="AQ1103">
            <v>0</v>
          </cell>
          <cell r="AR1103" t="str">
            <v>B</v>
          </cell>
          <cell r="AS1103" t="str">
            <v>CREDIT-AGRIC-KHGA</v>
          </cell>
          <cell r="AT1103" t="str">
            <v>0807678X601</v>
          </cell>
          <cell r="AU1103" t="str">
            <v>/  /</v>
          </cell>
          <cell r="AW1103">
            <v>39264</v>
          </cell>
          <cell r="AY1103" t="str">
            <v>XX</v>
          </cell>
          <cell r="BA1103" t="str">
            <v>1</v>
          </cell>
          <cell r="BB1103">
            <v>1</v>
          </cell>
          <cell r="BD1103">
            <v>0</v>
          </cell>
          <cell r="BE1103" t="str">
            <v>M</v>
          </cell>
          <cell r="BF1103" t="str">
            <v>N</v>
          </cell>
          <cell r="BG1103">
            <v>11</v>
          </cell>
          <cell r="BH1103">
            <v>39264</v>
          </cell>
        </row>
        <row r="1104">
          <cell r="A1104">
            <v>72332</v>
          </cell>
          <cell r="B1104">
            <v>426</v>
          </cell>
          <cell r="C1104" t="str">
            <v>C2000</v>
          </cell>
          <cell r="D1104" t="str">
            <v>SAIDI</v>
          </cell>
          <cell r="E1104" t="str">
            <v>SALAH</v>
          </cell>
          <cell r="F1104">
            <v>20270</v>
          </cell>
          <cell r="G1104" t="str">
            <v>2</v>
          </cell>
          <cell r="H1104" t="str">
            <v>BENI SMIR</v>
          </cell>
          <cell r="I1104" t="str">
            <v>D</v>
          </cell>
          <cell r="J1104">
            <v>29532</v>
          </cell>
          <cell r="K1104">
            <v>31747</v>
          </cell>
          <cell r="L1104" t="str">
            <v>12</v>
          </cell>
          <cell r="M1104" t="str">
            <v>C</v>
          </cell>
          <cell r="N1104">
            <v>36130</v>
          </cell>
          <cell r="P1104">
            <v>22</v>
          </cell>
          <cell r="Q1104" t="str">
            <v>O</v>
          </cell>
          <cell r="R1104" t="str">
            <v>N</v>
          </cell>
          <cell r="S1104">
            <v>0</v>
          </cell>
          <cell r="T1104" t="str">
            <v>M</v>
          </cell>
          <cell r="U1104" t="str">
            <v>FATNA BENT SALAH</v>
          </cell>
          <cell r="V1104" t="str">
            <v>NADIA BENT ABDELKADER</v>
          </cell>
          <cell r="X1104">
            <v>11</v>
          </cell>
          <cell r="Y1104">
            <v>6</v>
          </cell>
          <cell r="AB1104" t="str">
            <v>X</v>
          </cell>
          <cell r="AC1104" t="str">
            <v>X</v>
          </cell>
          <cell r="AD1104" t="str">
            <v>X</v>
          </cell>
          <cell r="AH1104" t="str">
            <v>N</v>
          </cell>
          <cell r="AI1104" t="str">
            <v>N</v>
          </cell>
          <cell r="AK1104" t="str">
            <v>DOUAR OULED BOUALI OUED ZEM</v>
          </cell>
          <cell r="AL1104" t="str">
            <v>ILLETTRE</v>
          </cell>
          <cell r="AP1104" t="str">
            <v>Q 77103</v>
          </cell>
          <cell r="AQ1104">
            <v>0</v>
          </cell>
          <cell r="AR1104" t="str">
            <v>B</v>
          </cell>
          <cell r="AS1104" t="str">
            <v>CR-AGRIC.-O-ZEM</v>
          </cell>
          <cell r="AT1104" t="str">
            <v>E202226L601</v>
          </cell>
          <cell r="AU1104" t="str">
            <v>/  /</v>
          </cell>
          <cell r="AW1104">
            <v>39264</v>
          </cell>
          <cell r="AY1104" t="str">
            <v>XX</v>
          </cell>
          <cell r="BA1104" t="str">
            <v>1</v>
          </cell>
          <cell r="BB1104">
            <v>1</v>
          </cell>
          <cell r="BD1104">
            <v>0</v>
          </cell>
          <cell r="BE1104" t="str">
            <v>M</v>
          </cell>
          <cell r="BF1104" t="str">
            <v>N</v>
          </cell>
          <cell r="BG1104">
            <v>52</v>
          </cell>
          <cell r="BH1104">
            <v>39264</v>
          </cell>
        </row>
        <row r="1105">
          <cell r="A1105">
            <v>72335</v>
          </cell>
          <cell r="B1105">
            <v>468</v>
          </cell>
          <cell r="C1105" t="str">
            <v>C3152</v>
          </cell>
          <cell r="D1105" t="str">
            <v>HAIRARA</v>
          </cell>
          <cell r="E1105" t="str">
            <v>EL MATI</v>
          </cell>
          <cell r="F1105">
            <v>20575</v>
          </cell>
          <cell r="G1105" t="str">
            <v>1</v>
          </cell>
          <cell r="H1105" t="str">
            <v>KHOURIBGA</v>
          </cell>
          <cell r="I1105" t="str">
            <v>D</v>
          </cell>
          <cell r="J1105">
            <v>29532</v>
          </cell>
          <cell r="K1105">
            <v>36526</v>
          </cell>
          <cell r="L1105" t="str">
            <v>21</v>
          </cell>
          <cell r="M1105" t="str">
            <v>A</v>
          </cell>
          <cell r="N1105">
            <v>36526</v>
          </cell>
          <cell r="P1105">
            <v>22</v>
          </cell>
          <cell r="Q1105" t="str">
            <v>O</v>
          </cell>
          <cell r="R1105" t="str">
            <v>N</v>
          </cell>
          <cell r="S1105">
            <v>0</v>
          </cell>
          <cell r="T1105" t="str">
            <v>M</v>
          </cell>
          <cell r="U1105" t="str">
            <v>AFRANI NAJAT BENT MOHAMED</v>
          </cell>
          <cell r="X1105">
            <v>5</v>
          </cell>
          <cell r="Y1105">
            <v>5</v>
          </cell>
          <cell r="AB1105" t="str">
            <v>X</v>
          </cell>
          <cell r="AC1105" t="str">
            <v>X</v>
          </cell>
          <cell r="AD1105" t="str">
            <v>X</v>
          </cell>
          <cell r="AH1105" t="str">
            <v>N</v>
          </cell>
          <cell r="AI1105" t="str">
            <v>N</v>
          </cell>
          <cell r="AK1105" t="str">
            <v>69 RUE 2 ZIDANIA - OUED ZEM</v>
          </cell>
          <cell r="AL1105" t="str">
            <v>ILLETTRE</v>
          </cell>
          <cell r="AP1105" t="str">
            <v>Q 32128</v>
          </cell>
          <cell r="AQ1105">
            <v>0</v>
          </cell>
          <cell r="AR1105" t="str">
            <v>C</v>
          </cell>
          <cell r="AU1105" t="str">
            <v>/  /</v>
          </cell>
          <cell r="AW1105">
            <v>39264</v>
          </cell>
          <cell r="AY1105" t="str">
            <v>XX</v>
          </cell>
          <cell r="BA1105" t="str">
            <v>1</v>
          </cell>
          <cell r="BB1105">
            <v>1</v>
          </cell>
          <cell r="BD1105">
            <v>0</v>
          </cell>
          <cell r="BE1105" t="str">
            <v>M</v>
          </cell>
          <cell r="BF1105" t="str">
            <v>N</v>
          </cell>
          <cell r="BG1105">
            <v>31</v>
          </cell>
          <cell r="BH1105">
            <v>39264</v>
          </cell>
          <cell r="BI1105" t="str">
            <v>O</v>
          </cell>
        </row>
        <row r="1106">
          <cell r="A1106">
            <v>72341</v>
          </cell>
          <cell r="B1106">
            <v>426</v>
          </cell>
          <cell r="C1106" t="str">
            <v>C2000</v>
          </cell>
          <cell r="D1106" t="str">
            <v>CHERRAGUI</v>
          </cell>
          <cell r="E1106" t="str">
            <v>M'BAREK</v>
          </cell>
          <cell r="F1106">
            <v>19540</v>
          </cell>
          <cell r="G1106" t="str">
            <v>6</v>
          </cell>
          <cell r="H1106" t="str">
            <v>OULED AZZOUZ</v>
          </cell>
          <cell r="I1106" t="str">
            <v>D</v>
          </cell>
          <cell r="J1106">
            <v>29535</v>
          </cell>
          <cell r="K1106">
            <v>31747</v>
          </cell>
          <cell r="L1106" t="str">
            <v>12</v>
          </cell>
          <cell r="M1106" t="str">
            <v>C</v>
          </cell>
          <cell r="N1106">
            <v>36130</v>
          </cell>
          <cell r="P1106">
            <v>22</v>
          </cell>
          <cell r="Q1106" t="str">
            <v>O</v>
          </cell>
          <cell r="R1106" t="str">
            <v>N</v>
          </cell>
          <cell r="S1106">
            <v>0</v>
          </cell>
          <cell r="T1106" t="str">
            <v>M</v>
          </cell>
          <cell r="U1106" t="str">
            <v>RAHMA BENT ABDELLAH</v>
          </cell>
          <cell r="X1106">
            <v>5</v>
          </cell>
          <cell r="Y1106">
            <v>1</v>
          </cell>
          <cell r="AB1106" t="str">
            <v>X</v>
          </cell>
          <cell r="AC1106" t="str">
            <v>X</v>
          </cell>
          <cell r="AD1106" t="str">
            <v>X</v>
          </cell>
          <cell r="AH1106" t="str">
            <v>N</v>
          </cell>
          <cell r="AI1106" t="str">
            <v>N</v>
          </cell>
          <cell r="AK1106" t="str">
            <v>971 VILLAGE O.C.P - HATTANE</v>
          </cell>
          <cell r="AL1106" t="str">
            <v>ILLETTRE</v>
          </cell>
          <cell r="AP1106" t="str">
            <v>Q 80482</v>
          </cell>
          <cell r="AQ1106">
            <v>0</v>
          </cell>
          <cell r="AR1106" t="str">
            <v>C</v>
          </cell>
          <cell r="AU1106" t="str">
            <v>/  /</v>
          </cell>
          <cell r="AW1106">
            <v>39264</v>
          </cell>
          <cell r="AY1106" t="str">
            <v>XX</v>
          </cell>
          <cell r="BA1106" t="str">
            <v>1</v>
          </cell>
          <cell r="BB1106">
            <v>1</v>
          </cell>
          <cell r="BD1106">
            <v>0</v>
          </cell>
          <cell r="BE1106" t="str">
            <v>M</v>
          </cell>
          <cell r="BF1106" t="str">
            <v>N</v>
          </cell>
          <cell r="BG1106">
            <v>11</v>
          </cell>
          <cell r="BH1106">
            <v>39264</v>
          </cell>
          <cell r="BI1106" t="str">
            <v>O</v>
          </cell>
        </row>
        <row r="1107">
          <cell r="A1107">
            <v>72343</v>
          </cell>
          <cell r="B1107">
            <v>428</v>
          </cell>
          <cell r="C1107" t="str">
            <v>C2152</v>
          </cell>
          <cell r="D1107" t="str">
            <v>EL BOURI</v>
          </cell>
          <cell r="E1107" t="str">
            <v>EL MATI</v>
          </cell>
          <cell r="F1107">
            <v>19453</v>
          </cell>
          <cell r="G1107" t="str">
            <v>1</v>
          </cell>
          <cell r="H1107" t="str">
            <v>OULED ABDOUNE</v>
          </cell>
          <cell r="I1107" t="str">
            <v>D</v>
          </cell>
          <cell r="J1107">
            <v>29536</v>
          </cell>
          <cell r="K1107">
            <v>31747</v>
          </cell>
          <cell r="L1107" t="str">
            <v>12</v>
          </cell>
          <cell r="M1107" t="str">
            <v>C</v>
          </cell>
          <cell r="N1107">
            <v>36130</v>
          </cell>
          <cell r="P1107">
            <v>22</v>
          </cell>
          <cell r="Q1107" t="str">
            <v>O</v>
          </cell>
          <cell r="R1107" t="str">
            <v>N</v>
          </cell>
          <cell r="S1107">
            <v>0</v>
          </cell>
          <cell r="T1107" t="str">
            <v>M</v>
          </cell>
          <cell r="U1107" t="str">
            <v>KHADDOUJ BENT LARBI</v>
          </cell>
          <cell r="X1107">
            <v>4</v>
          </cell>
          <cell r="Y1107">
            <v>1</v>
          </cell>
          <cell r="AB1107" t="str">
            <v>X</v>
          </cell>
          <cell r="AC1107" t="str">
            <v>X</v>
          </cell>
          <cell r="AD1107" t="str">
            <v>X</v>
          </cell>
          <cell r="AH1107" t="str">
            <v>N</v>
          </cell>
          <cell r="AI1107" t="str">
            <v>N</v>
          </cell>
          <cell r="AK1107" t="str">
            <v>DR OULED EL GHAZI OULED ABDOUNE KHGA</v>
          </cell>
          <cell r="AL1107" t="str">
            <v>CM2</v>
          </cell>
          <cell r="AP1107" t="str">
            <v>Q 54002</v>
          </cell>
          <cell r="AQ1107">
            <v>0</v>
          </cell>
          <cell r="AR1107" t="str">
            <v>B</v>
          </cell>
          <cell r="AS1107" t="str">
            <v>BCM -KHGA-</v>
          </cell>
          <cell r="AT1107" t="str">
            <v>233V300524</v>
          </cell>
          <cell r="AU1107" t="str">
            <v>/  /</v>
          </cell>
          <cell r="AW1107">
            <v>39264</v>
          </cell>
          <cell r="AY1107" t="str">
            <v>XX</v>
          </cell>
          <cell r="BA1107" t="str">
            <v>1</v>
          </cell>
          <cell r="BB1107">
            <v>1</v>
          </cell>
          <cell r="BD1107">
            <v>0</v>
          </cell>
          <cell r="BE1107" t="str">
            <v>M</v>
          </cell>
          <cell r="BF1107" t="str">
            <v>N</v>
          </cell>
          <cell r="BG1107">
            <v>4</v>
          </cell>
          <cell r="BH1107">
            <v>39264</v>
          </cell>
        </row>
        <row r="1108">
          <cell r="A1108">
            <v>72345</v>
          </cell>
          <cell r="B1108">
            <v>413</v>
          </cell>
          <cell r="C1108" t="str">
            <v>C3200</v>
          </cell>
          <cell r="D1108" t="str">
            <v>TABI</v>
          </cell>
          <cell r="E1108" t="str">
            <v>EL MOSTAFA</v>
          </cell>
          <cell r="F1108">
            <v>21415</v>
          </cell>
          <cell r="G1108" t="str">
            <v>1</v>
          </cell>
          <cell r="H1108" t="str">
            <v>KHOURIBGA</v>
          </cell>
          <cell r="I1108" t="str">
            <v>D</v>
          </cell>
          <cell r="J1108">
            <v>29536</v>
          </cell>
          <cell r="K1108">
            <v>35674</v>
          </cell>
          <cell r="L1108" t="str">
            <v>21</v>
          </cell>
          <cell r="M1108" t="str">
            <v>A</v>
          </cell>
          <cell r="N1108">
            <v>35674</v>
          </cell>
          <cell r="P1108">
            <v>22</v>
          </cell>
          <cell r="Q1108" t="str">
            <v>O</v>
          </cell>
          <cell r="R1108" t="str">
            <v>N</v>
          </cell>
          <cell r="S1108">
            <v>0</v>
          </cell>
          <cell r="T1108" t="str">
            <v>M</v>
          </cell>
          <cell r="U1108" t="str">
            <v>EL KHADIJI NAIMA BENT HAJ OMAR</v>
          </cell>
          <cell r="X1108">
            <v>5</v>
          </cell>
          <cell r="Y1108">
            <v>5</v>
          </cell>
          <cell r="AB1108" t="str">
            <v>X</v>
          </cell>
          <cell r="AC1108" t="str">
            <v>X</v>
          </cell>
          <cell r="AD1108" t="str">
            <v>X</v>
          </cell>
          <cell r="AH1108" t="str">
            <v>N</v>
          </cell>
          <cell r="AI1108" t="str">
            <v>N</v>
          </cell>
          <cell r="AK1108" t="str">
            <v>O688 VILLAGE O C P BOULANOIR</v>
          </cell>
          <cell r="AL1108" t="str">
            <v>CM2</v>
          </cell>
          <cell r="AP1108" t="str">
            <v>Q 42518</v>
          </cell>
          <cell r="AQ1108">
            <v>0</v>
          </cell>
          <cell r="AR1108" t="str">
            <v>B</v>
          </cell>
          <cell r="AS1108" t="str">
            <v>SGMB - KHGA</v>
          </cell>
          <cell r="AT1108" t="str">
            <v>00670009402322</v>
          </cell>
          <cell r="AU1108" t="str">
            <v>/  /</v>
          </cell>
          <cell r="AW1108">
            <v>39814</v>
          </cell>
          <cell r="AY1108" t="str">
            <v>XX</v>
          </cell>
          <cell r="BA1108" t="str">
            <v>2</v>
          </cell>
          <cell r="BB1108">
            <v>1</v>
          </cell>
          <cell r="BD1108">
            <v>0</v>
          </cell>
          <cell r="BE1108" t="str">
            <v>M</v>
          </cell>
          <cell r="BF1108" t="str">
            <v>N</v>
          </cell>
          <cell r="BG1108">
            <v>40</v>
          </cell>
          <cell r="BH1108">
            <v>39814</v>
          </cell>
        </row>
        <row r="1109">
          <cell r="A1109">
            <v>72350</v>
          </cell>
          <cell r="B1109">
            <v>421</v>
          </cell>
          <cell r="C1109" t="str">
            <v>C3152</v>
          </cell>
          <cell r="D1109" t="str">
            <v>CHAHIR</v>
          </cell>
          <cell r="E1109" t="str">
            <v>MOHAMED</v>
          </cell>
          <cell r="F1109">
            <v>20270</v>
          </cell>
          <cell r="H1109" t="str">
            <v>LOULAD - SETTAT</v>
          </cell>
          <cell r="I1109" t="str">
            <v>D</v>
          </cell>
          <cell r="J1109">
            <v>29542</v>
          </cell>
          <cell r="K1109">
            <v>36526</v>
          </cell>
          <cell r="L1109" t="str">
            <v>21</v>
          </cell>
          <cell r="M1109" t="str">
            <v>A</v>
          </cell>
          <cell r="N1109">
            <v>36526</v>
          </cell>
          <cell r="P1109">
            <v>22</v>
          </cell>
          <cell r="Q1109" t="str">
            <v>O</v>
          </cell>
          <cell r="R1109" t="str">
            <v>N</v>
          </cell>
          <cell r="S1109">
            <v>0</v>
          </cell>
          <cell r="T1109" t="str">
            <v>M</v>
          </cell>
          <cell r="U1109" t="str">
            <v>FATIMA BENT TAHAR</v>
          </cell>
          <cell r="X1109">
            <v>4</v>
          </cell>
          <cell r="Y1109">
            <v>4</v>
          </cell>
          <cell r="AB1109" t="str">
            <v>X</v>
          </cell>
          <cell r="AC1109" t="str">
            <v>X</v>
          </cell>
          <cell r="AD1109" t="str">
            <v>X</v>
          </cell>
          <cell r="AH1109" t="str">
            <v>N</v>
          </cell>
          <cell r="AI1109" t="str">
            <v>N</v>
          </cell>
          <cell r="AK1109" t="str">
            <v>245, NLLE MEDINA DE SECHAGE KHOURIBGA</v>
          </cell>
          <cell r="AL1109" t="str">
            <v>CM2</v>
          </cell>
          <cell r="AP1109" t="str">
            <v>Q 76947</v>
          </cell>
          <cell r="AQ1109">
            <v>0</v>
          </cell>
          <cell r="AR1109" t="str">
            <v>B</v>
          </cell>
          <cell r="AS1109" t="str">
            <v>CRED.MAROC KHGA</v>
          </cell>
          <cell r="AT1109" t="str">
            <v>082001028428</v>
          </cell>
          <cell r="AU1109" t="str">
            <v>/  /</v>
          </cell>
          <cell r="AW1109">
            <v>39264</v>
          </cell>
          <cell r="AY1109" t="str">
            <v>XX</v>
          </cell>
          <cell r="BA1109" t="str">
            <v>1</v>
          </cell>
          <cell r="BB1109">
            <v>1</v>
          </cell>
          <cell r="BD1109">
            <v>0</v>
          </cell>
          <cell r="BE1109" t="str">
            <v>M</v>
          </cell>
          <cell r="BF1109" t="str">
            <v>N</v>
          </cell>
          <cell r="BG1109">
            <v>4</v>
          </cell>
          <cell r="BH1109">
            <v>39264</v>
          </cell>
        </row>
        <row r="1110">
          <cell r="A1110">
            <v>72351</v>
          </cell>
          <cell r="B1110">
            <v>403</v>
          </cell>
          <cell r="C1110" t="str">
            <v>C4801</v>
          </cell>
          <cell r="D1110" t="str">
            <v>EL HANI</v>
          </cell>
          <cell r="E1110" t="str">
            <v>EL MOSTAFA</v>
          </cell>
          <cell r="F1110">
            <v>21232</v>
          </cell>
          <cell r="G1110" t="str">
            <v>1</v>
          </cell>
          <cell r="H1110" t="str">
            <v>KHOURIBGA</v>
          </cell>
          <cell r="I1110" t="str">
            <v>D</v>
          </cell>
          <cell r="J1110">
            <v>29542</v>
          </cell>
          <cell r="K1110">
            <v>33573</v>
          </cell>
          <cell r="L1110" t="str">
            <v>22</v>
          </cell>
          <cell r="M1110" t="str">
            <v>A</v>
          </cell>
          <cell r="N1110">
            <v>33573</v>
          </cell>
          <cell r="P1110">
            <v>22</v>
          </cell>
          <cell r="Q1110" t="str">
            <v>O</v>
          </cell>
          <cell r="R1110" t="str">
            <v>N</v>
          </cell>
          <cell r="S1110">
            <v>0</v>
          </cell>
          <cell r="T1110" t="str">
            <v>M</v>
          </cell>
          <cell r="U1110" t="str">
            <v>LOUDIFA FATIMA BENT MOHA</v>
          </cell>
          <cell r="X1110">
            <v>5</v>
          </cell>
          <cell r="Y1110">
            <v>5</v>
          </cell>
          <cell r="AB1110" t="str">
            <v>X</v>
          </cell>
          <cell r="AC1110" t="str">
            <v>X</v>
          </cell>
          <cell r="AD1110" t="str">
            <v>X</v>
          </cell>
          <cell r="AH1110" t="str">
            <v>N</v>
          </cell>
          <cell r="AI1110" t="str">
            <v>N</v>
          </cell>
          <cell r="AK1110" t="str">
            <v>619 VILLAGE OCP BOUJNIBA</v>
          </cell>
          <cell r="AL1110" t="str">
            <v>CM2</v>
          </cell>
          <cell r="AP1110" t="str">
            <v>Q 76676</v>
          </cell>
          <cell r="AQ1110">
            <v>0</v>
          </cell>
          <cell r="AR1110" t="str">
            <v>B</v>
          </cell>
          <cell r="AS1110" t="str">
            <v>BMCE.KHGA</v>
          </cell>
          <cell r="AT1110" t="str">
            <v>40001200000661694</v>
          </cell>
          <cell r="AU1110" t="str">
            <v>14/11/01</v>
          </cell>
          <cell r="AW1110">
            <v>39630</v>
          </cell>
          <cell r="AY1110" t="str">
            <v>O+</v>
          </cell>
          <cell r="BA1110" t="str">
            <v>0</v>
          </cell>
          <cell r="BB1110">
            <v>1</v>
          </cell>
          <cell r="BD1110">
            <v>0</v>
          </cell>
          <cell r="BE1110" t="str">
            <v>M</v>
          </cell>
          <cell r="BF1110" t="str">
            <v>N</v>
          </cell>
          <cell r="BG1110">
            <v>50</v>
          </cell>
          <cell r="BH1110">
            <v>39630</v>
          </cell>
        </row>
        <row r="1111">
          <cell r="A1111">
            <v>72367</v>
          </cell>
          <cell r="B1111">
            <v>421</v>
          </cell>
          <cell r="C1111" t="str">
            <v>X3150</v>
          </cell>
          <cell r="D1111" t="str">
            <v>EL OUARRAK</v>
          </cell>
          <cell r="E1111" t="str">
            <v>ABDERRAHIM</v>
          </cell>
          <cell r="F1111">
            <v>19905</v>
          </cell>
          <cell r="G1111" t="str">
            <v>1</v>
          </cell>
          <cell r="H1111" t="str">
            <v>OULED BHAR KBAR KHOURIBGA</v>
          </cell>
          <cell r="I1111" t="str">
            <v>D</v>
          </cell>
          <cell r="J1111">
            <v>29557</v>
          </cell>
          <cell r="K1111">
            <v>34151</v>
          </cell>
          <cell r="L1111" t="str">
            <v>41</v>
          </cell>
          <cell r="M1111" t="str">
            <v>A</v>
          </cell>
          <cell r="N1111">
            <v>34151</v>
          </cell>
          <cell r="P1111">
            <v>22</v>
          </cell>
          <cell r="Q1111" t="str">
            <v>O</v>
          </cell>
          <cell r="R1111" t="str">
            <v>N</v>
          </cell>
          <cell r="S1111">
            <v>0</v>
          </cell>
          <cell r="T1111" t="str">
            <v>M</v>
          </cell>
          <cell r="U1111" t="str">
            <v>CHAFFOUI NADIA BENT MOHAMED</v>
          </cell>
          <cell r="X1111">
            <v>3</v>
          </cell>
          <cell r="Y1111">
            <v>3</v>
          </cell>
          <cell r="AB1111" t="str">
            <v>X</v>
          </cell>
          <cell r="AC1111" t="str">
            <v>X</v>
          </cell>
          <cell r="AD1111" t="str">
            <v>X</v>
          </cell>
          <cell r="AH1111" t="str">
            <v>O</v>
          </cell>
          <cell r="AI1111" t="str">
            <v>N</v>
          </cell>
          <cell r="AK1111" t="str">
            <v>1,VILLA OCP OUED ZEM</v>
          </cell>
          <cell r="AL1111" t="str">
            <v>6AS.S.EXP.</v>
          </cell>
          <cell r="AM1111" t="str">
            <v>D'ECOLE DES MINES DE TOUISSIT</v>
          </cell>
          <cell r="AP1111" t="str">
            <v>F 220873</v>
          </cell>
          <cell r="AQ1111">
            <v>0</v>
          </cell>
          <cell r="AR1111" t="str">
            <v>B</v>
          </cell>
          <cell r="AS1111" t="str">
            <v>BMCI  OUED-ZEM</v>
          </cell>
          <cell r="AT1111" t="str">
            <v>02521651188301</v>
          </cell>
          <cell r="AU1111" t="str">
            <v>/  /</v>
          </cell>
          <cell r="AW1111">
            <v>39448</v>
          </cell>
          <cell r="AY1111" t="str">
            <v>XX</v>
          </cell>
          <cell r="BA1111" t="str">
            <v>1</v>
          </cell>
          <cell r="BB1111">
            <v>1</v>
          </cell>
          <cell r="BD1111">
            <v>0</v>
          </cell>
          <cell r="BE1111" t="str">
            <v>M</v>
          </cell>
          <cell r="BF1111" t="str">
            <v>N</v>
          </cell>
          <cell r="BG1111">
            <v>31</v>
          </cell>
          <cell r="BH1111">
            <v>39630</v>
          </cell>
        </row>
        <row r="1112">
          <cell r="A1112">
            <v>72371</v>
          </cell>
          <cell r="B1112">
            <v>461</v>
          </cell>
          <cell r="C1112" t="str">
            <v>X3150</v>
          </cell>
          <cell r="D1112" t="str">
            <v>ZAHHAFI</v>
          </cell>
          <cell r="E1112" t="str">
            <v>ABDERRAHMAN</v>
          </cell>
          <cell r="F1112">
            <v>21440</v>
          </cell>
          <cell r="G1112" t="str">
            <v>2</v>
          </cell>
          <cell r="H1112" t="str">
            <v>BENI KHIRANE - KHOURIBGA</v>
          </cell>
          <cell r="I1112" t="str">
            <v>D</v>
          </cell>
          <cell r="J1112">
            <v>29559</v>
          </cell>
          <cell r="K1112">
            <v>35431</v>
          </cell>
          <cell r="L1112" t="str">
            <v>41</v>
          </cell>
          <cell r="M1112" t="str">
            <v>A</v>
          </cell>
          <cell r="N1112">
            <v>35431</v>
          </cell>
          <cell r="P1112">
            <v>22</v>
          </cell>
          <cell r="Q1112" t="str">
            <v>O</v>
          </cell>
          <cell r="R1112" t="str">
            <v>N</v>
          </cell>
          <cell r="S1112">
            <v>0</v>
          </cell>
          <cell r="T1112" t="str">
            <v>M</v>
          </cell>
          <cell r="U1112" t="str">
            <v>BAJJA FATIMA BENT HADJ MAATI</v>
          </cell>
          <cell r="V1112" t="str">
            <v>CHENNAOUI BOUCHRA BT MOHAMED</v>
          </cell>
          <cell r="X1112">
            <v>6</v>
          </cell>
          <cell r="Y1112">
            <v>6</v>
          </cell>
          <cell r="AB1112" t="str">
            <v>X</v>
          </cell>
          <cell r="AC1112" t="str">
            <v>X</v>
          </cell>
          <cell r="AD1112" t="str">
            <v>X</v>
          </cell>
          <cell r="AH1112" t="str">
            <v>N</v>
          </cell>
          <cell r="AI1112" t="str">
            <v>N</v>
          </cell>
          <cell r="AK1112" t="str">
            <v>N° 775 HAY EL AMAL - KHOURIBGA</v>
          </cell>
          <cell r="AL1112" t="str">
            <v>6AS.EXP.</v>
          </cell>
          <cell r="AM1112" t="str">
            <v>ELECTROMECANIQUE DE TOUSSIT</v>
          </cell>
          <cell r="AP1112" t="str">
            <v>Q 23238</v>
          </cell>
          <cell r="AQ1112">
            <v>0</v>
          </cell>
          <cell r="AR1112" t="str">
            <v>B</v>
          </cell>
          <cell r="AS1112" t="str">
            <v>CREDIT-I-H KHGA</v>
          </cell>
          <cell r="AT1112" t="str">
            <v>7932841211004700</v>
          </cell>
          <cell r="AU1112" t="str">
            <v>/  /</v>
          </cell>
          <cell r="AW1112">
            <v>39814</v>
          </cell>
          <cell r="AY1112" t="str">
            <v>XX</v>
          </cell>
          <cell r="AZ1112" t="str">
            <v>M</v>
          </cell>
          <cell r="BA1112" t="str">
            <v>1</v>
          </cell>
          <cell r="BB1112">
            <v>1</v>
          </cell>
          <cell r="BD1112">
            <v>0</v>
          </cell>
          <cell r="BE1112" t="str">
            <v>M</v>
          </cell>
          <cell r="BF1112" t="str">
            <v>N</v>
          </cell>
          <cell r="BG1112">
            <v>4</v>
          </cell>
          <cell r="BH1112">
            <v>39814</v>
          </cell>
          <cell r="BI1112" t="str">
            <v>O</v>
          </cell>
        </row>
        <row r="1113">
          <cell r="A1113">
            <v>72479</v>
          </cell>
          <cell r="B1113">
            <v>418</v>
          </cell>
          <cell r="C1113" t="str">
            <v>C6102</v>
          </cell>
          <cell r="D1113" t="str">
            <v>DARHONI</v>
          </cell>
          <cell r="E1113" t="str">
            <v>MOHAMED</v>
          </cell>
          <cell r="F1113">
            <v>19540</v>
          </cell>
          <cell r="H1113" t="str">
            <v>AIT MESSOUD - TADLA</v>
          </cell>
          <cell r="I1113" t="str">
            <v>D</v>
          </cell>
          <cell r="J1113">
            <v>29656</v>
          </cell>
          <cell r="K1113">
            <v>33573</v>
          </cell>
          <cell r="L1113" t="str">
            <v>32</v>
          </cell>
          <cell r="M1113" t="str">
            <v>A</v>
          </cell>
          <cell r="N1113">
            <v>33573</v>
          </cell>
          <cell r="P1113">
            <v>22</v>
          </cell>
          <cell r="Q1113" t="str">
            <v>O</v>
          </cell>
          <cell r="R1113" t="str">
            <v>N</v>
          </cell>
          <cell r="S1113">
            <v>0</v>
          </cell>
          <cell r="T1113" t="str">
            <v>M</v>
          </cell>
          <cell r="U1113" t="str">
            <v>JARTI HAFIDA BENT MOHAMED</v>
          </cell>
          <cell r="X1113">
            <v>4</v>
          </cell>
          <cell r="Y1113">
            <v>2</v>
          </cell>
          <cell r="AB1113" t="str">
            <v>X</v>
          </cell>
          <cell r="AC1113" t="str">
            <v>X</v>
          </cell>
          <cell r="AD1113" t="str">
            <v>X</v>
          </cell>
          <cell r="AH1113" t="str">
            <v>N</v>
          </cell>
          <cell r="AI1113" t="str">
            <v>N</v>
          </cell>
          <cell r="AK1113" t="str">
            <v>1232 SBATA OCP - HATTANE</v>
          </cell>
          <cell r="AL1113" t="str">
            <v>4AS</v>
          </cell>
          <cell r="AP1113" t="str">
            <v>Q 46122</v>
          </cell>
          <cell r="AQ1113">
            <v>0</v>
          </cell>
          <cell r="AR1113" t="str">
            <v>B</v>
          </cell>
          <cell r="AS1113" t="str">
            <v>BMCE.KHGA</v>
          </cell>
          <cell r="AT1113" t="str">
            <v>40001200000452368</v>
          </cell>
          <cell r="AU1113" t="str">
            <v>/  /</v>
          </cell>
          <cell r="AW1113">
            <v>39264</v>
          </cell>
          <cell r="AY1113" t="str">
            <v>XX</v>
          </cell>
          <cell r="BA1113" t="str">
            <v>2</v>
          </cell>
          <cell r="BB1113">
            <v>1</v>
          </cell>
          <cell r="BC1113" t="str">
            <v>O</v>
          </cell>
          <cell r="BD1113">
            <v>4</v>
          </cell>
          <cell r="BE1113" t="str">
            <v>M</v>
          </cell>
          <cell r="BF1113" t="str">
            <v>N</v>
          </cell>
          <cell r="BG1113">
            <v>10</v>
          </cell>
          <cell r="BH1113">
            <v>39264</v>
          </cell>
        </row>
        <row r="1114">
          <cell r="A1114">
            <v>72583</v>
          </cell>
          <cell r="B1114">
            <v>476</v>
          </cell>
          <cell r="C1114" t="str">
            <v>C4405</v>
          </cell>
          <cell r="D1114" t="str">
            <v>EL MEDNANE</v>
          </cell>
          <cell r="E1114" t="str">
            <v>MOHAMMED</v>
          </cell>
          <cell r="F1114">
            <v>19555</v>
          </cell>
          <cell r="G1114" t="str">
            <v>1</v>
          </cell>
          <cell r="H1114" t="str">
            <v>OULED ABDOUNE</v>
          </cell>
          <cell r="I1114" t="str">
            <v>D</v>
          </cell>
          <cell r="J1114">
            <v>29738</v>
          </cell>
          <cell r="K1114">
            <v>32478</v>
          </cell>
          <cell r="L1114" t="str">
            <v>22</v>
          </cell>
          <cell r="M1114" t="str">
            <v>C</v>
          </cell>
          <cell r="N1114">
            <v>35612</v>
          </cell>
          <cell r="P1114">
            <v>21</v>
          </cell>
          <cell r="Q1114" t="str">
            <v>N</v>
          </cell>
          <cell r="R1114" t="str">
            <v>O</v>
          </cell>
          <cell r="S1114">
            <v>3</v>
          </cell>
          <cell r="T1114" t="str">
            <v>M</v>
          </cell>
          <cell r="U1114" t="str">
            <v>MINA BENT BRAHIM</v>
          </cell>
          <cell r="X1114">
            <v>4</v>
          </cell>
          <cell r="Y1114">
            <v>3</v>
          </cell>
          <cell r="AB1114" t="str">
            <v>X</v>
          </cell>
          <cell r="AC1114" t="str">
            <v>X</v>
          </cell>
          <cell r="AD1114" t="str">
            <v>X</v>
          </cell>
          <cell r="AH1114" t="str">
            <v>N</v>
          </cell>
          <cell r="AI1114" t="str">
            <v>N</v>
          </cell>
          <cell r="AK1114" t="str">
            <v>DOUAR LAMRAHNA OULED ABDOUN</v>
          </cell>
          <cell r="AL1114" t="str">
            <v>CM2</v>
          </cell>
          <cell r="AP1114" t="str">
            <v>Q 41642</v>
          </cell>
          <cell r="AQ1114">
            <v>0</v>
          </cell>
          <cell r="AR1114" t="str">
            <v>B</v>
          </cell>
          <cell r="AS1114" t="str">
            <v>POPULAIRE.KHGA</v>
          </cell>
          <cell r="AT1114" t="str">
            <v>2111156500000007</v>
          </cell>
          <cell r="AU1114" t="str">
            <v>07/11/87</v>
          </cell>
          <cell r="AW1114">
            <v>39448</v>
          </cell>
          <cell r="AY1114" t="str">
            <v>O+</v>
          </cell>
          <cell r="AZ1114" t="str">
            <v>R</v>
          </cell>
          <cell r="BA1114" t="str">
            <v>0</v>
          </cell>
          <cell r="BB1114">
            <v>1</v>
          </cell>
          <cell r="BD1114">
            <v>0</v>
          </cell>
          <cell r="BE1114" t="str">
            <v>M</v>
          </cell>
          <cell r="BF1114" t="str">
            <v>N</v>
          </cell>
          <cell r="BG1114">
            <v>0</v>
          </cell>
          <cell r="BH1114">
            <v>39448</v>
          </cell>
          <cell r="BI1114" t="str">
            <v>O</v>
          </cell>
        </row>
        <row r="1115">
          <cell r="A1115">
            <v>72587</v>
          </cell>
          <cell r="B1115">
            <v>409</v>
          </cell>
          <cell r="C1115" t="str">
            <v>C4401</v>
          </cell>
          <cell r="D1115" t="str">
            <v>HAIZOUN</v>
          </cell>
          <cell r="E1115" t="str">
            <v>AHMED</v>
          </cell>
          <cell r="F1115">
            <v>19175</v>
          </cell>
          <cell r="G1115" t="str">
            <v>1</v>
          </cell>
          <cell r="H1115" t="str">
            <v>OULED ABDOUNE</v>
          </cell>
          <cell r="I1115" t="str">
            <v>D</v>
          </cell>
          <cell r="J1115">
            <v>29738</v>
          </cell>
          <cell r="K1115">
            <v>32478</v>
          </cell>
          <cell r="L1115" t="str">
            <v>22</v>
          </cell>
          <cell r="M1115" t="str">
            <v>D</v>
          </cell>
          <cell r="N1115">
            <v>35612</v>
          </cell>
          <cell r="O1115">
            <v>0</v>
          </cell>
          <cell r="P1115">
            <v>21</v>
          </cell>
          <cell r="Q1115" t="str">
            <v>N</v>
          </cell>
          <cell r="R1115" t="str">
            <v>O</v>
          </cell>
          <cell r="S1115">
            <v>3</v>
          </cell>
          <cell r="T1115" t="str">
            <v>M</v>
          </cell>
          <cell r="U1115" t="str">
            <v>EL ARCHI FATNA BT HADJ KBIR</v>
          </cell>
          <cell r="X1115">
            <v>4</v>
          </cell>
          <cell r="Y1115">
            <v>2</v>
          </cell>
          <cell r="AB1115" t="str">
            <v>X</v>
          </cell>
          <cell r="AC1115" t="str">
            <v>X</v>
          </cell>
          <cell r="AD1115" t="str">
            <v>X</v>
          </cell>
          <cell r="AH1115" t="str">
            <v>N</v>
          </cell>
          <cell r="AI1115" t="str">
            <v>N</v>
          </cell>
          <cell r="AK1115" t="str">
            <v>DOUAR LAMRAHNA OULED ABDOUNE KHOURIBGA</v>
          </cell>
          <cell r="AL1115" t="str">
            <v>CM2</v>
          </cell>
          <cell r="AP1115" t="str">
            <v>Q 17309</v>
          </cell>
          <cell r="AQ1115">
            <v>0</v>
          </cell>
          <cell r="AR1115" t="str">
            <v>B</v>
          </cell>
          <cell r="AS1115" t="str">
            <v>BMCI - KHGA</v>
          </cell>
          <cell r="AT1115" t="str">
            <v>0282116710930100001</v>
          </cell>
          <cell r="AU1115" t="str">
            <v>22/10/96</v>
          </cell>
          <cell r="AW1115">
            <v>41075</v>
          </cell>
          <cell r="AX1115">
            <v>41075</v>
          </cell>
          <cell r="AY1115" t="str">
            <v>O+</v>
          </cell>
          <cell r="BA1115" t="str">
            <v>0</v>
          </cell>
          <cell r="BB1115">
            <v>1</v>
          </cell>
          <cell r="BD1115">
            <v>0</v>
          </cell>
          <cell r="BE1115" t="str">
            <v>M</v>
          </cell>
          <cell r="BF1115" t="str">
            <v>N</v>
          </cell>
          <cell r="BG1115">
            <v>0</v>
          </cell>
          <cell r="BH1115">
            <v>39264</v>
          </cell>
        </row>
        <row r="1116">
          <cell r="A1116">
            <v>72594</v>
          </cell>
          <cell r="B1116">
            <v>419</v>
          </cell>
          <cell r="C1116" t="str">
            <v>C3152</v>
          </cell>
          <cell r="D1116" t="str">
            <v>MAKINE</v>
          </cell>
          <cell r="E1116" t="str">
            <v>ABDELLAH</v>
          </cell>
          <cell r="F1116">
            <v>21267</v>
          </cell>
          <cell r="G1116" t="str">
            <v>1</v>
          </cell>
          <cell r="H1116" t="str">
            <v>OULED BHAR KBAR KHOURIBGA</v>
          </cell>
          <cell r="I1116" t="str">
            <v>D</v>
          </cell>
          <cell r="J1116">
            <v>29740</v>
          </cell>
          <cell r="K1116">
            <v>35977</v>
          </cell>
          <cell r="L1116" t="str">
            <v>21</v>
          </cell>
          <cell r="M1116" t="str">
            <v>A</v>
          </cell>
          <cell r="N1116">
            <v>35977</v>
          </cell>
          <cell r="P1116">
            <v>21</v>
          </cell>
          <cell r="Q1116" t="str">
            <v>O</v>
          </cell>
          <cell r="R1116" t="str">
            <v>N</v>
          </cell>
          <cell r="S1116">
            <v>0</v>
          </cell>
          <cell r="T1116" t="str">
            <v>M</v>
          </cell>
          <cell r="U1116" t="str">
            <v>KADOUS FATIMA BENT MOHAMED</v>
          </cell>
          <cell r="X1116">
            <v>5</v>
          </cell>
          <cell r="Y1116">
            <v>5</v>
          </cell>
          <cell r="AB1116" t="str">
            <v>X</v>
          </cell>
          <cell r="AC1116" t="str">
            <v>X</v>
          </cell>
          <cell r="AD1116" t="str">
            <v>X</v>
          </cell>
          <cell r="AH1116" t="str">
            <v>N</v>
          </cell>
          <cell r="AI1116" t="str">
            <v>N</v>
          </cell>
          <cell r="AK1116" t="str">
            <v>628 VILLAGE O.C.P - BOUJNIBA</v>
          </cell>
          <cell r="AL1116" t="str">
            <v>ILLETTRE</v>
          </cell>
          <cell r="AP1116" t="str">
            <v>Q 80838</v>
          </cell>
          <cell r="AQ1116">
            <v>0</v>
          </cell>
          <cell r="AR1116" t="str">
            <v>C</v>
          </cell>
          <cell r="AU1116" t="str">
            <v>/  /</v>
          </cell>
          <cell r="AW1116">
            <v>39630</v>
          </cell>
          <cell r="AY1116" t="str">
            <v>XX</v>
          </cell>
          <cell r="BA1116" t="str">
            <v>2</v>
          </cell>
          <cell r="BB1116">
            <v>1</v>
          </cell>
          <cell r="BD1116">
            <v>0</v>
          </cell>
          <cell r="BE1116" t="str">
            <v>M</v>
          </cell>
          <cell r="BF1116" t="str">
            <v>N</v>
          </cell>
          <cell r="BG1116">
            <v>50</v>
          </cell>
          <cell r="BH1116">
            <v>39630</v>
          </cell>
        </row>
        <row r="1117">
          <cell r="A1117">
            <v>72616</v>
          </cell>
          <cell r="B1117">
            <v>419</v>
          </cell>
          <cell r="C1117" t="str">
            <v>C3001</v>
          </cell>
          <cell r="D1117" t="str">
            <v>DAAIMECHE</v>
          </cell>
          <cell r="E1117" t="str">
            <v>MOHAMMED</v>
          </cell>
          <cell r="F1117">
            <v>20534</v>
          </cell>
          <cell r="G1117" t="str">
            <v>1</v>
          </cell>
          <cell r="H1117" t="str">
            <v>OULED BHAR KBAR KHOURIBGA</v>
          </cell>
          <cell r="I1117" t="str">
            <v>D</v>
          </cell>
          <cell r="J1117">
            <v>29746</v>
          </cell>
          <cell r="K1117">
            <v>37012</v>
          </cell>
          <cell r="L1117" t="str">
            <v>21</v>
          </cell>
          <cell r="M1117" t="str">
            <v>A</v>
          </cell>
          <cell r="N1117">
            <v>37012</v>
          </cell>
          <cell r="O1117">
            <v>0</v>
          </cell>
          <cell r="P1117">
            <v>21</v>
          </cell>
          <cell r="Q1117" t="str">
            <v>N</v>
          </cell>
          <cell r="R1117" t="str">
            <v>O</v>
          </cell>
          <cell r="S1117">
            <v>3</v>
          </cell>
          <cell r="T1117" t="str">
            <v>M</v>
          </cell>
          <cell r="U1117" t="str">
            <v>EL BIANI RACHIDA BENT BRAHIM</v>
          </cell>
          <cell r="X1117">
            <v>4</v>
          </cell>
          <cell r="Y1117">
            <v>4</v>
          </cell>
          <cell r="AB1117" t="str">
            <v>X</v>
          </cell>
          <cell r="AC1117" t="str">
            <v>X</v>
          </cell>
          <cell r="AD1117" t="str">
            <v>X</v>
          </cell>
          <cell r="AH1117" t="str">
            <v>N</v>
          </cell>
          <cell r="AI1117" t="str">
            <v>N</v>
          </cell>
          <cell r="AK1117" t="str">
            <v>DOUAR OULED EL ATI OULED BRAHIM BOUJNIBA</v>
          </cell>
          <cell r="AL1117" t="str">
            <v>CM2</v>
          </cell>
          <cell r="AP1117" t="str">
            <v>Q 81151</v>
          </cell>
          <cell r="AQ1117">
            <v>0</v>
          </cell>
          <cell r="AR1117" t="str">
            <v>B</v>
          </cell>
          <cell r="AS1117" t="str">
            <v>WAFA BANQUE KHGA</v>
          </cell>
          <cell r="AT1117" t="str">
            <v>1220301437184</v>
          </cell>
          <cell r="AU1117" t="str">
            <v>/  /</v>
          </cell>
          <cell r="AW1117">
            <v>39448</v>
          </cell>
          <cell r="AY1117" t="str">
            <v>XX</v>
          </cell>
          <cell r="BA1117" t="str">
            <v>2</v>
          </cell>
          <cell r="BB1117">
            <v>1</v>
          </cell>
          <cell r="BD1117">
            <v>0</v>
          </cell>
          <cell r="BE1117" t="str">
            <v>M</v>
          </cell>
          <cell r="BF1117" t="str">
            <v>N</v>
          </cell>
          <cell r="BG1117">
            <v>0</v>
          </cell>
          <cell r="BH1117">
            <v>39448</v>
          </cell>
          <cell r="BI1117" t="str">
            <v>O</v>
          </cell>
        </row>
        <row r="1118">
          <cell r="A1118">
            <v>72619</v>
          </cell>
          <cell r="B1118">
            <v>428</v>
          </cell>
          <cell r="C1118" t="str">
            <v>C4411</v>
          </cell>
          <cell r="D1118" t="str">
            <v>GRIMEH</v>
          </cell>
          <cell r="E1118" t="str">
            <v>SALAH</v>
          </cell>
          <cell r="F1118">
            <v>20636</v>
          </cell>
          <cell r="G1118" t="str">
            <v>6</v>
          </cell>
          <cell r="H1118" t="str">
            <v>M'FASSIS</v>
          </cell>
          <cell r="I1118" t="str">
            <v>D</v>
          </cell>
          <cell r="J1118">
            <v>29745</v>
          </cell>
          <cell r="K1118">
            <v>34851</v>
          </cell>
          <cell r="L1118" t="str">
            <v>22</v>
          </cell>
          <cell r="M1118" t="str">
            <v>A</v>
          </cell>
          <cell r="N1118">
            <v>34851</v>
          </cell>
          <cell r="P1118">
            <v>21</v>
          </cell>
          <cell r="Q1118" t="str">
            <v>O</v>
          </cell>
          <cell r="R1118" t="str">
            <v>N</v>
          </cell>
          <cell r="S1118">
            <v>0</v>
          </cell>
          <cell r="T1118" t="str">
            <v>M</v>
          </cell>
          <cell r="U1118" t="str">
            <v>HAFIDA BENT MOHAMED</v>
          </cell>
          <cell r="X1118">
            <v>5</v>
          </cell>
          <cell r="Y1118">
            <v>5</v>
          </cell>
          <cell r="AB1118" t="str">
            <v>X</v>
          </cell>
          <cell r="AC1118" t="str">
            <v>X</v>
          </cell>
          <cell r="AD1118" t="str">
            <v>X</v>
          </cell>
          <cell r="AH1118" t="str">
            <v>N</v>
          </cell>
          <cell r="AI1118" t="str">
            <v>N</v>
          </cell>
          <cell r="AK1118" t="str">
            <v>1331 VILLAGE OCP HATTANE</v>
          </cell>
          <cell r="AL1118" t="str">
            <v>CM2</v>
          </cell>
          <cell r="AP1118" t="str">
            <v>Q 43173</v>
          </cell>
          <cell r="AQ1118">
            <v>0</v>
          </cell>
          <cell r="AR1118" t="str">
            <v>B</v>
          </cell>
          <cell r="AS1118" t="str">
            <v>C.I.H - KHGA</v>
          </cell>
          <cell r="AT1118" t="str">
            <v>8978959211004700</v>
          </cell>
          <cell r="AU1118" t="str">
            <v>16/04/13</v>
          </cell>
          <cell r="AW1118">
            <v>39448</v>
          </cell>
          <cell r="AY1118" t="str">
            <v>O+</v>
          </cell>
          <cell r="BA1118" t="str">
            <v>0</v>
          </cell>
          <cell r="BB1118">
            <v>1</v>
          </cell>
          <cell r="BD1118">
            <v>0</v>
          </cell>
          <cell r="BE1118" t="str">
            <v>M</v>
          </cell>
          <cell r="BF1118" t="str">
            <v>N</v>
          </cell>
          <cell r="BG1118">
            <v>11</v>
          </cell>
          <cell r="BH1118">
            <v>39448</v>
          </cell>
        </row>
        <row r="1119">
          <cell r="A1119">
            <v>72620</v>
          </cell>
          <cell r="B1119">
            <v>421</v>
          </cell>
          <cell r="C1119" t="str">
            <v>C3152</v>
          </cell>
          <cell r="D1119" t="str">
            <v>BOUKREINE</v>
          </cell>
          <cell r="E1119" t="str">
            <v>CHERKI</v>
          </cell>
          <cell r="F1119">
            <v>20950</v>
          </cell>
          <cell r="G1119" t="str">
            <v>1</v>
          </cell>
          <cell r="H1119" t="str">
            <v>OULED BHAR KBAR KHOURIBGA</v>
          </cell>
          <cell r="I1119" t="str">
            <v>D</v>
          </cell>
          <cell r="J1119">
            <v>29745</v>
          </cell>
          <cell r="K1119">
            <v>35096</v>
          </cell>
          <cell r="L1119" t="str">
            <v>21</v>
          </cell>
          <cell r="M1119" t="str">
            <v>A</v>
          </cell>
          <cell r="N1119">
            <v>35096</v>
          </cell>
          <cell r="P1119">
            <v>21</v>
          </cell>
          <cell r="Q1119" t="str">
            <v>O</v>
          </cell>
          <cell r="R1119" t="str">
            <v>N</v>
          </cell>
          <cell r="S1119">
            <v>0</v>
          </cell>
          <cell r="T1119" t="str">
            <v>M</v>
          </cell>
          <cell r="U1119" t="str">
            <v>TAIBI ZHOR BENT DAHMANE</v>
          </cell>
          <cell r="X1119">
            <v>3</v>
          </cell>
          <cell r="Y1119">
            <v>2</v>
          </cell>
          <cell r="AB1119" t="str">
            <v>X</v>
          </cell>
          <cell r="AC1119" t="str">
            <v>X</v>
          </cell>
          <cell r="AD1119" t="str">
            <v>X</v>
          </cell>
          <cell r="AH1119" t="str">
            <v>N</v>
          </cell>
          <cell r="AI1119" t="str">
            <v>N</v>
          </cell>
          <cell r="AK1119" t="str">
            <v>297 VILLAGE O.C.P - BOUJNIBA</v>
          </cell>
          <cell r="AL1119" t="str">
            <v>ILLETTRE</v>
          </cell>
          <cell r="AP1119" t="str">
            <v>Q 69441</v>
          </cell>
          <cell r="AQ1119">
            <v>0</v>
          </cell>
          <cell r="AR1119" t="str">
            <v>B</v>
          </cell>
          <cell r="AS1119" t="str">
            <v>SGMB - KHGA</v>
          </cell>
          <cell r="AT1119" t="str">
            <v>67000936934241</v>
          </cell>
          <cell r="AU1119" t="str">
            <v>/  /</v>
          </cell>
          <cell r="AW1119">
            <v>41438</v>
          </cell>
          <cell r="AX1119">
            <v>41438</v>
          </cell>
          <cell r="AY1119" t="str">
            <v>XX</v>
          </cell>
          <cell r="BA1119" t="str">
            <v>1</v>
          </cell>
          <cell r="BB1119">
            <v>1</v>
          </cell>
          <cell r="BD1119">
            <v>0</v>
          </cell>
          <cell r="BE1119" t="str">
            <v>M</v>
          </cell>
          <cell r="BF1119" t="str">
            <v>N</v>
          </cell>
          <cell r="BG1119">
            <v>50</v>
          </cell>
          <cell r="BH1119">
            <v>39448</v>
          </cell>
        </row>
        <row r="1120">
          <cell r="A1120">
            <v>72628</v>
          </cell>
          <cell r="B1120">
            <v>409</v>
          </cell>
          <cell r="C1120" t="str">
            <v>C4050</v>
          </cell>
          <cell r="D1120" t="str">
            <v>IGLI</v>
          </cell>
          <cell r="E1120" t="str">
            <v>EL HOUSSIN</v>
          </cell>
          <cell r="F1120">
            <v>19175</v>
          </cell>
          <cell r="H1120" t="str">
            <v>AIT ATAB - AZILAL</v>
          </cell>
          <cell r="I1120" t="str">
            <v>D</v>
          </cell>
          <cell r="J1120">
            <v>29745</v>
          </cell>
          <cell r="K1120">
            <v>37012</v>
          </cell>
          <cell r="L1120" t="str">
            <v>22</v>
          </cell>
          <cell r="M1120" t="str">
            <v>D</v>
          </cell>
          <cell r="N1120">
            <v>37012</v>
          </cell>
          <cell r="P1120">
            <v>21</v>
          </cell>
          <cell r="Q1120" t="str">
            <v>O</v>
          </cell>
          <cell r="R1120" t="str">
            <v>N</v>
          </cell>
          <cell r="S1120">
            <v>0</v>
          </cell>
          <cell r="T1120" t="str">
            <v>M</v>
          </cell>
          <cell r="U1120" t="str">
            <v>BOUGARNE HADDA BENT MOHAMED</v>
          </cell>
          <cell r="X1120">
            <v>4</v>
          </cell>
          <cell r="Y1120">
            <v>4</v>
          </cell>
          <cell r="AB1120" t="str">
            <v>X</v>
          </cell>
          <cell r="AC1120" t="str">
            <v>X</v>
          </cell>
          <cell r="AD1120" t="str">
            <v>X</v>
          </cell>
          <cell r="AH1120" t="str">
            <v>N</v>
          </cell>
          <cell r="AI1120" t="str">
            <v>N</v>
          </cell>
          <cell r="AK1120" t="str">
            <v>64 RUE GUELTAT ZEMOUR ALMASSIRA KHGA</v>
          </cell>
          <cell r="AL1120" t="str">
            <v>CM2</v>
          </cell>
          <cell r="AN1120" t="str">
            <v>49═95═65</v>
          </cell>
          <cell r="AP1120" t="str">
            <v>Q 76057</v>
          </cell>
          <cell r="AQ1120">
            <v>0</v>
          </cell>
          <cell r="AR1120" t="str">
            <v>C</v>
          </cell>
          <cell r="AU1120" t="str">
            <v>06/03/12</v>
          </cell>
          <cell r="AW1120">
            <v>39264</v>
          </cell>
          <cell r="AY1120" t="str">
            <v>B+</v>
          </cell>
          <cell r="BA1120" t="str">
            <v>0</v>
          </cell>
          <cell r="BB1120">
            <v>1</v>
          </cell>
          <cell r="BD1120">
            <v>0</v>
          </cell>
          <cell r="BE1120" t="str">
            <v>M</v>
          </cell>
          <cell r="BF1120" t="str">
            <v>N</v>
          </cell>
          <cell r="BG1120">
            <v>50</v>
          </cell>
          <cell r="BH1120">
            <v>39264</v>
          </cell>
        </row>
        <row r="1121">
          <cell r="A1121">
            <v>72644</v>
          </cell>
          <cell r="B1121">
            <v>412</v>
          </cell>
          <cell r="C1121" t="str">
            <v>C5036</v>
          </cell>
          <cell r="D1121" t="str">
            <v>MAHDOUBI</v>
          </cell>
          <cell r="E1121" t="str">
            <v>BRAHIM</v>
          </cell>
          <cell r="F1121">
            <v>20772</v>
          </cell>
          <cell r="G1121" t="str">
            <v>6</v>
          </cell>
          <cell r="H1121" t="str">
            <v>HATTANE - KHOURIBGA</v>
          </cell>
          <cell r="I1121" t="str">
            <v>D</v>
          </cell>
          <cell r="J1121">
            <v>29752</v>
          </cell>
          <cell r="K1121">
            <v>32629</v>
          </cell>
          <cell r="L1121" t="str">
            <v>31</v>
          </cell>
          <cell r="M1121" t="str">
            <v>A</v>
          </cell>
          <cell r="N1121">
            <v>32629</v>
          </cell>
          <cell r="P1121">
            <v>21</v>
          </cell>
          <cell r="Q1121" t="str">
            <v>O</v>
          </cell>
          <cell r="R1121" t="str">
            <v>N</v>
          </cell>
          <cell r="S1121">
            <v>0</v>
          </cell>
          <cell r="T1121" t="str">
            <v>M</v>
          </cell>
          <cell r="U1121" t="str">
            <v>RACHIDA BENT HADJ YOUSSEF</v>
          </cell>
          <cell r="X1121">
            <v>4</v>
          </cell>
          <cell r="Y1121">
            <v>4</v>
          </cell>
          <cell r="AB1121" t="str">
            <v>X</v>
          </cell>
          <cell r="AC1121" t="str">
            <v>X</v>
          </cell>
          <cell r="AD1121" t="str">
            <v>X</v>
          </cell>
          <cell r="AH1121" t="str">
            <v>N</v>
          </cell>
          <cell r="AI1121" t="str">
            <v>N</v>
          </cell>
          <cell r="AK1121" t="str">
            <v>15 OUED IKEM OCP KHOURIBGA</v>
          </cell>
          <cell r="AL1121" t="str">
            <v>2AS</v>
          </cell>
          <cell r="AM1121" t="str">
            <v>CFO.</v>
          </cell>
          <cell r="AP1121" t="str">
            <v>Q 11252</v>
          </cell>
          <cell r="AQ1121">
            <v>0</v>
          </cell>
          <cell r="AR1121" t="str">
            <v>B</v>
          </cell>
          <cell r="AS1121" t="str">
            <v>CNCA.KHGA</v>
          </cell>
          <cell r="AT1121" t="str">
            <v>804669 T 601</v>
          </cell>
          <cell r="AU1121" t="str">
            <v>02/12/11</v>
          </cell>
          <cell r="AW1121">
            <v>39448</v>
          </cell>
          <cell r="AY1121" t="str">
            <v>XX</v>
          </cell>
          <cell r="BA1121" t="str">
            <v>2</v>
          </cell>
          <cell r="BB1121">
            <v>1</v>
          </cell>
          <cell r="BD1121">
            <v>0</v>
          </cell>
          <cell r="BE1121" t="str">
            <v>M</v>
          </cell>
          <cell r="BF1121" t="str">
            <v>N</v>
          </cell>
          <cell r="BG1121">
            <v>1</v>
          </cell>
          <cell r="BH1121">
            <v>39448</v>
          </cell>
        </row>
        <row r="1122">
          <cell r="A1122">
            <v>72646</v>
          </cell>
          <cell r="B1122">
            <v>426</v>
          </cell>
          <cell r="C1122" t="str">
            <v>C4050</v>
          </cell>
          <cell r="D1122" t="str">
            <v>EL MFANNECHE</v>
          </cell>
          <cell r="E1122" t="str">
            <v>MOHAMMED</v>
          </cell>
          <cell r="F1122">
            <v>21217</v>
          </cell>
          <cell r="G1122" t="str">
            <v>1</v>
          </cell>
          <cell r="H1122" t="str">
            <v>OULED BHAR KBAR KHOURIBGA</v>
          </cell>
          <cell r="I1122" t="str">
            <v>D</v>
          </cell>
          <cell r="J1122">
            <v>29752</v>
          </cell>
          <cell r="K1122">
            <v>35065</v>
          </cell>
          <cell r="L1122" t="str">
            <v>22</v>
          </cell>
          <cell r="M1122" t="str">
            <v>A</v>
          </cell>
          <cell r="N1122">
            <v>35065</v>
          </cell>
          <cell r="P1122">
            <v>21</v>
          </cell>
          <cell r="Q1122" t="str">
            <v>N</v>
          </cell>
          <cell r="R1122" t="str">
            <v>O</v>
          </cell>
          <cell r="S1122">
            <v>3</v>
          </cell>
          <cell r="T1122" t="str">
            <v>M</v>
          </cell>
          <cell r="U1122" t="str">
            <v>IZZA BENT BOUAZZA</v>
          </cell>
          <cell r="X1122">
            <v>4</v>
          </cell>
          <cell r="Y1122">
            <v>1</v>
          </cell>
          <cell r="AB1122" t="str">
            <v>X</v>
          </cell>
          <cell r="AC1122" t="str">
            <v>X</v>
          </cell>
          <cell r="AD1122" t="str">
            <v>X</v>
          </cell>
          <cell r="AH1122" t="str">
            <v>N</v>
          </cell>
          <cell r="AI1122" t="str">
            <v>N</v>
          </cell>
          <cell r="AK1122" t="str">
            <v>DR OD EL ATI OULED BRAHIM BIR MEZOUI</v>
          </cell>
          <cell r="AL1122" t="str">
            <v>3AS</v>
          </cell>
          <cell r="AP1122" t="str">
            <v>Q 84068</v>
          </cell>
          <cell r="AQ1122">
            <v>0</v>
          </cell>
          <cell r="AR1122" t="str">
            <v>B</v>
          </cell>
          <cell r="AS1122" t="str">
            <v>B.M.C.I  O-ZEM</v>
          </cell>
          <cell r="AT1122" t="str">
            <v>02521731989301</v>
          </cell>
          <cell r="AU1122" t="str">
            <v>/  /</v>
          </cell>
          <cell r="AW1122">
            <v>39630</v>
          </cell>
          <cell r="AY1122" t="str">
            <v>XX</v>
          </cell>
          <cell r="BA1122" t="str">
            <v>2</v>
          </cell>
          <cell r="BB1122">
            <v>1</v>
          </cell>
          <cell r="BD1122">
            <v>0</v>
          </cell>
          <cell r="BE1122" t="str">
            <v>M</v>
          </cell>
          <cell r="BF1122" t="str">
            <v>N</v>
          </cell>
          <cell r="BG1122">
            <v>0</v>
          </cell>
          <cell r="BH1122">
            <v>39630</v>
          </cell>
          <cell r="BI1122" t="str">
            <v>O</v>
          </cell>
        </row>
        <row r="1123">
          <cell r="A1123">
            <v>72733</v>
          </cell>
          <cell r="B1123">
            <v>466</v>
          </cell>
          <cell r="C1123" t="str">
            <v>C2050</v>
          </cell>
          <cell r="D1123" t="str">
            <v>MATLOB</v>
          </cell>
          <cell r="E1123" t="str">
            <v>BOUCHTA</v>
          </cell>
          <cell r="F1123">
            <v>20270</v>
          </cell>
          <cell r="H1123" t="str">
            <v>BENI AMIR EL GHARBIYNE</v>
          </cell>
          <cell r="I1123" t="str">
            <v>D</v>
          </cell>
          <cell r="J1123">
            <v>29787</v>
          </cell>
          <cell r="K1123">
            <v>31990</v>
          </cell>
          <cell r="L1123" t="str">
            <v>12</v>
          </cell>
          <cell r="M1123" t="str">
            <v>C</v>
          </cell>
          <cell r="N1123">
            <v>36373</v>
          </cell>
          <cell r="P1123">
            <v>21</v>
          </cell>
          <cell r="Q1123" t="str">
            <v>O</v>
          </cell>
          <cell r="R1123" t="str">
            <v>N</v>
          </cell>
          <cell r="S1123">
            <v>0</v>
          </cell>
          <cell r="T1123" t="str">
            <v>M</v>
          </cell>
          <cell r="U1123" t="str">
            <v>RABIAA BENT EL GHAZOUANI</v>
          </cell>
          <cell r="X1123">
            <v>6</v>
          </cell>
          <cell r="Y1123">
            <v>3</v>
          </cell>
          <cell r="AB1123" t="str">
            <v>X</v>
          </cell>
          <cell r="AC1123" t="str">
            <v>X</v>
          </cell>
          <cell r="AD1123" t="str">
            <v>X</v>
          </cell>
          <cell r="AH1123" t="str">
            <v>N</v>
          </cell>
          <cell r="AI1123" t="str">
            <v>N</v>
          </cell>
          <cell r="AK1123" t="str">
            <v>681 NELLE MEDINA DE SECHAGE OCP KHGA</v>
          </cell>
          <cell r="AL1123" t="str">
            <v>ILLETTRE</v>
          </cell>
          <cell r="AP1123" t="str">
            <v>Q 83901</v>
          </cell>
          <cell r="AQ1123">
            <v>0</v>
          </cell>
          <cell r="AR1123" t="str">
            <v>B</v>
          </cell>
          <cell r="AS1123" t="str">
            <v>WAFABANK - KHGA</v>
          </cell>
          <cell r="AT1123" t="str">
            <v>0000122030111556945</v>
          </cell>
          <cell r="AU1123" t="str">
            <v>/  /</v>
          </cell>
          <cell r="AW1123">
            <v>39448</v>
          </cell>
          <cell r="AY1123" t="str">
            <v>XX</v>
          </cell>
          <cell r="BA1123" t="str">
            <v>2</v>
          </cell>
          <cell r="BB1123">
            <v>1</v>
          </cell>
          <cell r="BD1123">
            <v>0</v>
          </cell>
          <cell r="BE1123" t="str">
            <v>M</v>
          </cell>
          <cell r="BF1123" t="str">
            <v>N</v>
          </cell>
          <cell r="BG1123">
            <v>5</v>
          </cell>
          <cell r="BH1123">
            <v>39448</v>
          </cell>
        </row>
        <row r="1124">
          <cell r="A1124">
            <v>72739</v>
          </cell>
          <cell r="B1124">
            <v>468</v>
          </cell>
          <cell r="C1124" t="str">
            <v>C7102</v>
          </cell>
          <cell r="D1124" t="str">
            <v>BOUSLAMA</v>
          </cell>
          <cell r="E1124" t="str">
            <v>M'HAMED</v>
          </cell>
          <cell r="F1124">
            <v>20221</v>
          </cell>
          <cell r="G1124" t="str">
            <v>2</v>
          </cell>
          <cell r="H1124" t="str">
            <v>OUED-ZEM</v>
          </cell>
          <cell r="I1124" t="str">
            <v>F</v>
          </cell>
          <cell r="J1124">
            <v>29788</v>
          </cell>
          <cell r="K1124">
            <v>35065</v>
          </cell>
          <cell r="L1124" t="str">
            <v>33</v>
          </cell>
          <cell r="M1124" t="str">
            <v>A</v>
          </cell>
          <cell r="N1124">
            <v>35065</v>
          </cell>
          <cell r="P1124">
            <v>21</v>
          </cell>
          <cell r="Q1124" t="str">
            <v>O</v>
          </cell>
          <cell r="R1124" t="str">
            <v>N</v>
          </cell>
          <cell r="S1124">
            <v>0</v>
          </cell>
          <cell r="T1124" t="str">
            <v>M</v>
          </cell>
          <cell r="U1124" t="str">
            <v>FADLA FATEH FATIMA ZAHRA</v>
          </cell>
          <cell r="X1124">
            <v>4</v>
          </cell>
          <cell r="Y1124">
            <v>3</v>
          </cell>
          <cell r="AB1124" t="str">
            <v>X</v>
          </cell>
          <cell r="AC1124" t="str">
            <v>X</v>
          </cell>
          <cell r="AD1124" t="str">
            <v>X</v>
          </cell>
          <cell r="AH1124" t="str">
            <v>N</v>
          </cell>
          <cell r="AI1124" t="str">
            <v>N</v>
          </cell>
          <cell r="AK1124" t="str">
            <v>149 BIS ANCIENNNE HABITAT - OUED ZEM</v>
          </cell>
          <cell r="AL1124" t="str">
            <v>5AS</v>
          </cell>
          <cell r="AM1124" t="str">
            <v>CES.CFO</v>
          </cell>
          <cell r="AP1124" t="str">
            <v>Q 29986</v>
          </cell>
          <cell r="AQ1124">
            <v>0</v>
          </cell>
          <cell r="AR1124" t="str">
            <v>B</v>
          </cell>
          <cell r="AS1124" t="str">
            <v>BMCI OUED ZEEM</v>
          </cell>
          <cell r="AT1124" t="str">
            <v>0252196983330100001</v>
          </cell>
          <cell r="AU1124" t="str">
            <v>/  /</v>
          </cell>
          <cell r="AW1124">
            <v>39448</v>
          </cell>
          <cell r="AY1124" t="str">
            <v>XX</v>
          </cell>
          <cell r="BA1124" t="str">
            <v>2</v>
          </cell>
          <cell r="BB1124">
            <v>1</v>
          </cell>
          <cell r="BD1124">
            <v>0</v>
          </cell>
          <cell r="BE1124" t="str">
            <v>M</v>
          </cell>
          <cell r="BF1124" t="str">
            <v>N</v>
          </cell>
          <cell r="BG1124">
            <v>31</v>
          </cell>
          <cell r="BH1124">
            <v>39448</v>
          </cell>
        </row>
        <row r="1125">
          <cell r="A1125">
            <v>72794</v>
          </cell>
          <cell r="B1125">
            <v>411</v>
          </cell>
          <cell r="C1125" t="str">
            <v>C6009</v>
          </cell>
          <cell r="D1125" t="str">
            <v>FARNANE</v>
          </cell>
          <cell r="E1125" t="str">
            <v>MOHAMMED</v>
          </cell>
          <cell r="F1125">
            <v>20949</v>
          </cell>
          <cell r="H1125" t="str">
            <v>FES</v>
          </cell>
          <cell r="I1125" t="str">
            <v>F</v>
          </cell>
          <cell r="J1125">
            <v>29791</v>
          </cell>
          <cell r="K1125">
            <v>35065</v>
          </cell>
          <cell r="L1125" t="str">
            <v>32</v>
          </cell>
          <cell r="M1125" t="str">
            <v>A</v>
          </cell>
          <cell r="N1125">
            <v>35065</v>
          </cell>
          <cell r="P1125">
            <v>21</v>
          </cell>
          <cell r="Q1125" t="str">
            <v>O</v>
          </cell>
          <cell r="R1125" t="str">
            <v>N</v>
          </cell>
          <cell r="S1125">
            <v>0</v>
          </cell>
          <cell r="T1125" t="str">
            <v>M</v>
          </cell>
          <cell r="U1125" t="str">
            <v>FATIHA BENT DAHHOU</v>
          </cell>
          <cell r="X1125">
            <v>3</v>
          </cell>
          <cell r="Y1125">
            <v>3</v>
          </cell>
          <cell r="AB1125" t="str">
            <v>X</v>
          </cell>
          <cell r="AC1125" t="str">
            <v>X</v>
          </cell>
          <cell r="AD1125" t="str">
            <v>X</v>
          </cell>
          <cell r="AH1125" t="str">
            <v>N</v>
          </cell>
          <cell r="AI1125" t="str">
            <v>N</v>
          </cell>
          <cell r="AK1125" t="str">
            <v>9 RUE CAID DRISS CHERRADI KHOURIBGA</v>
          </cell>
          <cell r="AL1125" t="str">
            <v>4AS</v>
          </cell>
          <cell r="AM1125" t="str">
            <v>CQP.CFO</v>
          </cell>
          <cell r="AP1125" t="str">
            <v>C 75582</v>
          </cell>
          <cell r="AQ1125">
            <v>0</v>
          </cell>
          <cell r="AR1125" t="str">
            <v>B</v>
          </cell>
          <cell r="AS1125" t="str">
            <v>BMCE.KHGA</v>
          </cell>
          <cell r="AT1125" t="str">
            <v>40001200000423365</v>
          </cell>
          <cell r="AU1125" t="str">
            <v>/  /</v>
          </cell>
          <cell r="AW1125">
            <v>39448</v>
          </cell>
          <cell r="AY1125" t="str">
            <v>XX</v>
          </cell>
          <cell r="BA1125" t="str">
            <v>2</v>
          </cell>
          <cell r="BB1125">
            <v>1</v>
          </cell>
          <cell r="BD1125">
            <v>0</v>
          </cell>
          <cell r="BE1125" t="str">
            <v>M</v>
          </cell>
          <cell r="BF1125" t="str">
            <v>N</v>
          </cell>
          <cell r="BG1125">
            <v>1</v>
          </cell>
          <cell r="BH1125">
            <v>39448</v>
          </cell>
        </row>
        <row r="1126">
          <cell r="A1126">
            <v>72806</v>
          </cell>
          <cell r="B1126">
            <v>457</v>
          </cell>
          <cell r="C1126" t="str">
            <v>C5050</v>
          </cell>
          <cell r="D1126" t="str">
            <v>LAFRID</v>
          </cell>
          <cell r="E1126" t="str">
            <v>EL MUSTAPHA</v>
          </cell>
          <cell r="F1126">
            <v>21001</v>
          </cell>
          <cell r="G1126" t="str">
            <v>5</v>
          </cell>
          <cell r="H1126" t="str">
            <v>BOUJAAD</v>
          </cell>
          <cell r="I1126" t="str">
            <v>F</v>
          </cell>
          <cell r="J1126">
            <v>29794</v>
          </cell>
          <cell r="K1126">
            <v>29799</v>
          </cell>
          <cell r="L1126" t="str">
            <v>31</v>
          </cell>
          <cell r="M1126" t="str">
            <v>A</v>
          </cell>
          <cell r="N1126">
            <v>29799</v>
          </cell>
          <cell r="P1126">
            <v>21</v>
          </cell>
          <cell r="Q1126" t="str">
            <v>O</v>
          </cell>
          <cell r="R1126" t="str">
            <v>N</v>
          </cell>
          <cell r="S1126">
            <v>0</v>
          </cell>
          <cell r="T1126" t="str">
            <v>M</v>
          </cell>
          <cell r="U1126" t="str">
            <v>MOURAD FATIMA BENT EL MAATI</v>
          </cell>
          <cell r="X1126">
            <v>0</v>
          </cell>
          <cell r="Y1126">
            <v>0</v>
          </cell>
          <cell r="AB1126" t="str">
            <v>N</v>
          </cell>
          <cell r="AC1126" t="str">
            <v>X</v>
          </cell>
          <cell r="AD1126" t="str">
            <v>X</v>
          </cell>
          <cell r="AH1126" t="str">
            <v>N</v>
          </cell>
          <cell r="AI1126" t="str">
            <v>N</v>
          </cell>
          <cell r="AK1126" t="str">
            <v>2 HAY KHOUADRIA JDAD BLOC F KHOURIBGA</v>
          </cell>
          <cell r="AL1126" t="str">
            <v>7AS</v>
          </cell>
          <cell r="AM1126" t="str">
            <v>CES.CFO</v>
          </cell>
          <cell r="AP1126" t="str">
            <v>Q 55934</v>
          </cell>
          <cell r="AQ1126">
            <v>0</v>
          </cell>
          <cell r="AR1126" t="str">
            <v>B</v>
          </cell>
          <cell r="AS1126" t="str">
            <v>S.G.M.B  KHGA</v>
          </cell>
          <cell r="AT1126" t="str">
            <v>670009172722</v>
          </cell>
          <cell r="AU1126" t="str">
            <v>/  /</v>
          </cell>
          <cell r="AW1126">
            <v>39448</v>
          </cell>
          <cell r="AY1126" t="str">
            <v>XX</v>
          </cell>
          <cell r="BA1126" t="str">
            <v>2</v>
          </cell>
          <cell r="BB1126">
            <v>1</v>
          </cell>
          <cell r="BD1126">
            <v>0</v>
          </cell>
          <cell r="BE1126" t="str">
            <v>M</v>
          </cell>
          <cell r="BF1126" t="str">
            <v>N</v>
          </cell>
          <cell r="BG1126">
            <v>5</v>
          </cell>
          <cell r="BH1126">
            <v>39448</v>
          </cell>
        </row>
        <row r="1127">
          <cell r="A1127">
            <v>72840</v>
          </cell>
          <cell r="B1127">
            <v>428</v>
          </cell>
          <cell r="C1127" t="str">
            <v>C2050</v>
          </cell>
          <cell r="D1127" t="str">
            <v>EL HADINE</v>
          </cell>
          <cell r="E1127" t="str">
            <v>BELKACEM</v>
          </cell>
          <cell r="F1127">
            <v>20270</v>
          </cell>
          <cell r="G1127" t="str">
            <v>1</v>
          </cell>
          <cell r="H1127" t="str">
            <v>OULED BHAR KBAR KHOURIBGA</v>
          </cell>
          <cell r="I1127" t="str">
            <v>D</v>
          </cell>
          <cell r="J1127">
            <v>29808</v>
          </cell>
          <cell r="K1127">
            <v>32021</v>
          </cell>
          <cell r="L1127" t="str">
            <v>12</v>
          </cell>
          <cell r="M1127" t="str">
            <v>C</v>
          </cell>
          <cell r="N1127">
            <v>36404</v>
          </cell>
          <cell r="P1127">
            <v>21</v>
          </cell>
          <cell r="Q1127" t="str">
            <v>O</v>
          </cell>
          <cell r="R1127" t="str">
            <v>N</v>
          </cell>
          <cell r="S1127">
            <v>0</v>
          </cell>
          <cell r="T1127" t="str">
            <v>M</v>
          </cell>
          <cell r="U1127" t="str">
            <v>FATNA BENT JILALI MANIH</v>
          </cell>
          <cell r="X1127">
            <v>5</v>
          </cell>
          <cell r="Y1127">
            <v>4</v>
          </cell>
          <cell r="AB1127" t="str">
            <v>X</v>
          </cell>
          <cell r="AC1127" t="str">
            <v>X</v>
          </cell>
          <cell r="AD1127" t="str">
            <v>X</v>
          </cell>
          <cell r="AH1127" t="str">
            <v>N</v>
          </cell>
          <cell r="AI1127" t="str">
            <v>N</v>
          </cell>
          <cell r="AK1127" t="str">
            <v>53 RUE 26 KOREA OUED ZEM</v>
          </cell>
          <cell r="AL1127" t="str">
            <v>ILLETTRE</v>
          </cell>
          <cell r="AP1127" t="str">
            <v>Q 80432</v>
          </cell>
          <cell r="AQ1127">
            <v>0</v>
          </cell>
          <cell r="AR1127" t="str">
            <v>C</v>
          </cell>
          <cell r="AS1127" t="str">
            <v>SGMB-KHGA</v>
          </cell>
          <cell r="AT1127" t="str">
            <v>0670009474684</v>
          </cell>
          <cell r="AU1127" t="str">
            <v>/  /</v>
          </cell>
          <cell r="AW1127">
            <v>39448</v>
          </cell>
          <cell r="AY1127" t="str">
            <v>XX</v>
          </cell>
          <cell r="BA1127" t="str">
            <v>2</v>
          </cell>
          <cell r="BB1127">
            <v>1</v>
          </cell>
          <cell r="BD1127">
            <v>0</v>
          </cell>
          <cell r="BE1127" t="str">
            <v>M</v>
          </cell>
          <cell r="BF1127" t="str">
            <v>N</v>
          </cell>
          <cell r="BG1127">
            <v>30</v>
          </cell>
          <cell r="BH1127">
            <v>39448</v>
          </cell>
          <cell r="BI1127" t="str">
            <v>O</v>
          </cell>
        </row>
        <row r="1128">
          <cell r="A1128">
            <v>72856</v>
          </cell>
          <cell r="B1128">
            <v>421</v>
          </cell>
          <cell r="C1128" t="str">
            <v>C4152</v>
          </cell>
          <cell r="D1128" t="str">
            <v>EL HADINE</v>
          </cell>
          <cell r="E1128" t="str">
            <v>M'HAMMED</v>
          </cell>
          <cell r="F1128">
            <v>20270</v>
          </cell>
          <cell r="G1128" t="str">
            <v>1</v>
          </cell>
          <cell r="H1128" t="str">
            <v>OULED BHAR KBAR KHOURIBGA</v>
          </cell>
          <cell r="I1128" t="str">
            <v>D</v>
          </cell>
          <cell r="J1128">
            <v>29811</v>
          </cell>
          <cell r="K1128">
            <v>36526</v>
          </cell>
          <cell r="L1128" t="str">
            <v>22</v>
          </cell>
          <cell r="M1128" t="str">
            <v>A</v>
          </cell>
          <cell r="N1128">
            <v>36526</v>
          </cell>
          <cell r="O1128">
            <v>0</v>
          </cell>
          <cell r="P1128">
            <v>21</v>
          </cell>
          <cell r="Q1128" t="str">
            <v>O</v>
          </cell>
          <cell r="R1128" t="str">
            <v>N</v>
          </cell>
          <cell r="S1128">
            <v>0</v>
          </cell>
          <cell r="T1128" t="str">
            <v>M</v>
          </cell>
          <cell r="U1128" t="str">
            <v>KBAICHE SAADIA BENT HAJ MAATI</v>
          </cell>
          <cell r="X1128">
            <v>2</v>
          </cell>
          <cell r="Y1128">
            <v>3</v>
          </cell>
          <cell r="AB1128" t="str">
            <v>X</v>
          </cell>
          <cell r="AC1128" t="str">
            <v>X</v>
          </cell>
          <cell r="AD1128" t="str">
            <v>X</v>
          </cell>
          <cell r="AH1128" t="str">
            <v>N</v>
          </cell>
          <cell r="AI1128" t="str">
            <v>N</v>
          </cell>
          <cell r="AK1128" t="str">
            <v>DOUAR OULED EL ATI OULED BRAHIM BOUJNIBA</v>
          </cell>
          <cell r="AL1128" t="str">
            <v>ILLETTRE</v>
          </cell>
          <cell r="AP1128" t="str">
            <v>Q 83266</v>
          </cell>
          <cell r="AQ1128">
            <v>0</v>
          </cell>
          <cell r="AR1128" t="str">
            <v>B</v>
          </cell>
          <cell r="AS1128" t="str">
            <v>SGMB  - KHGA</v>
          </cell>
          <cell r="AT1128" t="str">
            <v>0000670009445972</v>
          </cell>
          <cell r="AU1128" t="str">
            <v>/  /</v>
          </cell>
          <cell r="AW1128">
            <v>41438</v>
          </cell>
          <cell r="AX1128">
            <v>41438</v>
          </cell>
          <cell r="AY1128" t="str">
            <v>XX</v>
          </cell>
          <cell r="BA1128" t="str">
            <v>1</v>
          </cell>
          <cell r="BB1128">
            <v>1</v>
          </cell>
          <cell r="BD1128">
            <v>0</v>
          </cell>
          <cell r="BE1128" t="str">
            <v>M</v>
          </cell>
          <cell r="BF1128" t="str">
            <v>N</v>
          </cell>
          <cell r="BG1128">
            <v>59</v>
          </cell>
          <cell r="BH1128">
            <v>39448</v>
          </cell>
          <cell r="BI1128" t="str">
            <v>O</v>
          </cell>
        </row>
        <row r="1129">
          <cell r="A1129">
            <v>72857</v>
          </cell>
          <cell r="B1129">
            <v>426</v>
          </cell>
          <cell r="C1129" t="str">
            <v>C3050</v>
          </cell>
          <cell r="D1129" t="str">
            <v>QBAICH</v>
          </cell>
          <cell r="E1129" t="str">
            <v>EL HAJ</v>
          </cell>
          <cell r="F1129">
            <v>21749</v>
          </cell>
          <cell r="G1129" t="str">
            <v>1</v>
          </cell>
          <cell r="H1129" t="str">
            <v>KHOURIBGA</v>
          </cell>
          <cell r="I1129" t="str">
            <v>D</v>
          </cell>
          <cell r="J1129">
            <v>29811</v>
          </cell>
          <cell r="K1129">
            <v>36526</v>
          </cell>
          <cell r="L1129" t="str">
            <v>21</v>
          </cell>
          <cell r="M1129" t="str">
            <v>A</v>
          </cell>
          <cell r="N1129">
            <v>36526</v>
          </cell>
          <cell r="P1129">
            <v>21</v>
          </cell>
          <cell r="Q1129" t="str">
            <v>O</v>
          </cell>
          <cell r="R1129" t="str">
            <v>N</v>
          </cell>
          <cell r="S1129">
            <v>0</v>
          </cell>
          <cell r="T1129" t="str">
            <v>M</v>
          </cell>
          <cell r="U1129" t="str">
            <v>KASSID RAHMA BENT MOHAMED</v>
          </cell>
          <cell r="X1129">
            <v>4</v>
          </cell>
          <cell r="Y1129">
            <v>4</v>
          </cell>
          <cell r="AB1129" t="str">
            <v>X</v>
          </cell>
          <cell r="AC1129" t="str">
            <v>X</v>
          </cell>
          <cell r="AD1129" t="str">
            <v>X</v>
          </cell>
          <cell r="AH1129" t="str">
            <v>O</v>
          </cell>
          <cell r="AI1129" t="str">
            <v>N</v>
          </cell>
          <cell r="AK1129" t="str">
            <v>710 VILLAGE OCP - BOUJNIBA</v>
          </cell>
          <cell r="AL1129" t="str">
            <v>ILLETTRE</v>
          </cell>
          <cell r="AP1129" t="str">
            <v>Q 80622</v>
          </cell>
          <cell r="AQ1129">
            <v>0</v>
          </cell>
          <cell r="AR1129" t="str">
            <v>B</v>
          </cell>
          <cell r="AS1129" t="str">
            <v>CREDIT-AG KHGA</v>
          </cell>
          <cell r="AT1129" t="str">
            <v>0805882T601</v>
          </cell>
          <cell r="AU1129" t="str">
            <v>/  /</v>
          </cell>
          <cell r="AW1129">
            <v>42169</v>
          </cell>
          <cell r="AX1129">
            <v>42169</v>
          </cell>
          <cell r="AY1129" t="str">
            <v>XX</v>
          </cell>
          <cell r="BA1129" t="str">
            <v>2</v>
          </cell>
          <cell r="BB1129">
            <v>1</v>
          </cell>
          <cell r="BD1129">
            <v>0</v>
          </cell>
          <cell r="BE1129" t="str">
            <v>M</v>
          </cell>
          <cell r="BF1129" t="str">
            <v>N</v>
          </cell>
          <cell r="BG1129">
            <v>11</v>
          </cell>
          <cell r="BH1129">
            <v>40179</v>
          </cell>
          <cell r="BI1129" t="str">
            <v>O</v>
          </cell>
        </row>
        <row r="1130">
          <cell r="A1130">
            <v>72858</v>
          </cell>
          <cell r="B1130">
            <v>428</v>
          </cell>
          <cell r="C1130" t="str">
            <v>C3152</v>
          </cell>
          <cell r="D1130" t="str">
            <v>EL FOUL</v>
          </cell>
          <cell r="E1130" t="str">
            <v>BOUCHTA</v>
          </cell>
          <cell r="F1130">
            <v>21366</v>
          </cell>
          <cell r="G1130" t="str">
            <v>1</v>
          </cell>
          <cell r="H1130" t="str">
            <v>OULED BHAR KBAR KHOURIBGA</v>
          </cell>
          <cell r="I1130" t="str">
            <v>D</v>
          </cell>
          <cell r="J1130">
            <v>29811</v>
          </cell>
          <cell r="K1130">
            <v>36526</v>
          </cell>
          <cell r="L1130" t="str">
            <v>21</v>
          </cell>
          <cell r="M1130" t="str">
            <v>A</v>
          </cell>
          <cell r="N1130">
            <v>36526</v>
          </cell>
          <cell r="P1130">
            <v>21</v>
          </cell>
          <cell r="Q1130" t="str">
            <v>O</v>
          </cell>
          <cell r="R1130" t="str">
            <v>N</v>
          </cell>
          <cell r="S1130">
            <v>0</v>
          </cell>
          <cell r="T1130" t="str">
            <v>M</v>
          </cell>
          <cell r="U1130" t="str">
            <v>FATIMA BENT MOHAMED</v>
          </cell>
          <cell r="X1130">
            <v>4</v>
          </cell>
          <cell r="Y1130">
            <v>3</v>
          </cell>
          <cell r="AB1130" t="str">
            <v>N</v>
          </cell>
          <cell r="AC1130" t="str">
            <v>X</v>
          </cell>
          <cell r="AD1130" t="str">
            <v>X</v>
          </cell>
          <cell r="AH1130" t="str">
            <v>N</v>
          </cell>
          <cell r="AI1130" t="str">
            <v>N</v>
          </cell>
          <cell r="AK1130" t="str">
            <v>359 NOUVEAU TACHERON OCP - BOUJNIBA</v>
          </cell>
          <cell r="AL1130" t="str">
            <v>ILLETTRE</v>
          </cell>
          <cell r="AP1130" t="str">
            <v>Q 80445</v>
          </cell>
          <cell r="AQ1130">
            <v>0</v>
          </cell>
          <cell r="AR1130" t="str">
            <v>C</v>
          </cell>
          <cell r="AS1130" t="str">
            <v>POPULAIRE.KHGA</v>
          </cell>
          <cell r="AT1130" t="str">
            <v>2111112849840009</v>
          </cell>
          <cell r="AU1130" t="str">
            <v>/  /</v>
          </cell>
          <cell r="AW1130">
            <v>39630</v>
          </cell>
          <cell r="AY1130" t="str">
            <v>XX</v>
          </cell>
          <cell r="BA1130" t="str">
            <v>2</v>
          </cell>
          <cell r="BB1130">
            <v>1</v>
          </cell>
          <cell r="BD1130">
            <v>0</v>
          </cell>
          <cell r="BE1130" t="str">
            <v>M</v>
          </cell>
          <cell r="BF1130" t="str">
            <v>N</v>
          </cell>
          <cell r="BG1130">
            <v>52</v>
          </cell>
          <cell r="BH1130">
            <v>39630</v>
          </cell>
        </row>
        <row r="1131">
          <cell r="A1131">
            <v>72859</v>
          </cell>
          <cell r="B1131">
            <v>468</v>
          </cell>
          <cell r="C1131" t="str">
            <v>C3050</v>
          </cell>
          <cell r="D1131" t="str">
            <v>EL MDAOUER</v>
          </cell>
          <cell r="E1131" t="str">
            <v>EL KBIR</v>
          </cell>
          <cell r="F1131">
            <v>20270</v>
          </cell>
          <cell r="G1131" t="str">
            <v>1</v>
          </cell>
          <cell r="H1131" t="str">
            <v>OULED BHAR KBAR KHOURIBGA</v>
          </cell>
          <cell r="I1131" t="str">
            <v>D</v>
          </cell>
          <cell r="J1131">
            <v>29811</v>
          </cell>
          <cell r="K1131">
            <v>37012</v>
          </cell>
          <cell r="L1131" t="str">
            <v>21</v>
          </cell>
          <cell r="M1131" t="str">
            <v>C</v>
          </cell>
          <cell r="N1131">
            <v>37012</v>
          </cell>
          <cell r="P1131">
            <v>21</v>
          </cell>
          <cell r="Q1131" t="str">
            <v>O</v>
          </cell>
          <cell r="R1131" t="str">
            <v>N</v>
          </cell>
          <cell r="S1131">
            <v>0</v>
          </cell>
          <cell r="T1131" t="str">
            <v>M</v>
          </cell>
          <cell r="U1131" t="str">
            <v>ES-SAADIA BENT CHERKI</v>
          </cell>
          <cell r="X1131">
            <v>6</v>
          </cell>
          <cell r="Y1131">
            <v>6</v>
          </cell>
          <cell r="AB1131" t="str">
            <v>X</v>
          </cell>
          <cell r="AC1131" t="str">
            <v>X</v>
          </cell>
          <cell r="AD1131" t="str">
            <v>X</v>
          </cell>
          <cell r="AH1131" t="str">
            <v>N</v>
          </cell>
          <cell r="AI1131" t="str">
            <v>N</v>
          </cell>
          <cell r="AK1131" t="str">
            <v>106 ANCIEN TACHERON O.C.P - BOUJNIBA</v>
          </cell>
          <cell r="AL1131" t="str">
            <v>ILLETTRE</v>
          </cell>
          <cell r="AP1131" t="str">
            <v>Q 35133</v>
          </cell>
          <cell r="AQ1131">
            <v>0</v>
          </cell>
          <cell r="AR1131" t="str">
            <v>C</v>
          </cell>
          <cell r="AU1131" t="str">
            <v>/  /</v>
          </cell>
          <cell r="AW1131">
            <v>39448</v>
          </cell>
          <cell r="AY1131" t="str">
            <v>XX</v>
          </cell>
          <cell r="BA1131" t="str">
            <v>2</v>
          </cell>
          <cell r="BB1131">
            <v>1</v>
          </cell>
          <cell r="BD1131">
            <v>0</v>
          </cell>
          <cell r="BE1131" t="str">
            <v>M</v>
          </cell>
          <cell r="BF1131" t="str">
            <v>N</v>
          </cell>
          <cell r="BG1131">
            <v>51</v>
          </cell>
          <cell r="BH1131">
            <v>39448</v>
          </cell>
        </row>
        <row r="1132">
          <cell r="A1132">
            <v>72861</v>
          </cell>
          <cell r="B1132">
            <v>463</v>
          </cell>
          <cell r="C1132" t="str">
            <v>C6200</v>
          </cell>
          <cell r="D1132" t="str">
            <v>NADDAMI</v>
          </cell>
          <cell r="E1132" t="str">
            <v>AHMED</v>
          </cell>
          <cell r="F1132">
            <v>21001</v>
          </cell>
          <cell r="G1132" t="str">
            <v>6</v>
          </cell>
          <cell r="H1132" t="str">
            <v>M'FASSIS</v>
          </cell>
          <cell r="I1132" t="str">
            <v>F</v>
          </cell>
          <cell r="J1132">
            <v>29815</v>
          </cell>
          <cell r="K1132">
            <v>35065</v>
          </cell>
          <cell r="L1132" t="str">
            <v>32</v>
          </cell>
          <cell r="M1132" t="str">
            <v>A</v>
          </cell>
          <cell r="N1132">
            <v>35065</v>
          </cell>
          <cell r="P1132">
            <v>21</v>
          </cell>
          <cell r="Q1132" t="str">
            <v>O</v>
          </cell>
          <cell r="R1132" t="str">
            <v>N</v>
          </cell>
          <cell r="S1132">
            <v>0</v>
          </cell>
          <cell r="T1132" t="str">
            <v>M</v>
          </cell>
          <cell r="U1132" t="str">
            <v>MALIKA BENT M'BAREK</v>
          </cell>
          <cell r="X1132">
            <v>5</v>
          </cell>
          <cell r="Y1132">
            <v>5</v>
          </cell>
          <cell r="AB1132" t="str">
            <v>X</v>
          </cell>
          <cell r="AC1132" t="str">
            <v>X</v>
          </cell>
          <cell r="AD1132" t="str">
            <v>X</v>
          </cell>
          <cell r="AH1132" t="str">
            <v>N</v>
          </cell>
          <cell r="AI1132" t="str">
            <v>N</v>
          </cell>
          <cell r="AK1132" t="str">
            <v>2 LOTISSEMENT ELMASJID HAY RIAD KHOURIBA</v>
          </cell>
          <cell r="AL1132" t="str">
            <v>4AS</v>
          </cell>
          <cell r="AM1132" t="str">
            <v>CFP.CQP.CFO</v>
          </cell>
          <cell r="AP1132" t="str">
            <v>Q 82221</v>
          </cell>
          <cell r="AQ1132">
            <v>0</v>
          </cell>
          <cell r="AR1132" t="str">
            <v>B</v>
          </cell>
          <cell r="AS1132" t="str">
            <v>CIH - KHGA</v>
          </cell>
          <cell r="AT1132" t="str">
            <v>9151846211004700</v>
          </cell>
          <cell r="AU1132" t="str">
            <v>/  /</v>
          </cell>
          <cell r="AW1132">
            <v>39448</v>
          </cell>
          <cell r="AY1132" t="str">
            <v>XX</v>
          </cell>
          <cell r="AZ1132" t="str">
            <v>R</v>
          </cell>
          <cell r="BA1132" t="str">
            <v>2</v>
          </cell>
          <cell r="BB1132">
            <v>1</v>
          </cell>
          <cell r="BC1132" t="str">
            <v>O</v>
          </cell>
          <cell r="BD1132">
            <v>4</v>
          </cell>
          <cell r="BE1132" t="str">
            <v>M</v>
          </cell>
          <cell r="BF1132" t="str">
            <v>N</v>
          </cell>
          <cell r="BG1132">
            <v>5</v>
          </cell>
          <cell r="BH1132">
            <v>39448</v>
          </cell>
        </row>
        <row r="1133">
          <cell r="A1133">
            <v>72874</v>
          </cell>
          <cell r="B1133">
            <v>461</v>
          </cell>
          <cell r="C1133" t="str">
            <v>C6002</v>
          </cell>
          <cell r="D1133" t="str">
            <v>SAKIF</v>
          </cell>
          <cell r="E1133" t="str">
            <v>EL MOSTAFA</v>
          </cell>
          <cell r="F1133">
            <v>21493</v>
          </cell>
          <cell r="G1133" t="str">
            <v>1</v>
          </cell>
          <cell r="H1133" t="str">
            <v>OULED BHAR SGHAR KHOURIBGA</v>
          </cell>
          <cell r="I1133" t="str">
            <v>F</v>
          </cell>
          <cell r="J1133">
            <v>29787</v>
          </cell>
          <cell r="K1133">
            <v>36526</v>
          </cell>
          <cell r="L1133" t="str">
            <v>32</v>
          </cell>
          <cell r="M1133" t="str">
            <v>A</v>
          </cell>
          <cell r="N1133">
            <v>36526</v>
          </cell>
          <cell r="P1133">
            <v>21</v>
          </cell>
          <cell r="Q1133" t="str">
            <v>O</v>
          </cell>
          <cell r="R1133" t="str">
            <v>N</v>
          </cell>
          <cell r="S1133">
            <v>0</v>
          </cell>
          <cell r="T1133" t="str">
            <v>M</v>
          </cell>
          <cell r="U1133" t="str">
            <v>EL HARDA FATIMA</v>
          </cell>
          <cell r="X1133">
            <v>3</v>
          </cell>
          <cell r="Y1133">
            <v>3</v>
          </cell>
          <cell r="Z1133" t="str">
            <v>N</v>
          </cell>
          <cell r="AB1133" t="str">
            <v>X</v>
          </cell>
          <cell r="AC1133" t="str">
            <v>X</v>
          </cell>
          <cell r="AD1133" t="str">
            <v>X</v>
          </cell>
          <cell r="AH1133" t="str">
            <v>O</v>
          </cell>
          <cell r="AI1133" t="str">
            <v>N</v>
          </cell>
          <cell r="AK1133" t="str">
            <v>5 VILLAGE OCP - OUED ZEM</v>
          </cell>
          <cell r="AL1133" t="str">
            <v>3AS</v>
          </cell>
          <cell r="AM1133" t="str">
            <v>CQP.CFO</v>
          </cell>
          <cell r="AP1133" t="str">
            <v>H 104730</v>
          </cell>
          <cell r="AQ1133">
            <v>0</v>
          </cell>
          <cell r="AR1133" t="str">
            <v>B</v>
          </cell>
          <cell r="AS1133" t="str">
            <v>POPULAIRE.O.ZEM</v>
          </cell>
          <cell r="AT1133" t="str">
            <v>2111113051860008</v>
          </cell>
          <cell r="AU1133" t="str">
            <v>/  /</v>
          </cell>
          <cell r="AW1133">
            <v>39814</v>
          </cell>
          <cell r="AY1133" t="str">
            <v>XX</v>
          </cell>
          <cell r="BA1133" t="str">
            <v>2</v>
          </cell>
          <cell r="BB1133">
            <v>1</v>
          </cell>
          <cell r="BC1133" t="str">
            <v>O</v>
          </cell>
          <cell r="BD1133">
            <v>4</v>
          </cell>
          <cell r="BE1133" t="str">
            <v>M</v>
          </cell>
          <cell r="BF1133" t="str">
            <v>N</v>
          </cell>
          <cell r="BG1133">
            <v>31</v>
          </cell>
          <cell r="BH1133">
            <v>39814</v>
          </cell>
        </row>
        <row r="1134">
          <cell r="A1134">
            <v>72888</v>
          </cell>
          <cell r="B1134">
            <v>428</v>
          </cell>
          <cell r="C1134" t="str">
            <v>C3152</v>
          </cell>
          <cell r="D1134" t="str">
            <v>ABBANE</v>
          </cell>
          <cell r="E1134" t="str">
            <v>MOHAMED</v>
          </cell>
          <cell r="F1134">
            <v>20636</v>
          </cell>
          <cell r="G1134" t="str">
            <v>6</v>
          </cell>
          <cell r="H1134" t="str">
            <v>OULED AZZOUZ - KHOURIBGA</v>
          </cell>
          <cell r="I1134" t="str">
            <v>D</v>
          </cell>
          <cell r="J1134">
            <v>29824</v>
          </cell>
          <cell r="K1134">
            <v>36526</v>
          </cell>
          <cell r="L1134" t="str">
            <v>21</v>
          </cell>
          <cell r="M1134" t="str">
            <v>A</v>
          </cell>
          <cell r="N1134">
            <v>36526</v>
          </cell>
          <cell r="P1134">
            <v>21</v>
          </cell>
          <cell r="Q1134" t="str">
            <v>O</v>
          </cell>
          <cell r="R1134" t="str">
            <v>N</v>
          </cell>
          <cell r="S1134">
            <v>0</v>
          </cell>
          <cell r="T1134" t="str">
            <v>M</v>
          </cell>
          <cell r="U1134" t="str">
            <v>FATNA BENT EL KBIR</v>
          </cell>
          <cell r="X1134">
            <v>6</v>
          </cell>
          <cell r="Y1134">
            <v>2</v>
          </cell>
          <cell r="AB1134" t="str">
            <v>X</v>
          </cell>
          <cell r="AC1134" t="str">
            <v>X</v>
          </cell>
          <cell r="AD1134" t="str">
            <v>X</v>
          </cell>
          <cell r="AH1134" t="str">
            <v>N</v>
          </cell>
          <cell r="AI1134" t="str">
            <v>N</v>
          </cell>
          <cell r="AK1134" t="str">
            <v>190 LOTISSEMENT AMAL - KHGA</v>
          </cell>
          <cell r="AL1134" t="str">
            <v>ILLETTRE</v>
          </cell>
          <cell r="AP1134" t="str">
            <v>Q 80554</v>
          </cell>
          <cell r="AQ1134">
            <v>0</v>
          </cell>
          <cell r="AR1134" t="str">
            <v>B</v>
          </cell>
          <cell r="AS1134" t="str">
            <v>C I H KHGA</v>
          </cell>
          <cell r="AT1134" t="str">
            <v>7290497</v>
          </cell>
          <cell r="AU1134" t="str">
            <v>/  /</v>
          </cell>
          <cell r="AW1134">
            <v>39448</v>
          </cell>
          <cell r="AY1134" t="str">
            <v>XX</v>
          </cell>
          <cell r="BA1134" t="str">
            <v>2</v>
          </cell>
          <cell r="BB1134">
            <v>1</v>
          </cell>
          <cell r="BD1134">
            <v>0</v>
          </cell>
          <cell r="BE1134" t="str">
            <v>M</v>
          </cell>
          <cell r="BF1134" t="str">
            <v>N</v>
          </cell>
          <cell r="BG1134">
            <v>4</v>
          </cell>
          <cell r="BH1134">
            <v>39448</v>
          </cell>
          <cell r="BI1134" t="str">
            <v>O</v>
          </cell>
        </row>
        <row r="1135">
          <cell r="A1135">
            <v>72890</v>
          </cell>
          <cell r="B1135">
            <v>466</v>
          </cell>
          <cell r="C1135" t="str">
            <v>C3152</v>
          </cell>
          <cell r="D1135" t="str">
            <v>EL IDRISSI</v>
          </cell>
          <cell r="E1135" t="str">
            <v>SALAH</v>
          </cell>
          <cell r="F1135">
            <v>20270</v>
          </cell>
          <cell r="G1135" t="str">
            <v>2</v>
          </cell>
          <cell r="H1135" t="str">
            <v>SMAALA  OUED-ZEM</v>
          </cell>
          <cell r="I1135" t="str">
            <v>D</v>
          </cell>
          <cell r="J1135">
            <v>29824</v>
          </cell>
          <cell r="K1135">
            <v>36526</v>
          </cell>
          <cell r="L1135" t="str">
            <v>21</v>
          </cell>
          <cell r="M1135" t="str">
            <v>A</v>
          </cell>
          <cell r="N1135">
            <v>36526</v>
          </cell>
          <cell r="P1135">
            <v>21</v>
          </cell>
          <cell r="Q1135" t="str">
            <v>O</v>
          </cell>
          <cell r="R1135" t="str">
            <v>N</v>
          </cell>
          <cell r="S1135">
            <v>0</v>
          </cell>
          <cell r="T1135" t="str">
            <v>M</v>
          </cell>
          <cell r="U1135" t="str">
            <v>FOUZIR FATNA BENT ABDESLAM</v>
          </cell>
          <cell r="X1135">
            <v>3</v>
          </cell>
          <cell r="Y1135">
            <v>3</v>
          </cell>
          <cell r="AB1135" t="str">
            <v>X</v>
          </cell>
          <cell r="AC1135" t="str">
            <v>X</v>
          </cell>
          <cell r="AD1135" t="str">
            <v>X</v>
          </cell>
          <cell r="AH1135" t="str">
            <v>N</v>
          </cell>
          <cell r="AI1135" t="str">
            <v>N</v>
          </cell>
          <cell r="AK1135" t="str">
            <v>488 VILLAGE OCP BOUJNIBA</v>
          </cell>
          <cell r="AL1135" t="str">
            <v>ILLETTRE</v>
          </cell>
          <cell r="AP1135" t="str">
            <v>Q 23458</v>
          </cell>
          <cell r="AQ1135">
            <v>0</v>
          </cell>
          <cell r="AR1135" t="str">
            <v>B</v>
          </cell>
          <cell r="AS1135" t="str">
            <v>POPULAIRE - KHGA</v>
          </cell>
          <cell r="AT1135" t="str">
            <v>0211117287320000952</v>
          </cell>
          <cell r="AU1135" t="str">
            <v>/  /</v>
          </cell>
          <cell r="AW1135">
            <v>39448</v>
          </cell>
          <cell r="AY1135" t="str">
            <v>XX</v>
          </cell>
          <cell r="BA1135" t="str">
            <v>1</v>
          </cell>
          <cell r="BB1135">
            <v>1</v>
          </cell>
          <cell r="BD1135">
            <v>0</v>
          </cell>
          <cell r="BE1135" t="str">
            <v>M</v>
          </cell>
          <cell r="BF1135" t="str">
            <v>N</v>
          </cell>
          <cell r="BG1135">
            <v>51</v>
          </cell>
          <cell r="BH1135">
            <v>39448</v>
          </cell>
        </row>
        <row r="1136">
          <cell r="A1136">
            <v>72912</v>
          </cell>
          <cell r="B1136">
            <v>421</v>
          </cell>
          <cell r="C1136" t="str">
            <v>C3152</v>
          </cell>
          <cell r="D1136" t="str">
            <v>CHAHBOUNIA</v>
          </cell>
          <cell r="E1136" t="str">
            <v>MUSTAPHA</v>
          </cell>
          <cell r="F1136">
            <v>19540</v>
          </cell>
          <cell r="G1136" t="str">
            <v>5</v>
          </cell>
          <cell r="H1136" t="str">
            <v>OULED YOUSSEF GHARBIYNE</v>
          </cell>
          <cell r="I1136" t="str">
            <v>D</v>
          </cell>
          <cell r="J1136">
            <v>29829</v>
          </cell>
          <cell r="K1136">
            <v>33420</v>
          </cell>
          <cell r="L1136" t="str">
            <v>21</v>
          </cell>
          <cell r="M1136" t="str">
            <v>A</v>
          </cell>
          <cell r="N1136">
            <v>33420</v>
          </cell>
          <cell r="P1136">
            <v>21</v>
          </cell>
          <cell r="Q1136" t="str">
            <v>N</v>
          </cell>
          <cell r="R1136" t="str">
            <v>N</v>
          </cell>
          <cell r="S1136">
            <v>0</v>
          </cell>
          <cell r="T1136" t="str">
            <v>M</v>
          </cell>
          <cell r="U1136" t="str">
            <v>HABIBA BT BOU M'HAMED AMMAR</v>
          </cell>
          <cell r="X1136">
            <v>3</v>
          </cell>
          <cell r="Y1136">
            <v>3</v>
          </cell>
          <cell r="AB1136" t="str">
            <v>X</v>
          </cell>
          <cell r="AC1136" t="str">
            <v>X</v>
          </cell>
          <cell r="AD1136" t="str">
            <v>X</v>
          </cell>
          <cell r="AH1136" t="str">
            <v>N</v>
          </cell>
          <cell r="AI1136" t="str">
            <v>N</v>
          </cell>
          <cell r="AK1136" t="str">
            <v>467 NELLE MEDINA SECHAGE KHGA</v>
          </cell>
          <cell r="AL1136" t="str">
            <v>CM2</v>
          </cell>
          <cell r="AP1136" t="str">
            <v>Q 13679</v>
          </cell>
          <cell r="AQ1136">
            <v>0</v>
          </cell>
          <cell r="AR1136" t="str">
            <v>B</v>
          </cell>
          <cell r="AS1136" t="str">
            <v>B.M.C.E - KHGA</v>
          </cell>
          <cell r="AT1136" t="str">
            <v>40001200000975392</v>
          </cell>
          <cell r="AU1136" t="str">
            <v>/  /</v>
          </cell>
          <cell r="AW1136">
            <v>39448</v>
          </cell>
          <cell r="AY1136" t="str">
            <v>XX</v>
          </cell>
          <cell r="BA1136" t="str">
            <v>3A</v>
          </cell>
          <cell r="BB1136">
            <v>1</v>
          </cell>
          <cell r="BD1136">
            <v>0</v>
          </cell>
          <cell r="BE1136" t="str">
            <v>M</v>
          </cell>
          <cell r="BF1136" t="str">
            <v>N</v>
          </cell>
          <cell r="BG1136">
            <v>0</v>
          </cell>
          <cell r="BH1136">
            <v>39630</v>
          </cell>
        </row>
        <row r="1137">
          <cell r="A1137">
            <v>72920</v>
          </cell>
          <cell r="B1137">
            <v>468</v>
          </cell>
          <cell r="C1137" t="str">
            <v>C3152</v>
          </cell>
          <cell r="D1137" t="str">
            <v>EL HADDADI</v>
          </cell>
          <cell r="E1137" t="str">
            <v>ABDELKADER</v>
          </cell>
          <cell r="F1137">
            <v>19905</v>
          </cell>
          <cell r="G1137" t="str">
            <v>1</v>
          </cell>
          <cell r="H1137" t="str">
            <v>OULED BHAR KBAR KHOURIBGA</v>
          </cell>
          <cell r="I1137" t="str">
            <v>D</v>
          </cell>
          <cell r="J1137">
            <v>29829</v>
          </cell>
          <cell r="K1137">
            <v>36526</v>
          </cell>
          <cell r="L1137" t="str">
            <v>21</v>
          </cell>
          <cell r="M1137" t="str">
            <v>A</v>
          </cell>
          <cell r="N1137">
            <v>36526</v>
          </cell>
          <cell r="P1137">
            <v>21</v>
          </cell>
          <cell r="Q1137" t="str">
            <v>O</v>
          </cell>
          <cell r="R1137" t="str">
            <v>N</v>
          </cell>
          <cell r="S1137">
            <v>0</v>
          </cell>
          <cell r="T1137" t="str">
            <v>M</v>
          </cell>
          <cell r="U1137" t="str">
            <v>EL BALAGH FATIMA BENT BOUZEKRI</v>
          </cell>
          <cell r="X1137">
            <v>4</v>
          </cell>
          <cell r="Y1137">
            <v>4</v>
          </cell>
          <cell r="AB1137" t="str">
            <v>X</v>
          </cell>
          <cell r="AC1137" t="str">
            <v>X</v>
          </cell>
          <cell r="AD1137" t="str">
            <v>X</v>
          </cell>
          <cell r="AH1137" t="str">
            <v>N</v>
          </cell>
          <cell r="AI1137" t="str">
            <v>N</v>
          </cell>
          <cell r="AK1137" t="str">
            <v>283 VILLAGE O.C.P - BOUJNIBA</v>
          </cell>
          <cell r="AL1137" t="str">
            <v>CM2</v>
          </cell>
          <cell r="AP1137" t="str">
            <v>Q 83265</v>
          </cell>
          <cell r="AQ1137">
            <v>0</v>
          </cell>
          <cell r="AR1137" t="str">
            <v>C</v>
          </cell>
          <cell r="AU1137" t="str">
            <v>/  /</v>
          </cell>
          <cell r="AW1137">
            <v>39448</v>
          </cell>
          <cell r="AY1137" t="str">
            <v>XX</v>
          </cell>
          <cell r="BA1137" t="str">
            <v>1</v>
          </cell>
          <cell r="BB1137">
            <v>1</v>
          </cell>
          <cell r="BD1137">
            <v>0</v>
          </cell>
          <cell r="BE1137" t="str">
            <v>M</v>
          </cell>
          <cell r="BF1137" t="str">
            <v>N</v>
          </cell>
          <cell r="BG1137">
            <v>51</v>
          </cell>
          <cell r="BH1137">
            <v>39630</v>
          </cell>
        </row>
        <row r="1138">
          <cell r="A1138">
            <v>72943</v>
          </cell>
          <cell r="B1138">
            <v>418</v>
          </cell>
          <cell r="C1138" t="str">
            <v>C2050</v>
          </cell>
          <cell r="D1138" t="str">
            <v>MATOUF</v>
          </cell>
          <cell r="E1138" t="str">
            <v>MOHAMED</v>
          </cell>
          <cell r="F1138">
            <v>21366</v>
          </cell>
          <cell r="G1138" t="str">
            <v>6</v>
          </cell>
          <cell r="H1138" t="str">
            <v>OULED AZZOUZ - KHOURIBGA</v>
          </cell>
          <cell r="I1138" t="str">
            <v>D</v>
          </cell>
          <cell r="J1138">
            <v>29840</v>
          </cell>
          <cell r="K1138">
            <v>32051</v>
          </cell>
          <cell r="L1138" t="str">
            <v>12</v>
          </cell>
          <cell r="M1138" t="str">
            <v>C</v>
          </cell>
          <cell r="N1138">
            <v>36434</v>
          </cell>
          <cell r="P1138">
            <v>21</v>
          </cell>
          <cell r="Q1138" t="str">
            <v>O</v>
          </cell>
          <cell r="R1138" t="str">
            <v>N</v>
          </cell>
          <cell r="S1138">
            <v>0</v>
          </cell>
          <cell r="T1138" t="str">
            <v>M</v>
          </cell>
          <cell r="U1138" t="str">
            <v>FATIMA BENT CHERKI</v>
          </cell>
          <cell r="X1138">
            <v>6</v>
          </cell>
          <cell r="Y1138">
            <v>5</v>
          </cell>
          <cell r="AB1138" t="str">
            <v>X</v>
          </cell>
          <cell r="AC1138" t="str">
            <v>X</v>
          </cell>
          <cell r="AD1138" t="str">
            <v>X</v>
          </cell>
          <cell r="AH1138" t="str">
            <v>N</v>
          </cell>
          <cell r="AI1138" t="str">
            <v>N</v>
          </cell>
          <cell r="AK1138" t="str">
            <v>DOUAR OULED DRISS OULED AZZOUZ HATTANE</v>
          </cell>
          <cell r="AL1138" t="str">
            <v>ILLETTRE</v>
          </cell>
          <cell r="AP1138" t="str">
            <v>Q 80800</v>
          </cell>
          <cell r="AQ1138">
            <v>0</v>
          </cell>
          <cell r="AR1138" t="str">
            <v>B</v>
          </cell>
          <cell r="AS1138" t="str">
            <v>WAFABANK - KHGA</v>
          </cell>
          <cell r="AT1138" t="str">
            <v>1220301317754</v>
          </cell>
          <cell r="AU1138" t="str">
            <v>/  /</v>
          </cell>
          <cell r="AW1138">
            <v>39630</v>
          </cell>
          <cell r="AY1138" t="str">
            <v>XX</v>
          </cell>
          <cell r="BA1138" t="str">
            <v>2</v>
          </cell>
          <cell r="BB1138">
            <v>1</v>
          </cell>
          <cell r="BD1138">
            <v>0</v>
          </cell>
          <cell r="BE1138" t="str">
            <v>M</v>
          </cell>
          <cell r="BF1138" t="str">
            <v>N</v>
          </cell>
          <cell r="BG1138">
            <v>11</v>
          </cell>
          <cell r="BH1138">
            <v>39630</v>
          </cell>
          <cell r="BI1138" t="str">
            <v>O</v>
          </cell>
        </row>
        <row r="1139">
          <cell r="A1139">
            <v>72946</v>
          </cell>
          <cell r="B1139">
            <v>452</v>
          </cell>
          <cell r="C1139" t="str">
            <v>C3050</v>
          </cell>
          <cell r="D1139" t="str">
            <v>ES SALHI</v>
          </cell>
          <cell r="E1139" t="str">
            <v>BOUAZZA</v>
          </cell>
          <cell r="F1139">
            <v>21366</v>
          </cell>
          <cell r="G1139" t="str">
            <v>2</v>
          </cell>
          <cell r="H1139" t="str">
            <v>SMAALA OUED-ZEM</v>
          </cell>
          <cell r="I1139" t="str">
            <v>D</v>
          </cell>
          <cell r="J1139">
            <v>29843</v>
          </cell>
          <cell r="K1139">
            <v>36526</v>
          </cell>
          <cell r="L1139" t="str">
            <v>21</v>
          </cell>
          <cell r="M1139" t="str">
            <v>A</v>
          </cell>
          <cell r="N1139">
            <v>36526</v>
          </cell>
          <cell r="O1139">
            <v>0</v>
          </cell>
          <cell r="P1139">
            <v>21</v>
          </cell>
          <cell r="Q1139" t="str">
            <v>O</v>
          </cell>
          <cell r="R1139" t="str">
            <v>N</v>
          </cell>
          <cell r="S1139">
            <v>0</v>
          </cell>
          <cell r="T1139" t="str">
            <v>M</v>
          </cell>
          <cell r="U1139" t="str">
            <v>ESSARBOUTI CHELHA BT CHERKI</v>
          </cell>
          <cell r="X1139">
            <v>5</v>
          </cell>
          <cell r="Y1139">
            <v>5</v>
          </cell>
          <cell r="AB1139" t="str">
            <v>X</v>
          </cell>
          <cell r="AC1139" t="str">
            <v>X</v>
          </cell>
          <cell r="AD1139" t="str">
            <v>X</v>
          </cell>
          <cell r="AH1139" t="str">
            <v>N</v>
          </cell>
          <cell r="AI1139" t="str">
            <v>N</v>
          </cell>
          <cell r="AK1139" t="str">
            <v>94 ANCIEN TACHERON O.C.P - BOUJNIBA</v>
          </cell>
          <cell r="AL1139" t="str">
            <v>ILLETTRE</v>
          </cell>
          <cell r="AP1139" t="str">
            <v>Q 79041</v>
          </cell>
          <cell r="AQ1139">
            <v>0</v>
          </cell>
          <cell r="AR1139" t="str">
            <v>B</v>
          </cell>
          <cell r="AS1139" t="str">
            <v>CR-MAROC - KHGA</v>
          </cell>
          <cell r="AT1139" t="str">
            <v>082001068601</v>
          </cell>
          <cell r="AU1139" t="str">
            <v>/  /</v>
          </cell>
          <cell r="AW1139">
            <v>39630</v>
          </cell>
          <cell r="AY1139" t="str">
            <v>XX</v>
          </cell>
          <cell r="AZ1139" t="str">
            <v>K</v>
          </cell>
          <cell r="BA1139" t="str">
            <v>2</v>
          </cell>
          <cell r="BB1139">
            <v>1</v>
          </cell>
          <cell r="BD1139">
            <v>0</v>
          </cell>
          <cell r="BE1139" t="str">
            <v>M</v>
          </cell>
          <cell r="BF1139" t="str">
            <v>N</v>
          </cell>
          <cell r="BG1139">
            <v>51</v>
          </cell>
          <cell r="BH1139">
            <v>39630</v>
          </cell>
        </row>
        <row r="1140">
          <cell r="A1140">
            <v>72990</v>
          </cell>
          <cell r="B1140">
            <v>457</v>
          </cell>
          <cell r="C1140" t="str">
            <v>C3450</v>
          </cell>
          <cell r="D1140" t="str">
            <v>EZZAKRAOUI</v>
          </cell>
          <cell r="E1140" t="str">
            <v>LAHSSEN</v>
          </cell>
          <cell r="F1140">
            <v>19175</v>
          </cell>
          <cell r="G1140" t="str">
            <v>2</v>
          </cell>
          <cell r="H1140" t="str">
            <v>OUED-ZEM</v>
          </cell>
          <cell r="I1140" t="str">
            <v>D</v>
          </cell>
          <cell r="J1140">
            <v>29879</v>
          </cell>
          <cell r="K1140">
            <v>33420</v>
          </cell>
          <cell r="L1140" t="str">
            <v>21</v>
          </cell>
          <cell r="M1140" t="str">
            <v>A</v>
          </cell>
          <cell r="N1140">
            <v>33420</v>
          </cell>
          <cell r="P1140">
            <v>21</v>
          </cell>
          <cell r="Q1140" t="str">
            <v>O</v>
          </cell>
          <cell r="R1140" t="str">
            <v>N</v>
          </cell>
          <cell r="S1140">
            <v>0</v>
          </cell>
          <cell r="T1140" t="str">
            <v>M</v>
          </cell>
          <cell r="U1140" t="str">
            <v>FATNA BENT MOHAMED</v>
          </cell>
          <cell r="X1140">
            <v>3</v>
          </cell>
          <cell r="Y1140">
            <v>3</v>
          </cell>
          <cell r="AB1140" t="str">
            <v>X</v>
          </cell>
          <cell r="AC1140" t="str">
            <v>X</v>
          </cell>
          <cell r="AD1140" t="str">
            <v>X</v>
          </cell>
          <cell r="AH1140" t="str">
            <v>N</v>
          </cell>
          <cell r="AI1140" t="str">
            <v>N</v>
          </cell>
          <cell r="AK1140" t="str">
            <v>155 VILLAGE OCP - OUED ZEM</v>
          </cell>
          <cell r="AL1140" t="str">
            <v>CM2</v>
          </cell>
          <cell r="AP1140" t="str">
            <v>Q 28875</v>
          </cell>
          <cell r="AQ1140">
            <v>0</v>
          </cell>
          <cell r="AR1140" t="str">
            <v>B</v>
          </cell>
          <cell r="AS1140" t="str">
            <v>POPULAIRE.OUED ZEM</v>
          </cell>
          <cell r="AT1140" t="str">
            <v>211113629421000465</v>
          </cell>
          <cell r="AU1140" t="str">
            <v>/  /</v>
          </cell>
          <cell r="AW1140">
            <v>39264</v>
          </cell>
          <cell r="AY1140" t="str">
            <v>XX</v>
          </cell>
          <cell r="BA1140" t="str">
            <v>2</v>
          </cell>
          <cell r="BB1140">
            <v>1</v>
          </cell>
          <cell r="BD1140">
            <v>0</v>
          </cell>
          <cell r="BE1140" t="str">
            <v>M</v>
          </cell>
          <cell r="BF1140" t="str">
            <v>N</v>
          </cell>
          <cell r="BG1140">
            <v>31</v>
          </cell>
          <cell r="BH1140">
            <v>39264</v>
          </cell>
          <cell r="BI1140" t="str">
            <v>O</v>
          </cell>
        </row>
        <row r="1141">
          <cell r="A1141">
            <v>73003</v>
          </cell>
          <cell r="B1141">
            <v>437</v>
          </cell>
          <cell r="C1141" t="str">
            <v>C3152</v>
          </cell>
          <cell r="D1141" t="str">
            <v>MATNANE</v>
          </cell>
          <cell r="E1141" t="str">
            <v>MOHAMMED</v>
          </cell>
          <cell r="F1141">
            <v>19175</v>
          </cell>
          <cell r="G1141" t="str">
            <v>1</v>
          </cell>
          <cell r="H1141" t="str">
            <v>OULED BHAR KBAR KHOURIBGA</v>
          </cell>
          <cell r="I1141" t="str">
            <v>D</v>
          </cell>
          <cell r="J1141">
            <v>29892</v>
          </cell>
          <cell r="K1141">
            <v>35977</v>
          </cell>
          <cell r="L1141" t="str">
            <v>21</v>
          </cell>
          <cell r="M1141" t="str">
            <v>C</v>
          </cell>
          <cell r="N1141">
            <v>35977</v>
          </cell>
          <cell r="P1141">
            <v>21</v>
          </cell>
          <cell r="Q1141" t="str">
            <v>N</v>
          </cell>
          <cell r="R1141" t="str">
            <v>O</v>
          </cell>
          <cell r="S1141">
            <v>3</v>
          </cell>
          <cell r="T1141" t="str">
            <v>M</v>
          </cell>
          <cell r="U1141" t="str">
            <v>FATNA BENT EL GHAZI</v>
          </cell>
          <cell r="X1141">
            <v>6</v>
          </cell>
          <cell r="Y1141">
            <v>4</v>
          </cell>
          <cell r="AB1141" t="str">
            <v>X</v>
          </cell>
          <cell r="AC1141" t="str">
            <v>X</v>
          </cell>
          <cell r="AD1141" t="str">
            <v>X</v>
          </cell>
          <cell r="AH1141" t="str">
            <v>N</v>
          </cell>
          <cell r="AI1141" t="str">
            <v>N</v>
          </cell>
          <cell r="AK1141" t="str">
            <v>DOUAR OULED MESSOUD BNI KHLEF BOUJNIBA</v>
          </cell>
          <cell r="AL1141" t="str">
            <v>ILLETTRE</v>
          </cell>
          <cell r="AP1141" t="str">
            <v>Q 6267</v>
          </cell>
          <cell r="AQ1141">
            <v>0</v>
          </cell>
          <cell r="AR1141" t="str">
            <v>C</v>
          </cell>
          <cell r="AU1141" t="str">
            <v>/  /</v>
          </cell>
          <cell r="AW1141">
            <v>39264</v>
          </cell>
          <cell r="AY1141" t="str">
            <v>XX</v>
          </cell>
          <cell r="AZ1141" t="str">
            <v>K</v>
          </cell>
          <cell r="BA1141" t="str">
            <v>1</v>
          </cell>
          <cell r="BB1141">
            <v>1</v>
          </cell>
          <cell r="BD1141">
            <v>0</v>
          </cell>
          <cell r="BE1141" t="str">
            <v>M</v>
          </cell>
          <cell r="BF1141" t="str">
            <v>N</v>
          </cell>
          <cell r="BG1141">
            <v>0</v>
          </cell>
          <cell r="BH1141">
            <v>39264</v>
          </cell>
          <cell r="BI1141" t="str">
            <v>O</v>
          </cell>
        </row>
        <row r="1142">
          <cell r="A1142">
            <v>73152</v>
          </cell>
          <cell r="B1142">
            <v>426</v>
          </cell>
          <cell r="C1142" t="str">
            <v>C3152</v>
          </cell>
          <cell r="D1142" t="str">
            <v>ISLAHI</v>
          </cell>
          <cell r="E1142" t="str">
            <v>MOHAMED</v>
          </cell>
          <cell r="F1142">
            <v>21366</v>
          </cell>
          <cell r="G1142" t="str">
            <v>1</v>
          </cell>
          <cell r="H1142" t="str">
            <v>OULED BHAR KBAR KHOURIBGA</v>
          </cell>
          <cell r="I1142" t="str">
            <v>D</v>
          </cell>
          <cell r="J1142">
            <v>29945</v>
          </cell>
          <cell r="K1142">
            <v>35096</v>
          </cell>
          <cell r="L1142" t="str">
            <v>21</v>
          </cell>
          <cell r="M1142" t="str">
            <v>A</v>
          </cell>
          <cell r="N1142">
            <v>35096</v>
          </cell>
          <cell r="P1142">
            <v>21</v>
          </cell>
          <cell r="Q1142" t="str">
            <v>O</v>
          </cell>
          <cell r="R1142" t="str">
            <v>N</v>
          </cell>
          <cell r="S1142">
            <v>0</v>
          </cell>
          <cell r="T1142" t="str">
            <v>M</v>
          </cell>
          <cell r="U1142" t="str">
            <v>FATIMA BT LHOUSSAINE BOUIAD</v>
          </cell>
          <cell r="X1142">
            <v>3</v>
          </cell>
          <cell r="Y1142">
            <v>3</v>
          </cell>
          <cell r="AB1142" t="str">
            <v>X</v>
          </cell>
          <cell r="AC1142" t="str">
            <v>X</v>
          </cell>
          <cell r="AD1142" t="str">
            <v>X</v>
          </cell>
          <cell r="AH1142" t="str">
            <v>N</v>
          </cell>
          <cell r="AI1142" t="str">
            <v>N</v>
          </cell>
          <cell r="AK1142" t="str">
            <v>176 VILLAGE O.C.P - BOUJNIBA</v>
          </cell>
          <cell r="AL1142" t="str">
            <v>CM2</v>
          </cell>
          <cell r="AP1142" t="str">
            <v>Q 14234</v>
          </cell>
          <cell r="AQ1142">
            <v>0</v>
          </cell>
          <cell r="AR1142" t="str">
            <v>B</v>
          </cell>
          <cell r="AS1142" t="str">
            <v>POPULAIRE.KHGA</v>
          </cell>
          <cell r="AT1142" t="str">
            <v>211113632034000733</v>
          </cell>
          <cell r="AU1142" t="str">
            <v>/  /</v>
          </cell>
          <cell r="AW1142">
            <v>39630</v>
          </cell>
          <cell r="AY1142" t="str">
            <v>XX</v>
          </cell>
          <cell r="BA1142" t="str">
            <v>1</v>
          </cell>
          <cell r="BB1142">
            <v>1</v>
          </cell>
          <cell r="BD1142">
            <v>0</v>
          </cell>
          <cell r="BE1142" t="str">
            <v>M</v>
          </cell>
          <cell r="BF1142" t="str">
            <v>N</v>
          </cell>
          <cell r="BG1142">
            <v>52</v>
          </cell>
          <cell r="BH1142">
            <v>39630</v>
          </cell>
        </row>
        <row r="1143">
          <cell r="A1143">
            <v>73153</v>
          </cell>
          <cell r="B1143">
            <v>428</v>
          </cell>
          <cell r="C1143" t="str">
            <v>C3152</v>
          </cell>
          <cell r="D1143" t="str">
            <v>MOUHAJAR</v>
          </cell>
          <cell r="E1143" t="str">
            <v>AHMED</v>
          </cell>
          <cell r="F1143">
            <v>21434</v>
          </cell>
          <cell r="G1143" t="str">
            <v>6</v>
          </cell>
          <cell r="H1143" t="str">
            <v>M'FASSIS</v>
          </cell>
          <cell r="I1143" t="str">
            <v>D</v>
          </cell>
          <cell r="J1143">
            <v>29950</v>
          </cell>
          <cell r="K1143">
            <v>33420</v>
          </cell>
          <cell r="L1143" t="str">
            <v>21</v>
          </cell>
          <cell r="M1143" t="str">
            <v>A</v>
          </cell>
          <cell r="N1143">
            <v>33420</v>
          </cell>
          <cell r="P1143">
            <v>21</v>
          </cell>
          <cell r="Q1143" t="str">
            <v>O</v>
          </cell>
          <cell r="R1143" t="str">
            <v>N</v>
          </cell>
          <cell r="S1143">
            <v>0</v>
          </cell>
          <cell r="T1143" t="str">
            <v>M</v>
          </cell>
          <cell r="U1143" t="str">
            <v>LGHADFA BENT HADJ MOHAMED</v>
          </cell>
          <cell r="X1143">
            <v>5</v>
          </cell>
          <cell r="Y1143">
            <v>2</v>
          </cell>
          <cell r="AB1143" t="str">
            <v>X</v>
          </cell>
          <cell r="AC1143" t="str">
            <v>X</v>
          </cell>
          <cell r="AD1143" t="str">
            <v>X</v>
          </cell>
          <cell r="AH1143" t="str">
            <v>N</v>
          </cell>
          <cell r="AI1143" t="str">
            <v>N</v>
          </cell>
          <cell r="AK1143" t="str">
            <v>116 RUE 18 DERB 7 - HATTANE</v>
          </cell>
          <cell r="AL1143" t="str">
            <v>CM2</v>
          </cell>
          <cell r="AP1143" t="str">
            <v>Q 35365</v>
          </cell>
          <cell r="AQ1143">
            <v>0</v>
          </cell>
          <cell r="AR1143" t="str">
            <v>B</v>
          </cell>
          <cell r="AS1143" t="str">
            <v>WAFABANK - KHGA</v>
          </cell>
          <cell r="AT1143" t="str">
            <v>1220301234696</v>
          </cell>
          <cell r="AU1143" t="str">
            <v>/  /</v>
          </cell>
          <cell r="AW1143">
            <v>39814</v>
          </cell>
          <cell r="AY1143" t="str">
            <v>XX</v>
          </cell>
          <cell r="BA1143" t="str">
            <v>1</v>
          </cell>
          <cell r="BB1143">
            <v>1</v>
          </cell>
          <cell r="BD1143">
            <v>0</v>
          </cell>
          <cell r="BE1143" t="str">
            <v>M</v>
          </cell>
          <cell r="BF1143" t="str">
            <v>N</v>
          </cell>
          <cell r="BG1143">
            <v>11</v>
          </cell>
          <cell r="BH1143">
            <v>39814</v>
          </cell>
          <cell r="BI1143" t="str">
            <v>O</v>
          </cell>
        </row>
        <row r="1144">
          <cell r="A1144">
            <v>73160</v>
          </cell>
          <cell r="B1144">
            <v>413</v>
          </cell>
          <cell r="C1144" t="str">
            <v>C3050</v>
          </cell>
          <cell r="D1144" t="str">
            <v>EL BOUZARI</v>
          </cell>
          <cell r="E1144" t="str">
            <v>BOUCHTA</v>
          </cell>
          <cell r="F1144">
            <v>17348</v>
          </cell>
          <cell r="G1144" t="str">
            <v>6</v>
          </cell>
          <cell r="H1144" t="str">
            <v>OULED AZZOUZ - KHOURIBGA</v>
          </cell>
          <cell r="I1144" t="str">
            <v>D</v>
          </cell>
          <cell r="J1144">
            <v>29958</v>
          </cell>
          <cell r="K1144">
            <v>37012</v>
          </cell>
          <cell r="L1144" t="str">
            <v>21</v>
          </cell>
          <cell r="M1144" t="str">
            <v>A</v>
          </cell>
          <cell r="N1144">
            <v>37012</v>
          </cell>
          <cell r="P1144">
            <v>21</v>
          </cell>
          <cell r="Q1144" t="str">
            <v>O</v>
          </cell>
          <cell r="R1144" t="str">
            <v>N</v>
          </cell>
          <cell r="S1144">
            <v>0</v>
          </cell>
          <cell r="T1144" t="str">
            <v>M</v>
          </cell>
          <cell r="U1144" t="str">
            <v>ZOHRA BENT LEKBIR</v>
          </cell>
          <cell r="X1144">
            <v>7</v>
          </cell>
          <cell r="Y1144">
            <v>0</v>
          </cell>
          <cell r="AB1144" t="str">
            <v>X</v>
          </cell>
          <cell r="AC1144" t="str">
            <v>X</v>
          </cell>
          <cell r="AD1144" t="str">
            <v>X</v>
          </cell>
          <cell r="AH1144" t="str">
            <v>N</v>
          </cell>
          <cell r="AI1144" t="str">
            <v>N</v>
          </cell>
          <cell r="AK1144" t="str">
            <v>1589 LOTISSMEMENT EL AMAL  - KHOURIBGA</v>
          </cell>
          <cell r="AL1144" t="str">
            <v>ILLETTRE</v>
          </cell>
          <cell r="AP1144" t="str">
            <v>Q 53636</v>
          </cell>
          <cell r="AQ1144">
            <v>0</v>
          </cell>
          <cell r="AR1144" t="str">
            <v>C</v>
          </cell>
          <cell r="AU1144" t="str">
            <v>/  /</v>
          </cell>
          <cell r="AW1144">
            <v>38219</v>
          </cell>
          <cell r="AX1144">
            <v>38219</v>
          </cell>
          <cell r="AY1144" t="str">
            <v>XX</v>
          </cell>
          <cell r="BA1144" t="str">
            <v>2</v>
          </cell>
          <cell r="BB1144">
            <v>1</v>
          </cell>
          <cell r="BD1144">
            <v>0</v>
          </cell>
          <cell r="BE1144" t="str">
            <v>M</v>
          </cell>
          <cell r="BF1144" t="str">
            <v>N</v>
          </cell>
          <cell r="BG1144">
            <v>1</v>
          </cell>
          <cell r="BH1144">
            <v>37438</v>
          </cell>
          <cell r="BI1144" t="str">
            <v>O</v>
          </cell>
        </row>
        <row r="1145">
          <cell r="A1145">
            <v>73163</v>
          </cell>
          <cell r="B1145">
            <v>418</v>
          </cell>
          <cell r="C1145" t="str">
            <v>C2000</v>
          </cell>
          <cell r="D1145" t="str">
            <v>EL BOUHANI</v>
          </cell>
          <cell r="E1145" t="str">
            <v>M'HAMMED</v>
          </cell>
          <cell r="F1145">
            <v>21366</v>
          </cell>
          <cell r="G1145" t="str">
            <v>1</v>
          </cell>
          <cell r="H1145" t="str">
            <v>M'SAADA - KHOURIBGA</v>
          </cell>
          <cell r="I1145" t="str">
            <v>D</v>
          </cell>
          <cell r="J1145">
            <v>29962</v>
          </cell>
          <cell r="K1145">
            <v>32174</v>
          </cell>
          <cell r="L1145" t="str">
            <v>12</v>
          </cell>
          <cell r="M1145" t="str">
            <v>C</v>
          </cell>
          <cell r="N1145">
            <v>32</v>
          </cell>
          <cell r="P1145">
            <v>21</v>
          </cell>
          <cell r="Q1145" t="str">
            <v>N</v>
          </cell>
          <cell r="R1145" t="str">
            <v>O</v>
          </cell>
          <cell r="S1145">
            <v>3</v>
          </cell>
          <cell r="T1145" t="str">
            <v>M</v>
          </cell>
          <cell r="U1145" t="str">
            <v>MLAIJI SAADIA BENT LARBI</v>
          </cell>
          <cell r="X1145">
            <v>3</v>
          </cell>
          <cell r="Y1145">
            <v>3</v>
          </cell>
          <cell r="AB1145" t="str">
            <v>X</v>
          </cell>
          <cell r="AC1145" t="str">
            <v>X</v>
          </cell>
          <cell r="AD1145" t="str">
            <v>X</v>
          </cell>
          <cell r="AH1145" t="str">
            <v>N</v>
          </cell>
          <cell r="AI1145" t="str">
            <v>N</v>
          </cell>
          <cell r="AK1145" t="str">
            <v>DOUAR MSAADA OULED BRAHIM BOUJNIBA</v>
          </cell>
          <cell r="AL1145" t="str">
            <v>ILLETTRE</v>
          </cell>
          <cell r="AP1145" t="str">
            <v>Q 80593</v>
          </cell>
          <cell r="AQ1145">
            <v>0</v>
          </cell>
          <cell r="AR1145" t="str">
            <v>B</v>
          </cell>
          <cell r="AS1145" t="str">
            <v>WAFABANK - KHGA</v>
          </cell>
          <cell r="AT1145" t="str">
            <v>1220301311690</v>
          </cell>
          <cell r="AU1145" t="str">
            <v>/  /</v>
          </cell>
          <cell r="AW1145">
            <v>39630</v>
          </cell>
          <cell r="AY1145" t="str">
            <v>XX</v>
          </cell>
          <cell r="BA1145" t="str">
            <v>1</v>
          </cell>
          <cell r="BB1145">
            <v>1</v>
          </cell>
          <cell r="BD1145">
            <v>0</v>
          </cell>
          <cell r="BE1145" t="str">
            <v>M</v>
          </cell>
          <cell r="BF1145" t="str">
            <v>N</v>
          </cell>
          <cell r="BG1145">
            <v>0</v>
          </cell>
          <cell r="BH1145">
            <v>39630</v>
          </cell>
          <cell r="BI1145" t="str">
            <v>O</v>
          </cell>
        </row>
        <row r="1146">
          <cell r="A1146">
            <v>73175</v>
          </cell>
          <cell r="B1146">
            <v>400</v>
          </cell>
          <cell r="C1146" t="str">
            <v>C3152</v>
          </cell>
          <cell r="D1146" t="str">
            <v>MARRHAD</v>
          </cell>
          <cell r="E1146" t="str">
            <v>AHMED</v>
          </cell>
          <cell r="F1146">
            <v>21630</v>
          </cell>
          <cell r="G1146" t="str">
            <v>1</v>
          </cell>
          <cell r="H1146" t="str">
            <v>KHOURIBGA</v>
          </cell>
          <cell r="I1146" t="str">
            <v>D</v>
          </cell>
          <cell r="J1146">
            <v>29966</v>
          </cell>
          <cell r="K1146">
            <v>37012</v>
          </cell>
          <cell r="L1146" t="str">
            <v>21</v>
          </cell>
          <cell r="M1146" t="str">
            <v>C</v>
          </cell>
          <cell r="N1146">
            <v>37012</v>
          </cell>
          <cell r="P1146">
            <v>21</v>
          </cell>
          <cell r="Q1146" t="str">
            <v>N</v>
          </cell>
          <cell r="R1146" t="str">
            <v>O</v>
          </cell>
          <cell r="S1146">
            <v>1</v>
          </cell>
          <cell r="T1146" t="str">
            <v>M</v>
          </cell>
          <cell r="U1146" t="str">
            <v>FATIMA BT MOHAMED BAKANI</v>
          </cell>
          <cell r="X1146">
            <v>0</v>
          </cell>
          <cell r="Y1146">
            <v>0</v>
          </cell>
          <cell r="AB1146" t="str">
            <v>N</v>
          </cell>
          <cell r="AC1146" t="str">
            <v>X</v>
          </cell>
          <cell r="AD1146" t="str">
            <v>X</v>
          </cell>
          <cell r="AH1146" t="str">
            <v>N</v>
          </cell>
          <cell r="AI1146" t="str">
            <v>N</v>
          </cell>
          <cell r="AK1146" t="str">
            <v>926 SBATA VILLAGE OCP HATTANE</v>
          </cell>
          <cell r="AL1146" t="str">
            <v>2AS</v>
          </cell>
          <cell r="AM1146" t="str">
            <v>CFP</v>
          </cell>
          <cell r="AP1146" t="str">
            <v>Q 81068</v>
          </cell>
          <cell r="AQ1146">
            <v>0</v>
          </cell>
          <cell r="AR1146" t="str">
            <v>B</v>
          </cell>
          <cell r="AS1146" t="str">
            <v>BMCE - KHGA</v>
          </cell>
          <cell r="AT1146" t="str">
            <v>4000001200001288185</v>
          </cell>
          <cell r="AU1146" t="str">
            <v>/  /</v>
          </cell>
          <cell r="AW1146">
            <v>39995</v>
          </cell>
          <cell r="AY1146" t="str">
            <v>XX</v>
          </cell>
          <cell r="BA1146" t="str">
            <v>1</v>
          </cell>
          <cell r="BB1146">
            <v>1</v>
          </cell>
          <cell r="BD1146">
            <v>0</v>
          </cell>
          <cell r="BE1146" t="str">
            <v>M</v>
          </cell>
          <cell r="BF1146" t="str">
            <v>N</v>
          </cell>
          <cell r="BG1146">
            <v>0</v>
          </cell>
          <cell r="BH1146">
            <v>39995</v>
          </cell>
        </row>
        <row r="1147">
          <cell r="A1147">
            <v>73179</v>
          </cell>
          <cell r="B1147">
            <v>423</v>
          </cell>
          <cell r="C1147" t="str">
            <v>C4200</v>
          </cell>
          <cell r="D1147" t="str">
            <v>MAJANE</v>
          </cell>
          <cell r="E1147" t="str">
            <v>BOUCHTA</v>
          </cell>
          <cell r="F1147">
            <v>21267</v>
          </cell>
          <cell r="G1147" t="str">
            <v>1</v>
          </cell>
          <cell r="H1147" t="str">
            <v>KHOURIBGA</v>
          </cell>
          <cell r="I1147" t="str">
            <v>D</v>
          </cell>
          <cell r="J1147">
            <v>29970</v>
          </cell>
          <cell r="K1147">
            <v>36526</v>
          </cell>
          <cell r="L1147" t="str">
            <v>22</v>
          </cell>
          <cell r="M1147" t="str">
            <v>A</v>
          </cell>
          <cell r="N1147">
            <v>36526</v>
          </cell>
          <cell r="P1147">
            <v>21</v>
          </cell>
          <cell r="Q1147" t="str">
            <v>O</v>
          </cell>
          <cell r="R1147" t="str">
            <v>N</v>
          </cell>
          <cell r="S1147">
            <v>0</v>
          </cell>
          <cell r="T1147" t="str">
            <v>M</v>
          </cell>
          <cell r="U1147" t="str">
            <v>EDDAHRI RAHMA BENT LARBI</v>
          </cell>
          <cell r="X1147">
            <v>2</v>
          </cell>
          <cell r="Y1147">
            <v>2</v>
          </cell>
          <cell r="AB1147" t="str">
            <v>X</v>
          </cell>
          <cell r="AC1147" t="str">
            <v>X</v>
          </cell>
          <cell r="AD1147" t="str">
            <v>X</v>
          </cell>
          <cell r="AH1147" t="str">
            <v>N</v>
          </cell>
          <cell r="AI1147" t="str">
            <v>N</v>
          </cell>
          <cell r="AK1147" t="str">
            <v>21 NELLE MEDINA DE SECHAGE KHOURIBGA</v>
          </cell>
          <cell r="AL1147" t="str">
            <v>CM2</v>
          </cell>
          <cell r="AP1147" t="str">
            <v>Q 82249</v>
          </cell>
          <cell r="AQ1147">
            <v>0</v>
          </cell>
          <cell r="AR1147" t="str">
            <v>B</v>
          </cell>
          <cell r="AS1147" t="str">
            <v>CRED.MAROC KHGA</v>
          </cell>
          <cell r="AT1147" t="str">
            <v>08200103051318</v>
          </cell>
          <cell r="AU1147" t="str">
            <v>/  /</v>
          </cell>
          <cell r="AW1147">
            <v>39630</v>
          </cell>
          <cell r="AY1147" t="str">
            <v>XX</v>
          </cell>
          <cell r="BA1147" t="str">
            <v>2</v>
          </cell>
          <cell r="BB1147">
            <v>1</v>
          </cell>
          <cell r="BD1147">
            <v>0</v>
          </cell>
          <cell r="BE1147" t="str">
            <v>M</v>
          </cell>
          <cell r="BF1147" t="str">
            <v>N</v>
          </cell>
          <cell r="BG1147">
            <v>4</v>
          </cell>
          <cell r="BH1147">
            <v>39630</v>
          </cell>
        </row>
        <row r="1148">
          <cell r="A1148">
            <v>73181</v>
          </cell>
          <cell r="B1148">
            <v>468</v>
          </cell>
          <cell r="C1148" t="str">
            <v>C4411</v>
          </cell>
          <cell r="D1148" t="str">
            <v>ES-SOUFI</v>
          </cell>
          <cell r="E1148" t="str">
            <v>M'HAMED</v>
          </cell>
          <cell r="F1148">
            <v>21001</v>
          </cell>
          <cell r="G1148" t="str">
            <v>1</v>
          </cell>
          <cell r="H1148" t="str">
            <v>OULED BHAR KBAR KHOURIBGA</v>
          </cell>
          <cell r="I1148" t="str">
            <v>D</v>
          </cell>
          <cell r="J1148">
            <v>29969</v>
          </cell>
          <cell r="K1148">
            <v>34851</v>
          </cell>
          <cell r="L1148" t="str">
            <v>22</v>
          </cell>
          <cell r="M1148" t="str">
            <v>A</v>
          </cell>
          <cell r="N1148">
            <v>34851</v>
          </cell>
          <cell r="P1148">
            <v>21</v>
          </cell>
          <cell r="Q1148" t="str">
            <v>O</v>
          </cell>
          <cell r="R1148" t="str">
            <v>N</v>
          </cell>
          <cell r="S1148">
            <v>0</v>
          </cell>
          <cell r="T1148" t="str">
            <v>M</v>
          </cell>
          <cell r="U1148" t="str">
            <v>MAHJOUBA BENT MOHAMED EL KHAIT</v>
          </cell>
          <cell r="X1148">
            <v>4</v>
          </cell>
          <cell r="Y1148">
            <v>4</v>
          </cell>
          <cell r="AB1148" t="str">
            <v>X</v>
          </cell>
          <cell r="AC1148" t="str">
            <v>X</v>
          </cell>
          <cell r="AD1148" t="str">
            <v>X</v>
          </cell>
          <cell r="AH1148" t="str">
            <v>N</v>
          </cell>
          <cell r="AI1148" t="str">
            <v>N</v>
          </cell>
          <cell r="AK1148" t="str">
            <v>HABITAT BIR MEZOUI</v>
          </cell>
          <cell r="AL1148" t="str">
            <v>CM2</v>
          </cell>
          <cell r="AP1148" t="str">
            <v>Q 24868</v>
          </cell>
          <cell r="AQ1148">
            <v>0</v>
          </cell>
          <cell r="AR1148" t="str">
            <v>C</v>
          </cell>
          <cell r="AU1148" t="str">
            <v>/  /</v>
          </cell>
          <cell r="AW1148">
            <v>39630</v>
          </cell>
          <cell r="AY1148" t="str">
            <v>XX</v>
          </cell>
          <cell r="BA1148" t="str">
            <v>0</v>
          </cell>
          <cell r="BB1148">
            <v>1</v>
          </cell>
          <cell r="BD1148">
            <v>0</v>
          </cell>
          <cell r="BE1148" t="str">
            <v>M</v>
          </cell>
          <cell r="BF1148" t="str">
            <v>N</v>
          </cell>
          <cell r="BG1148">
            <v>60</v>
          </cell>
          <cell r="BH1148">
            <v>39630</v>
          </cell>
          <cell r="BI1148" t="str">
            <v>O</v>
          </cell>
        </row>
        <row r="1149">
          <cell r="A1149">
            <v>73218</v>
          </cell>
          <cell r="B1149">
            <v>468</v>
          </cell>
          <cell r="C1149" t="str">
            <v>C3152</v>
          </cell>
          <cell r="D1149" t="str">
            <v>MKIMEL</v>
          </cell>
          <cell r="E1149" t="str">
            <v>AHMED</v>
          </cell>
          <cell r="F1149">
            <v>21366</v>
          </cell>
          <cell r="G1149" t="str">
            <v>1</v>
          </cell>
          <cell r="H1149" t="str">
            <v>OULED BHAR KBAR KHOURIBGA</v>
          </cell>
          <cell r="I1149" t="str">
            <v>D</v>
          </cell>
          <cell r="J1149">
            <v>30000</v>
          </cell>
          <cell r="K1149">
            <v>33420</v>
          </cell>
          <cell r="L1149" t="str">
            <v>21</v>
          </cell>
          <cell r="M1149" t="str">
            <v>A</v>
          </cell>
          <cell r="N1149">
            <v>33420</v>
          </cell>
          <cell r="P1149">
            <v>22</v>
          </cell>
          <cell r="Q1149" t="str">
            <v>O</v>
          </cell>
          <cell r="R1149" t="str">
            <v>N</v>
          </cell>
          <cell r="S1149">
            <v>0</v>
          </cell>
          <cell r="T1149" t="str">
            <v>M</v>
          </cell>
          <cell r="U1149" t="str">
            <v>RKIA  BENT M'HAMED BEN RAFA</v>
          </cell>
          <cell r="X1149">
            <v>3</v>
          </cell>
          <cell r="Y1149">
            <v>3</v>
          </cell>
          <cell r="AB1149" t="str">
            <v>X</v>
          </cell>
          <cell r="AC1149" t="str">
            <v>X</v>
          </cell>
          <cell r="AD1149" t="str">
            <v>X</v>
          </cell>
          <cell r="AH1149" t="str">
            <v>N</v>
          </cell>
          <cell r="AI1149" t="str">
            <v>N</v>
          </cell>
          <cell r="AK1149" t="str">
            <v>DOUAR EL GUEFFAF LAHRAR N° 41 HABITAT</v>
          </cell>
          <cell r="AL1149" t="str">
            <v>CM2</v>
          </cell>
          <cell r="AP1149" t="str">
            <v>Q 38236</v>
          </cell>
          <cell r="AQ1149">
            <v>0</v>
          </cell>
          <cell r="AR1149" t="str">
            <v>C</v>
          </cell>
          <cell r="AU1149" t="str">
            <v>16/01/05</v>
          </cell>
          <cell r="AW1149">
            <v>39630</v>
          </cell>
          <cell r="AY1149" t="str">
            <v>A+</v>
          </cell>
          <cell r="BA1149" t="str">
            <v>6</v>
          </cell>
          <cell r="BB1149">
            <v>1</v>
          </cell>
          <cell r="BD1149">
            <v>0</v>
          </cell>
          <cell r="BE1149" t="str">
            <v>M</v>
          </cell>
          <cell r="BF1149" t="str">
            <v>N</v>
          </cell>
          <cell r="BG1149">
            <v>20</v>
          </cell>
          <cell r="BH1149">
            <v>39630</v>
          </cell>
          <cell r="BI1149" t="str">
            <v>O</v>
          </cell>
        </row>
        <row r="1150">
          <cell r="A1150">
            <v>73239</v>
          </cell>
          <cell r="B1150">
            <v>428</v>
          </cell>
          <cell r="C1150" t="str">
            <v>C3152</v>
          </cell>
          <cell r="D1150" t="str">
            <v>EL AZRI</v>
          </cell>
          <cell r="E1150" t="str">
            <v>AHMED</v>
          </cell>
          <cell r="F1150">
            <v>19540</v>
          </cell>
          <cell r="G1150" t="str">
            <v>1</v>
          </cell>
          <cell r="H1150" t="str">
            <v>KHOURIBGA</v>
          </cell>
          <cell r="I1150" t="str">
            <v>D</v>
          </cell>
          <cell r="J1150">
            <v>29144</v>
          </cell>
          <cell r="K1150">
            <v>33420</v>
          </cell>
          <cell r="L1150" t="str">
            <v>21</v>
          </cell>
          <cell r="M1150" t="str">
            <v>B</v>
          </cell>
          <cell r="N1150">
            <v>34516</v>
          </cell>
          <cell r="P1150">
            <v>23</v>
          </cell>
          <cell r="Q1150" t="str">
            <v>O</v>
          </cell>
          <cell r="R1150" t="str">
            <v>N</v>
          </cell>
          <cell r="S1150">
            <v>0</v>
          </cell>
          <cell r="T1150" t="str">
            <v>M</v>
          </cell>
          <cell r="U1150" t="str">
            <v>HABIBA BENT AHMED RATAB</v>
          </cell>
          <cell r="X1150">
            <v>6</v>
          </cell>
          <cell r="Y1150">
            <v>4</v>
          </cell>
          <cell r="AB1150" t="str">
            <v>X</v>
          </cell>
          <cell r="AC1150" t="str">
            <v>X</v>
          </cell>
          <cell r="AD1150" t="str">
            <v>X</v>
          </cell>
          <cell r="AH1150" t="str">
            <v>N</v>
          </cell>
          <cell r="AI1150" t="str">
            <v>N</v>
          </cell>
          <cell r="AK1150" t="str">
            <v>546 NELLE MEDINA DE SECHAGE KHOURIBGA</v>
          </cell>
          <cell r="AL1150" t="str">
            <v>3AS</v>
          </cell>
          <cell r="AP1150" t="str">
            <v>Q 19564</v>
          </cell>
          <cell r="AQ1150">
            <v>0</v>
          </cell>
          <cell r="AR1150" t="str">
            <v>B</v>
          </cell>
          <cell r="AS1150" t="str">
            <v>WAFABANK-KHGA</v>
          </cell>
          <cell r="AT1150" t="str">
            <v>1220301044841</v>
          </cell>
          <cell r="AU1150" t="str">
            <v>/  /</v>
          </cell>
          <cell r="AW1150">
            <v>38899</v>
          </cell>
          <cell r="AY1150" t="str">
            <v>XX</v>
          </cell>
          <cell r="BA1150" t="str">
            <v>1</v>
          </cell>
          <cell r="BB1150">
            <v>1</v>
          </cell>
          <cell r="BD1150">
            <v>0</v>
          </cell>
          <cell r="BE1150" t="str">
            <v>M</v>
          </cell>
          <cell r="BF1150" t="str">
            <v>N</v>
          </cell>
          <cell r="BG1150">
            <v>4</v>
          </cell>
          <cell r="BH1150">
            <v>38899</v>
          </cell>
        </row>
        <row r="1151">
          <cell r="A1151">
            <v>73240</v>
          </cell>
          <cell r="B1151">
            <v>403</v>
          </cell>
          <cell r="C1151" t="str">
            <v>C3050</v>
          </cell>
          <cell r="D1151" t="str">
            <v>LOURI</v>
          </cell>
          <cell r="E1151" t="str">
            <v>M'HAMED</v>
          </cell>
          <cell r="F1151">
            <v>21551</v>
          </cell>
          <cell r="G1151" t="str">
            <v>2</v>
          </cell>
          <cell r="H1151" t="str">
            <v>BENI SMIR OUED-ZEM</v>
          </cell>
          <cell r="I1151" t="str">
            <v>D</v>
          </cell>
          <cell r="J1151">
            <v>30019</v>
          </cell>
          <cell r="K1151">
            <v>33420</v>
          </cell>
          <cell r="L1151" t="str">
            <v>21</v>
          </cell>
          <cell r="M1151" t="str">
            <v>A</v>
          </cell>
          <cell r="N1151">
            <v>33420</v>
          </cell>
          <cell r="P1151">
            <v>21</v>
          </cell>
          <cell r="Q1151" t="str">
            <v>O</v>
          </cell>
          <cell r="R1151" t="str">
            <v>N</v>
          </cell>
          <cell r="S1151">
            <v>0</v>
          </cell>
          <cell r="T1151" t="str">
            <v>M</v>
          </cell>
          <cell r="U1151" t="str">
            <v>SMOUHI FATIHA BENT LARBI</v>
          </cell>
          <cell r="X1151">
            <v>3</v>
          </cell>
          <cell r="Y1151">
            <v>3</v>
          </cell>
          <cell r="AB1151" t="str">
            <v>X</v>
          </cell>
          <cell r="AC1151" t="str">
            <v>X</v>
          </cell>
          <cell r="AD1151" t="str">
            <v>X</v>
          </cell>
          <cell r="AH1151" t="str">
            <v>N</v>
          </cell>
          <cell r="AI1151" t="str">
            <v>N</v>
          </cell>
          <cell r="AK1151" t="str">
            <v>150 RUE BNI AMIR OUED ZEM</v>
          </cell>
          <cell r="AL1151" t="str">
            <v>CM2</v>
          </cell>
          <cell r="AP1151" t="str">
            <v>Q 94295</v>
          </cell>
          <cell r="AQ1151">
            <v>0</v>
          </cell>
          <cell r="AR1151" t="str">
            <v>B</v>
          </cell>
          <cell r="AS1151" t="str">
            <v>B.M.C.I - O.ZEM</v>
          </cell>
          <cell r="AT1151" t="str">
            <v>02521776803301</v>
          </cell>
          <cell r="AU1151" t="str">
            <v>/  /</v>
          </cell>
          <cell r="AW1151">
            <v>39995</v>
          </cell>
          <cell r="AY1151" t="str">
            <v>XX</v>
          </cell>
          <cell r="AZ1151" t="str">
            <v>R</v>
          </cell>
          <cell r="BA1151" t="str">
            <v>2</v>
          </cell>
          <cell r="BB1151">
            <v>1</v>
          </cell>
          <cell r="BD1151">
            <v>0</v>
          </cell>
          <cell r="BE1151" t="str">
            <v>M</v>
          </cell>
          <cell r="BF1151" t="str">
            <v>N</v>
          </cell>
          <cell r="BG1151">
            <v>30</v>
          </cell>
          <cell r="BH1151">
            <v>39995</v>
          </cell>
          <cell r="BI1151" t="str">
            <v>O</v>
          </cell>
        </row>
        <row r="1152">
          <cell r="A1152">
            <v>73255</v>
          </cell>
          <cell r="B1152">
            <v>468</v>
          </cell>
          <cell r="C1152" t="str">
            <v>C3050</v>
          </cell>
          <cell r="D1152" t="str">
            <v>ZAIR</v>
          </cell>
          <cell r="E1152" t="str">
            <v>MOHAMMED</v>
          </cell>
          <cell r="F1152">
            <v>19175</v>
          </cell>
          <cell r="G1152" t="str">
            <v>1</v>
          </cell>
          <cell r="H1152" t="str">
            <v>OULED BHAR KBAR KHOURIBGA</v>
          </cell>
          <cell r="I1152" t="str">
            <v>D</v>
          </cell>
          <cell r="J1152">
            <v>30021</v>
          </cell>
          <cell r="K1152">
            <v>37012</v>
          </cell>
          <cell r="L1152" t="str">
            <v>21</v>
          </cell>
          <cell r="M1152" t="str">
            <v>A</v>
          </cell>
          <cell r="N1152">
            <v>37012</v>
          </cell>
          <cell r="P1152">
            <v>21</v>
          </cell>
          <cell r="Q1152" t="str">
            <v>O</v>
          </cell>
          <cell r="R1152" t="str">
            <v>N</v>
          </cell>
          <cell r="S1152">
            <v>0</v>
          </cell>
          <cell r="T1152" t="str">
            <v>M</v>
          </cell>
          <cell r="U1152" t="str">
            <v>ZAIR EL MOULOUDIA BT LEKBIR</v>
          </cell>
          <cell r="X1152">
            <v>4</v>
          </cell>
          <cell r="Y1152">
            <v>3</v>
          </cell>
          <cell r="AB1152" t="str">
            <v>N</v>
          </cell>
          <cell r="AC1152" t="str">
            <v>X</v>
          </cell>
          <cell r="AD1152" t="str">
            <v>X</v>
          </cell>
          <cell r="AH1152" t="str">
            <v>N</v>
          </cell>
          <cell r="AI1152" t="str">
            <v>N</v>
          </cell>
          <cell r="AK1152" t="str">
            <v>185 VILLAGE OCP - BOUJNIBA</v>
          </cell>
          <cell r="AL1152" t="str">
            <v>ILLETTRE</v>
          </cell>
          <cell r="AP1152" t="str">
            <v>Q 19469</v>
          </cell>
          <cell r="AQ1152">
            <v>0</v>
          </cell>
          <cell r="AR1152" t="str">
            <v>C</v>
          </cell>
          <cell r="AU1152" t="str">
            <v>/  /</v>
          </cell>
          <cell r="AW1152">
            <v>39264</v>
          </cell>
          <cell r="AY1152" t="str">
            <v>XX</v>
          </cell>
          <cell r="BA1152" t="str">
            <v>1</v>
          </cell>
          <cell r="BB1152">
            <v>1</v>
          </cell>
          <cell r="BD1152">
            <v>0</v>
          </cell>
          <cell r="BE1152" t="str">
            <v>M</v>
          </cell>
          <cell r="BF1152" t="str">
            <v>N</v>
          </cell>
          <cell r="BG1152">
            <v>51</v>
          </cell>
          <cell r="BH1152">
            <v>39264</v>
          </cell>
          <cell r="BI1152" t="str">
            <v>O</v>
          </cell>
        </row>
        <row r="1153">
          <cell r="A1153">
            <v>73257</v>
          </cell>
          <cell r="B1153">
            <v>466</v>
          </cell>
          <cell r="C1153" t="str">
            <v>C3050</v>
          </cell>
          <cell r="D1153" t="str">
            <v>EL FRAYJI</v>
          </cell>
          <cell r="E1153" t="str">
            <v>MOHAMED</v>
          </cell>
          <cell r="F1153">
            <v>20282</v>
          </cell>
          <cell r="G1153" t="str">
            <v>1</v>
          </cell>
          <cell r="H1153" t="str">
            <v>OULED BHAR KBAR KHOURIBGA</v>
          </cell>
          <cell r="I1153" t="str">
            <v>D</v>
          </cell>
          <cell r="J1153">
            <v>30021</v>
          </cell>
          <cell r="K1153">
            <v>33420</v>
          </cell>
          <cell r="L1153" t="str">
            <v>21</v>
          </cell>
          <cell r="M1153" t="str">
            <v>A</v>
          </cell>
          <cell r="N1153">
            <v>33420</v>
          </cell>
          <cell r="P1153">
            <v>21</v>
          </cell>
          <cell r="Q1153" t="str">
            <v>O</v>
          </cell>
          <cell r="R1153" t="str">
            <v>N</v>
          </cell>
          <cell r="S1153">
            <v>0</v>
          </cell>
          <cell r="T1153" t="str">
            <v>M</v>
          </cell>
          <cell r="U1153" t="str">
            <v>ATASSE ZOHRA BT HADJ AHMED</v>
          </cell>
          <cell r="X1153">
            <v>4</v>
          </cell>
          <cell r="Y1153">
            <v>4</v>
          </cell>
          <cell r="AB1153" t="str">
            <v>X</v>
          </cell>
          <cell r="AC1153" t="str">
            <v>X</v>
          </cell>
          <cell r="AD1153" t="str">
            <v>X</v>
          </cell>
          <cell r="AH1153" t="str">
            <v>N</v>
          </cell>
          <cell r="AI1153" t="str">
            <v>N</v>
          </cell>
          <cell r="AK1153" t="str">
            <v>704 VILLAGE O.C.P - BOUJNIBA</v>
          </cell>
          <cell r="AL1153" t="str">
            <v>ILLETTRE</v>
          </cell>
          <cell r="AP1153" t="str">
            <v>Q 84852</v>
          </cell>
          <cell r="AQ1153">
            <v>0</v>
          </cell>
          <cell r="AR1153" t="str">
            <v>B</v>
          </cell>
          <cell r="AS1153" t="str">
            <v>WAFABANK - KHGA</v>
          </cell>
          <cell r="AT1153" t="str">
            <v>000122030112880801</v>
          </cell>
          <cell r="AU1153" t="str">
            <v>/  /</v>
          </cell>
          <cell r="AW1153">
            <v>39630</v>
          </cell>
          <cell r="AY1153" t="str">
            <v>XX</v>
          </cell>
          <cell r="BA1153" t="str">
            <v>2</v>
          </cell>
          <cell r="BB1153">
            <v>1</v>
          </cell>
          <cell r="BD1153">
            <v>0</v>
          </cell>
          <cell r="BE1153" t="str">
            <v>M</v>
          </cell>
          <cell r="BF1153" t="str">
            <v>N</v>
          </cell>
          <cell r="BG1153">
            <v>51</v>
          </cell>
          <cell r="BH1153">
            <v>39630</v>
          </cell>
        </row>
        <row r="1154">
          <cell r="A1154">
            <v>73259</v>
          </cell>
          <cell r="B1154">
            <v>466</v>
          </cell>
          <cell r="C1154" t="str">
            <v>C4152</v>
          </cell>
          <cell r="D1154" t="str">
            <v>CHTIA</v>
          </cell>
          <cell r="E1154" t="str">
            <v>EL ARBI</v>
          </cell>
          <cell r="F1154">
            <v>21366</v>
          </cell>
          <cell r="G1154" t="str">
            <v>1</v>
          </cell>
          <cell r="H1154" t="str">
            <v>OULED BHAR KBAR KHOURIBGA</v>
          </cell>
          <cell r="I1154" t="str">
            <v>D</v>
          </cell>
          <cell r="J1154">
            <v>30022</v>
          </cell>
          <cell r="K1154">
            <v>36526</v>
          </cell>
          <cell r="L1154" t="str">
            <v>22</v>
          </cell>
          <cell r="M1154" t="str">
            <v>A</v>
          </cell>
          <cell r="N1154">
            <v>36526</v>
          </cell>
          <cell r="P1154">
            <v>21</v>
          </cell>
          <cell r="Q1154" t="str">
            <v>O</v>
          </cell>
          <cell r="R1154" t="str">
            <v>N</v>
          </cell>
          <cell r="S1154">
            <v>0</v>
          </cell>
          <cell r="T1154" t="str">
            <v>M</v>
          </cell>
          <cell r="U1154" t="str">
            <v>RKAIBI M'BARKA BENT LARBI</v>
          </cell>
          <cell r="X1154">
            <v>5</v>
          </cell>
          <cell r="Y1154">
            <v>3</v>
          </cell>
          <cell r="AB1154" t="str">
            <v>X</v>
          </cell>
          <cell r="AC1154" t="str">
            <v>X</v>
          </cell>
          <cell r="AD1154" t="str">
            <v>X</v>
          </cell>
          <cell r="AH1154" t="str">
            <v>N</v>
          </cell>
          <cell r="AI1154" t="str">
            <v>N</v>
          </cell>
          <cell r="AK1154" t="str">
            <v>HABITAT BIR MEZOUI N°67</v>
          </cell>
          <cell r="AL1154" t="str">
            <v>ILLETTRE</v>
          </cell>
          <cell r="AP1154" t="str">
            <v>Q 84660</v>
          </cell>
          <cell r="AQ1154">
            <v>0</v>
          </cell>
          <cell r="AR1154" t="str">
            <v>B</v>
          </cell>
          <cell r="AS1154" t="str">
            <v>CNCA.KHGA</v>
          </cell>
          <cell r="AT1154" t="str">
            <v>0805498 A 601</v>
          </cell>
          <cell r="AU1154" t="str">
            <v>/  /</v>
          </cell>
          <cell r="AW1154">
            <v>39630</v>
          </cell>
          <cell r="AY1154" t="str">
            <v>XX</v>
          </cell>
          <cell r="AZ1154" t="str">
            <v>R</v>
          </cell>
          <cell r="BA1154" t="str">
            <v>1</v>
          </cell>
          <cell r="BB1154">
            <v>1</v>
          </cell>
          <cell r="BD1154">
            <v>0</v>
          </cell>
          <cell r="BE1154" t="str">
            <v>M</v>
          </cell>
          <cell r="BF1154" t="str">
            <v>N</v>
          </cell>
          <cell r="BG1154">
            <v>60</v>
          </cell>
          <cell r="BH1154">
            <v>39630</v>
          </cell>
          <cell r="BI1154" t="str">
            <v>O</v>
          </cell>
        </row>
        <row r="1155">
          <cell r="A1155">
            <v>73265</v>
          </cell>
          <cell r="B1155">
            <v>468</v>
          </cell>
          <cell r="C1155" t="str">
            <v>C3050</v>
          </cell>
          <cell r="D1155" t="str">
            <v>REHHABI</v>
          </cell>
          <cell r="E1155" t="str">
            <v>MOHAMMED</v>
          </cell>
          <cell r="F1155">
            <v>19175</v>
          </cell>
          <cell r="G1155" t="str">
            <v>1</v>
          </cell>
          <cell r="H1155" t="str">
            <v>OULED BHAR KBAR KHOURIBGA</v>
          </cell>
          <cell r="I1155" t="str">
            <v>D</v>
          </cell>
          <cell r="J1155">
            <v>30025</v>
          </cell>
          <cell r="K1155">
            <v>37012</v>
          </cell>
          <cell r="L1155" t="str">
            <v>21</v>
          </cell>
          <cell r="M1155" t="str">
            <v>C</v>
          </cell>
          <cell r="N1155">
            <v>37012</v>
          </cell>
          <cell r="P1155">
            <v>21</v>
          </cell>
          <cell r="Q1155" t="str">
            <v>O</v>
          </cell>
          <cell r="R1155" t="str">
            <v>N</v>
          </cell>
          <cell r="S1155">
            <v>0</v>
          </cell>
          <cell r="T1155" t="str">
            <v>M</v>
          </cell>
          <cell r="U1155" t="str">
            <v>BOUBAKRI FATIMA BT ABDESLAM</v>
          </cell>
          <cell r="X1155">
            <v>5</v>
          </cell>
          <cell r="Y1155">
            <v>5</v>
          </cell>
          <cell r="AB1155" t="str">
            <v>X</v>
          </cell>
          <cell r="AC1155" t="str">
            <v>X</v>
          </cell>
          <cell r="AD1155" t="str">
            <v>X</v>
          </cell>
          <cell r="AH1155" t="str">
            <v>N</v>
          </cell>
          <cell r="AI1155" t="str">
            <v>N</v>
          </cell>
          <cell r="AK1155" t="str">
            <v>HABITAT BIR MEZOUI</v>
          </cell>
          <cell r="AL1155" t="str">
            <v>ILLETTRE</v>
          </cell>
          <cell r="AP1155" t="str">
            <v>Q 36363</v>
          </cell>
          <cell r="AQ1155">
            <v>0</v>
          </cell>
          <cell r="AR1155" t="str">
            <v>C</v>
          </cell>
          <cell r="AU1155" t="str">
            <v>/  /</v>
          </cell>
          <cell r="AW1155">
            <v>39264</v>
          </cell>
          <cell r="AY1155" t="str">
            <v>XX</v>
          </cell>
          <cell r="BA1155" t="str">
            <v>2</v>
          </cell>
          <cell r="BB1155">
            <v>1</v>
          </cell>
          <cell r="BD1155">
            <v>0</v>
          </cell>
          <cell r="BE1155" t="str">
            <v>M</v>
          </cell>
          <cell r="BF1155" t="str">
            <v>N</v>
          </cell>
          <cell r="BG1155">
            <v>60</v>
          </cell>
          <cell r="BH1155">
            <v>39264</v>
          </cell>
          <cell r="BI1155" t="str">
            <v>O</v>
          </cell>
        </row>
        <row r="1156">
          <cell r="A1156">
            <v>73269</v>
          </cell>
          <cell r="B1156">
            <v>468</v>
          </cell>
          <cell r="C1156" t="str">
            <v>C2050</v>
          </cell>
          <cell r="D1156" t="str">
            <v>WAHJI</v>
          </cell>
          <cell r="E1156" t="str">
            <v>MOHAMMED</v>
          </cell>
          <cell r="F1156">
            <v>19540</v>
          </cell>
          <cell r="G1156" t="str">
            <v>1</v>
          </cell>
          <cell r="H1156" t="str">
            <v>OULED BHAR KBAR KHOURIBGA</v>
          </cell>
          <cell r="I1156" t="str">
            <v>D</v>
          </cell>
          <cell r="J1156">
            <v>30025</v>
          </cell>
          <cell r="K1156">
            <v>32234</v>
          </cell>
          <cell r="L1156" t="str">
            <v>12</v>
          </cell>
          <cell r="M1156" t="str">
            <v>C</v>
          </cell>
          <cell r="N1156">
            <v>92</v>
          </cell>
          <cell r="P1156">
            <v>21</v>
          </cell>
          <cell r="Q1156" t="str">
            <v>O</v>
          </cell>
          <cell r="R1156" t="str">
            <v>N</v>
          </cell>
          <cell r="S1156">
            <v>0</v>
          </cell>
          <cell r="T1156" t="str">
            <v>M</v>
          </cell>
          <cell r="U1156" t="str">
            <v>CHHAIBI FATIMA BT HAJ CHAFII</v>
          </cell>
          <cell r="X1156">
            <v>7</v>
          </cell>
          <cell r="Y1156">
            <v>6</v>
          </cell>
          <cell r="AB1156" t="str">
            <v>X</v>
          </cell>
          <cell r="AC1156" t="str">
            <v>X</v>
          </cell>
          <cell r="AD1156" t="str">
            <v>X</v>
          </cell>
          <cell r="AH1156" t="str">
            <v>N</v>
          </cell>
          <cell r="AI1156" t="str">
            <v>N</v>
          </cell>
          <cell r="AK1156" t="str">
            <v>144 VILLAGE O.C.P OUED ZEM</v>
          </cell>
          <cell r="AL1156" t="str">
            <v>ILLETTRE</v>
          </cell>
          <cell r="AP1156" t="str">
            <v>Q 52845</v>
          </cell>
          <cell r="AQ1156">
            <v>0</v>
          </cell>
          <cell r="AR1156" t="str">
            <v>C</v>
          </cell>
          <cell r="AU1156" t="str">
            <v>/  /</v>
          </cell>
          <cell r="AW1156">
            <v>39630</v>
          </cell>
          <cell r="AY1156" t="str">
            <v>XX</v>
          </cell>
          <cell r="BA1156" t="str">
            <v>2</v>
          </cell>
          <cell r="BB1156">
            <v>1</v>
          </cell>
          <cell r="BD1156">
            <v>0</v>
          </cell>
          <cell r="BE1156" t="str">
            <v>M</v>
          </cell>
          <cell r="BF1156" t="str">
            <v>N</v>
          </cell>
          <cell r="BG1156">
            <v>31</v>
          </cell>
          <cell r="BH1156">
            <v>39630</v>
          </cell>
          <cell r="BI1156" t="str">
            <v>O</v>
          </cell>
        </row>
        <row r="1157">
          <cell r="A1157">
            <v>73270</v>
          </cell>
          <cell r="B1157">
            <v>428</v>
          </cell>
          <cell r="C1157" t="str">
            <v>C2050</v>
          </cell>
          <cell r="D1157" t="str">
            <v>ES-SOUFI</v>
          </cell>
          <cell r="E1157" t="str">
            <v>AHMED</v>
          </cell>
          <cell r="F1157">
            <v>19905</v>
          </cell>
          <cell r="G1157" t="str">
            <v>1</v>
          </cell>
          <cell r="H1157" t="str">
            <v>OULED BHAR KBAR KHOURIBGA</v>
          </cell>
          <cell r="I1157" t="str">
            <v>D</v>
          </cell>
          <cell r="J1157">
            <v>30025</v>
          </cell>
          <cell r="K1157">
            <v>32234</v>
          </cell>
          <cell r="L1157" t="str">
            <v>12</v>
          </cell>
          <cell r="M1157" t="str">
            <v>C</v>
          </cell>
          <cell r="N1157">
            <v>92</v>
          </cell>
          <cell r="P1157">
            <v>21</v>
          </cell>
          <cell r="Q1157" t="str">
            <v>O</v>
          </cell>
          <cell r="R1157" t="str">
            <v>N</v>
          </cell>
          <cell r="S1157">
            <v>0</v>
          </cell>
          <cell r="T1157" t="str">
            <v>M</v>
          </cell>
          <cell r="U1157" t="str">
            <v>FATIMA BT EL MAATI DAHMANI</v>
          </cell>
          <cell r="X1157">
            <v>4</v>
          </cell>
          <cell r="Y1157">
            <v>4</v>
          </cell>
          <cell r="AB1157" t="str">
            <v>X</v>
          </cell>
          <cell r="AC1157" t="str">
            <v>X</v>
          </cell>
          <cell r="AD1157" t="str">
            <v>X</v>
          </cell>
          <cell r="AH1157" t="str">
            <v>N</v>
          </cell>
          <cell r="AI1157" t="str">
            <v>N</v>
          </cell>
          <cell r="AK1157" t="str">
            <v>DR OULED ESGHEIR OULED BRAHIM  BOUJNIBA</v>
          </cell>
          <cell r="AL1157" t="str">
            <v>ILLETTRE</v>
          </cell>
          <cell r="AP1157" t="str">
            <v>Q 47080</v>
          </cell>
          <cell r="AQ1157">
            <v>0</v>
          </cell>
          <cell r="AR1157" t="str">
            <v>B</v>
          </cell>
          <cell r="AS1157" t="str">
            <v>POPULAIRE-O.ZEM</v>
          </cell>
          <cell r="AT1157" t="str">
            <v>2111136254120003</v>
          </cell>
          <cell r="AU1157" t="str">
            <v>/  /</v>
          </cell>
          <cell r="AW1157">
            <v>39630</v>
          </cell>
          <cell r="AY1157" t="str">
            <v>XX</v>
          </cell>
          <cell r="BA1157" t="str">
            <v>2</v>
          </cell>
          <cell r="BB1157">
            <v>1</v>
          </cell>
          <cell r="BD1157">
            <v>0</v>
          </cell>
          <cell r="BE1157" t="str">
            <v>M</v>
          </cell>
          <cell r="BF1157" t="str">
            <v>N</v>
          </cell>
          <cell r="BG1157">
            <v>11</v>
          </cell>
          <cell r="BH1157">
            <v>39630</v>
          </cell>
          <cell r="BI1157" t="str">
            <v>O</v>
          </cell>
        </row>
        <row r="1158">
          <cell r="A1158">
            <v>73272</v>
          </cell>
          <cell r="B1158">
            <v>468</v>
          </cell>
          <cell r="C1158" t="str">
            <v>C2050</v>
          </cell>
          <cell r="D1158" t="str">
            <v>HADDOUMI</v>
          </cell>
          <cell r="E1158" t="str">
            <v>ABDELLAH</v>
          </cell>
          <cell r="F1158">
            <v>21226</v>
          </cell>
          <cell r="G1158" t="str">
            <v>2</v>
          </cell>
          <cell r="H1158" t="str">
            <v>BENI SMIR</v>
          </cell>
          <cell r="I1158" t="str">
            <v>D</v>
          </cell>
          <cell r="J1158">
            <v>30025</v>
          </cell>
          <cell r="K1158">
            <v>32082</v>
          </cell>
          <cell r="L1158" t="str">
            <v>12</v>
          </cell>
          <cell r="M1158" t="str">
            <v>C</v>
          </cell>
          <cell r="N1158">
            <v>92</v>
          </cell>
          <cell r="O1158">
            <v>0</v>
          </cell>
          <cell r="P1158">
            <v>21</v>
          </cell>
          <cell r="Q1158" t="str">
            <v>O</v>
          </cell>
          <cell r="R1158" t="str">
            <v>N</v>
          </cell>
          <cell r="S1158">
            <v>0</v>
          </cell>
          <cell r="T1158" t="str">
            <v>M</v>
          </cell>
          <cell r="U1158" t="str">
            <v>JEMAA BT MOULOUDI LEMNAOUER</v>
          </cell>
          <cell r="X1158">
            <v>5</v>
          </cell>
          <cell r="Y1158">
            <v>4</v>
          </cell>
          <cell r="AB1158" t="str">
            <v>X</v>
          </cell>
          <cell r="AC1158" t="str">
            <v>X</v>
          </cell>
          <cell r="AD1158" t="str">
            <v>X</v>
          </cell>
          <cell r="AH1158" t="str">
            <v>N</v>
          </cell>
          <cell r="AI1158" t="str">
            <v>N</v>
          </cell>
          <cell r="AK1158" t="str">
            <v>179 BLOC EL OUAHDA - OUED ZEM</v>
          </cell>
          <cell r="AL1158" t="str">
            <v>CM2</v>
          </cell>
          <cell r="AP1158" t="str">
            <v>Q 51224</v>
          </cell>
          <cell r="AQ1158">
            <v>0</v>
          </cell>
          <cell r="AR1158" t="str">
            <v>B</v>
          </cell>
          <cell r="AS1158" t="str">
            <v>B.M.C.I   O-ZEM</v>
          </cell>
          <cell r="AT1158" t="str">
            <v>025217390703</v>
          </cell>
          <cell r="AU1158" t="str">
            <v>/  /</v>
          </cell>
          <cell r="AW1158">
            <v>39630</v>
          </cell>
          <cell r="AY1158" t="str">
            <v>XX</v>
          </cell>
          <cell r="AZ1158" t="str">
            <v>K</v>
          </cell>
          <cell r="BA1158" t="str">
            <v>2</v>
          </cell>
          <cell r="BB1158">
            <v>1</v>
          </cell>
          <cell r="BD1158">
            <v>0</v>
          </cell>
          <cell r="BE1158" t="str">
            <v>M</v>
          </cell>
          <cell r="BF1158" t="str">
            <v>N</v>
          </cell>
          <cell r="BG1158">
            <v>31</v>
          </cell>
          <cell r="BH1158">
            <v>39630</v>
          </cell>
          <cell r="BI1158" t="str">
            <v>O</v>
          </cell>
        </row>
        <row r="1159">
          <cell r="A1159">
            <v>73275</v>
          </cell>
          <cell r="B1159">
            <v>468</v>
          </cell>
          <cell r="C1159" t="str">
            <v>C4411</v>
          </cell>
          <cell r="D1159" t="str">
            <v>OUARRAK</v>
          </cell>
          <cell r="E1159" t="str">
            <v>MOHAMED</v>
          </cell>
          <cell r="F1159">
            <v>21050</v>
          </cell>
          <cell r="G1159" t="str">
            <v>1</v>
          </cell>
          <cell r="H1159" t="str">
            <v>OULED BHAR KBAR KHOURIBGA</v>
          </cell>
          <cell r="I1159" t="str">
            <v>D</v>
          </cell>
          <cell r="J1159">
            <v>30025</v>
          </cell>
          <cell r="K1159">
            <v>34851</v>
          </cell>
          <cell r="L1159" t="str">
            <v>22</v>
          </cell>
          <cell r="M1159" t="str">
            <v>A</v>
          </cell>
          <cell r="N1159">
            <v>34851</v>
          </cell>
          <cell r="P1159">
            <v>21</v>
          </cell>
          <cell r="Q1159" t="str">
            <v>O</v>
          </cell>
          <cell r="R1159" t="str">
            <v>N</v>
          </cell>
          <cell r="S1159">
            <v>0</v>
          </cell>
          <cell r="T1159" t="str">
            <v>M</v>
          </cell>
          <cell r="U1159" t="str">
            <v>HADDA BENT MOHAMED</v>
          </cell>
          <cell r="X1159">
            <v>3</v>
          </cell>
          <cell r="Y1159">
            <v>3</v>
          </cell>
          <cell r="AB1159" t="str">
            <v>X</v>
          </cell>
          <cell r="AC1159" t="str">
            <v>X</v>
          </cell>
          <cell r="AD1159" t="str">
            <v>X</v>
          </cell>
          <cell r="AH1159" t="str">
            <v>N</v>
          </cell>
          <cell r="AI1159" t="str">
            <v>N</v>
          </cell>
          <cell r="AK1159" t="str">
            <v>DOUAR OD.SGHAYER OULED BRAHIM BIR MEZOUI</v>
          </cell>
          <cell r="AL1159" t="str">
            <v>ILLETTRE</v>
          </cell>
          <cell r="AP1159" t="str">
            <v>Q 14371</v>
          </cell>
          <cell r="AQ1159">
            <v>0</v>
          </cell>
          <cell r="AR1159" t="str">
            <v>B</v>
          </cell>
          <cell r="AS1159" t="str">
            <v>POPULAIRE - OZ</v>
          </cell>
          <cell r="AT1159" t="str">
            <v>2111136257990006</v>
          </cell>
          <cell r="AU1159" t="str">
            <v>/  /</v>
          </cell>
          <cell r="AW1159">
            <v>39814</v>
          </cell>
          <cell r="AY1159" t="str">
            <v>XX</v>
          </cell>
          <cell r="BA1159" t="str">
            <v>0</v>
          </cell>
          <cell r="BB1159">
            <v>1</v>
          </cell>
          <cell r="BD1159">
            <v>0</v>
          </cell>
          <cell r="BE1159" t="str">
            <v>M</v>
          </cell>
          <cell r="BF1159" t="str">
            <v>N</v>
          </cell>
          <cell r="BG1159">
            <v>60</v>
          </cell>
          <cell r="BH1159">
            <v>39630</v>
          </cell>
          <cell r="BI1159" t="str">
            <v>O</v>
          </cell>
        </row>
        <row r="1160">
          <cell r="A1160">
            <v>73614</v>
          </cell>
          <cell r="B1160">
            <v>418</v>
          </cell>
          <cell r="C1160" t="str">
            <v>C7102</v>
          </cell>
          <cell r="D1160" t="str">
            <v>EL AINI</v>
          </cell>
          <cell r="E1160" t="str">
            <v>MOHAMMED</v>
          </cell>
          <cell r="F1160">
            <v>19360</v>
          </cell>
          <cell r="G1160" t="str">
            <v>1</v>
          </cell>
          <cell r="H1160" t="str">
            <v>OULED ABDOUNE</v>
          </cell>
          <cell r="I1160" t="str">
            <v>D</v>
          </cell>
          <cell r="J1160">
            <v>30172</v>
          </cell>
          <cell r="K1160">
            <v>35065</v>
          </cell>
          <cell r="L1160" t="str">
            <v>33</v>
          </cell>
          <cell r="M1160" t="str">
            <v>A</v>
          </cell>
          <cell r="N1160">
            <v>35065</v>
          </cell>
          <cell r="P1160">
            <v>20</v>
          </cell>
          <cell r="Q1160" t="str">
            <v>O</v>
          </cell>
          <cell r="R1160" t="str">
            <v>N</v>
          </cell>
          <cell r="S1160">
            <v>0</v>
          </cell>
          <cell r="T1160" t="str">
            <v>M</v>
          </cell>
          <cell r="U1160" t="str">
            <v>BAYI RABIA BENT MOHAMED</v>
          </cell>
          <cell r="X1160">
            <v>5</v>
          </cell>
          <cell r="Y1160">
            <v>5</v>
          </cell>
          <cell r="AB1160" t="str">
            <v>X</v>
          </cell>
          <cell r="AC1160" t="str">
            <v>X</v>
          </cell>
          <cell r="AD1160" t="str">
            <v>X</v>
          </cell>
          <cell r="AH1160" t="str">
            <v>N</v>
          </cell>
          <cell r="AI1160" t="str">
            <v>N</v>
          </cell>
          <cell r="AK1160" t="str">
            <v>33 LOTISSEMENT HAIZOUN YASMINE II - KHGA</v>
          </cell>
          <cell r="AL1160" t="str">
            <v>5AS</v>
          </cell>
          <cell r="AP1160" t="str">
            <v>B 15157</v>
          </cell>
          <cell r="AQ1160">
            <v>0</v>
          </cell>
          <cell r="AR1160" t="str">
            <v>B</v>
          </cell>
          <cell r="AS1160" t="str">
            <v>BCM.KHGA</v>
          </cell>
          <cell r="AT1160" t="str">
            <v>97 C 302400</v>
          </cell>
          <cell r="AU1160" t="str">
            <v>31/03/04</v>
          </cell>
          <cell r="AW1160">
            <v>39630</v>
          </cell>
          <cell r="AY1160" t="str">
            <v>XX</v>
          </cell>
          <cell r="BA1160" t="str">
            <v>1</v>
          </cell>
          <cell r="BB1160">
            <v>1</v>
          </cell>
          <cell r="BC1160" t="str">
            <v>O</v>
          </cell>
          <cell r="BD1160">
            <v>4</v>
          </cell>
          <cell r="BE1160" t="str">
            <v>M</v>
          </cell>
          <cell r="BF1160" t="str">
            <v>N</v>
          </cell>
          <cell r="BG1160">
            <v>1</v>
          </cell>
          <cell r="BH1160">
            <v>39630</v>
          </cell>
        </row>
        <row r="1161">
          <cell r="A1161">
            <v>73675</v>
          </cell>
          <cell r="B1161">
            <v>437</v>
          </cell>
          <cell r="C1161" t="str">
            <v>C3450</v>
          </cell>
          <cell r="D1161" t="str">
            <v>EL ASSEAD</v>
          </cell>
          <cell r="E1161" t="str">
            <v>ABDERRAHIM</v>
          </cell>
          <cell r="F1161">
            <v>20270</v>
          </cell>
          <cell r="G1161" t="str">
            <v>1</v>
          </cell>
          <cell r="H1161" t="str">
            <v>OULED ABDOUNE</v>
          </cell>
          <cell r="I1161" t="str">
            <v>D</v>
          </cell>
          <cell r="J1161">
            <v>30225</v>
          </cell>
          <cell r="K1161">
            <v>33420</v>
          </cell>
          <cell r="L1161" t="str">
            <v>21</v>
          </cell>
          <cell r="M1161" t="str">
            <v>B</v>
          </cell>
          <cell r="N1161">
            <v>35612</v>
          </cell>
          <cell r="P1161">
            <v>20</v>
          </cell>
          <cell r="Q1161" t="str">
            <v>O</v>
          </cell>
          <cell r="R1161" t="str">
            <v>N</v>
          </cell>
          <cell r="S1161">
            <v>0</v>
          </cell>
          <cell r="T1161" t="str">
            <v>M</v>
          </cell>
          <cell r="U1161" t="str">
            <v>EL MAHI NAIMA BT LAFQIH AHMED</v>
          </cell>
          <cell r="X1161">
            <v>4</v>
          </cell>
          <cell r="Y1161">
            <v>3</v>
          </cell>
          <cell r="AB1161" t="str">
            <v>X</v>
          </cell>
          <cell r="AC1161" t="str">
            <v>X</v>
          </cell>
          <cell r="AD1161" t="str">
            <v>X</v>
          </cell>
          <cell r="AH1161" t="str">
            <v>N</v>
          </cell>
          <cell r="AI1161" t="str">
            <v>N</v>
          </cell>
          <cell r="AK1161" t="str">
            <v>859  VILLAGE O.C.P BOULANOIR</v>
          </cell>
          <cell r="AL1161" t="str">
            <v>4AS</v>
          </cell>
          <cell r="AP1161" t="str">
            <v>Q 55742</v>
          </cell>
          <cell r="AQ1161">
            <v>0</v>
          </cell>
          <cell r="AR1161" t="str">
            <v>B</v>
          </cell>
          <cell r="AS1161" t="str">
            <v>SGMB - KHGA</v>
          </cell>
          <cell r="AT1161" t="str">
            <v>670009379721</v>
          </cell>
          <cell r="AU1161" t="str">
            <v>/  /</v>
          </cell>
          <cell r="AW1161">
            <v>39814</v>
          </cell>
          <cell r="AY1161" t="str">
            <v>XX</v>
          </cell>
          <cell r="BA1161" t="str">
            <v>2</v>
          </cell>
          <cell r="BB1161">
            <v>1</v>
          </cell>
          <cell r="BD1161">
            <v>0</v>
          </cell>
          <cell r="BE1161" t="str">
            <v>M</v>
          </cell>
          <cell r="BF1161" t="str">
            <v>N</v>
          </cell>
          <cell r="BG1161">
            <v>41</v>
          </cell>
          <cell r="BH1161">
            <v>39995</v>
          </cell>
        </row>
        <row r="1162">
          <cell r="A1162">
            <v>73679</v>
          </cell>
          <cell r="B1162">
            <v>468</v>
          </cell>
          <cell r="C1162" t="str">
            <v>C2050</v>
          </cell>
          <cell r="D1162" t="str">
            <v>EL HALLAM</v>
          </cell>
          <cell r="E1162" t="str">
            <v>KADDOUR</v>
          </cell>
          <cell r="F1162">
            <v>19175</v>
          </cell>
          <cell r="G1162" t="str">
            <v>2</v>
          </cell>
          <cell r="H1162" t="str">
            <v>BENI SMIR</v>
          </cell>
          <cell r="I1162" t="str">
            <v>D</v>
          </cell>
          <cell r="J1162">
            <v>30228</v>
          </cell>
          <cell r="K1162">
            <v>32082</v>
          </cell>
          <cell r="L1162" t="str">
            <v>12</v>
          </cell>
          <cell r="M1162" t="str">
            <v>C</v>
          </cell>
          <cell r="N1162">
            <v>306</v>
          </cell>
          <cell r="P1162">
            <v>20</v>
          </cell>
          <cell r="Q1162" t="str">
            <v>O</v>
          </cell>
          <cell r="R1162" t="str">
            <v>N</v>
          </cell>
          <cell r="S1162">
            <v>0</v>
          </cell>
          <cell r="T1162" t="str">
            <v>M</v>
          </cell>
          <cell r="U1162" t="str">
            <v>CHELHA BENT MOHAMED</v>
          </cell>
          <cell r="X1162">
            <v>5</v>
          </cell>
          <cell r="Y1162">
            <v>4</v>
          </cell>
          <cell r="AB1162" t="str">
            <v>X</v>
          </cell>
          <cell r="AC1162" t="str">
            <v>X</v>
          </cell>
          <cell r="AD1162" t="str">
            <v>X</v>
          </cell>
          <cell r="AH1162" t="str">
            <v>N</v>
          </cell>
          <cell r="AI1162" t="str">
            <v>N</v>
          </cell>
          <cell r="AK1162" t="str">
            <v>118 VILLAGE O.C.P - BOUJNIBA</v>
          </cell>
          <cell r="AL1162" t="str">
            <v>ILLETTRE</v>
          </cell>
          <cell r="AP1162" t="str">
            <v>Q 21320</v>
          </cell>
          <cell r="AQ1162">
            <v>0</v>
          </cell>
          <cell r="AR1162" t="str">
            <v>B</v>
          </cell>
          <cell r="AS1162" t="str">
            <v>POPULAIRE O-ZEM</v>
          </cell>
          <cell r="AT1162" t="str">
            <v>2111136274740004</v>
          </cell>
          <cell r="AU1162" t="str">
            <v>/  /</v>
          </cell>
          <cell r="AW1162">
            <v>39264</v>
          </cell>
          <cell r="AY1162" t="str">
            <v>XX</v>
          </cell>
          <cell r="AZ1162" t="str">
            <v>K</v>
          </cell>
          <cell r="BA1162" t="str">
            <v>2</v>
          </cell>
          <cell r="BB1162">
            <v>1</v>
          </cell>
          <cell r="BD1162">
            <v>0</v>
          </cell>
          <cell r="BE1162" t="str">
            <v>M</v>
          </cell>
          <cell r="BF1162" t="str">
            <v>N</v>
          </cell>
          <cell r="BG1162">
            <v>51</v>
          </cell>
          <cell r="BH1162">
            <v>39264</v>
          </cell>
        </row>
        <row r="1163">
          <cell r="A1163">
            <v>73681</v>
          </cell>
          <cell r="B1163">
            <v>437</v>
          </cell>
          <cell r="C1163" t="str">
            <v>C4450</v>
          </cell>
          <cell r="D1163" t="str">
            <v>FILAL</v>
          </cell>
          <cell r="E1163" t="str">
            <v>ES-SAOUDI</v>
          </cell>
          <cell r="F1163">
            <v>20877</v>
          </cell>
          <cell r="G1163" t="str">
            <v>1</v>
          </cell>
          <cell r="H1163" t="str">
            <v>KHOURIBGA</v>
          </cell>
          <cell r="I1163" t="str">
            <v>D</v>
          </cell>
          <cell r="J1163">
            <v>30229</v>
          </cell>
          <cell r="K1163">
            <v>36526</v>
          </cell>
          <cell r="L1163" t="str">
            <v>22</v>
          </cell>
          <cell r="M1163" t="str">
            <v>A</v>
          </cell>
          <cell r="N1163">
            <v>36526</v>
          </cell>
          <cell r="P1163">
            <v>20</v>
          </cell>
          <cell r="Q1163" t="str">
            <v>O</v>
          </cell>
          <cell r="R1163" t="str">
            <v>N</v>
          </cell>
          <cell r="S1163">
            <v>0</v>
          </cell>
          <cell r="T1163" t="str">
            <v>M</v>
          </cell>
          <cell r="U1163" t="str">
            <v>KARIM MINA</v>
          </cell>
          <cell r="X1163">
            <v>1</v>
          </cell>
          <cell r="Y1163">
            <v>1</v>
          </cell>
          <cell r="Z1163" t="str">
            <v>N</v>
          </cell>
          <cell r="AA1163" t="str">
            <v>27/12/87</v>
          </cell>
          <cell r="AB1163" t="str">
            <v>X</v>
          </cell>
          <cell r="AC1163" t="str">
            <v>X</v>
          </cell>
          <cell r="AD1163" t="str">
            <v>X</v>
          </cell>
          <cell r="AH1163" t="str">
            <v>N</v>
          </cell>
          <cell r="AI1163" t="str">
            <v>N</v>
          </cell>
          <cell r="AK1163" t="str">
            <v>1004 VILLAGE OCP - BOULANOIR</v>
          </cell>
          <cell r="AL1163" t="str">
            <v>CM2</v>
          </cell>
          <cell r="AN1163" t="str">
            <v>57═78═75</v>
          </cell>
          <cell r="AP1163" t="str">
            <v>Q 30714</v>
          </cell>
          <cell r="AQ1163">
            <v>0</v>
          </cell>
          <cell r="AR1163" t="str">
            <v>B</v>
          </cell>
          <cell r="AS1163" t="str">
            <v>SGMB - KHGA</v>
          </cell>
          <cell r="AT1163" t="str">
            <v>0000670009354695</v>
          </cell>
          <cell r="AU1163" t="str">
            <v>/  /</v>
          </cell>
          <cell r="AW1163">
            <v>39814</v>
          </cell>
          <cell r="AY1163" t="str">
            <v>XX</v>
          </cell>
          <cell r="BA1163" t="str">
            <v>2</v>
          </cell>
          <cell r="BB1163">
            <v>1</v>
          </cell>
          <cell r="BD1163">
            <v>0</v>
          </cell>
          <cell r="BE1163" t="str">
            <v>M</v>
          </cell>
          <cell r="BF1163" t="str">
            <v>N</v>
          </cell>
          <cell r="BG1163">
            <v>41</v>
          </cell>
          <cell r="BH1163">
            <v>39995</v>
          </cell>
        </row>
        <row r="1164">
          <cell r="A1164">
            <v>73689</v>
          </cell>
          <cell r="B1164">
            <v>428</v>
          </cell>
          <cell r="C1164" t="str">
            <v>C2152</v>
          </cell>
          <cell r="D1164" t="str">
            <v>DRIOUICH</v>
          </cell>
          <cell r="E1164" t="str">
            <v>ALLAL</v>
          </cell>
          <cell r="F1164">
            <v>21001</v>
          </cell>
          <cell r="H1164" t="str">
            <v>DOUAR CHLOUH HAD KOURT</v>
          </cell>
          <cell r="I1164" t="str">
            <v>D</v>
          </cell>
          <cell r="J1164">
            <v>30230</v>
          </cell>
          <cell r="K1164">
            <v>31898</v>
          </cell>
          <cell r="L1164" t="str">
            <v>12</v>
          </cell>
          <cell r="M1164" t="str">
            <v>C</v>
          </cell>
          <cell r="N1164">
            <v>306</v>
          </cell>
          <cell r="P1164">
            <v>20</v>
          </cell>
          <cell r="Q1164" t="str">
            <v>O</v>
          </cell>
          <cell r="R1164" t="str">
            <v>N</v>
          </cell>
          <cell r="S1164">
            <v>0</v>
          </cell>
          <cell r="T1164" t="str">
            <v>M</v>
          </cell>
          <cell r="U1164" t="str">
            <v>KASMI RABIAA BENT SELLAM</v>
          </cell>
          <cell r="X1164">
            <v>4</v>
          </cell>
          <cell r="Y1164">
            <v>4</v>
          </cell>
          <cell r="AB1164" t="str">
            <v>X</v>
          </cell>
          <cell r="AC1164" t="str">
            <v>X</v>
          </cell>
          <cell r="AD1164" t="str">
            <v>X</v>
          </cell>
          <cell r="AH1164" t="str">
            <v>N</v>
          </cell>
          <cell r="AI1164" t="str">
            <v>N</v>
          </cell>
          <cell r="AK1164" t="str">
            <v>114 VILLAGE OCP OUED ZEM</v>
          </cell>
          <cell r="AL1164" t="str">
            <v>CM2</v>
          </cell>
          <cell r="AP1164" t="str">
            <v>G 60052</v>
          </cell>
          <cell r="AQ1164">
            <v>0</v>
          </cell>
          <cell r="AR1164" t="str">
            <v>B</v>
          </cell>
          <cell r="AS1164" t="str">
            <v>B.M.C.I - O.ZEM</v>
          </cell>
          <cell r="AT1164" t="str">
            <v>0002521788346301</v>
          </cell>
          <cell r="AU1164" t="str">
            <v>/  /</v>
          </cell>
          <cell r="AW1164">
            <v>39814</v>
          </cell>
          <cell r="AY1164" t="str">
            <v>XX</v>
          </cell>
          <cell r="AZ1164" t="str">
            <v>R</v>
          </cell>
          <cell r="BA1164" t="str">
            <v>1</v>
          </cell>
          <cell r="BB1164">
            <v>1</v>
          </cell>
          <cell r="BD1164">
            <v>0</v>
          </cell>
          <cell r="BE1164" t="str">
            <v>M</v>
          </cell>
          <cell r="BF1164" t="str">
            <v>N</v>
          </cell>
          <cell r="BG1164">
            <v>30</v>
          </cell>
          <cell r="BH1164">
            <v>39995</v>
          </cell>
        </row>
        <row r="1165">
          <cell r="A1165">
            <v>73690</v>
          </cell>
          <cell r="B1165">
            <v>421</v>
          </cell>
          <cell r="C1165" t="str">
            <v>C3152</v>
          </cell>
          <cell r="D1165" t="str">
            <v>HOUKMI</v>
          </cell>
          <cell r="E1165" t="str">
            <v>ABDELMALEK</v>
          </cell>
          <cell r="F1165">
            <v>20636</v>
          </cell>
          <cell r="G1165" t="str">
            <v>1</v>
          </cell>
          <cell r="H1165" t="str">
            <v>OULED BHAR KBAR KHOURIBGA</v>
          </cell>
          <cell r="I1165" t="str">
            <v>D</v>
          </cell>
          <cell r="J1165">
            <v>30232</v>
          </cell>
          <cell r="K1165">
            <v>36526</v>
          </cell>
          <cell r="L1165" t="str">
            <v>21</v>
          </cell>
          <cell r="M1165" t="str">
            <v>A</v>
          </cell>
          <cell r="N1165">
            <v>36526</v>
          </cell>
          <cell r="P1165">
            <v>20</v>
          </cell>
          <cell r="Q1165" t="str">
            <v>O</v>
          </cell>
          <cell r="R1165" t="str">
            <v>N</v>
          </cell>
          <cell r="S1165">
            <v>0</v>
          </cell>
          <cell r="T1165" t="str">
            <v>M</v>
          </cell>
          <cell r="U1165" t="str">
            <v>ZAIR-SAADIA BENT MOHAMED</v>
          </cell>
          <cell r="X1165">
            <v>3</v>
          </cell>
          <cell r="Y1165">
            <v>3</v>
          </cell>
          <cell r="Z1165" t="str">
            <v>N</v>
          </cell>
          <cell r="AB1165" t="str">
            <v>X</v>
          </cell>
          <cell r="AC1165" t="str">
            <v>X</v>
          </cell>
          <cell r="AD1165" t="str">
            <v>X</v>
          </cell>
          <cell r="AH1165" t="str">
            <v>N</v>
          </cell>
          <cell r="AI1165" t="str">
            <v>N</v>
          </cell>
          <cell r="AK1165" t="str">
            <v>616 VILLAGE O.C.P - BOUJNIBA</v>
          </cell>
          <cell r="AL1165" t="str">
            <v>ILLETTRE</v>
          </cell>
          <cell r="AP1165" t="str">
            <v>Q 81593</v>
          </cell>
          <cell r="AQ1165">
            <v>0</v>
          </cell>
          <cell r="AR1165" t="str">
            <v>B</v>
          </cell>
          <cell r="AS1165" t="str">
            <v>SGMB  - KHGA</v>
          </cell>
          <cell r="AT1165" t="str">
            <v>0670009448203</v>
          </cell>
          <cell r="AU1165" t="str">
            <v>/  /</v>
          </cell>
          <cell r="AW1165">
            <v>39814</v>
          </cell>
          <cell r="AY1165" t="str">
            <v>XX</v>
          </cell>
          <cell r="BA1165" t="str">
            <v>1</v>
          </cell>
          <cell r="BB1165">
            <v>1</v>
          </cell>
          <cell r="BD1165">
            <v>0</v>
          </cell>
          <cell r="BE1165" t="str">
            <v>M</v>
          </cell>
          <cell r="BF1165" t="str">
            <v>N</v>
          </cell>
          <cell r="BG1165">
            <v>52</v>
          </cell>
          <cell r="BH1165">
            <v>39995</v>
          </cell>
        </row>
        <row r="1166">
          <cell r="A1166">
            <v>73700</v>
          </cell>
          <cell r="B1166">
            <v>466</v>
          </cell>
          <cell r="C1166" t="str">
            <v>C3050</v>
          </cell>
          <cell r="D1166" t="str">
            <v>ECH-CHAEL</v>
          </cell>
          <cell r="E1166" t="str">
            <v>LARBI</v>
          </cell>
          <cell r="F1166">
            <v>18444</v>
          </cell>
          <cell r="G1166" t="str">
            <v>2</v>
          </cell>
          <cell r="H1166" t="str">
            <v>SMAALA</v>
          </cell>
          <cell r="I1166" t="str">
            <v>D</v>
          </cell>
          <cell r="J1166">
            <v>30238</v>
          </cell>
          <cell r="K1166">
            <v>37377</v>
          </cell>
          <cell r="L1166" t="str">
            <v>21</v>
          </cell>
          <cell r="M1166" t="str">
            <v>A</v>
          </cell>
          <cell r="N1166">
            <v>37377</v>
          </cell>
          <cell r="P1166">
            <v>20</v>
          </cell>
          <cell r="Q1166" t="str">
            <v>O</v>
          </cell>
          <cell r="R1166" t="str">
            <v>N</v>
          </cell>
          <cell r="S1166">
            <v>0</v>
          </cell>
          <cell r="T1166" t="str">
            <v>M</v>
          </cell>
          <cell r="U1166" t="str">
            <v>FATNA BENT EL MILOUDI EDDANA</v>
          </cell>
          <cell r="X1166">
            <v>8</v>
          </cell>
          <cell r="Y1166">
            <v>4</v>
          </cell>
          <cell r="AB1166" t="str">
            <v>X</v>
          </cell>
          <cell r="AC1166" t="str">
            <v>X</v>
          </cell>
          <cell r="AD1166" t="str">
            <v>X</v>
          </cell>
          <cell r="AH1166" t="str">
            <v>N</v>
          </cell>
          <cell r="AI1166" t="str">
            <v>N</v>
          </cell>
          <cell r="AK1166" t="str">
            <v>72 RUE 18 KOREA OUED ZEM</v>
          </cell>
          <cell r="AL1166" t="str">
            <v>ILLETTRE</v>
          </cell>
          <cell r="AP1166" t="str">
            <v>Q 61962</v>
          </cell>
          <cell r="AQ1166">
            <v>0</v>
          </cell>
          <cell r="AR1166" t="str">
            <v>B</v>
          </cell>
          <cell r="AS1166" t="str">
            <v>WAFABANK - KHGA</v>
          </cell>
          <cell r="AT1166" t="str">
            <v>001220301127794-36</v>
          </cell>
          <cell r="AU1166" t="str">
            <v>/  /</v>
          </cell>
          <cell r="AW1166">
            <v>38534</v>
          </cell>
          <cell r="AY1166" t="str">
            <v>XX</v>
          </cell>
          <cell r="BA1166" t="str">
            <v>2</v>
          </cell>
          <cell r="BB1166">
            <v>1</v>
          </cell>
          <cell r="BD1166">
            <v>0</v>
          </cell>
          <cell r="BE1166" t="str">
            <v>M</v>
          </cell>
          <cell r="BF1166" t="str">
            <v>N</v>
          </cell>
          <cell r="BG1166">
            <v>31</v>
          </cell>
          <cell r="BH1166">
            <v>38534</v>
          </cell>
        </row>
        <row r="1167">
          <cell r="A1167">
            <v>73719</v>
          </cell>
          <cell r="B1167">
            <v>466</v>
          </cell>
          <cell r="C1167" t="str">
            <v>C2050</v>
          </cell>
          <cell r="D1167" t="str">
            <v>EL KASSOUMI</v>
          </cell>
          <cell r="E1167" t="str">
            <v>ABDELKADER</v>
          </cell>
          <cell r="F1167">
            <v>21366</v>
          </cell>
          <cell r="G1167" t="str">
            <v>2</v>
          </cell>
          <cell r="H1167" t="str">
            <v>SMAALA</v>
          </cell>
          <cell r="I1167" t="str">
            <v>D</v>
          </cell>
          <cell r="J1167">
            <v>30245</v>
          </cell>
          <cell r="K1167">
            <v>32264</v>
          </cell>
          <cell r="L1167" t="str">
            <v>12</v>
          </cell>
          <cell r="M1167" t="str">
            <v>C</v>
          </cell>
          <cell r="N1167">
            <v>306</v>
          </cell>
          <cell r="P1167">
            <v>20</v>
          </cell>
          <cell r="Q1167" t="str">
            <v>O</v>
          </cell>
          <cell r="R1167" t="str">
            <v>N</v>
          </cell>
          <cell r="S1167">
            <v>0</v>
          </cell>
          <cell r="T1167" t="str">
            <v>M</v>
          </cell>
          <cell r="U1167" t="str">
            <v>MAHI FATIMA BENT MOHAMED</v>
          </cell>
          <cell r="X1167">
            <v>3</v>
          </cell>
          <cell r="Y1167">
            <v>3</v>
          </cell>
          <cell r="AB1167" t="str">
            <v>X</v>
          </cell>
          <cell r="AC1167" t="str">
            <v>X</v>
          </cell>
          <cell r="AD1167" t="str">
            <v>X</v>
          </cell>
          <cell r="AH1167" t="str">
            <v>N</v>
          </cell>
          <cell r="AI1167" t="str">
            <v>N</v>
          </cell>
          <cell r="AK1167" t="str">
            <v>631 LOTISSEMENT MOUKAWAMA - OUED ZEM</v>
          </cell>
          <cell r="AL1167" t="str">
            <v>ILLETTRE</v>
          </cell>
          <cell r="AP1167" t="str">
            <v>Q 70021</v>
          </cell>
          <cell r="AQ1167">
            <v>0</v>
          </cell>
          <cell r="AR1167" t="str">
            <v>B</v>
          </cell>
          <cell r="AS1167" t="str">
            <v>WAFABANK - KHGA</v>
          </cell>
          <cell r="AT1167" t="str">
            <v>122030116760801</v>
          </cell>
          <cell r="AU1167" t="str">
            <v>/  /</v>
          </cell>
          <cell r="AW1167">
            <v>39995</v>
          </cell>
          <cell r="AY1167" t="str">
            <v>XX</v>
          </cell>
          <cell r="BA1167" t="str">
            <v>2</v>
          </cell>
          <cell r="BB1167">
            <v>1</v>
          </cell>
          <cell r="BD1167">
            <v>0</v>
          </cell>
          <cell r="BE1167" t="str">
            <v>M</v>
          </cell>
          <cell r="BF1167" t="str">
            <v>N</v>
          </cell>
          <cell r="BG1167">
            <v>0</v>
          </cell>
          <cell r="BH1167">
            <v>39995</v>
          </cell>
          <cell r="BI1167" t="str">
            <v>O</v>
          </cell>
        </row>
        <row r="1168">
          <cell r="A1168">
            <v>73721</v>
          </cell>
          <cell r="B1168">
            <v>466</v>
          </cell>
          <cell r="C1168" t="str">
            <v>C3050</v>
          </cell>
          <cell r="D1168" t="str">
            <v>LALOULI</v>
          </cell>
          <cell r="E1168" t="str">
            <v>M'HAMED</v>
          </cell>
          <cell r="F1168">
            <v>19579</v>
          </cell>
          <cell r="G1168" t="str">
            <v>2</v>
          </cell>
          <cell r="H1168" t="str">
            <v>SMAALA</v>
          </cell>
          <cell r="I1168" t="str">
            <v>D</v>
          </cell>
          <cell r="J1168">
            <v>30246</v>
          </cell>
          <cell r="K1168">
            <v>36526</v>
          </cell>
          <cell r="L1168" t="str">
            <v>21</v>
          </cell>
          <cell r="M1168" t="str">
            <v>C</v>
          </cell>
          <cell r="N1168">
            <v>36526</v>
          </cell>
          <cell r="P1168">
            <v>20</v>
          </cell>
          <cell r="Q1168" t="str">
            <v>O</v>
          </cell>
          <cell r="R1168" t="str">
            <v>N</v>
          </cell>
          <cell r="S1168">
            <v>0</v>
          </cell>
          <cell r="T1168" t="str">
            <v>M</v>
          </cell>
          <cell r="U1168" t="str">
            <v>M'BARKA BENT SALAH</v>
          </cell>
          <cell r="X1168">
            <v>4</v>
          </cell>
          <cell r="Y1168">
            <v>2</v>
          </cell>
          <cell r="AB1168" t="str">
            <v>X</v>
          </cell>
          <cell r="AC1168" t="str">
            <v>X</v>
          </cell>
          <cell r="AD1168" t="str">
            <v>X</v>
          </cell>
          <cell r="AH1168" t="str">
            <v>N</v>
          </cell>
          <cell r="AI1168" t="str">
            <v>N</v>
          </cell>
          <cell r="AK1168" t="str">
            <v>429,VILLAGE OCP BOUJNIBA</v>
          </cell>
          <cell r="AL1168" t="str">
            <v>ILLETTRE</v>
          </cell>
          <cell r="AP1168" t="str">
            <v>Q 65760</v>
          </cell>
          <cell r="AQ1168">
            <v>0</v>
          </cell>
          <cell r="AR1168" t="str">
            <v>B</v>
          </cell>
          <cell r="AS1168" t="str">
            <v>POPULAIRE-OUED ZEM</v>
          </cell>
          <cell r="AT1168" t="str">
            <v>2111173321080001</v>
          </cell>
          <cell r="AU1168" t="str">
            <v>/  /</v>
          </cell>
          <cell r="AW1168">
            <v>39814</v>
          </cell>
          <cell r="AY1168" t="str">
            <v>XX</v>
          </cell>
          <cell r="BA1168" t="str">
            <v>2</v>
          </cell>
          <cell r="BB1168">
            <v>1</v>
          </cell>
          <cell r="BD1168">
            <v>0</v>
          </cell>
          <cell r="BE1168" t="str">
            <v>M</v>
          </cell>
          <cell r="BF1168" t="str">
            <v>N</v>
          </cell>
          <cell r="BG1168">
            <v>51</v>
          </cell>
          <cell r="BH1168">
            <v>39814</v>
          </cell>
        </row>
        <row r="1169">
          <cell r="A1169">
            <v>73728</v>
          </cell>
          <cell r="B1169">
            <v>446</v>
          </cell>
          <cell r="C1169" t="str">
            <v>C3152</v>
          </cell>
          <cell r="D1169" t="str">
            <v>NOUKRI</v>
          </cell>
          <cell r="E1169" t="str">
            <v>ABDELGHANI</v>
          </cell>
          <cell r="F1169">
            <v>21001</v>
          </cell>
          <cell r="G1169" t="str">
            <v>1</v>
          </cell>
          <cell r="H1169" t="str">
            <v>OULED ABDOUNE</v>
          </cell>
          <cell r="I1169" t="str">
            <v>D</v>
          </cell>
          <cell r="J1169">
            <v>30249</v>
          </cell>
          <cell r="K1169">
            <v>36526</v>
          </cell>
          <cell r="L1169" t="str">
            <v>21</v>
          </cell>
          <cell r="M1169" t="str">
            <v>A</v>
          </cell>
          <cell r="N1169">
            <v>36526</v>
          </cell>
          <cell r="O1169">
            <v>0</v>
          </cell>
          <cell r="P1169">
            <v>20</v>
          </cell>
          <cell r="Q1169" t="str">
            <v>O</v>
          </cell>
          <cell r="R1169" t="str">
            <v>N</v>
          </cell>
          <cell r="S1169">
            <v>0</v>
          </cell>
          <cell r="T1169" t="str">
            <v>M</v>
          </cell>
          <cell r="U1169" t="str">
            <v>NAJAT BENT BOUCHTA</v>
          </cell>
          <cell r="X1169">
            <v>3</v>
          </cell>
          <cell r="Y1169">
            <v>3</v>
          </cell>
          <cell r="Z1169" t="str">
            <v>N</v>
          </cell>
          <cell r="AB1169" t="str">
            <v>X</v>
          </cell>
          <cell r="AC1169" t="str">
            <v>X</v>
          </cell>
          <cell r="AD1169" t="str">
            <v>X</v>
          </cell>
          <cell r="AH1169" t="str">
            <v>N</v>
          </cell>
          <cell r="AI1169" t="str">
            <v>N</v>
          </cell>
          <cell r="AK1169" t="str">
            <v>351 NELLE MEDINA DE SECHAGE OCP KHOURI</v>
          </cell>
          <cell r="AL1169" t="str">
            <v>ILLETTRE</v>
          </cell>
          <cell r="AP1169" t="str">
            <v>Q 40093</v>
          </cell>
          <cell r="AQ1169">
            <v>0</v>
          </cell>
          <cell r="AR1169" t="str">
            <v>B</v>
          </cell>
          <cell r="AS1169" t="str">
            <v>POPULAIRE KHGA</v>
          </cell>
          <cell r="AT1169" t="str">
            <v>2111112851470000</v>
          </cell>
          <cell r="AU1169" t="str">
            <v>/  /</v>
          </cell>
          <cell r="AW1169">
            <v>39995</v>
          </cell>
          <cell r="AY1169" t="str">
            <v>XX</v>
          </cell>
          <cell r="BA1169" t="str">
            <v>2</v>
          </cell>
          <cell r="BB1169">
            <v>1</v>
          </cell>
          <cell r="BD1169">
            <v>0</v>
          </cell>
          <cell r="BE1169" t="str">
            <v>M</v>
          </cell>
          <cell r="BF1169" t="str">
            <v>N</v>
          </cell>
          <cell r="BG1169">
            <v>1</v>
          </cell>
          <cell r="BH1169">
            <v>39995</v>
          </cell>
        </row>
        <row r="1170">
          <cell r="A1170">
            <v>73729</v>
          </cell>
          <cell r="B1170">
            <v>468</v>
          </cell>
          <cell r="C1170" t="str">
            <v>C3152</v>
          </cell>
          <cell r="D1170" t="str">
            <v>OUADOUDI</v>
          </cell>
          <cell r="E1170" t="str">
            <v>BENDAOUD</v>
          </cell>
          <cell r="F1170">
            <v>20270</v>
          </cell>
          <cell r="G1170" t="str">
            <v>1</v>
          </cell>
          <cell r="H1170" t="str">
            <v>OULED BHAR KBAR KHOURIBGA</v>
          </cell>
          <cell r="I1170" t="str">
            <v>D</v>
          </cell>
          <cell r="J1170">
            <v>30250</v>
          </cell>
          <cell r="K1170">
            <v>36526</v>
          </cell>
          <cell r="L1170" t="str">
            <v>21</v>
          </cell>
          <cell r="M1170" t="str">
            <v>C</v>
          </cell>
          <cell r="N1170">
            <v>36526</v>
          </cell>
          <cell r="P1170">
            <v>20</v>
          </cell>
          <cell r="Q1170" t="str">
            <v>O</v>
          </cell>
          <cell r="R1170" t="str">
            <v>N</v>
          </cell>
          <cell r="S1170">
            <v>0</v>
          </cell>
          <cell r="T1170" t="str">
            <v>M</v>
          </cell>
          <cell r="U1170" t="str">
            <v>BECHANI KHADDOUJ BT MOHAMED</v>
          </cell>
          <cell r="X1170">
            <v>4</v>
          </cell>
          <cell r="Y1170">
            <v>4</v>
          </cell>
          <cell r="AB1170" t="str">
            <v>X</v>
          </cell>
          <cell r="AC1170" t="str">
            <v>X</v>
          </cell>
          <cell r="AD1170" t="str">
            <v>X</v>
          </cell>
          <cell r="AH1170" t="str">
            <v>N</v>
          </cell>
          <cell r="AI1170" t="str">
            <v>N</v>
          </cell>
          <cell r="AK1170" t="str">
            <v>291 NOUVEAU TACHERON OCP - BOUJNIBA</v>
          </cell>
          <cell r="AL1170" t="str">
            <v>ILLETTRE</v>
          </cell>
          <cell r="AP1170" t="str">
            <v>Q 82015</v>
          </cell>
          <cell r="AQ1170">
            <v>0</v>
          </cell>
          <cell r="AR1170" t="str">
            <v>C</v>
          </cell>
          <cell r="AU1170" t="str">
            <v>/  /</v>
          </cell>
          <cell r="AW1170">
            <v>39995</v>
          </cell>
          <cell r="AY1170" t="str">
            <v>XX</v>
          </cell>
          <cell r="BA1170" t="str">
            <v>1</v>
          </cell>
          <cell r="BB1170">
            <v>1</v>
          </cell>
          <cell r="BD1170">
            <v>0</v>
          </cell>
          <cell r="BE1170" t="str">
            <v>M</v>
          </cell>
          <cell r="BF1170" t="str">
            <v>N</v>
          </cell>
          <cell r="BG1170">
            <v>51</v>
          </cell>
          <cell r="BH1170">
            <v>39995</v>
          </cell>
        </row>
        <row r="1171">
          <cell r="A1171">
            <v>73732</v>
          </cell>
          <cell r="B1171">
            <v>419</v>
          </cell>
          <cell r="C1171" t="str">
            <v>C3152</v>
          </cell>
          <cell r="D1171" t="str">
            <v>CHABBA</v>
          </cell>
          <cell r="E1171" t="str">
            <v>AHMED</v>
          </cell>
          <cell r="F1171">
            <v>20636</v>
          </cell>
          <cell r="H1171" t="str">
            <v>AIT KHALILI HAOUARA</v>
          </cell>
          <cell r="I1171" t="str">
            <v>D</v>
          </cell>
          <cell r="J1171">
            <v>30251</v>
          </cell>
          <cell r="K1171">
            <v>35977</v>
          </cell>
          <cell r="L1171" t="str">
            <v>21</v>
          </cell>
          <cell r="M1171" t="str">
            <v>A</v>
          </cell>
          <cell r="N1171">
            <v>35977</v>
          </cell>
          <cell r="P1171">
            <v>20</v>
          </cell>
          <cell r="Q1171" t="str">
            <v>O</v>
          </cell>
          <cell r="R1171" t="str">
            <v>N</v>
          </cell>
          <cell r="S1171">
            <v>0</v>
          </cell>
          <cell r="T1171" t="str">
            <v>M</v>
          </cell>
          <cell r="U1171" t="str">
            <v>MEHDIA BT MOHAMED</v>
          </cell>
          <cell r="X1171">
            <v>3</v>
          </cell>
          <cell r="Y1171">
            <v>3</v>
          </cell>
          <cell r="AB1171" t="str">
            <v>X</v>
          </cell>
          <cell r="AC1171" t="str">
            <v>X</v>
          </cell>
          <cell r="AD1171" t="str">
            <v>X</v>
          </cell>
          <cell r="AH1171" t="str">
            <v>N</v>
          </cell>
          <cell r="AI1171" t="str">
            <v>N</v>
          </cell>
          <cell r="AK1171" t="str">
            <v>14 ANCIENNE MEDINA SECHAGE KHGA</v>
          </cell>
          <cell r="AL1171" t="str">
            <v>ILLETTRE</v>
          </cell>
          <cell r="AP1171" t="str">
            <v>J 175869</v>
          </cell>
          <cell r="AQ1171">
            <v>0</v>
          </cell>
          <cell r="AR1171" t="str">
            <v>B</v>
          </cell>
          <cell r="AS1171" t="str">
            <v>C.I.H - KHGA</v>
          </cell>
          <cell r="AT1171" t="str">
            <v>9390196211004700</v>
          </cell>
          <cell r="AU1171" t="str">
            <v>/  /</v>
          </cell>
          <cell r="AW1171">
            <v>39995</v>
          </cell>
          <cell r="AY1171" t="str">
            <v>XX</v>
          </cell>
          <cell r="BA1171" t="str">
            <v>1</v>
          </cell>
          <cell r="BB1171">
            <v>1</v>
          </cell>
          <cell r="BD1171">
            <v>0</v>
          </cell>
          <cell r="BE1171" t="str">
            <v>M</v>
          </cell>
          <cell r="BF1171" t="str">
            <v>N</v>
          </cell>
          <cell r="BG1171">
            <v>1</v>
          </cell>
          <cell r="BH1171">
            <v>39995</v>
          </cell>
          <cell r="BI1171" t="str">
            <v>O</v>
          </cell>
        </row>
        <row r="1172">
          <cell r="A1172">
            <v>73741</v>
          </cell>
          <cell r="B1172">
            <v>411</v>
          </cell>
          <cell r="C1172" t="str">
            <v>C3152</v>
          </cell>
          <cell r="D1172" t="str">
            <v>HMAMI</v>
          </cell>
          <cell r="E1172" t="str">
            <v>EL HAJ</v>
          </cell>
          <cell r="F1172">
            <v>21089</v>
          </cell>
          <cell r="G1172" t="str">
            <v>1</v>
          </cell>
          <cell r="H1172" t="str">
            <v>OULED BHAR KBAR KHOURIBGA</v>
          </cell>
          <cell r="I1172" t="str">
            <v>D</v>
          </cell>
          <cell r="J1172">
            <v>30257</v>
          </cell>
          <cell r="K1172">
            <v>35977</v>
          </cell>
          <cell r="L1172" t="str">
            <v>21</v>
          </cell>
          <cell r="M1172" t="str">
            <v>A</v>
          </cell>
          <cell r="N1172">
            <v>35977</v>
          </cell>
          <cell r="P1172">
            <v>20</v>
          </cell>
          <cell r="Q1172" t="str">
            <v>O</v>
          </cell>
          <cell r="R1172" t="str">
            <v>N</v>
          </cell>
          <cell r="S1172">
            <v>0</v>
          </cell>
          <cell r="T1172" t="str">
            <v>M</v>
          </cell>
          <cell r="U1172" t="str">
            <v>HAMDAFI ZAHIA BT M'HAMED</v>
          </cell>
          <cell r="X1172">
            <v>5</v>
          </cell>
          <cell r="Y1172">
            <v>4</v>
          </cell>
          <cell r="AB1172" t="str">
            <v>X</v>
          </cell>
          <cell r="AC1172" t="str">
            <v>X</v>
          </cell>
          <cell r="AD1172" t="str">
            <v>X</v>
          </cell>
          <cell r="AH1172" t="str">
            <v>N</v>
          </cell>
          <cell r="AI1172" t="str">
            <v>N</v>
          </cell>
          <cell r="AK1172" t="str">
            <v>224 ANCIEN TACHERON OCP - BOUJNIBA</v>
          </cell>
          <cell r="AL1172" t="str">
            <v>CM2</v>
          </cell>
          <cell r="AP1172" t="str">
            <v>Q 48600</v>
          </cell>
          <cell r="AQ1172">
            <v>0</v>
          </cell>
          <cell r="AR1172" t="str">
            <v>B</v>
          </cell>
          <cell r="AS1172" t="str">
            <v>BMCE - KHGA</v>
          </cell>
          <cell r="AT1172" t="str">
            <v>4000001200001217213</v>
          </cell>
          <cell r="AU1172" t="str">
            <v>/  /</v>
          </cell>
          <cell r="AW1172">
            <v>39995</v>
          </cell>
          <cell r="AY1172" t="str">
            <v>XX</v>
          </cell>
          <cell r="BA1172" t="str">
            <v>1</v>
          </cell>
          <cell r="BB1172">
            <v>1</v>
          </cell>
          <cell r="BD1172">
            <v>0</v>
          </cell>
          <cell r="BE1172" t="str">
            <v>M</v>
          </cell>
          <cell r="BF1172" t="str">
            <v>N</v>
          </cell>
          <cell r="BG1172">
            <v>50</v>
          </cell>
          <cell r="BH1172">
            <v>39995</v>
          </cell>
        </row>
        <row r="1173">
          <cell r="A1173">
            <v>73746</v>
          </cell>
          <cell r="B1173">
            <v>406</v>
          </cell>
          <cell r="C1173" t="str">
            <v>C3152</v>
          </cell>
          <cell r="D1173" t="str">
            <v>MAAROUF</v>
          </cell>
          <cell r="E1173" t="str">
            <v>MOHAMED</v>
          </cell>
          <cell r="F1173">
            <v>21001</v>
          </cell>
          <cell r="H1173" t="str">
            <v>LOULAD - SETTAT</v>
          </cell>
          <cell r="I1173" t="str">
            <v>D</v>
          </cell>
          <cell r="J1173">
            <v>30263</v>
          </cell>
          <cell r="K1173">
            <v>36526</v>
          </cell>
          <cell r="L1173" t="str">
            <v>21</v>
          </cell>
          <cell r="M1173" t="str">
            <v>A</v>
          </cell>
          <cell r="N1173">
            <v>36526</v>
          </cell>
          <cell r="P1173">
            <v>20</v>
          </cell>
          <cell r="Q1173" t="str">
            <v>O</v>
          </cell>
          <cell r="R1173" t="str">
            <v>N</v>
          </cell>
          <cell r="S1173">
            <v>0</v>
          </cell>
          <cell r="T1173" t="str">
            <v>M</v>
          </cell>
          <cell r="U1173" t="str">
            <v>MAAROUF ZAHRA BENT CHERKI</v>
          </cell>
          <cell r="X1173">
            <v>3</v>
          </cell>
          <cell r="Y1173">
            <v>3</v>
          </cell>
          <cell r="Z1173" t="str">
            <v>N</v>
          </cell>
          <cell r="AB1173" t="str">
            <v>X</v>
          </cell>
          <cell r="AC1173" t="str">
            <v>X</v>
          </cell>
          <cell r="AD1173" t="str">
            <v>X</v>
          </cell>
          <cell r="AH1173" t="str">
            <v>N</v>
          </cell>
          <cell r="AI1173" t="str">
            <v>N</v>
          </cell>
          <cell r="AK1173" t="str">
            <v>321 NOUVELLE MEDINA DE SECHAGE - KHGA</v>
          </cell>
          <cell r="AL1173" t="str">
            <v>ILLETTRE</v>
          </cell>
          <cell r="AP1173" t="str">
            <v>W 84910</v>
          </cell>
          <cell r="AQ1173">
            <v>0</v>
          </cell>
          <cell r="AR1173" t="str">
            <v>B</v>
          </cell>
          <cell r="AS1173" t="str">
            <v>BMCE - KHGA</v>
          </cell>
          <cell r="AT1173" t="str">
            <v>4000001200001201693</v>
          </cell>
          <cell r="AU1173" t="str">
            <v>/  /</v>
          </cell>
          <cell r="AW1173">
            <v>39995</v>
          </cell>
          <cell r="AY1173" t="str">
            <v>XX</v>
          </cell>
          <cell r="AZ1173" t="str">
            <v>K</v>
          </cell>
          <cell r="BA1173" t="str">
            <v>6</v>
          </cell>
          <cell r="BB1173">
            <v>1</v>
          </cell>
          <cell r="BD1173">
            <v>0</v>
          </cell>
          <cell r="BE1173" t="str">
            <v>M</v>
          </cell>
          <cell r="BF1173" t="str">
            <v>N</v>
          </cell>
          <cell r="BG1173">
            <v>1</v>
          </cell>
          <cell r="BH1173">
            <v>39995</v>
          </cell>
        </row>
        <row r="1174">
          <cell r="A1174">
            <v>73855</v>
          </cell>
          <cell r="B1174">
            <v>461</v>
          </cell>
          <cell r="C1174" t="str">
            <v>C7002</v>
          </cell>
          <cell r="D1174" t="str">
            <v>SOUFI</v>
          </cell>
          <cell r="E1174" t="str">
            <v>MOKHTAR</v>
          </cell>
          <cell r="F1174">
            <v>20636</v>
          </cell>
          <cell r="H1174" t="str">
            <v>LOULAD - SETTAT</v>
          </cell>
          <cell r="I1174" t="str">
            <v>F</v>
          </cell>
          <cell r="J1174">
            <v>29056</v>
          </cell>
          <cell r="K1174">
            <v>36526</v>
          </cell>
          <cell r="L1174" t="str">
            <v>33</v>
          </cell>
          <cell r="M1174" t="str">
            <v>A</v>
          </cell>
          <cell r="N1174">
            <v>36526</v>
          </cell>
          <cell r="P1174">
            <v>23</v>
          </cell>
          <cell r="Q1174" t="str">
            <v>O</v>
          </cell>
          <cell r="R1174" t="str">
            <v>N</v>
          </cell>
          <cell r="S1174">
            <v>0</v>
          </cell>
          <cell r="T1174" t="str">
            <v>M</v>
          </cell>
          <cell r="U1174" t="str">
            <v>MALIKA BT MOHAMED SAHI</v>
          </cell>
          <cell r="X1174">
            <v>4</v>
          </cell>
          <cell r="Y1174">
            <v>4</v>
          </cell>
          <cell r="AB1174" t="str">
            <v>X</v>
          </cell>
          <cell r="AC1174" t="str">
            <v>X</v>
          </cell>
          <cell r="AD1174" t="str">
            <v>X</v>
          </cell>
          <cell r="AH1174" t="str">
            <v>N</v>
          </cell>
          <cell r="AI1174" t="str">
            <v>N</v>
          </cell>
          <cell r="AK1174" t="str">
            <v>RUE KOUFA, 42 HAY EL HAWD, KHOURIBGA</v>
          </cell>
          <cell r="AL1174" t="str">
            <v>3AS</v>
          </cell>
          <cell r="AM1174" t="str">
            <v>CFP . CFO</v>
          </cell>
          <cell r="AP1174" t="str">
            <v>Q 7884</v>
          </cell>
          <cell r="AQ1174">
            <v>0</v>
          </cell>
          <cell r="AR1174" t="str">
            <v>B</v>
          </cell>
          <cell r="AS1174" t="str">
            <v>C.I.H - KHGA</v>
          </cell>
          <cell r="AT1174" t="str">
            <v>9585548211004700</v>
          </cell>
          <cell r="AU1174" t="str">
            <v>/  /</v>
          </cell>
          <cell r="AW1174">
            <v>38899</v>
          </cell>
          <cell r="AY1174" t="str">
            <v>XX</v>
          </cell>
          <cell r="AZ1174" t="str">
            <v>R</v>
          </cell>
          <cell r="BA1174" t="str">
            <v>2</v>
          </cell>
          <cell r="BB1174">
            <v>1</v>
          </cell>
          <cell r="BC1174" t="str">
            <v>O</v>
          </cell>
          <cell r="BD1174">
            <v>4</v>
          </cell>
          <cell r="BE1174" t="str">
            <v>M</v>
          </cell>
          <cell r="BF1174" t="str">
            <v>N</v>
          </cell>
          <cell r="BG1174">
            <v>4</v>
          </cell>
          <cell r="BH1174">
            <v>38899</v>
          </cell>
        </row>
        <row r="1175">
          <cell r="A1175">
            <v>73862</v>
          </cell>
          <cell r="B1175">
            <v>468</v>
          </cell>
          <cell r="C1175" t="str">
            <v>C2050</v>
          </cell>
          <cell r="D1175" t="str">
            <v>KASSOUMI</v>
          </cell>
          <cell r="E1175" t="str">
            <v>AHMED</v>
          </cell>
          <cell r="F1175">
            <v>19574</v>
          </cell>
          <cell r="G1175" t="str">
            <v>2</v>
          </cell>
          <cell r="H1175" t="str">
            <v>SMAALA</v>
          </cell>
          <cell r="I1175" t="str">
            <v>D</v>
          </cell>
          <cell r="J1175">
            <v>31229</v>
          </cell>
          <cell r="K1175">
            <v>32387</v>
          </cell>
          <cell r="L1175" t="str">
            <v>12</v>
          </cell>
          <cell r="M1175" t="str">
            <v>B</v>
          </cell>
          <cell r="N1175">
            <v>35643</v>
          </cell>
          <cell r="P1175">
            <v>17</v>
          </cell>
          <cell r="Q1175" t="str">
            <v>O</v>
          </cell>
          <cell r="R1175" t="str">
            <v>N</v>
          </cell>
          <cell r="S1175">
            <v>0</v>
          </cell>
          <cell r="T1175" t="str">
            <v>M</v>
          </cell>
          <cell r="U1175" t="str">
            <v>CHELHA BENT EL ABDI LEFQIHI</v>
          </cell>
          <cell r="X1175">
            <v>7</v>
          </cell>
          <cell r="Y1175">
            <v>5</v>
          </cell>
          <cell r="AB1175" t="str">
            <v>X</v>
          </cell>
          <cell r="AC1175" t="str">
            <v>X</v>
          </cell>
          <cell r="AD1175" t="str">
            <v>X</v>
          </cell>
          <cell r="AH1175" t="str">
            <v>n</v>
          </cell>
          <cell r="AI1175" t="str">
            <v>N</v>
          </cell>
          <cell r="AK1175" t="str">
            <v>9 RUE 12 LAMSALLA LAKDIMA OUED ZEM</v>
          </cell>
          <cell r="AL1175" t="str">
            <v>ILLETTRE</v>
          </cell>
          <cell r="AP1175" t="str">
            <v>Q 55163</v>
          </cell>
          <cell r="AQ1175">
            <v>0</v>
          </cell>
          <cell r="AR1175" t="str">
            <v>B</v>
          </cell>
          <cell r="AS1175" t="str">
            <v>POPULAIRE-O.ZEM</v>
          </cell>
          <cell r="AT1175" t="str">
            <v>112111136285150003</v>
          </cell>
          <cell r="AU1175" t="str">
            <v>/  /</v>
          </cell>
          <cell r="AW1175">
            <v>39814</v>
          </cell>
          <cell r="AY1175" t="str">
            <v>XX</v>
          </cell>
          <cell r="BA1175" t="str">
            <v>2</v>
          </cell>
          <cell r="BB1175">
            <v>1</v>
          </cell>
          <cell r="BD1175">
            <v>0</v>
          </cell>
          <cell r="BE1175" t="str">
            <v>M</v>
          </cell>
          <cell r="BF1175" t="str">
            <v>N</v>
          </cell>
          <cell r="BG1175">
            <v>31</v>
          </cell>
          <cell r="BH1175">
            <v>39814</v>
          </cell>
        </row>
        <row r="1176">
          <cell r="A1176">
            <v>73921</v>
          </cell>
          <cell r="B1176">
            <v>413</v>
          </cell>
          <cell r="C1176" t="str">
            <v>C4200</v>
          </cell>
          <cell r="D1176" t="str">
            <v>SAMAA</v>
          </cell>
          <cell r="E1176" t="str">
            <v>EL MOSTAFA</v>
          </cell>
          <cell r="F1176">
            <v>20160</v>
          </cell>
          <cell r="G1176" t="str">
            <v>1</v>
          </cell>
          <cell r="H1176" t="str">
            <v>KHOURIBGA</v>
          </cell>
          <cell r="I1176" t="str">
            <v>D</v>
          </cell>
          <cell r="J1176">
            <v>28431</v>
          </cell>
          <cell r="K1176">
            <v>36526</v>
          </cell>
          <cell r="L1176" t="str">
            <v>22</v>
          </cell>
          <cell r="M1176" t="str">
            <v>A</v>
          </cell>
          <cell r="N1176">
            <v>36526</v>
          </cell>
          <cell r="P1176">
            <v>25</v>
          </cell>
          <cell r="Q1176" t="str">
            <v>O</v>
          </cell>
          <cell r="R1176" t="str">
            <v>N</v>
          </cell>
          <cell r="S1176">
            <v>0</v>
          </cell>
          <cell r="T1176" t="str">
            <v>M</v>
          </cell>
          <cell r="U1176" t="str">
            <v>FATIMA BENT AHMED</v>
          </cell>
          <cell r="X1176">
            <v>2</v>
          </cell>
          <cell r="Y1176">
            <v>2</v>
          </cell>
          <cell r="AB1176" t="str">
            <v>X</v>
          </cell>
          <cell r="AC1176" t="str">
            <v>X</v>
          </cell>
          <cell r="AD1176" t="str">
            <v>X</v>
          </cell>
          <cell r="AH1176" t="str">
            <v>N</v>
          </cell>
          <cell r="AI1176" t="str">
            <v>N</v>
          </cell>
          <cell r="AK1176" t="str">
            <v>277 ANCIENNE MEDINA DE SECHAGE - KHGA</v>
          </cell>
          <cell r="AL1176" t="str">
            <v>CM2</v>
          </cell>
          <cell r="AP1176" t="str">
            <v>Q 16148</v>
          </cell>
          <cell r="AQ1176">
            <v>0</v>
          </cell>
          <cell r="AR1176" t="str">
            <v>B</v>
          </cell>
          <cell r="AS1176" t="str">
            <v>CR-MAROC - KHGA</v>
          </cell>
          <cell r="AT1176" t="str">
            <v>082001080124</v>
          </cell>
          <cell r="AU1176" t="str">
            <v>/  /</v>
          </cell>
          <cell r="AW1176">
            <v>38534</v>
          </cell>
          <cell r="AY1176" t="str">
            <v>XX</v>
          </cell>
          <cell r="BA1176" t="str">
            <v>2</v>
          </cell>
          <cell r="BB1176">
            <v>1</v>
          </cell>
          <cell r="BD1176">
            <v>0</v>
          </cell>
          <cell r="BE1176" t="str">
            <v>M</v>
          </cell>
          <cell r="BF1176" t="str">
            <v>N</v>
          </cell>
          <cell r="BG1176">
            <v>1</v>
          </cell>
          <cell r="BH1176">
            <v>38534</v>
          </cell>
        </row>
        <row r="1177">
          <cell r="A1177">
            <v>73948</v>
          </cell>
          <cell r="B1177">
            <v>463</v>
          </cell>
          <cell r="C1177" t="str">
            <v>C5200</v>
          </cell>
          <cell r="D1177" t="str">
            <v>EL HARTAZI</v>
          </cell>
          <cell r="E1177" t="str">
            <v>MOHAMMED</v>
          </cell>
          <cell r="F1177">
            <v>20636</v>
          </cell>
          <cell r="G1177" t="str">
            <v>1</v>
          </cell>
          <cell r="H1177" t="str">
            <v>OULED BHAR SGHAR KHOURIBGA</v>
          </cell>
          <cell r="I1177" t="str">
            <v>D</v>
          </cell>
          <cell r="J1177">
            <v>30386</v>
          </cell>
          <cell r="K1177">
            <v>31929</v>
          </cell>
          <cell r="L1177" t="str">
            <v>31</v>
          </cell>
          <cell r="M1177" t="str">
            <v>A</v>
          </cell>
          <cell r="N1177">
            <v>31929</v>
          </cell>
          <cell r="P1177">
            <v>20</v>
          </cell>
          <cell r="Q1177" t="str">
            <v>O</v>
          </cell>
          <cell r="R1177" t="str">
            <v>N</v>
          </cell>
          <cell r="S1177">
            <v>0</v>
          </cell>
          <cell r="T1177" t="str">
            <v>M</v>
          </cell>
          <cell r="U1177" t="str">
            <v>MINA BENT HAMMADI BOUAB</v>
          </cell>
          <cell r="X1177">
            <v>4</v>
          </cell>
          <cell r="Y1177">
            <v>4</v>
          </cell>
          <cell r="AB1177" t="str">
            <v>X</v>
          </cell>
          <cell r="AC1177" t="str">
            <v>X</v>
          </cell>
          <cell r="AD1177" t="str">
            <v>X</v>
          </cell>
          <cell r="AH1177" t="str">
            <v>N</v>
          </cell>
          <cell r="AI1177" t="str">
            <v>N</v>
          </cell>
          <cell r="AK1177" t="str">
            <v>342 RUE SOUK TNINE OUED ZEM</v>
          </cell>
          <cell r="AL1177" t="str">
            <v>3AS</v>
          </cell>
          <cell r="AM1177" t="str">
            <v>CFO.</v>
          </cell>
          <cell r="AP1177" t="str">
            <v>Q 63911</v>
          </cell>
          <cell r="AQ1177">
            <v>0</v>
          </cell>
          <cell r="AR1177" t="str">
            <v>B</v>
          </cell>
          <cell r="AS1177" t="str">
            <v>BMCI - KHGA</v>
          </cell>
          <cell r="AT1177" t="str">
            <v>0252194820230100001</v>
          </cell>
          <cell r="AU1177" t="str">
            <v>/  /</v>
          </cell>
          <cell r="AW1177">
            <v>39995</v>
          </cell>
          <cell r="AY1177" t="str">
            <v>XX</v>
          </cell>
          <cell r="BA1177" t="str">
            <v>2</v>
          </cell>
          <cell r="BB1177">
            <v>1</v>
          </cell>
          <cell r="BD1177">
            <v>0</v>
          </cell>
          <cell r="BE1177" t="str">
            <v>M</v>
          </cell>
          <cell r="BF1177" t="str">
            <v>N</v>
          </cell>
          <cell r="BG1177">
            <v>31</v>
          </cell>
          <cell r="BH1177">
            <v>39995</v>
          </cell>
        </row>
        <row r="1178">
          <cell r="A1178">
            <v>74066</v>
          </cell>
          <cell r="B1178">
            <v>413</v>
          </cell>
          <cell r="C1178" t="str">
            <v>C5200</v>
          </cell>
          <cell r="D1178" t="str">
            <v>MOUMNI</v>
          </cell>
          <cell r="E1178" t="str">
            <v>ABDESLAM</v>
          </cell>
          <cell r="F1178">
            <v>20636</v>
          </cell>
          <cell r="H1178" t="str">
            <v>NKAKCHA SID LYAMANI</v>
          </cell>
          <cell r="I1178" t="str">
            <v>F</v>
          </cell>
          <cell r="J1178">
            <v>30547</v>
          </cell>
          <cell r="K1178">
            <v>30651</v>
          </cell>
          <cell r="L1178" t="str">
            <v>31</v>
          </cell>
          <cell r="M1178" t="str">
            <v>A</v>
          </cell>
          <cell r="N1178">
            <v>30651</v>
          </cell>
          <cell r="P1178">
            <v>19</v>
          </cell>
          <cell r="Q1178" t="str">
            <v>O</v>
          </cell>
          <cell r="R1178" t="str">
            <v>N</v>
          </cell>
          <cell r="S1178">
            <v>0</v>
          </cell>
          <cell r="T1178" t="str">
            <v>M</v>
          </cell>
          <cell r="U1178" t="str">
            <v>NADIA BENT LARBI</v>
          </cell>
          <cell r="X1178">
            <v>3</v>
          </cell>
          <cell r="Y1178">
            <v>3</v>
          </cell>
          <cell r="AB1178" t="str">
            <v>X</v>
          </cell>
          <cell r="AC1178" t="str">
            <v>X</v>
          </cell>
          <cell r="AD1178" t="str">
            <v>X</v>
          </cell>
          <cell r="AH1178" t="str">
            <v>N</v>
          </cell>
          <cell r="AI1178" t="str">
            <v>N</v>
          </cell>
          <cell r="AK1178" t="str">
            <v>219 NOUVEAUX LOGEMENTS SECHAGE - KHGA</v>
          </cell>
          <cell r="AL1178" t="str">
            <v>4AS</v>
          </cell>
          <cell r="AM1178" t="str">
            <v>CES.CQP.CFO</v>
          </cell>
          <cell r="AP1178" t="str">
            <v>L 106369</v>
          </cell>
          <cell r="AQ1178">
            <v>0</v>
          </cell>
          <cell r="AR1178" t="str">
            <v>B</v>
          </cell>
          <cell r="AS1178" t="str">
            <v>POPULAIRE.KHGA</v>
          </cell>
          <cell r="AT1178" t="str">
            <v>211113630387000485</v>
          </cell>
          <cell r="AU1178" t="str">
            <v>/  /</v>
          </cell>
          <cell r="AW1178">
            <v>42169</v>
          </cell>
          <cell r="AX1178">
            <v>42169</v>
          </cell>
          <cell r="AY1178" t="str">
            <v>XX</v>
          </cell>
          <cell r="BA1178" t="str">
            <v>2</v>
          </cell>
          <cell r="BB1178">
            <v>1</v>
          </cell>
          <cell r="BD1178">
            <v>0</v>
          </cell>
          <cell r="BE1178" t="str">
            <v>M</v>
          </cell>
          <cell r="BF1178" t="str">
            <v>N</v>
          </cell>
          <cell r="BG1178">
            <v>1</v>
          </cell>
          <cell r="BH1178">
            <v>40179</v>
          </cell>
        </row>
        <row r="1179">
          <cell r="A1179">
            <v>74077</v>
          </cell>
          <cell r="B1179">
            <v>468</v>
          </cell>
          <cell r="C1179" t="str">
            <v>C6050</v>
          </cell>
          <cell r="D1179" t="str">
            <v>BOUADEL</v>
          </cell>
          <cell r="E1179" t="str">
            <v>ABDELLAH</v>
          </cell>
          <cell r="F1179">
            <v>20645</v>
          </cell>
          <cell r="G1179" t="str">
            <v>2</v>
          </cell>
          <cell r="H1179" t="str">
            <v>OUED-ZEM</v>
          </cell>
          <cell r="I1179" t="str">
            <v>F</v>
          </cell>
          <cell r="J1179">
            <v>29419</v>
          </cell>
          <cell r="K1179">
            <v>32448</v>
          </cell>
          <cell r="L1179" t="str">
            <v>32</v>
          </cell>
          <cell r="M1179" t="str">
            <v>A</v>
          </cell>
          <cell r="N1179">
            <v>32448</v>
          </cell>
          <cell r="P1179">
            <v>22</v>
          </cell>
          <cell r="Q1179" t="str">
            <v>O</v>
          </cell>
          <cell r="R1179" t="str">
            <v>N</v>
          </cell>
          <cell r="S1179">
            <v>0</v>
          </cell>
          <cell r="T1179" t="str">
            <v>M</v>
          </cell>
          <cell r="U1179" t="str">
            <v>JALLAL HAYAT</v>
          </cell>
          <cell r="X1179">
            <v>2</v>
          </cell>
          <cell r="Y1179">
            <v>2</v>
          </cell>
          <cell r="AB1179" t="str">
            <v>X</v>
          </cell>
          <cell r="AC1179" t="str">
            <v>X</v>
          </cell>
          <cell r="AD1179" t="str">
            <v>X</v>
          </cell>
          <cell r="AH1179" t="str">
            <v>N</v>
          </cell>
          <cell r="AI1179" t="str">
            <v>N</v>
          </cell>
          <cell r="AK1179" t="str">
            <v>200 RUE OUED EDDAHAB KOREA OUED ZEM</v>
          </cell>
          <cell r="AL1179" t="str">
            <v>7AS</v>
          </cell>
          <cell r="AM1179" t="str">
            <v>CFO</v>
          </cell>
          <cell r="AP1179" t="str">
            <v>H 78129</v>
          </cell>
          <cell r="AQ1179">
            <v>0</v>
          </cell>
          <cell r="AR1179" t="str">
            <v>B</v>
          </cell>
          <cell r="AS1179" t="str">
            <v>BMCE.OUED ZEM</v>
          </cell>
          <cell r="AT1179" t="str">
            <v>41101200000147585</v>
          </cell>
          <cell r="AU1179" t="str">
            <v>/  /</v>
          </cell>
          <cell r="AW1179">
            <v>39083</v>
          </cell>
          <cell r="AY1179" t="str">
            <v>XX</v>
          </cell>
          <cell r="BA1179" t="str">
            <v>2</v>
          </cell>
          <cell r="BB1179">
            <v>0</v>
          </cell>
          <cell r="BD1179">
            <v>0</v>
          </cell>
          <cell r="BE1179" t="str">
            <v>M</v>
          </cell>
          <cell r="BF1179" t="str">
            <v>N</v>
          </cell>
          <cell r="BG1179">
            <v>31</v>
          </cell>
          <cell r="BH1179">
            <v>39083</v>
          </cell>
        </row>
        <row r="1180">
          <cell r="A1180">
            <v>74078</v>
          </cell>
          <cell r="B1180">
            <v>403</v>
          </cell>
          <cell r="C1180" t="str">
            <v>C5801</v>
          </cell>
          <cell r="D1180" t="str">
            <v>ARROUB</v>
          </cell>
          <cell r="E1180" t="str">
            <v>RACHID</v>
          </cell>
          <cell r="F1180">
            <v>22240</v>
          </cell>
          <cell r="G1180" t="str">
            <v>1</v>
          </cell>
          <cell r="H1180" t="str">
            <v>OULED BHAR KBAR KHOURIBGA</v>
          </cell>
          <cell r="I1180" t="str">
            <v>F</v>
          </cell>
          <cell r="J1180">
            <v>30592</v>
          </cell>
          <cell r="K1180">
            <v>30621</v>
          </cell>
          <cell r="L1180" t="str">
            <v>31</v>
          </cell>
          <cell r="M1180" t="str">
            <v>A</v>
          </cell>
          <cell r="N1180">
            <v>30621</v>
          </cell>
          <cell r="P1180">
            <v>19</v>
          </cell>
          <cell r="Q1180" t="str">
            <v>N</v>
          </cell>
          <cell r="R1180" t="str">
            <v>O</v>
          </cell>
          <cell r="S1180">
            <v>3</v>
          </cell>
          <cell r="T1180" t="str">
            <v>M</v>
          </cell>
          <cell r="U1180" t="str">
            <v>NADIA BENT EL KHAMMAR</v>
          </cell>
          <cell r="X1180">
            <v>3</v>
          </cell>
          <cell r="Y1180">
            <v>3</v>
          </cell>
          <cell r="AB1180" t="str">
            <v>X</v>
          </cell>
          <cell r="AC1180" t="str">
            <v>X</v>
          </cell>
          <cell r="AD1180" t="str">
            <v>X</v>
          </cell>
          <cell r="AH1180" t="str">
            <v>N</v>
          </cell>
          <cell r="AI1180" t="str">
            <v>N</v>
          </cell>
          <cell r="AK1180" t="str">
            <v>DOUAR OULED ALI EL GUEFFAF - BOUJNIBA</v>
          </cell>
          <cell r="AL1180" t="str">
            <v>7AS</v>
          </cell>
          <cell r="AM1180" t="str">
            <v>CEP.CES.CFO</v>
          </cell>
          <cell r="AP1180" t="str">
            <v>Q 10419</v>
          </cell>
          <cell r="AQ1180">
            <v>0</v>
          </cell>
          <cell r="AR1180" t="str">
            <v>B</v>
          </cell>
          <cell r="AS1180" t="str">
            <v>CNCA.KHGA</v>
          </cell>
          <cell r="AT1180" t="str">
            <v>805527 W 601</v>
          </cell>
          <cell r="AU1180" t="str">
            <v>18/09/16</v>
          </cell>
          <cell r="AW1180">
            <v>40544</v>
          </cell>
          <cell r="AY1180" t="str">
            <v>A+</v>
          </cell>
          <cell r="AZ1180" t="str">
            <v>R</v>
          </cell>
          <cell r="BA1180" t="str">
            <v>0</v>
          </cell>
          <cell r="BB1180">
            <v>1</v>
          </cell>
          <cell r="BD1180">
            <v>0</v>
          </cell>
          <cell r="BE1180" t="str">
            <v>M</v>
          </cell>
          <cell r="BF1180" t="str">
            <v>N</v>
          </cell>
          <cell r="BG1180">
            <v>0</v>
          </cell>
          <cell r="BH1180">
            <v>40544</v>
          </cell>
        </row>
        <row r="1181">
          <cell r="A1181">
            <v>74179</v>
          </cell>
          <cell r="B1181">
            <v>403</v>
          </cell>
          <cell r="C1181" t="str">
            <v>C7801</v>
          </cell>
          <cell r="D1181" t="str">
            <v>MOKRIM</v>
          </cell>
          <cell r="E1181" t="str">
            <v>EL MEHDI</v>
          </cell>
          <cell r="F1181">
            <v>20825</v>
          </cell>
          <cell r="G1181" t="str">
            <v>2</v>
          </cell>
          <cell r="H1181" t="str">
            <v>OUED-ZEM</v>
          </cell>
          <cell r="I1181" t="str">
            <v>F</v>
          </cell>
          <cell r="J1181">
            <v>30592</v>
          </cell>
          <cell r="K1181">
            <v>36526</v>
          </cell>
          <cell r="L1181" t="str">
            <v>33</v>
          </cell>
          <cell r="M1181" t="str">
            <v>A</v>
          </cell>
          <cell r="N1181">
            <v>36526</v>
          </cell>
          <cell r="P1181">
            <v>19</v>
          </cell>
          <cell r="Q1181" t="str">
            <v>N</v>
          </cell>
          <cell r="R1181" t="str">
            <v>O</v>
          </cell>
          <cell r="S1181">
            <v>3</v>
          </cell>
          <cell r="T1181" t="str">
            <v>M</v>
          </cell>
          <cell r="U1181" t="str">
            <v>MINA BENT BOUAZZA</v>
          </cell>
          <cell r="X1181">
            <v>4</v>
          </cell>
          <cell r="Y1181">
            <v>4</v>
          </cell>
          <cell r="AB1181" t="str">
            <v>X</v>
          </cell>
          <cell r="AC1181" t="str">
            <v>X</v>
          </cell>
          <cell r="AD1181" t="str">
            <v>X</v>
          </cell>
          <cell r="AH1181" t="str">
            <v>N</v>
          </cell>
          <cell r="AI1181" t="str">
            <v>N</v>
          </cell>
          <cell r="AK1181" t="str">
            <v>281 BD MOHAMED V OUED ZEM</v>
          </cell>
          <cell r="AL1181" t="str">
            <v>7AS</v>
          </cell>
          <cell r="AM1181" t="str">
            <v>BAC.CFO</v>
          </cell>
          <cell r="AP1181" t="str">
            <v>Q 31561</v>
          </cell>
          <cell r="AQ1181">
            <v>0</v>
          </cell>
          <cell r="AR1181" t="str">
            <v>B</v>
          </cell>
          <cell r="AS1181" t="str">
            <v>POPULAIRE.O.ZEM</v>
          </cell>
          <cell r="AT1181" t="str">
            <v>2111113057920004</v>
          </cell>
          <cell r="AU1181" t="str">
            <v>21/12/11</v>
          </cell>
          <cell r="AW1181">
            <v>40179</v>
          </cell>
          <cell r="AY1181" t="str">
            <v>A+</v>
          </cell>
          <cell r="BA1181" t="str">
            <v>0</v>
          </cell>
          <cell r="BB1181">
            <v>1</v>
          </cell>
          <cell r="BD1181">
            <v>0</v>
          </cell>
          <cell r="BE1181" t="str">
            <v>M</v>
          </cell>
          <cell r="BF1181" t="str">
            <v>N</v>
          </cell>
          <cell r="BG1181">
            <v>0</v>
          </cell>
          <cell r="BH1181">
            <v>40360</v>
          </cell>
        </row>
        <row r="1182">
          <cell r="A1182">
            <v>74185</v>
          </cell>
          <cell r="B1182">
            <v>419</v>
          </cell>
          <cell r="C1182" t="str">
            <v>C7003</v>
          </cell>
          <cell r="D1182" t="str">
            <v>CHAGGOURI</v>
          </cell>
          <cell r="E1182" t="str">
            <v>AHMED</v>
          </cell>
          <cell r="F1182">
            <v>19540</v>
          </cell>
          <cell r="H1182" t="str">
            <v>AIT OUGUNE - BZOU</v>
          </cell>
          <cell r="I1182" t="str">
            <v>D</v>
          </cell>
          <cell r="J1182">
            <v>28506</v>
          </cell>
          <cell r="K1182">
            <v>35065</v>
          </cell>
          <cell r="L1182" t="str">
            <v>33</v>
          </cell>
          <cell r="M1182" t="str">
            <v>A</v>
          </cell>
          <cell r="N1182">
            <v>35065</v>
          </cell>
          <cell r="P1182">
            <v>25</v>
          </cell>
          <cell r="Q1182" t="str">
            <v>O</v>
          </cell>
          <cell r="R1182" t="str">
            <v>N</v>
          </cell>
          <cell r="S1182">
            <v>0</v>
          </cell>
          <cell r="T1182" t="str">
            <v>M</v>
          </cell>
          <cell r="U1182" t="str">
            <v>MAHJOUBA BENT AHMED</v>
          </cell>
          <cell r="X1182">
            <v>4</v>
          </cell>
          <cell r="Y1182">
            <v>3</v>
          </cell>
          <cell r="AB1182" t="str">
            <v>X</v>
          </cell>
          <cell r="AC1182" t="str">
            <v>X</v>
          </cell>
          <cell r="AD1182" t="str">
            <v>X</v>
          </cell>
          <cell r="AH1182" t="str">
            <v>N</v>
          </cell>
          <cell r="AI1182" t="str">
            <v>N</v>
          </cell>
          <cell r="AK1182" t="str">
            <v>14 SQUARE FOUARATE PEPINIERE - KHGA</v>
          </cell>
          <cell r="AL1182" t="str">
            <v>4AS</v>
          </cell>
          <cell r="AM1182" t="str">
            <v>CES</v>
          </cell>
          <cell r="AP1182" t="str">
            <v>Q 49539</v>
          </cell>
          <cell r="AQ1182">
            <v>0</v>
          </cell>
          <cell r="AR1182" t="str">
            <v>B</v>
          </cell>
          <cell r="AS1182" t="str">
            <v>S.G.M.B - KHGA</v>
          </cell>
          <cell r="AT1182" t="str">
            <v>670009148570</v>
          </cell>
          <cell r="AU1182" t="str">
            <v>/  /</v>
          </cell>
          <cell r="AW1182">
            <v>38169</v>
          </cell>
          <cell r="AY1182" t="str">
            <v>XX</v>
          </cell>
          <cell r="BA1182" t="str">
            <v>2</v>
          </cell>
          <cell r="BB1182">
            <v>1</v>
          </cell>
          <cell r="BD1182">
            <v>0</v>
          </cell>
          <cell r="BE1182" t="str">
            <v>M</v>
          </cell>
          <cell r="BF1182" t="str">
            <v>N</v>
          </cell>
          <cell r="BG1182">
            <v>1</v>
          </cell>
          <cell r="BH1182">
            <v>38169</v>
          </cell>
        </row>
        <row r="1183">
          <cell r="A1183">
            <v>74206</v>
          </cell>
          <cell r="B1183">
            <v>438</v>
          </cell>
          <cell r="C1183" t="str">
            <v>C5017</v>
          </cell>
          <cell r="D1183" t="str">
            <v>IBN YAHIA</v>
          </cell>
          <cell r="E1183" t="str">
            <v>RACHID</v>
          </cell>
          <cell r="F1183">
            <v>22517</v>
          </cell>
          <cell r="G1183" t="str">
            <v>1</v>
          </cell>
          <cell r="H1183" t="str">
            <v>KHOURIBGA</v>
          </cell>
          <cell r="I1183" t="str">
            <v>F</v>
          </cell>
          <cell r="J1183">
            <v>31246</v>
          </cell>
          <cell r="K1183">
            <v>31260</v>
          </cell>
          <cell r="L1183" t="str">
            <v>31</v>
          </cell>
          <cell r="M1183" t="str">
            <v>B</v>
          </cell>
          <cell r="N1183">
            <v>35612</v>
          </cell>
          <cell r="P1183">
            <v>17</v>
          </cell>
          <cell r="Q1183" t="str">
            <v>N</v>
          </cell>
          <cell r="R1183" t="str">
            <v>N</v>
          </cell>
          <cell r="S1183">
            <v>0</v>
          </cell>
          <cell r="T1183" t="str">
            <v>M</v>
          </cell>
          <cell r="U1183" t="str">
            <v>NOUKAIRI WARDIA</v>
          </cell>
          <cell r="X1183">
            <v>3</v>
          </cell>
          <cell r="Y1183">
            <v>3</v>
          </cell>
          <cell r="AB1183" t="str">
            <v>X</v>
          </cell>
          <cell r="AC1183" t="str">
            <v>X</v>
          </cell>
          <cell r="AD1183" t="str">
            <v>X</v>
          </cell>
          <cell r="AH1183" t="str">
            <v>N</v>
          </cell>
          <cell r="AI1183" t="str">
            <v>N</v>
          </cell>
          <cell r="AK1183" t="str">
            <v>20 RUE BENI SMIR DB OULED AROUI - KHGA</v>
          </cell>
          <cell r="AL1183" t="str">
            <v>4AS</v>
          </cell>
          <cell r="AM1183" t="str">
            <v>CQP.CFO</v>
          </cell>
          <cell r="AP1183" t="str">
            <v>Q 98609</v>
          </cell>
          <cell r="AQ1183">
            <v>0</v>
          </cell>
          <cell r="AR1183" t="str">
            <v>B</v>
          </cell>
          <cell r="AS1183" t="str">
            <v>BMCE.KHGA</v>
          </cell>
          <cell r="AT1183" t="str">
            <v>40001200000610284</v>
          </cell>
          <cell r="AU1183" t="str">
            <v>/  /</v>
          </cell>
          <cell r="AW1183">
            <v>42899</v>
          </cell>
          <cell r="AX1183">
            <v>42899</v>
          </cell>
          <cell r="AY1183" t="str">
            <v>XX</v>
          </cell>
          <cell r="BA1183" t="str">
            <v>2</v>
          </cell>
          <cell r="BB1183">
            <v>0</v>
          </cell>
          <cell r="BD1183">
            <v>0</v>
          </cell>
          <cell r="BE1183" t="str">
            <v>M</v>
          </cell>
          <cell r="BF1183" t="str">
            <v>N</v>
          </cell>
          <cell r="BG1183">
            <v>0</v>
          </cell>
          <cell r="BH1183">
            <v>40909</v>
          </cell>
        </row>
        <row r="1184">
          <cell r="A1184">
            <v>74208</v>
          </cell>
          <cell r="B1184">
            <v>409</v>
          </cell>
          <cell r="C1184" t="str">
            <v>C6017</v>
          </cell>
          <cell r="D1184" t="str">
            <v>LILIF</v>
          </cell>
          <cell r="E1184" t="str">
            <v>ABDERRAHMANE</v>
          </cell>
          <cell r="F1184">
            <v>21958</v>
          </cell>
          <cell r="G1184" t="str">
            <v>1</v>
          </cell>
          <cell r="H1184" t="str">
            <v>KHOURIBGA</v>
          </cell>
          <cell r="I1184" t="str">
            <v>F</v>
          </cell>
          <cell r="J1184">
            <v>31246</v>
          </cell>
          <cell r="K1184">
            <v>36526</v>
          </cell>
          <cell r="L1184" t="str">
            <v>32</v>
          </cell>
          <cell r="M1184" t="str">
            <v>A</v>
          </cell>
          <cell r="N1184">
            <v>36526</v>
          </cell>
          <cell r="O1184">
            <v>0</v>
          </cell>
          <cell r="P1184">
            <v>17</v>
          </cell>
          <cell r="Q1184" t="str">
            <v>O</v>
          </cell>
          <cell r="R1184" t="str">
            <v>N</v>
          </cell>
          <cell r="S1184">
            <v>0</v>
          </cell>
          <cell r="T1184" t="str">
            <v>M</v>
          </cell>
          <cell r="U1184" t="str">
            <v>ABBASSI AICHA BT EL MAATI</v>
          </cell>
          <cell r="X1184">
            <v>3</v>
          </cell>
          <cell r="Y1184">
            <v>3</v>
          </cell>
          <cell r="AB1184" t="str">
            <v>X</v>
          </cell>
          <cell r="AC1184" t="str">
            <v>X</v>
          </cell>
          <cell r="AD1184" t="str">
            <v>X</v>
          </cell>
          <cell r="AH1184" t="str">
            <v>N</v>
          </cell>
          <cell r="AI1184" t="str">
            <v>N</v>
          </cell>
          <cell r="AK1184" t="str">
            <v>148 NOUVELLE EXTENSION OCP - KHOURIBGA</v>
          </cell>
          <cell r="AL1184" t="str">
            <v>5AS</v>
          </cell>
          <cell r="AM1184" t="str">
            <v>CES.CQP.CFO</v>
          </cell>
          <cell r="AP1184" t="str">
            <v>Q 71660</v>
          </cell>
          <cell r="AQ1184">
            <v>0</v>
          </cell>
          <cell r="AR1184" t="str">
            <v>B</v>
          </cell>
          <cell r="AS1184" t="str">
            <v>BMCE-KHOURIBGA</v>
          </cell>
          <cell r="AT1184" t="str">
            <v>400012000001100522</v>
          </cell>
          <cell r="AU1184" t="str">
            <v>/  /</v>
          </cell>
          <cell r="AW1184">
            <v>40909</v>
          </cell>
          <cell r="AY1184" t="str">
            <v>XX</v>
          </cell>
          <cell r="BA1184" t="str">
            <v>2</v>
          </cell>
          <cell r="BB1184">
            <v>1</v>
          </cell>
          <cell r="BC1184" t="str">
            <v>O</v>
          </cell>
          <cell r="BD1184">
            <v>4</v>
          </cell>
          <cell r="BE1184" t="str">
            <v>M</v>
          </cell>
          <cell r="BF1184" t="str">
            <v>N</v>
          </cell>
          <cell r="BG1184">
            <v>1</v>
          </cell>
          <cell r="BH1184">
            <v>40909</v>
          </cell>
        </row>
        <row r="1185">
          <cell r="A1185">
            <v>74210</v>
          </cell>
          <cell r="B1185">
            <v>421</v>
          </cell>
          <cell r="C1185" t="str">
            <v>C5017</v>
          </cell>
          <cell r="D1185" t="str">
            <v>EL HAZMIRI</v>
          </cell>
          <cell r="E1185" t="str">
            <v>EL MATI</v>
          </cell>
          <cell r="F1185">
            <v>19540</v>
          </cell>
          <cell r="G1185" t="str">
            <v>1</v>
          </cell>
          <cell r="H1185" t="str">
            <v>OULED BHAR KBAR KHOURIBGA</v>
          </cell>
          <cell r="I1185" t="str">
            <v>F</v>
          </cell>
          <cell r="J1185">
            <v>31246</v>
          </cell>
          <cell r="K1185">
            <v>31260</v>
          </cell>
          <cell r="L1185" t="str">
            <v>31</v>
          </cell>
          <cell r="M1185" t="str">
            <v>A</v>
          </cell>
          <cell r="N1185">
            <v>31260</v>
          </cell>
          <cell r="P1185">
            <v>17</v>
          </cell>
          <cell r="Q1185" t="str">
            <v>O</v>
          </cell>
          <cell r="R1185" t="str">
            <v>N</v>
          </cell>
          <cell r="S1185">
            <v>0</v>
          </cell>
          <cell r="T1185" t="str">
            <v>M</v>
          </cell>
          <cell r="U1185" t="str">
            <v>NAJIA BENT HADJ AHMED</v>
          </cell>
          <cell r="X1185">
            <v>6</v>
          </cell>
          <cell r="Y1185">
            <v>4</v>
          </cell>
          <cell r="AB1185" t="str">
            <v>X</v>
          </cell>
          <cell r="AC1185" t="str">
            <v>X</v>
          </cell>
          <cell r="AD1185" t="str">
            <v>X</v>
          </cell>
          <cell r="AH1185" t="str">
            <v>N</v>
          </cell>
          <cell r="AI1185" t="str">
            <v>N</v>
          </cell>
          <cell r="AK1185" t="str">
            <v>158 LOTISSEMNT OUED EDDAHAB  - OUED ZEM</v>
          </cell>
          <cell r="AL1185" t="str">
            <v>5AS</v>
          </cell>
          <cell r="AM1185" t="str">
            <v>CQP CFO</v>
          </cell>
          <cell r="AP1185" t="str">
            <v>Q 17210</v>
          </cell>
          <cell r="AQ1185">
            <v>0</v>
          </cell>
          <cell r="AR1185" t="str">
            <v>B</v>
          </cell>
          <cell r="AS1185" t="str">
            <v>BMCI.OUED ZEM</v>
          </cell>
          <cell r="AT1185" t="str">
            <v>0252194441930100001</v>
          </cell>
          <cell r="AU1185" t="str">
            <v>/  /</v>
          </cell>
          <cell r="AW1185">
            <v>39630</v>
          </cell>
          <cell r="AY1185" t="str">
            <v>XX</v>
          </cell>
          <cell r="BA1185" t="str">
            <v>2</v>
          </cell>
          <cell r="BB1185">
            <v>1</v>
          </cell>
          <cell r="BD1185">
            <v>0</v>
          </cell>
          <cell r="BE1185" t="str">
            <v>M</v>
          </cell>
          <cell r="BF1185" t="str">
            <v>N</v>
          </cell>
          <cell r="BG1185">
            <v>30</v>
          </cell>
          <cell r="BH1185">
            <v>39630</v>
          </cell>
        </row>
        <row r="1186">
          <cell r="A1186">
            <v>74211</v>
          </cell>
          <cell r="B1186">
            <v>409</v>
          </cell>
          <cell r="C1186" t="str">
            <v>C6017</v>
          </cell>
          <cell r="D1186" t="str">
            <v>EL HAIJ</v>
          </cell>
          <cell r="E1186" t="str">
            <v>EL MOSTAFA</v>
          </cell>
          <cell r="F1186">
            <v>22737</v>
          </cell>
          <cell r="G1186" t="str">
            <v>1</v>
          </cell>
          <cell r="H1186" t="str">
            <v>OULED BHAR KBAR KHOURIBGA</v>
          </cell>
          <cell r="I1186" t="str">
            <v>F</v>
          </cell>
          <cell r="J1186">
            <v>31246</v>
          </cell>
          <cell r="K1186">
            <v>35065</v>
          </cell>
          <cell r="L1186" t="str">
            <v>32</v>
          </cell>
          <cell r="M1186" t="str">
            <v>A</v>
          </cell>
          <cell r="N1186">
            <v>35065</v>
          </cell>
          <cell r="P1186">
            <v>17</v>
          </cell>
          <cell r="Q1186" t="str">
            <v>O</v>
          </cell>
          <cell r="R1186" t="str">
            <v>N</v>
          </cell>
          <cell r="S1186">
            <v>0</v>
          </cell>
          <cell r="T1186" t="str">
            <v>C</v>
          </cell>
          <cell r="X1186">
            <v>0</v>
          </cell>
          <cell r="Y1186">
            <v>0</v>
          </cell>
          <cell r="AB1186" t="str">
            <v>X</v>
          </cell>
          <cell r="AC1186" t="str">
            <v>X</v>
          </cell>
          <cell r="AD1186" t="str">
            <v>X</v>
          </cell>
          <cell r="AH1186" t="str">
            <v>N</v>
          </cell>
          <cell r="AI1186" t="str">
            <v>N</v>
          </cell>
          <cell r="AK1186" t="str">
            <v>58 RUE LAAYOUNE BLOC G NAHDA KHOURIBGA</v>
          </cell>
          <cell r="AL1186" t="str">
            <v>4AS</v>
          </cell>
          <cell r="AM1186" t="str">
            <v>CQP.CFO</v>
          </cell>
          <cell r="AN1186" t="str">
            <v>56═67═04</v>
          </cell>
          <cell r="AP1186" t="str">
            <v>Q 89557</v>
          </cell>
          <cell r="AQ1186">
            <v>0</v>
          </cell>
          <cell r="AR1186" t="str">
            <v>B</v>
          </cell>
          <cell r="AS1186" t="str">
            <v>CRED MAROC KHGA</v>
          </cell>
          <cell r="AT1186" t="str">
            <v>820010025493</v>
          </cell>
          <cell r="AU1186" t="str">
            <v>/  /</v>
          </cell>
          <cell r="AW1186">
            <v>41091</v>
          </cell>
          <cell r="AY1186" t="str">
            <v>XX</v>
          </cell>
          <cell r="BA1186" t="str">
            <v>2</v>
          </cell>
          <cell r="BB1186">
            <v>0</v>
          </cell>
          <cell r="BD1186">
            <v>0</v>
          </cell>
          <cell r="BE1186" t="str">
            <v>M</v>
          </cell>
          <cell r="BF1186" t="str">
            <v>N</v>
          </cell>
          <cell r="BG1186">
            <v>1</v>
          </cell>
          <cell r="BH1186">
            <v>41091</v>
          </cell>
        </row>
        <row r="1187">
          <cell r="A1187">
            <v>74213</v>
          </cell>
          <cell r="B1187">
            <v>419</v>
          </cell>
          <cell r="C1187" t="str">
            <v>C6006</v>
          </cell>
          <cell r="D1187" t="str">
            <v>EL ALLAFI</v>
          </cell>
          <cell r="E1187" t="str">
            <v>MOHAMED</v>
          </cell>
          <cell r="F1187">
            <v>21731</v>
          </cell>
          <cell r="G1187" t="str">
            <v>1</v>
          </cell>
          <cell r="H1187" t="str">
            <v>OULED BHAR SGHAR KHOURIBGA</v>
          </cell>
          <cell r="I1187" t="str">
            <v>F</v>
          </cell>
          <cell r="J1187">
            <v>31246</v>
          </cell>
          <cell r="K1187">
            <v>36526</v>
          </cell>
          <cell r="L1187" t="str">
            <v>32</v>
          </cell>
          <cell r="M1187" t="str">
            <v>A</v>
          </cell>
          <cell r="N1187">
            <v>36526</v>
          </cell>
          <cell r="O1187">
            <v>0</v>
          </cell>
          <cell r="P1187">
            <v>17</v>
          </cell>
          <cell r="Q1187" t="str">
            <v>O</v>
          </cell>
          <cell r="R1187" t="str">
            <v>N</v>
          </cell>
          <cell r="S1187">
            <v>0</v>
          </cell>
          <cell r="T1187" t="str">
            <v>M</v>
          </cell>
          <cell r="U1187" t="str">
            <v>NAJAT BENT MOHAMED</v>
          </cell>
          <cell r="X1187">
            <v>4</v>
          </cell>
          <cell r="Y1187">
            <v>4</v>
          </cell>
          <cell r="AB1187" t="str">
            <v>X</v>
          </cell>
          <cell r="AC1187" t="str">
            <v>X</v>
          </cell>
          <cell r="AD1187" t="str">
            <v>X</v>
          </cell>
          <cell r="AH1187" t="str">
            <v>N</v>
          </cell>
          <cell r="AI1187" t="str">
            <v>N</v>
          </cell>
          <cell r="AK1187" t="str">
            <v>1002 VILLAGE O.C.P HATTANE</v>
          </cell>
          <cell r="AL1187" t="str">
            <v>5AS</v>
          </cell>
          <cell r="AM1187" t="str">
            <v>CQP.CFO</v>
          </cell>
          <cell r="AP1187" t="str">
            <v>Q 65195</v>
          </cell>
          <cell r="AQ1187">
            <v>0</v>
          </cell>
          <cell r="AR1187" t="str">
            <v>B</v>
          </cell>
          <cell r="AS1187" t="str">
            <v>CR-AGRICOLE.KHGA</v>
          </cell>
          <cell r="AT1187" t="str">
            <v>0805896Z601</v>
          </cell>
          <cell r="AU1187" t="str">
            <v>/  /</v>
          </cell>
          <cell r="AW1187">
            <v>40909</v>
          </cell>
          <cell r="AY1187" t="str">
            <v>XX</v>
          </cell>
          <cell r="BA1187" t="str">
            <v>2</v>
          </cell>
          <cell r="BB1187">
            <v>1</v>
          </cell>
          <cell r="BD1187">
            <v>0</v>
          </cell>
          <cell r="BE1187" t="str">
            <v>M</v>
          </cell>
          <cell r="BF1187" t="str">
            <v>N</v>
          </cell>
          <cell r="BG1187">
            <v>10</v>
          </cell>
          <cell r="BH1187">
            <v>40909</v>
          </cell>
        </row>
        <row r="1188">
          <cell r="A1188">
            <v>74215</v>
          </cell>
          <cell r="B1188">
            <v>412</v>
          </cell>
          <cell r="C1188" t="str">
            <v>C6006</v>
          </cell>
          <cell r="D1188" t="str">
            <v>SAMANI</v>
          </cell>
          <cell r="E1188" t="str">
            <v>ABDELHAMID</v>
          </cell>
          <cell r="F1188">
            <v>20796</v>
          </cell>
          <cell r="G1188" t="str">
            <v>2</v>
          </cell>
          <cell r="H1188" t="str">
            <v>OUED-ZEM</v>
          </cell>
          <cell r="I1188" t="str">
            <v>F</v>
          </cell>
          <cell r="J1188">
            <v>31246</v>
          </cell>
          <cell r="K1188">
            <v>35065</v>
          </cell>
          <cell r="L1188" t="str">
            <v>32</v>
          </cell>
          <cell r="M1188" t="str">
            <v>A</v>
          </cell>
          <cell r="N1188">
            <v>35065</v>
          </cell>
          <cell r="P1188">
            <v>17</v>
          </cell>
          <cell r="Q1188" t="str">
            <v>O</v>
          </cell>
          <cell r="R1188" t="str">
            <v>N</v>
          </cell>
          <cell r="S1188">
            <v>0</v>
          </cell>
          <cell r="T1188" t="str">
            <v>M</v>
          </cell>
          <cell r="U1188" t="str">
            <v>SOUAD BENT BOUAZZA</v>
          </cell>
          <cell r="X1188">
            <v>2</v>
          </cell>
          <cell r="Y1188">
            <v>2</v>
          </cell>
          <cell r="AB1188" t="str">
            <v>X</v>
          </cell>
          <cell r="AC1188" t="str">
            <v>X</v>
          </cell>
          <cell r="AD1188" t="str">
            <v>X</v>
          </cell>
          <cell r="AH1188" t="str">
            <v>N</v>
          </cell>
          <cell r="AI1188" t="str">
            <v>N</v>
          </cell>
          <cell r="AK1188" t="str">
            <v>801 VILLAGE OCP HATTANE</v>
          </cell>
          <cell r="AL1188" t="str">
            <v>6AS</v>
          </cell>
          <cell r="AM1188" t="str">
            <v>CQP.CFO</v>
          </cell>
          <cell r="AP1188" t="str">
            <v>Q 37826</v>
          </cell>
          <cell r="AQ1188">
            <v>0</v>
          </cell>
          <cell r="AR1188" t="str">
            <v>C</v>
          </cell>
          <cell r="AU1188" t="str">
            <v>/  /</v>
          </cell>
          <cell r="AW1188">
            <v>40909</v>
          </cell>
          <cell r="AY1188" t="str">
            <v>XX</v>
          </cell>
          <cell r="BA1188" t="str">
            <v>6</v>
          </cell>
          <cell r="BB1188">
            <v>1</v>
          </cell>
          <cell r="BD1188">
            <v>0</v>
          </cell>
          <cell r="BE1188" t="str">
            <v>M</v>
          </cell>
          <cell r="BF1188" t="str">
            <v>N</v>
          </cell>
          <cell r="BG1188">
            <v>10</v>
          </cell>
          <cell r="BH1188">
            <v>40909</v>
          </cell>
        </row>
        <row r="1189">
          <cell r="A1189">
            <v>74281</v>
          </cell>
          <cell r="B1189">
            <v>421</v>
          </cell>
          <cell r="C1189" t="str">
            <v>C3020</v>
          </cell>
          <cell r="D1189" t="str">
            <v>CHOUKRI</v>
          </cell>
          <cell r="E1189" t="str">
            <v>EL HOUSSINE</v>
          </cell>
          <cell r="F1189">
            <v>21001</v>
          </cell>
          <cell r="G1189" t="str">
            <v>1</v>
          </cell>
          <cell r="H1189" t="str">
            <v>OULED ABDOUNE</v>
          </cell>
          <cell r="I1189" t="str">
            <v>D</v>
          </cell>
          <cell r="J1189">
            <v>31290</v>
          </cell>
          <cell r="K1189">
            <v>33482</v>
          </cell>
          <cell r="L1189" t="str">
            <v>21</v>
          </cell>
          <cell r="M1189" t="str">
            <v>A</v>
          </cell>
          <cell r="N1189">
            <v>35370</v>
          </cell>
          <cell r="P1189">
            <v>17</v>
          </cell>
          <cell r="Q1189" t="str">
            <v>O</v>
          </cell>
          <cell r="R1189" t="str">
            <v>N</v>
          </cell>
          <cell r="S1189">
            <v>0</v>
          </cell>
          <cell r="T1189" t="str">
            <v>M</v>
          </cell>
          <cell r="U1189" t="str">
            <v>NAIMA BENT BOUBKER</v>
          </cell>
          <cell r="X1189">
            <v>5</v>
          </cell>
          <cell r="Y1189">
            <v>5</v>
          </cell>
          <cell r="AB1189" t="str">
            <v>X</v>
          </cell>
          <cell r="AC1189" t="str">
            <v>X</v>
          </cell>
          <cell r="AD1189" t="str">
            <v>X</v>
          </cell>
          <cell r="AH1189" t="str">
            <v>N</v>
          </cell>
          <cell r="AI1189" t="str">
            <v>N</v>
          </cell>
          <cell r="AK1189" t="str">
            <v>18 NELLE MEDINA DE SECHAGE KHOURIBGA</v>
          </cell>
          <cell r="AL1189" t="str">
            <v>ILLETTRE</v>
          </cell>
          <cell r="AP1189" t="str">
            <v>Q 51570</v>
          </cell>
          <cell r="AQ1189">
            <v>0</v>
          </cell>
          <cell r="AR1189" t="str">
            <v>C</v>
          </cell>
          <cell r="AU1189" t="str">
            <v>/  /</v>
          </cell>
          <cell r="AW1189">
            <v>40909</v>
          </cell>
          <cell r="AY1189" t="str">
            <v>O+</v>
          </cell>
          <cell r="BA1189" t="str">
            <v>0</v>
          </cell>
          <cell r="BB1189">
            <v>1</v>
          </cell>
          <cell r="BD1189">
            <v>0</v>
          </cell>
          <cell r="BE1189" t="str">
            <v>M</v>
          </cell>
          <cell r="BF1189" t="str">
            <v>N</v>
          </cell>
          <cell r="BG1189">
            <v>1</v>
          </cell>
          <cell r="BH1189">
            <v>41091</v>
          </cell>
        </row>
        <row r="1190">
          <cell r="A1190">
            <v>74290</v>
          </cell>
          <cell r="B1190">
            <v>466</v>
          </cell>
          <cell r="C1190" t="str">
            <v>C2050</v>
          </cell>
          <cell r="D1190" t="str">
            <v>MOUISSI</v>
          </cell>
          <cell r="E1190" t="str">
            <v>MOHAMMED</v>
          </cell>
          <cell r="F1190">
            <v>21563</v>
          </cell>
          <cell r="G1190" t="str">
            <v>3</v>
          </cell>
          <cell r="H1190" t="str">
            <v>BOUJNIBA</v>
          </cell>
          <cell r="I1190" t="str">
            <v>D</v>
          </cell>
          <cell r="J1190">
            <v>31297</v>
          </cell>
          <cell r="K1190">
            <v>31898</v>
          </cell>
          <cell r="L1190" t="str">
            <v>12</v>
          </cell>
          <cell r="M1190" t="str">
            <v>B</v>
          </cell>
          <cell r="N1190">
            <v>35704</v>
          </cell>
          <cell r="P1190">
            <v>17</v>
          </cell>
          <cell r="Q1190" t="str">
            <v>O</v>
          </cell>
          <cell r="R1190" t="str">
            <v>N</v>
          </cell>
          <cell r="S1190">
            <v>0</v>
          </cell>
          <cell r="T1190" t="str">
            <v>M</v>
          </cell>
          <cell r="U1190" t="str">
            <v>CHEFOUI KHADDOUJ BENT KHALIFA</v>
          </cell>
          <cell r="X1190">
            <v>3</v>
          </cell>
          <cell r="Y1190">
            <v>3</v>
          </cell>
          <cell r="AB1190" t="str">
            <v>X</v>
          </cell>
          <cell r="AC1190" t="str">
            <v>X</v>
          </cell>
          <cell r="AD1190" t="str">
            <v>X</v>
          </cell>
          <cell r="AH1190" t="str">
            <v>N</v>
          </cell>
          <cell r="AI1190" t="str">
            <v>N</v>
          </cell>
          <cell r="AK1190" t="str">
            <v>489,NELLE CONSTRUCTION OCP BOUJNIBA</v>
          </cell>
          <cell r="AL1190" t="str">
            <v>CM2</v>
          </cell>
          <cell r="AP1190" t="str">
            <v>Q 81963</v>
          </cell>
          <cell r="AQ1190">
            <v>0</v>
          </cell>
          <cell r="AR1190" t="str">
            <v>C</v>
          </cell>
          <cell r="AU1190" t="str">
            <v>/  /</v>
          </cell>
          <cell r="AW1190">
            <v>40909</v>
          </cell>
          <cell r="AY1190" t="str">
            <v>XX</v>
          </cell>
          <cell r="BA1190" t="str">
            <v>2</v>
          </cell>
          <cell r="BB1190">
            <v>1</v>
          </cell>
          <cell r="BD1190">
            <v>0</v>
          </cell>
          <cell r="BE1190" t="str">
            <v>M</v>
          </cell>
          <cell r="BF1190" t="str">
            <v>N</v>
          </cell>
          <cell r="BG1190">
            <v>51</v>
          </cell>
          <cell r="BH1190">
            <v>41091</v>
          </cell>
        </row>
        <row r="1191">
          <cell r="A1191">
            <v>74291</v>
          </cell>
          <cell r="B1191">
            <v>466</v>
          </cell>
          <cell r="C1191" t="str">
            <v>C4050</v>
          </cell>
          <cell r="D1191" t="str">
            <v>GASSIM</v>
          </cell>
          <cell r="E1191" t="str">
            <v>LAHCEN</v>
          </cell>
          <cell r="F1191">
            <v>22381</v>
          </cell>
          <cell r="G1191" t="str">
            <v>2</v>
          </cell>
          <cell r="H1191" t="str">
            <v>OUED-ZEM</v>
          </cell>
          <cell r="I1191" t="str">
            <v>D</v>
          </cell>
          <cell r="J1191">
            <v>31297</v>
          </cell>
          <cell r="K1191">
            <v>36526</v>
          </cell>
          <cell r="L1191" t="str">
            <v>22</v>
          </cell>
          <cell r="M1191" t="str">
            <v>A</v>
          </cell>
          <cell r="N1191">
            <v>36526</v>
          </cell>
          <cell r="P1191">
            <v>17</v>
          </cell>
          <cell r="Q1191" t="str">
            <v>O</v>
          </cell>
          <cell r="R1191" t="str">
            <v>N</v>
          </cell>
          <cell r="S1191">
            <v>0</v>
          </cell>
          <cell r="T1191" t="str">
            <v>M</v>
          </cell>
          <cell r="U1191" t="str">
            <v>AZIZA BENT MAATI</v>
          </cell>
          <cell r="X1191">
            <v>2</v>
          </cell>
          <cell r="Y1191">
            <v>2</v>
          </cell>
          <cell r="Z1191" t="str">
            <v>N</v>
          </cell>
          <cell r="AB1191" t="str">
            <v>X</v>
          </cell>
          <cell r="AC1191" t="str">
            <v>X</v>
          </cell>
          <cell r="AD1191" t="str">
            <v>X</v>
          </cell>
          <cell r="AH1191" t="str">
            <v>N</v>
          </cell>
          <cell r="AI1191" t="str">
            <v>N</v>
          </cell>
          <cell r="AK1191" t="str">
            <v>133, VILLAGE OCP BOUJNIBA</v>
          </cell>
          <cell r="AL1191" t="str">
            <v>3AS</v>
          </cell>
          <cell r="AP1191" t="str">
            <v>Q 58579</v>
          </cell>
          <cell r="AQ1191">
            <v>0</v>
          </cell>
          <cell r="AR1191" t="str">
            <v>B</v>
          </cell>
          <cell r="AS1191" t="str">
            <v>POPULAIRE O.ZEM</v>
          </cell>
          <cell r="AT1191" t="str">
            <v>2111113070490001</v>
          </cell>
          <cell r="AU1191" t="str">
            <v>/  /</v>
          </cell>
          <cell r="AW1191">
            <v>40909</v>
          </cell>
          <cell r="AY1191" t="str">
            <v>XX</v>
          </cell>
          <cell r="AZ1191" t="str">
            <v>K</v>
          </cell>
          <cell r="BA1191" t="str">
            <v>2</v>
          </cell>
          <cell r="BB1191">
            <v>1</v>
          </cell>
          <cell r="BD1191">
            <v>0</v>
          </cell>
          <cell r="BE1191" t="str">
            <v>M</v>
          </cell>
          <cell r="BF1191" t="str">
            <v>N</v>
          </cell>
          <cell r="BG1191">
            <v>51</v>
          </cell>
          <cell r="BH1191">
            <v>41091</v>
          </cell>
        </row>
        <row r="1192">
          <cell r="A1192">
            <v>74293</v>
          </cell>
          <cell r="B1192">
            <v>411</v>
          </cell>
          <cell r="C1192" t="str">
            <v>C3020</v>
          </cell>
          <cell r="D1192" t="str">
            <v>MENNAA</v>
          </cell>
          <cell r="E1192" t="str">
            <v>ABDERRAHIM</v>
          </cell>
          <cell r="F1192">
            <v>21624</v>
          </cell>
          <cell r="G1192" t="str">
            <v>1</v>
          </cell>
          <cell r="H1192" t="str">
            <v>KHOURIBGA</v>
          </cell>
          <cell r="I1192" t="str">
            <v>D</v>
          </cell>
          <cell r="J1192">
            <v>31297</v>
          </cell>
          <cell r="K1192">
            <v>33420</v>
          </cell>
          <cell r="L1192" t="str">
            <v>21</v>
          </cell>
          <cell r="M1192" t="str">
            <v>B</v>
          </cell>
          <cell r="N1192">
            <v>35612</v>
          </cell>
          <cell r="P1192">
            <v>17</v>
          </cell>
          <cell r="Q1192" t="str">
            <v>O</v>
          </cell>
          <cell r="R1192" t="str">
            <v>N</v>
          </cell>
          <cell r="S1192">
            <v>0</v>
          </cell>
          <cell r="T1192" t="str">
            <v>M</v>
          </cell>
          <cell r="U1192" t="str">
            <v>DRIFA BENT OMAR</v>
          </cell>
          <cell r="X1192">
            <v>3</v>
          </cell>
          <cell r="Y1192">
            <v>3</v>
          </cell>
          <cell r="AB1192" t="str">
            <v>X</v>
          </cell>
          <cell r="AC1192" t="str">
            <v>X</v>
          </cell>
          <cell r="AD1192" t="str">
            <v>X</v>
          </cell>
          <cell r="AH1192" t="str">
            <v>N</v>
          </cell>
          <cell r="AI1192" t="str">
            <v>N</v>
          </cell>
          <cell r="AK1192" t="str">
            <v>65 RUE 3 DERB OULD SI BOUABID KHOURIBGA</v>
          </cell>
          <cell r="AL1192" t="str">
            <v>CM2</v>
          </cell>
          <cell r="AP1192" t="str">
            <v>Q 47525</v>
          </cell>
          <cell r="AQ1192">
            <v>0</v>
          </cell>
          <cell r="AR1192" t="str">
            <v>B</v>
          </cell>
          <cell r="AS1192" t="str">
            <v>POPULAIRE-KHGA</v>
          </cell>
          <cell r="AT1192" t="str">
            <v>11113630871000706</v>
          </cell>
          <cell r="AU1192" t="str">
            <v>/  /</v>
          </cell>
          <cell r="AW1192">
            <v>40909</v>
          </cell>
          <cell r="AY1192" t="str">
            <v>XX</v>
          </cell>
          <cell r="BA1192" t="str">
            <v>0</v>
          </cell>
          <cell r="BB1192">
            <v>1</v>
          </cell>
          <cell r="BD1192">
            <v>0</v>
          </cell>
          <cell r="BE1192" t="str">
            <v>M</v>
          </cell>
          <cell r="BF1192" t="str">
            <v>N</v>
          </cell>
          <cell r="BG1192">
            <v>1</v>
          </cell>
          <cell r="BH1192">
            <v>41091</v>
          </cell>
          <cell r="BI1192" t="str">
            <v>O</v>
          </cell>
        </row>
        <row r="1193">
          <cell r="A1193">
            <v>74345</v>
          </cell>
          <cell r="B1193">
            <v>426</v>
          </cell>
          <cell r="C1193" t="str">
            <v>C3050</v>
          </cell>
          <cell r="D1193" t="str">
            <v>ABLA</v>
          </cell>
          <cell r="E1193" t="str">
            <v>MAATI</v>
          </cell>
          <cell r="F1193">
            <v>18444</v>
          </cell>
          <cell r="G1193" t="str">
            <v>2</v>
          </cell>
          <cell r="H1193" t="str">
            <v>SMAALA</v>
          </cell>
          <cell r="I1193" t="str">
            <v>D</v>
          </cell>
          <cell r="J1193">
            <v>30042</v>
          </cell>
          <cell r="K1193">
            <v>37377</v>
          </cell>
          <cell r="L1193" t="str">
            <v>21</v>
          </cell>
          <cell r="M1193" t="str">
            <v>A</v>
          </cell>
          <cell r="N1193">
            <v>37377</v>
          </cell>
          <cell r="P1193">
            <v>21</v>
          </cell>
          <cell r="Q1193" t="str">
            <v>O</v>
          </cell>
          <cell r="R1193" t="str">
            <v>N</v>
          </cell>
          <cell r="S1193">
            <v>0</v>
          </cell>
          <cell r="T1193" t="str">
            <v>M</v>
          </cell>
          <cell r="U1193" t="str">
            <v>MAHJOUBA BT LEBSIR</v>
          </cell>
          <cell r="X1193">
            <v>10</v>
          </cell>
          <cell r="Y1193">
            <v>6</v>
          </cell>
          <cell r="AB1193" t="str">
            <v>X</v>
          </cell>
          <cell r="AC1193" t="str">
            <v>X</v>
          </cell>
          <cell r="AD1193" t="str">
            <v>X</v>
          </cell>
          <cell r="AH1193" t="str">
            <v>N</v>
          </cell>
          <cell r="AI1193" t="str">
            <v>N</v>
          </cell>
          <cell r="AK1193" t="str">
            <v>111 VILLAGE O.C.P - BOUJNIBA</v>
          </cell>
          <cell r="AL1193" t="str">
            <v>ILLETTRE</v>
          </cell>
          <cell r="AP1193" t="str">
            <v>Q 21287</v>
          </cell>
          <cell r="AQ1193">
            <v>0</v>
          </cell>
          <cell r="AR1193" t="str">
            <v>B</v>
          </cell>
          <cell r="AS1193" t="str">
            <v>BMCE - OUED ZEM</v>
          </cell>
          <cell r="AT1193" t="str">
            <v>4110001200000663334</v>
          </cell>
          <cell r="AU1193" t="str">
            <v>/  /</v>
          </cell>
          <cell r="AW1193">
            <v>38534</v>
          </cell>
          <cell r="AY1193" t="str">
            <v>XX</v>
          </cell>
          <cell r="BA1193" t="str">
            <v>2</v>
          </cell>
          <cell r="BB1193">
            <v>1</v>
          </cell>
          <cell r="BD1193">
            <v>0</v>
          </cell>
          <cell r="BE1193" t="str">
            <v>M</v>
          </cell>
          <cell r="BF1193" t="str">
            <v>N</v>
          </cell>
          <cell r="BG1193">
            <v>52</v>
          </cell>
          <cell r="BH1193">
            <v>38534</v>
          </cell>
        </row>
        <row r="1194">
          <cell r="A1194">
            <v>74366</v>
          </cell>
          <cell r="B1194">
            <v>418</v>
          </cell>
          <cell r="C1194" t="str">
            <v>C3050</v>
          </cell>
          <cell r="D1194" t="str">
            <v>ECH-CHYQUER</v>
          </cell>
          <cell r="E1194" t="str">
            <v>MOHAMED</v>
          </cell>
          <cell r="F1194">
            <v>22462</v>
          </cell>
          <cell r="H1194" t="str">
            <v>DOUIRANE - MARRAKECH</v>
          </cell>
          <cell r="I1194" t="str">
            <v>D</v>
          </cell>
          <cell r="J1194">
            <v>31460</v>
          </cell>
          <cell r="K1194">
            <v>37012</v>
          </cell>
          <cell r="L1194" t="str">
            <v>21</v>
          </cell>
          <cell r="M1194" t="str">
            <v>A</v>
          </cell>
          <cell r="N1194">
            <v>37012</v>
          </cell>
          <cell r="P1194">
            <v>18</v>
          </cell>
          <cell r="Q1194" t="str">
            <v>O</v>
          </cell>
          <cell r="R1194" t="str">
            <v>N</v>
          </cell>
          <cell r="S1194">
            <v>0</v>
          </cell>
          <cell r="T1194" t="str">
            <v>M</v>
          </cell>
          <cell r="U1194" t="str">
            <v>AICHA BENT LAHSEN</v>
          </cell>
          <cell r="X1194">
            <v>0</v>
          </cell>
          <cell r="Y1194">
            <v>0</v>
          </cell>
          <cell r="AB1194" t="str">
            <v>X</v>
          </cell>
          <cell r="AC1194" t="str">
            <v>X</v>
          </cell>
          <cell r="AD1194" t="str">
            <v>X</v>
          </cell>
          <cell r="AH1194" t="str">
            <v>N</v>
          </cell>
          <cell r="AI1194" t="str">
            <v>N</v>
          </cell>
          <cell r="AK1194" t="str">
            <v>434 NELLE MEDINA DE SECHAGE OCP KHGA</v>
          </cell>
          <cell r="AL1194" t="str">
            <v>CM2</v>
          </cell>
          <cell r="AP1194" t="str">
            <v>EB 3185</v>
          </cell>
          <cell r="AQ1194">
            <v>0</v>
          </cell>
          <cell r="AR1194" t="str">
            <v>B</v>
          </cell>
          <cell r="AS1194" t="str">
            <v>POPULAIRE.KHGA</v>
          </cell>
          <cell r="AT1194" t="str">
            <v>211115648817000482</v>
          </cell>
          <cell r="AU1194" t="str">
            <v>/  /</v>
          </cell>
          <cell r="AW1194">
            <v>41091</v>
          </cell>
          <cell r="AY1194" t="str">
            <v>XX</v>
          </cell>
          <cell r="BA1194" t="str">
            <v>2</v>
          </cell>
          <cell r="BB1194">
            <v>1</v>
          </cell>
          <cell r="BD1194">
            <v>0</v>
          </cell>
          <cell r="BE1194" t="str">
            <v>M</v>
          </cell>
          <cell r="BF1194" t="str">
            <v>N</v>
          </cell>
          <cell r="BG1194">
            <v>1</v>
          </cell>
          <cell r="BH1194">
            <v>41091</v>
          </cell>
        </row>
        <row r="1195">
          <cell r="A1195">
            <v>74388</v>
          </cell>
          <cell r="B1195">
            <v>461</v>
          </cell>
          <cell r="C1195" t="str">
            <v>C6017</v>
          </cell>
          <cell r="D1195" t="str">
            <v>BELBSIR</v>
          </cell>
          <cell r="E1195" t="str">
            <v>BELGACEM</v>
          </cell>
          <cell r="F1195">
            <v>21001</v>
          </cell>
          <cell r="G1195" t="str">
            <v>1</v>
          </cell>
          <cell r="H1195" t="str">
            <v>OULED BHAR KBAR KHOURIBGA</v>
          </cell>
          <cell r="I1195" t="str">
            <v>F</v>
          </cell>
          <cell r="J1195">
            <v>29056</v>
          </cell>
          <cell r="K1195">
            <v>35065</v>
          </cell>
          <cell r="L1195" t="str">
            <v>32</v>
          </cell>
          <cell r="M1195" t="str">
            <v>B</v>
          </cell>
          <cell r="N1195">
            <v>35065</v>
          </cell>
          <cell r="P1195">
            <v>23</v>
          </cell>
          <cell r="Q1195" t="str">
            <v>O</v>
          </cell>
          <cell r="R1195" t="str">
            <v>N</v>
          </cell>
          <cell r="S1195">
            <v>0</v>
          </cell>
          <cell r="T1195" t="str">
            <v>M</v>
          </cell>
          <cell r="U1195" t="str">
            <v>BELBSIR KHADDOUJ BT HAJ LEBSIR</v>
          </cell>
          <cell r="X1195">
            <v>4</v>
          </cell>
          <cell r="Y1195">
            <v>4</v>
          </cell>
          <cell r="AB1195" t="str">
            <v>X</v>
          </cell>
          <cell r="AC1195" t="str">
            <v>X</v>
          </cell>
          <cell r="AD1195" t="str">
            <v>X</v>
          </cell>
          <cell r="AH1195" t="str">
            <v>N</v>
          </cell>
          <cell r="AI1195" t="str">
            <v>N</v>
          </cell>
          <cell r="AK1195" t="str">
            <v>55,RUE DES ECOLES OUED ZEM</v>
          </cell>
          <cell r="AL1195" t="str">
            <v>4AS</v>
          </cell>
          <cell r="AM1195" t="str">
            <v>CQP.CFO</v>
          </cell>
          <cell r="AP1195" t="str">
            <v>Q 19119</v>
          </cell>
          <cell r="AQ1195">
            <v>0</v>
          </cell>
          <cell r="AR1195" t="str">
            <v>B</v>
          </cell>
          <cell r="AS1195" t="str">
            <v>B.M.C.E  O.ZEM</v>
          </cell>
          <cell r="AT1195" t="str">
            <v>41101200000361276</v>
          </cell>
          <cell r="AU1195" t="str">
            <v>/  /</v>
          </cell>
          <cell r="AW1195">
            <v>39264</v>
          </cell>
          <cell r="AY1195" t="str">
            <v>XX</v>
          </cell>
          <cell r="BA1195" t="str">
            <v>2</v>
          </cell>
          <cell r="BB1195">
            <v>1</v>
          </cell>
          <cell r="BD1195">
            <v>0</v>
          </cell>
          <cell r="BE1195" t="str">
            <v>M</v>
          </cell>
          <cell r="BF1195" t="str">
            <v>N</v>
          </cell>
          <cell r="BG1195">
            <v>31</v>
          </cell>
          <cell r="BH1195">
            <v>39264</v>
          </cell>
        </row>
        <row r="1196">
          <cell r="A1196">
            <v>74404</v>
          </cell>
          <cell r="B1196">
            <v>437</v>
          </cell>
          <cell r="C1196" t="str">
            <v>C5450</v>
          </cell>
          <cell r="D1196" t="str">
            <v>SAADOUNI</v>
          </cell>
          <cell r="E1196" t="str">
            <v>SAID</v>
          </cell>
          <cell r="F1196">
            <v>23875</v>
          </cell>
          <cell r="H1196" t="str">
            <v>IDAOUZADOT - TAROUDANT</v>
          </cell>
          <cell r="I1196" t="str">
            <v>D</v>
          </cell>
          <cell r="J1196">
            <v>31617</v>
          </cell>
          <cell r="K1196">
            <v>31717</v>
          </cell>
          <cell r="L1196" t="str">
            <v>31</v>
          </cell>
          <cell r="M1196" t="str">
            <v>B</v>
          </cell>
          <cell r="N1196">
            <v>35612</v>
          </cell>
          <cell r="P1196">
            <v>16</v>
          </cell>
          <cell r="Q1196" t="str">
            <v>O</v>
          </cell>
          <cell r="R1196" t="str">
            <v>N</v>
          </cell>
          <cell r="S1196">
            <v>0</v>
          </cell>
          <cell r="T1196" t="str">
            <v>M</v>
          </cell>
          <cell r="U1196" t="str">
            <v>EL FAQIRI MALIKABENT TAYEB</v>
          </cell>
          <cell r="X1196">
            <v>2</v>
          </cell>
          <cell r="Y1196">
            <v>2</v>
          </cell>
          <cell r="Z1196" t="str">
            <v>N</v>
          </cell>
          <cell r="AB1196" t="str">
            <v>X</v>
          </cell>
          <cell r="AC1196" t="str">
            <v>X</v>
          </cell>
          <cell r="AD1196" t="str">
            <v>X</v>
          </cell>
          <cell r="AH1196" t="str">
            <v>N</v>
          </cell>
          <cell r="AI1196" t="str">
            <v>N</v>
          </cell>
          <cell r="AK1196" t="str">
            <v>3 RUE 21 AOUT BLOC 10 KHOURIBGA</v>
          </cell>
          <cell r="AL1196" t="str">
            <v>1 ERE A DE FAC.</v>
          </cell>
          <cell r="AM1196" t="str">
            <v>BAC.</v>
          </cell>
          <cell r="AN1196" t="str">
            <v>56═51═70</v>
          </cell>
          <cell r="AP1196" t="str">
            <v>Q 83384</v>
          </cell>
          <cell r="AQ1196">
            <v>0</v>
          </cell>
          <cell r="AR1196" t="str">
            <v>C</v>
          </cell>
          <cell r="AU1196" t="str">
            <v>/  /</v>
          </cell>
          <cell r="AW1196">
            <v>42186</v>
          </cell>
          <cell r="AY1196" t="str">
            <v>XX</v>
          </cell>
          <cell r="BA1196" t="str">
            <v>2</v>
          </cell>
          <cell r="BB1196">
            <v>1</v>
          </cell>
          <cell r="BC1196" t="str">
            <v>O</v>
          </cell>
          <cell r="BD1196">
            <v>4</v>
          </cell>
          <cell r="BE1196" t="str">
            <v>M</v>
          </cell>
          <cell r="BF1196" t="str">
            <v>N</v>
          </cell>
          <cell r="BG1196">
            <v>5</v>
          </cell>
          <cell r="BH1196">
            <v>42186</v>
          </cell>
        </row>
        <row r="1197">
          <cell r="A1197">
            <v>74425</v>
          </cell>
          <cell r="B1197">
            <v>409</v>
          </cell>
          <cell r="C1197" t="str">
            <v>C6001</v>
          </cell>
          <cell r="D1197" t="str">
            <v>TARIQI</v>
          </cell>
          <cell r="E1197" t="str">
            <v>ABDELAZIZ</v>
          </cell>
          <cell r="F1197">
            <v>22386</v>
          </cell>
          <cell r="G1197" t="str">
            <v>1</v>
          </cell>
          <cell r="H1197" t="str">
            <v>KHOURIBGA</v>
          </cell>
          <cell r="I1197" t="str">
            <v>F</v>
          </cell>
          <cell r="J1197">
            <v>31623</v>
          </cell>
          <cell r="K1197">
            <v>36526</v>
          </cell>
          <cell r="L1197" t="str">
            <v>32</v>
          </cell>
          <cell r="M1197" t="str">
            <v>A</v>
          </cell>
          <cell r="N1197">
            <v>36526</v>
          </cell>
          <cell r="O1197">
            <v>0</v>
          </cell>
          <cell r="P1197">
            <v>16</v>
          </cell>
          <cell r="Q1197" t="str">
            <v>O</v>
          </cell>
          <cell r="R1197" t="str">
            <v>N</v>
          </cell>
          <cell r="S1197">
            <v>0</v>
          </cell>
          <cell r="T1197" t="str">
            <v>M</v>
          </cell>
          <cell r="U1197" t="str">
            <v>AICHA BT EL MAATI</v>
          </cell>
          <cell r="X1197">
            <v>4</v>
          </cell>
          <cell r="Y1197">
            <v>3</v>
          </cell>
          <cell r="AB1197" t="str">
            <v>X</v>
          </cell>
          <cell r="AC1197" t="str">
            <v>X</v>
          </cell>
          <cell r="AD1197" t="str">
            <v>X</v>
          </cell>
          <cell r="AH1197" t="str">
            <v>O</v>
          </cell>
          <cell r="AI1197" t="str">
            <v>N</v>
          </cell>
          <cell r="AK1197" t="str">
            <v>25 IMMEUBLE SOBAMA OCP - KHGA</v>
          </cell>
          <cell r="AL1197" t="str">
            <v>5AS</v>
          </cell>
          <cell r="AM1197" t="str">
            <v>CQP.CFO</v>
          </cell>
          <cell r="AP1197" t="str">
            <v>Q 62580</v>
          </cell>
          <cell r="AQ1197">
            <v>0</v>
          </cell>
          <cell r="AR1197" t="str">
            <v>B</v>
          </cell>
          <cell r="AS1197" t="str">
            <v>CRED.MAROC KHGA</v>
          </cell>
          <cell r="AT1197" t="str">
            <v>082001031239</v>
          </cell>
          <cell r="AU1197" t="str">
            <v>/  /</v>
          </cell>
          <cell r="AW1197">
            <v>41275</v>
          </cell>
          <cell r="AY1197" t="str">
            <v>XX</v>
          </cell>
          <cell r="BA1197" t="str">
            <v>2</v>
          </cell>
          <cell r="BB1197">
            <v>1</v>
          </cell>
          <cell r="BD1197">
            <v>0</v>
          </cell>
          <cell r="BE1197" t="str">
            <v>M</v>
          </cell>
          <cell r="BF1197" t="str">
            <v>N</v>
          </cell>
          <cell r="BG1197">
            <v>1</v>
          </cell>
          <cell r="BH1197">
            <v>41275</v>
          </cell>
        </row>
        <row r="1198">
          <cell r="A1198">
            <v>74426</v>
          </cell>
          <cell r="B1198">
            <v>461</v>
          </cell>
          <cell r="C1198" t="str">
            <v>C6001</v>
          </cell>
          <cell r="D1198" t="str">
            <v>ZENNANE</v>
          </cell>
          <cell r="E1198" t="str">
            <v>SAID</v>
          </cell>
          <cell r="F1198">
            <v>22055</v>
          </cell>
          <cell r="G1198" t="str">
            <v>1</v>
          </cell>
          <cell r="H1198" t="str">
            <v>KHOURIBGA</v>
          </cell>
          <cell r="I1198" t="str">
            <v>F</v>
          </cell>
          <cell r="J1198">
            <v>31623</v>
          </cell>
          <cell r="K1198">
            <v>35065</v>
          </cell>
          <cell r="L1198" t="str">
            <v>32</v>
          </cell>
          <cell r="M1198" t="str">
            <v>A</v>
          </cell>
          <cell r="N1198">
            <v>35065</v>
          </cell>
          <cell r="P1198">
            <v>16</v>
          </cell>
          <cell r="Q1198" t="str">
            <v>O</v>
          </cell>
          <cell r="R1198" t="str">
            <v>N</v>
          </cell>
          <cell r="S1198">
            <v>0</v>
          </cell>
          <cell r="T1198" t="str">
            <v>M</v>
          </cell>
          <cell r="U1198" t="str">
            <v>FATIMA BENT MAATI</v>
          </cell>
          <cell r="X1198">
            <v>3</v>
          </cell>
          <cell r="Y1198">
            <v>3</v>
          </cell>
          <cell r="AB1198" t="str">
            <v>X</v>
          </cell>
          <cell r="AC1198" t="str">
            <v>X</v>
          </cell>
          <cell r="AD1198" t="str">
            <v>X</v>
          </cell>
          <cell r="AH1198" t="str">
            <v>N</v>
          </cell>
          <cell r="AI1198" t="str">
            <v>N</v>
          </cell>
          <cell r="AK1198" t="str">
            <v>75 BLOC D EL MASSIRA  - KHOURIBGA</v>
          </cell>
          <cell r="AL1198" t="str">
            <v>7AS</v>
          </cell>
          <cell r="AM1198" t="str">
            <v>ITA.CFO</v>
          </cell>
          <cell r="AP1198" t="str">
            <v>Q 42214</v>
          </cell>
          <cell r="AQ1198">
            <v>0</v>
          </cell>
          <cell r="AR1198" t="str">
            <v>B</v>
          </cell>
          <cell r="AS1198" t="str">
            <v>SGMB.KHGA</v>
          </cell>
          <cell r="AT1198" t="str">
            <v>679116269</v>
          </cell>
          <cell r="AU1198" t="str">
            <v>/  /</v>
          </cell>
          <cell r="AW1198">
            <v>41275</v>
          </cell>
          <cell r="AY1198" t="str">
            <v>XX</v>
          </cell>
          <cell r="BA1198" t="str">
            <v>2</v>
          </cell>
          <cell r="BB1198">
            <v>1</v>
          </cell>
          <cell r="BC1198" t="str">
            <v>O</v>
          </cell>
          <cell r="BD1198">
            <v>4</v>
          </cell>
          <cell r="BE1198" t="str">
            <v>M</v>
          </cell>
          <cell r="BF1198" t="str">
            <v>N</v>
          </cell>
          <cell r="BG1198">
            <v>5</v>
          </cell>
          <cell r="BH1198">
            <v>41275</v>
          </cell>
        </row>
        <row r="1199">
          <cell r="A1199">
            <v>74429</v>
          </cell>
          <cell r="B1199">
            <v>461</v>
          </cell>
          <cell r="C1199" t="str">
            <v>C5002</v>
          </cell>
          <cell r="D1199" t="str">
            <v>SMAOUI</v>
          </cell>
          <cell r="E1199" t="str">
            <v>MOHAMMED</v>
          </cell>
          <cell r="F1199">
            <v>21049</v>
          </cell>
          <cell r="G1199" t="str">
            <v>2</v>
          </cell>
          <cell r="H1199" t="str">
            <v>BENI SMIR - KHOURIBGA</v>
          </cell>
          <cell r="I1199" t="str">
            <v>F</v>
          </cell>
          <cell r="J1199">
            <v>31623</v>
          </cell>
          <cell r="K1199">
            <v>31625</v>
          </cell>
          <cell r="L1199" t="str">
            <v>31</v>
          </cell>
          <cell r="M1199" t="str">
            <v>A</v>
          </cell>
          <cell r="N1199">
            <v>31625</v>
          </cell>
          <cell r="P1199">
            <v>16</v>
          </cell>
          <cell r="Q1199" t="str">
            <v>O</v>
          </cell>
          <cell r="R1199" t="str">
            <v>N</v>
          </cell>
          <cell r="S1199">
            <v>0</v>
          </cell>
          <cell r="T1199" t="str">
            <v>M</v>
          </cell>
          <cell r="U1199" t="str">
            <v>DOSTOBI FATIMA BT MOHAMED</v>
          </cell>
          <cell r="X1199">
            <v>4</v>
          </cell>
          <cell r="Y1199">
            <v>4</v>
          </cell>
          <cell r="AB1199" t="str">
            <v>X</v>
          </cell>
          <cell r="AC1199" t="str">
            <v>X</v>
          </cell>
          <cell r="AD1199" t="str">
            <v>X</v>
          </cell>
          <cell r="AH1199" t="str">
            <v>N</v>
          </cell>
          <cell r="AI1199" t="str">
            <v>N</v>
          </cell>
          <cell r="AK1199" t="str">
            <v>360 SOUK TNINE OUED ZEM</v>
          </cell>
          <cell r="AL1199" t="str">
            <v>6AS</v>
          </cell>
          <cell r="AM1199" t="str">
            <v>CQP.CFO</v>
          </cell>
          <cell r="AP1199" t="str">
            <v>Q 92298</v>
          </cell>
          <cell r="AQ1199">
            <v>0</v>
          </cell>
          <cell r="AR1199" t="str">
            <v>B</v>
          </cell>
          <cell r="AS1199" t="str">
            <v>CR-MAROC</v>
          </cell>
          <cell r="AT1199" t="str">
            <v>082001045911</v>
          </cell>
          <cell r="AU1199" t="str">
            <v>/  /</v>
          </cell>
          <cell r="AW1199">
            <v>41275</v>
          </cell>
          <cell r="AY1199" t="str">
            <v>XX</v>
          </cell>
          <cell r="AZ1199" t="str">
            <v>R</v>
          </cell>
          <cell r="BA1199" t="str">
            <v>2</v>
          </cell>
          <cell r="BB1199">
            <v>1</v>
          </cell>
          <cell r="BD1199">
            <v>0</v>
          </cell>
          <cell r="BE1199" t="str">
            <v>M</v>
          </cell>
          <cell r="BF1199" t="str">
            <v>N</v>
          </cell>
          <cell r="BG1199">
            <v>31</v>
          </cell>
          <cell r="BH1199">
            <v>41275</v>
          </cell>
        </row>
        <row r="1200">
          <cell r="A1200">
            <v>74430</v>
          </cell>
          <cell r="B1200">
            <v>411</v>
          </cell>
          <cell r="C1200" t="str">
            <v>C6002</v>
          </cell>
          <cell r="D1200" t="str">
            <v>ZOUF</v>
          </cell>
          <cell r="E1200" t="str">
            <v>ALI</v>
          </cell>
          <cell r="F1200">
            <v>22309</v>
          </cell>
          <cell r="G1200" t="str">
            <v>1</v>
          </cell>
          <cell r="H1200" t="str">
            <v>KHOURIBGA</v>
          </cell>
          <cell r="I1200" t="str">
            <v>F</v>
          </cell>
          <cell r="J1200">
            <v>31623</v>
          </cell>
          <cell r="K1200">
            <v>35065</v>
          </cell>
          <cell r="L1200" t="str">
            <v>32</v>
          </cell>
          <cell r="M1200" t="str">
            <v>A</v>
          </cell>
          <cell r="N1200">
            <v>35065</v>
          </cell>
          <cell r="P1200">
            <v>16</v>
          </cell>
          <cell r="Q1200" t="str">
            <v>O</v>
          </cell>
          <cell r="R1200" t="str">
            <v>N</v>
          </cell>
          <cell r="S1200">
            <v>0</v>
          </cell>
          <cell r="T1200" t="str">
            <v>M</v>
          </cell>
          <cell r="U1200" t="str">
            <v>AZZOUZI RAHMA BENT MOHAMED</v>
          </cell>
          <cell r="X1200">
            <v>3</v>
          </cell>
          <cell r="Y1200">
            <v>3</v>
          </cell>
          <cell r="Z1200" t="str">
            <v>N</v>
          </cell>
          <cell r="AB1200" t="str">
            <v>X</v>
          </cell>
          <cell r="AC1200" t="str">
            <v>X</v>
          </cell>
          <cell r="AD1200" t="str">
            <v>X</v>
          </cell>
          <cell r="AH1200" t="str">
            <v>N</v>
          </cell>
          <cell r="AI1200" t="str">
            <v>N</v>
          </cell>
          <cell r="AK1200" t="str">
            <v>26 BIS BLOC C CITE CEREALIER - KHOURIBGA</v>
          </cell>
          <cell r="AL1200" t="str">
            <v>4AS</v>
          </cell>
          <cell r="AM1200" t="str">
            <v>CQP.CFO</v>
          </cell>
          <cell r="AP1200" t="str">
            <v>Q 80738</v>
          </cell>
          <cell r="AQ1200">
            <v>0</v>
          </cell>
          <cell r="AR1200" t="str">
            <v>B</v>
          </cell>
          <cell r="AS1200" t="str">
            <v>POPULAIRE.KHGA</v>
          </cell>
          <cell r="AT1200" t="str">
            <v>2111136311740009</v>
          </cell>
          <cell r="AU1200" t="str">
            <v>/  /</v>
          </cell>
          <cell r="AW1200">
            <v>41275</v>
          </cell>
          <cell r="AY1200" t="str">
            <v>XX</v>
          </cell>
          <cell r="AZ1200" t="str">
            <v>R</v>
          </cell>
          <cell r="BA1200" t="str">
            <v>2</v>
          </cell>
          <cell r="BB1200">
            <v>1</v>
          </cell>
          <cell r="BC1200" t="str">
            <v>O</v>
          </cell>
          <cell r="BD1200">
            <v>4</v>
          </cell>
          <cell r="BE1200" t="str">
            <v>M</v>
          </cell>
          <cell r="BF1200" t="str">
            <v>N</v>
          </cell>
          <cell r="BG1200">
            <v>4</v>
          </cell>
          <cell r="BH1200">
            <v>41275</v>
          </cell>
        </row>
        <row r="1201">
          <cell r="A1201">
            <v>74431</v>
          </cell>
          <cell r="B1201">
            <v>421</v>
          </cell>
          <cell r="C1201" t="str">
            <v>C6002</v>
          </cell>
          <cell r="D1201" t="str">
            <v>ASSIMEDDINE</v>
          </cell>
          <cell r="E1201" t="str">
            <v>MOHAMED</v>
          </cell>
          <cell r="F1201">
            <v>22225</v>
          </cell>
          <cell r="G1201" t="str">
            <v>2</v>
          </cell>
          <cell r="H1201" t="str">
            <v>OUED-ZEM</v>
          </cell>
          <cell r="I1201" t="str">
            <v>F</v>
          </cell>
          <cell r="J1201">
            <v>31623</v>
          </cell>
          <cell r="K1201">
            <v>33573</v>
          </cell>
          <cell r="L1201" t="str">
            <v>32</v>
          </cell>
          <cell r="M1201" t="str">
            <v>A</v>
          </cell>
          <cell r="N1201">
            <v>33573</v>
          </cell>
          <cell r="P1201">
            <v>16</v>
          </cell>
          <cell r="Q1201" t="str">
            <v>O</v>
          </cell>
          <cell r="R1201" t="str">
            <v>N</v>
          </cell>
          <cell r="S1201">
            <v>0</v>
          </cell>
          <cell r="T1201" t="str">
            <v>M</v>
          </cell>
          <cell r="U1201" t="str">
            <v>FATIMA BT ALI BOUBEKRI</v>
          </cell>
          <cell r="X1201">
            <v>3</v>
          </cell>
          <cell r="Y1201">
            <v>3</v>
          </cell>
          <cell r="AB1201" t="str">
            <v>X</v>
          </cell>
          <cell r="AC1201" t="str">
            <v>X</v>
          </cell>
          <cell r="AD1201" t="str">
            <v>X</v>
          </cell>
          <cell r="AH1201" t="str">
            <v>N</v>
          </cell>
          <cell r="AI1201" t="str">
            <v>N</v>
          </cell>
          <cell r="AK1201" t="str">
            <v>304 RUE SOUK TNINE  OUED ZEM</v>
          </cell>
          <cell r="AL1201" t="str">
            <v>5AS</v>
          </cell>
          <cell r="AM1201" t="str">
            <v>CQP.CFO</v>
          </cell>
          <cell r="AP1201" t="str">
            <v>Q 57329</v>
          </cell>
          <cell r="AQ1201">
            <v>0</v>
          </cell>
          <cell r="AR1201" t="str">
            <v>C</v>
          </cell>
          <cell r="AT1201" t="str">
            <v>00000000000000000</v>
          </cell>
          <cell r="AU1201" t="str">
            <v>/  /</v>
          </cell>
          <cell r="AW1201">
            <v>41275</v>
          </cell>
          <cell r="AY1201" t="str">
            <v>XX</v>
          </cell>
          <cell r="BA1201" t="str">
            <v>2</v>
          </cell>
          <cell r="BB1201">
            <v>1</v>
          </cell>
          <cell r="BD1201">
            <v>0</v>
          </cell>
          <cell r="BE1201" t="str">
            <v>M</v>
          </cell>
          <cell r="BF1201" t="str">
            <v>N</v>
          </cell>
          <cell r="BG1201">
            <v>30</v>
          </cell>
          <cell r="BH1201">
            <v>41275</v>
          </cell>
        </row>
        <row r="1202">
          <cell r="A1202">
            <v>74434</v>
          </cell>
          <cell r="B1202">
            <v>409</v>
          </cell>
          <cell r="C1202" t="str">
            <v>C6002</v>
          </cell>
          <cell r="D1202" t="str">
            <v>GUECHCHANI</v>
          </cell>
          <cell r="E1202" t="str">
            <v>ABDERRAHIM</v>
          </cell>
          <cell r="F1202">
            <v>22367</v>
          </cell>
          <cell r="G1202" t="str">
            <v>1</v>
          </cell>
          <cell r="H1202" t="str">
            <v>KHOURIBGA</v>
          </cell>
          <cell r="I1202" t="str">
            <v>F</v>
          </cell>
          <cell r="J1202">
            <v>31623</v>
          </cell>
          <cell r="K1202">
            <v>36526</v>
          </cell>
          <cell r="L1202" t="str">
            <v>32</v>
          </cell>
          <cell r="M1202" t="str">
            <v>A</v>
          </cell>
          <cell r="N1202">
            <v>36526</v>
          </cell>
          <cell r="O1202">
            <v>0</v>
          </cell>
          <cell r="P1202">
            <v>16</v>
          </cell>
          <cell r="Q1202" t="str">
            <v>O</v>
          </cell>
          <cell r="R1202" t="str">
            <v>N</v>
          </cell>
          <cell r="S1202">
            <v>0</v>
          </cell>
          <cell r="T1202" t="str">
            <v>M</v>
          </cell>
          <cell r="U1202" t="str">
            <v>EL HAMMOUCHI MINA</v>
          </cell>
          <cell r="X1202">
            <v>2</v>
          </cell>
          <cell r="Y1202">
            <v>2</v>
          </cell>
          <cell r="Z1202" t="str">
            <v>N</v>
          </cell>
          <cell r="AB1202" t="str">
            <v>X</v>
          </cell>
          <cell r="AC1202" t="str">
            <v>X</v>
          </cell>
          <cell r="AD1202" t="str">
            <v>X</v>
          </cell>
          <cell r="AH1202" t="str">
            <v>N</v>
          </cell>
          <cell r="AI1202" t="str">
            <v>N</v>
          </cell>
          <cell r="AK1202" t="str">
            <v>24 Nouveaux Logements Séchage -Khouribga</v>
          </cell>
          <cell r="AL1202" t="str">
            <v>4AS</v>
          </cell>
          <cell r="AM1202" t="str">
            <v>CQP.CFO</v>
          </cell>
          <cell r="AP1202" t="str">
            <v>Q 82361</v>
          </cell>
          <cell r="AQ1202">
            <v>0</v>
          </cell>
          <cell r="AR1202" t="str">
            <v>B</v>
          </cell>
          <cell r="AS1202" t="str">
            <v>POPULAIRE.KHGA</v>
          </cell>
          <cell r="AT1202" t="str">
            <v>2111112824240001</v>
          </cell>
          <cell r="AU1202" t="str">
            <v>/  /</v>
          </cell>
          <cell r="AW1202">
            <v>41275</v>
          </cell>
          <cell r="AY1202" t="str">
            <v>XX</v>
          </cell>
          <cell r="BA1202" t="str">
            <v>2</v>
          </cell>
          <cell r="BB1202">
            <v>1</v>
          </cell>
          <cell r="BD1202">
            <v>0</v>
          </cell>
          <cell r="BE1202" t="str">
            <v>M</v>
          </cell>
          <cell r="BF1202" t="str">
            <v>N</v>
          </cell>
          <cell r="BG1202">
            <v>40</v>
          </cell>
          <cell r="BH1202">
            <v>41275</v>
          </cell>
          <cell r="BI1202" t="str">
            <v>O</v>
          </cell>
        </row>
        <row r="1203">
          <cell r="A1203">
            <v>74436</v>
          </cell>
          <cell r="B1203">
            <v>419</v>
          </cell>
          <cell r="C1203" t="str">
            <v>C7006</v>
          </cell>
          <cell r="D1203" t="str">
            <v>EL GOUBI</v>
          </cell>
          <cell r="E1203" t="str">
            <v>BOUABID</v>
          </cell>
          <cell r="F1203">
            <v>23419</v>
          </cell>
          <cell r="G1203" t="str">
            <v>1</v>
          </cell>
          <cell r="H1203" t="str">
            <v>KHOURIBGA</v>
          </cell>
          <cell r="I1203" t="str">
            <v>F</v>
          </cell>
          <cell r="J1203">
            <v>31623</v>
          </cell>
          <cell r="K1203">
            <v>36526</v>
          </cell>
          <cell r="L1203" t="str">
            <v>33</v>
          </cell>
          <cell r="M1203" t="str">
            <v>A</v>
          </cell>
          <cell r="N1203">
            <v>36526</v>
          </cell>
          <cell r="P1203">
            <v>16</v>
          </cell>
          <cell r="Q1203" t="str">
            <v>O</v>
          </cell>
          <cell r="R1203" t="str">
            <v>N</v>
          </cell>
          <cell r="S1203">
            <v>0</v>
          </cell>
          <cell r="T1203" t="str">
            <v>M</v>
          </cell>
          <cell r="U1203" t="str">
            <v>ZOHRA BT HADJ SALAH</v>
          </cell>
          <cell r="X1203">
            <v>5</v>
          </cell>
          <cell r="Y1203">
            <v>5</v>
          </cell>
          <cell r="AB1203" t="str">
            <v>X</v>
          </cell>
          <cell r="AC1203" t="str">
            <v>X</v>
          </cell>
          <cell r="AD1203" t="str">
            <v>X</v>
          </cell>
          <cell r="AH1203" t="str">
            <v>N</v>
          </cell>
          <cell r="AI1203" t="str">
            <v>N</v>
          </cell>
          <cell r="AK1203" t="str">
            <v>DOUAR OULED EL ATI OULED BRAHIM BOUJNIBA</v>
          </cell>
          <cell r="AL1203" t="str">
            <v>4AS</v>
          </cell>
          <cell r="AM1203" t="str">
            <v>CQP.CFO</v>
          </cell>
          <cell r="AP1203" t="str">
            <v>Q 86540</v>
          </cell>
          <cell r="AQ1203">
            <v>0</v>
          </cell>
          <cell r="AR1203" t="str">
            <v>C</v>
          </cell>
          <cell r="AU1203" t="str">
            <v>/  /</v>
          </cell>
          <cell r="AW1203">
            <v>41821</v>
          </cell>
          <cell r="AY1203" t="str">
            <v>XX</v>
          </cell>
          <cell r="BA1203" t="str">
            <v>2</v>
          </cell>
          <cell r="BB1203">
            <v>1</v>
          </cell>
          <cell r="BD1203">
            <v>0</v>
          </cell>
          <cell r="BE1203" t="str">
            <v>M</v>
          </cell>
          <cell r="BF1203" t="str">
            <v>N</v>
          </cell>
          <cell r="BG1203">
            <v>50</v>
          </cell>
          <cell r="BH1203">
            <v>41821</v>
          </cell>
        </row>
        <row r="1204">
          <cell r="A1204">
            <v>74440</v>
          </cell>
          <cell r="B1204">
            <v>418</v>
          </cell>
          <cell r="C1204" t="str">
            <v>C5006</v>
          </cell>
          <cell r="D1204" t="str">
            <v>RAMLI</v>
          </cell>
          <cell r="E1204" t="str">
            <v>EL HABIB</v>
          </cell>
          <cell r="F1204">
            <v>22027</v>
          </cell>
          <cell r="G1204" t="str">
            <v>2</v>
          </cell>
          <cell r="H1204" t="str">
            <v>OUED-ZEM</v>
          </cell>
          <cell r="I1204" t="str">
            <v>F</v>
          </cell>
          <cell r="J1204">
            <v>31623</v>
          </cell>
          <cell r="K1204">
            <v>31625</v>
          </cell>
          <cell r="L1204" t="str">
            <v>31</v>
          </cell>
          <cell r="M1204" t="str">
            <v>B</v>
          </cell>
          <cell r="N1204">
            <v>35612</v>
          </cell>
          <cell r="P1204">
            <v>16</v>
          </cell>
          <cell r="Q1204" t="str">
            <v>N</v>
          </cell>
          <cell r="R1204" t="str">
            <v>N</v>
          </cell>
          <cell r="S1204">
            <v>0</v>
          </cell>
          <cell r="T1204" t="str">
            <v>M</v>
          </cell>
          <cell r="U1204" t="str">
            <v>KHADDOUJ BT BOUAZZA</v>
          </cell>
          <cell r="X1204">
            <v>3</v>
          </cell>
          <cell r="Y1204">
            <v>3</v>
          </cell>
          <cell r="AB1204" t="str">
            <v>X</v>
          </cell>
          <cell r="AC1204" t="str">
            <v>X</v>
          </cell>
          <cell r="AD1204" t="str">
            <v>X</v>
          </cell>
          <cell r="AH1204" t="str">
            <v>N</v>
          </cell>
          <cell r="AI1204" t="str">
            <v>N</v>
          </cell>
          <cell r="AK1204" t="str">
            <v>28 BLOC G EL MASSIRA - KHOURIBGA</v>
          </cell>
          <cell r="AL1204" t="str">
            <v>7AS</v>
          </cell>
          <cell r="AM1204" t="str">
            <v>CQP.CFO</v>
          </cell>
          <cell r="AP1204" t="str">
            <v>Q 93162</v>
          </cell>
          <cell r="AQ1204">
            <v>0</v>
          </cell>
          <cell r="AR1204" t="str">
            <v>B</v>
          </cell>
          <cell r="AS1204" t="str">
            <v>BMCE - KHGA</v>
          </cell>
          <cell r="AT1204" t="str">
            <v>4000001200001188986</v>
          </cell>
          <cell r="AU1204" t="str">
            <v>/  /</v>
          </cell>
          <cell r="AW1204">
            <v>41275</v>
          </cell>
          <cell r="AY1204" t="str">
            <v>XX</v>
          </cell>
          <cell r="AZ1204" t="str">
            <v>R</v>
          </cell>
          <cell r="BA1204" t="str">
            <v>2</v>
          </cell>
          <cell r="BB1204">
            <v>1</v>
          </cell>
          <cell r="BD1204">
            <v>0</v>
          </cell>
          <cell r="BE1204" t="str">
            <v>M</v>
          </cell>
          <cell r="BF1204" t="str">
            <v>N</v>
          </cell>
          <cell r="BG1204">
            <v>0</v>
          </cell>
          <cell r="BH1204">
            <v>41275</v>
          </cell>
        </row>
        <row r="1205">
          <cell r="A1205">
            <v>74447</v>
          </cell>
          <cell r="B1205">
            <v>419</v>
          </cell>
          <cell r="C1205" t="str">
            <v>C6003</v>
          </cell>
          <cell r="D1205" t="str">
            <v>CHARIK</v>
          </cell>
          <cell r="E1205" t="str">
            <v>ABDERRAHMANE</v>
          </cell>
          <cell r="F1205">
            <v>22697</v>
          </cell>
          <cell r="G1205" t="str">
            <v>1</v>
          </cell>
          <cell r="H1205" t="str">
            <v>OULED BHAR KBAR KHOURIBGA</v>
          </cell>
          <cell r="I1205" t="str">
            <v>F</v>
          </cell>
          <cell r="J1205">
            <v>31623</v>
          </cell>
          <cell r="K1205">
            <v>35065</v>
          </cell>
          <cell r="L1205" t="str">
            <v>32</v>
          </cell>
          <cell r="M1205" t="str">
            <v>A</v>
          </cell>
          <cell r="N1205">
            <v>35065</v>
          </cell>
          <cell r="P1205">
            <v>16</v>
          </cell>
          <cell r="Q1205" t="str">
            <v>O</v>
          </cell>
          <cell r="R1205" t="str">
            <v>N</v>
          </cell>
          <cell r="S1205">
            <v>0</v>
          </cell>
          <cell r="T1205" t="str">
            <v>M</v>
          </cell>
          <cell r="U1205" t="str">
            <v>CHABBA NAIMA BENT CHERKI</v>
          </cell>
          <cell r="X1205">
            <v>3</v>
          </cell>
          <cell r="Y1205">
            <v>3</v>
          </cell>
          <cell r="AB1205" t="str">
            <v>X</v>
          </cell>
          <cell r="AC1205" t="str">
            <v>X</v>
          </cell>
          <cell r="AD1205" t="str">
            <v>X</v>
          </cell>
          <cell r="AH1205" t="str">
            <v>N</v>
          </cell>
          <cell r="AI1205" t="str">
            <v>N</v>
          </cell>
          <cell r="AK1205" t="str">
            <v>DR LAMCHAHRA EL GUEFFAF CAIDAT BOUJNBA</v>
          </cell>
          <cell r="AL1205" t="str">
            <v>BAC</v>
          </cell>
          <cell r="AM1205" t="str">
            <v>CFO</v>
          </cell>
          <cell r="AP1205" t="str">
            <v>Q 64947</v>
          </cell>
          <cell r="AQ1205">
            <v>0</v>
          </cell>
          <cell r="AR1205" t="str">
            <v>B</v>
          </cell>
          <cell r="AS1205" t="str">
            <v>SGMB - KHGA</v>
          </cell>
          <cell r="AT1205" t="str">
            <v>000067000938127341</v>
          </cell>
          <cell r="AU1205" t="str">
            <v>/  /</v>
          </cell>
          <cell r="AW1205">
            <v>41275</v>
          </cell>
          <cell r="AY1205" t="str">
            <v>XX</v>
          </cell>
          <cell r="BA1205" t="str">
            <v>2</v>
          </cell>
          <cell r="BB1205">
            <v>0</v>
          </cell>
          <cell r="BD1205">
            <v>0</v>
          </cell>
          <cell r="BE1205" t="str">
            <v>M</v>
          </cell>
          <cell r="BF1205" t="str">
            <v>N</v>
          </cell>
          <cell r="BG1205">
            <v>50</v>
          </cell>
          <cell r="BH1205">
            <v>41275</v>
          </cell>
        </row>
        <row r="1206">
          <cell r="A1206">
            <v>74489</v>
          </cell>
          <cell r="B1206">
            <v>421</v>
          </cell>
          <cell r="C1206" t="str">
            <v>C6001</v>
          </cell>
          <cell r="D1206" t="str">
            <v>SAJIR</v>
          </cell>
          <cell r="E1206" t="str">
            <v>MOHAMED</v>
          </cell>
          <cell r="F1206">
            <v>21001</v>
          </cell>
          <cell r="G1206" t="str">
            <v>6</v>
          </cell>
          <cell r="H1206" t="str">
            <v>OULED AZZOUZ - KHOURIBGA</v>
          </cell>
          <cell r="I1206" t="str">
            <v>F</v>
          </cell>
          <cell r="J1206">
            <v>31643</v>
          </cell>
          <cell r="K1206">
            <v>35065</v>
          </cell>
          <cell r="L1206" t="str">
            <v>32</v>
          </cell>
          <cell r="M1206" t="str">
            <v>A</v>
          </cell>
          <cell r="N1206">
            <v>35065</v>
          </cell>
          <cell r="P1206">
            <v>16</v>
          </cell>
          <cell r="Q1206" t="str">
            <v>O</v>
          </cell>
          <cell r="R1206" t="str">
            <v>N</v>
          </cell>
          <cell r="S1206">
            <v>0</v>
          </cell>
          <cell r="T1206" t="str">
            <v>M</v>
          </cell>
          <cell r="U1206" t="str">
            <v>ZAHRA BT MED BEN HAMMADI</v>
          </cell>
          <cell r="X1206">
            <v>4</v>
          </cell>
          <cell r="Y1206">
            <v>4</v>
          </cell>
          <cell r="AB1206" t="str">
            <v>X</v>
          </cell>
          <cell r="AC1206" t="str">
            <v>X</v>
          </cell>
          <cell r="AD1206" t="str">
            <v>X</v>
          </cell>
          <cell r="AH1206" t="str">
            <v>N</v>
          </cell>
          <cell r="AI1206" t="str">
            <v>N</v>
          </cell>
          <cell r="AK1206" t="str">
            <v>734 VILLAGE O.C.P - BOUJNIBA</v>
          </cell>
          <cell r="AL1206" t="str">
            <v>4AS</v>
          </cell>
          <cell r="AM1206" t="str">
            <v>CQP.CFO</v>
          </cell>
          <cell r="AP1206" t="str">
            <v>Q 24027</v>
          </cell>
          <cell r="AQ1206">
            <v>0</v>
          </cell>
          <cell r="AR1206" t="str">
            <v>C</v>
          </cell>
          <cell r="AU1206" t="str">
            <v>/  /</v>
          </cell>
          <cell r="AW1206">
            <v>41275</v>
          </cell>
          <cell r="AY1206" t="str">
            <v>XX</v>
          </cell>
          <cell r="BA1206" t="str">
            <v>2</v>
          </cell>
          <cell r="BB1206">
            <v>1</v>
          </cell>
          <cell r="BD1206">
            <v>0</v>
          </cell>
          <cell r="BE1206" t="str">
            <v>M</v>
          </cell>
          <cell r="BF1206" t="str">
            <v>N</v>
          </cell>
          <cell r="BG1206">
            <v>52</v>
          </cell>
          <cell r="BH1206">
            <v>41091</v>
          </cell>
        </row>
        <row r="1207">
          <cell r="A1207">
            <v>74580</v>
          </cell>
          <cell r="B1207">
            <v>461</v>
          </cell>
          <cell r="C1207" t="str">
            <v>X3150</v>
          </cell>
          <cell r="D1207" t="str">
            <v>SETTA</v>
          </cell>
          <cell r="E1207" t="str">
            <v>ABDESSLAM</v>
          </cell>
          <cell r="F1207">
            <v>22956</v>
          </cell>
          <cell r="H1207" t="str">
            <v>MEKNES</v>
          </cell>
          <cell r="I1207" t="str">
            <v>F</v>
          </cell>
          <cell r="J1207">
            <v>31975</v>
          </cell>
          <cell r="K1207">
            <v>35431</v>
          </cell>
          <cell r="L1207" t="str">
            <v>41</v>
          </cell>
          <cell r="M1207" t="str">
            <v>A</v>
          </cell>
          <cell r="N1207">
            <v>35431</v>
          </cell>
          <cell r="P1207">
            <v>15</v>
          </cell>
          <cell r="Q1207" t="str">
            <v>O</v>
          </cell>
          <cell r="R1207" t="str">
            <v>N</v>
          </cell>
          <cell r="S1207">
            <v>0</v>
          </cell>
          <cell r="T1207" t="str">
            <v>M</v>
          </cell>
          <cell r="U1207" t="str">
            <v>SFENDLA SABAH BENT MOHAMED</v>
          </cell>
          <cell r="X1207">
            <v>2</v>
          </cell>
          <cell r="Y1207">
            <v>2</v>
          </cell>
          <cell r="Z1207" t="str">
            <v>N</v>
          </cell>
          <cell r="AB1207" t="str">
            <v>X</v>
          </cell>
          <cell r="AC1207" t="str">
            <v>X</v>
          </cell>
          <cell r="AD1207" t="str">
            <v>X</v>
          </cell>
          <cell r="AH1207" t="str">
            <v>O</v>
          </cell>
          <cell r="AI1207" t="str">
            <v>N</v>
          </cell>
          <cell r="AK1207" t="str">
            <v>21 RUE EL ANOUAR OCP - KHOURBGA</v>
          </cell>
          <cell r="AL1207" t="str">
            <v>7AS.S.EX</v>
          </cell>
          <cell r="AM1207" t="str">
            <v>INFCE.CFO</v>
          </cell>
          <cell r="AP1207" t="str">
            <v>BE 996</v>
          </cell>
          <cell r="AQ1207">
            <v>0</v>
          </cell>
          <cell r="AR1207" t="str">
            <v>B</v>
          </cell>
          <cell r="AS1207" t="str">
            <v>BMCE.KHGA</v>
          </cell>
          <cell r="AT1207" t="str">
            <v>40001200000659754</v>
          </cell>
          <cell r="AU1207" t="str">
            <v>/  /</v>
          </cell>
          <cell r="AW1207">
            <v>41821</v>
          </cell>
          <cell r="AY1207" t="str">
            <v>XX</v>
          </cell>
          <cell r="AZ1207" t="str">
            <v>M</v>
          </cell>
          <cell r="BA1207" t="str">
            <v>1</v>
          </cell>
          <cell r="BB1207">
            <v>1</v>
          </cell>
          <cell r="BC1207" t="str">
            <v>O</v>
          </cell>
          <cell r="BD1207">
            <v>0</v>
          </cell>
          <cell r="BE1207" t="str">
            <v>M</v>
          </cell>
          <cell r="BF1207" t="str">
            <v>N</v>
          </cell>
          <cell r="BG1207">
            <v>4</v>
          </cell>
          <cell r="BH1207">
            <v>42005</v>
          </cell>
        </row>
        <row r="1208">
          <cell r="A1208">
            <v>84268</v>
          </cell>
          <cell r="B1208">
            <v>464</v>
          </cell>
          <cell r="C1208" t="str">
            <v>C3200</v>
          </cell>
          <cell r="D1208" t="str">
            <v>ASSIMEDDINE</v>
          </cell>
          <cell r="E1208" t="str">
            <v>MOHAMED</v>
          </cell>
          <cell r="F1208">
            <v>20213</v>
          </cell>
          <cell r="G1208" t="str">
            <v>2</v>
          </cell>
          <cell r="H1208" t="str">
            <v>OUED-ZEM</v>
          </cell>
          <cell r="I1208" t="str">
            <v>D</v>
          </cell>
          <cell r="J1208">
            <v>28807</v>
          </cell>
          <cell r="K1208">
            <v>35674</v>
          </cell>
          <cell r="L1208" t="str">
            <v>21</v>
          </cell>
          <cell r="M1208" t="str">
            <v>A</v>
          </cell>
          <cell r="N1208">
            <v>35674</v>
          </cell>
          <cell r="P1208">
            <v>24</v>
          </cell>
          <cell r="Q1208" t="str">
            <v>O</v>
          </cell>
          <cell r="R1208" t="str">
            <v>N</v>
          </cell>
          <cell r="S1208">
            <v>0</v>
          </cell>
          <cell r="T1208" t="str">
            <v>M</v>
          </cell>
          <cell r="U1208" t="str">
            <v>NAIMA BENT EL KEBIR BEN MED</v>
          </cell>
          <cell r="X1208">
            <v>4</v>
          </cell>
          <cell r="Y1208">
            <v>4</v>
          </cell>
          <cell r="AB1208" t="str">
            <v>X</v>
          </cell>
          <cell r="AC1208" t="str">
            <v>X</v>
          </cell>
          <cell r="AD1208" t="str">
            <v>X</v>
          </cell>
          <cell r="AH1208" t="str">
            <v>N</v>
          </cell>
          <cell r="AI1208" t="str">
            <v>N</v>
          </cell>
          <cell r="AK1208" t="str">
            <v>92 VILLAGE OCP OUED ZEM</v>
          </cell>
          <cell r="AL1208" t="str">
            <v>4AS</v>
          </cell>
          <cell r="AP1208" t="str">
            <v>Q 90911</v>
          </cell>
          <cell r="AQ1208">
            <v>0</v>
          </cell>
          <cell r="AR1208" t="str">
            <v>B</v>
          </cell>
          <cell r="AS1208" t="str">
            <v>BMCE.OUED ZEM</v>
          </cell>
          <cell r="AT1208" t="str">
            <v>41101200000189877</v>
          </cell>
          <cell r="AU1208" t="str">
            <v>/  /</v>
          </cell>
          <cell r="AW1208">
            <v>38534</v>
          </cell>
          <cell r="AY1208" t="str">
            <v>XX</v>
          </cell>
          <cell r="BA1208" t="str">
            <v>2</v>
          </cell>
          <cell r="BB1208">
            <v>1</v>
          </cell>
          <cell r="BD1208">
            <v>0</v>
          </cell>
          <cell r="BE1208" t="str">
            <v>M</v>
          </cell>
          <cell r="BF1208" t="str">
            <v>N</v>
          </cell>
          <cell r="BG1208">
            <v>30</v>
          </cell>
          <cell r="BH1208">
            <v>38534</v>
          </cell>
        </row>
        <row r="1209">
          <cell r="A1209">
            <v>83675</v>
          </cell>
          <cell r="B1209">
            <v>457</v>
          </cell>
          <cell r="C1209" t="str">
            <v>C5450</v>
          </cell>
          <cell r="D1209" t="str">
            <v>MEHRAT</v>
          </cell>
          <cell r="E1209" t="str">
            <v>MOHAMMED</v>
          </cell>
          <cell r="F1209">
            <v>19334</v>
          </cell>
          <cell r="G1209" t="str">
            <v>1</v>
          </cell>
          <cell r="H1209" t="str">
            <v>KHOURIBGA</v>
          </cell>
          <cell r="I1209" t="str">
            <v>D</v>
          </cell>
          <cell r="J1209">
            <v>26844</v>
          </cell>
          <cell r="K1209">
            <v>33420</v>
          </cell>
          <cell r="L1209" t="str">
            <v>31</v>
          </cell>
          <cell r="M1209" t="str">
            <v>A</v>
          </cell>
          <cell r="N1209">
            <v>33420</v>
          </cell>
          <cell r="P1209">
            <v>29</v>
          </cell>
          <cell r="Q1209" t="str">
            <v>O</v>
          </cell>
          <cell r="R1209" t="str">
            <v>N</v>
          </cell>
          <cell r="S1209">
            <v>0</v>
          </cell>
          <cell r="T1209" t="str">
            <v>M</v>
          </cell>
          <cell r="U1209" t="str">
            <v>HAJLI AICHA BENT BOUCHAIB</v>
          </cell>
          <cell r="X1209">
            <v>6</v>
          </cell>
          <cell r="Y1209">
            <v>4</v>
          </cell>
          <cell r="AB1209" t="str">
            <v>X</v>
          </cell>
          <cell r="AC1209" t="str">
            <v>X</v>
          </cell>
          <cell r="AD1209" t="str">
            <v>X</v>
          </cell>
          <cell r="AH1209" t="str">
            <v>N</v>
          </cell>
          <cell r="AI1209" t="str">
            <v>N</v>
          </cell>
          <cell r="AK1209" t="str">
            <v>238 DERB 1 - BOUJNIBA</v>
          </cell>
          <cell r="AL1209" t="str">
            <v>3 A.S</v>
          </cell>
          <cell r="AP1209" t="str">
            <v>Q 54473</v>
          </cell>
          <cell r="AQ1209">
            <v>0</v>
          </cell>
          <cell r="AR1209" t="str">
            <v>B</v>
          </cell>
          <cell r="AS1209" t="str">
            <v>CRED-AGRICOL-KHGA</v>
          </cell>
          <cell r="AT1209" t="str">
            <v>0805636B601</v>
          </cell>
          <cell r="AU1209" t="str">
            <v>/  /</v>
          </cell>
          <cell r="AW1209">
            <v>37622</v>
          </cell>
          <cell r="AY1209" t="str">
            <v>XX</v>
          </cell>
          <cell r="BA1209" t="str">
            <v>6</v>
          </cell>
          <cell r="BB1209">
            <v>1</v>
          </cell>
          <cell r="BD1209">
            <v>0</v>
          </cell>
          <cell r="BE1209" t="str">
            <v>M</v>
          </cell>
          <cell r="BF1209" t="str">
            <v>N</v>
          </cell>
          <cell r="BG1209">
            <v>51</v>
          </cell>
          <cell r="BH1209">
            <v>37803</v>
          </cell>
          <cell r="BI1209" t="str">
            <v>O</v>
          </cell>
        </row>
        <row r="1210">
          <cell r="A1210">
            <v>74584</v>
          </cell>
          <cell r="B1210">
            <v>409</v>
          </cell>
          <cell r="C1210" t="str">
            <v>C6002</v>
          </cell>
          <cell r="D1210" t="str">
            <v>BENZAOUIA</v>
          </cell>
          <cell r="E1210" t="str">
            <v>MOSTAFA</v>
          </cell>
          <cell r="F1210">
            <v>21599</v>
          </cell>
          <cell r="H1210" t="str">
            <v>OUJDA</v>
          </cell>
          <cell r="I1210" t="str">
            <v>F</v>
          </cell>
          <cell r="J1210">
            <v>31975</v>
          </cell>
          <cell r="K1210">
            <v>33573</v>
          </cell>
          <cell r="L1210" t="str">
            <v>32</v>
          </cell>
          <cell r="M1210" t="str">
            <v>A</v>
          </cell>
          <cell r="N1210">
            <v>33573</v>
          </cell>
          <cell r="P1210">
            <v>15</v>
          </cell>
          <cell r="Q1210" t="str">
            <v>O</v>
          </cell>
          <cell r="R1210" t="str">
            <v>N</v>
          </cell>
          <cell r="S1210">
            <v>0</v>
          </cell>
          <cell r="T1210" t="str">
            <v>M</v>
          </cell>
          <cell r="U1210" t="str">
            <v>ZOUBIR NADIA BENT HAJ SALAH</v>
          </cell>
          <cell r="X1210">
            <v>3</v>
          </cell>
          <cell r="Y1210">
            <v>3</v>
          </cell>
          <cell r="Z1210" t="str">
            <v>N</v>
          </cell>
          <cell r="AB1210" t="str">
            <v>X</v>
          </cell>
          <cell r="AC1210" t="str">
            <v>X</v>
          </cell>
          <cell r="AD1210" t="str">
            <v>X</v>
          </cell>
          <cell r="AH1210" t="str">
            <v>N</v>
          </cell>
          <cell r="AI1210" t="str">
            <v>N</v>
          </cell>
          <cell r="AK1210" t="str">
            <v>141 NOUVEAUX LOGEMENTS OCP - KHGA</v>
          </cell>
          <cell r="AL1210" t="str">
            <v>6AS.S.EX</v>
          </cell>
          <cell r="AM1210" t="str">
            <v>ITA.CFO</v>
          </cell>
          <cell r="AP1210" t="str">
            <v>F 243547</v>
          </cell>
          <cell r="AQ1210">
            <v>0</v>
          </cell>
          <cell r="AR1210" t="str">
            <v>B</v>
          </cell>
          <cell r="AS1210" t="str">
            <v>BMCE.KHGA</v>
          </cell>
          <cell r="AT1210" t="str">
            <v>40001200000659948</v>
          </cell>
          <cell r="AU1210" t="str">
            <v>/  /</v>
          </cell>
          <cell r="AW1210">
            <v>41640</v>
          </cell>
          <cell r="AY1210" t="str">
            <v>XX</v>
          </cell>
          <cell r="BA1210" t="str">
            <v>2</v>
          </cell>
          <cell r="BB1210">
            <v>1</v>
          </cell>
          <cell r="BC1210" t="str">
            <v>O</v>
          </cell>
          <cell r="BD1210">
            <v>4</v>
          </cell>
          <cell r="BE1210" t="str">
            <v>M</v>
          </cell>
          <cell r="BF1210" t="str">
            <v>N</v>
          </cell>
          <cell r="BG1210">
            <v>1</v>
          </cell>
          <cell r="BH1210">
            <v>41640</v>
          </cell>
        </row>
        <row r="1211">
          <cell r="A1211">
            <v>74586</v>
          </cell>
          <cell r="B1211">
            <v>409</v>
          </cell>
          <cell r="C1211" t="str">
            <v>C7002</v>
          </cell>
          <cell r="D1211" t="str">
            <v>EL MECHKOURI</v>
          </cell>
          <cell r="E1211" t="str">
            <v>MOHAMED</v>
          </cell>
          <cell r="F1211">
            <v>22462</v>
          </cell>
          <cell r="H1211" t="str">
            <v>OULED SAADA - BEN SLIMANE</v>
          </cell>
          <cell r="I1211" t="str">
            <v>F</v>
          </cell>
          <cell r="J1211">
            <v>31975</v>
          </cell>
          <cell r="K1211">
            <v>36526</v>
          </cell>
          <cell r="L1211" t="str">
            <v>33</v>
          </cell>
          <cell r="M1211" t="str">
            <v>A</v>
          </cell>
          <cell r="N1211">
            <v>36526</v>
          </cell>
          <cell r="P1211">
            <v>15</v>
          </cell>
          <cell r="Q1211" t="str">
            <v>O</v>
          </cell>
          <cell r="R1211" t="str">
            <v>N</v>
          </cell>
          <cell r="S1211">
            <v>0</v>
          </cell>
          <cell r="T1211" t="str">
            <v>M</v>
          </cell>
          <cell r="U1211" t="str">
            <v>ZINJI NEZHA BENT ABDELKADER</v>
          </cell>
          <cell r="X1211">
            <v>2</v>
          </cell>
          <cell r="Y1211">
            <v>2</v>
          </cell>
          <cell r="Z1211" t="str">
            <v>N</v>
          </cell>
          <cell r="AB1211" t="str">
            <v>X</v>
          </cell>
          <cell r="AC1211" t="str">
            <v>X</v>
          </cell>
          <cell r="AD1211" t="str">
            <v>X</v>
          </cell>
          <cell r="AH1211" t="str">
            <v>N</v>
          </cell>
          <cell r="AI1211" t="str">
            <v>N</v>
          </cell>
          <cell r="AK1211" t="str">
            <v>167 NVX LOGEMENTS DE SECHAGE - KHGA</v>
          </cell>
          <cell r="AL1211" t="str">
            <v>2A.DE FAC.(PC)</v>
          </cell>
          <cell r="AM1211" t="str">
            <v>INFCT.CFO</v>
          </cell>
          <cell r="AP1211" t="str">
            <v>T 28192</v>
          </cell>
          <cell r="AQ1211">
            <v>0</v>
          </cell>
          <cell r="AR1211" t="str">
            <v>B</v>
          </cell>
          <cell r="AS1211" t="str">
            <v>C. DU MAROC KHA</v>
          </cell>
          <cell r="AT1211" t="str">
            <v>820010017639</v>
          </cell>
          <cell r="AU1211" t="str">
            <v>/  /</v>
          </cell>
          <cell r="AW1211">
            <v>41640</v>
          </cell>
          <cell r="AY1211" t="str">
            <v>XX</v>
          </cell>
          <cell r="BA1211" t="str">
            <v>2</v>
          </cell>
          <cell r="BB1211">
            <v>1</v>
          </cell>
          <cell r="BD1211">
            <v>0</v>
          </cell>
          <cell r="BE1211" t="str">
            <v>M</v>
          </cell>
          <cell r="BF1211" t="str">
            <v>N</v>
          </cell>
          <cell r="BG1211">
            <v>1</v>
          </cell>
          <cell r="BH1211">
            <v>41640</v>
          </cell>
        </row>
        <row r="1212">
          <cell r="A1212">
            <v>74587</v>
          </cell>
          <cell r="B1212">
            <v>421</v>
          </cell>
          <cell r="C1212" t="str">
            <v>X3150</v>
          </cell>
          <cell r="D1212" t="str">
            <v>ANOIR</v>
          </cell>
          <cell r="E1212" t="str">
            <v>MOHAMED</v>
          </cell>
          <cell r="F1212">
            <v>21984</v>
          </cell>
          <cell r="H1212" t="str">
            <v>BAGGOURA - SIDI KACEM</v>
          </cell>
          <cell r="I1212" t="str">
            <v>F</v>
          </cell>
          <cell r="J1212">
            <v>31975</v>
          </cell>
          <cell r="K1212">
            <v>37073</v>
          </cell>
          <cell r="L1212" t="str">
            <v>41</v>
          </cell>
          <cell r="M1212" t="str">
            <v>A</v>
          </cell>
          <cell r="N1212">
            <v>37073</v>
          </cell>
          <cell r="P1212">
            <v>15</v>
          </cell>
          <cell r="Q1212" t="str">
            <v>O</v>
          </cell>
          <cell r="R1212" t="str">
            <v>N</v>
          </cell>
          <cell r="S1212">
            <v>0</v>
          </cell>
          <cell r="T1212" t="str">
            <v>M</v>
          </cell>
          <cell r="U1212" t="str">
            <v>FATIHA BENT MOHAMED BEN AHMED</v>
          </cell>
          <cell r="X1212">
            <v>3</v>
          </cell>
          <cell r="Y1212">
            <v>3</v>
          </cell>
          <cell r="Z1212" t="str">
            <v>N</v>
          </cell>
          <cell r="AB1212" t="str">
            <v>X</v>
          </cell>
          <cell r="AC1212" t="str">
            <v>X</v>
          </cell>
          <cell r="AD1212" t="str">
            <v>X</v>
          </cell>
          <cell r="AH1212" t="str">
            <v>N</v>
          </cell>
          <cell r="AI1212" t="str">
            <v>N</v>
          </cell>
          <cell r="AK1212" t="str">
            <v>N° 12 BLOC 9 - KHOURIBGA</v>
          </cell>
          <cell r="AL1212" t="str">
            <v>7 SC EXP</v>
          </cell>
          <cell r="AM1212" t="str">
            <v>ITA.CFO</v>
          </cell>
          <cell r="AP1212" t="str">
            <v>G 115247</v>
          </cell>
          <cell r="AQ1212">
            <v>0</v>
          </cell>
          <cell r="AR1212" t="str">
            <v>B</v>
          </cell>
          <cell r="AS1212" t="str">
            <v>BMCE.KHGA</v>
          </cell>
          <cell r="AT1212" t="str">
            <v>40001200000748703</v>
          </cell>
          <cell r="AU1212" t="str">
            <v>/  /</v>
          </cell>
          <cell r="AW1212">
            <v>41640</v>
          </cell>
          <cell r="AY1212" t="str">
            <v>XX</v>
          </cell>
          <cell r="BA1212" t="str">
            <v>2</v>
          </cell>
          <cell r="BB1212">
            <v>1</v>
          </cell>
          <cell r="BD1212">
            <v>0</v>
          </cell>
          <cell r="BE1212" t="str">
            <v>M</v>
          </cell>
          <cell r="BF1212" t="str">
            <v>N</v>
          </cell>
          <cell r="BG1212">
            <v>4</v>
          </cell>
          <cell r="BH1212">
            <v>42005</v>
          </cell>
        </row>
        <row r="1213">
          <cell r="A1213">
            <v>74623</v>
          </cell>
          <cell r="B1213">
            <v>421</v>
          </cell>
          <cell r="C1213" t="str">
            <v>C6001</v>
          </cell>
          <cell r="D1213" t="str">
            <v>EL ALALI</v>
          </cell>
          <cell r="E1213" t="str">
            <v>HASSAN</v>
          </cell>
          <cell r="F1213">
            <v>23017</v>
          </cell>
          <cell r="H1213" t="str">
            <v>AIT ATAB - AZILAL</v>
          </cell>
          <cell r="I1213" t="str">
            <v>F</v>
          </cell>
          <cell r="J1213">
            <v>32010</v>
          </cell>
          <cell r="K1213">
            <v>36526</v>
          </cell>
          <cell r="L1213" t="str">
            <v>32</v>
          </cell>
          <cell r="M1213" t="str">
            <v>A</v>
          </cell>
          <cell r="N1213">
            <v>36526</v>
          </cell>
          <cell r="P1213">
            <v>15</v>
          </cell>
          <cell r="Q1213" t="str">
            <v>O</v>
          </cell>
          <cell r="R1213" t="str">
            <v>N</v>
          </cell>
          <cell r="S1213">
            <v>0</v>
          </cell>
          <cell r="T1213" t="str">
            <v>M</v>
          </cell>
          <cell r="U1213" t="str">
            <v>MOKHLIS MINA BENT MOHAMED</v>
          </cell>
          <cell r="X1213">
            <v>2</v>
          </cell>
          <cell r="Y1213">
            <v>2</v>
          </cell>
          <cell r="Z1213" t="str">
            <v>N</v>
          </cell>
          <cell r="AB1213" t="str">
            <v>X</v>
          </cell>
          <cell r="AC1213" t="str">
            <v>X</v>
          </cell>
          <cell r="AD1213" t="str">
            <v>X</v>
          </cell>
          <cell r="AH1213" t="str">
            <v>N</v>
          </cell>
          <cell r="AI1213" t="str">
            <v>N</v>
          </cell>
          <cell r="AK1213" t="str">
            <v>58 BD ALLAL EL FASSI BLOC M NAHDA KHGA</v>
          </cell>
          <cell r="AL1213" t="str">
            <v>7AS.S.EX</v>
          </cell>
          <cell r="AM1213" t="str">
            <v>INFCT.CFO</v>
          </cell>
          <cell r="AP1213" t="str">
            <v>B 585269</v>
          </cell>
          <cell r="AQ1213">
            <v>0</v>
          </cell>
          <cell r="AR1213" t="str">
            <v>B</v>
          </cell>
          <cell r="AS1213" t="str">
            <v>SGMB - KHGA</v>
          </cell>
          <cell r="AT1213" t="str">
            <v>000067000943976441</v>
          </cell>
          <cell r="AU1213" t="str">
            <v>/  /</v>
          </cell>
          <cell r="AW1213">
            <v>41640</v>
          </cell>
          <cell r="AY1213" t="str">
            <v>XX</v>
          </cell>
          <cell r="BA1213" t="str">
            <v>2</v>
          </cell>
          <cell r="BB1213">
            <v>1</v>
          </cell>
          <cell r="BC1213" t="str">
            <v>O</v>
          </cell>
          <cell r="BD1213">
            <v>4</v>
          </cell>
          <cell r="BE1213" t="str">
            <v>M</v>
          </cell>
          <cell r="BF1213" t="str">
            <v>N</v>
          </cell>
          <cell r="BG1213">
            <v>4</v>
          </cell>
          <cell r="BH1213">
            <v>41640</v>
          </cell>
        </row>
        <row r="1214">
          <cell r="A1214">
            <v>74633</v>
          </cell>
          <cell r="B1214">
            <v>421</v>
          </cell>
          <cell r="C1214" t="str">
            <v>C6001</v>
          </cell>
          <cell r="D1214" t="str">
            <v>SIKEL</v>
          </cell>
          <cell r="E1214" t="str">
            <v>AHMED</v>
          </cell>
          <cell r="F1214">
            <v>23465</v>
          </cell>
          <cell r="H1214" t="str">
            <v>CASABLANCA</v>
          </cell>
          <cell r="I1214" t="str">
            <v>F</v>
          </cell>
          <cell r="J1214">
            <v>32010</v>
          </cell>
          <cell r="K1214">
            <v>36526</v>
          </cell>
          <cell r="L1214" t="str">
            <v>32</v>
          </cell>
          <cell r="M1214" t="str">
            <v>A</v>
          </cell>
          <cell r="N1214">
            <v>36526</v>
          </cell>
          <cell r="P1214">
            <v>15</v>
          </cell>
          <cell r="Q1214" t="str">
            <v>O</v>
          </cell>
          <cell r="R1214" t="str">
            <v>N</v>
          </cell>
          <cell r="S1214">
            <v>0</v>
          </cell>
          <cell r="T1214" t="str">
            <v>M</v>
          </cell>
          <cell r="U1214" t="str">
            <v>LAYOUDI KHADOUJ</v>
          </cell>
          <cell r="X1214">
            <v>2</v>
          </cell>
          <cell r="Y1214">
            <v>2</v>
          </cell>
          <cell r="AB1214" t="str">
            <v>X</v>
          </cell>
          <cell r="AC1214" t="str">
            <v>X</v>
          </cell>
          <cell r="AD1214" t="str">
            <v>X</v>
          </cell>
          <cell r="AH1214" t="str">
            <v>N</v>
          </cell>
          <cell r="AI1214" t="str">
            <v>N</v>
          </cell>
          <cell r="AK1214" t="str">
            <v>15 VILLAGE OCP BOUJNIBA</v>
          </cell>
          <cell r="AL1214" t="str">
            <v>7AS.MECAN.INDUS</v>
          </cell>
          <cell r="AM1214" t="str">
            <v>CFO</v>
          </cell>
          <cell r="AP1214" t="str">
            <v>BH 6445</v>
          </cell>
          <cell r="AQ1214">
            <v>0</v>
          </cell>
          <cell r="AR1214" t="str">
            <v>B</v>
          </cell>
          <cell r="AS1214" t="str">
            <v>BMCE.KHGA</v>
          </cell>
          <cell r="AT1214" t="str">
            <v>40001200000688854</v>
          </cell>
          <cell r="AU1214" t="str">
            <v>/  /</v>
          </cell>
          <cell r="AW1214">
            <v>43811</v>
          </cell>
          <cell r="AX1214">
            <v>43811</v>
          </cell>
          <cell r="AY1214" t="str">
            <v>XX</v>
          </cell>
          <cell r="BA1214" t="str">
            <v>2</v>
          </cell>
          <cell r="BB1214">
            <v>0</v>
          </cell>
          <cell r="BD1214">
            <v>0</v>
          </cell>
          <cell r="BE1214" t="str">
            <v>M</v>
          </cell>
          <cell r="BF1214" t="str">
            <v>N</v>
          </cell>
          <cell r="BG1214">
            <v>52</v>
          </cell>
          <cell r="BH1214">
            <v>41821</v>
          </cell>
        </row>
        <row r="1215">
          <cell r="A1215">
            <v>74661</v>
          </cell>
          <cell r="B1215">
            <v>437</v>
          </cell>
          <cell r="C1215" t="str">
            <v>X1450</v>
          </cell>
          <cell r="D1215" t="str">
            <v>ZEGOUMOU</v>
          </cell>
          <cell r="E1215" t="str">
            <v>EL HOUSSINE</v>
          </cell>
          <cell r="F1215">
            <v>24482</v>
          </cell>
          <cell r="G1215" t="str">
            <v>1</v>
          </cell>
          <cell r="H1215" t="str">
            <v>KHOURIBGA</v>
          </cell>
          <cell r="I1215" t="str">
            <v>D</v>
          </cell>
          <cell r="J1215">
            <v>32127</v>
          </cell>
          <cell r="K1215">
            <v>36526</v>
          </cell>
          <cell r="L1215" t="str">
            <v>32</v>
          </cell>
          <cell r="M1215" t="str">
            <v>A</v>
          </cell>
          <cell r="N1215">
            <v>36526</v>
          </cell>
          <cell r="P1215">
            <v>15</v>
          </cell>
          <cell r="Q1215" t="str">
            <v>O</v>
          </cell>
          <cell r="R1215" t="str">
            <v>N</v>
          </cell>
          <cell r="S1215">
            <v>0</v>
          </cell>
          <cell r="T1215" t="str">
            <v>C</v>
          </cell>
          <cell r="X1215">
            <v>0</v>
          </cell>
          <cell r="Y1215">
            <v>0</v>
          </cell>
          <cell r="AB1215" t="str">
            <v>X</v>
          </cell>
          <cell r="AC1215" t="str">
            <v>X</v>
          </cell>
          <cell r="AD1215" t="str">
            <v>X</v>
          </cell>
          <cell r="AH1215" t="str">
            <v>O</v>
          </cell>
          <cell r="AI1215" t="str">
            <v>N</v>
          </cell>
          <cell r="AK1215" t="str">
            <v>14,IMMEUBLE SOBAMA OCP KHOURIBGA</v>
          </cell>
          <cell r="AL1215" t="str">
            <v>1A.DE FAC.(PC)</v>
          </cell>
          <cell r="AP1215" t="str">
            <v>Q 104269</v>
          </cell>
          <cell r="AQ1215">
            <v>0</v>
          </cell>
          <cell r="AR1215" t="str">
            <v>B</v>
          </cell>
          <cell r="AS1215" t="str">
            <v>CREDIT MAROC- KHGA</v>
          </cell>
          <cell r="AT1215" t="str">
            <v>082001087791</v>
          </cell>
          <cell r="AU1215" t="str">
            <v>/  /</v>
          </cell>
          <cell r="AW1215">
            <v>42917</v>
          </cell>
          <cell r="AY1215" t="str">
            <v>XX</v>
          </cell>
          <cell r="BA1215" t="str">
            <v>2</v>
          </cell>
          <cell r="BB1215">
            <v>0</v>
          </cell>
          <cell r="BC1215" t="str">
            <v>O</v>
          </cell>
          <cell r="BD1215">
            <v>4</v>
          </cell>
          <cell r="BE1215" t="str">
            <v>M</v>
          </cell>
          <cell r="BF1215" t="str">
            <v>N</v>
          </cell>
          <cell r="BG1215">
            <v>0</v>
          </cell>
          <cell r="BH1215">
            <v>42917</v>
          </cell>
          <cell r="BI1215" t="str">
            <v>N</v>
          </cell>
        </row>
        <row r="1216">
          <cell r="A1216">
            <v>74690</v>
          </cell>
          <cell r="B1216">
            <v>426</v>
          </cell>
          <cell r="C1216" t="str">
            <v>C5050</v>
          </cell>
          <cell r="D1216" t="str">
            <v>EL MADENY</v>
          </cell>
          <cell r="E1216" t="str">
            <v>EL MOSTAFA</v>
          </cell>
          <cell r="F1216">
            <v>22097</v>
          </cell>
          <cell r="G1216" t="str">
            <v>1</v>
          </cell>
          <cell r="H1216" t="str">
            <v>KHOURIBGA</v>
          </cell>
          <cell r="I1216" t="str">
            <v>F</v>
          </cell>
          <cell r="J1216">
            <v>31089</v>
          </cell>
          <cell r="K1216">
            <v>37073</v>
          </cell>
          <cell r="L1216" t="str">
            <v>31</v>
          </cell>
          <cell r="M1216" t="str">
            <v>A</v>
          </cell>
          <cell r="N1216">
            <v>37073</v>
          </cell>
          <cell r="P1216">
            <v>19</v>
          </cell>
          <cell r="Q1216" t="str">
            <v>O</v>
          </cell>
          <cell r="R1216" t="str">
            <v>N</v>
          </cell>
          <cell r="S1216">
            <v>0</v>
          </cell>
          <cell r="T1216" t="str">
            <v>M</v>
          </cell>
          <cell r="U1216" t="str">
            <v>KHADIJA BENT MOHAMED</v>
          </cell>
          <cell r="X1216">
            <v>3</v>
          </cell>
          <cell r="Y1216">
            <v>3</v>
          </cell>
          <cell r="Z1216" t="str">
            <v>N</v>
          </cell>
          <cell r="AB1216" t="str">
            <v>X</v>
          </cell>
          <cell r="AC1216" t="str">
            <v>X</v>
          </cell>
          <cell r="AD1216" t="str">
            <v>X</v>
          </cell>
          <cell r="AH1216" t="str">
            <v>N</v>
          </cell>
          <cell r="AI1216" t="str">
            <v>N</v>
          </cell>
          <cell r="AK1216" t="str">
            <v>8 BLOC B RUE EL GABON NAHDA KHOURIBGA</v>
          </cell>
          <cell r="AL1216" t="str">
            <v>7AS.S.EX</v>
          </cell>
          <cell r="AM1216" t="str">
            <v>CFO</v>
          </cell>
          <cell r="AP1216" t="str">
            <v>Q 71879</v>
          </cell>
          <cell r="AQ1216">
            <v>0</v>
          </cell>
          <cell r="AR1216" t="str">
            <v>B</v>
          </cell>
          <cell r="AS1216" t="str">
            <v>BMCE.KHGA</v>
          </cell>
          <cell r="AT1216" t="str">
            <v>40001200000754329</v>
          </cell>
          <cell r="AU1216" t="str">
            <v>/  /</v>
          </cell>
          <cell r="AW1216">
            <v>40725</v>
          </cell>
          <cell r="AY1216" t="str">
            <v>XX</v>
          </cell>
          <cell r="BA1216" t="str">
            <v>2</v>
          </cell>
          <cell r="BB1216">
            <v>1</v>
          </cell>
          <cell r="BD1216">
            <v>0</v>
          </cell>
          <cell r="BE1216" t="str">
            <v>M</v>
          </cell>
          <cell r="BF1216" t="str">
            <v>N</v>
          </cell>
          <cell r="BG1216">
            <v>52</v>
          </cell>
          <cell r="BH1216">
            <v>40725</v>
          </cell>
        </row>
        <row r="1217">
          <cell r="A1217">
            <v>74740</v>
          </cell>
          <cell r="B1217">
            <v>464</v>
          </cell>
          <cell r="C1217" t="str">
            <v>C6210</v>
          </cell>
          <cell r="D1217" t="str">
            <v>EL MOTARAJJI</v>
          </cell>
          <cell r="E1217" t="str">
            <v>MOHAMED</v>
          </cell>
          <cell r="F1217">
            <v>21366</v>
          </cell>
          <cell r="H1217" t="str">
            <v>JEMAAT-RIAH</v>
          </cell>
          <cell r="I1217" t="str">
            <v>F</v>
          </cell>
          <cell r="J1217">
            <v>29354</v>
          </cell>
          <cell r="K1217">
            <v>32478</v>
          </cell>
          <cell r="L1217" t="str">
            <v>32</v>
          </cell>
          <cell r="M1217" t="str">
            <v>B</v>
          </cell>
          <cell r="N1217">
            <v>35612</v>
          </cell>
          <cell r="P1217">
            <v>22</v>
          </cell>
          <cell r="Q1217" t="str">
            <v>O</v>
          </cell>
          <cell r="R1217" t="str">
            <v>N</v>
          </cell>
          <cell r="S1217">
            <v>0</v>
          </cell>
          <cell r="T1217" t="str">
            <v>M</v>
          </cell>
          <cell r="U1217" t="str">
            <v>HAMDOUN ZOHRA BT BOUCHAIB</v>
          </cell>
          <cell r="X1217">
            <v>3</v>
          </cell>
          <cell r="Y1217">
            <v>3</v>
          </cell>
          <cell r="AB1217" t="str">
            <v>X</v>
          </cell>
          <cell r="AC1217" t="str">
            <v>X</v>
          </cell>
          <cell r="AD1217" t="str">
            <v>X</v>
          </cell>
          <cell r="AH1217" t="str">
            <v>N</v>
          </cell>
          <cell r="AI1217" t="str">
            <v>N</v>
          </cell>
          <cell r="AK1217" t="str">
            <v>163 NOUVEAUX LOGEMENT SECHAGE KHOURIBGA</v>
          </cell>
          <cell r="AL1217" t="str">
            <v>4AS</v>
          </cell>
          <cell r="AM1217" t="str">
            <v>CFO.CAP(ELECTRONIQUE)</v>
          </cell>
          <cell r="AP1217" t="str">
            <v>H 80208</v>
          </cell>
          <cell r="AQ1217">
            <v>0</v>
          </cell>
          <cell r="AR1217" t="str">
            <v>B</v>
          </cell>
          <cell r="AS1217" t="str">
            <v>S.G.M.B - KHGA</v>
          </cell>
          <cell r="AT1217" t="str">
            <v>06709264485</v>
          </cell>
          <cell r="AU1217" t="str">
            <v>/  /</v>
          </cell>
          <cell r="AW1217">
            <v>39630</v>
          </cell>
          <cell r="AY1217" t="str">
            <v>XX</v>
          </cell>
          <cell r="BA1217" t="str">
            <v>1</v>
          </cell>
          <cell r="BB1217">
            <v>1</v>
          </cell>
          <cell r="BC1217" t="str">
            <v>O</v>
          </cell>
          <cell r="BD1217">
            <v>4</v>
          </cell>
          <cell r="BE1217" t="str">
            <v>M</v>
          </cell>
          <cell r="BF1217" t="str">
            <v>N</v>
          </cell>
          <cell r="BG1217">
            <v>5</v>
          </cell>
          <cell r="BH1217">
            <v>39630</v>
          </cell>
        </row>
        <row r="1218">
          <cell r="A1218">
            <v>74753</v>
          </cell>
          <cell r="B1218">
            <v>461</v>
          </cell>
          <cell r="C1218" t="str">
            <v>C6152</v>
          </cell>
          <cell r="D1218" t="str">
            <v>EL HALLAOUI</v>
          </cell>
          <cell r="E1218" t="str">
            <v>EL MOSTAFA</v>
          </cell>
          <cell r="F1218">
            <v>22334</v>
          </cell>
          <cell r="G1218" t="str">
            <v>3</v>
          </cell>
          <cell r="H1218" t="str">
            <v>BOUJNIBA</v>
          </cell>
          <cell r="I1218" t="str">
            <v>F</v>
          </cell>
          <cell r="J1218">
            <v>30407</v>
          </cell>
          <cell r="K1218">
            <v>35065</v>
          </cell>
          <cell r="L1218" t="str">
            <v>32</v>
          </cell>
          <cell r="M1218" t="str">
            <v>A</v>
          </cell>
          <cell r="N1218">
            <v>35065</v>
          </cell>
          <cell r="P1218">
            <v>20</v>
          </cell>
          <cell r="Q1218" t="str">
            <v>O</v>
          </cell>
          <cell r="R1218" t="str">
            <v>N</v>
          </cell>
          <cell r="S1218">
            <v>0</v>
          </cell>
          <cell r="T1218" t="str">
            <v>M</v>
          </cell>
          <cell r="U1218" t="str">
            <v>NEZHA BENT HADJ SLIMANE</v>
          </cell>
          <cell r="X1218">
            <v>2</v>
          </cell>
          <cell r="Y1218">
            <v>2</v>
          </cell>
          <cell r="Z1218" t="str">
            <v>N</v>
          </cell>
          <cell r="AB1218" t="str">
            <v>X</v>
          </cell>
          <cell r="AC1218" t="str">
            <v>X</v>
          </cell>
          <cell r="AD1218" t="str">
            <v>X</v>
          </cell>
          <cell r="AH1218" t="str">
            <v>N</v>
          </cell>
          <cell r="AI1218" t="str">
            <v>N</v>
          </cell>
          <cell r="AK1218" t="str">
            <v>62,HAY SALAM VILLAGE OCP KHOURIBGA</v>
          </cell>
          <cell r="AL1218" t="str">
            <v>4AS</v>
          </cell>
          <cell r="AM1218" t="str">
            <v>CQP.CFO</v>
          </cell>
          <cell r="AP1218" t="str">
            <v>SH 47750</v>
          </cell>
          <cell r="AQ1218">
            <v>0</v>
          </cell>
          <cell r="AR1218" t="str">
            <v>B</v>
          </cell>
          <cell r="AS1218" t="str">
            <v>WAFABANK - KHGA</v>
          </cell>
          <cell r="AT1218" t="str">
            <v>1220301299465</v>
          </cell>
          <cell r="AU1218" t="str">
            <v>/  /</v>
          </cell>
          <cell r="AW1218">
            <v>40725</v>
          </cell>
          <cell r="AY1218" t="str">
            <v>XX</v>
          </cell>
          <cell r="BA1218" t="str">
            <v>1</v>
          </cell>
          <cell r="BB1218">
            <v>1</v>
          </cell>
          <cell r="BD1218">
            <v>0</v>
          </cell>
          <cell r="BE1218" t="str">
            <v>M</v>
          </cell>
          <cell r="BF1218" t="str">
            <v>N</v>
          </cell>
          <cell r="BG1218">
            <v>5</v>
          </cell>
          <cell r="BH1218">
            <v>40725</v>
          </cell>
        </row>
        <row r="1219">
          <cell r="A1219">
            <v>74754</v>
          </cell>
          <cell r="B1219">
            <v>468</v>
          </cell>
          <cell r="C1219" t="str">
            <v>X4150</v>
          </cell>
          <cell r="D1219" t="str">
            <v>LASFAR</v>
          </cell>
          <cell r="E1219" t="str">
            <v>M'BAREK</v>
          </cell>
          <cell r="F1219">
            <v>19175</v>
          </cell>
          <cell r="H1219" t="str">
            <v>HEDAMI - SETTAT</v>
          </cell>
          <cell r="I1219" t="str">
            <v>F</v>
          </cell>
          <cell r="J1219">
            <v>28292</v>
          </cell>
          <cell r="K1219">
            <v>36526</v>
          </cell>
          <cell r="L1219" t="str">
            <v>42</v>
          </cell>
          <cell r="M1219" t="str">
            <v>A</v>
          </cell>
          <cell r="N1219">
            <v>36526</v>
          </cell>
          <cell r="P1219">
            <v>25</v>
          </cell>
          <cell r="Q1219" t="str">
            <v>O</v>
          </cell>
          <cell r="R1219" t="str">
            <v>N</v>
          </cell>
          <cell r="S1219">
            <v>0</v>
          </cell>
          <cell r="T1219" t="str">
            <v>M</v>
          </cell>
          <cell r="U1219" t="str">
            <v>ADDI EL HASSANIA BT EL HOUSSIN</v>
          </cell>
          <cell r="X1219">
            <v>2</v>
          </cell>
          <cell r="Y1219">
            <v>2</v>
          </cell>
          <cell r="AB1219" t="str">
            <v>O</v>
          </cell>
          <cell r="AC1219" t="str">
            <v>X</v>
          </cell>
          <cell r="AD1219" t="str">
            <v>X</v>
          </cell>
          <cell r="AE1219" t="str">
            <v>OCP 90021-IPSE</v>
          </cell>
          <cell r="AH1219" t="str">
            <v>N</v>
          </cell>
          <cell r="AI1219" t="str">
            <v>N</v>
          </cell>
          <cell r="AK1219" t="str">
            <v>443 BIS BLOC 17 KHOUADRIA JDAD KHOURIBGA</v>
          </cell>
          <cell r="AL1219" t="str">
            <v>7AS.S.EX</v>
          </cell>
          <cell r="AM1219" t="str">
            <v>CFO.</v>
          </cell>
          <cell r="AP1219" t="str">
            <v>H 92122</v>
          </cell>
          <cell r="AQ1219">
            <v>0</v>
          </cell>
          <cell r="AR1219" t="str">
            <v>B</v>
          </cell>
          <cell r="AS1219" t="str">
            <v>POPULAIRE  KHGA</v>
          </cell>
          <cell r="AT1219" t="str">
            <v>2111119672130002</v>
          </cell>
          <cell r="AU1219" t="str">
            <v>/  /</v>
          </cell>
          <cell r="AW1219">
            <v>38169</v>
          </cell>
          <cell r="AY1219" t="str">
            <v>XX</v>
          </cell>
          <cell r="AZ1219" t="str">
            <v>K</v>
          </cell>
          <cell r="BA1219" t="str">
            <v>1</v>
          </cell>
          <cell r="BB1219">
            <v>1</v>
          </cell>
          <cell r="BC1219" t="str">
            <v>O</v>
          </cell>
          <cell r="BD1219">
            <v>4</v>
          </cell>
          <cell r="BE1219" t="str">
            <v>M</v>
          </cell>
          <cell r="BF1219" t="str">
            <v>N</v>
          </cell>
          <cell r="BG1219">
            <v>5</v>
          </cell>
          <cell r="BH1219">
            <v>38353</v>
          </cell>
        </row>
        <row r="1220">
          <cell r="A1220">
            <v>76567</v>
          </cell>
          <cell r="B1220">
            <v>466</v>
          </cell>
          <cell r="C1220" t="str">
            <v>C6050</v>
          </cell>
          <cell r="D1220" t="str">
            <v>LAKHOUAD</v>
          </cell>
          <cell r="E1220" t="str">
            <v>EL MATI</v>
          </cell>
          <cell r="F1220">
            <v>18444</v>
          </cell>
          <cell r="G1220" t="str">
            <v>6</v>
          </cell>
          <cell r="H1220" t="str">
            <v>M'FASSIS</v>
          </cell>
          <cell r="I1220" t="str">
            <v>F</v>
          </cell>
          <cell r="J1220">
            <v>27885</v>
          </cell>
          <cell r="K1220">
            <v>36526</v>
          </cell>
          <cell r="L1220" t="str">
            <v>32</v>
          </cell>
          <cell r="M1220" t="str">
            <v>A</v>
          </cell>
          <cell r="N1220">
            <v>36526</v>
          </cell>
          <cell r="P1220">
            <v>26</v>
          </cell>
          <cell r="Q1220" t="str">
            <v>O</v>
          </cell>
          <cell r="R1220" t="str">
            <v>N</v>
          </cell>
          <cell r="S1220">
            <v>0</v>
          </cell>
          <cell r="T1220" t="str">
            <v>M</v>
          </cell>
          <cell r="U1220" t="str">
            <v>REZQUEALLAH MALIKA BT SALAH</v>
          </cell>
          <cell r="X1220">
            <v>3</v>
          </cell>
          <cell r="Y1220">
            <v>1</v>
          </cell>
          <cell r="AB1220" t="str">
            <v>X</v>
          </cell>
          <cell r="AC1220" t="str">
            <v>X</v>
          </cell>
          <cell r="AD1220" t="str">
            <v>X</v>
          </cell>
          <cell r="AH1220" t="str">
            <v>N</v>
          </cell>
          <cell r="AI1220" t="str">
            <v>N</v>
          </cell>
          <cell r="AK1220" t="str">
            <v>667 VILLAGE OCP - BOULANOUAR</v>
          </cell>
          <cell r="AL1220" t="str">
            <v>3A.MECAN.GENERA</v>
          </cell>
          <cell r="AM1220" t="str">
            <v>CFO</v>
          </cell>
          <cell r="AP1220" t="str">
            <v>H 46886</v>
          </cell>
          <cell r="AQ1220">
            <v>0</v>
          </cell>
          <cell r="AR1220" t="str">
            <v>B</v>
          </cell>
          <cell r="AS1220" t="str">
            <v>WAFABANK - KHGA</v>
          </cell>
          <cell r="AT1220" t="str">
            <v>1220301209337</v>
          </cell>
          <cell r="AU1220" t="str">
            <v>/  /</v>
          </cell>
          <cell r="AW1220">
            <v>38551</v>
          </cell>
          <cell r="AX1220">
            <v>38551</v>
          </cell>
          <cell r="AY1220" t="str">
            <v>XX</v>
          </cell>
          <cell r="AZ1220" t="str">
            <v>R</v>
          </cell>
          <cell r="BA1220" t="str">
            <v>2</v>
          </cell>
          <cell r="BB1220">
            <v>1</v>
          </cell>
          <cell r="BC1220" t="str">
            <v>N</v>
          </cell>
          <cell r="BD1220">
            <v>0</v>
          </cell>
          <cell r="BE1220" t="str">
            <v>M</v>
          </cell>
          <cell r="BF1220" t="str">
            <v>N</v>
          </cell>
          <cell r="BG1220">
            <v>40</v>
          </cell>
          <cell r="BH1220">
            <v>37622</v>
          </cell>
        </row>
        <row r="1221">
          <cell r="A1221">
            <v>79591</v>
          </cell>
          <cell r="B1221">
            <v>461</v>
          </cell>
          <cell r="C1221" t="str">
            <v>C4152</v>
          </cell>
          <cell r="D1221" t="str">
            <v>EL ALAMI</v>
          </cell>
          <cell r="E1221" t="str">
            <v>OMAR</v>
          </cell>
          <cell r="F1221">
            <v>18663</v>
          </cell>
          <cell r="G1221" t="str">
            <v>2</v>
          </cell>
          <cell r="H1221" t="str">
            <v>BENI SMIR</v>
          </cell>
          <cell r="I1221" t="str">
            <v>D</v>
          </cell>
          <cell r="J1221">
            <v>29360</v>
          </cell>
          <cell r="K1221">
            <v>37377</v>
          </cell>
          <cell r="L1221" t="str">
            <v>22</v>
          </cell>
          <cell r="M1221" t="str">
            <v>A</v>
          </cell>
          <cell r="N1221">
            <v>37377</v>
          </cell>
          <cell r="P1221">
            <v>22</v>
          </cell>
          <cell r="Q1221" t="str">
            <v>O</v>
          </cell>
          <cell r="R1221" t="str">
            <v>N</v>
          </cell>
          <cell r="S1221">
            <v>0</v>
          </cell>
          <cell r="T1221" t="str">
            <v>M</v>
          </cell>
          <cell r="U1221" t="str">
            <v>RAZIK ATIKA</v>
          </cell>
          <cell r="X1221">
            <v>8</v>
          </cell>
          <cell r="Y1221">
            <v>6</v>
          </cell>
          <cell r="AB1221" t="str">
            <v>X</v>
          </cell>
          <cell r="AC1221" t="str">
            <v>X</v>
          </cell>
          <cell r="AD1221" t="str">
            <v>X</v>
          </cell>
          <cell r="AH1221" t="str">
            <v>N</v>
          </cell>
          <cell r="AI1221" t="str">
            <v>N</v>
          </cell>
          <cell r="AK1221" t="str">
            <v>100 VILLAGE OCP - OUED ZEM</v>
          </cell>
          <cell r="AL1221" t="str">
            <v>4AS</v>
          </cell>
          <cell r="AM1221" t="str">
            <v>CQP.CFO</v>
          </cell>
          <cell r="AP1221" t="str">
            <v>Q 37344</v>
          </cell>
          <cell r="AQ1221">
            <v>0</v>
          </cell>
          <cell r="AR1221" t="str">
            <v>B</v>
          </cell>
          <cell r="AS1221" t="str">
            <v>POPULAIRE Oued Zem</v>
          </cell>
          <cell r="AT1221" t="str">
            <v>2111113057620018</v>
          </cell>
          <cell r="AU1221" t="str">
            <v>/  /</v>
          </cell>
          <cell r="AW1221">
            <v>38899</v>
          </cell>
          <cell r="AY1221" t="str">
            <v>XX</v>
          </cell>
          <cell r="BA1221" t="str">
            <v>0</v>
          </cell>
          <cell r="BB1221">
            <v>1</v>
          </cell>
          <cell r="BD1221">
            <v>0</v>
          </cell>
          <cell r="BE1221" t="str">
            <v>M</v>
          </cell>
          <cell r="BF1221" t="str">
            <v>N</v>
          </cell>
          <cell r="BG1221">
            <v>31</v>
          </cell>
          <cell r="BH1221">
            <v>38899</v>
          </cell>
          <cell r="BI1221" t="str">
            <v>O</v>
          </cell>
        </row>
        <row r="1222">
          <cell r="A1222">
            <v>80559</v>
          </cell>
          <cell r="B1222">
            <v>421</v>
          </cell>
          <cell r="C1222" t="str">
            <v>C7002</v>
          </cell>
          <cell r="D1222" t="str">
            <v>RTAM</v>
          </cell>
          <cell r="E1222" t="str">
            <v>AHMED</v>
          </cell>
          <cell r="F1222">
            <v>20963</v>
          </cell>
          <cell r="G1222" t="str">
            <v>1</v>
          </cell>
          <cell r="H1222" t="str">
            <v>OULED ABDOUNE</v>
          </cell>
          <cell r="I1222" t="str">
            <v>F</v>
          </cell>
          <cell r="J1222">
            <v>29319</v>
          </cell>
          <cell r="K1222">
            <v>36526</v>
          </cell>
          <cell r="L1222" t="str">
            <v>33</v>
          </cell>
          <cell r="M1222" t="str">
            <v>A</v>
          </cell>
          <cell r="N1222">
            <v>36526</v>
          </cell>
          <cell r="P1222">
            <v>23</v>
          </cell>
          <cell r="Q1222" t="str">
            <v>O</v>
          </cell>
          <cell r="R1222" t="str">
            <v>N</v>
          </cell>
          <cell r="S1222">
            <v>0</v>
          </cell>
          <cell r="T1222" t="str">
            <v>M</v>
          </cell>
          <cell r="U1222" t="str">
            <v>ZMAM HALIMA BT HICHAM</v>
          </cell>
          <cell r="X1222">
            <v>4</v>
          </cell>
          <cell r="Y1222">
            <v>2</v>
          </cell>
          <cell r="AB1222" t="str">
            <v>N</v>
          </cell>
          <cell r="AC1222" t="str">
            <v>X</v>
          </cell>
          <cell r="AD1222" t="str">
            <v>X</v>
          </cell>
          <cell r="AH1222" t="str">
            <v>N</v>
          </cell>
          <cell r="AI1222" t="str">
            <v>N</v>
          </cell>
          <cell r="AK1222" t="str">
            <v>357,NX LOGEMENTS SECHAGE KHOURIBGA</v>
          </cell>
          <cell r="AL1222" t="str">
            <v>4AS</v>
          </cell>
          <cell r="AM1222" t="str">
            <v>CFO.CQP(TOLERIE SOUDURE)</v>
          </cell>
          <cell r="AP1222" t="str">
            <v>Q 6971</v>
          </cell>
          <cell r="AQ1222">
            <v>0</v>
          </cell>
          <cell r="AR1222" t="str">
            <v>B</v>
          </cell>
          <cell r="AS1222" t="str">
            <v>SGMB - KHGA</v>
          </cell>
          <cell r="AT1222" t="str">
            <v>06700092867</v>
          </cell>
          <cell r="AU1222" t="str">
            <v>/  /</v>
          </cell>
          <cell r="AW1222">
            <v>39264</v>
          </cell>
          <cell r="AY1222" t="str">
            <v>XX</v>
          </cell>
          <cell r="BA1222" t="str">
            <v>2</v>
          </cell>
          <cell r="BB1222">
            <v>1</v>
          </cell>
          <cell r="BD1222">
            <v>0</v>
          </cell>
          <cell r="BE1222" t="str">
            <v>M</v>
          </cell>
          <cell r="BF1222" t="str">
            <v>N</v>
          </cell>
          <cell r="BG1222">
            <v>4</v>
          </cell>
          <cell r="BH1222">
            <v>39264</v>
          </cell>
        </row>
        <row r="1223">
          <cell r="A1223">
            <v>81655</v>
          </cell>
          <cell r="B1223">
            <v>421</v>
          </cell>
          <cell r="C1223" t="str">
            <v>C4152</v>
          </cell>
          <cell r="D1223" t="str">
            <v>CHAIRA</v>
          </cell>
          <cell r="E1223" t="str">
            <v>MOHAMED</v>
          </cell>
          <cell r="F1223">
            <v>20801</v>
          </cell>
          <cell r="G1223" t="str">
            <v>2</v>
          </cell>
          <cell r="H1223" t="str">
            <v>OUED-ZEM</v>
          </cell>
          <cell r="I1223" t="str">
            <v>D</v>
          </cell>
          <cell r="J1223">
            <v>27934</v>
          </cell>
          <cell r="K1223">
            <v>36526</v>
          </cell>
          <cell r="L1223" t="str">
            <v>22</v>
          </cell>
          <cell r="M1223" t="str">
            <v>A</v>
          </cell>
          <cell r="N1223">
            <v>36526</v>
          </cell>
          <cell r="O1223">
            <v>0</v>
          </cell>
          <cell r="P1223">
            <v>26</v>
          </cell>
          <cell r="Q1223" t="str">
            <v>O</v>
          </cell>
          <cell r="R1223" t="str">
            <v>N</v>
          </cell>
          <cell r="S1223">
            <v>0</v>
          </cell>
          <cell r="T1223" t="str">
            <v>M</v>
          </cell>
          <cell r="U1223" t="str">
            <v>RAHMANI HAFIDA BENT TAHAR</v>
          </cell>
          <cell r="X1223">
            <v>4</v>
          </cell>
          <cell r="Y1223">
            <v>3</v>
          </cell>
          <cell r="AB1223" t="str">
            <v>X</v>
          </cell>
          <cell r="AC1223" t="str">
            <v>X</v>
          </cell>
          <cell r="AD1223" t="str">
            <v>X</v>
          </cell>
          <cell r="AH1223" t="str">
            <v>N</v>
          </cell>
          <cell r="AI1223" t="str">
            <v>N</v>
          </cell>
          <cell r="AK1223" t="str">
            <v>1152 VILLAGE O C P HATTANE</v>
          </cell>
          <cell r="AL1223" t="str">
            <v>1AS</v>
          </cell>
          <cell r="AP1223" t="str">
            <v>BH 23902</v>
          </cell>
          <cell r="AQ1223">
            <v>0</v>
          </cell>
          <cell r="AR1223" t="str">
            <v>B</v>
          </cell>
          <cell r="AS1223" t="str">
            <v>POPULAIRE.KHGA</v>
          </cell>
          <cell r="AT1223" t="str">
            <v>2111136312820008</v>
          </cell>
          <cell r="AU1223" t="str">
            <v>/  /</v>
          </cell>
          <cell r="AW1223">
            <v>39083</v>
          </cell>
          <cell r="AY1223" t="str">
            <v>XX</v>
          </cell>
          <cell r="BA1223" t="str">
            <v>1</v>
          </cell>
          <cell r="BB1223">
            <v>1</v>
          </cell>
          <cell r="BD1223">
            <v>0</v>
          </cell>
          <cell r="BE1223" t="str">
            <v>M</v>
          </cell>
          <cell r="BF1223" t="str">
            <v>N</v>
          </cell>
          <cell r="BG1223">
            <v>11</v>
          </cell>
          <cell r="BH1223">
            <v>39264</v>
          </cell>
        </row>
        <row r="1224">
          <cell r="A1224">
            <v>81688</v>
          </cell>
          <cell r="B1224">
            <v>421</v>
          </cell>
          <cell r="C1224" t="str">
            <v>C6017</v>
          </cell>
          <cell r="D1224" t="str">
            <v>OUNSI</v>
          </cell>
          <cell r="E1224" t="str">
            <v>MOHAMMED</v>
          </cell>
          <cell r="F1224">
            <v>18809</v>
          </cell>
          <cell r="G1224" t="str">
            <v>2</v>
          </cell>
          <cell r="H1224" t="str">
            <v>OUED-ZEM</v>
          </cell>
          <cell r="I1224" t="str">
            <v>D</v>
          </cell>
          <cell r="J1224">
            <v>27981</v>
          </cell>
          <cell r="K1224">
            <v>36526</v>
          </cell>
          <cell r="L1224" t="str">
            <v>32</v>
          </cell>
          <cell r="M1224" t="str">
            <v>A</v>
          </cell>
          <cell r="N1224">
            <v>36526</v>
          </cell>
          <cell r="P1224">
            <v>26</v>
          </cell>
          <cell r="Q1224" t="str">
            <v>O</v>
          </cell>
          <cell r="R1224" t="str">
            <v>N</v>
          </cell>
          <cell r="S1224">
            <v>0</v>
          </cell>
          <cell r="T1224" t="str">
            <v>M</v>
          </cell>
          <cell r="U1224" t="str">
            <v>ALKAMA FATIMA BENT EL KEBIR</v>
          </cell>
          <cell r="X1224">
            <v>3</v>
          </cell>
          <cell r="Y1224">
            <v>2</v>
          </cell>
          <cell r="AB1224" t="str">
            <v>X</v>
          </cell>
          <cell r="AC1224" t="str">
            <v>X</v>
          </cell>
          <cell r="AD1224" t="str">
            <v>X</v>
          </cell>
          <cell r="AH1224" t="str">
            <v>N</v>
          </cell>
          <cell r="AI1224" t="str">
            <v>N</v>
          </cell>
          <cell r="AK1224" t="str">
            <v>CITE LABRRACHE BIS 4 - OUED ZEM</v>
          </cell>
          <cell r="AL1224" t="str">
            <v>2 A.S</v>
          </cell>
          <cell r="AM1224" t="str">
            <v>CQP.(SOUDURE)</v>
          </cell>
          <cell r="AP1224" t="str">
            <v>Q 40996</v>
          </cell>
          <cell r="AQ1224">
            <v>0</v>
          </cell>
          <cell r="AR1224" t="str">
            <v>B</v>
          </cell>
          <cell r="AS1224" t="str">
            <v>BMCE.OUED ZEM</v>
          </cell>
          <cell r="AT1224" t="str">
            <v>41101200000293473</v>
          </cell>
          <cell r="AU1224" t="str">
            <v>/  /</v>
          </cell>
          <cell r="AW1224">
            <v>37622</v>
          </cell>
          <cell r="AY1224" t="str">
            <v>XX</v>
          </cell>
          <cell r="BA1224" t="str">
            <v>2</v>
          </cell>
          <cell r="BB1224">
            <v>1</v>
          </cell>
          <cell r="BD1224">
            <v>0</v>
          </cell>
          <cell r="BE1224" t="str">
            <v>M</v>
          </cell>
          <cell r="BF1224" t="str">
            <v>N</v>
          </cell>
          <cell r="BG1224">
            <v>30</v>
          </cell>
          <cell r="BH1224">
            <v>37622</v>
          </cell>
          <cell r="BI1224" t="str">
            <v>O</v>
          </cell>
        </row>
        <row r="1225">
          <cell r="A1225">
            <v>81756</v>
          </cell>
          <cell r="B1225">
            <v>463</v>
          </cell>
          <cell r="C1225" t="str">
            <v>C3200</v>
          </cell>
          <cell r="D1225" t="str">
            <v>KAMAL</v>
          </cell>
          <cell r="E1225" t="str">
            <v>BENDAOUD</v>
          </cell>
          <cell r="F1225">
            <v>20270</v>
          </cell>
          <cell r="G1225" t="str">
            <v>2</v>
          </cell>
          <cell r="H1225" t="str">
            <v>OUED-ZEM</v>
          </cell>
          <cell r="I1225" t="str">
            <v>D</v>
          </cell>
          <cell r="J1225">
            <v>28444</v>
          </cell>
          <cell r="K1225">
            <v>37226</v>
          </cell>
          <cell r="L1225" t="str">
            <v>21</v>
          </cell>
          <cell r="M1225" t="str">
            <v>A</v>
          </cell>
          <cell r="N1225">
            <v>37226</v>
          </cell>
          <cell r="O1225">
            <v>0</v>
          </cell>
          <cell r="P1225">
            <v>25</v>
          </cell>
          <cell r="Q1225" t="str">
            <v>O</v>
          </cell>
          <cell r="R1225" t="str">
            <v>N</v>
          </cell>
          <cell r="S1225">
            <v>0</v>
          </cell>
          <cell r="T1225" t="str">
            <v>M</v>
          </cell>
          <cell r="U1225" t="str">
            <v>BOUSLAMA SAADIA BENT MAATI</v>
          </cell>
          <cell r="X1225">
            <v>3</v>
          </cell>
          <cell r="Y1225">
            <v>3</v>
          </cell>
          <cell r="AB1225" t="str">
            <v>X</v>
          </cell>
          <cell r="AC1225" t="str">
            <v>X</v>
          </cell>
          <cell r="AD1225" t="str">
            <v>X</v>
          </cell>
          <cell r="AH1225" t="str">
            <v>N</v>
          </cell>
          <cell r="AI1225" t="str">
            <v>N</v>
          </cell>
          <cell r="AK1225" t="str">
            <v>115 VILLAGE O.C.P - OUED ZEM</v>
          </cell>
          <cell r="AL1225" t="str">
            <v>CEP.</v>
          </cell>
          <cell r="AP1225" t="str">
            <v>B 245268</v>
          </cell>
          <cell r="AQ1225">
            <v>0</v>
          </cell>
          <cell r="AR1225" t="str">
            <v>B</v>
          </cell>
          <cell r="AS1225" t="str">
            <v>WAFABANK - KHGA</v>
          </cell>
          <cell r="AT1225" t="str">
            <v>12203013813</v>
          </cell>
          <cell r="AU1225" t="str">
            <v>/  /</v>
          </cell>
          <cell r="AW1225">
            <v>38534</v>
          </cell>
          <cell r="AY1225" t="str">
            <v>XX</v>
          </cell>
          <cell r="AZ1225" t="str">
            <v>R</v>
          </cell>
          <cell r="BA1225" t="str">
            <v>2</v>
          </cell>
          <cell r="BB1225">
            <v>1</v>
          </cell>
          <cell r="BD1225">
            <v>0</v>
          </cell>
          <cell r="BE1225" t="str">
            <v>M</v>
          </cell>
          <cell r="BF1225" t="str">
            <v>N</v>
          </cell>
          <cell r="BG1225">
            <v>31</v>
          </cell>
          <cell r="BH1225">
            <v>38534</v>
          </cell>
        </row>
        <row r="1226">
          <cell r="A1226">
            <v>81823</v>
          </cell>
          <cell r="B1226">
            <v>466</v>
          </cell>
          <cell r="C1226" t="str">
            <v>C5050</v>
          </cell>
          <cell r="D1226" t="str">
            <v>SAHLAOUI</v>
          </cell>
          <cell r="E1226" t="str">
            <v>ABDELHAG</v>
          </cell>
          <cell r="F1226">
            <v>18809</v>
          </cell>
          <cell r="G1226" t="str">
            <v>2</v>
          </cell>
          <cell r="H1226" t="str">
            <v>BENI KHIRANE - KHOURIBGA</v>
          </cell>
          <cell r="I1226" t="str">
            <v>D</v>
          </cell>
          <cell r="J1226">
            <v>28591</v>
          </cell>
          <cell r="K1226">
            <v>37073</v>
          </cell>
          <cell r="L1226" t="str">
            <v>31</v>
          </cell>
          <cell r="M1226" t="str">
            <v>A</v>
          </cell>
          <cell r="N1226">
            <v>37073</v>
          </cell>
          <cell r="P1226">
            <v>25</v>
          </cell>
          <cell r="Q1226" t="str">
            <v>O</v>
          </cell>
          <cell r="R1226" t="str">
            <v>N</v>
          </cell>
          <cell r="S1226">
            <v>0</v>
          </cell>
          <cell r="T1226" t="str">
            <v>M</v>
          </cell>
          <cell r="U1226" t="str">
            <v>FAIDI RACHIDA BENT MIA</v>
          </cell>
          <cell r="X1226">
            <v>5</v>
          </cell>
          <cell r="Y1226">
            <v>3</v>
          </cell>
          <cell r="AB1226" t="str">
            <v>X</v>
          </cell>
          <cell r="AC1226" t="str">
            <v>X</v>
          </cell>
          <cell r="AD1226" t="str">
            <v>X</v>
          </cell>
          <cell r="AH1226" t="str">
            <v>N</v>
          </cell>
          <cell r="AI1226" t="str">
            <v>N</v>
          </cell>
          <cell r="AK1226" t="str">
            <v>270 BLOC A EL WAHDA - OUED ZEM</v>
          </cell>
          <cell r="AL1226" t="str">
            <v>4AS</v>
          </cell>
          <cell r="AP1226" t="str">
            <v>Q 46470</v>
          </cell>
          <cell r="AQ1226">
            <v>0</v>
          </cell>
          <cell r="AR1226" t="str">
            <v>B</v>
          </cell>
          <cell r="AS1226" t="str">
            <v>POPULAIRE.O.ZEM</v>
          </cell>
          <cell r="AT1226" t="str">
            <v>2111113033730006</v>
          </cell>
          <cell r="AU1226" t="str">
            <v>/  /</v>
          </cell>
          <cell r="AW1226">
            <v>39878</v>
          </cell>
          <cell r="AX1226">
            <v>39878</v>
          </cell>
          <cell r="AY1226" t="str">
            <v>XX</v>
          </cell>
          <cell r="BA1226" t="str">
            <v>2</v>
          </cell>
          <cell r="BB1226">
            <v>1</v>
          </cell>
          <cell r="BD1226">
            <v>0</v>
          </cell>
          <cell r="BE1226" t="str">
            <v>M</v>
          </cell>
          <cell r="BF1226" t="str">
            <v>N</v>
          </cell>
          <cell r="BG1226">
            <v>31</v>
          </cell>
          <cell r="BH1226">
            <v>38353</v>
          </cell>
          <cell r="BI1226" t="str">
            <v>O</v>
          </cell>
        </row>
        <row r="1227">
          <cell r="A1227">
            <v>11173</v>
          </cell>
          <cell r="B1227">
            <v>405</v>
          </cell>
          <cell r="C1227" t="str">
            <v>X3300</v>
          </cell>
          <cell r="D1227" t="str">
            <v>BENKHEDDA</v>
          </cell>
          <cell r="E1227" t="str">
            <v>AHMED</v>
          </cell>
          <cell r="F1227">
            <v>19175</v>
          </cell>
          <cell r="H1227" t="str">
            <v>AIT RBAA.BENI MELLAL</v>
          </cell>
          <cell r="I1227" t="str">
            <v>D</v>
          </cell>
          <cell r="J1227">
            <v>28538</v>
          </cell>
          <cell r="K1227">
            <v>37073</v>
          </cell>
          <cell r="L1227" t="str">
            <v>41</v>
          </cell>
          <cell r="M1227" t="str">
            <v>A</v>
          </cell>
          <cell r="N1227">
            <v>37073</v>
          </cell>
          <cell r="P1227">
            <v>26</v>
          </cell>
          <cell r="Q1227" t="str">
            <v>O</v>
          </cell>
          <cell r="R1227" t="str">
            <v>N</v>
          </cell>
          <cell r="S1227">
            <v>0</v>
          </cell>
          <cell r="T1227" t="str">
            <v>M</v>
          </cell>
          <cell r="U1227" t="str">
            <v>CHAKIRI ZOHRA BENT MILOUDI</v>
          </cell>
          <cell r="X1227">
            <v>6</v>
          </cell>
          <cell r="Y1227">
            <v>5</v>
          </cell>
          <cell r="AB1227" t="str">
            <v>X</v>
          </cell>
          <cell r="AC1227" t="str">
            <v>X</v>
          </cell>
          <cell r="AD1227" t="str">
            <v>X</v>
          </cell>
          <cell r="AH1227" t="str">
            <v>N</v>
          </cell>
          <cell r="AI1227" t="str">
            <v>N</v>
          </cell>
          <cell r="AK1227" t="str">
            <v>279 NVX LOGEMENTS O.C.P - KHGA</v>
          </cell>
          <cell r="AL1227" t="str">
            <v>CEP.</v>
          </cell>
          <cell r="AM1227" t="str">
            <v>CFO</v>
          </cell>
          <cell r="AP1227" t="str">
            <v>Q 75178</v>
          </cell>
          <cell r="AQ1227">
            <v>0</v>
          </cell>
          <cell r="AR1227" t="str">
            <v>B</v>
          </cell>
          <cell r="AS1227" t="str">
            <v>B.M.C.I  KHGA</v>
          </cell>
          <cell r="AT1227" t="str">
            <v>02820948277301</v>
          </cell>
          <cell r="AU1227" t="str">
            <v>/  /</v>
          </cell>
          <cell r="AW1227">
            <v>38169</v>
          </cell>
          <cell r="AY1227" t="str">
            <v>XX</v>
          </cell>
          <cell r="BA1227" t="str">
            <v>2</v>
          </cell>
          <cell r="BB1227">
            <v>1</v>
          </cell>
          <cell r="BD1227">
            <v>0</v>
          </cell>
          <cell r="BE1227" t="str">
            <v>M</v>
          </cell>
          <cell r="BF1227" t="str">
            <v>N</v>
          </cell>
          <cell r="BG1227">
            <v>1</v>
          </cell>
          <cell r="BH1227">
            <v>38534</v>
          </cell>
          <cell r="BI1227" t="str">
            <v>N</v>
          </cell>
        </row>
        <row r="1228">
          <cell r="A1228">
            <v>73396</v>
          </cell>
          <cell r="B1228">
            <v>409</v>
          </cell>
          <cell r="C1228" t="str">
            <v>C6002</v>
          </cell>
          <cell r="D1228" t="str">
            <v>RAQABI</v>
          </cell>
          <cell r="E1228" t="str">
            <v>MOHAMMED</v>
          </cell>
          <cell r="F1228">
            <v>19490</v>
          </cell>
          <cell r="G1228" t="str">
            <v>1</v>
          </cell>
          <cell r="H1228" t="str">
            <v>OULED BHAR SGHAR KHOURIBGA</v>
          </cell>
          <cell r="I1228" t="str">
            <v>D</v>
          </cell>
          <cell r="J1228">
            <v>30091</v>
          </cell>
          <cell r="K1228">
            <v>35065</v>
          </cell>
          <cell r="L1228" t="str">
            <v>32</v>
          </cell>
          <cell r="M1228" t="str">
            <v>A</v>
          </cell>
          <cell r="N1228">
            <v>35065</v>
          </cell>
          <cell r="P1228">
            <v>20</v>
          </cell>
          <cell r="Q1228" t="str">
            <v>O</v>
          </cell>
          <cell r="R1228" t="str">
            <v>N</v>
          </cell>
          <cell r="S1228">
            <v>0</v>
          </cell>
          <cell r="T1228" t="str">
            <v>M</v>
          </cell>
          <cell r="U1228" t="str">
            <v>EZ-ZAHRAOUI FATIMA BENT MED</v>
          </cell>
          <cell r="X1228">
            <v>2</v>
          </cell>
          <cell r="Y1228">
            <v>2</v>
          </cell>
          <cell r="AB1228" t="str">
            <v>X</v>
          </cell>
          <cell r="AC1228" t="str">
            <v>X</v>
          </cell>
          <cell r="AD1228" t="str">
            <v>X</v>
          </cell>
          <cell r="AH1228" t="str">
            <v>N</v>
          </cell>
          <cell r="AI1228" t="str">
            <v>N</v>
          </cell>
          <cell r="AK1228" t="str">
            <v>219 BLOC F HAY EL KARAM KHGA</v>
          </cell>
          <cell r="AL1228" t="str">
            <v>4AS</v>
          </cell>
          <cell r="AM1228" t="str">
            <v>CFO.</v>
          </cell>
          <cell r="AP1228" t="str">
            <v>Q 103788</v>
          </cell>
          <cell r="AQ1228">
            <v>0</v>
          </cell>
          <cell r="AR1228" t="str">
            <v>C</v>
          </cell>
          <cell r="AU1228" t="str">
            <v>/  /</v>
          </cell>
          <cell r="AW1228">
            <v>39630</v>
          </cell>
          <cell r="AY1228" t="str">
            <v>XX</v>
          </cell>
          <cell r="AZ1228" t="str">
            <v>R</v>
          </cell>
          <cell r="BA1228" t="str">
            <v>2</v>
          </cell>
          <cell r="BB1228">
            <v>1</v>
          </cell>
          <cell r="BD1228">
            <v>0</v>
          </cell>
          <cell r="BE1228" t="str">
            <v>M</v>
          </cell>
          <cell r="BF1228" t="str">
            <v>N</v>
          </cell>
          <cell r="BG1228">
            <v>1</v>
          </cell>
          <cell r="BH1228">
            <v>39630</v>
          </cell>
        </row>
        <row r="1229">
          <cell r="A1229">
            <v>74556</v>
          </cell>
          <cell r="B1229">
            <v>421</v>
          </cell>
          <cell r="C1229" t="str">
            <v>C6017</v>
          </cell>
          <cell r="D1229" t="str">
            <v>ESSOKTANI</v>
          </cell>
          <cell r="E1229" t="str">
            <v>BENDAOUD</v>
          </cell>
          <cell r="F1229">
            <v>21366</v>
          </cell>
          <cell r="G1229" t="str">
            <v>2</v>
          </cell>
          <cell r="H1229" t="str">
            <v>BENI SMIR</v>
          </cell>
          <cell r="I1229" t="str">
            <v>F</v>
          </cell>
          <cell r="J1229">
            <v>31929</v>
          </cell>
          <cell r="K1229">
            <v>36526</v>
          </cell>
          <cell r="L1229" t="str">
            <v>32</v>
          </cell>
          <cell r="M1229" t="str">
            <v>A</v>
          </cell>
          <cell r="N1229">
            <v>36526</v>
          </cell>
          <cell r="P1229">
            <v>15</v>
          </cell>
          <cell r="Q1229" t="str">
            <v>O</v>
          </cell>
          <cell r="R1229" t="str">
            <v>N</v>
          </cell>
          <cell r="S1229">
            <v>0</v>
          </cell>
          <cell r="T1229" t="str">
            <v>M</v>
          </cell>
          <cell r="U1229" t="str">
            <v>KHADIJA BENT JILALI</v>
          </cell>
          <cell r="X1229">
            <v>4</v>
          </cell>
          <cell r="Y1229">
            <v>4</v>
          </cell>
          <cell r="Z1229" t="str">
            <v>N</v>
          </cell>
          <cell r="AB1229" t="str">
            <v>X</v>
          </cell>
          <cell r="AC1229" t="str">
            <v>X</v>
          </cell>
          <cell r="AD1229" t="str">
            <v>X</v>
          </cell>
          <cell r="AH1229" t="str">
            <v>N</v>
          </cell>
          <cell r="AI1229" t="str">
            <v>N</v>
          </cell>
          <cell r="AK1229" t="str">
            <v>10 OUED GROU PEPINIERE OCP - KHGA</v>
          </cell>
          <cell r="AL1229" t="str">
            <v>7AS.S.EX</v>
          </cell>
          <cell r="AM1229" t="str">
            <v>ITA.CFO</v>
          </cell>
          <cell r="AP1229" t="str">
            <v>Q 21662</v>
          </cell>
          <cell r="AQ1229">
            <v>0</v>
          </cell>
          <cell r="AR1229" t="str">
            <v>B</v>
          </cell>
          <cell r="AS1229" t="str">
            <v>BMCE OUED ZEM</v>
          </cell>
          <cell r="AT1229" t="str">
            <v>41101200000202390</v>
          </cell>
          <cell r="AU1229" t="str">
            <v>/  /</v>
          </cell>
          <cell r="AW1229">
            <v>41456</v>
          </cell>
          <cell r="AY1229" t="str">
            <v>XX</v>
          </cell>
          <cell r="BA1229" t="str">
            <v>2</v>
          </cell>
          <cell r="BB1229">
            <v>1</v>
          </cell>
          <cell r="BD1229">
            <v>0</v>
          </cell>
          <cell r="BE1229" t="str">
            <v>M</v>
          </cell>
          <cell r="BF1229" t="str">
            <v>N</v>
          </cell>
          <cell r="BG1229">
            <v>4</v>
          </cell>
          <cell r="BH1229">
            <v>41456</v>
          </cell>
          <cell r="BI1229" t="str">
            <v>O</v>
          </cell>
        </row>
        <row r="1230">
          <cell r="A1230">
            <v>74555</v>
          </cell>
          <cell r="B1230">
            <v>409</v>
          </cell>
          <cell r="C1230" t="str">
            <v>C5017</v>
          </cell>
          <cell r="D1230" t="str">
            <v>EL KHATTABI</v>
          </cell>
          <cell r="E1230" t="str">
            <v>ALLAL</v>
          </cell>
          <cell r="F1230">
            <v>22827</v>
          </cell>
          <cell r="H1230" t="str">
            <v>AMAZMIZ - MARRAKECH</v>
          </cell>
          <cell r="I1230" t="str">
            <v>F</v>
          </cell>
          <cell r="J1230">
            <v>31929</v>
          </cell>
          <cell r="K1230">
            <v>31929</v>
          </cell>
          <cell r="L1230" t="str">
            <v>31</v>
          </cell>
          <cell r="M1230" t="str">
            <v>A</v>
          </cell>
          <cell r="N1230">
            <v>31929</v>
          </cell>
          <cell r="P1230">
            <v>15</v>
          </cell>
          <cell r="Q1230" t="str">
            <v>O</v>
          </cell>
          <cell r="R1230" t="str">
            <v>N</v>
          </cell>
          <cell r="S1230">
            <v>0</v>
          </cell>
          <cell r="T1230" t="str">
            <v>M</v>
          </cell>
          <cell r="U1230" t="str">
            <v>BOUFZOUZ SAIDA BENT EL ARBI</v>
          </cell>
          <cell r="X1230">
            <v>2</v>
          </cell>
          <cell r="Y1230">
            <v>2</v>
          </cell>
          <cell r="Z1230" t="str">
            <v>N</v>
          </cell>
          <cell r="AB1230" t="str">
            <v>X</v>
          </cell>
          <cell r="AC1230" t="str">
            <v>X</v>
          </cell>
          <cell r="AD1230" t="str">
            <v>X</v>
          </cell>
          <cell r="AH1230" t="str">
            <v>N</v>
          </cell>
          <cell r="AI1230" t="str">
            <v>N</v>
          </cell>
          <cell r="AK1230" t="str">
            <v>128 BLOC B EL MASSIRA - KHOURIBGA</v>
          </cell>
          <cell r="AL1230" t="str">
            <v>7AS.S.EX</v>
          </cell>
          <cell r="AM1230" t="str">
            <v>INFCT.CFO</v>
          </cell>
          <cell r="AN1230" t="str">
            <v>49═90═36</v>
          </cell>
          <cell r="AP1230" t="str">
            <v>BE 500066</v>
          </cell>
          <cell r="AQ1230">
            <v>0</v>
          </cell>
          <cell r="AR1230" t="str">
            <v>B</v>
          </cell>
          <cell r="AS1230" t="str">
            <v>BMCE - KHGA</v>
          </cell>
          <cell r="AT1230" t="str">
            <v>40001200000777221</v>
          </cell>
          <cell r="AU1230" t="str">
            <v>/  /</v>
          </cell>
          <cell r="AW1230">
            <v>41640</v>
          </cell>
          <cell r="AY1230" t="str">
            <v>XX</v>
          </cell>
          <cell r="BA1230" t="str">
            <v>2</v>
          </cell>
          <cell r="BB1230">
            <v>1</v>
          </cell>
          <cell r="BD1230">
            <v>0</v>
          </cell>
          <cell r="BE1230" t="str">
            <v>M</v>
          </cell>
          <cell r="BF1230" t="str">
            <v>N</v>
          </cell>
          <cell r="BG1230">
            <v>1</v>
          </cell>
          <cell r="BH1230">
            <v>41640</v>
          </cell>
        </row>
        <row r="1231">
          <cell r="A1231">
            <v>85201</v>
          </cell>
          <cell r="B1231">
            <v>409</v>
          </cell>
          <cell r="C1231" t="str">
            <v>C5001</v>
          </cell>
          <cell r="D1231" t="str">
            <v>EL GHAZI</v>
          </cell>
          <cell r="E1231" t="str">
            <v>ABDERRAHIM</v>
          </cell>
          <cell r="F1231">
            <v>22265</v>
          </cell>
          <cell r="H1231" t="str">
            <v>RABAT</v>
          </cell>
          <cell r="I1231" t="str">
            <v>F</v>
          </cell>
          <cell r="J1231">
            <v>30543</v>
          </cell>
          <cell r="K1231">
            <v>30560</v>
          </cell>
          <cell r="L1231" t="str">
            <v>31</v>
          </cell>
          <cell r="M1231" t="str">
            <v>B</v>
          </cell>
          <cell r="N1231">
            <v>33786</v>
          </cell>
          <cell r="P1231">
            <v>19</v>
          </cell>
          <cell r="Q1231" t="str">
            <v>O</v>
          </cell>
          <cell r="R1231" t="str">
            <v>N</v>
          </cell>
          <cell r="S1231">
            <v>0</v>
          </cell>
          <cell r="T1231" t="str">
            <v>M</v>
          </cell>
          <cell r="U1231" t="str">
            <v>FATNA BENT MOHAMED</v>
          </cell>
          <cell r="X1231">
            <v>3</v>
          </cell>
          <cell r="Y1231">
            <v>3</v>
          </cell>
          <cell r="Z1231" t="str">
            <v>N</v>
          </cell>
          <cell r="AB1231" t="str">
            <v>X</v>
          </cell>
          <cell r="AC1231" t="str">
            <v>X</v>
          </cell>
          <cell r="AD1231" t="str">
            <v>X</v>
          </cell>
          <cell r="AH1231" t="str">
            <v>N</v>
          </cell>
          <cell r="AI1231" t="str">
            <v>N</v>
          </cell>
          <cell r="AK1231" t="str">
            <v>5 RUE LAAYOUNE BLOC L NAHDA KHOURIBGA</v>
          </cell>
          <cell r="AL1231" t="str">
            <v>5AS</v>
          </cell>
          <cell r="AM1231" t="str">
            <v>CFO</v>
          </cell>
          <cell r="AP1231" t="str">
            <v>A 211902</v>
          </cell>
          <cell r="AQ1231">
            <v>0</v>
          </cell>
          <cell r="AR1231" t="str">
            <v>B</v>
          </cell>
          <cell r="AS1231" t="str">
            <v>WAFABANK - KHGA</v>
          </cell>
          <cell r="AT1231" t="str">
            <v>1220301306135</v>
          </cell>
          <cell r="AU1231" t="str">
            <v>/  /</v>
          </cell>
          <cell r="AW1231">
            <v>40544</v>
          </cell>
          <cell r="AY1231" t="str">
            <v>XX</v>
          </cell>
          <cell r="AZ1231" t="str">
            <v>R</v>
          </cell>
          <cell r="BA1231" t="str">
            <v>2</v>
          </cell>
          <cell r="BB1231">
            <v>1</v>
          </cell>
          <cell r="BD1231">
            <v>0</v>
          </cell>
          <cell r="BE1231" t="str">
            <v>M</v>
          </cell>
          <cell r="BF1231" t="str">
            <v>N</v>
          </cell>
          <cell r="BG1231">
            <v>1</v>
          </cell>
          <cell r="BH1231">
            <v>40725</v>
          </cell>
        </row>
        <row r="1232">
          <cell r="A1232">
            <v>87341</v>
          </cell>
          <cell r="B1232">
            <v>468</v>
          </cell>
          <cell r="C1232" t="str">
            <v>C3050</v>
          </cell>
          <cell r="D1232" t="str">
            <v>MAJIDI</v>
          </cell>
          <cell r="E1232" t="str">
            <v>MOHAMED</v>
          </cell>
          <cell r="F1232">
            <v>19175</v>
          </cell>
          <cell r="H1232" t="str">
            <v>AIT ABDELLOULI</v>
          </cell>
          <cell r="I1232" t="str">
            <v>D</v>
          </cell>
          <cell r="J1232">
            <v>31457</v>
          </cell>
          <cell r="K1232">
            <v>33420</v>
          </cell>
          <cell r="L1232" t="str">
            <v>21</v>
          </cell>
          <cell r="M1232" t="str">
            <v>A</v>
          </cell>
          <cell r="N1232">
            <v>33420</v>
          </cell>
          <cell r="P1232">
            <v>18</v>
          </cell>
          <cell r="Q1232" t="str">
            <v>O</v>
          </cell>
          <cell r="R1232" t="str">
            <v>N</v>
          </cell>
          <cell r="S1232">
            <v>0</v>
          </cell>
          <cell r="T1232" t="str">
            <v>M</v>
          </cell>
          <cell r="U1232" t="str">
            <v>ITTO BENT BASSOU EL MERIOUH</v>
          </cell>
          <cell r="X1232">
            <v>1</v>
          </cell>
          <cell r="Y1232">
            <v>0</v>
          </cell>
          <cell r="AB1232" t="str">
            <v>X</v>
          </cell>
          <cell r="AC1232" t="str">
            <v>X</v>
          </cell>
          <cell r="AD1232" t="str">
            <v>X</v>
          </cell>
          <cell r="AH1232" t="str">
            <v>O</v>
          </cell>
          <cell r="AI1232" t="str">
            <v>N</v>
          </cell>
          <cell r="AK1232" t="str">
            <v>547 VILLAGE OCP BOUJNIBA</v>
          </cell>
          <cell r="AL1232" t="str">
            <v>ILLETTRE</v>
          </cell>
          <cell r="AP1232" t="str">
            <v>I 39443</v>
          </cell>
          <cell r="AQ1232">
            <v>0</v>
          </cell>
          <cell r="AR1232" t="str">
            <v>B</v>
          </cell>
          <cell r="AS1232" t="str">
            <v>SGMB - KHGA</v>
          </cell>
          <cell r="AT1232" t="str">
            <v>067000948836141</v>
          </cell>
          <cell r="AU1232" t="str">
            <v>/  /</v>
          </cell>
          <cell r="AW1232">
            <v>39264</v>
          </cell>
          <cell r="AY1232" t="str">
            <v>XX</v>
          </cell>
          <cell r="AZ1232" t="str">
            <v>K</v>
          </cell>
          <cell r="BA1232" t="str">
            <v>2</v>
          </cell>
          <cell r="BB1232">
            <v>1</v>
          </cell>
          <cell r="BD1232">
            <v>0</v>
          </cell>
          <cell r="BE1232" t="str">
            <v>M</v>
          </cell>
          <cell r="BF1232" t="str">
            <v>N</v>
          </cell>
          <cell r="BG1232">
            <v>51</v>
          </cell>
          <cell r="BH1232">
            <v>39264</v>
          </cell>
        </row>
        <row r="1233">
          <cell r="A1233">
            <v>87579</v>
          </cell>
          <cell r="B1233">
            <v>457</v>
          </cell>
          <cell r="C1233" t="str">
            <v>X1450</v>
          </cell>
          <cell r="D1233" t="str">
            <v>EL RHAZ</v>
          </cell>
          <cell r="E1233" t="str">
            <v>ABDELAZIZ</v>
          </cell>
          <cell r="F1233">
            <v>22041</v>
          </cell>
          <cell r="G1233" t="str">
            <v>1</v>
          </cell>
          <cell r="H1233" t="str">
            <v>KHOURIBGA</v>
          </cell>
          <cell r="I1233" t="str">
            <v>F</v>
          </cell>
          <cell r="J1233">
            <v>31614</v>
          </cell>
          <cell r="K1233">
            <v>36526</v>
          </cell>
          <cell r="L1233" t="str">
            <v>32</v>
          </cell>
          <cell r="M1233" t="str">
            <v>A</v>
          </cell>
          <cell r="N1233">
            <v>36526</v>
          </cell>
          <cell r="P1233">
            <v>16</v>
          </cell>
          <cell r="Q1233" t="str">
            <v>O</v>
          </cell>
          <cell r="R1233" t="str">
            <v>N</v>
          </cell>
          <cell r="S1233">
            <v>0</v>
          </cell>
          <cell r="T1233" t="str">
            <v>M</v>
          </cell>
          <cell r="U1233" t="str">
            <v>SAFAR FATIMA BENT EL ARBI</v>
          </cell>
          <cell r="X1233">
            <v>3</v>
          </cell>
          <cell r="Y1233">
            <v>3</v>
          </cell>
          <cell r="Z1233" t="str">
            <v>N</v>
          </cell>
          <cell r="AB1233" t="str">
            <v>X</v>
          </cell>
          <cell r="AC1233" t="str">
            <v>X</v>
          </cell>
          <cell r="AD1233" t="str">
            <v>X</v>
          </cell>
          <cell r="AH1233" t="str">
            <v>N</v>
          </cell>
          <cell r="AI1233" t="str">
            <v>N</v>
          </cell>
          <cell r="AK1233" t="str">
            <v>601,BLOC 4 HAY RIAD  KHOURIBGA</v>
          </cell>
          <cell r="AL1233" t="str">
            <v>1A.FAC.BIOLOGIE</v>
          </cell>
          <cell r="AM1233" t="str">
            <v>CFO</v>
          </cell>
          <cell r="AP1233" t="str">
            <v>Q 60399</v>
          </cell>
          <cell r="AQ1233">
            <v>0</v>
          </cell>
          <cell r="AR1233" t="str">
            <v>B</v>
          </cell>
          <cell r="AS1233" t="str">
            <v>POPULAIRE.KHGA</v>
          </cell>
          <cell r="AT1233" t="str">
            <v>2111112897840000</v>
          </cell>
          <cell r="AU1233" t="str">
            <v>/  /</v>
          </cell>
          <cell r="AW1233">
            <v>41275</v>
          </cell>
          <cell r="AY1233" t="str">
            <v>XX</v>
          </cell>
          <cell r="BA1233" t="str">
            <v>2</v>
          </cell>
          <cell r="BB1233">
            <v>1</v>
          </cell>
          <cell r="BC1233" t="str">
            <v>O</v>
          </cell>
          <cell r="BD1233">
            <v>4</v>
          </cell>
          <cell r="BE1233" t="str">
            <v>M</v>
          </cell>
          <cell r="BF1233" t="str">
            <v>N</v>
          </cell>
          <cell r="BG1233">
            <v>5</v>
          </cell>
          <cell r="BH1233">
            <v>41640</v>
          </cell>
        </row>
        <row r="1234">
          <cell r="A1234">
            <v>89005</v>
          </cell>
          <cell r="B1234">
            <v>426</v>
          </cell>
          <cell r="C1234" t="str">
            <v>C2050</v>
          </cell>
          <cell r="D1234" t="str">
            <v>NICHAMI</v>
          </cell>
          <cell r="E1234" t="str">
            <v>MOHAMED</v>
          </cell>
          <cell r="F1234">
            <v>20279</v>
          </cell>
          <cell r="G1234" t="str">
            <v>6</v>
          </cell>
          <cell r="H1234" t="str">
            <v>M'FASSIS</v>
          </cell>
          <cell r="I1234" t="str">
            <v>D</v>
          </cell>
          <cell r="J1234">
            <v>29852</v>
          </cell>
          <cell r="K1234">
            <v>32051</v>
          </cell>
          <cell r="L1234" t="str">
            <v>12</v>
          </cell>
          <cell r="M1234" t="str">
            <v>C</v>
          </cell>
          <cell r="N1234">
            <v>36434</v>
          </cell>
          <cell r="O1234">
            <v>0</v>
          </cell>
          <cell r="P1234">
            <v>21</v>
          </cell>
          <cell r="Q1234" t="str">
            <v>O</v>
          </cell>
          <cell r="R1234" t="str">
            <v>N</v>
          </cell>
          <cell r="S1234">
            <v>0</v>
          </cell>
          <cell r="T1234" t="str">
            <v>M</v>
          </cell>
          <cell r="U1234" t="str">
            <v>BELAID NAJIA BENT LAHSEN</v>
          </cell>
          <cell r="X1234">
            <v>6</v>
          </cell>
          <cell r="Y1234">
            <v>4</v>
          </cell>
          <cell r="AB1234" t="str">
            <v>X</v>
          </cell>
          <cell r="AC1234" t="str">
            <v>X</v>
          </cell>
          <cell r="AD1234" t="str">
            <v>X</v>
          </cell>
          <cell r="AH1234" t="str">
            <v>N</v>
          </cell>
          <cell r="AI1234" t="str">
            <v>N</v>
          </cell>
          <cell r="AK1234" t="str">
            <v>700 VILLAGE OCP - HATTANE</v>
          </cell>
          <cell r="AL1234" t="str">
            <v>ILLETTRE</v>
          </cell>
          <cell r="AP1234" t="str">
            <v>Q 80525</v>
          </cell>
          <cell r="AQ1234">
            <v>0</v>
          </cell>
          <cell r="AR1234" t="str">
            <v>B</v>
          </cell>
          <cell r="AS1234" t="str">
            <v>POPULAIRE.KHGA</v>
          </cell>
          <cell r="AT1234" t="str">
            <v>2111136312590007</v>
          </cell>
          <cell r="AU1234" t="str">
            <v>/  /</v>
          </cell>
          <cell r="AW1234">
            <v>39448</v>
          </cell>
          <cell r="AY1234" t="str">
            <v>XX</v>
          </cell>
          <cell r="BA1234" t="str">
            <v>2</v>
          </cell>
          <cell r="BB1234">
            <v>1</v>
          </cell>
          <cell r="BD1234">
            <v>0</v>
          </cell>
          <cell r="BE1234" t="str">
            <v>M</v>
          </cell>
          <cell r="BF1234" t="str">
            <v>N</v>
          </cell>
          <cell r="BG1234">
            <v>11</v>
          </cell>
          <cell r="BH1234">
            <v>39630</v>
          </cell>
        </row>
        <row r="1235">
          <cell r="A1235">
            <v>89049</v>
          </cell>
          <cell r="B1235">
            <v>421</v>
          </cell>
          <cell r="C1235" t="str">
            <v>C4152</v>
          </cell>
          <cell r="D1235" t="str">
            <v>REBIAA</v>
          </cell>
          <cell r="E1235" t="str">
            <v>SALAH</v>
          </cell>
          <cell r="F1235">
            <v>21392</v>
          </cell>
          <cell r="G1235" t="str">
            <v>1</v>
          </cell>
          <cell r="H1235" t="str">
            <v>OULED ABDOUNE</v>
          </cell>
          <cell r="I1235" t="str">
            <v>D</v>
          </cell>
          <cell r="J1235">
            <v>30025</v>
          </cell>
          <cell r="K1235">
            <v>36526</v>
          </cell>
          <cell r="L1235" t="str">
            <v>22</v>
          </cell>
          <cell r="M1235" t="str">
            <v>A</v>
          </cell>
          <cell r="N1235">
            <v>36526</v>
          </cell>
          <cell r="P1235">
            <v>21</v>
          </cell>
          <cell r="Q1235" t="str">
            <v>O</v>
          </cell>
          <cell r="R1235" t="str">
            <v>N</v>
          </cell>
          <cell r="S1235">
            <v>0</v>
          </cell>
          <cell r="T1235" t="str">
            <v>M</v>
          </cell>
          <cell r="U1235" t="str">
            <v>LAMNINI RAHMA BENT EL ARBI</v>
          </cell>
          <cell r="X1235">
            <v>3</v>
          </cell>
          <cell r="Y1235">
            <v>3</v>
          </cell>
          <cell r="AB1235" t="str">
            <v>X</v>
          </cell>
          <cell r="AC1235" t="str">
            <v>X</v>
          </cell>
          <cell r="AD1235" t="str">
            <v>X</v>
          </cell>
          <cell r="AH1235" t="str">
            <v>N</v>
          </cell>
          <cell r="AI1235" t="str">
            <v>N</v>
          </cell>
          <cell r="AK1235" t="str">
            <v>24 NELLE MEDINA DE SECHAGE KHOURIBGA</v>
          </cell>
          <cell r="AL1235" t="str">
            <v>CM2</v>
          </cell>
          <cell r="AP1235" t="str">
            <v>Q 68586</v>
          </cell>
          <cell r="AQ1235">
            <v>0</v>
          </cell>
          <cell r="AR1235" t="str">
            <v>C</v>
          </cell>
          <cell r="AU1235" t="str">
            <v>/  /</v>
          </cell>
          <cell r="AW1235">
            <v>39814</v>
          </cell>
          <cell r="AY1235" t="str">
            <v>XX</v>
          </cell>
          <cell r="BA1235" t="str">
            <v>1</v>
          </cell>
          <cell r="BB1235">
            <v>1</v>
          </cell>
          <cell r="BD1235">
            <v>0</v>
          </cell>
          <cell r="BE1235" t="str">
            <v>M</v>
          </cell>
          <cell r="BF1235" t="str">
            <v>N</v>
          </cell>
          <cell r="BG1235">
            <v>4</v>
          </cell>
          <cell r="BH1235">
            <v>39814</v>
          </cell>
          <cell r="BI1235" t="str">
            <v>O</v>
          </cell>
        </row>
        <row r="1236">
          <cell r="A1236">
            <v>64949</v>
          </cell>
          <cell r="B1236">
            <v>401</v>
          </cell>
          <cell r="C1236" t="str">
            <v>X2601</v>
          </cell>
          <cell r="D1236" t="str">
            <v>MOUJJANI</v>
          </cell>
          <cell r="E1236" t="str">
            <v>ALI</v>
          </cell>
          <cell r="F1236">
            <v>19258</v>
          </cell>
          <cell r="G1236" t="str">
            <v>1</v>
          </cell>
          <cell r="H1236" t="str">
            <v>KHOURIBGA</v>
          </cell>
          <cell r="I1236" t="str">
            <v>D</v>
          </cell>
          <cell r="J1236">
            <v>26927</v>
          </cell>
          <cell r="K1236">
            <v>36526</v>
          </cell>
          <cell r="L1236" t="str">
            <v>42</v>
          </cell>
          <cell r="M1236" t="str">
            <v>A</v>
          </cell>
          <cell r="N1236">
            <v>36526</v>
          </cell>
          <cell r="P1236">
            <v>29</v>
          </cell>
          <cell r="Q1236" t="str">
            <v>O</v>
          </cell>
          <cell r="R1236" t="str">
            <v>N</v>
          </cell>
          <cell r="S1236">
            <v>0</v>
          </cell>
          <cell r="T1236" t="str">
            <v>M</v>
          </cell>
          <cell r="U1236" t="str">
            <v>RHASSANE RABIAA BENT OMAR</v>
          </cell>
          <cell r="X1236">
            <v>4</v>
          </cell>
          <cell r="Y1236">
            <v>4</v>
          </cell>
          <cell r="AB1236" t="str">
            <v>O</v>
          </cell>
          <cell r="AC1236" t="str">
            <v>X</v>
          </cell>
          <cell r="AD1236" t="str">
            <v>X</v>
          </cell>
          <cell r="AE1236" t="str">
            <v>OCP.MLE 68404</v>
          </cell>
          <cell r="AH1236" t="str">
            <v>N</v>
          </cell>
          <cell r="AI1236" t="str">
            <v>N</v>
          </cell>
          <cell r="AK1236" t="str">
            <v>102,BIS QUARTIER RIAD BLOC 9 KHOURIBGA</v>
          </cell>
          <cell r="AL1236" t="str">
            <v>4AS</v>
          </cell>
          <cell r="AM1236" t="str">
            <v>CES.</v>
          </cell>
          <cell r="AP1236" t="str">
            <v>Q 17469</v>
          </cell>
          <cell r="AQ1236">
            <v>0</v>
          </cell>
          <cell r="AR1236" t="str">
            <v>B</v>
          </cell>
          <cell r="AS1236" t="str">
            <v>SGMB.KHGA</v>
          </cell>
          <cell r="AT1236" t="str">
            <v>670009076790</v>
          </cell>
          <cell r="AU1236" t="str">
            <v>/  /</v>
          </cell>
          <cell r="AW1236">
            <v>38717</v>
          </cell>
          <cell r="AX1236">
            <v>38717</v>
          </cell>
          <cell r="AY1236" t="str">
            <v>XX</v>
          </cell>
          <cell r="BA1236" t="str">
            <v>2</v>
          </cell>
          <cell r="BB1236">
            <v>1</v>
          </cell>
          <cell r="BD1236">
            <v>0</v>
          </cell>
          <cell r="BE1236" t="str">
            <v>M</v>
          </cell>
          <cell r="BF1236" t="str">
            <v>O</v>
          </cell>
          <cell r="BG1236">
            <v>5</v>
          </cell>
          <cell r="BH1236">
            <v>37987</v>
          </cell>
        </row>
        <row r="1237">
          <cell r="A1237">
            <v>70317</v>
          </cell>
          <cell r="B1237">
            <v>406</v>
          </cell>
          <cell r="C1237" t="str">
            <v>C3152</v>
          </cell>
          <cell r="D1237" t="str">
            <v>CHEBBA</v>
          </cell>
          <cell r="E1237" t="str">
            <v>MOHAMMED</v>
          </cell>
          <cell r="F1237">
            <v>20270</v>
          </cell>
          <cell r="G1237" t="str">
            <v>1</v>
          </cell>
          <cell r="H1237" t="str">
            <v>KHOURIBGA</v>
          </cell>
          <cell r="I1237" t="str">
            <v>D</v>
          </cell>
          <cell r="J1237">
            <v>28520</v>
          </cell>
          <cell r="K1237">
            <v>37288</v>
          </cell>
          <cell r="L1237" t="str">
            <v>21</v>
          </cell>
          <cell r="M1237" t="str">
            <v>A</v>
          </cell>
          <cell r="N1237">
            <v>37288</v>
          </cell>
          <cell r="P1237">
            <v>25</v>
          </cell>
          <cell r="Q1237" t="str">
            <v>O</v>
          </cell>
          <cell r="R1237" t="str">
            <v>N</v>
          </cell>
          <cell r="S1237">
            <v>0</v>
          </cell>
          <cell r="T1237" t="str">
            <v>M</v>
          </cell>
          <cell r="U1237" t="str">
            <v>AICHA BT HAMMOU</v>
          </cell>
          <cell r="X1237">
            <v>5</v>
          </cell>
          <cell r="Y1237">
            <v>3</v>
          </cell>
          <cell r="AB1237" t="str">
            <v>X</v>
          </cell>
          <cell r="AC1237" t="str">
            <v>X</v>
          </cell>
          <cell r="AD1237" t="str">
            <v>X</v>
          </cell>
          <cell r="AH1237" t="str">
            <v>N</v>
          </cell>
          <cell r="AI1237" t="str">
            <v>N</v>
          </cell>
          <cell r="AK1237" t="str">
            <v>592 NELLE MEDINA DE SECHAGE KHOURIBGA</v>
          </cell>
          <cell r="AL1237" t="str">
            <v>5 A.S</v>
          </cell>
          <cell r="AN1237" t="str">
            <v>49═49═08</v>
          </cell>
          <cell r="AP1237" t="str">
            <v>Q 6758</v>
          </cell>
          <cell r="AQ1237">
            <v>0</v>
          </cell>
          <cell r="AR1237" t="str">
            <v>B</v>
          </cell>
          <cell r="AS1237" t="str">
            <v>WAFABANK - KHGA</v>
          </cell>
          <cell r="AT1237" t="str">
            <v>1220301136181</v>
          </cell>
          <cell r="AU1237" t="str">
            <v>/  /</v>
          </cell>
          <cell r="AW1237">
            <v>38534</v>
          </cell>
          <cell r="AY1237" t="str">
            <v>XX</v>
          </cell>
          <cell r="BA1237" t="str">
            <v>1</v>
          </cell>
          <cell r="BB1237">
            <v>1</v>
          </cell>
          <cell r="BD1237">
            <v>0</v>
          </cell>
          <cell r="BE1237" t="str">
            <v>M</v>
          </cell>
          <cell r="BF1237" t="str">
            <v>N</v>
          </cell>
          <cell r="BG1237">
            <v>4</v>
          </cell>
          <cell r="BH1237">
            <v>38534</v>
          </cell>
        </row>
        <row r="1238">
          <cell r="A1238">
            <v>70358</v>
          </cell>
          <cell r="B1238">
            <v>401</v>
          </cell>
          <cell r="C1238" t="str">
            <v>C3601</v>
          </cell>
          <cell r="D1238" t="str">
            <v>EL MAJDOUBI</v>
          </cell>
          <cell r="E1238" t="str">
            <v>LHOUSSAIN</v>
          </cell>
          <cell r="F1238">
            <v>18079</v>
          </cell>
          <cell r="H1238" t="str">
            <v>ZAOUIT CHEIKH</v>
          </cell>
          <cell r="I1238" t="str">
            <v>D</v>
          </cell>
          <cell r="J1238">
            <v>28530</v>
          </cell>
          <cell r="K1238">
            <v>37043</v>
          </cell>
          <cell r="L1238" t="str">
            <v>32</v>
          </cell>
          <cell r="M1238" t="str">
            <v>D</v>
          </cell>
          <cell r="N1238">
            <v>37043</v>
          </cell>
          <cell r="P1238">
            <v>26</v>
          </cell>
          <cell r="Q1238" t="str">
            <v>O</v>
          </cell>
          <cell r="R1238" t="str">
            <v>N</v>
          </cell>
          <cell r="S1238">
            <v>0</v>
          </cell>
          <cell r="T1238" t="str">
            <v>M</v>
          </cell>
          <cell r="U1238" t="str">
            <v>EL AZZAOUI ESSAADIA BT ELHABIB</v>
          </cell>
          <cell r="X1238">
            <v>10</v>
          </cell>
          <cell r="Y1238">
            <v>5</v>
          </cell>
          <cell r="AB1238" t="str">
            <v>X</v>
          </cell>
          <cell r="AC1238" t="str">
            <v>X</v>
          </cell>
          <cell r="AD1238" t="str">
            <v>X</v>
          </cell>
          <cell r="AH1238" t="str">
            <v>O</v>
          </cell>
          <cell r="AI1238" t="str">
            <v>N</v>
          </cell>
          <cell r="AK1238" t="str">
            <v>39  VILLA OCP - OUED ZEM</v>
          </cell>
          <cell r="AL1238" t="str">
            <v>6AS.LM</v>
          </cell>
          <cell r="AM1238" t="str">
            <v>CAT(FAR)</v>
          </cell>
          <cell r="AN1238" t="str">
            <v>41═02═92</v>
          </cell>
          <cell r="AP1238" t="str">
            <v>I 39023</v>
          </cell>
          <cell r="AQ1238">
            <v>0</v>
          </cell>
          <cell r="AR1238" t="str">
            <v>B</v>
          </cell>
          <cell r="AS1238" t="str">
            <v>BMCE.OUED ZEM</v>
          </cell>
          <cell r="AT1238" t="str">
            <v>41101200000009360</v>
          </cell>
          <cell r="AU1238" t="str">
            <v>/  /</v>
          </cell>
          <cell r="AW1238">
            <v>38169</v>
          </cell>
          <cell r="AY1238" t="str">
            <v>XX</v>
          </cell>
          <cell r="BA1238" t="str">
            <v>2</v>
          </cell>
          <cell r="BB1238">
            <v>1</v>
          </cell>
          <cell r="BD1238">
            <v>0</v>
          </cell>
          <cell r="BE1238" t="str">
            <v>M</v>
          </cell>
          <cell r="BF1238" t="str">
            <v>N</v>
          </cell>
          <cell r="BG1238">
            <v>31</v>
          </cell>
          <cell r="BH1238">
            <v>38169</v>
          </cell>
        </row>
        <row r="1239">
          <cell r="A1239">
            <v>21573</v>
          </cell>
          <cell r="B1239">
            <v>466</v>
          </cell>
          <cell r="C1239" t="str">
            <v>X3050</v>
          </cell>
          <cell r="D1239" t="str">
            <v>ZAHAF</v>
          </cell>
          <cell r="E1239" t="str">
            <v>MOHAMMED</v>
          </cell>
          <cell r="F1239">
            <v>20386</v>
          </cell>
          <cell r="H1239" t="str">
            <v>CASABLANCA</v>
          </cell>
          <cell r="I1239" t="str">
            <v>F</v>
          </cell>
          <cell r="J1239">
            <v>29230</v>
          </cell>
          <cell r="K1239">
            <v>32752</v>
          </cell>
          <cell r="L1239" t="str">
            <v>41</v>
          </cell>
          <cell r="M1239" t="str">
            <v>A</v>
          </cell>
          <cell r="N1239">
            <v>32752</v>
          </cell>
          <cell r="P1239">
            <v>23</v>
          </cell>
          <cell r="Q1239" t="str">
            <v>O</v>
          </cell>
          <cell r="R1239" t="str">
            <v>N</v>
          </cell>
          <cell r="S1239">
            <v>0</v>
          </cell>
          <cell r="T1239" t="str">
            <v>M</v>
          </cell>
          <cell r="U1239" t="str">
            <v>CHEBANI FARIDA</v>
          </cell>
          <cell r="X1239">
            <v>4</v>
          </cell>
          <cell r="Y1239">
            <v>4</v>
          </cell>
          <cell r="AB1239" t="str">
            <v>X</v>
          </cell>
          <cell r="AC1239" t="str">
            <v>X</v>
          </cell>
          <cell r="AD1239" t="str">
            <v>X</v>
          </cell>
          <cell r="AH1239" t="str">
            <v>O</v>
          </cell>
          <cell r="AI1239" t="str">
            <v>N</v>
          </cell>
          <cell r="AK1239" t="str">
            <v>26, BLOC 27 NX LOGTS  OCP   KHOURIBGA</v>
          </cell>
          <cell r="AL1239" t="str">
            <v>7AS.S.EXP</v>
          </cell>
          <cell r="AM1239" t="str">
            <v>CFO.EMM</v>
          </cell>
          <cell r="AP1239" t="str">
            <v>B 122290</v>
          </cell>
          <cell r="AQ1239">
            <v>0</v>
          </cell>
          <cell r="AR1239" t="str">
            <v>B</v>
          </cell>
          <cell r="AS1239" t="str">
            <v>BMCE - KHOURIBGA</v>
          </cell>
          <cell r="AT1239" t="str">
            <v>40001200000779064</v>
          </cell>
          <cell r="AU1239" t="str">
            <v>/  /</v>
          </cell>
          <cell r="AW1239">
            <v>41073</v>
          </cell>
          <cell r="AX1239">
            <v>41073</v>
          </cell>
          <cell r="AY1239" t="str">
            <v>XX</v>
          </cell>
          <cell r="BA1239" t="str">
            <v>2</v>
          </cell>
          <cell r="BB1239">
            <v>1</v>
          </cell>
          <cell r="BC1239" t="str">
            <v>O</v>
          </cell>
          <cell r="BD1239">
            <v>0</v>
          </cell>
          <cell r="BE1239" t="str">
            <v>M</v>
          </cell>
          <cell r="BF1239" t="str">
            <v>N</v>
          </cell>
          <cell r="BG1239">
            <v>4</v>
          </cell>
          <cell r="BH1239">
            <v>39264</v>
          </cell>
          <cell r="BI1239" t="str">
            <v>N</v>
          </cell>
        </row>
        <row r="1240">
          <cell r="A1240">
            <v>66513</v>
          </cell>
          <cell r="B1240">
            <v>423</v>
          </cell>
          <cell r="C1240" t="str">
            <v>X3200</v>
          </cell>
          <cell r="D1240" t="str">
            <v>AKIF</v>
          </cell>
          <cell r="E1240" t="str">
            <v>MOHAMMED</v>
          </cell>
          <cell r="F1240">
            <v>19725</v>
          </cell>
          <cell r="G1240" t="str">
            <v>1</v>
          </cell>
          <cell r="H1240" t="str">
            <v>OULED BHAR SGHAR KHOURIBGA</v>
          </cell>
          <cell r="I1240" t="str">
            <v>D</v>
          </cell>
          <cell r="J1240">
            <v>27298</v>
          </cell>
          <cell r="K1240">
            <v>32752</v>
          </cell>
          <cell r="L1240" t="str">
            <v>41</v>
          </cell>
          <cell r="M1240" t="str">
            <v>A</v>
          </cell>
          <cell r="N1240">
            <v>32752</v>
          </cell>
          <cell r="O1240">
            <v>0</v>
          </cell>
          <cell r="P1240">
            <v>28</v>
          </cell>
          <cell r="Q1240" t="str">
            <v>O</v>
          </cell>
          <cell r="R1240" t="str">
            <v>N</v>
          </cell>
          <cell r="S1240">
            <v>0</v>
          </cell>
          <cell r="T1240" t="str">
            <v>M</v>
          </cell>
          <cell r="U1240" t="str">
            <v>CHOUHABI FATNA</v>
          </cell>
          <cell r="X1240">
            <v>4</v>
          </cell>
          <cell r="Y1240">
            <v>2</v>
          </cell>
          <cell r="AB1240" t="str">
            <v>X</v>
          </cell>
          <cell r="AC1240" t="str">
            <v>X</v>
          </cell>
          <cell r="AD1240" t="str">
            <v>X</v>
          </cell>
          <cell r="AH1240" t="str">
            <v>N</v>
          </cell>
          <cell r="AI1240" t="str">
            <v>O</v>
          </cell>
          <cell r="AJ1240">
            <v>32873</v>
          </cell>
          <cell r="AK1240" t="str">
            <v>88 RUE TARABLOUS HAY RIAD KHOURIBGA</v>
          </cell>
          <cell r="AL1240" t="str">
            <v>3AS</v>
          </cell>
          <cell r="AM1240" t="str">
            <v>CFO.EMM</v>
          </cell>
          <cell r="AP1240" t="str">
            <v>Q 37945</v>
          </cell>
          <cell r="AQ1240">
            <v>0</v>
          </cell>
          <cell r="AR1240" t="str">
            <v>B</v>
          </cell>
          <cell r="AS1240" t="str">
            <v>POPULAIRE.KHGA</v>
          </cell>
          <cell r="AT1240" t="str">
            <v>2111112815620005</v>
          </cell>
          <cell r="AU1240" t="str">
            <v>/  /</v>
          </cell>
          <cell r="AW1240">
            <v>38169</v>
          </cell>
          <cell r="AY1240" t="str">
            <v>XX</v>
          </cell>
          <cell r="BA1240" t="str">
            <v>2</v>
          </cell>
          <cell r="BB1240">
            <v>1</v>
          </cell>
          <cell r="BD1240">
            <v>0</v>
          </cell>
          <cell r="BE1240" t="str">
            <v>M</v>
          </cell>
          <cell r="BF1240" t="str">
            <v>N</v>
          </cell>
          <cell r="BG1240">
            <v>4</v>
          </cell>
          <cell r="BH1240">
            <v>38169</v>
          </cell>
          <cell r="BI1240" t="str">
            <v>O</v>
          </cell>
        </row>
        <row r="1241">
          <cell r="A1241">
            <v>67704</v>
          </cell>
          <cell r="B1241">
            <v>468</v>
          </cell>
          <cell r="C1241" t="str">
            <v>X3050</v>
          </cell>
          <cell r="D1241" t="str">
            <v>ADNI</v>
          </cell>
          <cell r="E1241" t="str">
            <v>BENGACEM</v>
          </cell>
          <cell r="F1241">
            <v>19846</v>
          </cell>
          <cell r="G1241" t="str">
            <v>2</v>
          </cell>
          <cell r="H1241" t="str">
            <v>BENI SMIR OUED-ZEM</v>
          </cell>
          <cell r="I1241" t="str">
            <v>D</v>
          </cell>
          <cell r="J1241">
            <v>27516</v>
          </cell>
          <cell r="K1241">
            <v>32752</v>
          </cell>
          <cell r="L1241" t="str">
            <v>41</v>
          </cell>
          <cell r="M1241" t="str">
            <v>A</v>
          </cell>
          <cell r="N1241">
            <v>32752</v>
          </cell>
          <cell r="P1241">
            <v>27</v>
          </cell>
          <cell r="Q1241" t="str">
            <v>O</v>
          </cell>
          <cell r="R1241" t="str">
            <v>N</v>
          </cell>
          <cell r="S1241">
            <v>0</v>
          </cell>
          <cell r="T1241" t="str">
            <v>M</v>
          </cell>
          <cell r="U1241" t="str">
            <v>NACEUR FOUZIA</v>
          </cell>
          <cell r="X1241">
            <v>6</v>
          </cell>
          <cell r="Y1241">
            <v>6</v>
          </cell>
          <cell r="AB1241" t="str">
            <v>X</v>
          </cell>
          <cell r="AC1241" t="str">
            <v>X</v>
          </cell>
          <cell r="AD1241" t="str">
            <v>X</v>
          </cell>
          <cell r="AH1241" t="str">
            <v>O</v>
          </cell>
          <cell r="AI1241" t="str">
            <v>N</v>
          </cell>
          <cell r="AK1241" t="str">
            <v>18 BLOC 18 NX LOGEMENTS OCP - KHOURIBGA</v>
          </cell>
          <cell r="AL1241" t="str">
            <v>5AS.SC.</v>
          </cell>
          <cell r="AM1241" t="str">
            <v>CFO.EMM</v>
          </cell>
          <cell r="AP1241" t="str">
            <v>Q 47617</v>
          </cell>
          <cell r="AQ1241">
            <v>0</v>
          </cell>
          <cell r="AR1241" t="str">
            <v>B</v>
          </cell>
          <cell r="AS1241" t="str">
            <v>C.I.H  KHGA</v>
          </cell>
          <cell r="AT1241" t="str">
            <v>7938251</v>
          </cell>
          <cell r="AU1241" t="str">
            <v>/  /</v>
          </cell>
          <cell r="AW1241">
            <v>39546</v>
          </cell>
          <cell r="AX1241">
            <v>39546</v>
          </cell>
          <cell r="AY1241" t="str">
            <v>XX</v>
          </cell>
          <cell r="BA1241" t="str">
            <v>2</v>
          </cell>
          <cell r="BB1241">
            <v>1</v>
          </cell>
          <cell r="BD1241">
            <v>0</v>
          </cell>
          <cell r="BE1241" t="str">
            <v>M</v>
          </cell>
          <cell r="BF1241" t="str">
            <v>N</v>
          </cell>
          <cell r="BG1241">
            <v>31</v>
          </cell>
          <cell r="BH1241">
            <v>38169</v>
          </cell>
        </row>
        <row r="1242">
          <cell r="A1242">
            <v>67945</v>
          </cell>
          <cell r="B1242">
            <v>401</v>
          </cell>
          <cell r="C1242" t="str">
            <v>X2601</v>
          </cell>
          <cell r="D1242" t="str">
            <v>AKRIDISS</v>
          </cell>
          <cell r="E1242" t="str">
            <v>BELAYD</v>
          </cell>
          <cell r="F1242">
            <v>19520</v>
          </cell>
          <cell r="G1242" t="str">
            <v>4</v>
          </cell>
          <cell r="H1242" t="str">
            <v>BOULANOUAR - KHOURIBGA</v>
          </cell>
          <cell r="I1242" t="str">
            <v>D</v>
          </cell>
          <cell r="J1242">
            <v>27596</v>
          </cell>
          <cell r="K1242">
            <v>35065</v>
          </cell>
          <cell r="L1242" t="str">
            <v>42</v>
          </cell>
          <cell r="M1242" t="str">
            <v>A</v>
          </cell>
          <cell r="N1242">
            <v>35065</v>
          </cell>
          <cell r="P1242">
            <v>27</v>
          </cell>
          <cell r="Q1242" t="str">
            <v>N</v>
          </cell>
          <cell r="R1242" t="str">
            <v>N</v>
          </cell>
          <cell r="S1242">
            <v>0</v>
          </cell>
          <cell r="T1242" t="str">
            <v>M</v>
          </cell>
          <cell r="U1242" t="str">
            <v>MOULINE RACHIDA BT M'BAREK</v>
          </cell>
          <cell r="X1242">
            <v>4</v>
          </cell>
          <cell r="Y1242">
            <v>4</v>
          </cell>
          <cell r="AB1242" t="str">
            <v>X</v>
          </cell>
          <cell r="AC1242" t="str">
            <v>X</v>
          </cell>
          <cell r="AD1242" t="str">
            <v>X</v>
          </cell>
          <cell r="AE1242" t="str">
            <v>SANTE PUBLIQUE</v>
          </cell>
          <cell r="AH1242" t="str">
            <v>N</v>
          </cell>
          <cell r="AI1242" t="str">
            <v>N</v>
          </cell>
          <cell r="AK1242" t="str">
            <v>19 BLOC B AL MASSIRA KHOURIBGA</v>
          </cell>
          <cell r="AL1242" t="str">
            <v>6AS.</v>
          </cell>
          <cell r="AM1242" t="str">
            <v>CES.</v>
          </cell>
          <cell r="AP1242" t="str">
            <v>Q 25372</v>
          </cell>
          <cell r="AQ1242">
            <v>0</v>
          </cell>
          <cell r="AR1242" t="str">
            <v>B</v>
          </cell>
          <cell r="AS1242" t="str">
            <v>B.M.C.I  KHGA</v>
          </cell>
          <cell r="AT1242" t="str">
            <v>02820503435301</v>
          </cell>
          <cell r="AU1242" t="str">
            <v>/  /</v>
          </cell>
          <cell r="AW1242">
            <v>38534</v>
          </cell>
          <cell r="AY1242" t="str">
            <v>XX</v>
          </cell>
          <cell r="BA1242" t="str">
            <v>2</v>
          </cell>
          <cell r="BB1242">
            <v>1</v>
          </cell>
          <cell r="BD1242">
            <v>0</v>
          </cell>
          <cell r="BE1242" t="str">
            <v>M</v>
          </cell>
          <cell r="BF1242" t="str">
            <v>N</v>
          </cell>
          <cell r="BG1242">
            <v>0</v>
          </cell>
          <cell r="BH1242">
            <v>38718</v>
          </cell>
          <cell r="BI1242" t="str">
            <v>O</v>
          </cell>
        </row>
        <row r="1243">
          <cell r="A1243">
            <v>67993</v>
          </cell>
          <cell r="B1243">
            <v>401</v>
          </cell>
          <cell r="C1243" t="str">
            <v>X3601</v>
          </cell>
          <cell r="D1243" t="str">
            <v>MAJD</v>
          </cell>
          <cell r="E1243" t="str">
            <v>MOHAMED</v>
          </cell>
          <cell r="F1243">
            <v>18444</v>
          </cell>
          <cell r="G1243" t="str">
            <v>6</v>
          </cell>
          <cell r="H1243" t="str">
            <v>M'FASSIS - KHOURIBGA</v>
          </cell>
          <cell r="I1243" t="str">
            <v>D</v>
          </cell>
          <cell r="J1243">
            <v>27601</v>
          </cell>
          <cell r="K1243">
            <v>37073</v>
          </cell>
          <cell r="L1243" t="str">
            <v>51</v>
          </cell>
          <cell r="M1243" t="str">
            <v>A</v>
          </cell>
          <cell r="N1243">
            <v>37073</v>
          </cell>
          <cell r="P1243">
            <v>27</v>
          </cell>
          <cell r="Q1243" t="str">
            <v>O</v>
          </cell>
          <cell r="R1243" t="str">
            <v>O</v>
          </cell>
          <cell r="S1243">
            <v>0</v>
          </cell>
          <cell r="T1243" t="str">
            <v>M</v>
          </cell>
          <cell r="U1243" t="str">
            <v>AKKAR ZAHRA</v>
          </cell>
          <cell r="X1243">
            <v>6</v>
          </cell>
          <cell r="Y1243">
            <v>4</v>
          </cell>
          <cell r="AB1243" t="str">
            <v>X</v>
          </cell>
          <cell r="AC1243" t="str">
            <v>X</v>
          </cell>
          <cell r="AD1243" t="str">
            <v>X</v>
          </cell>
          <cell r="AH1243" t="str">
            <v>N</v>
          </cell>
          <cell r="AI1243" t="str">
            <v>N</v>
          </cell>
          <cell r="AK1243" t="str">
            <v>75 RUE IBN TACHFINE HAY NOUARA HATTANE</v>
          </cell>
          <cell r="AL1243" t="str">
            <v>7AS.LM</v>
          </cell>
          <cell r="AM1243" t="str">
            <v>CES.</v>
          </cell>
          <cell r="AP1243" t="str">
            <v>Q 87667</v>
          </cell>
          <cell r="AQ1243">
            <v>0</v>
          </cell>
          <cell r="AR1243" t="str">
            <v>B</v>
          </cell>
          <cell r="AS1243" t="str">
            <v>CNCA - KHOURIBGA</v>
          </cell>
          <cell r="AT1243" t="str">
            <v>0805517 U 601</v>
          </cell>
          <cell r="AU1243" t="str">
            <v>/  /</v>
          </cell>
          <cell r="AW1243">
            <v>38534</v>
          </cell>
          <cell r="AY1243" t="str">
            <v>XX</v>
          </cell>
          <cell r="BA1243" t="str">
            <v>2</v>
          </cell>
          <cell r="BB1243">
            <v>1</v>
          </cell>
          <cell r="BD1243">
            <v>0</v>
          </cell>
          <cell r="BE1243" t="str">
            <v>M</v>
          </cell>
          <cell r="BF1243" t="str">
            <v>N</v>
          </cell>
          <cell r="BG1243">
            <v>0</v>
          </cell>
          <cell r="BH1243">
            <v>38534</v>
          </cell>
          <cell r="BI1243" t="str">
            <v>O</v>
          </cell>
        </row>
        <row r="1244">
          <cell r="A1244">
            <v>68406</v>
          </cell>
          <cell r="B1244">
            <v>402</v>
          </cell>
          <cell r="C1244" t="str">
            <v>X1603</v>
          </cell>
          <cell r="D1244" t="str">
            <v>BERRAD</v>
          </cell>
          <cell r="E1244" t="str">
            <v>ZAHIA</v>
          </cell>
          <cell r="F1244">
            <v>19540</v>
          </cell>
          <cell r="G1244" t="str">
            <v>1</v>
          </cell>
          <cell r="H1244" t="str">
            <v>OULED ABDOUNE - KHOURIBGA</v>
          </cell>
          <cell r="I1244" t="str">
            <v>D</v>
          </cell>
          <cell r="J1244">
            <v>27873</v>
          </cell>
          <cell r="K1244">
            <v>32690</v>
          </cell>
          <cell r="L1244" t="str">
            <v>41</v>
          </cell>
          <cell r="M1244" t="str">
            <v>D</v>
          </cell>
          <cell r="N1244">
            <v>35612</v>
          </cell>
          <cell r="P1244">
            <v>27</v>
          </cell>
          <cell r="Q1244" t="str">
            <v>N</v>
          </cell>
          <cell r="R1244" t="str">
            <v>N</v>
          </cell>
          <cell r="S1244">
            <v>0</v>
          </cell>
          <cell r="T1244" t="str">
            <v>M</v>
          </cell>
          <cell r="U1244" t="str">
            <v>MR LAKHZINE EL BAHLOUL</v>
          </cell>
          <cell r="X1244">
            <v>2</v>
          </cell>
          <cell r="Y1244">
            <v>2</v>
          </cell>
          <cell r="AB1244" t="str">
            <v>X</v>
          </cell>
          <cell r="AC1244" t="str">
            <v>X</v>
          </cell>
          <cell r="AD1244" t="str">
            <v>X</v>
          </cell>
          <cell r="AE1244" t="str">
            <v>RETRAITE OCP.</v>
          </cell>
          <cell r="AH1244" t="str">
            <v>N</v>
          </cell>
          <cell r="AI1244" t="str">
            <v>N</v>
          </cell>
          <cell r="AK1244" t="str">
            <v>216 LOTISSEMENT EL HANA - KHGA</v>
          </cell>
          <cell r="AL1244" t="str">
            <v>6AS.LM</v>
          </cell>
          <cell r="AM1244" t="str">
            <v>CES.</v>
          </cell>
          <cell r="AP1244" t="str">
            <v>Q 30604</v>
          </cell>
          <cell r="AQ1244">
            <v>0</v>
          </cell>
          <cell r="AR1244" t="str">
            <v>B</v>
          </cell>
          <cell r="AS1244" t="str">
            <v>C.I.H - KHGA</v>
          </cell>
          <cell r="AT1244" t="str">
            <v>8784522211004700</v>
          </cell>
          <cell r="AU1244" t="str">
            <v>/  /</v>
          </cell>
          <cell r="AW1244">
            <v>38718</v>
          </cell>
          <cell r="AY1244" t="str">
            <v>XX</v>
          </cell>
          <cell r="BA1244" t="str">
            <v>2</v>
          </cell>
          <cell r="BB1244">
            <v>1</v>
          </cell>
          <cell r="BD1244">
            <v>0</v>
          </cell>
          <cell r="BE1244" t="str">
            <v>F</v>
          </cell>
          <cell r="BF1244" t="str">
            <v>N</v>
          </cell>
          <cell r="BG1244">
            <v>0</v>
          </cell>
          <cell r="BH1244">
            <v>38899</v>
          </cell>
          <cell r="BI1244" t="str">
            <v>O</v>
          </cell>
        </row>
        <row r="1245">
          <cell r="A1245">
            <v>70852</v>
          </cell>
          <cell r="B1245">
            <v>401</v>
          </cell>
          <cell r="C1245" t="str">
            <v>X3601</v>
          </cell>
          <cell r="D1245" t="str">
            <v>EL RHILANI</v>
          </cell>
          <cell r="E1245" t="str">
            <v>HASSAN</v>
          </cell>
          <cell r="F1245">
            <v>21027</v>
          </cell>
          <cell r="G1245" t="str">
            <v>1</v>
          </cell>
          <cell r="H1245" t="str">
            <v>KHOURIBGA</v>
          </cell>
          <cell r="I1245" t="str">
            <v>D</v>
          </cell>
          <cell r="J1245">
            <v>28798</v>
          </cell>
          <cell r="K1245">
            <v>37073</v>
          </cell>
          <cell r="L1245" t="str">
            <v>51</v>
          </cell>
          <cell r="M1245" t="str">
            <v>A</v>
          </cell>
          <cell r="N1245">
            <v>37073</v>
          </cell>
          <cell r="O1245">
            <v>0</v>
          </cell>
          <cell r="P1245">
            <v>24</v>
          </cell>
          <cell r="Q1245" t="str">
            <v>N</v>
          </cell>
          <cell r="R1245" t="str">
            <v>N</v>
          </cell>
          <cell r="S1245">
            <v>0</v>
          </cell>
          <cell r="T1245" t="str">
            <v>M</v>
          </cell>
          <cell r="U1245" t="str">
            <v>EL GHAIB MAHJOUBA NT OMAR</v>
          </cell>
          <cell r="X1245">
            <v>3</v>
          </cell>
          <cell r="Y1245">
            <v>3</v>
          </cell>
          <cell r="AB1245" t="str">
            <v>X</v>
          </cell>
          <cell r="AC1245" t="str">
            <v>X</v>
          </cell>
          <cell r="AD1245" t="str">
            <v>X</v>
          </cell>
          <cell r="AH1245" t="str">
            <v>N</v>
          </cell>
          <cell r="AI1245" t="str">
            <v>N</v>
          </cell>
          <cell r="AK1245" t="str">
            <v>22 BLOC E EL MASSIRA - KHOURIBGA</v>
          </cell>
          <cell r="AL1245" t="str">
            <v>1A.DE FAC.(H.G)</v>
          </cell>
          <cell r="AM1245" t="str">
            <v>CES.BAC(LM)</v>
          </cell>
          <cell r="AP1245" t="str">
            <v>Q 23310</v>
          </cell>
          <cell r="AQ1245">
            <v>0</v>
          </cell>
          <cell r="AR1245" t="str">
            <v>B</v>
          </cell>
          <cell r="AS1245" t="str">
            <v>B.M.C.I  KHGA</v>
          </cell>
          <cell r="AT1245" t="str">
            <v>02820898710301</v>
          </cell>
          <cell r="AU1245" t="str">
            <v>/  /</v>
          </cell>
          <cell r="AW1245">
            <v>39630</v>
          </cell>
          <cell r="AY1245" t="str">
            <v>XX</v>
          </cell>
          <cell r="BA1245" t="str">
            <v>2</v>
          </cell>
          <cell r="BB1245">
            <v>1</v>
          </cell>
          <cell r="BD1245">
            <v>0</v>
          </cell>
          <cell r="BE1245" t="str">
            <v>M</v>
          </cell>
          <cell r="BF1245" t="str">
            <v>N</v>
          </cell>
          <cell r="BG1245">
            <v>0</v>
          </cell>
          <cell r="BH1245">
            <v>39814</v>
          </cell>
          <cell r="BI1245" t="str">
            <v>O</v>
          </cell>
        </row>
        <row r="1246">
          <cell r="A1246">
            <v>72766</v>
          </cell>
          <cell r="B1246">
            <v>446</v>
          </cell>
          <cell r="C1246" t="str">
            <v>X3050</v>
          </cell>
          <cell r="D1246" t="str">
            <v>EL YAMINE</v>
          </cell>
          <cell r="E1246" t="str">
            <v>ABDENNACER</v>
          </cell>
          <cell r="F1246">
            <v>21262</v>
          </cell>
          <cell r="G1246" t="str">
            <v>1</v>
          </cell>
          <cell r="H1246" t="str">
            <v>KHOURIBGA</v>
          </cell>
          <cell r="I1246" t="str">
            <v>F</v>
          </cell>
          <cell r="J1246">
            <v>29790</v>
          </cell>
          <cell r="K1246">
            <v>32752</v>
          </cell>
          <cell r="L1246" t="str">
            <v>41</v>
          </cell>
          <cell r="M1246" t="str">
            <v>A</v>
          </cell>
          <cell r="N1246">
            <v>32752</v>
          </cell>
          <cell r="O1246">
            <v>0</v>
          </cell>
          <cell r="P1246">
            <v>21</v>
          </cell>
          <cell r="Q1246" t="str">
            <v>O</v>
          </cell>
          <cell r="R1246" t="str">
            <v>N</v>
          </cell>
          <cell r="S1246">
            <v>0</v>
          </cell>
          <cell r="T1246" t="str">
            <v>M</v>
          </cell>
          <cell r="U1246" t="str">
            <v>LOUZA BT TAIBI</v>
          </cell>
          <cell r="X1246">
            <v>5</v>
          </cell>
          <cell r="Y1246">
            <v>5</v>
          </cell>
          <cell r="AB1246" t="str">
            <v>X</v>
          </cell>
          <cell r="AC1246" t="str">
            <v>X</v>
          </cell>
          <cell r="AD1246" t="str">
            <v>X</v>
          </cell>
          <cell r="AH1246" t="str">
            <v>N</v>
          </cell>
          <cell r="AI1246" t="str">
            <v>N</v>
          </cell>
          <cell r="AK1246" t="str">
            <v>726 LOTISSEMENT EL AMAL ERAC - KHGA</v>
          </cell>
          <cell r="AL1246" t="str">
            <v>7AS.</v>
          </cell>
          <cell r="AM1246" t="str">
            <v>CES.CFO.EMM</v>
          </cell>
          <cell r="AP1246" t="str">
            <v>Q 51920</v>
          </cell>
          <cell r="AQ1246">
            <v>0</v>
          </cell>
          <cell r="AR1246" t="str">
            <v>B</v>
          </cell>
          <cell r="AS1246" t="str">
            <v>POPULAIRE.KHGA</v>
          </cell>
          <cell r="AT1246" t="str">
            <v>2111112796060007</v>
          </cell>
          <cell r="AU1246" t="str">
            <v>/  /</v>
          </cell>
          <cell r="AW1246">
            <v>39630</v>
          </cell>
          <cell r="AY1246" t="str">
            <v>XX</v>
          </cell>
          <cell r="BA1246" t="str">
            <v>2</v>
          </cell>
          <cell r="BB1246">
            <v>1</v>
          </cell>
          <cell r="BD1246">
            <v>0</v>
          </cell>
          <cell r="BE1246" t="str">
            <v>M</v>
          </cell>
          <cell r="BF1246" t="str">
            <v>N</v>
          </cell>
          <cell r="BG1246">
            <v>1</v>
          </cell>
          <cell r="BH1246">
            <v>39814</v>
          </cell>
          <cell r="BI1246" t="str">
            <v>O</v>
          </cell>
        </row>
        <row r="1247">
          <cell r="A1247">
            <v>72771</v>
          </cell>
          <cell r="B1247">
            <v>418</v>
          </cell>
          <cell r="C1247" t="str">
            <v>X3050</v>
          </cell>
          <cell r="D1247" t="str">
            <v>GUERNINE</v>
          </cell>
          <cell r="E1247" t="str">
            <v>LARBI</v>
          </cell>
          <cell r="F1247">
            <v>20270</v>
          </cell>
          <cell r="H1247" t="str">
            <v>LOULAD - SETTAT</v>
          </cell>
          <cell r="I1247" t="str">
            <v>F</v>
          </cell>
          <cell r="J1247">
            <v>29791</v>
          </cell>
          <cell r="K1247">
            <v>32752</v>
          </cell>
          <cell r="L1247" t="str">
            <v>41</v>
          </cell>
          <cell r="M1247" t="str">
            <v>B</v>
          </cell>
          <cell r="N1247">
            <v>35612</v>
          </cell>
          <cell r="P1247">
            <v>21</v>
          </cell>
          <cell r="Q1247" t="str">
            <v>O</v>
          </cell>
          <cell r="R1247" t="str">
            <v>N</v>
          </cell>
          <cell r="S1247">
            <v>0</v>
          </cell>
          <cell r="T1247" t="str">
            <v>M</v>
          </cell>
          <cell r="U1247" t="str">
            <v>HALLOUMI FAOUZIA</v>
          </cell>
          <cell r="X1247">
            <v>4</v>
          </cell>
          <cell r="Y1247">
            <v>4</v>
          </cell>
          <cell r="AB1247" t="str">
            <v>X</v>
          </cell>
          <cell r="AC1247" t="str">
            <v>X</v>
          </cell>
          <cell r="AD1247" t="str">
            <v>X</v>
          </cell>
          <cell r="AH1247" t="str">
            <v>N</v>
          </cell>
          <cell r="AI1247" t="str">
            <v>N</v>
          </cell>
          <cell r="AK1247" t="str">
            <v>592 RUE MOUNASTIR LOT.AMAL KHOURIBGA</v>
          </cell>
          <cell r="AL1247" t="str">
            <v>7AS.SC.EXP.</v>
          </cell>
          <cell r="AM1247" t="str">
            <v>CEP.CES.CFO.EMM</v>
          </cell>
          <cell r="AP1247" t="str">
            <v>W 29612</v>
          </cell>
          <cell r="AQ1247">
            <v>0</v>
          </cell>
          <cell r="AR1247" t="str">
            <v>B</v>
          </cell>
          <cell r="AS1247" t="str">
            <v>WAFABANK-KHGA</v>
          </cell>
          <cell r="AT1247" t="str">
            <v>1220301210953</v>
          </cell>
          <cell r="AU1247" t="str">
            <v>/  /</v>
          </cell>
          <cell r="AW1247">
            <v>39814</v>
          </cell>
          <cell r="AY1247" t="str">
            <v>XX</v>
          </cell>
          <cell r="BA1247" t="str">
            <v>2</v>
          </cell>
          <cell r="BB1247">
            <v>1</v>
          </cell>
          <cell r="BD1247">
            <v>0</v>
          </cell>
          <cell r="BE1247" t="str">
            <v>M</v>
          </cell>
          <cell r="BF1247" t="str">
            <v>N</v>
          </cell>
          <cell r="BG1247">
            <v>1</v>
          </cell>
          <cell r="BH1247">
            <v>39814</v>
          </cell>
          <cell r="BI1247" t="str">
            <v>O</v>
          </cell>
        </row>
        <row r="1248">
          <cell r="A1248">
            <v>72772</v>
          </cell>
          <cell r="B1248">
            <v>418</v>
          </cell>
          <cell r="C1248" t="str">
            <v>X3050</v>
          </cell>
          <cell r="D1248" t="str">
            <v>BEKKAR</v>
          </cell>
          <cell r="E1248" t="str">
            <v>ABDELALI</v>
          </cell>
          <cell r="F1248">
            <v>21366</v>
          </cell>
          <cell r="H1248" t="str">
            <v>BENI AMIR</v>
          </cell>
          <cell r="I1248" t="str">
            <v>F</v>
          </cell>
          <cell r="J1248">
            <v>29791</v>
          </cell>
          <cell r="K1248">
            <v>32752</v>
          </cell>
          <cell r="L1248" t="str">
            <v>41</v>
          </cell>
          <cell r="M1248" t="str">
            <v>A</v>
          </cell>
          <cell r="N1248">
            <v>32752</v>
          </cell>
          <cell r="P1248">
            <v>21</v>
          </cell>
          <cell r="Q1248" t="str">
            <v>O</v>
          </cell>
          <cell r="R1248" t="str">
            <v>N</v>
          </cell>
          <cell r="S1248">
            <v>0</v>
          </cell>
          <cell r="T1248" t="str">
            <v>M</v>
          </cell>
          <cell r="U1248" t="str">
            <v>ABOURACHID LATIFA</v>
          </cell>
          <cell r="X1248">
            <v>2</v>
          </cell>
          <cell r="Y1248">
            <v>2</v>
          </cell>
          <cell r="AB1248" t="str">
            <v>X</v>
          </cell>
          <cell r="AC1248" t="str">
            <v>X</v>
          </cell>
          <cell r="AD1248" t="str">
            <v>X</v>
          </cell>
          <cell r="AH1248" t="str">
            <v>N</v>
          </cell>
          <cell r="AI1248" t="str">
            <v>N</v>
          </cell>
          <cell r="AK1248" t="str">
            <v>266,RUE LAHBAQ EL HANA KHOURIBGA</v>
          </cell>
          <cell r="AL1248" t="str">
            <v>7AS.SC.EXP.</v>
          </cell>
          <cell r="AM1248" t="str">
            <v>CEP.CES.CFO.EMM</v>
          </cell>
          <cell r="AP1248" t="str">
            <v>I 77823</v>
          </cell>
          <cell r="AQ1248">
            <v>0</v>
          </cell>
          <cell r="AR1248" t="str">
            <v>B</v>
          </cell>
          <cell r="AS1248" t="str">
            <v>WAFABANK - KHGA</v>
          </cell>
          <cell r="AT1248" t="str">
            <v>1220301133656</v>
          </cell>
          <cell r="AU1248" t="str">
            <v>/  /</v>
          </cell>
          <cell r="AW1248">
            <v>39814</v>
          </cell>
          <cell r="AY1248" t="str">
            <v>XX</v>
          </cell>
          <cell r="BA1248" t="str">
            <v>1</v>
          </cell>
          <cell r="BB1248">
            <v>1</v>
          </cell>
          <cell r="BD1248">
            <v>0</v>
          </cell>
          <cell r="BE1248" t="str">
            <v>M</v>
          </cell>
          <cell r="BF1248" t="str">
            <v>N</v>
          </cell>
          <cell r="BG1248">
            <v>2</v>
          </cell>
          <cell r="BH1248">
            <v>39814</v>
          </cell>
          <cell r="BI1248" t="str">
            <v>O</v>
          </cell>
        </row>
        <row r="1249">
          <cell r="A1249">
            <v>72778</v>
          </cell>
          <cell r="B1249">
            <v>428</v>
          </cell>
          <cell r="C1249" t="str">
            <v>X3050</v>
          </cell>
          <cell r="D1249" t="str">
            <v>RIMAOUI</v>
          </cell>
          <cell r="E1249" t="str">
            <v>ABDELAZIZ</v>
          </cell>
          <cell r="F1249">
            <v>20512</v>
          </cell>
          <cell r="H1249" t="str">
            <v>CASABLANCA</v>
          </cell>
          <cell r="I1249" t="str">
            <v>F</v>
          </cell>
          <cell r="J1249">
            <v>29790</v>
          </cell>
          <cell r="K1249">
            <v>32752</v>
          </cell>
          <cell r="L1249" t="str">
            <v>41</v>
          </cell>
          <cell r="M1249" t="str">
            <v>A</v>
          </cell>
          <cell r="N1249">
            <v>32752</v>
          </cell>
          <cell r="P1249">
            <v>21</v>
          </cell>
          <cell r="Q1249" t="str">
            <v>O</v>
          </cell>
          <cell r="R1249" t="str">
            <v>N</v>
          </cell>
          <cell r="S1249">
            <v>0</v>
          </cell>
          <cell r="T1249" t="str">
            <v>M</v>
          </cell>
          <cell r="U1249" t="str">
            <v>BAHANNI SAIDA BT LAHSEN</v>
          </cell>
          <cell r="X1249">
            <v>3</v>
          </cell>
          <cell r="Y1249">
            <v>3</v>
          </cell>
          <cell r="AB1249" t="str">
            <v>X</v>
          </cell>
          <cell r="AC1249" t="str">
            <v>X</v>
          </cell>
          <cell r="AD1249" t="str">
            <v>X</v>
          </cell>
          <cell r="AH1249" t="str">
            <v>O</v>
          </cell>
          <cell r="AI1249" t="str">
            <v>N</v>
          </cell>
          <cell r="AK1249" t="str">
            <v>11 BLOC 23 NVX LOGEMENTS OCP - KHGA</v>
          </cell>
          <cell r="AL1249" t="str">
            <v>7AS.</v>
          </cell>
          <cell r="AM1249" t="str">
            <v>CFO.EMM</v>
          </cell>
          <cell r="AP1249" t="str">
            <v>B 277965</v>
          </cell>
          <cell r="AQ1249">
            <v>0</v>
          </cell>
          <cell r="AR1249" t="str">
            <v>B</v>
          </cell>
          <cell r="AS1249" t="str">
            <v>BMCE.KHGA</v>
          </cell>
          <cell r="AT1249" t="str">
            <v>40001200000484378</v>
          </cell>
          <cell r="AU1249" t="str">
            <v>/  /</v>
          </cell>
          <cell r="AW1249">
            <v>39814</v>
          </cell>
          <cell r="AY1249" t="str">
            <v>XX</v>
          </cell>
          <cell r="BA1249" t="str">
            <v>2</v>
          </cell>
          <cell r="BB1249">
            <v>1</v>
          </cell>
          <cell r="BC1249" t="str">
            <v>O</v>
          </cell>
          <cell r="BD1249">
            <v>0</v>
          </cell>
          <cell r="BE1249" t="str">
            <v>M</v>
          </cell>
          <cell r="BF1249" t="str">
            <v>N</v>
          </cell>
          <cell r="BG1249">
            <v>4</v>
          </cell>
          <cell r="BH1249">
            <v>39814</v>
          </cell>
        </row>
        <row r="1250">
          <cell r="A1250">
            <v>74655</v>
          </cell>
          <cell r="B1250">
            <v>468</v>
          </cell>
          <cell r="C1250" t="str">
            <v>X4050</v>
          </cell>
          <cell r="D1250" t="str">
            <v>SIMARI</v>
          </cell>
          <cell r="E1250" t="str">
            <v>MOHAMED</v>
          </cell>
          <cell r="F1250">
            <v>20436</v>
          </cell>
          <cell r="G1250" t="str">
            <v>2</v>
          </cell>
          <cell r="H1250" t="str">
            <v>BENI KHIRANE</v>
          </cell>
          <cell r="I1250" t="str">
            <v>F</v>
          </cell>
          <cell r="J1250">
            <v>28674</v>
          </cell>
          <cell r="K1250">
            <v>36526</v>
          </cell>
          <cell r="L1250" t="str">
            <v>42</v>
          </cell>
          <cell r="M1250" t="str">
            <v>A</v>
          </cell>
          <cell r="N1250">
            <v>36526</v>
          </cell>
          <cell r="P1250">
            <v>24</v>
          </cell>
          <cell r="Q1250" t="str">
            <v>O</v>
          </cell>
          <cell r="R1250" t="str">
            <v>N</v>
          </cell>
          <cell r="S1250">
            <v>0</v>
          </cell>
          <cell r="T1250" t="str">
            <v>M</v>
          </cell>
          <cell r="U1250" t="str">
            <v>BETTAT HOURIA</v>
          </cell>
          <cell r="X1250">
            <v>6</v>
          </cell>
          <cell r="Y1250">
            <v>5</v>
          </cell>
          <cell r="AB1250" t="str">
            <v>X</v>
          </cell>
          <cell r="AC1250" t="str">
            <v>X</v>
          </cell>
          <cell r="AD1250" t="str">
            <v>X</v>
          </cell>
          <cell r="AH1250" t="str">
            <v>N</v>
          </cell>
          <cell r="AI1250" t="str">
            <v>N</v>
          </cell>
          <cell r="AK1250" t="str">
            <v>284,LOTISSEMENT EL HANA  KHOURIBGA</v>
          </cell>
          <cell r="AL1250" t="str">
            <v>7AS.SC.MATH.</v>
          </cell>
          <cell r="AM1250" t="str">
            <v>CES.CFO.EMM</v>
          </cell>
          <cell r="AP1250" t="str">
            <v>SH 19427</v>
          </cell>
          <cell r="AQ1250">
            <v>0</v>
          </cell>
          <cell r="AR1250" t="str">
            <v>B</v>
          </cell>
          <cell r="AS1250" t="str">
            <v>C.I.H - KHGA</v>
          </cell>
          <cell r="AT1250" t="str">
            <v>3194792211004700</v>
          </cell>
          <cell r="AU1250" t="str">
            <v>/  /</v>
          </cell>
          <cell r="AW1250">
            <v>40873</v>
          </cell>
          <cell r="AX1250">
            <v>40873</v>
          </cell>
          <cell r="AY1250" t="str">
            <v>XX</v>
          </cell>
          <cell r="BA1250" t="str">
            <v>2</v>
          </cell>
          <cell r="BB1250">
            <v>1</v>
          </cell>
          <cell r="BC1250" t="str">
            <v>O</v>
          </cell>
          <cell r="BD1250">
            <v>0</v>
          </cell>
          <cell r="BE1250" t="str">
            <v>M</v>
          </cell>
          <cell r="BF1250" t="str">
            <v>N</v>
          </cell>
          <cell r="BG1250">
            <v>5</v>
          </cell>
          <cell r="BH1250">
            <v>38899</v>
          </cell>
          <cell r="BI1250" t="str">
            <v>O</v>
          </cell>
        </row>
        <row r="1251">
          <cell r="A1251">
            <v>74660</v>
          </cell>
          <cell r="B1251">
            <v>426</v>
          </cell>
          <cell r="C1251" t="str">
            <v>X3050</v>
          </cell>
          <cell r="D1251" t="str">
            <v>TARIQ</v>
          </cell>
          <cell r="E1251" t="str">
            <v>JILALI</v>
          </cell>
          <cell r="F1251">
            <v>22249</v>
          </cell>
          <cell r="H1251" t="str">
            <v>EL BROUJ - SETTAT</v>
          </cell>
          <cell r="I1251" t="str">
            <v>F</v>
          </cell>
          <cell r="J1251">
            <v>31250</v>
          </cell>
          <cell r="K1251">
            <v>32752</v>
          </cell>
          <cell r="L1251" t="str">
            <v>41</v>
          </cell>
          <cell r="M1251" t="str">
            <v>A</v>
          </cell>
          <cell r="N1251">
            <v>32752</v>
          </cell>
          <cell r="P1251">
            <v>17</v>
          </cell>
          <cell r="Q1251" t="str">
            <v>O</v>
          </cell>
          <cell r="R1251" t="str">
            <v>N</v>
          </cell>
          <cell r="S1251">
            <v>0</v>
          </cell>
          <cell r="T1251" t="str">
            <v>M</v>
          </cell>
          <cell r="U1251" t="str">
            <v>EL HADIL TOURIA BT HAJ MOHAMED</v>
          </cell>
          <cell r="X1251">
            <v>2</v>
          </cell>
          <cell r="Y1251">
            <v>2</v>
          </cell>
          <cell r="Z1251" t="str">
            <v>N</v>
          </cell>
          <cell r="AB1251" t="str">
            <v>X</v>
          </cell>
          <cell r="AC1251" t="str">
            <v>X</v>
          </cell>
          <cell r="AD1251" t="str">
            <v>X</v>
          </cell>
          <cell r="AH1251" t="str">
            <v>N</v>
          </cell>
          <cell r="AI1251" t="str">
            <v>O</v>
          </cell>
          <cell r="AJ1251">
            <v>35765</v>
          </cell>
          <cell r="AK1251" t="str">
            <v>308 ZOUITINIA LOT.EL AMAL - KHGA</v>
          </cell>
          <cell r="AL1251" t="str">
            <v>7AS.SC.MATH.</v>
          </cell>
          <cell r="AM1251" t="str">
            <v>CES.CFO.EMM</v>
          </cell>
          <cell r="AP1251" t="str">
            <v>Q 52148</v>
          </cell>
          <cell r="AQ1251">
            <v>0</v>
          </cell>
          <cell r="AR1251" t="str">
            <v>B</v>
          </cell>
          <cell r="AS1251" t="str">
            <v>C.I.H - KHGA</v>
          </cell>
          <cell r="AT1251" t="str">
            <v>8669244211004700</v>
          </cell>
          <cell r="AU1251" t="str">
            <v>/  /</v>
          </cell>
          <cell r="AW1251">
            <v>41275</v>
          </cell>
          <cell r="AY1251" t="str">
            <v>XX</v>
          </cell>
          <cell r="BA1251" t="str">
            <v>2</v>
          </cell>
          <cell r="BB1251">
            <v>1</v>
          </cell>
          <cell r="BC1251" t="str">
            <v>O</v>
          </cell>
          <cell r="BD1251">
            <v>0</v>
          </cell>
          <cell r="BE1251" t="str">
            <v>M</v>
          </cell>
          <cell r="BF1251" t="str">
            <v>N</v>
          </cell>
          <cell r="BG1251">
            <v>4</v>
          </cell>
          <cell r="BH1251">
            <v>41275</v>
          </cell>
          <cell r="BI1251" t="str">
            <v>O</v>
          </cell>
        </row>
        <row r="1252">
          <cell r="A1252">
            <v>74668</v>
          </cell>
          <cell r="B1252">
            <v>414</v>
          </cell>
          <cell r="C1252" t="str">
            <v>X3210</v>
          </cell>
          <cell r="D1252" t="str">
            <v>EL KHATIBI</v>
          </cell>
          <cell r="E1252" t="str">
            <v>ALLAL</v>
          </cell>
          <cell r="F1252">
            <v>20636</v>
          </cell>
          <cell r="H1252" t="str">
            <v>OULED AMRANE - SIDI BENNOUR</v>
          </cell>
          <cell r="I1252" t="str">
            <v>F</v>
          </cell>
          <cell r="J1252">
            <v>29692</v>
          </cell>
          <cell r="K1252">
            <v>32752</v>
          </cell>
          <cell r="L1252" t="str">
            <v>41</v>
          </cell>
          <cell r="M1252" t="str">
            <v>A</v>
          </cell>
          <cell r="N1252">
            <v>32752</v>
          </cell>
          <cell r="P1252">
            <v>22</v>
          </cell>
          <cell r="Q1252" t="str">
            <v>O</v>
          </cell>
          <cell r="R1252" t="str">
            <v>N</v>
          </cell>
          <cell r="S1252">
            <v>0</v>
          </cell>
          <cell r="T1252" t="str">
            <v>M</v>
          </cell>
          <cell r="U1252" t="str">
            <v>EL KHATTABI M'BARKA BT AHMED</v>
          </cell>
          <cell r="X1252">
            <v>0</v>
          </cell>
          <cell r="Y1252">
            <v>0</v>
          </cell>
          <cell r="AB1252" t="str">
            <v>N</v>
          </cell>
          <cell r="AC1252" t="str">
            <v>X</v>
          </cell>
          <cell r="AD1252" t="str">
            <v>X</v>
          </cell>
          <cell r="AH1252" t="str">
            <v>O</v>
          </cell>
          <cell r="AI1252" t="str">
            <v>N</v>
          </cell>
          <cell r="AK1252" t="str">
            <v>1 BLOC 12 NX LOGEMENTS OCP KHOURIBGA</v>
          </cell>
          <cell r="AL1252" t="str">
            <v>7AS.</v>
          </cell>
          <cell r="AM1252" t="str">
            <v>CES.CFO.EMM</v>
          </cell>
          <cell r="AP1252" t="str">
            <v>H 71617</v>
          </cell>
          <cell r="AQ1252">
            <v>0</v>
          </cell>
          <cell r="AR1252" t="str">
            <v>B</v>
          </cell>
          <cell r="AS1252" t="str">
            <v>POPULAIRE.KHGA</v>
          </cell>
          <cell r="AT1252" t="str">
            <v>2111112843910006</v>
          </cell>
          <cell r="AU1252" t="str">
            <v>/  /</v>
          </cell>
          <cell r="AW1252">
            <v>39630</v>
          </cell>
          <cell r="AY1252" t="str">
            <v>XX</v>
          </cell>
          <cell r="BA1252" t="str">
            <v>2</v>
          </cell>
          <cell r="BB1252">
            <v>1</v>
          </cell>
          <cell r="BD1252">
            <v>0</v>
          </cell>
          <cell r="BE1252" t="str">
            <v>M</v>
          </cell>
          <cell r="BF1252" t="str">
            <v>N</v>
          </cell>
          <cell r="BG1252">
            <v>1</v>
          </cell>
          <cell r="BH1252">
            <v>39814</v>
          </cell>
        </row>
        <row r="1253">
          <cell r="A1253">
            <v>74671</v>
          </cell>
          <cell r="B1253">
            <v>464</v>
          </cell>
          <cell r="C1253" t="str">
            <v>X3210</v>
          </cell>
          <cell r="D1253" t="str">
            <v>DHAIDHI</v>
          </cell>
          <cell r="E1253" t="str">
            <v>MOHAMMED</v>
          </cell>
          <cell r="F1253">
            <v>22404</v>
          </cell>
          <cell r="G1253" t="str">
            <v>2</v>
          </cell>
          <cell r="H1253" t="str">
            <v>OUED-ZEM</v>
          </cell>
          <cell r="I1253" t="str">
            <v>F</v>
          </cell>
          <cell r="J1253">
            <v>30274</v>
          </cell>
          <cell r="K1253">
            <v>32752</v>
          </cell>
          <cell r="L1253" t="str">
            <v>41</v>
          </cell>
          <cell r="M1253" t="str">
            <v>A</v>
          </cell>
          <cell r="N1253">
            <v>32752</v>
          </cell>
          <cell r="O1253">
            <v>0</v>
          </cell>
          <cell r="P1253">
            <v>20</v>
          </cell>
          <cell r="Q1253" t="str">
            <v>O</v>
          </cell>
          <cell r="R1253" t="str">
            <v>N</v>
          </cell>
          <cell r="S1253">
            <v>0</v>
          </cell>
          <cell r="T1253" t="str">
            <v>M</v>
          </cell>
          <cell r="U1253" t="str">
            <v>ALANI NEZHA BT MOHAMED</v>
          </cell>
          <cell r="X1253">
            <v>3</v>
          </cell>
          <cell r="Y1253">
            <v>3</v>
          </cell>
          <cell r="AB1253" t="str">
            <v>X</v>
          </cell>
          <cell r="AC1253" t="str">
            <v>X</v>
          </cell>
          <cell r="AD1253" t="str">
            <v>X</v>
          </cell>
          <cell r="AH1253" t="str">
            <v>N</v>
          </cell>
          <cell r="AI1253" t="str">
            <v>N</v>
          </cell>
          <cell r="AK1253" t="str">
            <v>116 RUE 10 QUARTIER KOREA - OUED ZEM</v>
          </cell>
          <cell r="AL1253" t="str">
            <v>7AS.</v>
          </cell>
          <cell r="AM1253" t="str">
            <v>CFO.EMM</v>
          </cell>
          <cell r="AP1253" t="str">
            <v>Q 48884</v>
          </cell>
          <cell r="AQ1253">
            <v>0</v>
          </cell>
          <cell r="AR1253" t="str">
            <v>B</v>
          </cell>
          <cell r="AS1253" t="str">
            <v>B.M.C.I - OUED ZEM</v>
          </cell>
          <cell r="AT1253" t="str">
            <v>0252197390730100001</v>
          </cell>
          <cell r="AU1253" t="str">
            <v>/  /</v>
          </cell>
          <cell r="AW1253">
            <v>40725</v>
          </cell>
          <cell r="AY1253" t="str">
            <v>XX</v>
          </cell>
          <cell r="BA1253" t="str">
            <v>2</v>
          </cell>
          <cell r="BB1253">
            <v>1</v>
          </cell>
          <cell r="BC1253" t="str">
            <v>O</v>
          </cell>
          <cell r="BD1253">
            <v>0</v>
          </cell>
          <cell r="BE1253" t="str">
            <v>M</v>
          </cell>
          <cell r="BF1253" t="str">
            <v>N</v>
          </cell>
          <cell r="BG1253">
            <v>5</v>
          </cell>
          <cell r="BH1253">
            <v>40725</v>
          </cell>
          <cell r="BI1253" t="str">
            <v>O</v>
          </cell>
        </row>
        <row r="1254">
          <cell r="A1254">
            <v>90002</v>
          </cell>
          <cell r="B1254">
            <v>406</v>
          </cell>
          <cell r="C1254" t="str">
            <v>X4050</v>
          </cell>
          <cell r="D1254" t="str">
            <v>JAFOURI</v>
          </cell>
          <cell r="E1254" t="str">
            <v>BOUCHTA</v>
          </cell>
          <cell r="F1254">
            <v>18809</v>
          </cell>
          <cell r="G1254" t="str">
            <v>6</v>
          </cell>
          <cell r="H1254" t="str">
            <v>M'FASSIS</v>
          </cell>
          <cell r="I1254" t="str">
            <v>F</v>
          </cell>
          <cell r="J1254">
            <v>27096</v>
          </cell>
          <cell r="K1254">
            <v>32448</v>
          </cell>
          <cell r="L1254" t="str">
            <v>42</v>
          </cell>
          <cell r="M1254" t="str">
            <v>B</v>
          </cell>
          <cell r="N1254">
            <v>34516</v>
          </cell>
          <cell r="O1254">
            <v>0</v>
          </cell>
          <cell r="P1254">
            <v>29</v>
          </cell>
          <cell r="Q1254" t="str">
            <v>O</v>
          </cell>
          <cell r="R1254" t="str">
            <v>N</v>
          </cell>
          <cell r="S1254">
            <v>0</v>
          </cell>
          <cell r="T1254" t="str">
            <v>M</v>
          </cell>
          <cell r="U1254" t="str">
            <v>ES SABOUR FATNA BT MAATI</v>
          </cell>
          <cell r="X1254">
            <v>4</v>
          </cell>
          <cell r="Y1254">
            <v>1</v>
          </cell>
          <cell r="AB1254" t="str">
            <v>X</v>
          </cell>
          <cell r="AC1254" t="str">
            <v>X</v>
          </cell>
          <cell r="AD1254" t="str">
            <v>X</v>
          </cell>
          <cell r="AH1254" t="str">
            <v>N</v>
          </cell>
          <cell r="AI1254" t="str">
            <v>N</v>
          </cell>
          <cell r="AK1254" t="str">
            <v>281 HAY AL QODS KHOURIBGA</v>
          </cell>
          <cell r="AL1254" t="str">
            <v>5AS .SC.</v>
          </cell>
          <cell r="AM1254" t="str">
            <v>CES.CFO.EMM</v>
          </cell>
          <cell r="AP1254" t="str">
            <v>H 1267</v>
          </cell>
          <cell r="AQ1254">
            <v>0</v>
          </cell>
          <cell r="AR1254" t="str">
            <v>B</v>
          </cell>
          <cell r="AS1254" t="str">
            <v>C.I.H KHGA</v>
          </cell>
          <cell r="AT1254" t="str">
            <v>8668204211004700</v>
          </cell>
          <cell r="AU1254" t="str">
            <v>/  /</v>
          </cell>
          <cell r="AW1254">
            <v>37622</v>
          </cell>
          <cell r="AX1254">
            <v>37555</v>
          </cell>
          <cell r="AY1254" t="str">
            <v>XX</v>
          </cell>
          <cell r="AZ1254" t="str">
            <v>M</v>
          </cell>
          <cell r="BA1254" t="str">
            <v>2</v>
          </cell>
          <cell r="BB1254">
            <v>1</v>
          </cell>
          <cell r="BD1254">
            <v>0</v>
          </cell>
          <cell r="BE1254" t="str">
            <v>M</v>
          </cell>
          <cell r="BF1254" t="str">
            <v>N</v>
          </cell>
          <cell r="BG1254">
            <v>4</v>
          </cell>
          <cell r="BH1254">
            <v>37073</v>
          </cell>
          <cell r="BI1254" t="str">
            <v>O</v>
          </cell>
        </row>
        <row r="1255">
          <cell r="A1255">
            <v>90015</v>
          </cell>
          <cell r="B1255">
            <v>423</v>
          </cell>
          <cell r="C1255" t="str">
            <v>X4200</v>
          </cell>
          <cell r="D1255" t="str">
            <v>RHOUALEM</v>
          </cell>
          <cell r="E1255" t="str">
            <v>BOUAZZA</v>
          </cell>
          <cell r="F1255">
            <v>19175</v>
          </cell>
          <cell r="G1255" t="str">
            <v>1</v>
          </cell>
          <cell r="H1255" t="str">
            <v>OULED BHAR KBAR KHOURIBGA</v>
          </cell>
          <cell r="I1255" t="str">
            <v>F</v>
          </cell>
          <cell r="J1255">
            <v>26967</v>
          </cell>
          <cell r="K1255">
            <v>32843</v>
          </cell>
          <cell r="L1255" t="str">
            <v>42</v>
          </cell>
          <cell r="M1255" t="str">
            <v>A</v>
          </cell>
          <cell r="N1255">
            <v>32843</v>
          </cell>
          <cell r="P1255">
            <v>29</v>
          </cell>
          <cell r="Q1255" t="str">
            <v>O</v>
          </cell>
          <cell r="R1255" t="str">
            <v>N</v>
          </cell>
          <cell r="S1255">
            <v>0</v>
          </cell>
          <cell r="T1255" t="str">
            <v>M</v>
          </cell>
          <cell r="U1255" t="str">
            <v>OUARRAK NEZHA BT HAJ MAATI</v>
          </cell>
          <cell r="X1255">
            <v>6</v>
          </cell>
          <cell r="Y1255">
            <v>6</v>
          </cell>
          <cell r="AB1255" t="str">
            <v>X</v>
          </cell>
          <cell r="AC1255" t="str">
            <v>X</v>
          </cell>
          <cell r="AD1255" t="str">
            <v>X</v>
          </cell>
          <cell r="AH1255" t="str">
            <v>N</v>
          </cell>
          <cell r="AI1255" t="str">
            <v>N</v>
          </cell>
          <cell r="AK1255" t="str">
            <v>52,RUE IBTISSAM,LOT. EL OUARRAK KHGA</v>
          </cell>
          <cell r="AL1255" t="str">
            <v>4AS</v>
          </cell>
          <cell r="AM1255" t="str">
            <v>CET.CFO.EMM</v>
          </cell>
          <cell r="AP1255" t="str">
            <v>Q 18140</v>
          </cell>
          <cell r="AQ1255">
            <v>0</v>
          </cell>
          <cell r="AR1255" t="str">
            <v>B</v>
          </cell>
          <cell r="AS1255" t="str">
            <v>SGMB.KHGA</v>
          </cell>
          <cell r="AT1255" t="str">
            <v>670009058845</v>
          </cell>
          <cell r="AU1255" t="str">
            <v>/  /</v>
          </cell>
          <cell r="AW1255">
            <v>37438</v>
          </cell>
          <cell r="AY1255" t="str">
            <v>XX</v>
          </cell>
          <cell r="AZ1255" t="str">
            <v>M</v>
          </cell>
          <cell r="BA1255" t="str">
            <v>2</v>
          </cell>
          <cell r="BB1255">
            <v>1</v>
          </cell>
          <cell r="BC1255" t="str">
            <v>O</v>
          </cell>
          <cell r="BD1255">
            <v>0</v>
          </cell>
          <cell r="BE1255" t="str">
            <v>M</v>
          </cell>
          <cell r="BF1255" t="str">
            <v>N</v>
          </cell>
          <cell r="BG1255">
            <v>4</v>
          </cell>
          <cell r="BH1255">
            <v>37438</v>
          </cell>
          <cell r="BI1255" t="str">
            <v>O</v>
          </cell>
        </row>
        <row r="1256">
          <cell r="A1256">
            <v>90016</v>
          </cell>
          <cell r="B1256">
            <v>418</v>
          </cell>
          <cell r="C1256" t="str">
            <v>X4050</v>
          </cell>
          <cell r="D1256" t="str">
            <v>RAHMANI</v>
          </cell>
          <cell r="E1256" t="str">
            <v>BASSOU</v>
          </cell>
          <cell r="F1256">
            <v>18444</v>
          </cell>
          <cell r="H1256" t="str">
            <v>ZAOUIAT CHEIKH</v>
          </cell>
          <cell r="I1256" t="str">
            <v>F</v>
          </cell>
          <cell r="J1256">
            <v>27095</v>
          </cell>
          <cell r="K1256">
            <v>36526</v>
          </cell>
          <cell r="L1256" t="str">
            <v>42</v>
          </cell>
          <cell r="M1256" t="str">
            <v>A</v>
          </cell>
          <cell r="N1256">
            <v>36526</v>
          </cell>
          <cell r="P1256">
            <v>29</v>
          </cell>
          <cell r="Q1256" t="str">
            <v>O</v>
          </cell>
          <cell r="R1256" t="str">
            <v>N</v>
          </cell>
          <cell r="S1256">
            <v>0</v>
          </cell>
          <cell r="T1256" t="str">
            <v>M</v>
          </cell>
          <cell r="U1256" t="str">
            <v>ZAIDI NAIMA</v>
          </cell>
          <cell r="X1256">
            <v>5</v>
          </cell>
          <cell r="Y1256">
            <v>3</v>
          </cell>
          <cell r="AB1256" t="str">
            <v>X</v>
          </cell>
          <cell r="AC1256" t="str">
            <v>X</v>
          </cell>
          <cell r="AD1256" t="str">
            <v>X</v>
          </cell>
          <cell r="AH1256" t="str">
            <v>O</v>
          </cell>
          <cell r="AI1256" t="str">
            <v>N</v>
          </cell>
          <cell r="AK1256" t="str">
            <v>50 BLOC 32 NOUVEAUX LOGEMENTS OCP KHGA</v>
          </cell>
          <cell r="AL1256" t="str">
            <v>6AS.LM.A.APP.</v>
          </cell>
          <cell r="AM1256" t="str">
            <v>CES.CFO.EMM</v>
          </cell>
          <cell r="AO1256" t="str">
            <v>OOOO</v>
          </cell>
          <cell r="AP1256" t="str">
            <v>Q 15020</v>
          </cell>
          <cell r="AQ1256">
            <v>0</v>
          </cell>
          <cell r="AR1256" t="str">
            <v>B</v>
          </cell>
          <cell r="AS1256" t="str">
            <v>BMCI - KHOURIBGA</v>
          </cell>
          <cell r="AT1256" t="str">
            <v>02821218325301</v>
          </cell>
          <cell r="AU1256" t="str">
            <v>/  /</v>
          </cell>
          <cell r="AW1256">
            <v>37622</v>
          </cell>
          <cell r="AX1256">
            <v>37555</v>
          </cell>
          <cell r="AY1256" t="str">
            <v>XX</v>
          </cell>
          <cell r="BA1256" t="str">
            <v>2</v>
          </cell>
          <cell r="BB1256">
            <v>1</v>
          </cell>
          <cell r="BD1256">
            <v>0</v>
          </cell>
          <cell r="BE1256" t="str">
            <v>M</v>
          </cell>
          <cell r="BF1256" t="str">
            <v>N</v>
          </cell>
          <cell r="BG1256">
            <v>1</v>
          </cell>
          <cell r="BH1256">
            <v>37073</v>
          </cell>
        </row>
        <row r="1257">
          <cell r="A1257">
            <v>90031</v>
          </cell>
          <cell r="B1257">
            <v>413</v>
          </cell>
          <cell r="C1257" t="str">
            <v>X4200</v>
          </cell>
          <cell r="D1257" t="str">
            <v>RAJI</v>
          </cell>
          <cell r="E1257" t="str">
            <v>MOHAMED</v>
          </cell>
          <cell r="F1257">
            <v>20636</v>
          </cell>
          <cell r="H1257" t="str">
            <v>TAFRAOUAT</v>
          </cell>
          <cell r="I1257" t="str">
            <v>F</v>
          </cell>
          <cell r="J1257">
            <v>27883</v>
          </cell>
          <cell r="K1257">
            <v>33573</v>
          </cell>
          <cell r="L1257" t="str">
            <v>42</v>
          </cell>
          <cell r="M1257" t="str">
            <v>A</v>
          </cell>
          <cell r="N1257">
            <v>33573</v>
          </cell>
          <cell r="O1257">
            <v>0</v>
          </cell>
          <cell r="P1257">
            <v>26</v>
          </cell>
          <cell r="Q1257" t="str">
            <v>O</v>
          </cell>
          <cell r="R1257" t="str">
            <v>N</v>
          </cell>
          <cell r="S1257">
            <v>0</v>
          </cell>
          <cell r="T1257" t="str">
            <v>M</v>
          </cell>
          <cell r="U1257" t="str">
            <v>CHOUKRI NAIMA BT KACEM</v>
          </cell>
          <cell r="X1257">
            <v>3</v>
          </cell>
          <cell r="Y1257">
            <v>3</v>
          </cell>
          <cell r="AB1257" t="str">
            <v>N</v>
          </cell>
          <cell r="AC1257" t="str">
            <v>X</v>
          </cell>
          <cell r="AD1257" t="str">
            <v>X</v>
          </cell>
          <cell r="AH1257" t="str">
            <v>O</v>
          </cell>
          <cell r="AI1257" t="str">
            <v>N</v>
          </cell>
          <cell r="AK1257" t="str">
            <v>03,RUE B FERNANDEZ  OCP KHOURIBGA</v>
          </cell>
          <cell r="AL1257" t="str">
            <v>5AS</v>
          </cell>
          <cell r="AM1257" t="str">
            <v>CES.CQP.CFO.EMM</v>
          </cell>
          <cell r="AP1257" t="str">
            <v>Q 46913</v>
          </cell>
          <cell r="AQ1257">
            <v>0</v>
          </cell>
          <cell r="AR1257" t="str">
            <v>B</v>
          </cell>
          <cell r="AS1257" t="str">
            <v>CIH . KHOURIBGA</v>
          </cell>
          <cell r="AT1257" t="str">
            <v>3195203211004700</v>
          </cell>
          <cell r="AU1257" t="str">
            <v>/  /</v>
          </cell>
          <cell r="AW1257">
            <v>38882</v>
          </cell>
          <cell r="AX1257">
            <v>38882</v>
          </cell>
          <cell r="AZ1257" t="str">
            <v>M</v>
          </cell>
          <cell r="BA1257" t="str">
            <v>2</v>
          </cell>
          <cell r="BB1257">
            <v>1</v>
          </cell>
          <cell r="BD1257">
            <v>0</v>
          </cell>
          <cell r="BE1257" t="str">
            <v>M</v>
          </cell>
          <cell r="BG1257">
            <v>1</v>
          </cell>
          <cell r="BH1257">
            <v>38899</v>
          </cell>
        </row>
        <row r="1258">
          <cell r="A1258">
            <v>90120</v>
          </cell>
          <cell r="B1258">
            <v>476</v>
          </cell>
          <cell r="C1258" t="str">
            <v>X4050</v>
          </cell>
          <cell r="D1258" t="str">
            <v>LEGNAOUI</v>
          </cell>
          <cell r="E1258" t="str">
            <v>BELGACEM</v>
          </cell>
          <cell r="F1258">
            <v>19175</v>
          </cell>
          <cell r="H1258" t="str">
            <v>KASBA TADLA</v>
          </cell>
          <cell r="I1258" t="str">
            <v>F</v>
          </cell>
          <cell r="J1258">
            <v>27474</v>
          </cell>
          <cell r="K1258">
            <v>36526</v>
          </cell>
          <cell r="L1258" t="str">
            <v>42</v>
          </cell>
          <cell r="M1258" t="str">
            <v>A</v>
          </cell>
          <cell r="N1258">
            <v>36526</v>
          </cell>
          <cell r="P1258">
            <v>28</v>
          </cell>
          <cell r="Q1258" t="str">
            <v>O</v>
          </cell>
          <cell r="R1258" t="str">
            <v>N</v>
          </cell>
          <cell r="S1258">
            <v>0</v>
          </cell>
          <cell r="T1258" t="str">
            <v>M</v>
          </cell>
          <cell r="U1258" t="str">
            <v>TALEB FETTOUMA</v>
          </cell>
          <cell r="X1258">
            <v>3</v>
          </cell>
          <cell r="Y1258">
            <v>1</v>
          </cell>
          <cell r="AB1258" t="str">
            <v>X</v>
          </cell>
          <cell r="AC1258" t="str">
            <v>X</v>
          </cell>
          <cell r="AD1258" t="str">
            <v>X</v>
          </cell>
          <cell r="AH1258" t="str">
            <v>N</v>
          </cell>
          <cell r="AI1258" t="str">
            <v>N</v>
          </cell>
          <cell r="AK1258" t="str">
            <v>6 COOPERATIVE ERRACHADE RIAD - KHGA</v>
          </cell>
          <cell r="AL1258" t="str">
            <v>7EME T.I</v>
          </cell>
          <cell r="AM1258" t="str">
            <v>CEP.CES.CFO.EMM</v>
          </cell>
          <cell r="AP1258" t="str">
            <v>Q 31411</v>
          </cell>
          <cell r="AQ1258">
            <v>0</v>
          </cell>
          <cell r="AR1258" t="str">
            <v>B</v>
          </cell>
          <cell r="AS1258" t="str">
            <v>POPULAIRE.KHGA</v>
          </cell>
          <cell r="AT1258" t="str">
            <v>2111112767060002</v>
          </cell>
          <cell r="AU1258" t="str">
            <v>/  /</v>
          </cell>
          <cell r="AW1258">
            <v>37438</v>
          </cell>
          <cell r="BA1258" t="str">
            <v>2</v>
          </cell>
          <cell r="BB1258">
            <v>1</v>
          </cell>
          <cell r="BD1258">
            <v>0</v>
          </cell>
          <cell r="BE1258" t="str">
            <v>M</v>
          </cell>
          <cell r="BF1258" t="str">
            <v>N</v>
          </cell>
          <cell r="BG1258">
            <v>1</v>
          </cell>
          <cell r="BH1258">
            <v>37438</v>
          </cell>
          <cell r="BI1258" t="str">
            <v>O</v>
          </cell>
        </row>
        <row r="1259">
          <cell r="A1259">
            <v>90128</v>
          </cell>
          <cell r="B1259">
            <v>409</v>
          </cell>
          <cell r="C1259" t="str">
            <v>X5032</v>
          </cell>
          <cell r="D1259" t="str">
            <v>KOURBI</v>
          </cell>
          <cell r="E1259" t="str">
            <v>MOHAMMED</v>
          </cell>
          <cell r="F1259">
            <v>19933</v>
          </cell>
          <cell r="G1259" t="str">
            <v>1</v>
          </cell>
          <cell r="H1259" t="str">
            <v>OULED BHAR KBAR KHOURIBGA</v>
          </cell>
          <cell r="I1259" t="str">
            <v>F</v>
          </cell>
          <cell r="J1259">
            <v>27671</v>
          </cell>
          <cell r="K1259">
            <v>35612</v>
          </cell>
          <cell r="L1259" t="str">
            <v>51</v>
          </cell>
          <cell r="M1259" t="str">
            <v>A</v>
          </cell>
          <cell r="N1259">
            <v>35612</v>
          </cell>
          <cell r="P1259">
            <v>27</v>
          </cell>
          <cell r="Q1259" t="str">
            <v>O</v>
          </cell>
          <cell r="R1259" t="str">
            <v>N</v>
          </cell>
          <cell r="S1259">
            <v>0</v>
          </cell>
          <cell r="T1259" t="str">
            <v>M</v>
          </cell>
          <cell r="U1259" t="str">
            <v>AFFIF FADMA BT MOHAMED</v>
          </cell>
          <cell r="X1259">
            <v>5</v>
          </cell>
          <cell r="Y1259">
            <v>2</v>
          </cell>
          <cell r="AB1259" t="str">
            <v>X</v>
          </cell>
          <cell r="AC1259" t="str">
            <v>X</v>
          </cell>
          <cell r="AD1259" t="str">
            <v>X</v>
          </cell>
          <cell r="AH1259" t="str">
            <v>N</v>
          </cell>
          <cell r="AI1259" t="str">
            <v>N</v>
          </cell>
          <cell r="AK1259" t="str">
            <v>30 HAY EL HANA - KHOURIBGA</v>
          </cell>
          <cell r="AL1259" t="str">
            <v>5 EME SC.EX</v>
          </cell>
          <cell r="AM1259" t="str">
            <v>CES.CFO.EMM</v>
          </cell>
          <cell r="AP1259" t="str">
            <v>Q 18952</v>
          </cell>
          <cell r="AQ1259">
            <v>0</v>
          </cell>
          <cell r="AR1259" t="str">
            <v>B</v>
          </cell>
          <cell r="AS1259" t="str">
            <v>C.I.H - KHGA</v>
          </cell>
          <cell r="AT1259" t="str">
            <v>9829896211004700</v>
          </cell>
          <cell r="AU1259" t="str">
            <v>/  /</v>
          </cell>
          <cell r="AW1259">
            <v>38353</v>
          </cell>
          <cell r="AZ1259" t="str">
            <v>M</v>
          </cell>
          <cell r="BA1259" t="str">
            <v>2</v>
          </cell>
          <cell r="BB1259">
            <v>1</v>
          </cell>
          <cell r="BD1259">
            <v>0</v>
          </cell>
          <cell r="BE1259" t="str">
            <v>M</v>
          </cell>
          <cell r="BF1259" t="str">
            <v>N</v>
          </cell>
          <cell r="BG1259">
            <v>1</v>
          </cell>
          <cell r="BH1259">
            <v>38353</v>
          </cell>
          <cell r="BI1259" t="str">
            <v>O</v>
          </cell>
        </row>
        <row r="1260">
          <cell r="A1260">
            <v>90134</v>
          </cell>
          <cell r="B1260">
            <v>423</v>
          </cell>
          <cell r="C1260" t="str">
            <v>X6200</v>
          </cell>
          <cell r="D1260" t="str">
            <v>CHERRADI</v>
          </cell>
          <cell r="E1260" t="str">
            <v>ABDELOUAHED</v>
          </cell>
          <cell r="F1260">
            <v>19905</v>
          </cell>
          <cell r="G1260" t="str">
            <v>1</v>
          </cell>
          <cell r="H1260" t="str">
            <v>OULED ABDOUNE - KHOURIBGA</v>
          </cell>
          <cell r="I1260" t="str">
            <v>F</v>
          </cell>
          <cell r="J1260">
            <v>27877</v>
          </cell>
          <cell r="K1260">
            <v>36526</v>
          </cell>
          <cell r="L1260" t="str">
            <v>52</v>
          </cell>
          <cell r="M1260" t="str">
            <v>A</v>
          </cell>
          <cell r="N1260">
            <v>36526</v>
          </cell>
          <cell r="P1260">
            <v>27</v>
          </cell>
          <cell r="Q1260" t="str">
            <v>O</v>
          </cell>
          <cell r="R1260" t="str">
            <v>N</v>
          </cell>
          <cell r="S1260">
            <v>0</v>
          </cell>
          <cell r="T1260" t="str">
            <v>M</v>
          </cell>
          <cell r="U1260" t="str">
            <v>ABBOUDI RACHIDA</v>
          </cell>
          <cell r="X1260">
            <v>3</v>
          </cell>
          <cell r="Y1260">
            <v>3</v>
          </cell>
          <cell r="AB1260" t="str">
            <v>X</v>
          </cell>
          <cell r="AC1260" t="str">
            <v>X</v>
          </cell>
          <cell r="AD1260" t="str">
            <v>X</v>
          </cell>
          <cell r="AH1260" t="str">
            <v>N</v>
          </cell>
          <cell r="AI1260" t="str">
            <v>N</v>
          </cell>
          <cell r="AK1260" t="str">
            <v>BLOC C 20 RUE HIMS HAY RIAD - KHOURIBGA</v>
          </cell>
          <cell r="AL1260" t="str">
            <v>5 EME SC.</v>
          </cell>
          <cell r="AM1260" t="str">
            <v>CEP.CES.CFP.CQP.CFO.EMM</v>
          </cell>
          <cell r="AP1260" t="str">
            <v>Q 13979</v>
          </cell>
          <cell r="AQ1260">
            <v>0</v>
          </cell>
          <cell r="AR1260" t="str">
            <v>B</v>
          </cell>
          <cell r="AS1260" t="str">
            <v>BCM . KHOURIBGA</v>
          </cell>
          <cell r="AT1260" t="str">
            <v>097 V 306159</v>
          </cell>
          <cell r="AU1260" t="str">
            <v>/  /</v>
          </cell>
          <cell r="AW1260">
            <v>38169</v>
          </cell>
          <cell r="BA1260" t="str">
            <v>2</v>
          </cell>
          <cell r="BB1260">
            <v>1</v>
          </cell>
          <cell r="BD1260">
            <v>0</v>
          </cell>
          <cell r="BE1260" t="str">
            <v>M</v>
          </cell>
          <cell r="BF1260" t="str">
            <v>N</v>
          </cell>
          <cell r="BG1260">
            <v>1</v>
          </cell>
          <cell r="BH1260">
            <v>38169</v>
          </cell>
          <cell r="BI1260" t="str">
            <v>O</v>
          </cell>
        </row>
        <row r="1261">
          <cell r="A1261">
            <v>90140</v>
          </cell>
          <cell r="B1261">
            <v>468</v>
          </cell>
          <cell r="C1261" t="str">
            <v>X4050</v>
          </cell>
          <cell r="D1261" t="str">
            <v>NASRI</v>
          </cell>
          <cell r="E1261" t="str">
            <v>AHMED</v>
          </cell>
          <cell r="F1261">
            <v>19099</v>
          </cell>
          <cell r="G1261" t="str">
            <v>2</v>
          </cell>
          <cell r="H1261" t="str">
            <v>OUED-ZEM</v>
          </cell>
          <cell r="I1261" t="str">
            <v>F</v>
          </cell>
          <cell r="J1261">
            <v>28104</v>
          </cell>
          <cell r="K1261">
            <v>36526</v>
          </cell>
          <cell r="L1261" t="str">
            <v>42</v>
          </cell>
          <cell r="M1261" t="str">
            <v>A</v>
          </cell>
          <cell r="N1261">
            <v>36526</v>
          </cell>
          <cell r="P1261">
            <v>26</v>
          </cell>
          <cell r="Q1261" t="str">
            <v>O</v>
          </cell>
          <cell r="R1261" t="str">
            <v>N</v>
          </cell>
          <cell r="S1261">
            <v>0</v>
          </cell>
          <cell r="T1261" t="str">
            <v>M</v>
          </cell>
          <cell r="U1261" t="str">
            <v>KHALILI FATIMA BT MUSTAPHA</v>
          </cell>
          <cell r="X1261">
            <v>5</v>
          </cell>
          <cell r="Y1261">
            <v>4</v>
          </cell>
          <cell r="AB1261" t="str">
            <v>X</v>
          </cell>
          <cell r="AC1261" t="str">
            <v>X</v>
          </cell>
          <cell r="AD1261" t="str">
            <v>X</v>
          </cell>
          <cell r="AH1261" t="str">
            <v>N</v>
          </cell>
          <cell r="AI1261" t="str">
            <v>N</v>
          </cell>
          <cell r="AK1261" t="str">
            <v>38 LOT. BELBSIR RUE BENI AMIR - OUED ZEM</v>
          </cell>
          <cell r="AL1261" t="str">
            <v>7EME SC.EXP.</v>
          </cell>
          <cell r="AM1261" t="str">
            <v>CES.CFO.EMM</v>
          </cell>
          <cell r="AP1261" t="str">
            <v>Q 32106</v>
          </cell>
          <cell r="AQ1261">
            <v>0</v>
          </cell>
          <cell r="AR1261" t="str">
            <v>B</v>
          </cell>
          <cell r="AS1261" t="str">
            <v>POPULAIRE.O.ZEM</v>
          </cell>
          <cell r="AT1261" t="str">
            <v>2111113031670006</v>
          </cell>
          <cell r="AU1261" t="str">
            <v>/  /</v>
          </cell>
          <cell r="AW1261">
            <v>38169</v>
          </cell>
          <cell r="BA1261" t="str">
            <v>2</v>
          </cell>
          <cell r="BB1261">
            <v>1</v>
          </cell>
          <cell r="BD1261">
            <v>0</v>
          </cell>
          <cell r="BE1261" t="str">
            <v>M</v>
          </cell>
          <cell r="BF1261" t="str">
            <v>N</v>
          </cell>
          <cell r="BG1261">
            <v>31</v>
          </cell>
          <cell r="BH1261">
            <v>38169</v>
          </cell>
          <cell r="BI1261" t="str">
            <v>O</v>
          </cell>
        </row>
        <row r="1262">
          <cell r="A1262">
            <v>90235</v>
          </cell>
          <cell r="B1262">
            <v>405</v>
          </cell>
          <cell r="C1262" t="str">
            <v>X4300</v>
          </cell>
          <cell r="D1262" t="str">
            <v>JADID</v>
          </cell>
          <cell r="E1262" t="str">
            <v>MOHAMMED</v>
          </cell>
          <cell r="F1262">
            <v>17647</v>
          </cell>
          <cell r="G1262" t="str">
            <v>1</v>
          </cell>
          <cell r="H1262" t="str">
            <v>KHOURIBGA</v>
          </cell>
          <cell r="I1262" t="str">
            <v>D</v>
          </cell>
          <cell r="J1262">
            <v>28010</v>
          </cell>
          <cell r="K1262">
            <v>36526</v>
          </cell>
          <cell r="L1262" t="str">
            <v>42</v>
          </cell>
          <cell r="M1262" t="str">
            <v>A</v>
          </cell>
          <cell r="N1262">
            <v>36526</v>
          </cell>
          <cell r="P1262">
            <v>26</v>
          </cell>
          <cell r="Q1262" t="str">
            <v>O</v>
          </cell>
          <cell r="R1262" t="str">
            <v>N</v>
          </cell>
          <cell r="S1262">
            <v>0</v>
          </cell>
          <cell r="T1262" t="str">
            <v>M</v>
          </cell>
          <cell r="U1262" t="str">
            <v>MALIKA BT MOHAMED ETTAM</v>
          </cell>
          <cell r="X1262">
            <v>3</v>
          </cell>
          <cell r="Y1262">
            <v>1</v>
          </cell>
          <cell r="AB1262" t="str">
            <v>X</v>
          </cell>
          <cell r="AC1262" t="str">
            <v>X</v>
          </cell>
          <cell r="AD1262" t="str">
            <v>X</v>
          </cell>
          <cell r="AH1262" t="str">
            <v>N</v>
          </cell>
          <cell r="AI1262" t="str">
            <v>N</v>
          </cell>
          <cell r="AK1262" t="str">
            <v>8 BLOC K AVENUE CAID AHMED CHERRADI KHGA</v>
          </cell>
          <cell r="AL1262" t="str">
            <v>4AS</v>
          </cell>
          <cell r="AM1262" t="str">
            <v>DIPLOME COMPTABLE (FAR)</v>
          </cell>
          <cell r="AP1262" t="str">
            <v>X 3057</v>
          </cell>
          <cell r="AQ1262">
            <v>0</v>
          </cell>
          <cell r="AR1262" t="str">
            <v>B</v>
          </cell>
          <cell r="AS1262" t="str">
            <v>BMCE.KHGA</v>
          </cell>
          <cell r="AT1262" t="str">
            <v>40001200000572454</v>
          </cell>
          <cell r="AU1262" t="str">
            <v>/  /</v>
          </cell>
          <cell r="AW1262">
            <v>37803</v>
          </cell>
          <cell r="BA1262" t="str">
            <v>2</v>
          </cell>
          <cell r="BB1262">
            <v>1</v>
          </cell>
          <cell r="BD1262">
            <v>0</v>
          </cell>
          <cell r="BE1262" t="str">
            <v>M</v>
          </cell>
          <cell r="BF1262" t="str">
            <v>N</v>
          </cell>
          <cell r="BG1262">
            <v>1</v>
          </cell>
          <cell r="BH1262">
            <v>37803</v>
          </cell>
          <cell r="BI1262" t="str">
            <v>O</v>
          </cell>
        </row>
        <row r="1263">
          <cell r="A1263">
            <v>90236</v>
          </cell>
          <cell r="B1263">
            <v>412</v>
          </cell>
          <cell r="C1263" t="str">
            <v>X5036</v>
          </cell>
          <cell r="D1263" t="str">
            <v>EL MEZROUI</v>
          </cell>
          <cell r="E1263" t="str">
            <v>EL HOUCINE</v>
          </cell>
          <cell r="F1263">
            <v>19540</v>
          </cell>
          <cell r="H1263" t="str">
            <v>TAFOUGHALET - OUJDA</v>
          </cell>
          <cell r="I1263" t="str">
            <v>F</v>
          </cell>
          <cell r="J1263">
            <v>28105</v>
          </cell>
          <cell r="K1263">
            <v>37073</v>
          </cell>
          <cell r="L1263" t="str">
            <v>51</v>
          </cell>
          <cell r="M1263" t="str">
            <v>A</v>
          </cell>
          <cell r="N1263">
            <v>37073</v>
          </cell>
          <cell r="P1263">
            <v>26</v>
          </cell>
          <cell r="Q1263" t="str">
            <v>O</v>
          </cell>
          <cell r="R1263" t="str">
            <v>N</v>
          </cell>
          <cell r="S1263">
            <v>0</v>
          </cell>
          <cell r="T1263" t="str">
            <v>M</v>
          </cell>
          <cell r="U1263" t="str">
            <v>JAMIL EL GHALIA BT AHMED</v>
          </cell>
          <cell r="X1263">
            <v>4</v>
          </cell>
          <cell r="Y1263">
            <v>4</v>
          </cell>
          <cell r="AB1263" t="str">
            <v>X</v>
          </cell>
          <cell r="AC1263" t="str">
            <v>X</v>
          </cell>
          <cell r="AD1263" t="str">
            <v>X</v>
          </cell>
          <cell r="AH1263" t="str">
            <v>O</v>
          </cell>
          <cell r="AI1263" t="str">
            <v>N</v>
          </cell>
          <cell r="AK1263" t="str">
            <v>2 VILLA ROSE EX-BAN RUE DE SAFI OCP KHGA</v>
          </cell>
          <cell r="AL1263" t="str">
            <v>3AS</v>
          </cell>
          <cell r="AM1263" t="str">
            <v>CQP.CFO</v>
          </cell>
          <cell r="AP1263" t="str">
            <v>Q 50791</v>
          </cell>
          <cell r="AQ1263">
            <v>0</v>
          </cell>
          <cell r="AR1263" t="str">
            <v>B</v>
          </cell>
          <cell r="AS1263" t="str">
            <v>BMCE.KHGA</v>
          </cell>
          <cell r="AT1263" t="str">
            <v>40001200000262636</v>
          </cell>
          <cell r="AU1263" t="str">
            <v>/  /</v>
          </cell>
          <cell r="AW1263">
            <v>38169</v>
          </cell>
          <cell r="AZ1263" t="str">
            <v>M</v>
          </cell>
          <cell r="BA1263" t="str">
            <v>2</v>
          </cell>
          <cell r="BB1263">
            <v>1</v>
          </cell>
          <cell r="BD1263">
            <v>0</v>
          </cell>
          <cell r="BE1263" t="str">
            <v>M</v>
          </cell>
          <cell r="BF1263" t="str">
            <v>N</v>
          </cell>
          <cell r="BG1263">
            <v>1</v>
          </cell>
          <cell r="BH1263">
            <v>38169</v>
          </cell>
        </row>
        <row r="1264">
          <cell r="A1264">
            <v>90241</v>
          </cell>
          <cell r="B1264">
            <v>468</v>
          </cell>
          <cell r="C1264" t="str">
            <v>X3036</v>
          </cell>
          <cell r="D1264" t="str">
            <v>KADMIRI</v>
          </cell>
          <cell r="E1264" t="str">
            <v>MAATI</v>
          </cell>
          <cell r="F1264">
            <v>17767</v>
          </cell>
          <cell r="G1264" t="str">
            <v>1</v>
          </cell>
          <cell r="H1264" t="str">
            <v>KHOURIBGA</v>
          </cell>
          <cell r="I1264" t="str">
            <v>F</v>
          </cell>
          <cell r="J1264">
            <v>28669</v>
          </cell>
          <cell r="K1264">
            <v>30133</v>
          </cell>
          <cell r="L1264" t="str">
            <v>41</v>
          </cell>
          <cell r="M1264" t="str">
            <v>B</v>
          </cell>
          <cell r="N1264">
            <v>32690</v>
          </cell>
          <cell r="P1264">
            <v>24</v>
          </cell>
          <cell r="Q1264" t="str">
            <v>O</v>
          </cell>
          <cell r="R1264" t="str">
            <v>N</v>
          </cell>
          <cell r="S1264">
            <v>0</v>
          </cell>
          <cell r="T1264" t="str">
            <v>M</v>
          </cell>
          <cell r="U1264" t="str">
            <v>NADIA BT AHMED ESSAID</v>
          </cell>
          <cell r="X1264">
            <v>8</v>
          </cell>
          <cell r="Y1264">
            <v>3</v>
          </cell>
          <cell r="AB1264" t="str">
            <v>X</v>
          </cell>
          <cell r="AC1264" t="str">
            <v>X</v>
          </cell>
          <cell r="AD1264" t="str">
            <v>X</v>
          </cell>
          <cell r="AH1264" t="str">
            <v>N</v>
          </cell>
          <cell r="AI1264" t="str">
            <v>N</v>
          </cell>
          <cell r="AK1264" t="str">
            <v>176 BLOC A HAY AL WAHDA - OUED ZEM</v>
          </cell>
          <cell r="AL1264" t="str">
            <v>3AS</v>
          </cell>
          <cell r="AN1264" t="str">
            <v>41═77═05</v>
          </cell>
          <cell r="AP1264" t="str">
            <v>Q 16300</v>
          </cell>
          <cell r="AQ1264">
            <v>0</v>
          </cell>
          <cell r="AR1264" t="str">
            <v>B</v>
          </cell>
          <cell r="AS1264" t="str">
            <v>BMCE.OUED ZEM</v>
          </cell>
          <cell r="AT1264" t="str">
            <v>41101200000110143</v>
          </cell>
          <cell r="AU1264" t="str">
            <v>/  /</v>
          </cell>
          <cell r="AW1264">
            <v>39214</v>
          </cell>
          <cell r="AX1264">
            <v>39214</v>
          </cell>
          <cell r="BA1264" t="str">
            <v>2</v>
          </cell>
          <cell r="BB1264">
            <v>1</v>
          </cell>
          <cell r="BD1264">
            <v>0</v>
          </cell>
          <cell r="BE1264" t="str">
            <v>M</v>
          </cell>
          <cell r="BF1264" t="str">
            <v>N</v>
          </cell>
          <cell r="BG1264">
            <v>30</v>
          </cell>
          <cell r="BH1264">
            <v>37987</v>
          </cell>
          <cell r="BI1264" t="str">
            <v>O</v>
          </cell>
        </row>
        <row r="1265">
          <cell r="A1265">
            <v>90242</v>
          </cell>
          <cell r="B1265">
            <v>412</v>
          </cell>
          <cell r="C1265" t="str">
            <v>X5036</v>
          </cell>
          <cell r="D1265" t="str">
            <v>YASSINE</v>
          </cell>
          <cell r="E1265" t="str">
            <v>LAHOUSSINE</v>
          </cell>
          <cell r="F1265">
            <v>19905</v>
          </cell>
          <cell r="H1265" t="str">
            <v>CASABLANCA</v>
          </cell>
          <cell r="I1265" t="str">
            <v>F</v>
          </cell>
          <cell r="J1265">
            <v>28669</v>
          </cell>
          <cell r="K1265">
            <v>33420</v>
          </cell>
          <cell r="L1265" t="str">
            <v>51</v>
          </cell>
          <cell r="M1265" t="str">
            <v>A</v>
          </cell>
          <cell r="N1265">
            <v>33420</v>
          </cell>
          <cell r="O1265">
            <v>0</v>
          </cell>
          <cell r="P1265">
            <v>24</v>
          </cell>
          <cell r="Q1265" t="str">
            <v>O</v>
          </cell>
          <cell r="R1265" t="str">
            <v>N</v>
          </cell>
          <cell r="S1265">
            <v>0</v>
          </cell>
          <cell r="T1265" t="str">
            <v>M</v>
          </cell>
          <cell r="U1265" t="str">
            <v>SABBAJI EZZOHRA</v>
          </cell>
          <cell r="X1265">
            <v>3</v>
          </cell>
          <cell r="Y1265">
            <v>2</v>
          </cell>
          <cell r="AB1265" t="str">
            <v>X</v>
          </cell>
          <cell r="AC1265" t="str">
            <v>X</v>
          </cell>
          <cell r="AD1265" t="str">
            <v>X</v>
          </cell>
          <cell r="AH1265" t="str">
            <v>N</v>
          </cell>
          <cell r="AI1265" t="str">
            <v>N</v>
          </cell>
          <cell r="AK1265" t="str">
            <v>188,RUE EL YAQOUTIA EL HANA KHOURIBGA</v>
          </cell>
          <cell r="AL1265" t="str">
            <v>7AS.LM</v>
          </cell>
          <cell r="AM1265" t="str">
            <v>CES.CFO</v>
          </cell>
          <cell r="AP1265" t="str">
            <v>Q 21294</v>
          </cell>
          <cell r="AQ1265">
            <v>0</v>
          </cell>
          <cell r="AR1265" t="str">
            <v>B</v>
          </cell>
          <cell r="AS1265" t="str">
            <v>C.I.H -KHGA</v>
          </cell>
          <cell r="AT1265" t="str">
            <v>3194842211004700</v>
          </cell>
          <cell r="AU1265" t="str">
            <v>/  /</v>
          </cell>
          <cell r="AW1265">
            <v>40873</v>
          </cell>
          <cell r="AX1265">
            <v>40873</v>
          </cell>
          <cell r="BA1265" t="str">
            <v>2</v>
          </cell>
          <cell r="BB1265">
            <v>1</v>
          </cell>
          <cell r="BD1265">
            <v>0</v>
          </cell>
          <cell r="BE1265" t="str">
            <v>M</v>
          </cell>
          <cell r="BF1265" t="str">
            <v>N</v>
          </cell>
          <cell r="BG1265">
            <v>1</v>
          </cell>
          <cell r="BH1265">
            <v>38718</v>
          </cell>
          <cell r="BI1265" t="str">
            <v>O</v>
          </cell>
        </row>
        <row r="1266">
          <cell r="A1266">
            <v>90244</v>
          </cell>
          <cell r="B1266">
            <v>414</v>
          </cell>
          <cell r="C1266" t="str">
            <v>X5207</v>
          </cell>
          <cell r="D1266" t="str">
            <v>AMAJOU</v>
          </cell>
          <cell r="E1266" t="str">
            <v>ABDELKADER</v>
          </cell>
          <cell r="F1266">
            <v>19175</v>
          </cell>
          <cell r="G1266" t="str">
            <v>2</v>
          </cell>
          <cell r="H1266" t="str">
            <v>SMAALA - KHOURIBGA</v>
          </cell>
          <cell r="I1266" t="str">
            <v>D</v>
          </cell>
          <cell r="J1266">
            <v>28781</v>
          </cell>
          <cell r="K1266">
            <v>34151</v>
          </cell>
          <cell r="L1266" t="str">
            <v>51</v>
          </cell>
          <cell r="M1266" t="str">
            <v>A</v>
          </cell>
          <cell r="N1266">
            <v>34151</v>
          </cell>
          <cell r="P1266">
            <v>24</v>
          </cell>
          <cell r="Q1266" t="str">
            <v>O</v>
          </cell>
          <cell r="R1266" t="str">
            <v>N</v>
          </cell>
          <cell r="S1266">
            <v>0</v>
          </cell>
          <cell r="T1266" t="str">
            <v>M</v>
          </cell>
          <cell r="U1266" t="str">
            <v>EL MOUNFIA NEZHA</v>
          </cell>
          <cell r="X1266">
            <v>4</v>
          </cell>
          <cell r="Y1266">
            <v>3</v>
          </cell>
          <cell r="AB1266" t="str">
            <v>X</v>
          </cell>
          <cell r="AC1266" t="str">
            <v>X</v>
          </cell>
          <cell r="AD1266" t="str">
            <v>X</v>
          </cell>
          <cell r="AH1266" t="str">
            <v>N</v>
          </cell>
          <cell r="AI1266" t="str">
            <v>N</v>
          </cell>
          <cell r="AK1266" t="str">
            <v>124 BD ALLAL EL FASSI NAHDA - KHGA</v>
          </cell>
          <cell r="AL1266" t="str">
            <v>4AS</v>
          </cell>
          <cell r="AM1266" t="str">
            <v>CES.</v>
          </cell>
          <cell r="AP1266" t="str">
            <v>Q 53111</v>
          </cell>
          <cell r="AQ1266">
            <v>0</v>
          </cell>
          <cell r="AR1266" t="str">
            <v>B</v>
          </cell>
          <cell r="AS1266" t="str">
            <v>BMCE.KHGA</v>
          </cell>
          <cell r="AT1266" t="str">
            <v>40001200000340624</v>
          </cell>
          <cell r="AU1266" t="str">
            <v>/  /</v>
          </cell>
          <cell r="AW1266">
            <v>38718</v>
          </cell>
          <cell r="BA1266" t="str">
            <v>2</v>
          </cell>
          <cell r="BB1266">
            <v>1</v>
          </cell>
          <cell r="BD1266">
            <v>0</v>
          </cell>
          <cell r="BE1266" t="str">
            <v>M</v>
          </cell>
          <cell r="BF1266" t="str">
            <v>N</v>
          </cell>
          <cell r="BG1266">
            <v>1</v>
          </cell>
          <cell r="BH1266">
            <v>38899</v>
          </cell>
          <cell r="BI1266" t="str">
            <v>O</v>
          </cell>
        </row>
        <row r="1267">
          <cell r="A1267">
            <v>90298</v>
          </cell>
          <cell r="B1267">
            <v>403</v>
          </cell>
          <cell r="C1267" t="str">
            <v>X5050</v>
          </cell>
          <cell r="D1267" t="str">
            <v>ARABI</v>
          </cell>
          <cell r="E1267" t="str">
            <v>EL MOULOUDI</v>
          </cell>
          <cell r="F1267">
            <v>19540</v>
          </cell>
          <cell r="G1267" t="str">
            <v>1</v>
          </cell>
          <cell r="H1267" t="str">
            <v>KHOURIBGA</v>
          </cell>
          <cell r="I1267" t="str">
            <v>F</v>
          </cell>
          <cell r="J1267">
            <v>26929</v>
          </cell>
          <cell r="K1267">
            <v>35431</v>
          </cell>
          <cell r="L1267" t="str">
            <v>51</v>
          </cell>
          <cell r="M1267" t="str">
            <v>A</v>
          </cell>
          <cell r="N1267">
            <v>35431</v>
          </cell>
          <cell r="P1267">
            <v>29</v>
          </cell>
          <cell r="Q1267" t="str">
            <v>O</v>
          </cell>
          <cell r="R1267" t="str">
            <v>N</v>
          </cell>
          <cell r="S1267">
            <v>0</v>
          </cell>
          <cell r="T1267" t="str">
            <v>M</v>
          </cell>
          <cell r="U1267" t="str">
            <v>NAJIA BT KHATIB</v>
          </cell>
          <cell r="X1267">
            <v>5</v>
          </cell>
          <cell r="Y1267">
            <v>3</v>
          </cell>
          <cell r="AB1267" t="str">
            <v>X</v>
          </cell>
          <cell r="AC1267" t="str">
            <v>X</v>
          </cell>
          <cell r="AD1267" t="str">
            <v>X</v>
          </cell>
          <cell r="AH1267" t="str">
            <v>N</v>
          </cell>
          <cell r="AI1267" t="str">
            <v>N</v>
          </cell>
          <cell r="AK1267" t="str">
            <v>21 BLOC I AL MASSIRA KHOURIBGA</v>
          </cell>
          <cell r="AL1267" t="str">
            <v>4AS</v>
          </cell>
          <cell r="AM1267" t="str">
            <v>CES.CFO</v>
          </cell>
          <cell r="AN1267" t="str">
            <v>49═92═01</v>
          </cell>
          <cell r="AO1267" t="str">
            <v>2539</v>
          </cell>
          <cell r="AP1267" t="str">
            <v>Q 19513</v>
          </cell>
          <cell r="AQ1267">
            <v>0</v>
          </cell>
          <cell r="AR1267" t="str">
            <v>B</v>
          </cell>
          <cell r="AS1267" t="str">
            <v>S.G.M.B  KHGA</v>
          </cell>
          <cell r="AT1267" t="str">
            <v>670009173596</v>
          </cell>
          <cell r="AU1267" t="str">
            <v>/  /</v>
          </cell>
          <cell r="AW1267">
            <v>37803</v>
          </cell>
          <cell r="AZ1267" t="str">
            <v>M</v>
          </cell>
          <cell r="BA1267" t="str">
            <v>2</v>
          </cell>
          <cell r="BB1267">
            <v>1</v>
          </cell>
          <cell r="BD1267">
            <v>0</v>
          </cell>
          <cell r="BE1267" t="str">
            <v>M</v>
          </cell>
          <cell r="BF1267" t="str">
            <v>N</v>
          </cell>
          <cell r="BG1267">
            <v>1</v>
          </cell>
          <cell r="BH1267">
            <v>37803</v>
          </cell>
          <cell r="BI1267" t="str">
            <v>O</v>
          </cell>
        </row>
        <row r="1268">
          <cell r="A1268">
            <v>90311</v>
          </cell>
          <cell r="B1268">
            <v>403</v>
          </cell>
          <cell r="C1268" t="str">
            <v>X4050</v>
          </cell>
          <cell r="D1268" t="str">
            <v>ET-TOUIMI</v>
          </cell>
          <cell r="E1268" t="str">
            <v>MOHAMMED</v>
          </cell>
          <cell r="F1268">
            <v>19905</v>
          </cell>
          <cell r="G1268" t="str">
            <v>5</v>
          </cell>
          <cell r="H1268" t="str">
            <v>BOUJAAD</v>
          </cell>
          <cell r="I1268" t="str">
            <v>F</v>
          </cell>
          <cell r="J1268">
            <v>28104</v>
          </cell>
          <cell r="K1268">
            <v>35065</v>
          </cell>
          <cell r="L1268" t="str">
            <v>42</v>
          </cell>
          <cell r="M1268" t="str">
            <v>A</v>
          </cell>
          <cell r="N1268">
            <v>35065</v>
          </cell>
          <cell r="P1268">
            <v>26</v>
          </cell>
          <cell r="Q1268" t="str">
            <v>O</v>
          </cell>
          <cell r="R1268" t="str">
            <v>N</v>
          </cell>
          <cell r="S1268">
            <v>0</v>
          </cell>
          <cell r="T1268" t="str">
            <v>M</v>
          </cell>
          <cell r="U1268" t="str">
            <v>EL HOUANI SAADIA</v>
          </cell>
          <cell r="X1268">
            <v>3</v>
          </cell>
          <cell r="Y1268">
            <v>3</v>
          </cell>
          <cell r="AB1268" t="str">
            <v>O</v>
          </cell>
          <cell r="AC1268" t="str">
            <v>X</v>
          </cell>
          <cell r="AD1268" t="str">
            <v>X</v>
          </cell>
          <cell r="AE1268" t="str">
            <v>MINI.EDUC.NAT</v>
          </cell>
          <cell r="AH1268" t="str">
            <v>N</v>
          </cell>
          <cell r="AI1268" t="str">
            <v>O</v>
          </cell>
          <cell r="AJ1268">
            <v>35765</v>
          </cell>
          <cell r="AK1268" t="str">
            <v>33 LOTISSEMENT EL HANA OCP KHGA</v>
          </cell>
          <cell r="AL1268" t="str">
            <v>7SC.EX</v>
          </cell>
          <cell r="AM1268" t="str">
            <v>CES.CFO.EMM</v>
          </cell>
          <cell r="AP1268" t="str">
            <v>Q 46714</v>
          </cell>
          <cell r="AQ1268">
            <v>0</v>
          </cell>
          <cell r="AR1268" t="str">
            <v>B</v>
          </cell>
          <cell r="AS1268" t="str">
            <v>C.I.H - KHGA</v>
          </cell>
          <cell r="AT1268" t="str">
            <v>9585464211004700</v>
          </cell>
          <cell r="AU1268" t="str">
            <v>/  /</v>
          </cell>
          <cell r="AW1268">
            <v>38169</v>
          </cell>
          <cell r="BA1268" t="str">
            <v>2</v>
          </cell>
          <cell r="BB1268">
            <v>1</v>
          </cell>
          <cell r="BC1268" t="str">
            <v>O</v>
          </cell>
          <cell r="BD1268">
            <v>0</v>
          </cell>
          <cell r="BE1268" t="str">
            <v>M</v>
          </cell>
          <cell r="BF1268" t="str">
            <v>N</v>
          </cell>
          <cell r="BG1268">
            <v>1</v>
          </cell>
          <cell r="BH1268">
            <v>38169</v>
          </cell>
          <cell r="BI1268" t="str">
            <v>O</v>
          </cell>
        </row>
        <row r="1269">
          <cell r="A1269">
            <v>90312</v>
          </cell>
          <cell r="B1269">
            <v>428</v>
          </cell>
          <cell r="C1269" t="str">
            <v>X5050</v>
          </cell>
          <cell r="D1269" t="str">
            <v>ED-DIK</v>
          </cell>
          <cell r="E1269" t="str">
            <v>EL MOSTAFA</v>
          </cell>
          <cell r="F1269">
            <v>20745</v>
          </cell>
          <cell r="G1269" t="str">
            <v>1</v>
          </cell>
          <cell r="H1269" t="str">
            <v>KHOURIBGA</v>
          </cell>
          <cell r="I1269" t="str">
            <v>F</v>
          </cell>
          <cell r="J1269">
            <v>28104</v>
          </cell>
          <cell r="K1269">
            <v>35431</v>
          </cell>
          <cell r="L1269" t="str">
            <v>51</v>
          </cell>
          <cell r="M1269" t="str">
            <v>A</v>
          </cell>
          <cell r="N1269">
            <v>35431</v>
          </cell>
          <cell r="O1269">
            <v>0</v>
          </cell>
          <cell r="P1269">
            <v>26</v>
          </cell>
          <cell r="Q1269" t="str">
            <v>O</v>
          </cell>
          <cell r="R1269" t="str">
            <v>N</v>
          </cell>
          <cell r="S1269">
            <v>0</v>
          </cell>
          <cell r="T1269" t="str">
            <v>M</v>
          </cell>
          <cell r="U1269" t="str">
            <v>LAKHOUAD RACHIDA</v>
          </cell>
          <cell r="X1269">
            <v>4</v>
          </cell>
          <cell r="Y1269">
            <v>2</v>
          </cell>
          <cell r="AB1269" t="str">
            <v>X</v>
          </cell>
          <cell r="AC1269" t="str">
            <v>X</v>
          </cell>
          <cell r="AD1269" t="str">
            <v>X</v>
          </cell>
          <cell r="AH1269" t="str">
            <v>O</v>
          </cell>
          <cell r="AI1269" t="str">
            <v>N</v>
          </cell>
          <cell r="AK1269" t="str">
            <v>18 BLOC 4 NOUVEAUX LOGEMENTS CADRES KHGA</v>
          </cell>
          <cell r="AL1269" t="str">
            <v>5AS.SC.</v>
          </cell>
          <cell r="AM1269" t="str">
            <v>CEP.CES.CFO.EMM</v>
          </cell>
          <cell r="AP1269" t="str">
            <v>Q 40908</v>
          </cell>
          <cell r="AQ1269">
            <v>0</v>
          </cell>
          <cell r="AR1269" t="str">
            <v>B</v>
          </cell>
          <cell r="AS1269" t="str">
            <v>WAFABANK - KHGA</v>
          </cell>
          <cell r="AT1269" t="str">
            <v>1220301306741</v>
          </cell>
          <cell r="AU1269" t="str">
            <v>/  /</v>
          </cell>
          <cell r="AW1269">
            <v>39083</v>
          </cell>
          <cell r="AZ1269" t="str">
            <v>M</v>
          </cell>
          <cell r="BA1269" t="str">
            <v>6</v>
          </cell>
          <cell r="BB1269">
            <v>1</v>
          </cell>
          <cell r="BD1269">
            <v>0</v>
          </cell>
          <cell r="BE1269" t="str">
            <v>M</v>
          </cell>
          <cell r="BF1269" t="str">
            <v>N</v>
          </cell>
          <cell r="BG1269">
            <v>4</v>
          </cell>
          <cell r="BH1269">
            <v>39083</v>
          </cell>
        </row>
        <row r="1270">
          <cell r="A1270">
            <v>90316</v>
          </cell>
          <cell r="B1270">
            <v>468</v>
          </cell>
          <cell r="C1270" t="str">
            <v>X3050</v>
          </cell>
          <cell r="D1270" t="str">
            <v>EL AYOUCHI</v>
          </cell>
          <cell r="E1270" t="str">
            <v>EL MAATI</v>
          </cell>
          <cell r="F1270">
            <v>19662</v>
          </cell>
          <cell r="G1270" t="str">
            <v>3</v>
          </cell>
          <cell r="H1270" t="str">
            <v>EL GUEFFAF - KHOURIBGA</v>
          </cell>
          <cell r="I1270" t="str">
            <v>F</v>
          </cell>
          <cell r="J1270">
            <v>28296</v>
          </cell>
          <cell r="K1270">
            <v>30164</v>
          </cell>
          <cell r="L1270" t="str">
            <v>41</v>
          </cell>
          <cell r="M1270" t="str">
            <v>B</v>
          </cell>
          <cell r="N1270">
            <v>35612</v>
          </cell>
          <cell r="P1270">
            <v>25</v>
          </cell>
          <cell r="Q1270" t="str">
            <v>O</v>
          </cell>
          <cell r="R1270" t="str">
            <v>N</v>
          </cell>
          <cell r="S1270">
            <v>0</v>
          </cell>
          <cell r="T1270" t="str">
            <v>M</v>
          </cell>
          <cell r="U1270" t="str">
            <v>CHEBLANE NAIMA</v>
          </cell>
          <cell r="X1270">
            <v>5</v>
          </cell>
          <cell r="Y1270">
            <v>5</v>
          </cell>
          <cell r="AB1270" t="str">
            <v>X</v>
          </cell>
          <cell r="AC1270" t="str">
            <v>X</v>
          </cell>
          <cell r="AD1270" t="str">
            <v>X</v>
          </cell>
          <cell r="AH1270" t="str">
            <v>N</v>
          </cell>
          <cell r="AI1270" t="str">
            <v>N</v>
          </cell>
          <cell r="AK1270" t="str">
            <v>105 BD MOHAMED V HAY DAKHLA BOUJNIBA</v>
          </cell>
          <cell r="AL1270" t="str">
            <v>7AS SC.EXP.</v>
          </cell>
          <cell r="AM1270" t="str">
            <v>CEP.CES.CFO.EMM</v>
          </cell>
          <cell r="AP1270" t="str">
            <v>Q 64490</v>
          </cell>
          <cell r="AQ1270">
            <v>0</v>
          </cell>
          <cell r="AR1270" t="str">
            <v>B</v>
          </cell>
          <cell r="AS1270" t="str">
            <v>BCM.KHGA</v>
          </cell>
          <cell r="AT1270" t="str">
            <v>97 H 301865</v>
          </cell>
          <cell r="AU1270" t="str">
            <v>/  /</v>
          </cell>
          <cell r="AW1270">
            <v>38353</v>
          </cell>
          <cell r="BA1270" t="str">
            <v>2</v>
          </cell>
          <cell r="BB1270">
            <v>1</v>
          </cell>
          <cell r="BD1270">
            <v>0</v>
          </cell>
          <cell r="BE1270" t="str">
            <v>M</v>
          </cell>
          <cell r="BF1270" t="str">
            <v>N</v>
          </cell>
          <cell r="BG1270">
            <v>51</v>
          </cell>
          <cell r="BH1270">
            <v>38353</v>
          </cell>
          <cell r="BI1270" t="str">
            <v>O</v>
          </cell>
        </row>
        <row r="1271">
          <cell r="A1271">
            <v>90319</v>
          </cell>
          <cell r="B1271">
            <v>409</v>
          </cell>
          <cell r="C1271" t="str">
            <v>X4650</v>
          </cell>
          <cell r="D1271" t="str">
            <v>SELMANI</v>
          </cell>
          <cell r="E1271" t="str">
            <v>BOUAZZA</v>
          </cell>
          <cell r="F1271">
            <v>18444</v>
          </cell>
          <cell r="G1271" t="str">
            <v>2</v>
          </cell>
          <cell r="H1271" t="str">
            <v>BENI KHIRANE - KHOURIBGA</v>
          </cell>
          <cell r="I1271" t="str">
            <v>F</v>
          </cell>
          <cell r="J1271">
            <v>28415</v>
          </cell>
          <cell r="K1271">
            <v>35065</v>
          </cell>
          <cell r="L1271" t="str">
            <v>42</v>
          </cell>
          <cell r="M1271" t="str">
            <v>A</v>
          </cell>
          <cell r="N1271">
            <v>35065</v>
          </cell>
          <cell r="P1271">
            <v>25</v>
          </cell>
          <cell r="Q1271" t="str">
            <v>O</v>
          </cell>
          <cell r="R1271" t="str">
            <v>N</v>
          </cell>
          <cell r="S1271">
            <v>0</v>
          </cell>
          <cell r="T1271" t="str">
            <v>M</v>
          </cell>
          <cell r="U1271" t="str">
            <v>BAKHOULIA FATIMA BT LEKBIR</v>
          </cell>
          <cell r="X1271">
            <v>6</v>
          </cell>
          <cell r="Y1271">
            <v>4</v>
          </cell>
          <cell r="AB1271" t="str">
            <v>X</v>
          </cell>
          <cell r="AC1271" t="str">
            <v>X</v>
          </cell>
          <cell r="AD1271" t="str">
            <v>X</v>
          </cell>
          <cell r="AH1271" t="str">
            <v>N</v>
          </cell>
          <cell r="AI1271" t="str">
            <v>O</v>
          </cell>
          <cell r="AJ1271">
            <v>35765</v>
          </cell>
          <cell r="AK1271" t="str">
            <v>20 COOPERATIVE ERRACHAD QURT. RIAD KHGA</v>
          </cell>
          <cell r="AL1271" t="str">
            <v>6AS.SC.EXP</v>
          </cell>
          <cell r="AM1271" t="str">
            <v>CES.CFO.EMM</v>
          </cell>
          <cell r="AP1271" t="str">
            <v>Q 38280</v>
          </cell>
          <cell r="AQ1271">
            <v>0</v>
          </cell>
          <cell r="AR1271" t="str">
            <v>B</v>
          </cell>
          <cell r="AS1271" t="str">
            <v>C.I.H - KHGA</v>
          </cell>
          <cell r="AT1271" t="str">
            <v>8669616211004700</v>
          </cell>
          <cell r="AU1271" t="str">
            <v>/  /</v>
          </cell>
          <cell r="AW1271">
            <v>38353</v>
          </cell>
          <cell r="BA1271" t="str">
            <v>2</v>
          </cell>
          <cell r="BB1271">
            <v>1</v>
          </cell>
          <cell r="BD1271">
            <v>0</v>
          </cell>
          <cell r="BE1271" t="str">
            <v>M</v>
          </cell>
          <cell r="BF1271" t="str">
            <v>N</v>
          </cell>
          <cell r="BG1271">
            <v>1</v>
          </cell>
          <cell r="BH1271">
            <v>38534</v>
          </cell>
          <cell r="BI1271" t="str">
            <v>O</v>
          </cell>
        </row>
        <row r="1272">
          <cell r="A1272">
            <v>90320</v>
          </cell>
          <cell r="B1272">
            <v>464</v>
          </cell>
          <cell r="C1272" t="str">
            <v>X4210</v>
          </cell>
          <cell r="D1272" t="str">
            <v>KHADRANI</v>
          </cell>
          <cell r="E1272" t="str">
            <v>ABDERRAHMANE</v>
          </cell>
          <cell r="F1272">
            <v>19108</v>
          </cell>
          <cell r="G1272" t="str">
            <v>6</v>
          </cell>
          <cell r="H1272" t="str">
            <v>HATTANE - KHOURIBGA</v>
          </cell>
          <cell r="I1272" t="str">
            <v>F</v>
          </cell>
          <cell r="J1272">
            <v>28100</v>
          </cell>
          <cell r="K1272">
            <v>30103</v>
          </cell>
          <cell r="L1272" t="str">
            <v>42</v>
          </cell>
          <cell r="M1272" t="str">
            <v>C</v>
          </cell>
          <cell r="N1272">
            <v>35612</v>
          </cell>
          <cell r="P1272">
            <v>26</v>
          </cell>
          <cell r="Q1272" t="str">
            <v>O</v>
          </cell>
          <cell r="R1272" t="str">
            <v>N</v>
          </cell>
          <cell r="S1272">
            <v>0</v>
          </cell>
          <cell r="T1272" t="str">
            <v>M</v>
          </cell>
          <cell r="U1272" t="str">
            <v>EL KBIRA BT MOHAMED MONGAR</v>
          </cell>
          <cell r="X1272">
            <v>4</v>
          </cell>
          <cell r="Y1272">
            <v>4</v>
          </cell>
          <cell r="AB1272" t="str">
            <v>X</v>
          </cell>
          <cell r="AC1272" t="str">
            <v>X</v>
          </cell>
          <cell r="AD1272" t="str">
            <v>X</v>
          </cell>
          <cell r="AH1272" t="str">
            <v>N</v>
          </cell>
          <cell r="AI1272" t="str">
            <v>N</v>
          </cell>
          <cell r="AK1272" t="str">
            <v>65, BLOC 3 RUE ANNABA HAY RIAD KHOURIBGA</v>
          </cell>
          <cell r="AL1272" t="str">
            <v>7AS.SC.EXP.</v>
          </cell>
          <cell r="AM1272" t="str">
            <v>CFO.EMM</v>
          </cell>
          <cell r="AP1272" t="str">
            <v>Q 55360</v>
          </cell>
          <cell r="AQ1272">
            <v>0</v>
          </cell>
          <cell r="AR1272" t="str">
            <v>B</v>
          </cell>
          <cell r="AS1272" t="str">
            <v>CNCA.KHGA</v>
          </cell>
          <cell r="AT1272" t="str">
            <v>804714 G</v>
          </cell>
          <cell r="AU1272" t="str">
            <v>/  /</v>
          </cell>
          <cell r="AW1272">
            <v>38169</v>
          </cell>
          <cell r="AZ1272" t="str">
            <v>M</v>
          </cell>
          <cell r="BA1272" t="str">
            <v>2</v>
          </cell>
          <cell r="BB1272">
            <v>1</v>
          </cell>
          <cell r="BC1272" t="str">
            <v>O</v>
          </cell>
          <cell r="BD1272">
            <v>0</v>
          </cell>
          <cell r="BE1272" t="str">
            <v>M</v>
          </cell>
          <cell r="BF1272" t="str">
            <v>N</v>
          </cell>
          <cell r="BG1272">
            <v>5</v>
          </cell>
          <cell r="BH1272">
            <v>38169</v>
          </cell>
          <cell r="BI1272" t="str">
            <v>O</v>
          </cell>
        </row>
        <row r="1273">
          <cell r="A1273">
            <v>90326</v>
          </cell>
          <cell r="B1273">
            <v>403</v>
          </cell>
          <cell r="C1273" t="str">
            <v>X2550</v>
          </cell>
          <cell r="D1273" t="str">
            <v>BOUGHOURFI</v>
          </cell>
          <cell r="E1273" t="str">
            <v>MAHFOUD</v>
          </cell>
          <cell r="F1273">
            <v>18444</v>
          </cell>
          <cell r="H1273" t="str">
            <v>AIT ATTAB - BENI MELLAL</v>
          </cell>
          <cell r="I1273" t="str">
            <v>D</v>
          </cell>
          <cell r="J1273">
            <v>27591</v>
          </cell>
          <cell r="K1273">
            <v>33573</v>
          </cell>
          <cell r="L1273" t="str">
            <v>33</v>
          </cell>
          <cell r="M1273" t="str">
            <v>A</v>
          </cell>
          <cell r="N1273">
            <v>33573</v>
          </cell>
          <cell r="P1273">
            <v>27</v>
          </cell>
          <cell r="Q1273" t="str">
            <v>O</v>
          </cell>
          <cell r="R1273" t="str">
            <v>N</v>
          </cell>
          <cell r="S1273">
            <v>0</v>
          </cell>
          <cell r="T1273" t="str">
            <v>M</v>
          </cell>
          <cell r="U1273" t="str">
            <v>BANNOU ZAHIRA BT ABDELKADER</v>
          </cell>
          <cell r="X1273">
            <v>5</v>
          </cell>
          <cell r="Y1273">
            <v>5</v>
          </cell>
          <cell r="AB1273" t="str">
            <v>X</v>
          </cell>
          <cell r="AC1273" t="str">
            <v>X</v>
          </cell>
          <cell r="AD1273" t="str">
            <v>X</v>
          </cell>
          <cell r="AH1273" t="str">
            <v>O</v>
          </cell>
          <cell r="AI1273" t="str">
            <v>N</v>
          </cell>
          <cell r="AK1273" t="str">
            <v>19,BLOC 18 NX LOGEMENTS O C P KHOURIBGA</v>
          </cell>
          <cell r="AL1273" t="str">
            <v>4AS</v>
          </cell>
          <cell r="AM1273" t="str">
            <v>INFIRMIER BREVETE</v>
          </cell>
          <cell r="AP1273" t="str">
            <v>Q 89617</v>
          </cell>
          <cell r="AQ1273">
            <v>0</v>
          </cell>
          <cell r="AR1273" t="str">
            <v>B</v>
          </cell>
          <cell r="AS1273" t="str">
            <v>C.I.H . KHOURIBGA</v>
          </cell>
          <cell r="AT1273" t="str">
            <v>7289531</v>
          </cell>
          <cell r="AU1273" t="str">
            <v>/  /</v>
          </cell>
          <cell r="AW1273">
            <v>38219</v>
          </cell>
          <cell r="AX1273">
            <v>38219</v>
          </cell>
          <cell r="AZ1273" t="str">
            <v>M</v>
          </cell>
          <cell r="BA1273" t="str">
            <v>2</v>
          </cell>
          <cell r="BB1273">
            <v>1</v>
          </cell>
          <cell r="BD1273">
            <v>0</v>
          </cell>
          <cell r="BE1273" t="str">
            <v>M</v>
          </cell>
          <cell r="BF1273" t="str">
            <v>N</v>
          </cell>
          <cell r="BG1273">
            <v>1</v>
          </cell>
          <cell r="BH1273">
            <v>37622</v>
          </cell>
          <cell r="BI1273" t="str">
            <v>O</v>
          </cell>
        </row>
        <row r="1274">
          <cell r="A1274">
            <v>90405</v>
          </cell>
          <cell r="B1274">
            <v>414</v>
          </cell>
          <cell r="C1274" t="str">
            <v>X4210</v>
          </cell>
          <cell r="D1274" t="str">
            <v>MAFTOUH</v>
          </cell>
          <cell r="E1274" t="str">
            <v>MOHAMED</v>
          </cell>
          <cell r="F1274">
            <v>19364</v>
          </cell>
          <cell r="H1274" t="str">
            <v>CASABLANCA</v>
          </cell>
          <cell r="I1274" t="str">
            <v>F</v>
          </cell>
          <cell r="J1274">
            <v>28103</v>
          </cell>
          <cell r="K1274">
            <v>32478</v>
          </cell>
          <cell r="L1274" t="str">
            <v>42</v>
          </cell>
          <cell r="M1274" t="str">
            <v>A</v>
          </cell>
          <cell r="N1274">
            <v>32478</v>
          </cell>
          <cell r="O1274">
            <v>0</v>
          </cell>
          <cell r="P1274">
            <v>26</v>
          </cell>
          <cell r="Q1274" t="str">
            <v>O</v>
          </cell>
          <cell r="R1274" t="str">
            <v>N</v>
          </cell>
          <cell r="S1274">
            <v>0</v>
          </cell>
          <cell r="T1274" t="str">
            <v>M</v>
          </cell>
          <cell r="U1274" t="str">
            <v>ASSAD ZOHRA</v>
          </cell>
          <cell r="X1274">
            <v>6</v>
          </cell>
          <cell r="Y1274">
            <v>5</v>
          </cell>
          <cell r="AB1274" t="str">
            <v>X</v>
          </cell>
          <cell r="AC1274" t="str">
            <v>X</v>
          </cell>
          <cell r="AD1274" t="str">
            <v>X</v>
          </cell>
          <cell r="AH1274" t="str">
            <v>O</v>
          </cell>
          <cell r="AI1274" t="str">
            <v>N</v>
          </cell>
          <cell r="AK1274" t="str">
            <v>24,BLOC 21 NOUVEAUX LOGEMENTS OCP KHGA</v>
          </cell>
          <cell r="AL1274" t="str">
            <v>7A.TI</v>
          </cell>
          <cell r="AM1274" t="str">
            <v>CEP.CES.CFO.EMM</v>
          </cell>
          <cell r="AP1274" t="str">
            <v>Q 120717</v>
          </cell>
          <cell r="AQ1274">
            <v>0</v>
          </cell>
          <cell r="AR1274" t="str">
            <v>B</v>
          </cell>
          <cell r="AS1274" t="str">
            <v>B.M.C.I  KHOURIBGA</v>
          </cell>
          <cell r="AT1274" t="str">
            <v>02821197470301</v>
          </cell>
          <cell r="AU1274" t="str">
            <v>/  /</v>
          </cell>
          <cell r="AW1274">
            <v>39214</v>
          </cell>
          <cell r="AX1274">
            <v>39214</v>
          </cell>
          <cell r="AZ1274" t="str">
            <v>M</v>
          </cell>
          <cell r="BA1274" t="str">
            <v>2</v>
          </cell>
          <cell r="BB1274">
            <v>1</v>
          </cell>
          <cell r="BC1274" t="str">
            <v>O</v>
          </cell>
          <cell r="BD1274">
            <v>0</v>
          </cell>
          <cell r="BE1274" t="str">
            <v>M</v>
          </cell>
          <cell r="BF1274" t="str">
            <v>N</v>
          </cell>
          <cell r="BG1274">
            <v>5</v>
          </cell>
          <cell r="BH1274">
            <v>38169</v>
          </cell>
        </row>
        <row r="1275">
          <cell r="A1275">
            <v>90408</v>
          </cell>
          <cell r="B1275">
            <v>428</v>
          </cell>
          <cell r="C1275" t="str">
            <v>X4150</v>
          </cell>
          <cell r="D1275" t="str">
            <v>RHAILI</v>
          </cell>
          <cell r="E1275" t="str">
            <v>MOHAMMED</v>
          </cell>
          <cell r="F1275">
            <v>19905</v>
          </cell>
          <cell r="G1275" t="str">
            <v>1</v>
          </cell>
          <cell r="H1275" t="str">
            <v>OULED BHAR KBAR KHOURIBGA</v>
          </cell>
          <cell r="I1275" t="str">
            <v>F</v>
          </cell>
          <cell r="J1275">
            <v>28104</v>
          </cell>
          <cell r="K1275">
            <v>33573</v>
          </cell>
          <cell r="L1275" t="str">
            <v>42</v>
          </cell>
          <cell r="M1275" t="str">
            <v>A</v>
          </cell>
          <cell r="N1275">
            <v>33573</v>
          </cell>
          <cell r="P1275">
            <v>26</v>
          </cell>
          <cell r="Q1275" t="str">
            <v>O</v>
          </cell>
          <cell r="R1275" t="str">
            <v>N</v>
          </cell>
          <cell r="S1275">
            <v>0</v>
          </cell>
          <cell r="T1275" t="str">
            <v>M</v>
          </cell>
          <cell r="U1275" t="str">
            <v>EL FALAKY ZOHRA BENT SALAH</v>
          </cell>
          <cell r="X1275">
            <v>5</v>
          </cell>
          <cell r="Y1275">
            <v>3</v>
          </cell>
          <cell r="AB1275" t="str">
            <v>X</v>
          </cell>
          <cell r="AC1275" t="str">
            <v>X</v>
          </cell>
          <cell r="AD1275" t="str">
            <v>X</v>
          </cell>
          <cell r="AH1275" t="str">
            <v>N</v>
          </cell>
          <cell r="AI1275" t="str">
            <v>N</v>
          </cell>
          <cell r="AK1275" t="str">
            <v>206 BRAHIM ROUDANI HAY EL HOUDA KHOURIBG</v>
          </cell>
          <cell r="AL1275" t="str">
            <v>7A.SC.EX.</v>
          </cell>
          <cell r="AM1275" t="str">
            <v>CEP.CES.CFO.EMM</v>
          </cell>
          <cell r="AP1275" t="str">
            <v>Q 23010</v>
          </cell>
          <cell r="AQ1275">
            <v>0</v>
          </cell>
          <cell r="AR1275" t="str">
            <v>B</v>
          </cell>
          <cell r="AS1275" t="str">
            <v>B.M.C.I- KHOURIBGA</v>
          </cell>
          <cell r="AT1275" t="str">
            <v>02820754374301</v>
          </cell>
          <cell r="AU1275" t="str">
            <v>/  /</v>
          </cell>
          <cell r="AW1275">
            <v>38169</v>
          </cell>
          <cell r="AZ1275" t="str">
            <v>M</v>
          </cell>
          <cell r="BA1275" t="str">
            <v>1</v>
          </cell>
          <cell r="BB1275">
            <v>1</v>
          </cell>
          <cell r="BC1275" t="str">
            <v>O</v>
          </cell>
          <cell r="BD1275">
            <v>0</v>
          </cell>
          <cell r="BE1275" t="str">
            <v>M</v>
          </cell>
          <cell r="BF1275" t="str">
            <v>N</v>
          </cell>
          <cell r="BG1275">
            <v>5</v>
          </cell>
          <cell r="BH1275">
            <v>38169</v>
          </cell>
          <cell r="BI1275" t="str">
            <v>O</v>
          </cell>
        </row>
        <row r="1276">
          <cell r="A1276">
            <v>90467</v>
          </cell>
          <cell r="B1276">
            <v>414</v>
          </cell>
          <cell r="C1276" t="str">
            <v>X4210</v>
          </cell>
          <cell r="D1276" t="str">
            <v>BENIDIR</v>
          </cell>
          <cell r="E1276" t="str">
            <v>MOHAMED</v>
          </cell>
          <cell r="F1276">
            <v>20292</v>
          </cell>
          <cell r="H1276" t="str">
            <v>AIN TOLBA - ALGERIE</v>
          </cell>
          <cell r="I1276" t="str">
            <v>F</v>
          </cell>
          <cell r="J1276">
            <v>28781</v>
          </cell>
          <cell r="K1276">
            <v>32478</v>
          </cell>
          <cell r="L1276" t="str">
            <v>42</v>
          </cell>
          <cell r="M1276" t="str">
            <v>A</v>
          </cell>
          <cell r="N1276">
            <v>32478</v>
          </cell>
          <cell r="P1276">
            <v>24</v>
          </cell>
          <cell r="Q1276" t="str">
            <v>O</v>
          </cell>
          <cell r="R1276" t="str">
            <v>N</v>
          </cell>
          <cell r="S1276">
            <v>0</v>
          </cell>
          <cell r="T1276" t="str">
            <v>M</v>
          </cell>
          <cell r="U1276" t="str">
            <v>MHARCHI HOURIA</v>
          </cell>
          <cell r="X1276">
            <v>4</v>
          </cell>
          <cell r="Y1276">
            <v>3</v>
          </cell>
          <cell r="AB1276" t="str">
            <v>O</v>
          </cell>
          <cell r="AC1276" t="str">
            <v>X</v>
          </cell>
          <cell r="AD1276" t="str">
            <v>X</v>
          </cell>
          <cell r="AE1276" t="str">
            <v>SANTE PUBLIQUE</v>
          </cell>
          <cell r="AH1276" t="str">
            <v>N</v>
          </cell>
          <cell r="AI1276" t="str">
            <v>N</v>
          </cell>
          <cell r="AK1276" t="str">
            <v>187 RUE CHATILA HAY AL QODS KHOURIBGA</v>
          </cell>
          <cell r="AL1276" t="str">
            <v>6 S.B</v>
          </cell>
          <cell r="AM1276" t="str">
            <v>CEP.BEM.CFO.EMM</v>
          </cell>
          <cell r="AP1276" t="str">
            <v>Q 0061243</v>
          </cell>
          <cell r="AQ1276">
            <v>0</v>
          </cell>
          <cell r="AR1276" t="str">
            <v>B</v>
          </cell>
          <cell r="AS1276" t="str">
            <v>SGMB.KHGA</v>
          </cell>
          <cell r="AT1276" t="str">
            <v>670009091825</v>
          </cell>
          <cell r="AU1276" t="str">
            <v>/  /</v>
          </cell>
          <cell r="AW1276">
            <v>38718</v>
          </cell>
          <cell r="AZ1276" t="str">
            <v>R</v>
          </cell>
          <cell r="BA1276" t="str">
            <v>2</v>
          </cell>
          <cell r="BB1276">
            <v>1</v>
          </cell>
          <cell r="BD1276">
            <v>0</v>
          </cell>
          <cell r="BE1276" t="str">
            <v>M</v>
          </cell>
          <cell r="BF1276" t="str">
            <v>N</v>
          </cell>
          <cell r="BG1276">
            <v>1</v>
          </cell>
          <cell r="BH1276">
            <v>38899</v>
          </cell>
          <cell r="BI1276" t="str">
            <v>O</v>
          </cell>
        </row>
        <row r="1277">
          <cell r="A1277">
            <v>90468</v>
          </cell>
          <cell r="B1277">
            <v>414</v>
          </cell>
          <cell r="C1277" t="str">
            <v>X4210</v>
          </cell>
          <cell r="D1277" t="str">
            <v>ZIRANI</v>
          </cell>
          <cell r="E1277" t="str">
            <v>JILLALI</v>
          </cell>
          <cell r="F1277">
            <v>19905</v>
          </cell>
          <cell r="H1277" t="str">
            <v>OULED M'RAH - SETTAT</v>
          </cell>
          <cell r="I1277" t="str">
            <v>F</v>
          </cell>
          <cell r="J1277">
            <v>28781</v>
          </cell>
          <cell r="K1277">
            <v>33573</v>
          </cell>
          <cell r="L1277" t="str">
            <v>42</v>
          </cell>
          <cell r="M1277" t="str">
            <v>A</v>
          </cell>
          <cell r="N1277">
            <v>33573</v>
          </cell>
          <cell r="P1277">
            <v>24</v>
          </cell>
          <cell r="Q1277" t="str">
            <v>O</v>
          </cell>
          <cell r="R1277" t="str">
            <v>N</v>
          </cell>
          <cell r="S1277">
            <v>0</v>
          </cell>
          <cell r="T1277" t="str">
            <v>M</v>
          </cell>
          <cell r="U1277" t="str">
            <v>NAIMA BT JILALI EZZOUAIRI</v>
          </cell>
          <cell r="X1277">
            <v>5</v>
          </cell>
          <cell r="Y1277">
            <v>4</v>
          </cell>
          <cell r="AB1277" t="str">
            <v>X</v>
          </cell>
          <cell r="AC1277" t="str">
            <v>X</v>
          </cell>
          <cell r="AD1277" t="str">
            <v>X</v>
          </cell>
          <cell r="AH1277" t="str">
            <v>N</v>
          </cell>
          <cell r="AI1277" t="str">
            <v>N</v>
          </cell>
          <cell r="AK1277" t="str">
            <v>82 COOPERATIVE AL MOSTAKBAL AMAL KHGA</v>
          </cell>
          <cell r="AL1277" t="str">
            <v>5AS.SC.EXP.</v>
          </cell>
          <cell r="AM1277" t="str">
            <v>CES.CFP.CQP.CFO.EMM</v>
          </cell>
          <cell r="AP1277" t="str">
            <v>Q 46352</v>
          </cell>
          <cell r="AQ1277">
            <v>0</v>
          </cell>
          <cell r="AR1277" t="str">
            <v>B</v>
          </cell>
          <cell r="AS1277" t="str">
            <v>B.M.C.I  KHGA</v>
          </cell>
          <cell r="AT1277" t="str">
            <v>02820545145301</v>
          </cell>
          <cell r="AU1277" t="str">
            <v>/  /</v>
          </cell>
          <cell r="AW1277">
            <v>38718</v>
          </cell>
          <cell r="AZ1277" t="str">
            <v>M</v>
          </cell>
          <cell r="BA1277" t="str">
            <v>2</v>
          </cell>
          <cell r="BB1277">
            <v>1</v>
          </cell>
          <cell r="BD1277">
            <v>0</v>
          </cell>
          <cell r="BE1277" t="str">
            <v>M</v>
          </cell>
          <cell r="BF1277" t="str">
            <v>N</v>
          </cell>
          <cell r="BG1277">
            <v>1</v>
          </cell>
          <cell r="BH1277">
            <v>38899</v>
          </cell>
          <cell r="BI1277" t="str">
            <v>O</v>
          </cell>
        </row>
        <row r="1278">
          <cell r="A1278">
            <v>90520</v>
          </cell>
          <cell r="B1278">
            <v>423</v>
          </cell>
          <cell r="C1278" t="str">
            <v>X4200</v>
          </cell>
          <cell r="D1278" t="str">
            <v>CHAHDANE</v>
          </cell>
          <cell r="E1278" t="str">
            <v>EL MOSTAFA</v>
          </cell>
          <cell r="F1278">
            <v>19175</v>
          </cell>
          <cell r="G1278" t="str">
            <v>3</v>
          </cell>
          <cell r="H1278" t="str">
            <v>BOUJNIBA</v>
          </cell>
          <cell r="I1278" t="str">
            <v>F</v>
          </cell>
          <cell r="J1278">
            <v>26792</v>
          </cell>
          <cell r="K1278">
            <v>36526</v>
          </cell>
          <cell r="L1278" t="str">
            <v>42</v>
          </cell>
          <cell r="M1278" t="str">
            <v>A</v>
          </cell>
          <cell r="N1278">
            <v>36526</v>
          </cell>
          <cell r="P1278">
            <v>29</v>
          </cell>
          <cell r="Q1278" t="str">
            <v>O</v>
          </cell>
          <cell r="R1278" t="str">
            <v>N</v>
          </cell>
          <cell r="S1278">
            <v>0</v>
          </cell>
          <cell r="T1278" t="str">
            <v>M</v>
          </cell>
          <cell r="U1278" t="str">
            <v>TIGATEN FATIMA</v>
          </cell>
          <cell r="X1278">
            <v>1</v>
          </cell>
          <cell r="Y1278">
            <v>1</v>
          </cell>
          <cell r="AB1278" t="str">
            <v>X</v>
          </cell>
          <cell r="AC1278" t="str">
            <v>X</v>
          </cell>
          <cell r="AD1278" t="str">
            <v>X</v>
          </cell>
          <cell r="AH1278" t="str">
            <v>N</v>
          </cell>
          <cell r="AI1278" t="str">
            <v>N</v>
          </cell>
          <cell r="AK1278" t="str">
            <v>291,LOTISSEMENT EL HANA KHOURIBGA</v>
          </cell>
          <cell r="AL1278" t="str">
            <v>5AS.LM</v>
          </cell>
          <cell r="AM1278" t="str">
            <v>CEP.CES.CFO.EMM</v>
          </cell>
          <cell r="AP1278" t="str">
            <v>Q 6297</v>
          </cell>
          <cell r="AQ1278">
            <v>0</v>
          </cell>
          <cell r="AR1278" t="str">
            <v>B</v>
          </cell>
          <cell r="AS1278" t="str">
            <v>CREDIT DU MAROC</v>
          </cell>
          <cell r="AT1278" t="str">
            <v>820010002299</v>
          </cell>
          <cell r="AU1278" t="str">
            <v>/  /</v>
          </cell>
          <cell r="AW1278">
            <v>37438</v>
          </cell>
          <cell r="BA1278" t="str">
            <v>2</v>
          </cell>
          <cell r="BB1278">
            <v>1</v>
          </cell>
          <cell r="BC1278" t="str">
            <v>O</v>
          </cell>
          <cell r="BD1278">
            <v>0</v>
          </cell>
          <cell r="BE1278" t="str">
            <v>M</v>
          </cell>
          <cell r="BF1278" t="str">
            <v>N</v>
          </cell>
          <cell r="BG1278">
            <v>4</v>
          </cell>
          <cell r="BH1278">
            <v>37438</v>
          </cell>
          <cell r="BI1278" t="str">
            <v>P</v>
          </cell>
        </row>
        <row r="1279">
          <cell r="A1279">
            <v>90523</v>
          </cell>
          <cell r="B1279">
            <v>463</v>
          </cell>
          <cell r="C1279" t="str">
            <v>X4200</v>
          </cell>
          <cell r="D1279" t="str">
            <v>MOUTAMIR</v>
          </cell>
          <cell r="E1279" t="str">
            <v>BRAHIM</v>
          </cell>
          <cell r="F1279">
            <v>19189</v>
          </cell>
          <cell r="H1279" t="str">
            <v>AIT ATTAB</v>
          </cell>
          <cell r="I1279" t="str">
            <v>F</v>
          </cell>
          <cell r="J1279">
            <v>27877</v>
          </cell>
          <cell r="K1279">
            <v>36526</v>
          </cell>
          <cell r="L1279" t="str">
            <v>42</v>
          </cell>
          <cell r="M1279" t="str">
            <v>A</v>
          </cell>
          <cell r="N1279">
            <v>36526</v>
          </cell>
          <cell r="P1279">
            <v>27</v>
          </cell>
          <cell r="Q1279" t="str">
            <v>O</v>
          </cell>
          <cell r="R1279" t="str">
            <v>N</v>
          </cell>
          <cell r="S1279">
            <v>0</v>
          </cell>
          <cell r="T1279" t="str">
            <v>M</v>
          </cell>
          <cell r="U1279" t="str">
            <v>AHMANI MALIKA</v>
          </cell>
          <cell r="X1279">
            <v>4</v>
          </cell>
          <cell r="Y1279">
            <v>4</v>
          </cell>
          <cell r="AB1279" t="str">
            <v>X</v>
          </cell>
          <cell r="AC1279" t="str">
            <v>X</v>
          </cell>
          <cell r="AD1279" t="str">
            <v>X</v>
          </cell>
          <cell r="AH1279" t="str">
            <v>N</v>
          </cell>
          <cell r="AI1279" t="str">
            <v>N</v>
          </cell>
          <cell r="AK1279" t="str">
            <v>15 COOPERATIVE ES-SAADA HAY RIAD - KHGA</v>
          </cell>
          <cell r="AL1279" t="str">
            <v>3AS</v>
          </cell>
          <cell r="AM1279" t="str">
            <v>CEP.CQP.CFO.EMM</v>
          </cell>
          <cell r="AN1279" t="str">
            <v>49═12═27</v>
          </cell>
          <cell r="AP1279" t="str">
            <v>Q 38160</v>
          </cell>
          <cell r="AQ1279">
            <v>0</v>
          </cell>
          <cell r="AR1279" t="str">
            <v>B</v>
          </cell>
          <cell r="AS1279" t="str">
            <v>BMCE.KHGA</v>
          </cell>
          <cell r="AT1279" t="str">
            <v>40001200000454987</v>
          </cell>
          <cell r="AU1279" t="str">
            <v>/  /</v>
          </cell>
          <cell r="AW1279">
            <v>37803</v>
          </cell>
          <cell r="BA1279" t="str">
            <v>2</v>
          </cell>
          <cell r="BB1279">
            <v>1</v>
          </cell>
          <cell r="BC1279" t="str">
            <v>O</v>
          </cell>
          <cell r="BD1279">
            <v>0</v>
          </cell>
          <cell r="BE1279" t="str">
            <v>M</v>
          </cell>
          <cell r="BF1279" t="str">
            <v>N</v>
          </cell>
          <cell r="BG1279">
            <v>5</v>
          </cell>
          <cell r="BH1279">
            <v>37987</v>
          </cell>
          <cell r="BI1279" t="str">
            <v>O</v>
          </cell>
        </row>
        <row r="1280">
          <cell r="A1280">
            <v>90525</v>
          </cell>
          <cell r="B1280">
            <v>413</v>
          </cell>
          <cell r="C1280" t="str">
            <v>X5200</v>
          </cell>
          <cell r="D1280" t="str">
            <v>BOUKRIM</v>
          </cell>
          <cell r="E1280" t="str">
            <v>OMAR</v>
          </cell>
          <cell r="F1280">
            <v>21021</v>
          </cell>
          <cell r="G1280" t="str">
            <v>1</v>
          </cell>
          <cell r="H1280" t="str">
            <v>KHOURIBGA</v>
          </cell>
          <cell r="I1280" t="str">
            <v>F</v>
          </cell>
          <cell r="J1280">
            <v>28723</v>
          </cell>
          <cell r="K1280">
            <v>37257</v>
          </cell>
          <cell r="L1280" t="str">
            <v>51</v>
          </cell>
          <cell r="M1280" t="str">
            <v>A</v>
          </cell>
          <cell r="N1280">
            <v>37257</v>
          </cell>
          <cell r="O1280">
            <v>0</v>
          </cell>
          <cell r="P1280">
            <v>24</v>
          </cell>
          <cell r="Q1280" t="str">
            <v>O</v>
          </cell>
          <cell r="R1280" t="str">
            <v>N</v>
          </cell>
          <cell r="S1280">
            <v>0</v>
          </cell>
          <cell r="T1280" t="str">
            <v>M</v>
          </cell>
          <cell r="U1280" t="str">
            <v>BADANNI ZINEB BT AHMED</v>
          </cell>
          <cell r="X1280">
            <v>6</v>
          </cell>
          <cell r="Y1280">
            <v>6</v>
          </cell>
          <cell r="AB1280" t="str">
            <v>X</v>
          </cell>
          <cell r="AC1280" t="str">
            <v>X</v>
          </cell>
          <cell r="AD1280" t="str">
            <v>X</v>
          </cell>
          <cell r="AH1280" t="str">
            <v>O</v>
          </cell>
          <cell r="AI1280" t="str">
            <v>N</v>
          </cell>
          <cell r="AK1280" t="str">
            <v>28 RUE D'IFNI VILLAGE OCP - KHGA</v>
          </cell>
          <cell r="AL1280" t="str">
            <v>4AS</v>
          </cell>
          <cell r="AM1280" t="str">
            <v>CFP.CQP.CFO.EMM</v>
          </cell>
          <cell r="AP1280" t="str">
            <v>Q 46921</v>
          </cell>
          <cell r="AQ1280">
            <v>0</v>
          </cell>
          <cell r="AR1280" t="str">
            <v>B</v>
          </cell>
          <cell r="AS1280" t="str">
            <v>SGMB - KHGA</v>
          </cell>
          <cell r="AT1280" t="str">
            <v>067000941803641</v>
          </cell>
          <cell r="AU1280" t="str">
            <v>/  /</v>
          </cell>
          <cell r="AW1280">
            <v>41438</v>
          </cell>
          <cell r="AX1280">
            <v>41438</v>
          </cell>
          <cell r="AZ1280" t="str">
            <v>M</v>
          </cell>
          <cell r="BA1280" t="str">
            <v>2</v>
          </cell>
          <cell r="BB1280">
            <v>1</v>
          </cell>
          <cell r="BD1280">
            <v>0</v>
          </cell>
          <cell r="BE1280" t="str">
            <v>M</v>
          </cell>
          <cell r="BF1280" t="str">
            <v>N</v>
          </cell>
          <cell r="BG1280">
            <v>1</v>
          </cell>
          <cell r="BH1280">
            <v>39448</v>
          </cell>
        </row>
        <row r="1281">
          <cell r="A1281">
            <v>90526</v>
          </cell>
          <cell r="B1281">
            <v>423</v>
          </cell>
          <cell r="C1281" t="str">
            <v>X3200</v>
          </cell>
          <cell r="D1281" t="str">
            <v>MOUTATAHIR</v>
          </cell>
          <cell r="E1281" t="str">
            <v>SALAH</v>
          </cell>
          <cell r="F1281">
            <v>20987</v>
          </cell>
          <cell r="G1281" t="str">
            <v>1</v>
          </cell>
          <cell r="H1281" t="str">
            <v>OULED ABDOUNE - KHOURIBGA</v>
          </cell>
          <cell r="I1281" t="str">
            <v>F</v>
          </cell>
          <cell r="J1281">
            <v>28293</v>
          </cell>
          <cell r="K1281">
            <v>31199</v>
          </cell>
          <cell r="L1281" t="str">
            <v>41</v>
          </cell>
          <cell r="M1281" t="str">
            <v>A</v>
          </cell>
          <cell r="N1281">
            <v>31199</v>
          </cell>
          <cell r="P1281">
            <v>25</v>
          </cell>
          <cell r="Q1281" t="str">
            <v>O</v>
          </cell>
          <cell r="R1281" t="str">
            <v>N</v>
          </cell>
          <cell r="S1281">
            <v>0</v>
          </cell>
          <cell r="T1281" t="str">
            <v>M</v>
          </cell>
          <cell r="U1281" t="str">
            <v>ZAHRA BT AHMED ABAOUS</v>
          </cell>
          <cell r="X1281">
            <v>3</v>
          </cell>
          <cell r="Y1281">
            <v>3</v>
          </cell>
          <cell r="AB1281" t="str">
            <v>X</v>
          </cell>
          <cell r="AC1281" t="str">
            <v>X</v>
          </cell>
          <cell r="AD1281" t="str">
            <v>X</v>
          </cell>
          <cell r="AH1281" t="str">
            <v>N</v>
          </cell>
          <cell r="AI1281" t="str">
            <v>N</v>
          </cell>
          <cell r="AK1281" t="str">
            <v>36 RUE ERRAHA LOT. EL HASSANIA - KHGA</v>
          </cell>
          <cell r="AL1281" t="str">
            <v>4AS</v>
          </cell>
          <cell r="AM1281" t="str">
            <v>CFP.CQP.CFO.EMM</v>
          </cell>
          <cell r="AP1281" t="str">
            <v>H 39375</v>
          </cell>
          <cell r="AQ1281">
            <v>0</v>
          </cell>
          <cell r="AR1281" t="str">
            <v>B</v>
          </cell>
          <cell r="AS1281" t="str">
            <v>POPULAIRE.KHGA</v>
          </cell>
          <cell r="AT1281" t="str">
            <v>2111112776220001</v>
          </cell>
          <cell r="AU1281" t="str">
            <v>/  /</v>
          </cell>
          <cell r="AW1281">
            <v>39264</v>
          </cell>
          <cell r="BA1281" t="str">
            <v>2</v>
          </cell>
          <cell r="BB1281">
            <v>1</v>
          </cell>
          <cell r="BC1281" t="str">
            <v>O</v>
          </cell>
          <cell r="BD1281">
            <v>0</v>
          </cell>
          <cell r="BE1281" t="str">
            <v>M</v>
          </cell>
          <cell r="BF1281" t="str">
            <v>N</v>
          </cell>
          <cell r="BG1281">
            <v>4</v>
          </cell>
          <cell r="BH1281">
            <v>39264</v>
          </cell>
          <cell r="BI1281" t="str">
            <v>O</v>
          </cell>
        </row>
        <row r="1282">
          <cell r="A1282">
            <v>90542</v>
          </cell>
          <cell r="B1282">
            <v>463</v>
          </cell>
          <cell r="C1282" t="str">
            <v>X6200</v>
          </cell>
          <cell r="D1282" t="str">
            <v>ARABI</v>
          </cell>
          <cell r="E1282" t="str">
            <v>MOHAMMED</v>
          </cell>
          <cell r="F1282">
            <v>19905</v>
          </cell>
          <cell r="G1282" t="str">
            <v>1</v>
          </cell>
          <cell r="H1282" t="str">
            <v>OULED BHAR KBAR KHOURIBGA</v>
          </cell>
          <cell r="I1282" t="str">
            <v>D</v>
          </cell>
          <cell r="J1282">
            <v>26806</v>
          </cell>
          <cell r="K1282">
            <v>36526</v>
          </cell>
          <cell r="L1282" t="str">
            <v>52</v>
          </cell>
          <cell r="M1282" t="str">
            <v>A</v>
          </cell>
          <cell r="N1282">
            <v>36526</v>
          </cell>
          <cell r="P1282">
            <v>29</v>
          </cell>
          <cell r="Q1282" t="str">
            <v>O</v>
          </cell>
          <cell r="R1282" t="str">
            <v>N</v>
          </cell>
          <cell r="S1282">
            <v>0</v>
          </cell>
          <cell r="T1282" t="str">
            <v>M</v>
          </cell>
          <cell r="U1282" t="str">
            <v>RACHID FATIMA BT BELKACEM</v>
          </cell>
          <cell r="X1282">
            <v>6</v>
          </cell>
          <cell r="Y1282">
            <v>6</v>
          </cell>
          <cell r="AB1282" t="str">
            <v>X</v>
          </cell>
          <cell r="AC1282" t="str">
            <v>X</v>
          </cell>
          <cell r="AD1282" t="str">
            <v>X</v>
          </cell>
          <cell r="AH1282" t="str">
            <v>N</v>
          </cell>
          <cell r="AI1282" t="str">
            <v>N</v>
          </cell>
          <cell r="AK1282" t="str">
            <v>17, BLOC F EL MASSIRA - KHGA</v>
          </cell>
          <cell r="AL1282" t="str">
            <v>4AS</v>
          </cell>
          <cell r="AM1282" t="str">
            <v>CES.CFO.EMM</v>
          </cell>
          <cell r="AP1282" t="str">
            <v>Q 16863</v>
          </cell>
          <cell r="AQ1282">
            <v>0</v>
          </cell>
          <cell r="AR1282" t="str">
            <v>B</v>
          </cell>
          <cell r="AS1282" t="str">
            <v>CRED.MAROC KHGA</v>
          </cell>
          <cell r="AT1282" t="str">
            <v>820010025171</v>
          </cell>
          <cell r="AU1282" t="str">
            <v>/  /</v>
          </cell>
          <cell r="AW1282">
            <v>38169</v>
          </cell>
          <cell r="BA1282" t="str">
            <v>2</v>
          </cell>
          <cell r="BB1282">
            <v>1</v>
          </cell>
          <cell r="BD1282">
            <v>0</v>
          </cell>
          <cell r="BE1282" t="str">
            <v>M</v>
          </cell>
          <cell r="BF1282" t="str">
            <v>N</v>
          </cell>
          <cell r="BG1282">
            <v>1</v>
          </cell>
          <cell r="BH1282">
            <v>38169</v>
          </cell>
          <cell r="BI1282" t="str">
            <v>O</v>
          </cell>
        </row>
        <row r="1283">
          <cell r="A1283">
            <v>90543</v>
          </cell>
          <cell r="B1283">
            <v>413</v>
          </cell>
          <cell r="C1283" t="str">
            <v>X4200</v>
          </cell>
          <cell r="D1283" t="str">
            <v>SBAA</v>
          </cell>
          <cell r="E1283" t="str">
            <v>ABDERRAHMANE</v>
          </cell>
          <cell r="F1283">
            <v>19757</v>
          </cell>
          <cell r="G1283" t="str">
            <v>1</v>
          </cell>
          <cell r="H1283" t="str">
            <v>OULED ABDOUNE - KHGA</v>
          </cell>
          <cell r="I1283" t="str">
            <v>D</v>
          </cell>
          <cell r="J1283">
            <v>27332</v>
          </cell>
          <cell r="K1283">
            <v>33573</v>
          </cell>
          <cell r="L1283" t="str">
            <v>42</v>
          </cell>
          <cell r="M1283" t="str">
            <v>A</v>
          </cell>
          <cell r="N1283">
            <v>33573</v>
          </cell>
          <cell r="P1283">
            <v>28</v>
          </cell>
          <cell r="Q1283" t="str">
            <v>O</v>
          </cell>
          <cell r="R1283" t="str">
            <v>N</v>
          </cell>
          <cell r="S1283">
            <v>0</v>
          </cell>
          <cell r="T1283" t="str">
            <v>M</v>
          </cell>
          <cell r="U1283" t="str">
            <v>GHAZALI NAJAT</v>
          </cell>
          <cell r="X1283">
            <v>4</v>
          </cell>
          <cell r="Y1283">
            <v>4</v>
          </cell>
          <cell r="AB1283" t="str">
            <v>X</v>
          </cell>
          <cell r="AC1283" t="str">
            <v>X</v>
          </cell>
          <cell r="AD1283" t="str">
            <v>X</v>
          </cell>
          <cell r="AE1283" t="str">
            <v>MINI.EDUC.NAT</v>
          </cell>
          <cell r="AH1283" t="str">
            <v>N</v>
          </cell>
          <cell r="AI1283" t="str">
            <v>N</v>
          </cell>
          <cell r="AK1283" t="str">
            <v>138,LOTISSEMENT EL HANA KHOURIBGA</v>
          </cell>
          <cell r="AL1283" t="str">
            <v>4AS</v>
          </cell>
          <cell r="AM1283" t="str">
            <v>CFO.EMM</v>
          </cell>
          <cell r="AP1283" t="str">
            <v>Q 16800</v>
          </cell>
          <cell r="AQ1283">
            <v>0</v>
          </cell>
          <cell r="AR1283" t="str">
            <v>B</v>
          </cell>
          <cell r="AS1283" t="str">
            <v>C.I.H - KHGA</v>
          </cell>
          <cell r="AT1283" t="str">
            <v>9829391211004700</v>
          </cell>
          <cell r="AU1283" t="str">
            <v>/  /</v>
          </cell>
          <cell r="AW1283">
            <v>38169</v>
          </cell>
          <cell r="AZ1283" t="str">
            <v>M</v>
          </cell>
          <cell r="BA1283" t="str">
            <v>2</v>
          </cell>
          <cell r="BB1283">
            <v>1</v>
          </cell>
          <cell r="BD1283">
            <v>0</v>
          </cell>
          <cell r="BE1283" t="str">
            <v>M</v>
          </cell>
          <cell r="BF1283" t="str">
            <v>N</v>
          </cell>
          <cell r="BG1283">
            <v>1</v>
          </cell>
          <cell r="BH1283">
            <v>38169</v>
          </cell>
          <cell r="BI1283" t="str">
            <v>O</v>
          </cell>
        </row>
        <row r="1284">
          <cell r="A1284">
            <v>90544</v>
          </cell>
          <cell r="B1284">
            <v>461</v>
          </cell>
          <cell r="C1284" t="str">
            <v>X3032</v>
          </cell>
          <cell r="D1284" t="str">
            <v>KHABIR</v>
          </cell>
          <cell r="E1284" t="str">
            <v>EL MAATI</v>
          </cell>
          <cell r="F1284">
            <v>19175</v>
          </cell>
          <cell r="G1284" t="str">
            <v>1</v>
          </cell>
          <cell r="H1284" t="str">
            <v>TACHRAFET - KHOURIBGA</v>
          </cell>
          <cell r="I1284" t="str">
            <v>F</v>
          </cell>
          <cell r="J1284">
            <v>27475</v>
          </cell>
          <cell r="K1284">
            <v>31625</v>
          </cell>
          <cell r="L1284" t="str">
            <v>41</v>
          </cell>
          <cell r="M1284" t="str">
            <v>A</v>
          </cell>
          <cell r="N1284">
            <v>31625</v>
          </cell>
          <cell r="P1284">
            <v>28</v>
          </cell>
          <cell r="Q1284" t="str">
            <v>O</v>
          </cell>
          <cell r="R1284" t="str">
            <v>N</v>
          </cell>
          <cell r="S1284">
            <v>0</v>
          </cell>
          <cell r="T1284" t="str">
            <v>M</v>
          </cell>
          <cell r="U1284" t="str">
            <v>FADILI HAFIDA BT LARBI</v>
          </cell>
          <cell r="X1284">
            <v>5</v>
          </cell>
          <cell r="Y1284">
            <v>3</v>
          </cell>
          <cell r="AB1284" t="str">
            <v>X</v>
          </cell>
          <cell r="AC1284" t="str">
            <v>X</v>
          </cell>
          <cell r="AD1284" t="str">
            <v>X</v>
          </cell>
          <cell r="AH1284" t="str">
            <v>N</v>
          </cell>
          <cell r="AI1284" t="str">
            <v>N</v>
          </cell>
          <cell r="AK1284" t="str">
            <v>1 RUE 23 KOREA - OUED ZEM</v>
          </cell>
          <cell r="AL1284" t="str">
            <v>3AI</v>
          </cell>
          <cell r="AM1284" t="str">
            <v>CEP.CET.CFP.CFO.EMM</v>
          </cell>
          <cell r="AP1284" t="str">
            <v>Q 30092</v>
          </cell>
          <cell r="AQ1284">
            <v>0</v>
          </cell>
          <cell r="AR1284" t="str">
            <v>B</v>
          </cell>
          <cell r="AS1284" t="str">
            <v>B.M.C.I  O.ZEM</v>
          </cell>
          <cell r="AT1284" t="str">
            <v>53266515301</v>
          </cell>
          <cell r="AU1284" t="str">
            <v>/  /</v>
          </cell>
          <cell r="AW1284">
            <v>37438</v>
          </cell>
          <cell r="BA1284" t="str">
            <v>2</v>
          </cell>
          <cell r="BB1284">
            <v>1</v>
          </cell>
          <cell r="BD1284">
            <v>0</v>
          </cell>
          <cell r="BE1284" t="str">
            <v>M</v>
          </cell>
          <cell r="BF1284" t="str">
            <v>N</v>
          </cell>
          <cell r="BG1284">
            <v>31</v>
          </cell>
          <cell r="BH1284">
            <v>37438</v>
          </cell>
          <cell r="BI1284" t="str">
            <v>O</v>
          </cell>
        </row>
        <row r="1285">
          <cell r="A1285">
            <v>90547</v>
          </cell>
          <cell r="B1285">
            <v>437</v>
          </cell>
          <cell r="C1285" t="str">
            <v>X3050</v>
          </cell>
          <cell r="D1285" t="str">
            <v>MOUHALLIL</v>
          </cell>
          <cell r="E1285" t="str">
            <v>EL MOSTAFA</v>
          </cell>
          <cell r="F1285">
            <v>20548</v>
          </cell>
          <cell r="G1285" t="str">
            <v>6</v>
          </cell>
          <cell r="H1285" t="str">
            <v>OULED AZZOUZ - KHOURIBGA</v>
          </cell>
          <cell r="I1285" t="str">
            <v>F</v>
          </cell>
          <cell r="J1285">
            <v>28696</v>
          </cell>
          <cell r="K1285">
            <v>31625</v>
          </cell>
          <cell r="L1285" t="str">
            <v>41</v>
          </cell>
          <cell r="M1285" t="str">
            <v>B</v>
          </cell>
          <cell r="N1285">
            <v>35612</v>
          </cell>
          <cell r="P1285">
            <v>24</v>
          </cell>
          <cell r="Q1285" t="str">
            <v>N</v>
          </cell>
          <cell r="R1285" t="str">
            <v>N</v>
          </cell>
          <cell r="S1285">
            <v>0</v>
          </cell>
          <cell r="T1285" t="str">
            <v>M</v>
          </cell>
          <cell r="U1285" t="str">
            <v>SADAQI SAADIA</v>
          </cell>
          <cell r="X1285">
            <v>3</v>
          </cell>
          <cell r="Y1285">
            <v>3</v>
          </cell>
          <cell r="Z1285" t="str">
            <v>N</v>
          </cell>
          <cell r="AB1285" t="str">
            <v>X</v>
          </cell>
          <cell r="AC1285" t="str">
            <v>X</v>
          </cell>
          <cell r="AD1285" t="str">
            <v>X</v>
          </cell>
          <cell r="AE1285" t="str">
            <v>MINI.EDUC.NAT.</v>
          </cell>
          <cell r="AH1285" t="str">
            <v>N</v>
          </cell>
          <cell r="AI1285" t="str">
            <v>N</v>
          </cell>
          <cell r="AK1285" t="str">
            <v>83,RUE EL KORANFAL EL HANA KHOURIBGA</v>
          </cell>
          <cell r="AL1285" t="str">
            <v>7AS</v>
          </cell>
          <cell r="AM1285" t="str">
            <v>CEP.CFO.EMM</v>
          </cell>
          <cell r="AN1285" t="str">
            <v>49═28═30</v>
          </cell>
          <cell r="AP1285" t="str">
            <v>Q 13206</v>
          </cell>
          <cell r="AQ1285">
            <v>0</v>
          </cell>
          <cell r="AR1285" t="str">
            <v>B</v>
          </cell>
          <cell r="AS1285" t="str">
            <v>BMCE - KHGA</v>
          </cell>
          <cell r="AT1285" t="str">
            <v>40001200001242336</v>
          </cell>
          <cell r="AU1285" t="str">
            <v>/  /</v>
          </cell>
          <cell r="AW1285">
            <v>38899</v>
          </cell>
          <cell r="BA1285" t="str">
            <v>2</v>
          </cell>
          <cell r="BB1285">
            <v>1</v>
          </cell>
          <cell r="BD1285">
            <v>0</v>
          </cell>
          <cell r="BE1285" t="str">
            <v>M</v>
          </cell>
          <cell r="BG1285">
            <v>0</v>
          </cell>
          <cell r="BH1285">
            <v>38899</v>
          </cell>
          <cell r="BI1285" t="str">
            <v>O</v>
          </cell>
        </row>
        <row r="1286">
          <cell r="A1286">
            <v>90550</v>
          </cell>
          <cell r="B1286">
            <v>428</v>
          </cell>
          <cell r="C1286" t="str">
            <v>X4050</v>
          </cell>
          <cell r="D1286" t="str">
            <v>DAHANI</v>
          </cell>
          <cell r="E1286" t="str">
            <v>MOHAMMED</v>
          </cell>
          <cell r="F1286">
            <v>21366</v>
          </cell>
          <cell r="G1286" t="str">
            <v>1</v>
          </cell>
          <cell r="H1286" t="str">
            <v>OULED BHAR KBAR KHOURIBGA</v>
          </cell>
          <cell r="I1286" t="str">
            <v>F</v>
          </cell>
          <cell r="J1286">
            <v>29775</v>
          </cell>
          <cell r="K1286">
            <v>36526</v>
          </cell>
          <cell r="L1286" t="str">
            <v>42</v>
          </cell>
          <cell r="M1286" t="str">
            <v>A</v>
          </cell>
          <cell r="N1286">
            <v>36526</v>
          </cell>
          <cell r="P1286">
            <v>21</v>
          </cell>
          <cell r="Q1286" t="str">
            <v>O</v>
          </cell>
          <cell r="R1286" t="str">
            <v>N</v>
          </cell>
          <cell r="S1286">
            <v>0</v>
          </cell>
          <cell r="T1286" t="str">
            <v>M</v>
          </cell>
          <cell r="U1286" t="str">
            <v>AGDANI KHADDOUJ BT MOHAMED</v>
          </cell>
          <cell r="X1286">
            <v>4</v>
          </cell>
          <cell r="Y1286">
            <v>4</v>
          </cell>
          <cell r="AB1286" t="str">
            <v>X</v>
          </cell>
          <cell r="AC1286" t="str">
            <v>X</v>
          </cell>
          <cell r="AD1286" t="str">
            <v>X</v>
          </cell>
          <cell r="AH1286" t="str">
            <v>N</v>
          </cell>
          <cell r="AI1286" t="str">
            <v>N</v>
          </cell>
          <cell r="AK1286" t="str">
            <v>54 RUE EL BOUNDOUKIA ERRACHAD 1 KHGA</v>
          </cell>
          <cell r="AL1286" t="str">
            <v>7AS.SC.EXP.</v>
          </cell>
          <cell r="AM1286" t="str">
            <v>CEP.CES.CFO.EMM</v>
          </cell>
          <cell r="AP1286" t="str">
            <v>Q 75968</v>
          </cell>
          <cell r="AQ1286">
            <v>0</v>
          </cell>
          <cell r="AR1286" t="str">
            <v>B</v>
          </cell>
          <cell r="AS1286" t="str">
            <v>B.M.C.I  KHGA</v>
          </cell>
          <cell r="AT1286" t="str">
            <v>02820731773301</v>
          </cell>
          <cell r="AU1286" t="str">
            <v>/  /</v>
          </cell>
          <cell r="AW1286">
            <v>39814</v>
          </cell>
          <cell r="BA1286" t="str">
            <v>2</v>
          </cell>
          <cell r="BB1286">
            <v>1</v>
          </cell>
          <cell r="BC1286" t="str">
            <v>O</v>
          </cell>
          <cell r="BD1286">
            <v>0</v>
          </cell>
          <cell r="BE1286" t="str">
            <v>M</v>
          </cell>
          <cell r="BF1286" t="str">
            <v>N</v>
          </cell>
          <cell r="BG1286">
            <v>4</v>
          </cell>
          <cell r="BH1286">
            <v>39814</v>
          </cell>
          <cell r="BI1286" t="str">
            <v>O</v>
          </cell>
        </row>
        <row r="1287">
          <cell r="A1287">
            <v>90551</v>
          </cell>
          <cell r="B1287">
            <v>468</v>
          </cell>
          <cell r="C1287" t="str">
            <v>X3050</v>
          </cell>
          <cell r="D1287" t="str">
            <v>ASSIR</v>
          </cell>
          <cell r="E1287" t="str">
            <v>MOHAMMED</v>
          </cell>
          <cell r="F1287">
            <v>21161</v>
          </cell>
          <cell r="G1287" t="str">
            <v>2</v>
          </cell>
          <cell r="H1287" t="str">
            <v>OUED-ZEM</v>
          </cell>
          <cell r="I1287" t="str">
            <v>F</v>
          </cell>
          <cell r="J1287">
            <v>29794</v>
          </cell>
          <cell r="K1287">
            <v>31625</v>
          </cell>
          <cell r="L1287" t="str">
            <v>41</v>
          </cell>
          <cell r="M1287" t="str">
            <v>B</v>
          </cell>
          <cell r="N1287">
            <v>33786</v>
          </cell>
          <cell r="P1287">
            <v>21</v>
          </cell>
          <cell r="Q1287" t="str">
            <v>O</v>
          </cell>
          <cell r="R1287" t="str">
            <v>N</v>
          </cell>
          <cell r="S1287">
            <v>0</v>
          </cell>
          <cell r="T1287" t="str">
            <v>M</v>
          </cell>
          <cell r="U1287" t="str">
            <v>DEMNATI FATIMA</v>
          </cell>
          <cell r="X1287">
            <v>4</v>
          </cell>
          <cell r="Y1287">
            <v>3</v>
          </cell>
          <cell r="AB1287" t="str">
            <v>X</v>
          </cell>
          <cell r="AC1287" t="str">
            <v>X</v>
          </cell>
          <cell r="AD1287" t="str">
            <v>X</v>
          </cell>
          <cell r="AH1287" t="str">
            <v>O</v>
          </cell>
          <cell r="AI1287" t="str">
            <v>N</v>
          </cell>
          <cell r="AK1287" t="str">
            <v>5, RUE BENGUERIR VILLAGE OCP - KHGA</v>
          </cell>
          <cell r="AL1287" t="str">
            <v>7AS.SC.EX.</v>
          </cell>
          <cell r="AM1287" t="str">
            <v>CEP.CES.CFO.EMM</v>
          </cell>
          <cell r="AP1287" t="str">
            <v>Q 68147</v>
          </cell>
          <cell r="AQ1287">
            <v>0</v>
          </cell>
          <cell r="AR1287" t="str">
            <v>B</v>
          </cell>
          <cell r="AS1287" t="str">
            <v>BMCE.KHGA</v>
          </cell>
          <cell r="AT1287" t="str">
            <v>40001200000722707</v>
          </cell>
          <cell r="AU1287" t="str">
            <v>/  /</v>
          </cell>
          <cell r="AW1287">
            <v>39814</v>
          </cell>
          <cell r="BA1287" t="str">
            <v>2</v>
          </cell>
          <cell r="BB1287">
            <v>1</v>
          </cell>
          <cell r="BD1287">
            <v>0</v>
          </cell>
          <cell r="BE1287" t="str">
            <v>M</v>
          </cell>
          <cell r="BF1287" t="str">
            <v>N</v>
          </cell>
          <cell r="BG1287">
            <v>1</v>
          </cell>
          <cell r="BH1287">
            <v>39814</v>
          </cell>
        </row>
        <row r="1288">
          <cell r="A1288">
            <v>90552</v>
          </cell>
          <cell r="B1288">
            <v>416</v>
          </cell>
          <cell r="C1288" t="str">
            <v>X4050</v>
          </cell>
          <cell r="D1288" t="str">
            <v>EL FAIZ</v>
          </cell>
          <cell r="E1288" t="str">
            <v>HASSAN</v>
          </cell>
          <cell r="F1288">
            <v>21437</v>
          </cell>
          <cell r="G1288" t="str">
            <v>1</v>
          </cell>
          <cell r="H1288" t="str">
            <v>KHOURIBGA</v>
          </cell>
          <cell r="I1288" t="str">
            <v>F</v>
          </cell>
          <cell r="J1288">
            <v>29790</v>
          </cell>
          <cell r="K1288">
            <v>36526</v>
          </cell>
          <cell r="L1288" t="str">
            <v>42</v>
          </cell>
          <cell r="M1288" t="str">
            <v>A</v>
          </cell>
          <cell r="N1288">
            <v>36526</v>
          </cell>
          <cell r="P1288">
            <v>21</v>
          </cell>
          <cell r="Q1288" t="str">
            <v>O</v>
          </cell>
          <cell r="R1288" t="str">
            <v>N</v>
          </cell>
          <cell r="S1288">
            <v>0</v>
          </cell>
          <cell r="T1288" t="str">
            <v>M</v>
          </cell>
          <cell r="U1288" t="str">
            <v>BENDIDI BOUCHRA</v>
          </cell>
          <cell r="X1288">
            <v>4</v>
          </cell>
          <cell r="Y1288">
            <v>4</v>
          </cell>
          <cell r="Z1288" t="str">
            <v>O</v>
          </cell>
          <cell r="AB1288" t="str">
            <v>N</v>
          </cell>
          <cell r="AC1288" t="str">
            <v>X</v>
          </cell>
          <cell r="AD1288" t="str">
            <v>X</v>
          </cell>
          <cell r="AH1288" t="str">
            <v>N</v>
          </cell>
          <cell r="AI1288" t="str">
            <v>N</v>
          </cell>
          <cell r="AK1288" t="str">
            <v>288,RUE ESSAOUSANE EL HANA KHOURIBGA</v>
          </cell>
          <cell r="AL1288" t="str">
            <v>7AS.SC.EX</v>
          </cell>
          <cell r="AM1288" t="str">
            <v>CEP.CES.CFO.EMM</v>
          </cell>
          <cell r="AP1288" t="str">
            <v>Q 55990</v>
          </cell>
          <cell r="AQ1288">
            <v>0</v>
          </cell>
          <cell r="AR1288" t="str">
            <v>B</v>
          </cell>
          <cell r="AS1288" t="str">
            <v>WAFABANK - KHGA</v>
          </cell>
          <cell r="AT1288" t="str">
            <v>1220301144669</v>
          </cell>
          <cell r="AU1288" t="str">
            <v>/  /</v>
          </cell>
          <cell r="AW1288">
            <v>39814</v>
          </cell>
          <cell r="AZ1288" t="str">
            <v>K</v>
          </cell>
          <cell r="BA1288" t="str">
            <v>2</v>
          </cell>
          <cell r="BB1288">
            <v>1</v>
          </cell>
          <cell r="BC1288" t="str">
            <v>N</v>
          </cell>
          <cell r="BD1288">
            <v>0</v>
          </cell>
          <cell r="BE1288" t="str">
            <v>M</v>
          </cell>
          <cell r="BF1288" t="str">
            <v>O</v>
          </cell>
          <cell r="BG1288">
            <v>1</v>
          </cell>
          <cell r="BH1288">
            <v>39814</v>
          </cell>
          <cell r="BI1288" t="str">
            <v>O</v>
          </cell>
        </row>
        <row r="1289">
          <cell r="A1289">
            <v>90553</v>
          </cell>
          <cell r="B1289">
            <v>428</v>
          </cell>
          <cell r="C1289" t="str">
            <v>X3050</v>
          </cell>
          <cell r="D1289" t="str">
            <v>ARHDA</v>
          </cell>
          <cell r="E1289" t="str">
            <v>ABDELAZIZ</v>
          </cell>
          <cell r="F1289">
            <v>21280</v>
          </cell>
          <cell r="G1289" t="str">
            <v>2</v>
          </cell>
          <cell r="H1289" t="str">
            <v>AIT AMMAR OUED-ZEM</v>
          </cell>
          <cell r="I1289" t="str">
            <v>F</v>
          </cell>
          <cell r="J1289">
            <v>29790</v>
          </cell>
          <cell r="K1289">
            <v>31625</v>
          </cell>
          <cell r="L1289" t="str">
            <v>41</v>
          </cell>
          <cell r="M1289" t="str">
            <v>B</v>
          </cell>
          <cell r="N1289">
            <v>35612</v>
          </cell>
          <cell r="P1289">
            <v>21</v>
          </cell>
          <cell r="Q1289" t="str">
            <v>O</v>
          </cell>
          <cell r="R1289" t="str">
            <v>N</v>
          </cell>
          <cell r="S1289">
            <v>0</v>
          </cell>
          <cell r="T1289" t="str">
            <v>M</v>
          </cell>
          <cell r="U1289" t="str">
            <v>EL HARCHALI SOUAD</v>
          </cell>
          <cell r="X1289">
            <v>4</v>
          </cell>
          <cell r="Y1289">
            <v>4</v>
          </cell>
          <cell r="AB1289" t="str">
            <v>O</v>
          </cell>
          <cell r="AC1289" t="str">
            <v>X</v>
          </cell>
          <cell r="AD1289" t="str">
            <v>X</v>
          </cell>
          <cell r="AE1289" t="str">
            <v>PHARMA.ROUDANI</v>
          </cell>
          <cell r="AH1289" t="str">
            <v>N</v>
          </cell>
          <cell r="AI1289" t="str">
            <v>N</v>
          </cell>
          <cell r="AK1289" t="str">
            <v>1, AMICALE CHABAB RIAD - KHGA</v>
          </cell>
          <cell r="AL1289" t="str">
            <v>7AS.SC.EX</v>
          </cell>
          <cell r="AM1289" t="str">
            <v>CEP.CES.CFO.EMM</v>
          </cell>
          <cell r="AP1289" t="str">
            <v>Q 40318</v>
          </cell>
          <cell r="AQ1289">
            <v>0</v>
          </cell>
          <cell r="AR1289" t="str">
            <v>B</v>
          </cell>
          <cell r="AS1289" t="str">
            <v>C.I.H-KHOURIBGA</v>
          </cell>
          <cell r="AT1289" t="str">
            <v>8666547212004700</v>
          </cell>
          <cell r="AU1289" t="str">
            <v>/  /</v>
          </cell>
          <cell r="AW1289">
            <v>39814</v>
          </cell>
          <cell r="BA1289" t="str">
            <v>2</v>
          </cell>
          <cell r="BB1289">
            <v>1</v>
          </cell>
          <cell r="BC1289" t="str">
            <v>N</v>
          </cell>
          <cell r="BD1289">
            <v>0</v>
          </cell>
          <cell r="BE1289" t="str">
            <v>M</v>
          </cell>
          <cell r="BF1289" t="str">
            <v>N</v>
          </cell>
          <cell r="BG1289">
            <v>4</v>
          </cell>
          <cell r="BH1289">
            <v>39814</v>
          </cell>
          <cell r="BI1289" t="str">
            <v>O</v>
          </cell>
        </row>
        <row r="1290">
          <cell r="A1290">
            <v>90555</v>
          </cell>
          <cell r="B1290">
            <v>410</v>
          </cell>
          <cell r="C1290" t="str">
            <v>X3050</v>
          </cell>
          <cell r="D1290" t="str">
            <v>BAJBOUJI</v>
          </cell>
          <cell r="E1290" t="str">
            <v>MOHAMMED</v>
          </cell>
          <cell r="F1290">
            <v>21731</v>
          </cell>
          <cell r="H1290" t="str">
            <v>SIDI RAHAL - MARRAKECH</v>
          </cell>
          <cell r="I1290" t="str">
            <v>F</v>
          </cell>
          <cell r="J1290">
            <v>29876</v>
          </cell>
          <cell r="K1290">
            <v>31625</v>
          </cell>
          <cell r="L1290" t="str">
            <v>41</v>
          </cell>
          <cell r="M1290" t="str">
            <v>A</v>
          </cell>
          <cell r="N1290">
            <v>31625</v>
          </cell>
          <cell r="P1290">
            <v>21</v>
          </cell>
          <cell r="Q1290" t="str">
            <v>O</v>
          </cell>
          <cell r="R1290" t="str">
            <v>N</v>
          </cell>
          <cell r="S1290">
            <v>0</v>
          </cell>
          <cell r="T1290" t="str">
            <v>M</v>
          </cell>
          <cell r="U1290" t="str">
            <v>HANASLA SAMIRA</v>
          </cell>
          <cell r="X1290">
            <v>2</v>
          </cell>
          <cell r="Y1290">
            <v>2</v>
          </cell>
          <cell r="AB1290" t="str">
            <v>N</v>
          </cell>
          <cell r="AC1290" t="str">
            <v>X</v>
          </cell>
          <cell r="AD1290" t="str">
            <v>X</v>
          </cell>
          <cell r="AH1290" t="str">
            <v>O</v>
          </cell>
          <cell r="AI1290" t="str">
            <v>N</v>
          </cell>
          <cell r="AK1290" t="str">
            <v>51,BLOC 20 NX LOGEMENTS OCP KHOURIBGA</v>
          </cell>
          <cell r="AL1290" t="str">
            <v>7AS.SC.EX</v>
          </cell>
          <cell r="AM1290" t="str">
            <v>CEP.CES.CFO.EMM</v>
          </cell>
          <cell r="AP1290" t="str">
            <v>Y 12553</v>
          </cell>
          <cell r="AQ1290">
            <v>1</v>
          </cell>
          <cell r="AR1290" t="str">
            <v>B</v>
          </cell>
          <cell r="AS1290" t="str">
            <v>CIH . KHOURIBGA</v>
          </cell>
          <cell r="AT1290" t="str">
            <v>7290596211004700</v>
          </cell>
          <cell r="AU1290" t="str">
            <v>/  /</v>
          </cell>
          <cell r="AW1290">
            <v>39995</v>
          </cell>
          <cell r="BA1290" t="str">
            <v>2</v>
          </cell>
          <cell r="BB1290">
            <v>1</v>
          </cell>
          <cell r="BD1290">
            <v>0</v>
          </cell>
          <cell r="BE1290" t="str">
            <v>M</v>
          </cell>
          <cell r="BF1290" t="str">
            <v>N</v>
          </cell>
          <cell r="BG1290">
            <v>1</v>
          </cell>
          <cell r="BH1290">
            <v>39995</v>
          </cell>
        </row>
        <row r="1291">
          <cell r="A1291">
            <v>90556</v>
          </cell>
          <cell r="B1291">
            <v>426</v>
          </cell>
          <cell r="C1291" t="str">
            <v>X3050</v>
          </cell>
          <cell r="D1291" t="str">
            <v>AKROUT</v>
          </cell>
          <cell r="E1291" t="str">
            <v>ABDELKADER</v>
          </cell>
          <cell r="F1291">
            <v>19291</v>
          </cell>
          <cell r="G1291" t="str">
            <v>4</v>
          </cell>
          <cell r="H1291" t="str">
            <v>BOULANOUAR - KHOURIBGA</v>
          </cell>
          <cell r="I1291" t="str">
            <v>F</v>
          </cell>
          <cell r="J1291">
            <v>29210</v>
          </cell>
          <cell r="K1291">
            <v>31625</v>
          </cell>
          <cell r="L1291" t="str">
            <v>41</v>
          </cell>
          <cell r="M1291" t="str">
            <v>A</v>
          </cell>
          <cell r="N1291">
            <v>31625</v>
          </cell>
          <cell r="P1291">
            <v>23</v>
          </cell>
          <cell r="Q1291" t="str">
            <v>O</v>
          </cell>
          <cell r="R1291" t="str">
            <v>N</v>
          </cell>
          <cell r="S1291">
            <v>0</v>
          </cell>
          <cell r="T1291" t="str">
            <v>M</v>
          </cell>
          <cell r="U1291" t="str">
            <v>AHDAR NEZHA</v>
          </cell>
          <cell r="X1291">
            <v>4</v>
          </cell>
          <cell r="Y1291">
            <v>4</v>
          </cell>
          <cell r="AB1291" t="str">
            <v>X</v>
          </cell>
          <cell r="AC1291" t="str">
            <v>X</v>
          </cell>
          <cell r="AD1291" t="str">
            <v>X</v>
          </cell>
          <cell r="AH1291" t="str">
            <v>N</v>
          </cell>
          <cell r="AI1291" t="str">
            <v>N</v>
          </cell>
          <cell r="AK1291" t="str">
            <v>16 RUE HASSANE NAHDA - KHOURIBGA</v>
          </cell>
          <cell r="AL1291" t="str">
            <v>5 AS.SC.</v>
          </cell>
          <cell r="AM1291" t="str">
            <v>CEP.CES.CFO.EMM</v>
          </cell>
          <cell r="AP1291" t="str">
            <v>Q 80541</v>
          </cell>
          <cell r="AQ1291">
            <v>0</v>
          </cell>
          <cell r="AR1291" t="str">
            <v>B</v>
          </cell>
          <cell r="AS1291" t="str">
            <v>POPULAIRE.KHGA</v>
          </cell>
          <cell r="AT1291" t="str">
            <v>2111136302140003</v>
          </cell>
          <cell r="AU1291" t="str">
            <v>/  /</v>
          </cell>
          <cell r="AW1291">
            <v>41191</v>
          </cell>
          <cell r="AX1291">
            <v>41191</v>
          </cell>
          <cell r="BA1291" t="str">
            <v>6</v>
          </cell>
          <cell r="BB1291">
            <v>1</v>
          </cell>
          <cell r="BC1291" t="str">
            <v>O</v>
          </cell>
          <cell r="BD1291">
            <v>0</v>
          </cell>
          <cell r="BE1291" t="str">
            <v>M</v>
          </cell>
          <cell r="BF1291" t="str">
            <v>N</v>
          </cell>
          <cell r="BG1291">
            <v>4</v>
          </cell>
          <cell r="BH1291">
            <v>39264</v>
          </cell>
          <cell r="BI1291" t="str">
            <v>O</v>
          </cell>
        </row>
        <row r="1292">
          <cell r="A1292">
            <v>90586</v>
          </cell>
          <cell r="B1292">
            <v>423</v>
          </cell>
          <cell r="C1292" t="str">
            <v>X3210</v>
          </cell>
          <cell r="D1292" t="str">
            <v>EL ADRAOUI</v>
          </cell>
          <cell r="E1292" t="str">
            <v>NOUREDDINE</v>
          </cell>
          <cell r="F1292">
            <v>21916</v>
          </cell>
          <cell r="H1292" t="str">
            <v>EL JADIDA</v>
          </cell>
          <cell r="I1292" t="str">
            <v>F</v>
          </cell>
          <cell r="J1292">
            <v>30274</v>
          </cell>
          <cell r="K1292">
            <v>31990</v>
          </cell>
          <cell r="L1292" t="str">
            <v>41</v>
          </cell>
          <cell r="M1292" t="str">
            <v>A</v>
          </cell>
          <cell r="N1292">
            <v>31990</v>
          </cell>
          <cell r="P1292">
            <v>20</v>
          </cell>
          <cell r="Q1292" t="str">
            <v>O</v>
          </cell>
          <cell r="R1292" t="str">
            <v>N</v>
          </cell>
          <cell r="S1292">
            <v>0</v>
          </cell>
          <cell r="T1292" t="str">
            <v>M</v>
          </cell>
          <cell r="U1292" t="str">
            <v>BERGUIGMA KHADIJA</v>
          </cell>
          <cell r="X1292">
            <v>3</v>
          </cell>
          <cell r="Y1292">
            <v>3</v>
          </cell>
          <cell r="Z1292" t="str">
            <v>N</v>
          </cell>
          <cell r="AB1292" t="str">
            <v>X</v>
          </cell>
          <cell r="AC1292" t="str">
            <v>X</v>
          </cell>
          <cell r="AD1292" t="str">
            <v>X</v>
          </cell>
          <cell r="AH1292" t="str">
            <v>O</v>
          </cell>
          <cell r="AI1292" t="str">
            <v>N</v>
          </cell>
          <cell r="AK1292" t="str">
            <v>36 BLOC 8 NX LOGEMENT OCP - KHGA</v>
          </cell>
          <cell r="AL1292" t="str">
            <v>7 AS.SC.EX.</v>
          </cell>
          <cell r="AM1292" t="str">
            <v>CEP.CES.CFO.EMM</v>
          </cell>
          <cell r="AP1292" t="str">
            <v>M 100158</v>
          </cell>
          <cell r="AQ1292">
            <v>0</v>
          </cell>
          <cell r="AR1292" t="str">
            <v>B</v>
          </cell>
          <cell r="AS1292" t="str">
            <v>POPULAIRE.KHGA</v>
          </cell>
          <cell r="AT1292" t="str">
            <v>2111112827090007</v>
          </cell>
          <cell r="AU1292" t="str">
            <v>/  /</v>
          </cell>
          <cell r="AW1292">
            <v>40360</v>
          </cell>
          <cell r="BA1292" t="str">
            <v>2</v>
          </cell>
          <cell r="BB1292">
            <v>1</v>
          </cell>
          <cell r="BC1292" t="str">
            <v>O</v>
          </cell>
          <cell r="BD1292">
            <v>0</v>
          </cell>
          <cell r="BE1292" t="str">
            <v>M</v>
          </cell>
          <cell r="BG1292">
            <v>4</v>
          </cell>
          <cell r="BH1292">
            <v>40360</v>
          </cell>
        </row>
        <row r="1293">
          <cell r="A1293">
            <v>90599</v>
          </cell>
          <cell r="B1293">
            <v>463</v>
          </cell>
          <cell r="C1293" t="str">
            <v>X4200</v>
          </cell>
          <cell r="D1293" t="str">
            <v>ET-TSOULI</v>
          </cell>
          <cell r="E1293" t="str">
            <v>SALAH</v>
          </cell>
          <cell r="F1293">
            <v>20775</v>
          </cell>
          <cell r="G1293" t="str">
            <v>1</v>
          </cell>
          <cell r="H1293" t="str">
            <v>KHOURIBGA</v>
          </cell>
          <cell r="I1293" t="str">
            <v>F</v>
          </cell>
          <cell r="J1293">
            <v>29068</v>
          </cell>
          <cell r="K1293">
            <v>35065</v>
          </cell>
          <cell r="L1293" t="str">
            <v>42</v>
          </cell>
          <cell r="M1293" t="str">
            <v>A</v>
          </cell>
          <cell r="N1293">
            <v>35065</v>
          </cell>
          <cell r="P1293">
            <v>23</v>
          </cell>
          <cell r="Q1293" t="str">
            <v>O</v>
          </cell>
          <cell r="R1293" t="str">
            <v>N</v>
          </cell>
          <cell r="S1293">
            <v>0</v>
          </cell>
          <cell r="T1293" t="str">
            <v>M</v>
          </cell>
          <cell r="U1293" t="str">
            <v>MEKERMI KHADDOUJ</v>
          </cell>
          <cell r="X1293">
            <v>3</v>
          </cell>
          <cell r="Y1293">
            <v>3</v>
          </cell>
          <cell r="AB1293" t="str">
            <v>X</v>
          </cell>
          <cell r="AC1293" t="str">
            <v>X</v>
          </cell>
          <cell r="AD1293" t="str">
            <v>X</v>
          </cell>
          <cell r="AH1293" t="str">
            <v>N</v>
          </cell>
          <cell r="AI1293" t="str">
            <v>N</v>
          </cell>
          <cell r="AK1293" t="str">
            <v>77 RUE WAHRANE LOT. EL HAOUD RIAD - KHGA</v>
          </cell>
          <cell r="AL1293" t="str">
            <v>4 AS</v>
          </cell>
          <cell r="AM1293" t="str">
            <v>CEP.CQP.CFP.CFO.EMM</v>
          </cell>
          <cell r="AP1293" t="str">
            <v>Q 62651</v>
          </cell>
          <cell r="AQ1293">
            <v>0</v>
          </cell>
          <cell r="AR1293" t="str">
            <v>B</v>
          </cell>
          <cell r="AS1293" t="str">
            <v>CIH - KHGA</v>
          </cell>
          <cell r="AT1293" t="str">
            <v>7943988211004700</v>
          </cell>
          <cell r="AU1293" t="str">
            <v>/  /</v>
          </cell>
          <cell r="AW1293">
            <v>39083</v>
          </cell>
          <cell r="BA1293" t="str">
            <v>2</v>
          </cell>
          <cell r="BB1293">
            <v>1</v>
          </cell>
          <cell r="BC1293" t="str">
            <v>O</v>
          </cell>
          <cell r="BD1293">
            <v>0</v>
          </cell>
          <cell r="BE1293" t="str">
            <v>M</v>
          </cell>
          <cell r="BF1293" t="str">
            <v>N</v>
          </cell>
          <cell r="BG1293">
            <v>5</v>
          </cell>
          <cell r="BH1293">
            <v>39083</v>
          </cell>
          <cell r="BI1293" t="str">
            <v>O</v>
          </cell>
        </row>
        <row r="1294">
          <cell r="A1294">
            <v>90602</v>
          </cell>
          <cell r="B1294">
            <v>421</v>
          </cell>
          <cell r="C1294" t="str">
            <v>X4032</v>
          </cell>
          <cell r="D1294" t="str">
            <v>LAZAZAT</v>
          </cell>
          <cell r="E1294" t="str">
            <v>M'HAMED</v>
          </cell>
          <cell r="F1294">
            <v>19905</v>
          </cell>
          <cell r="H1294" t="str">
            <v>OULED M'RAH - SETTAT</v>
          </cell>
          <cell r="I1294" t="str">
            <v>D</v>
          </cell>
          <cell r="J1294">
            <v>27311</v>
          </cell>
          <cell r="K1294">
            <v>36526</v>
          </cell>
          <cell r="L1294" t="str">
            <v>42</v>
          </cell>
          <cell r="M1294" t="str">
            <v>A</v>
          </cell>
          <cell r="N1294">
            <v>36526</v>
          </cell>
          <cell r="P1294">
            <v>28</v>
          </cell>
          <cell r="Q1294" t="str">
            <v>O</v>
          </cell>
          <cell r="R1294" t="str">
            <v>N</v>
          </cell>
          <cell r="S1294">
            <v>0</v>
          </cell>
          <cell r="T1294" t="str">
            <v>M</v>
          </cell>
          <cell r="U1294" t="str">
            <v>EL KBIRA BT EL KBIR GARAT</v>
          </cell>
          <cell r="X1294">
            <v>5</v>
          </cell>
          <cell r="Y1294">
            <v>2</v>
          </cell>
          <cell r="AB1294" t="str">
            <v>X</v>
          </cell>
          <cell r="AC1294" t="str">
            <v>X</v>
          </cell>
          <cell r="AD1294" t="str">
            <v>X</v>
          </cell>
          <cell r="AH1294" t="str">
            <v>N</v>
          </cell>
          <cell r="AI1294" t="str">
            <v>N</v>
          </cell>
          <cell r="AK1294" t="str">
            <v>193 RUE YAQOUTIA EL HANA - KHGA</v>
          </cell>
          <cell r="AL1294" t="str">
            <v>4 AS</v>
          </cell>
          <cell r="AM1294" t="str">
            <v>CFO.EMM</v>
          </cell>
          <cell r="AP1294" t="str">
            <v>Q 20136</v>
          </cell>
          <cell r="AQ1294">
            <v>0</v>
          </cell>
          <cell r="AR1294" t="str">
            <v>B</v>
          </cell>
          <cell r="AS1294" t="str">
            <v>C.I.H -KHGA</v>
          </cell>
          <cell r="AT1294" t="str">
            <v>3194859211004700</v>
          </cell>
          <cell r="AU1294" t="str">
            <v>/  /</v>
          </cell>
          <cell r="AW1294">
            <v>38169</v>
          </cell>
          <cell r="BA1294" t="str">
            <v>2</v>
          </cell>
          <cell r="BB1294">
            <v>1</v>
          </cell>
          <cell r="BC1294" t="str">
            <v>O</v>
          </cell>
          <cell r="BD1294">
            <v>0</v>
          </cell>
          <cell r="BE1294" t="str">
            <v>M</v>
          </cell>
          <cell r="BF1294" t="str">
            <v>N</v>
          </cell>
          <cell r="BG1294">
            <v>4</v>
          </cell>
          <cell r="BH1294">
            <v>38169</v>
          </cell>
          <cell r="BI1294" t="str">
            <v>O</v>
          </cell>
        </row>
        <row r="1295">
          <cell r="A1295">
            <v>90604</v>
          </cell>
          <cell r="B1295">
            <v>461</v>
          </cell>
          <cell r="C1295" t="str">
            <v>X3150</v>
          </cell>
          <cell r="D1295" t="str">
            <v>RAHIK</v>
          </cell>
          <cell r="E1295" t="str">
            <v>BRAHIM</v>
          </cell>
          <cell r="F1295">
            <v>19175</v>
          </cell>
          <cell r="H1295" t="str">
            <v>AIT ATTAB</v>
          </cell>
          <cell r="I1295" t="str">
            <v>D</v>
          </cell>
          <cell r="J1295">
            <v>27688</v>
          </cell>
          <cell r="K1295">
            <v>31959</v>
          </cell>
          <cell r="L1295" t="str">
            <v>41</v>
          </cell>
          <cell r="M1295" t="str">
            <v>A</v>
          </cell>
          <cell r="N1295">
            <v>31959</v>
          </cell>
          <cell r="P1295">
            <v>27</v>
          </cell>
          <cell r="Q1295" t="str">
            <v>O</v>
          </cell>
          <cell r="R1295" t="str">
            <v>N</v>
          </cell>
          <cell r="S1295">
            <v>0</v>
          </cell>
          <cell r="T1295" t="str">
            <v>M</v>
          </cell>
          <cell r="U1295" t="str">
            <v>HAOUDI MALIKA</v>
          </cell>
          <cell r="X1295">
            <v>4</v>
          </cell>
          <cell r="Y1295">
            <v>1</v>
          </cell>
          <cell r="AB1295" t="str">
            <v>X</v>
          </cell>
          <cell r="AC1295" t="str">
            <v>X</v>
          </cell>
          <cell r="AD1295" t="str">
            <v>X</v>
          </cell>
          <cell r="AH1295" t="str">
            <v>N</v>
          </cell>
          <cell r="AI1295" t="str">
            <v>N</v>
          </cell>
          <cell r="AK1295" t="str">
            <v>16 COOPERATIVE ESSALAM HAY AMAL - KHGA</v>
          </cell>
          <cell r="AL1295" t="str">
            <v>5 AS.LM</v>
          </cell>
          <cell r="AM1295" t="str">
            <v>CEP.CES.CFO.EMM</v>
          </cell>
          <cell r="AP1295" t="str">
            <v>Q 35123</v>
          </cell>
          <cell r="AQ1295">
            <v>0</v>
          </cell>
          <cell r="AR1295" t="str">
            <v>B</v>
          </cell>
          <cell r="AS1295" t="str">
            <v>C.I.H - KHGA</v>
          </cell>
          <cell r="AT1295" t="str">
            <v>8419137</v>
          </cell>
          <cell r="AU1295" t="str">
            <v>/  /</v>
          </cell>
          <cell r="AW1295">
            <v>37622</v>
          </cell>
          <cell r="BA1295" t="str">
            <v>1</v>
          </cell>
          <cell r="BB1295">
            <v>1</v>
          </cell>
          <cell r="BC1295" t="str">
            <v>O</v>
          </cell>
          <cell r="BD1295">
            <v>0</v>
          </cell>
          <cell r="BE1295" t="str">
            <v>M</v>
          </cell>
          <cell r="BF1295" t="str">
            <v>N</v>
          </cell>
          <cell r="BG1295">
            <v>4</v>
          </cell>
          <cell r="BH1295">
            <v>37803</v>
          </cell>
          <cell r="BI1295" t="str">
            <v>O</v>
          </cell>
        </row>
        <row r="1296">
          <cell r="A1296">
            <v>90607</v>
          </cell>
          <cell r="B1296">
            <v>403</v>
          </cell>
          <cell r="C1296" t="str">
            <v>X3050</v>
          </cell>
          <cell r="D1296" t="str">
            <v>DGUIGUI</v>
          </cell>
          <cell r="E1296" t="str">
            <v>LARBI</v>
          </cell>
          <cell r="F1296">
            <v>20462</v>
          </cell>
          <cell r="G1296" t="str">
            <v>2</v>
          </cell>
          <cell r="H1296" t="str">
            <v>BENI KHIRANE OUED-ZEM</v>
          </cell>
          <cell r="I1296" t="str">
            <v>F</v>
          </cell>
          <cell r="J1296">
            <v>30291</v>
          </cell>
          <cell r="K1296">
            <v>31959</v>
          </cell>
          <cell r="L1296" t="str">
            <v>41</v>
          </cell>
          <cell r="M1296" t="str">
            <v>A</v>
          </cell>
          <cell r="N1296">
            <v>31959</v>
          </cell>
          <cell r="P1296">
            <v>20</v>
          </cell>
          <cell r="Q1296" t="str">
            <v>O</v>
          </cell>
          <cell r="R1296" t="str">
            <v>N</v>
          </cell>
          <cell r="S1296">
            <v>0</v>
          </cell>
          <cell r="T1296" t="str">
            <v>M</v>
          </cell>
          <cell r="U1296" t="str">
            <v>AHMAMOU RABIAA</v>
          </cell>
          <cell r="X1296">
            <v>4</v>
          </cell>
          <cell r="Y1296">
            <v>3</v>
          </cell>
          <cell r="AB1296" t="str">
            <v>X</v>
          </cell>
          <cell r="AC1296" t="str">
            <v>X</v>
          </cell>
          <cell r="AD1296" t="str">
            <v>X</v>
          </cell>
          <cell r="AH1296" t="str">
            <v>O</v>
          </cell>
          <cell r="AI1296" t="str">
            <v>N</v>
          </cell>
          <cell r="AK1296" t="str">
            <v>10 BAINA VILLAGE OCP KHOURIBGA</v>
          </cell>
          <cell r="AL1296" t="str">
            <v>BAC SC-EXP</v>
          </cell>
          <cell r="AM1296" t="str">
            <v>CEP.CES.BAC.CFO.EMM</v>
          </cell>
          <cell r="AP1296" t="str">
            <v>Q 49615</v>
          </cell>
          <cell r="AQ1296">
            <v>0</v>
          </cell>
          <cell r="AR1296" t="str">
            <v>B</v>
          </cell>
          <cell r="AS1296" t="str">
            <v>SGMB . KHGA</v>
          </cell>
          <cell r="AT1296" t="str">
            <v>0670009359739</v>
          </cell>
          <cell r="AU1296" t="str">
            <v>/  /</v>
          </cell>
          <cell r="AW1296">
            <v>40360</v>
          </cell>
          <cell r="BA1296" t="str">
            <v>2</v>
          </cell>
          <cell r="BB1296">
            <v>1</v>
          </cell>
          <cell r="BC1296" t="str">
            <v>O</v>
          </cell>
          <cell r="BD1296">
            <v>0</v>
          </cell>
          <cell r="BE1296" t="str">
            <v>M</v>
          </cell>
          <cell r="BF1296" t="str">
            <v>N</v>
          </cell>
          <cell r="BG1296">
            <v>1</v>
          </cell>
          <cell r="BH1296">
            <v>40360</v>
          </cell>
        </row>
        <row r="1297">
          <cell r="A1297">
            <v>90614</v>
          </cell>
          <cell r="B1297">
            <v>468</v>
          </cell>
          <cell r="C1297" t="str">
            <v>X3050</v>
          </cell>
          <cell r="D1297" t="str">
            <v>KARIM</v>
          </cell>
          <cell r="E1297" t="str">
            <v>MOHAMED</v>
          </cell>
          <cell r="F1297">
            <v>21001</v>
          </cell>
          <cell r="H1297" t="str">
            <v>BENI MELLAL</v>
          </cell>
          <cell r="I1297" t="str">
            <v>F</v>
          </cell>
          <cell r="J1297">
            <v>29790</v>
          </cell>
          <cell r="K1297">
            <v>31959</v>
          </cell>
          <cell r="L1297" t="str">
            <v>41</v>
          </cell>
          <cell r="M1297" t="str">
            <v>A</v>
          </cell>
          <cell r="N1297">
            <v>31959</v>
          </cell>
          <cell r="P1297">
            <v>21</v>
          </cell>
          <cell r="Q1297" t="str">
            <v>O</v>
          </cell>
          <cell r="R1297" t="str">
            <v>N</v>
          </cell>
          <cell r="S1297">
            <v>0</v>
          </cell>
          <cell r="T1297" t="str">
            <v>M</v>
          </cell>
          <cell r="U1297" t="str">
            <v>KARIM FATIMA</v>
          </cell>
          <cell r="X1297">
            <v>5</v>
          </cell>
          <cell r="Y1297">
            <v>4</v>
          </cell>
          <cell r="AB1297" t="str">
            <v>X</v>
          </cell>
          <cell r="AC1297" t="str">
            <v>X</v>
          </cell>
          <cell r="AD1297" t="str">
            <v>X</v>
          </cell>
          <cell r="AH1297" t="str">
            <v>N</v>
          </cell>
          <cell r="AI1297" t="str">
            <v>N</v>
          </cell>
          <cell r="AK1297" t="str">
            <v>510 LOTISSEMENT EL AMAL ERAC KHOURIBGA</v>
          </cell>
          <cell r="AL1297" t="str">
            <v>7 AS.SC.EX.</v>
          </cell>
          <cell r="AM1297" t="str">
            <v>CEP.CES.CFO.EMM</v>
          </cell>
          <cell r="AP1297" t="str">
            <v>I 60575</v>
          </cell>
          <cell r="AQ1297">
            <v>0</v>
          </cell>
          <cell r="AR1297" t="str">
            <v>B</v>
          </cell>
          <cell r="AS1297" t="str">
            <v>BMCE.KHGA</v>
          </cell>
          <cell r="AT1297" t="str">
            <v>4000120000629296</v>
          </cell>
          <cell r="AU1297" t="str">
            <v>/  /</v>
          </cell>
          <cell r="AW1297">
            <v>39814</v>
          </cell>
          <cell r="BA1297" t="str">
            <v>2</v>
          </cell>
          <cell r="BB1297">
            <v>1</v>
          </cell>
          <cell r="BD1297">
            <v>0</v>
          </cell>
          <cell r="BE1297" t="str">
            <v>M</v>
          </cell>
          <cell r="BF1297" t="str">
            <v>N</v>
          </cell>
          <cell r="BG1297">
            <v>4</v>
          </cell>
          <cell r="BH1297">
            <v>39814</v>
          </cell>
          <cell r="BI1297" t="str">
            <v>O</v>
          </cell>
        </row>
        <row r="1298">
          <cell r="A1298">
            <v>90615</v>
          </cell>
          <cell r="B1298">
            <v>414</v>
          </cell>
          <cell r="C1298" t="str">
            <v>X5207</v>
          </cell>
          <cell r="D1298" t="str">
            <v>KHALIL</v>
          </cell>
          <cell r="E1298" t="str">
            <v>ABDELKRIM</v>
          </cell>
          <cell r="F1298">
            <v>21610</v>
          </cell>
          <cell r="H1298" t="str">
            <v>BERRECHID</v>
          </cell>
          <cell r="I1298" t="str">
            <v>F</v>
          </cell>
          <cell r="J1298">
            <v>29790</v>
          </cell>
          <cell r="K1298">
            <v>37073</v>
          </cell>
          <cell r="L1298" t="str">
            <v>51</v>
          </cell>
          <cell r="M1298" t="str">
            <v>A</v>
          </cell>
          <cell r="N1298">
            <v>37073</v>
          </cell>
          <cell r="P1298">
            <v>21</v>
          </cell>
          <cell r="Q1298" t="str">
            <v>O</v>
          </cell>
          <cell r="R1298" t="str">
            <v>N</v>
          </cell>
          <cell r="S1298">
            <v>0</v>
          </cell>
          <cell r="T1298" t="str">
            <v>M</v>
          </cell>
          <cell r="U1298" t="str">
            <v>SGHIR AMINA BENT OMAR</v>
          </cell>
          <cell r="X1298">
            <v>2</v>
          </cell>
          <cell r="Y1298">
            <v>2</v>
          </cell>
          <cell r="AB1298" t="str">
            <v>X</v>
          </cell>
          <cell r="AC1298" t="str">
            <v>X</v>
          </cell>
          <cell r="AD1298" t="str">
            <v>X</v>
          </cell>
          <cell r="AH1298" t="str">
            <v>O</v>
          </cell>
          <cell r="AI1298" t="str">
            <v>N</v>
          </cell>
          <cell r="AK1298" t="str">
            <v>25 RUE JORF LASFAR OCP - KHGA</v>
          </cell>
          <cell r="AL1298" t="str">
            <v>7 AS.SC.EX.</v>
          </cell>
          <cell r="AM1298" t="str">
            <v>CEP.CES.CFO.EMM</v>
          </cell>
          <cell r="AP1298" t="str">
            <v>W 44165</v>
          </cell>
          <cell r="AQ1298">
            <v>0</v>
          </cell>
          <cell r="AR1298" t="str">
            <v>B</v>
          </cell>
          <cell r="AS1298" t="str">
            <v>BMCE - KHGA</v>
          </cell>
          <cell r="AT1298" t="str">
            <v>4000001200001196552</v>
          </cell>
          <cell r="AU1298" t="str">
            <v>/  /</v>
          </cell>
          <cell r="AW1298">
            <v>39995</v>
          </cell>
          <cell r="BA1298" t="str">
            <v>2</v>
          </cell>
          <cell r="BB1298">
            <v>1</v>
          </cell>
          <cell r="BD1298">
            <v>0</v>
          </cell>
          <cell r="BE1298" t="str">
            <v>M</v>
          </cell>
          <cell r="BG1298">
            <v>1</v>
          </cell>
          <cell r="BH1298">
            <v>39995</v>
          </cell>
        </row>
        <row r="1299">
          <cell r="A1299">
            <v>90628</v>
          </cell>
          <cell r="B1299">
            <v>426</v>
          </cell>
          <cell r="C1299" t="str">
            <v>X4050</v>
          </cell>
          <cell r="D1299" t="str">
            <v>HADDIOUI</v>
          </cell>
          <cell r="E1299" t="str">
            <v>MOHAMED</v>
          </cell>
          <cell r="F1299">
            <v>20636</v>
          </cell>
          <cell r="H1299" t="str">
            <v>EL MAARIF - SETTAT</v>
          </cell>
          <cell r="I1299" t="str">
            <v>F</v>
          </cell>
          <cell r="J1299">
            <v>29230</v>
          </cell>
          <cell r="K1299">
            <v>35065</v>
          </cell>
          <cell r="L1299" t="str">
            <v>42</v>
          </cell>
          <cell r="M1299" t="str">
            <v>A</v>
          </cell>
          <cell r="N1299">
            <v>35065</v>
          </cell>
          <cell r="O1299">
            <v>0</v>
          </cell>
          <cell r="P1299">
            <v>23</v>
          </cell>
          <cell r="Q1299" t="str">
            <v>O</v>
          </cell>
          <cell r="R1299" t="str">
            <v>N</v>
          </cell>
          <cell r="S1299">
            <v>0</v>
          </cell>
          <cell r="T1299" t="str">
            <v>M</v>
          </cell>
          <cell r="U1299" t="str">
            <v>SAMIRA BT ABDESLAM BOURHIM</v>
          </cell>
          <cell r="X1299">
            <v>4</v>
          </cell>
          <cell r="Y1299">
            <v>4</v>
          </cell>
          <cell r="AB1299" t="str">
            <v>X</v>
          </cell>
          <cell r="AC1299" t="str">
            <v>X</v>
          </cell>
          <cell r="AD1299" t="str">
            <v>X</v>
          </cell>
          <cell r="AH1299" t="str">
            <v>N</v>
          </cell>
          <cell r="AI1299" t="str">
            <v>N</v>
          </cell>
          <cell r="AK1299" t="str">
            <v>72,RACHAD 3 RUE ITALIE NAHDA KHOURIBGA</v>
          </cell>
          <cell r="AL1299" t="str">
            <v>7 AS.SC.EXP.</v>
          </cell>
          <cell r="AM1299" t="str">
            <v>CFO.EMM</v>
          </cell>
          <cell r="AP1299" t="str">
            <v>W 14810</v>
          </cell>
          <cell r="AQ1299">
            <v>0</v>
          </cell>
          <cell r="AR1299" t="str">
            <v>B</v>
          </cell>
          <cell r="AS1299" t="str">
            <v>B M C I-KHOURIBGA</v>
          </cell>
          <cell r="AT1299" t="str">
            <v>02821182338301</v>
          </cell>
          <cell r="AU1299" t="str">
            <v>/  /</v>
          </cell>
          <cell r="AW1299">
            <v>39264</v>
          </cell>
          <cell r="BA1299" t="str">
            <v>8TD</v>
          </cell>
          <cell r="BB1299">
            <v>1</v>
          </cell>
          <cell r="BC1299" t="str">
            <v>O</v>
          </cell>
          <cell r="BD1299">
            <v>0</v>
          </cell>
          <cell r="BE1299" t="str">
            <v>M</v>
          </cell>
          <cell r="BF1299" t="str">
            <v>N</v>
          </cell>
          <cell r="BG1299">
            <v>4</v>
          </cell>
          <cell r="BH1299">
            <v>39264</v>
          </cell>
          <cell r="BI1299" t="str">
            <v>O</v>
          </cell>
        </row>
        <row r="1300">
          <cell r="A1300">
            <v>90653</v>
          </cell>
          <cell r="B1300">
            <v>466</v>
          </cell>
          <cell r="C1300" t="str">
            <v>X4050</v>
          </cell>
          <cell r="D1300" t="str">
            <v>KAMIDI</v>
          </cell>
          <cell r="E1300" t="str">
            <v>EL MOSTAFA</v>
          </cell>
          <cell r="F1300">
            <v>20270</v>
          </cell>
          <cell r="H1300" t="str">
            <v>SIDI ISMAIL - EL JADIDA</v>
          </cell>
          <cell r="I1300" t="str">
            <v>F</v>
          </cell>
          <cell r="J1300">
            <v>30544</v>
          </cell>
          <cell r="K1300">
            <v>36526</v>
          </cell>
          <cell r="L1300" t="str">
            <v>42</v>
          </cell>
          <cell r="M1300" t="str">
            <v>A</v>
          </cell>
          <cell r="N1300">
            <v>36526</v>
          </cell>
          <cell r="P1300">
            <v>19</v>
          </cell>
          <cell r="Q1300" t="str">
            <v>O</v>
          </cell>
          <cell r="R1300" t="str">
            <v>N</v>
          </cell>
          <cell r="S1300">
            <v>0</v>
          </cell>
          <cell r="T1300" t="str">
            <v>M</v>
          </cell>
          <cell r="U1300" t="str">
            <v>SHEMS EDDINE EL IDRISSI AICHA</v>
          </cell>
          <cell r="X1300">
            <v>3</v>
          </cell>
          <cell r="Y1300">
            <v>3</v>
          </cell>
          <cell r="AB1300" t="str">
            <v>X</v>
          </cell>
          <cell r="AC1300" t="str">
            <v>X</v>
          </cell>
          <cell r="AD1300" t="str">
            <v>X</v>
          </cell>
          <cell r="AH1300" t="str">
            <v>O</v>
          </cell>
          <cell r="AI1300" t="str">
            <v>N</v>
          </cell>
          <cell r="AK1300" t="str">
            <v>37 BLOC 15 NX LOGEMENTS OCP KHOURIBGA</v>
          </cell>
          <cell r="AL1300" t="str">
            <v>7 AS.SC.EXP.</v>
          </cell>
          <cell r="AM1300" t="str">
            <v>CEP.CES.CFO.EMM</v>
          </cell>
          <cell r="AP1300" t="str">
            <v>M 168351</v>
          </cell>
          <cell r="AQ1300">
            <v>0</v>
          </cell>
          <cell r="AR1300" t="str">
            <v>B</v>
          </cell>
          <cell r="AS1300" t="str">
            <v>CRED.MAROC KHGA</v>
          </cell>
          <cell r="AT1300" t="str">
            <v>82001002202223</v>
          </cell>
          <cell r="AU1300" t="str">
            <v>/  /</v>
          </cell>
          <cell r="AW1300">
            <v>40360</v>
          </cell>
          <cell r="BA1300" t="str">
            <v>2</v>
          </cell>
          <cell r="BB1300">
            <v>1</v>
          </cell>
          <cell r="BC1300" t="str">
            <v>O</v>
          </cell>
          <cell r="BD1300">
            <v>0</v>
          </cell>
          <cell r="BE1300" t="str">
            <v>M</v>
          </cell>
          <cell r="BF1300" t="str">
            <v>N</v>
          </cell>
          <cell r="BG1300">
            <v>5</v>
          </cell>
          <cell r="BH1300">
            <v>40360</v>
          </cell>
        </row>
        <row r="1301">
          <cell r="A1301">
            <v>91083</v>
          </cell>
          <cell r="B1301">
            <v>464</v>
          </cell>
          <cell r="C1301" t="str">
            <v>X4210</v>
          </cell>
          <cell r="D1301" t="str">
            <v>MASROUR</v>
          </cell>
          <cell r="E1301" t="str">
            <v>EL MOSTAFA</v>
          </cell>
          <cell r="F1301">
            <v>20305</v>
          </cell>
          <cell r="G1301" t="str">
            <v>1</v>
          </cell>
          <cell r="H1301" t="str">
            <v>KHOURIBGA</v>
          </cell>
          <cell r="I1301" t="str">
            <v>F</v>
          </cell>
          <cell r="J1301">
            <v>28711</v>
          </cell>
          <cell r="K1301">
            <v>32478</v>
          </cell>
          <cell r="L1301" t="str">
            <v>42</v>
          </cell>
          <cell r="M1301" t="str">
            <v>A</v>
          </cell>
          <cell r="N1301">
            <v>32478</v>
          </cell>
          <cell r="P1301">
            <v>24</v>
          </cell>
          <cell r="Q1301" t="str">
            <v>O</v>
          </cell>
          <cell r="R1301" t="str">
            <v>N</v>
          </cell>
          <cell r="S1301">
            <v>0</v>
          </cell>
          <cell r="T1301" t="str">
            <v>M</v>
          </cell>
          <cell r="U1301" t="str">
            <v>QUANDAR MINA</v>
          </cell>
          <cell r="X1301">
            <v>3</v>
          </cell>
          <cell r="Y1301">
            <v>3</v>
          </cell>
          <cell r="AB1301" t="str">
            <v>X</v>
          </cell>
          <cell r="AC1301" t="str">
            <v>X</v>
          </cell>
          <cell r="AD1301" t="str">
            <v>X</v>
          </cell>
          <cell r="AH1301" t="str">
            <v>N</v>
          </cell>
          <cell r="AI1301" t="str">
            <v>N</v>
          </cell>
          <cell r="AK1301" t="str">
            <v>45 AVENUE IRAQ ERRACHAD NAHDA - KHGA</v>
          </cell>
          <cell r="AL1301" t="str">
            <v>7 AS.SC.MATHS</v>
          </cell>
          <cell r="AM1301" t="str">
            <v>CEP.CES.EMM</v>
          </cell>
          <cell r="AP1301" t="str">
            <v>Q 12844</v>
          </cell>
          <cell r="AQ1301">
            <v>0</v>
          </cell>
          <cell r="AR1301" t="str">
            <v>B</v>
          </cell>
          <cell r="AS1301" t="str">
            <v>C.I.H - KHGA</v>
          </cell>
          <cell r="AT1301" t="str">
            <v>7947427211004700</v>
          </cell>
          <cell r="AU1301" t="str">
            <v>/  /</v>
          </cell>
          <cell r="AW1301">
            <v>38718</v>
          </cell>
          <cell r="AZ1301" t="str">
            <v>M</v>
          </cell>
          <cell r="BA1301" t="str">
            <v>2</v>
          </cell>
          <cell r="BB1301">
            <v>1</v>
          </cell>
          <cell r="BC1301" t="str">
            <v>O</v>
          </cell>
          <cell r="BD1301">
            <v>0</v>
          </cell>
          <cell r="BE1301" t="str">
            <v>M</v>
          </cell>
          <cell r="BF1301" t="str">
            <v>N</v>
          </cell>
          <cell r="BG1301">
            <v>5</v>
          </cell>
          <cell r="BH1301">
            <v>38718</v>
          </cell>
          <cell r="BI1301" t="str">
            <v>O</v>
          </cell>
        </row>
        <row r="1302">
          <cell r="A1302">
            <v>91441</v>
          </cell>
          <cell r="B1302">
            <v>437</v>
          </cell>
          <cell r="C1302" t="str">
            <v>X4450</v>
          </cell>
          <cell r="D1302" t="str">
            <v>BEKKAL</v>
          </cell>
          <cell r="E1302" t="str">
            <v>M'HAMMED</v>
          </cell>
          <cell r="F1302">
            <v>22250</v>
          </cell>
          <cell r="G1302" t="str">
            <v>5</v>
          </cell>
          <cell r="H1302" t="str">
            <v>OULED YOUSSEF EST - BOUJAAD</v>
          </cell>
          <cell r="I1302" t="str">
            <v>F</v>
          </cell>
          <cell r="J1302">
            <v>31257</v>
          </cell>
          <cell r="K1302">
            <v>35065</v>
          </cell>
          <cell r="L1302" t="str">
            <v>42</v>
          </cell>
          <cell r="M1302" t="str">
            <v>A</v>
          </cell>
          <cell r="N1302">
            <v>35065</v>
          </cell>
          <cell r="P1302">
            <v>17</v>
          </cell>
          <cell r="Q1302" t="str">
            <v>N</v>
          </cell>
          <cell r="R1302" t="str">
            <v>N</v>
          </cell>
          <cell r="S1302">
            <v>0</v>
          </cell>
          <cell r="T1302" t="str">
            <v>M</v>
          </cell>
          <cell r="U1302" t="str">
            <v>HARA MINA</v>
          </cell>
          <cell r="X1302">
            <v>1</v>
          </cell>
          <cell r="Y1302">
            <v>1</v>
          </cell>
          <cell r="AB1302" t="str">
            <v>X</v>
          </cell>
          <cell r="AC1302" t="str">
            <v>X</v>
          </cell>
          <cell r="AD1302" t="str">
            <v>X</v>
          </cell>
          <cell r="AH1302" t="str">
            <v>O</v>
          </cell>
          <cell r="AI1302" t="str">
            <v>N</v>
          </cell>
          <cell r="AK1302" t="str">
            <v>14 IMMEUBLE KASSOU OCP - KHOURIBGA</v>
          </cell>
          <cell r="AL1302" t="str">
            <v>1 A.DE FAC. P.C</v>
          </cell>
          <cell r="AM1302" t="str">
            <v>CEP.CES.BAC(SC.EX) ENIM(DE RABAT)</v>
          </cell>
          <cell r="AP1302" t="str">
            <v>Q 44345</v>
          </cell>
          <cell r="AQ1302">
            <v>0</v>
          </cell>
          <cell r="AR1302" t="str">
            <v>B</v>
          </cell>
          <cell r="AS1302" t="str">
            <v>BMCE.KHGA</v>
          </cell>
          <cell r="AT1302" t="str">
            <v>40001200000498540</v>
          </cell>
          <cell r="AU1302" t="str">
            <v>/  /</v>
          </cell>
          <cell r="AW1302">
            <v>41275</v>
          </cell>
          <cell r="BA1302" t="str">
            <v>2</v>
          </cell>
          <cell r="BB1302">
            <v>1</v>
          </cell>
          <cell r="BC1302" t="str">
            <v>O</v>
          </cell>
          <cell r="BD1302">
            <v>0</v>
          </cell>
          <cell r="BE1302" t="str">
            <v>M</v>
          </cell>
          <cell r="BF1302" t="str">
            <v>N</v>
          </cell>
          <cell r="BG1302">
            <v>0</v>
          </cell>
          <cell r="BH1302">
            <v>41275</v>
          </cell>
        </row>
        <row r="1303">
          <cell r="A1303">
            <v>91443</v>
          </cell>
          <cell r="B1303">
            <v>457</v>
          </cell>
          <cell r="C1303" t="str">
            <v>X4450</v>
          </cell>
          <cell r="D1303" t="str">
            <v>KHALIFI</v>
          </cell>
          <cell r="E1303" t="str">
            <v>NABIL</v>
          </cell>
          <cell r="F1303">
            <v>23166</v>
          </cell>
          <cell r="H1303" t="str">
            <v>SETTAT</v>
          </cell>
          <cell r="I1303" t="str">
            <v>F</v>
          </cell>
          <cell r="J1303">
            <v>31257</v>
          </cell>
          <cell r="K1303">
            <v>35065</v>
          </cell>
          <cell r="L1303" t="str">
            <v>42</v>
          </cell>
          <cell r="M1303" t="str">
            <v>A</v>
          </cell>
          <cell r="N1303">
            <v>35065</v>
          </cell>
          <cell r="P1303">
            <v>17</v>
          </cell>
          <cell r="Q1303" t="str">
            <v>O</v>
          </cell>
          <cell r="R1303" t="str">
            <v>N</v>
          </cell>
          <cell r="S1303">
            <v>0</v>
          </cell>
          <cell r="T1303" t="str">
            <v>M</v>
          </cell>
          <cell r="U1303" t="str">
            <v>AKNOUCH NAIMA BT MOHAMED</v>
          </cell>
          <cell r="X1303">
            <v>2</v>
          </cell>
          <cell r="Y1303">
            <v>2</v>
          </cell>
          <cell r="AB1303" t="str">
            <v>X</v>
          </cell>
          <cell r="AC1303" t="str">
            <v>X</v>
          </cell>
          <cell r="AD1303" t="str">
            <v>X</v>
          </cell>
          <cell r="AH1303" t="str">
            <v>O</v>
          </cell>
          <cell r="AI1303" t="str">
            <v>N</v>
          </cell>
          <cell r="AK1303" t="str">
            <v>6 IMMEUBLE ADOUR O.C.P - KHOURIBGA</v>
          </cell>
          <cell r="AL1303" t="str">
            <v>1 A.DE FAC.</v>
          </cell>
          <cell r="AM1303" t="str">
            <v>CES.BAC.EMM</v>
          </cell>
          <cell r="AP1303" t="str">
            <v>Q 62256</v>
          </cell>
          <cell r="AQ1303">
            <v>0</v>
          </cell>
          <cell r="AR1303" t="str">
            <v>B</v>
          </cell>
          <cell r="AS1303" t="str">
            <v>POPULAIRE-KHGA</v>
          </cell>
          <cell r="AT1303" t="str">
            <v>2111112894760003</v>
          </cell>
          <cell r="AU1303" t="str">
            <v>/  /</v>
          </cell>
          <cell r="AW1303">
            <v>41456</v>
          </cell>
          <cell r="BA1303" t="str">
            <v>2</v>
          </cell>
          <cell r="BB1303">
            <v>0</v>
          </cell>
          <cell r="BC1303" t="str">
            <v>N</v>
          </cell>
          <cell r="BD1303">
            <v>0</v>
          </cell>
          <cell r="BE1303" t="str">
            <v>M</v>
          </cell>
          <cell r="BG1303">
            <v>5</v>
          </cell>
          <cell r="BH1303">
            <v>41456</v>
          </cell>
        </row>
        <row r="1304">
          <cell r="A1304">
            <v>91444</v>
          </cell>
          <cell r="B1304">
            <v>413</v>
          </cell>
          <cell r="C1304" t="str">
            <v>X5200</v>
          </cell>
          <cell r="D1304" t="str">
            <v>EL HEKKIOUI</v>
          </cell>
          <cell r="E1304" t="str">
            <v>ABDERRAHIM</v>
          </cell>
          <cell r="F1304">
            <v>22772</v>
          </cell>
          <cell r="G1304" t="str">
            <v>1</v>
          </cell>
          <cell r="H1304" t="str">
            <v>OULED BHAR SGHAR KHOURIBGA</v>
          </cell>
          <cell r="I1304" t="str">
            <v>F</v>
          </cell>
          <cell r="J1304">
            <v>31257</v>
          </cell>
          <cell r="K1304">
            <v>37073</v>
          </cell>
          <cell r="L1304" t="str">
            <v>51</v>
          </cell>
          <cell r="M1304" t="str">
            <v>A</v>
          </cell>
          <cell r="N1304">
            <v>37073</v>
          </cell>
          <cell r="P1304">
            <v>17</v>
          </cell>
          <cell r="Q1304" t="str">
            <v>O</v>
          </cell>
          <cell r="R1304" t="str">
            <v>N</v>
          </cell>
          <cell r="S1304">
            <v>0</v>
          </cell>
          <cell r="T1304" t="str">
            <v>M</v>
          </cell>
          <cell r="U1304" t="str">
            <v>BANOUNI HABIBA</v>
          </cell>
          <cell r="X1304">
            <v>3</v>
          </cell>
          <cell r="Y1304">
            <v>3</v>
          </cell>
          <cell r="AB1304" t="str">
            <v>X</v>
          </cell>
          <cell r="AC1304" t="str">
            <v>X</v>
          </cell>
          <cell r="AD1304" t="str">
            <v>X</v>
          </cell>
          <cell r="AH1304" t="str">
            <v>O</v>
          </cell>
          <cell r="AI1304" t="str">
            <v>N</v>
          </cell>
          <cell r="AK1304" t="str">
            <v>8 RUE D'OULMES OCP - KHOURIBGA</v>
          </cell>
          <cell r="AL1304" t="str">
            <v>1 A.DE FAC.</v>
          </cell>
          <cell r="AM1304" t="str">
            <v>CES.BAC.EMM</v>
          </cell>
          <cell r="AP1304" t="str">
            <v>Q 67170</v>
          </cell>
          <cell r="AQ1304">
            <v>0</v>
          </cell>
          <cell r="AR1304" t="str">
            <v>B</v>
          </cell>
          <cell r="AS1304" t="str">
            <v>WAFABANK-KHOURIBGA</v>
          </cell>
          <cell r="AT1304" t="str">
            <v>1220301237023</v>
          </cell>
          <cell r="AU1304" t="str">
            <v>/  /</v>
          </cell>
          <cell r="AW1304">
            <v>43265</v>
          </cell>
          <cell r="AX1304">
            <v>43265</v>
          </cell>
          <cell r="BA1304" t="str">
            <v>2</v>
          </cell>
          <cell r="BB1304">
            <v>1</v>
          </cell>
          <cell r="BD1304">
            <v>0</v>
          </cell>
          <cell r="BE1304" t="str">
            <v>M</v>
          </cell>
          <cell r="BF1304" t="str">
            <v>N</v>
          </cell>
          <cell r="BG1304">
            <v>1</v>
          </cell>
          <cell r="BH1304">
            <v>41275</v>
          </cell>
        </row>
        <row r="1305">
          <cell r="A1305">
            <v>91445</v>
          </cell>
          <cell r="B1305">
            <v>413</v>
          </cell>
          <cell r="C1305" t="str">
            <v>X5200</v>
          </cell>
          <cell r="D1305" t="str">
            <v>LIASSINI</v>
          </cell>
          <cell r="E1305" t="str">
            <v>ABDELOUAHED</v>
          </cell>
          <cell r="F1305">
            <v>21914</v>
          </cell>
          <cell r="G1305" t="str">
            <v>1</v>
          </cell>
          <cell r="H1305" t="str">
            <v>KHOURIBGA</v>
          </cell>
          <cell r="I1305" t="str">
            <v>F</v>
          </cell>
          <cell r="J1305">
            <v>31257</v>
          </cell>
          <cell r="K1305">
            <v>37073</v>
          </cell>
          <cell r="L1305" t="str">
            <v>51</v>
          </cell>
          <cell r="M1305" t="str">
            <v>A</v>
          </cell>
          <cell r="N1305">
            <v>37073</v>
          </cell>
          <cell r="P1305">
            <v>17</v>
          </cell>
          <cell r="Q1305" t="str">
            <v>O</v>
          </cell>
          <cell r="R1305" t="str">
            <v>N</v>
          </cell>
          <cell r="S1305">
            <v>0</v>
          </cell>
          <cell r="T1305" t="str">
            <v>M</v>
          </cell>
          <cell r="U1305" t="str">
            <v>BADRAOUI SAMIRA</v>
          </cell>
          <cell r="X1305">
            <v>2</v>
          </cell>
          <cell r="Y1305">
            <v>2</v>
          </cell>
          <cell r="AB1305" t="str">
            <v>X</v>
          </cell>
          <cell r="AC1305" t="str">
            <v>X</v>
          </cell>
          <cell r="AD1305" t="str">
            <v>X</v>
          </cell>
          <cell r="AH1305" t="str">
            <v>N</v>
          </cell>
          <cell r="AI1305" t="str">
            <v>N</v>
          </cell>
          <cell r="AK1305" t="str">
            <v>287 LOTISSEMENT EL HANA  - KHOURIBGA</v>
          </cell>
          <cell r="AL1305" t="str">
            <v>1 A.DE FAC. P.C</v>
          </cell>
          <cell r="AM1305" t="str">
            <v>CEP.CES.BAC(SC.EX) EMM</v>
          </cell>
          <cell r="AP1305" t="str">
            <v>Q 16604</v>
          </cell>
          <cell r="AQ1305">
            <v>0</v>
          </cell>
          <cell r="AR1305" t="str">
            <v>B</v>
          </cell>
          <cell r="AS1305" t="str">
            <v>CREDIT DU MAROC</v>
          </cell>
          <cell r="AT1305" t="str">
            <v>820010003023</v>
          </cell>
          <cell r="AU1305" t="str">
            <v>/  /</v>
          </cell>
          <cell r="AW1305">
            <v>41275</v>
          </cell>
          <cell r="AZ1305" t="str">
            <v>R</v>
          </cell>
          <cell r="BA1305" t="str">
            <v>2</v>
          </cell>
          <cell r="BB1305">
            <v>1</v>
          </cell>
          <cell r="BD1305">
            <v>0</v>
          </cell>
          <cell r="BE1305" t="str">
            <v>M</v>
          </cell>
          <cell r="BF1305" t="str">
            <v>N</v>
          </cell>
          <cell r="BG1305">
            <v>1</v>
          </cell>
          <cell r="BH1305">
            <v>41275</v>
          </cell>
          <cell r="BI1305" t="str">
            <v>O</v>
          </cell>
        </row>
        <row r="1306">
          <cell r="A1306">
            <v>91500</v>
          </cell>
          <cell r="B1306">
            <v>426</v>
          </cell>
          <cell r="C1306" t="str">
            <v>X6050</v>
          </cell>
          <cell r="D1306" t="str">
            <v>BOURHI</v>
          </cell>
          <cell r="E1306" t="str">
            <v>SALAH</v>
          </cell>
          <cell r="F1306">
            <v>21912</v>
          </cell>
          <cell r="G1306" t="str">
            <v>1</v>
          </cell>
          <cell r="H1306" t="str">
            <v>KHOURIBGA</v>
          </cell>
          <cell r="I1306" t="str">
            <v>F</v>
          </cell>
          <cell r="J1306">
            <v>31260</v>
          </cell>
          <cell r="K1306">
            <v>37043</v>
          </cell>
          <cell r="L1306" t="str">
            <v>52</v>
          </cell>
          <cell r="M1306" t="str">
            <v>A</v>
          </cell>
          <cell r="N1306">
            <v>37043</v>
          </cell>
          <cell r="O1306">
            <v>0</v>
          </cell>
          <cell r="P1306">
            <v>17</v>
          </cell>
          <cell r="Q1306" t="str">
            <v>N</v>
          </cell>
          <cell r="R1306" t="str">
            <v>N</v>
          </cell>
          <cell r="S1306">
            <v>0</v>
          </cell>
          <cell r="T1306" t="str">
            <v>M</v>
          </cell>
          <cell r="U1306" t="str">
            <v>DAMRANE RACHIDA</v>
          </cell>
          <cell r="X1306">
            <v>0</v>
          </cell>
          <cell r="Y1306">
            <v>0</v>
          </cell>
          <cell r="Z1306" t="str">
            <v>N</v>
          </cell>
          <cell r="AA1306" t="str">
            <v>01/09/88</v>
          </cell>
          <cell r="AB1306" t="str">
            <v>O</v>
          </cell>
          <cell r="AC1306" t="str">
            <v>X</v>
          </cell>
          <cell r="AD1306" t="str">
            <v>X</v>
          </cell>
          <cell r="AE1306" t="str">
            <v>MINIS INTERIEUR</v>
          </cell>
          <cell r="AH1306" t="str">
            <v>N</v>
          </cell>
          <cell r="AI1306" t="str">
            <v>N</v>
          </cell>
          <cell r="AK1306" t="str">
            <v>30,COOPERATIVE ESSAADA HAY RIAD KHOURIBA</v>
          </cell>
          <cell r="AL1306" t="str">
            <v>2 A.DE FACULTE</v>
          </cell>
          <cell r="AM1306" t="str">
            <v>BAC.IUT.</v>
          </cell>
          <cell r="AP1306" t="str">
            <v>Q 42300</v>
          </cell>
          <cell r="AQ1306">
            <v>0</v>
          </cell>
          <cell r="AR1306" t="str">
            <v>B</v>
          </cell>
          <cell r="AS1306" t="str">
            <v>POPULAIRE.KHOURIBGA</v>
          </cell>
          <cell r="AT1306" t="str">
            <v>211111284805006</v>
          </cell>
          <cell r="AU1306" t="str">
            <v>/  /</v>
          </cell>
          <cell r="AW1306">
            <v>41275</v>
          </cell>
          <cell r="BA1306" t="str">
            <v>2</v>
          </cell>
          <cell r="BB1306">
            <v>0</v>
          </cell>
          <cell r="BC1306" t="str">
            <v>O</v>
          </cell>
          <cell r="BD1306">
            <v>0</v>
          </cell>
          <cell r="BE1306" t="str">
            <v>M</v>
          </cell>
          <cell r="BG1306">
            <v>0</v>
          </cell>
          <cell r="BH1306">
            <v>41275</v>
          </cell>
          <cell r="BI1306" t="str">
            <v>O</v>
          </cell>
        </row>
        <row r="1307">
          <cell r="A1307">
            <v>91672</v>
          </cell>
          <cell r="B1307">
            <v>437</v>
          </cell>
          <cell r="C1307" t="str">
            <v>X2450</v>
          </cell>
          <cell r="D1307" t="str">
            <v>EL KREM</v>
          </cell>
          <cell r="E1307" t="str">
            <v>NAIMA</v>
          </cell>
          <cell r="F1307">
            <v>21169</v>
          </cell>
          <cell r="G1307" t="str">
            <v>1</v>
          </cell>
          <cell r="H1307" t="str">
            <v>KHOURIBGA</v>
          </cell>
          <cell r="I1307" t="str">
            <v>D</v>
          </cell>
          <cell r="J1307">
            <v>30753</v>
          </cell>
          <cell r="K1307">
            <v>37043</v>
          </cell>
          <cell r="L1307" t="str">
            <v>33</v>
          </cell>
          <cell r="M1307" t="str">
            <v>A</v>
          </cell>
          <cell r="N1307">
            <v>37043</v>
          </cell>
          <cell r="P1307">
            <v>19</v>
          </cell>
          <cell r="Q1307" t="str">
            <v>N</v>
          </cell>
          <cell r="R1307" t="str">
            <v>N</v>
          </cell>
          <cell r="S1307">
            <v>0</v>
          </cell>
          <cell r="T1307" t="str">
            <v>M</v>
          </cell>
          <cell r="U1307" t="str">
            <v>MOUNTAHI ABDELLAH</v>
          </cell>
          <cell r="X1307">
            <v>4</v>
          </cell>
          <cell r="Y1307">
            <v>4</v>
          </cell>
          <cell r="AB1307" t="str">
            <v>X</v>
          </cell>
          <cell r="AC1307" t="str">
            <v>X</v>
          </cell>
          <cell r="AD1307" t="str">
            <v>X</v>
          </cell>
          <cell r="AE1307" t="str">
            <v>OCP.65524/419</v>
          </cell>
          <cell r="AH1307" t="str">
            <v>O</v>
          </cell>
          <cell r="AI1307" t="str">
            <v>N</v>
          </cell>
          <cell r="AK1307" t="str">
            <v>04,RUE IFNI OCP KHOURIBGA</v>
          </cell>
          <cell r="AL1307" t="str">
            <v>1 A.DE FACULTE</v>
          </cell>
          <cell r="AM1307" t="str">
            <v>BAC.</v>
          </cell>
          <cell r="AP1307" t="str">
            <v>Q 52779</v>
          </cell>
          <cell r="AQ1307">
            <v>0</v>
          </cell>
          <cell r="AR1307" t="str">
            <v>B</v>
          </cell>
          <cell r="AS1307" t="str">
            <v>BMCE-KHOURIBGA</v>
          </cell>
          <cell r="AT1307" t="str">
            <v>40001200000542481</v>
          </cell>
          <cell r="AU1307" t="str">
            <v>/  /</v>
          </cell>
          <cell r="AW1307">
            <v>40725</v>
          </cell>
          <cell r="BA1307" t="str">
            <v>2</v>
          </cell>
          <cell r="BB1307">
            <v>1</v>
          </cell>
          <cell r="BD1307">
            <v>0</v>
          </cell>
          <cell r="BE1307" t="str">
            <v>F</v>
          </cell>
          <cell r="BF1307" t="str">
            <v>O</v>
          </cell>
          <cell r="BG1307">
            <v>0</v>
          </cell>
          <cell r="BH1307">
            <v>40725</v>
          </cell>
        </row>
        <row r="1308">
          <cell r="A1308">
            <v>91687</v>
          </cell>
          <cell r="B1308">
            <v>465</v>
          </cell>
          <cell r="C1308" t="str">
            <v>X4300</v>
          </cell>
          <cell r="D1308" t="str">
            <v>BOUADEL</v>
          </cell>
          <cell r="E1308" t="str">
            <v>M'HAMMED</v>
          </cell>
          <cell r="F1308">
            <v>19905</v>
          </cell>
          <cell r="G1308" t="str">
            <v>1</v>
          </cell>
          <cell r="H1308" t="str">
            <v>OULED BHAR KBAR KHOURIBGA</v>
          </cell>
          <cell r="I1308" t="str">
            <v>F</v>
          </cell>
          <cell r="J1308">
            <v>31621</v>
          </cell>
          <cell r="K1308">
            <v>37043</v>
          </cell>
          <cell r="L1308" t="str">
            <v>42</v>
          </cell>
          <cell r="M1308" t="str">
            <v>A</v>
          </cell>
          <cell r="N1308">
            <v>37043</v>
          </cell>
          <cell r="O1308">
            <v>0</v>
          </cell>
          <cell r="P1308">
            <v>16</v>
          </cell>
          <cell r="Q1308" t="str">
            <v>O</v>
          </cell>
          <cell r="R1308" t="str">
            <v>N</v>
          </cell>
          <cell r="S1308">
            <v>0</v>
          </cell>
          <cell r="T1308" t="str">
            <v>M</v>
          </cell>
          <cell r="U1308" t="str">
            <v>MOUJAHID HABIBA BENT MOHAMED</v>
          </cell>
          <cell r="X1308">
            <v>0</v>
          </cell>
          <cell r="Y1308">
            <v>0</v>
          </cell>
          <cell r="Z1308" t="str">
            <v>N</v>
          </cell>
          <cell r="AB1308" t="str">
            <v>X</v>
          </cell>
          <cell r="AC1308" t="str">
            <v>X</v>
          </cell>
          <cell r="AD1308" t="str">
            <v>X</v>
          </cell>
          <cell r="AE1308" t="str">
            <v>BANQUE - BMCE</v>
          </cell>
          <cell r="AH1308" t="str">
            <v>O</v>
          </cell>
          <cell r="AI1308" t="str">
            <v>N</v>
          </cell>
          <cell r="AK1308" t="str">
            <v>46 BLOC 31 NX LOGEMENTS VILLE OCP - KHGA</v>
          </cell>
          <cell r="AL1308" t="str">
            <v>7 AS.SC.EXP.</v>
          </cell>
          <cell r="AM1308" t="str">
            <v>CEP.CES.ITA.EMM</v>
          </cell>
          <cell r="AP1308" t="str">
            <v>Q 5022</v>
          </cell>
          <cell r="AQ1308">
            <v>0</v>
          </cell>
          <cell r="AR1308" t="str">
            <v>B</v>
          </cell>
          <cell r="AS1308" t="str">
            <v>B.M.C.E - KHGA</v>
          </cell>
          <cell r="AT1308" t="str">
            <v>40001200000964431</v>
          </cell>
          <cell r="AU1308" t="str">
            <v>/  /</v>
          </cell>
          <cell r="AW1308">
            <v>39995</v>
          </cell>
          <cell r="BA1308" t="str">
            <v>2</v>
          </cell>
          <cell r="BB1308">
            <v>1</v>
          </cell>
          <cell r="BD1308">
            <v>0</v>
          </cell>
          <cell r="BE1308" t="str">
            <v>M</v>
          </cell>
          <cell r="BG1308">
            <v>1</v>
          </cell>
          <cell r="BH1308">
            <v>39995</v>
          </cell>
        </row>
        <row r="1309">
          <cell r="A1309">
            <v>91688</v>
          </cell>
          <cell r="B1309">
            <v>413</v>
          </cell>
          <cell r="C1309" t="str">
            <v>X4200</v>
          </cell>
          <cell r="D1309" t="str">
            <v>EL AZZAOUI</v>
          </cell>
          <cell r="E1309" t="str">
            <v>MOHAMMED</v>
          </cell>
          <cell r="F1309">
            <v>22462</v>
          </cell>
          <cell r="G1309" t="str">
            <v>1</v>
          </cell>
          <cell r="H1309" t="str">
            <v>EL FOKRA - KHOURIBGA</v>
          </cell>
          <cell r="I1309" t="str">
            <v>F</v>
          </cell>
          <cell r="J1309">
            <v>31621</v>
          </cell>
          <cell r="K1309">
            <v>36526</v>
          </cell>
          <cell r="L1309" t="str">
            <v>42</v>
          </cell>
          <cell r="M1309" t="str">
            <v>A</v>
          </cell>
          <cell r="N1309">
            <v>36526</v>
          </cell>
          <cell r="P1309">
            <v>16</v>
          </cell>
          <cell r="Q1309" t="str">
            <v>O</v>
          </cell>
          <cell r="R1309" t="str">
            <v>N</v>
          </cell>
          <cell r="S1309">
            <v>0</v>
          </cell>
          <cell r="T1309" t="str">
            <v>M</v>
          </cell>
          <cell r="U1309" t="str">
            <v>HANANE MINA BT EL MILOUDI</v>
          </cell>
          <cell r="X1309">
            <v>3</v>
          </cell>
          <cell r="Y1309">
            <v>3</v>
          </cell>
          <cell r="AB1309" t="str">
            <v>X</v>
          </cell>
          <cell r="AC1309" t="str">
            <v>X</v>
          </cell>
          <cell r="AD1309" t="str">
            <v>X</v>
          </cell>
          <cell r="AH1309" t="str">
            <v>O</v>
          </cell>
          <cell r="AI1309" t="str">
            <v>N</v>
          </cell>
          <cell r="AK1309" t="str">
            <v>29, RUE EL ANOUAR VILLE O.C.P - KHGA</v>
          </cell>
          <cell r="AL1309" t="str">
            <v>7 AS.</v>
          </cell>
          <cell r="AM1309" t="str">
            <v>ITA.EMM</v>
          </cell>
          <cell r="AP1309" t="str">
            <v>Q 40517</v>
          </cell>
          <cell r="AQ1309">
            <v>0</v>
          </cell>
          <cell r="AR1309" t="str">
            <v>B</v>
          </cell>
          <cell r="AS1309" t="str">
            <v>POPULAIRE-KHGA</v>
          </cell>
          <cell r="AT1309" t="str">
            <v>2111156473520007</v>
          </cell>
          <cell r="AU1309" t="str">
            <v>/  /</v>
          </cell>
          <cell r="AW1309">
            <v>41640</v>
          </cell>
          <cell r="BA1309" t="str">
            <v>2</v>
          </cell>
          <cell r="BB1309">
            <v>1</v>
          </cell>
          <cell r="BD1309">
            <v>0</v>
          </cell>
          <cell r="BE1309" t="str">
            <v>M</v>
          </cell>
          <cell r="BF1309" t="str">
            <v>N</v>
          </cell>
          <cell r="BG1309">
            <v>1</v>
          </cell>
          <cell r="BH1309">
            <v>41640</v>
          </cell>
        </row>
        <row r="1310">
          <cell r="A1310">
            <v>91689</v>
          </cell>
          <cell r="B1310">
            <v>423</v>
          </cell>
          <cell r="C1310" t="str">
            <v>X3200</v>
          </cell>
          <cell r="D1310" t="str">
            <v>TAMIM</v>
          </cell>
          <cell r="E1310" t="str">
            <v>MOHAMMED</v>
          </cell>
          <cell r="F1310">
            <v>22630</v>
          </cell>
          <cell r="G1310" t="str">
            <v>1</v>
          </cell>
          <cell r="H1310" t="str">
            <v>KHOURIBGA</v>
          </cell>
          <cell r="I1310" t="str">
            <v>F</v>
          </cell>
          <cell r="J1310">
            <v>31621</v>
          </cell>
          <cell r="K1310">
            <v>31625</v>
          </cell>
          <cell r="L1310" t="str">
            <v>41</v>
          </cell>
          <cell r="M1310" t="str">
            <v>A</v>
          </cell>
          <cell r="N1310">
            <v>31625</v>
          </cell>
          <cell r="P1310">
            <v>16</v>
          </cell>
          <cell r="Q1310" t="str">
            <v>O</v>
          </cell>
          <cell r="R1310" t="str">
            <v>N</v>
          </cell>
          <cell r="S1310">
            <v>0</v>
          </cell>
          <cell r="T1310" t="str">
            <v>M</v>
          </cell>
          <cell r="U1310" t="str">
            <v>LOUBAMI KHADIJA BT EL MAATI</v>
          </cell>
          <cell r="X1310">
            <v>3</v>
          </cell>
          <cell r="Y1310">
            <v>3</v>
          </cell>
          <cell r="AB1310" t="str">
            <v>X</v>
          </cell>
          <cell r="AC1310" t="str">
            <v>X</v>
          </cell>
          <cell r="AD1310" t="str">
            <v>X</v>
          </cell>
          <cell r="AH1310" t="str">
            <v>O</v>
          </cell>
          <cell r="AI1310" t="str">
            <v>N</v>
          </cell>
          <cell r="AK1310" t="str">
            <v>32, RUE EL ANOUAR VILLA O.C.P - KHGA</v>
          </cell>
          <cell r="AL1310" t="str">
            <v>7 AS</v>
          </cell>
          <cell r="AM1310" t="str">
            <v>ITA.EMM</v>
          </cell>
          <cell r="AP1310" t="str">
            <v>Q 64499</v>
          </cell>
          <cell r="AQ1310">
            <v>0</v>
          </cell>
          <cell r="AR1310" t="str">
            <v>B</v>
          </cell>
          <cell r="AS1310" t="str">
            <v>BMCE.KHGA</v>
          </cell>
          <cell r="AT1310" t="str">
            <v>40001200000555770</v>
          </cell>
          <cell r="AU1310" t="str">
            <v>/  /</v>
          </cell>
          <cell r="AW1310">
            <v>41640</v>
          </cell>
          <cell r="BA1310" t="str">
            <v>2</v>
          </cell>
          <cell r="BB1310">
            <v>1</v>
          </cell>
          <cell r="BC1310" t="str">
            <v>O</v>
          </cell>
          <cell r="BD1310">
            <v>0</v>
          </cell>
          <cell r="BE1310" t="str">
            <v>M</v>
          </cell>
          <cell r="BF1310" t="str">
            <v>N</v>
          </cell>
          <cell r="BG1310">
            <v>4</v>
          </cell>
          <cell r="BH1310">
            <v>41640</v>
          </cell>
        </row>
        <row r="1311">
          <cell r="A1311">
            <v>91690</v>
          </cell>
          <cell r="B1311">
            <v>414</v>
          </cell>
          <cell r="C1311" t="str">
            <v>X4210</v>
          </cell>
          <cell r="D1311" t="str">
            <v>BOUJBIRI</v>
          </cell>
          <cell r="E1311" t="str">
            <v>EL MOSTAFA</v>
          </cell>
          <cell r="F1311">
            <v>21792</v>
          </cell>
          <cell r="G1311" t="str">
            <v>3</v>
          </cell>
          <cell r="H1311" t="str">
            <v>BOUJNIBA</v>
          </cell>
          <cell r="I1311" t="str">
            <v>F</v>
          </cell>
          <cell r="J1311">
            <v>31621</v>
          </cell>
          <cell r="K1311">
            <v>36526</v>
          </cell>
          <cell r="L1311" t="str">
            <v>42</v>
          </cell>
          <cell r="M1311" t="str">
            <v>A</v>
          </cell>
          <cell r="N1311">
            <v>31625</v>
          </cell>
          <cell r="O1311">
            <v>0</v>
          </cell>
          <cell r="P1311">
            <v>16</v>
          </cell>
          <cell r="Q1311" t="str">
            <v>O</v>
          </cell>
          <cell r="R1311" t="str">
            <v>N</v>
          </cell>
          <cell r="S1311">
            <v>0</v>
          </cell>
          <cell r="T1311" t="str">
            <v>M</v>
          </cell>
          <cell r="U1311" t="str">
            <v>BOUDRAA KHADDOUJ BT RAHAL</v>
          </cell>
          <cell r="X1311">
            <v>4</v>
          </cell>
          <cell r="Y1311">
            <v>4</v>
          </cell>
          <cell r="AB1311" t="str">
            <v>X</v>
          </cell>
          <cell r="AC1311" t="str">
            <v>X</v>
          </cell>
          <cell r="AD1311" t="str">
            <v>X</v>
          </cell>
          <cell r="AH1311" t="str">
            <v>N</v>
          </cell>
          <cell r="AI1311" t="str">
            <v>N</v>
          </cell>
          <cell r="AK1311" t="str">
            <v>785 HAY EL AMAL - KHGA</v>
          </cell>
          <cell r="AL1311" t="str">
            <v>7 AS.SC.EXP.</v>
          </cell>
          <cell r="AM1311" t="str">
            <v>CES.ITA.EMM</v>
          </cell>
          <cell r="AP1311" t="str">
            <v>Q 99557</v>
          </cell>
          <cell r="AQ1311">
            <v>0</v>
          </cell>
          <cell r="AR1311" t="str">
            <v>B</v>
          </cell>
          <cell r="AS1311" t="str">
            <v>B.M.C.I  KHGA</v>
          </cell>
          <cell r="AT1311" t="str">
            <v>02820776393301</v>
          </cell>
          <cell r="AU1311" t="str">
            <v>/  /</v>
          </cell>
          <cell r="AW1311">
            <v>42005</v>
          </cell>
          <cell r="BA1311" t="str">
            <v>2</v>
          </cell>
          <cell r="BB1311">
            <v>1</v>
          </cell>
          <cell r="BD1311">
            <v>0</v>
          </cell>
          <cell r="BE1311" t="str">
            <v>M</v>
          </cell>
          <cell r="BF1311" t="str">
            <v>N</v>
          </cell>
          <cell r="BG1311">
            <v>1</v>
          </cell>
          <cell r="BH1311">
            <v>41640</v>
          </cell>
          <cell r="BI1311" t="str">
            <v>O</v>
          </cell>
        </row>
        <row r="1312">
          <cell r="A1312">
            <v>91691</v>
          </cell>
          <cell r="B1312">
            <v>464</v>
          </cell>
          <cell r="C1312" t="str">
            <v>X4210</v>
          </cell>
          <cell r="D1312" t="str">
            <v>FAKI</v>
          </cell>
          <cell r="E1312" t="str">
            <v>EL MOSTAFA</v>
          </cell>
          <cell r="F1312">
            <v>21451</v>
          </cell>
          <cell r="G1312" t="str">
            <v>1</v>
          </cell>
          <cell r="H1312" t="str">
            <v>KHOURIBGA</v>
          </cell>
          <cell r="I1312" t="str">
            <v>F</v>
          </cell>
          <cell r="J1312">
            <v>31621</v>
          </cell>
          <cell r="K1312">
            <v>36526</v>
          </cell>
          <cell r="L1312" t="str">
            <v>42</v>
          </cell>
          <cell r="M1312" t="str">
            <v>A</v>
          </cell>
          <cell r="N1312">
            <v>36526</v>
          </cell>
          <cell r="P1312">
            <v>16</v>
          </cell>
          <cell r="Q1312" t="str">
            <v>O</v>
          </cell>
          <cell r="R1312" t="str">
            <v>N</v>
          </cell>
          <cell r="S1312">
            <v>0</v>
          </cell>
          <cell r="T1312" t="str">
            <v>M</v>
          </cell>
          <cell r="U1312" t="str">
            <v>NOUASSI HANANE BENT MILOUD</v>
          </cell>
          <cell r="X1312">
            <v>2</v>
          </cell>
          <cell r="Y1312">
            <v>2</v>
          </cell>
          <cell r="Z1312" t="str">
            <v>O</v>
          </cell>
          <cell r="AB1312" t="str">
            <v>X</v>
          </cell>
          <cell r="AC1312" t="str">
            <v>X</v>
          </cell>
          <cell r="AD1312" t="str">
            <v>X</v>
          </cell>
          <cell r="AH1312" t="str">
            <v>O</v>
          </cell>
          <cell r="AI1312" t="str">
            <v>N</v>
          </cell>
          <cell r="AK1312" t="str">
            <v>6 IMMEUBLE CASSOU VILLAGE OCP</v>
          </cell>
          <cell r="AL1312" t="str">
            <v>7 AS.</v>
          </cell>
          <cell r="AM1312" t="str">
            <v>CEP.CES.ITA.EMM</v>
          </cell>
          <cell r="AP1312" t="str">
            <v>Q 56987</v>
          </cell>
          <cell r="AQ1312">
            <v>0</v>
          </cell>
          <cell r="AR1312" t="str">
            <v>B</v>
          </cell>
          <cell r="AS1312" t="str">
            <v>S.G.M.B - KHGA</v>
          </cell>
          <cell r="AT1312" t="str">
            <v>0670009266562</v>
          </cell>
          <cell r="AU1312" t="str">
            <v>/  /</v>
          </cell>
          <cell r="AW1312">
            <v>41640</v>
          </cell>
          <cell r="BA1312" t="str">
            <v>2</v>
          </cell>
          <cell r="BB1312">
            <v>0</v>
          </cell>
          <cell r="BC1312" t="str">
            <v>O</v>
          </cell>
          <cell r="BD1312">
            <v>0</v>
          </cell>
          <cell r="BE1312" t="str">
            <v>M</v>
          </cell>
          <cell r="BG1312">
            <v>5</v>
          </cell>
          <cell r="BH1312">
            <v>41640</v>
          </cell>
          <cell r="BI1312" t="str">
            <v>O</v>
          </cell>
        </row>
        <row r="1313">
          <cell r="A1313">
            <v>91696</v>
          </cell>
          <cell r="B1313">
            <v>464</v>
          </cell>
          <cell r="C1313" t="str">
            <v>X3210</v>
          </cell>
          <cell r="D1313" t="str">
            <v>SADAOUI</v>
          </cell>
          <cell r="E1313" t="str">
            <v>AHMED</v>
          </cell>
          <cell r="F1313">
            <v>22097</v>
          </cell>
          <cell r="G1313" t="str">
            <v>1</v>
          </cell>
          <cell r="H1313" t="str">
            <v>OULED BHAR SGHAR KHOURIBGA</v>
          </cell>
          <cell r="I1313" t="str">
            <v>F</v>
          </cell>
          <cell r="J1313">
            <v>31621</v>
          </cell>
          <cell r="K1313">
            <v>31625</v>
          </cell>
          <cell r="L1313" t="str">
            <v>41</v>
          </cell>
          <cell r="M1313" t="str">
            <v>B</v>
          </cell>
          <cell r="N1313">
            <v>35612</v>
          </cell>
          <cell r="O1313">
            <v>0</v>
          </cell>
          <cell r="P1313">
            <v>16</v>
          </cell>
          <cell r="Q1313" t="str">
            <v>O</v>
          </cell>
          <cell r="R1313" t="str">
            <v>N</v>
          </cell>
          <cell r="S1313">
            <v>0</v>
          </cell>
          <cell r="T1313" t="str">
            <v>M</v>
          </cell>
          <cell r="U1313" t="str">
            <v>DAKI NAIMA</v>
          </cell>
          <cell r="X1313">
            <v>1</v>
          </cell>
          <cell r="Y1313">
            <v>1</v>
          </cell>
          <cell r="Z1313" t="str">
            <v>N</v>
          </cell>
          <cell r="AB1313" t="str">
            <v>X</v>
          </cell>
          <cell r="AC1313" t="str">
            <v>X</v>
          </cell>
          <cell r="AD1313" t="str">
            <v>X</v>
          </cell>
          <cell r="AH1313" t="str">
            <v>O</v>
          </cell>
          <cell r="AI1313" t="str">
            <v>N</v>
          </cell>
          <cell r="AK1313" t="str">
            <v>19/15 RUE EL ANOUAR VILLE OCP - KHGA</v>
          </cell>
          <cell r="AL1313" t="str">
            <v>7 AS.SC.EXP.</v>
          </cell>
          <cell r="AM1313" t="str">
            <v>CEP.CES.ITA.EMM</v>
          </cell>
          <cell r="AP1313" t="str">
            <v>Q 47726</v>
          </cell>
          <cell r="AQ1313">
            <v>0</v>
          </cell>
          <cell r="AR1313" t="str">
            <v>B</v>
          </cell>
          <cell r="AS1313" t="str">
            <v>CR.MAROC-KHOURIBGA</v>
          </cell>
          <cell r="AT1313" t="str">
            <v>082001041591</v>
          </cell>
          <cell r="AU1313" t="str">
            <v>/  /</v>
          </cell>
          <cell r="AW1313">
            <v>41640</v>
          </cell>
          <cell r="BA1313" t="str">
            <v>2</v>
          </cell>
          <cell r="BB1313">
            <v>0</v>
          </cell>
          <cell r="BD1313">
            <v>0</v>
          </cell>
          <cell r="BE1313" t="str">
            <v>M</v>
          </cell>
          <cell r="BG1313">
            <v>5</v>
          </cell>
          <cell r="BH1313">
            <v>41640</v>
          </cell>
        </row>
        <row r="1314">
          <cell r="A1314">
            <v>91698</v>
          </cell>
          <cell r="B1314">
            <v>464</v>
          </cell>
          <cell r="C1314" t="str">
            <v>X4210</v>
          </cell>
          <cell r="D1314" t="str">
            <v>ZBAIR</v>
          </cell>
          <cell r="E1314" t="str">
            <v>AZZEDDINE</v>
          </cell>
          <cell r="F1314">
            <v>22563</v>
          </cell>
          <cell r="G1314" t="str">
            <v>1</v>
          </cell>
          <cell r="H1314" t="str">
            <v>KHOURIBGA</v>
          </cell>
          <cell r="I1314" t="str">
            <v>F</v>
          </cell>
          <cell r="J1314">
            <v>31621</v>
          </cell>
          <cell r="K1314">
            <v>35065</v>
          </cell>
          <cell r="L1314" t="str">
            <v>42</v>
          </cell>
          <cell r="M1314" t="str">
            <v>A</v>
          </cell>
          <cell r="N1314">
            <v>35065</v>
          </cell>
          <cell r="O1314">
            <v>0</v>
          </cell>
          <cell r="P1314">
            <v>16</v>
          </cell>
          <cell r="Q1314" t="str">
            <v>O</v>
          </cell>
          <cell r="R1314" t="str">
            <v>N</v>
          </cell>
          <cell r="S1314">
            <v>0</v>
          </cell>
          <cell r="T1314" t="str">
            <v>M</v>
          </cell>
          <cell r="U1314" t="str">
            <v>KHACHCHAB NAJAT BT HADJ TAHAR</v>
          </cell>
          <cell r="X1314">
            <v>3</v>
          </cell>
          <cell r="Y1314">
            <v>3</v>
          </cell>
          <cell r="AB1314" t="str">
            <v>X</v>
          </cell>
          <cell r="AC1314" t="str">
            <v>X</v>
          </cell>
          <cell r="AD1314" t="str">
            <v>X</v>
          </cell>
          <cell r="AH1314" t="str">
            <v>O</v>
          </cell>
          <cell r="AI1314" t="str">
            <v>N</v>
          </cell>
          <cell r="AK1314" t="str">
            <v>18 BLOC 26 NX LOGTS OCP KHOURIBGA</v>
          </cell>
          <cell r="AL1314" t="str">
            <v>7 AS</v>
          </cell>
          <cell r="AM1314" t="str">
            <v>BAC.ITA.EMM</v>
          </cell>
          <cell r="AP1314" t="str">
            <v>Q 60584</v>
          </cell>
          <cell r="AQ1314">
            <v>0</v>
          </cell>
          <cell r="AR1314" t="str">
            <v>B</v>
          </cell>
          <cell r="AS1314" t="str">
            <v>SGMB-KHOURIBGA</v>
          </cell>
          <cell r="AT1314" t="str">
            <v>67009013837</v>
          </cell>
          <cell r="AU1314" t="str">
            <v>/  /</v>
          </cell>
          <cell r="AW1314">
            <v>41640</v>
          </cell>
          <cell r="BA1314" t="str">
            <v>2</v>
          </cell>
          <cell r="BB1314">
            <v>1</v>
          </cell>
          <cell r="BC1314" t="str">
            <v>N</v>
          </cell>
          <cell r="BD1314">
            <v>0</v>
          </cell>
          <cell r="BE1314" t="str">
            <v>M</v>
          </cell>
          <cell r="BF1314" t="str">
            <v>N</v>
          </cell>
          <cell r="BG1314">
            <v>1</v>
          </cell>
          <cell r="BH1314">
            <v>41640</v>
          </cell>
          <cell r="BI1314" t="str">
            <v>N</v>
          </cell>
        </row>
        <row r="1315">
          <cell r="A1315">
            <v>91699</v>
          </cell>
          <cell r="B1315">
            <v>409</v>
          </cell>
          <cell r="C1315" t="str">
            <v>X3650</v>
          </cell>
          <cell r="D1315" t="str">
            <v>ACHCHAR</v>
          </cell>
          <cell r="E1315" t="str">
            <v>MOHAMMED</v>
          </cell>
          <cell r="F1315">
            <v>22291</v>
          </cell>
          <cell r="G1315" t="str">
            <v>1</v>
          </cell>
          <cell r="H1315" t="str">
            <v>OULED BHAR SGHAR KHOURIBGA</v>
          </cell>
          <cell r="I1315" t="str">
            <v>F</v>
          </cell>
          <cell r="J1315">
            <v>31625</v>
          </cell>
          <cell r="K1315">
            <v>31625</v>
          </cell>
          <cell r="L1315" t="str">
            <v>41</v>
          </cell>
          <cell r="M1315" t="str">
            <v>A</v>
          </cell>
          <cell r="N1315">
            <v>31625</v>
          </cell>
          <cell r="P1315">
            <v>16</v>
          </cell>
          <cell r="Q1315" t="str">
            <v>O</v>
          </cell>
          <cell r="R1315" t="str">
            <v>N</v>
          </cell>
          <cell r="S1315">
            <v>0</v>
          </cell>
          <cell r="T1315" t="str">
            <v>M</v>
          </cell>
          <cell r="U1315" t="str">
            <v>NAJAT BT MD B/RHAZOUANI SAMRIA</v>
          </cell>
          <cell r="X1315">
            <v>3</v>
          </cell>
          <cell r="Y1315">
            <v>3</v>
          </cell>
          <cell r="Z1315" t="str">
            <v>N</v>
          </cell>
          <cell r="AB1315" t="str">
            <v>X</v>
          </cell>
          <cell r="AC1315" t="str">
            <v>X</v>
          </cell>
          <cell r="AD1315" t="str">
            <v>X</v>
          </cell>
          <cell r="AH1315" t="str">
            <v>N</v>
          </cell>
          <cell r="AI1315" t="str">
            <v>N</v>
          </cell>
          <cell r="AK1315" t="str">
            <v>1043 RUE ALYARMOUK HAY AMAL KHOURIBGA</v>
          </cell>
          <cell r="AL1315" t="str">
            <v>2 ANNEE I.T.A</v>
          </cell>
          <cell r="AM1315" t="str">
            <v>ITA.EMM</v>
          </cell>
          <cell r="AP1315" t="str">
            <v>Q 66622</v>
          </cell>
          <cell r="AQ1315">
            <v>0</v>
          </cell>
          <cell r="AR1315" t="str">
            <v>B</v>
          </cell>
          <cell r="AS1315" t="str">
            <v>BMCE.KHGA</v>
          </cell>
          <cell r="AT1315" t="str">
            <v>40001200000782362</v>
          </cell>
          <cell r="AU1315" t="str">
            <v>/  /</v>
          </cell>
          <cell r="AW1315">
            <v>37987</v>
          </cell>
          <cell r="BA1315" t="str">
            <v>2</v>
          </cell>
          <cell r="BB1315">
            <v>1</v>
          </cell>
          <cell r="BD1315">
            <v>0</v>
          </cell>
          <cell r="BE1315" t="str">
            <v>M</v>
          </cell>
          <cell r="BG1315">
            <v>1</v>
          </cell>
          <cell r="BH1315">
            <v>42552</v>
          </cell>
          <cell r="BI1315" t="str">
            <v>O</v>
          </cell>
        </row>
        <row r="1316">
          <cell r="A1316">
            <v>91753</v>
          </cell>
          <cell r="B1316">
            <v>421</v>
          </cell>
          <cell r="C1316" t="str">
            <v>X3032</v>
          </cell>
          <cell r="D1316" t="str">
            <v>MOUNTASSIR</v>
          </cell>
          <cell r="E1316" t="str">
            <v>EL MOSTAFA</v>
          </cell>
          <cell r="F1316">
            <v>22890</v>
          </cell>
          <cell r="G1316" t="str">
            <v>1</v>
          </cell>
          <cell r="H1316" t="str">
            <v>OULED BHAR SGHAR KHOURIBGA</v>
          </cell>
          <cell r="I1316" t="str">
            <v>F</v>
          </cell>
          <cell r="J1316">
            <v>31625</v>
          </cell>
          <cell r="K1316">
            <v>31625</v>
          </cell>
          <cell r="L1316" t="str">
            <v>41</v>
          </cell>
          <cell r="M1316" t="str">
            <v>A</v>
          </cell>
          <cell r="N1316">
            <v>31625</v>
          </cell>
          <cell r="P1316">
            <v>16</v>
          </cell>
          <cell r="Q1316" t="str">
            <v>O</v>
          </cell>
          <cell r="R1316" t="str">
            <v>N</v>
          </cell>
          <cell r="S1316">
            <v>0</v>
          </cell>
          <cell r="T1316" t="str">
            <v>M</v>
          </cell>
          <cell r="U1316" t="str">
            <v>SAMIT ZAHRA BT LARBI</v>
          </cell>
          <cell r="X1316">
            <v>3</v>
          </cell>
          <cell r="Y1316">
            <v>3</v>
          </cell>
          <cell r="AB1316" t="str">
            <v>X</v>
          </cell>
          <cell r="AC1316" t="str">
            <v>X</v>
          </cell>
          <cell r="AD1316" t="str">
            <v>X</v>
          </cell>
          <cell r="AE1316" t="str">
            <v>M.E.N</v>
          </cell>
          <cell r="AH1316" t="str">
            <v>O</v>
          </cell>
          <cell r="AI1316" t="str">
            <v>N</v>
          </cell>
          <cell r="AK1316" t="str">
            <v>09 RUE CASABLANCA OCP - KHGA</v>
          </cell>
          <cell r="AL1316" t="str">
            <v>7 AS.SC.EXP.</v>
          </cell>
          <cell r="AM1316" t="str">
            <v>CES.ITA.EMM</v>
          </cell>
          <cell r="AP1316" t="str">
            <v>Q 56023</v>
          </cell>
          <cell r="AQ1316">
            <v>0</v>
          </cell>
          <cell r="AR1316" t="str">
            <v>B</v>
          </cell>
          <cell r="AS1316" t="str">
            <v>POPULAIRE.KHGA</v>
          </cell>
          <cell r="AT1316" t="str">
            <v>2111112898670000</v>
          </cell>
          <cell r="AU1316" t="str">
            <v>/  /</v>
          </cell>
          <cell r="AW1316">
            <v>43630</v>
          </cell>
          <cell r="AX1316">
            <v>43630</v>
          </cell>
          <cell r="BA1316" t="str">
            <v>2</v>
          </cell>
          <cell r="BB1316">
            <v>0</v>
          </cell>
          <cell r="BC1316" t="str">
            <v>N</v>
          </cell>
          <cell r="BD1316">
            <v>0</v>
          </cell>
          <cell r="BE1316" t="str">
            <v>M</v>
          </cell>
          <cell r="BG1316">
            <v>1</v>
          </cell>
          <cell r="BH1316">
            <v>41640</v>
          </cell>
        </row>
        <row r="1317">
          <cell r="A1317">
            <v>91756</v>
          </cell>
          <cell r="B1317">
            <v>419</v>
          </cell>
          <cell r="C1317" t="str">
            <v>X6032</v>
          </cell>
          <cell r="D1317" t="str">
            <v>LAKHAL</v>
          </cell>
          <cell r="E1317" t="str">
            <v>HAMID</v>
          </cell>
          <cell r="F1317">
            <v>23192</v>
          </cell>
          <cell r="H1317" t="str">
            <v>FES</v>
          </cell>
          <cell r="I1317" t="str">
            <v>F</v>
          </cell>
          <cell r="J1317">
            <v>31625</v>
          </cell>
          <cell r="K1317">
            <v>31809</v>
          </cell>
          <cell r="L1317" t="str">
            <v>52</v>
          </cell>
          <cell r="M1317" t="str">
            <v>A</v>
          </cell>
          <cell r="N1317">
            <v>31809</v>
          </cell>
          <cell r="O1317">
            <v>0</v>
          </cell>
          <cell r="P1317">
            <v>16</v>
          </cell>
          <cell r="Q1317" t="str">
            <v>O</v>
          </cell>
          <cell r="R1317" t="str">
            <v>N</v>
          </cell>
          <cell r="S1317">
            <v>0</v>
          </cell>
          <cell r="T1317" t="str">
            <v>M</v>
          </cell>
          <cell r="U1317" t="str">
            <v>HOUHOU FATIMA BENT DRISS</v>
          </cell>
          <cell r="X1317">
            <v>3</v>
          </cell>
          <cell r="Y1317">
            <v>3</v>
          </cell>
          <cell r="Z1317" t="str">
            <v>N</v>
          </cell>
          <cell r="AB1317" t="str">
            <v>X</v>
          </cell>
          <cell r="AC1317" t="str">
            <v>X</v>
          </cell>
          <cell r="AD1317" t="str">
            <v>X</v>
          </cell>
          <cell r="AH1317" t="str">
            <v>N</v>
          </cell>
          <cell r="AI1317" t="str">
            <v>N</v>
          </cell>
          <cell r="AK1317" t="str">
            <v>269,LOTISSEMENT EL HANA KHOURIBGA</v>
          </cell>
          <cell r="AL1317" t="str">
            <v>7 A.T</v>
          </cell>
          <cell r="AM1317" t="str">
            <v>CEP.BAC TECHNIQUE.DUT</v>
          </cell>
          <cell r="AP1317" t="str">
            <v>C 220322</v>
          </cell>
          <cell r="AQ1317">
            <v>0</v>
          </cell>
          <cell r="AR1317" t="str">
            <v>B</v>
          </cell>
          <cell r="AS1317" t="str">
            <v>BMCE.KHGA</v>
          </cell>
          <cell r="AT1317" t="str">
            <v>40001200000555188</v>
          </cell>
          <cell r="AU1317" t="str">
            <v>/  /</v>
          </cell>
          <cell r="AW1317">
            <v>41640</v>
          </cell>
          <cell r="BA1317" t="str">
            <v>2</v>
          </cell>
          <cell r="BB1317">
            <v>1</v>
          </cell>
          <cell r="BC1317" t="str">
            <v>O</v>
          </cell>
          <cell r="BD1317">
            <v>0</v>
          </cell>
          <cell r="BE1317" t="str">
            <v>M</v>
          </cell>
          <cell r="BG1317">
            <v>1</v>
          </cell>
          <cell r="BH1317">
            <v>41640</v>
          </cell>
          <cell r="BI1317" t="str">
            <v>O</v>
          </cell>
        </row>
        <row r="1318">
          <cell r="A1318">
            <v>91757</v>
          </cell>
          <cell r="B1318">
            <v>418</v>
          </cell>
          <cell r="C1318" t="str">
            <v>X6050</v>
          </cell>
          <cell r="D1318" t="str">
            <v>AFOUKAL</v>
          </cell>
          <cell r="E1318" t="str">
            <v>BOUBKER</v>
          </cell>
          <cell r="F1318">
            <v>22749</v>
          </cell>
          <cell r="G1318" t="str">
            <v>1</v>
          </cell>
          <cell r="H1318" t="str">
            <v>KHOURIBGA</v>
          </cell>
          <cell r="I1318" t="str">
            <v>F</v>
          </cell>
          <cell r="J1318">
            <v>31625</v>
          </cell>
          <cell r="K1318">
            <v>35065</v>
          </cell>
          <cell r="L1318" t="str">
            <v>52</v>
          </cell>
          <cell r="M1318" t="str">
            <v>A</v>
          </cell>
          <cell r="N1318">
            <v>35065</v>
          </cell>
          <cell r="O1318">
            <v>0</v>
          </cell>
          <cell r="P1318">
            <v>16</v>
          </cell>
          <cell r="Q1318" t="str">
            <v>O</v>
          </cell>
          <cell r="R1318" t="str">
            <v>N</v>
          </cell>
          <cell r="S1318">
            <v>0</v>
          </cell>
          <cell r="T1318" t="str">
            <v>M</v>
          </cell>
          <cell r="U1318" t="str">
            <v>LALMICH RKIA</v>
          </cell>
          <cell r="X1318">
            <v>3</v>
          </cell>
          <cell r="Y1318">
            <v>3</v>
          </cell>
          <cell r="AB1318" t="str">
            <v>X</v>
          </cell>
          <cell r="AC1318" t="str">
            <v>X</v>
          </cell>
          <cell r="AD1318" t="str">
            <v>X</v>
          </cell>
          <cell r="AH1318" t="str">
            <v>O</v>
          </cell>
          <cell r="AI1318" t="str">
            <v>N</v>
          </cell>
          <cell r="AK1318" t="str">
            <v>02 RUE IBN KHALDOUN OCP KHOURIBGA</v>
          </cell>
          <cell r="AL1318" t="str">
            <v>1 A.DE FACULTE</v>
          </cell>
          <cell r="AM1318" t="str">
            <v>BAC.DUT</v>
          </cell>
          <cell r="AP1318" t="str">
            <v>Q 65107</v>
          </cell>
          <cell r="AQ1318">
            <v>0</v>
          </cell>
          <cell r="AR1318" t="str">
            <v>B</v>
          </cell>
          <cell r="AS1318" t="str">
            <v>B.M.C.I  KHGA</v>
          </cell>
          <cell r="AT1318" t="str">
            <v>02820777557301</v>
          </cell>
          <cell r="AU1318" t="str">
            <v>/  /</v>
          </cell>
          <cell r="AW1318">
            <v>41640</v>
          </cell>
          <cell r="BA1318" t="str">
            <v>2</v>
          </cell>
          <cell r="BB1318">
            <v>1</v>
          </cell>
          <cell r="BC1318" t="str">
            <v>O</v>
          </cell>
          <cell r="BD1318">
            <v>0</v>
          </cell>
          <cell r="BE1318" t="str">
            <v>M</v>
          </cell>
          <cell r="BF1318" t="str">
            <v>N</v>
          </cell>
          <cell r="BG1318">
            <v>4</v>
          </cell>
          <cell r="BH1318">
            <v>41640</v>
          </cell>
          <cell r="BI1318" t="str">
            <v>O</v>
          </cell>
        </row>
        <row r="1319">
          <cell r="A1319">
            <v>91759</v>
          </cell>
          <cell r="B1319">
            <v>406</v>
          </cell>
          <cell r="C1319" t="str">
            <v>X3050</v>
          </cell>
          <cell r="D1319" t="str">
            <v>REJDAL</v>
          </cell>
          <cell r="E1319" t="str">
            <v>MOHAMED</v>
          </cell>
          <cell r="F1319">
            <v>22075</v>
          </cell>
          <cell r="H1319" t="str">
            <v>TIZNIT</v>
          </cell>
          <cell r="I1319" t="str">
            <v>F</v>
          </cell>
          <cell r="J1319">
            <v>31625</v>
          </cell>
          <cell r="K1319">
            <v>31625</v>
          </cell>
          <cell r="L1319" t="str">
            <v>41</v>
          </cell>
          <cell r="M1319" t="str">
            <v>C</v>
          </cell>
          <cell r="N1319">
            <v>35612</v>
          </cell>
          <cell r="P1319">
            <v>16</v>
          </cell>
          <cell r="Q1319" t="str">
            <v>O</v>
          </cell>
          <cell r="R1319" t="str">
            <v>N</v>
          </cell>
          <cell r="S1319">
            <v>0</v>
          </cell>
          <cell r="T1319" t="str">
            <v>M</v>
          </cell>
          <cell r="U1319" t="str">
            <v>LAMAACHI KELTOUM BT SAID</v>
          </cell>
          <cell r="X1319">
            <v>3</v>
          </cell>
          <cell r="Y1319">
            <v>3</v>
          </cell>
          <cell r="AB1319" t="str">
            <v>X</v>
          </cell>
          <cell r="AC1319" t="str">
            <v>X</v>
          </cell>
          <cell r="AD1319" t="str">
            <v>X</v>
          </cell>
          <cell r="AH1319" t="str">
            <v>N</v>
          </cell>
          <cell r="AI1319" t="str">
            <v>N</v>
          </cell>
          <cell r="AK1319" t="str">
            <v>103 RUE OULED BRAHIM HAY EL FATH KHGA</v>
          </cell>
          <cell r="AL1319" t="str">
            <v>1 A.DE FAC.SC.</v>
          </cell>
          <cell r="AM1319" t="str">
            <v>CEP.CES.BAC.EMM</v>
          </cell>
          <cell r="AP1319" t="str">
            <v>Q 60638</v>
          </cell>
          <cell r="AQ1319">
            <v>0</v>
          </cell>
          <cell r="AR1319" t="str">
            <v>B</v>
          </cell>
          <cell r="AS1319" t="str">
            <v>POPULAIRE.KHGA</v>
          </cell>
          <cell r="AT1319" t="str">
            <v>211112818130002</v>
          </cell>
          <cell r="AU1319" t="str">
            <v>/  /</v>
          </cell>
          <cell r="AW1319">
            <v>41640</v>
          </cell>
          <cell r="BA1319" t="str">
            <v>2</v>
          </cell>
          <cell r="BB1319">
            <v>1</v>
          </cell>
          <cell r="BD1319">
            <v>0</v>
          </cell>
          <cell r="BE1319" t="str">
            <v>M</v>
          </cell>
          <cell r="BF1319" t="str">
            <v>N</v>
          </cell>
          <cell r="BG1319">
            <v>1</v>
          </cell>
          <cell r="BH1319">
            <v>41640</v>
          </cell>
          <cell r="BI1319" t="str">
            <v>O</v>
          </cell>
        </row>
        <row r="1320">
          <cell r="A1320">
            <v>91761</v>
          </cell>
          <cell r="B1320">
            <v>411</v>
          </cell>
          <cell r="C1320" t="str">
            <v>X4650</v>
          </cell>
          <cell r="D1320" t="str">
            <v>ATTAS</v>
          </cell>
          <cell r="E1320" t="str">
            <v>EL MILOUDI</v>
          </cell>
          <cell r="F1320">
            <v>21459</v>
          </cell>
          <cell r="G1320" t="str">
            <v>1</v>
          </cell>
          <cell r="H1320" t="str">
            <v>OULED BHAR KBAR KHOURIBGA</v>
          </cell>
          <cell r="I1320" t="str">
            <v>F</v>
          </cell>
          <cell r="J1320">
            <v>31625</v>
          </cell>
          <cell r="K1320">
            <v>36526</v>
          </cell>
          <cell r="L1320" t="str">
            <v>42</v>
          </cell>
          <cell r="M1320" t="str">
            <v>A</v>
          </cell>
          <cell r="N1320">
            <v>36526</v>
          </cell>
          <cell r="P1320">
            <v>16</v>
          </cell>
          <cell r="Q1320" t="str">
            <v>O</v>
          </cell>
          <cell r="R1320" t="str">
            <v>N</v>
          </cell>
          <cell r="S1320">
            <v>0</v>
          </cell>
          <cell r="T1320" t="str">
            <v>M</v>
          </cell>
          <cell r="U1320" t="str">
            <v>CHAIB BOUCHRA BT MOHAMED</v>
          </cell>
          <cell r="X1320">
            <v>3</v>
          </cell>
          <cell r="Y1320">
            <v>3</v>
          </cell>
          <cell r="Z1320" t="str">
            <v>N</v>
          </cell>
          <cell r="AA1320" t="str">
            <v>10/08/93</v>
          </cell>
          <cell r="AB1320" t="str">
            <v>X</v>
          </cell>
          <cell r="AC1320" t="str">
            <v>X</v>
          </cell>
          <cell r="AD1320" t="str">
            <v>X</v>
          </cell>
          <cell r="AH1320" t="str">
            <v>N</v>
          </cell>
          <cell r="AI1320" t="str">
            <v>N</v>
          </cell>
          <cell r="AK1320" t="str">
            <v>23 Bloc 9 RUE AL INBIAT ANCIEN SOUK KHGA</v>
          </cell>
          <cell r="AL1320" t="str">
            <v>7 AS.SC.EXP.</v>
          </cell>
          <cell r="AM1320" t="str">
            <v>CEP.CES.ITA.EMM</v>
          </cell>
          <cell r="AN1320" t="str">
            <v>49═33═25</v>
          </cell>
          <cell r="AP1320" t="str">
            <v>Q 23526</v>
          </cell>
          <cell r="AQ1320">
            <v>0</v>
          </cell>
          <cell r="AR1320" t="str">
            <v>B</v>
          </cell>
          <cell r="AS1320" t="str">
            <v>WAFABANK - KHGA</v>
          </cell>
          <cell r="AT1320" t="str">
            <v>1220301256322</v>
          </cell>
          <cell r="AU1320" t="str">
            <v>/  /</v>
          </cell>
          <cell r="AW1320">
            <v>41640</v>
          </cell>
          <cell r="BA1320" t="str">
            <v>2</v>
          </cell>
          <cell r="BB1320">
            <v>0</v>
          </cell>
          <cell r="BD1320">
            <v>0</v>
          </cell>
          <cell r="BE1320" t="str">
            <v>M</v>
          </cell>
          <cell r="BF1320" t="str">
            <v>N</v>
          </cell>
          <cell r="BG1320">
            <v>1</v>
          </cell>
          <cell r="BH1320">
            <v>41640</v>
          </cell>
          <cell r="BI1320" t="str">
            <v>O</v>
          </cell>
        </row>
        <row r="1321">
          <cell r="A1321">
            <v>91762</v>
          </cell>
          <cell r="B1321">
            <v>421</v>
          </cell>
          <cell r="C1321" t="str">
            <v>X3650</v>
          </cell>
          <cell r="D1321" t="str">
            <v>AFRAOUI</v>
          </cell>
          <cell r="E1321" t="str">
            <v>LEKBIR</v>
          </cell>
          <cell r="F1321">
            <v>21587</v>
          </cell>
          <cell r="G1321" t="str">
            <v>2</v>
          </cell>
          <cell r="H1321" t="str">
            <v>OUED-ZEM</v>
          </cell>
          <cell r="I1321" t="str">
            <v>F</v>
          </cell>
          <cell r="J1321">
            <v>31625</v>
          </cell>
          <cell r="K1321">
            <v>31625</v>
          </cell>
          <cell r="L1321" t="str">
            <v>41</v>
          </cell>
          <cell r="M1321" t="str">
            <v>B</v>
          </cell>
          <cell r="N1321">
            <v>35612</v>
          </cell>
          <cell r="O1321">
            <v>0</v>
          </cell>
          <cell r="P1321">
            <v>16</v>
          </cell>
          <cell r="Q1321" t="str">
            <v>O</v>
          </cell>
          <cell r="R1321" t="str">
            <v>N</v>
          </cell>
          <cell r="S1321">
            <v>0</v>
          </cell>
          <cell r="T1321" t="str">
            <v>M</v>
          </cell>
          <cell r="U1321" t="str">
            <v>LAMCHAOUI BOUCHRA BENT MOHAMED</v>
          </cell>
          <cell r="X1321">
            <v>2</v>
          </cell>
          <cell r="Y1321">
            <v>2</v>
          </cell>
          <cell r="AB1321" t="str">
            <v>X</v>
          </cell>
          <cell r="AC1321" t="str">
            <v>X</v>
          </cell>
          <cell r="AD1321" t="str">
            <v>X</v>
          </cell>
          <cell r="AH1321" t="str">
            <v>N</v>
          </cell>
          <cell r="AI1321" t="str">
            <v>N</v>
          </cell>
          <cell r="AK1321" t="str">
            <v>150 BLOC A HAY EL WAHDA OUED ZEM</v>
          </cell>
          <cell r="AL1321" t="str">
            <v>7 AS.SC.EXP.</v>
          </cell>
          <cell r="AM1321" t="str">
            <v>CEP.CES.BAC.ITA.EMM</v>
          </cell>
          <cell r="AP1321" t="str">
            <v>Q 26800</v>
          </cell>
          <cell r="AQ1321">
            <v>0</v>
          </cell>
          <cell r="AR1321" t="str">
            <v>B</v>
          </cell>
          <cell r="AS1321" t="str">
            <v>B.M.C.I - O.ZEM</v>
          </cell>
          <cell r="AT1321" t="str">
            <v>02521826758301</v>
          </cell>
          <cell r="AU1321" t="str">
            <v>/  /</v>
          </cell>
          <cell r="AW1321">
            <v>41821</v>
          </cell>
          <cell r="BA1321" t="str">
            <v>2</v>
          </cell>
          <cell r="BB1321">
            <v>1</v>
          </cell>
          <cell r="BD1321">
            <v>0</v>
          </cell>
          <cell r="BE1321" t="str">
            <v>M</v>
          </cell>
          <cell r="BG1321">
            <v>1</v>
          </cell>
          <cell r="BH1321">
            <v>41821</v>
          </cell>
        </row>
        <row r="1322">
          <cell r="A1322">
            <v>91770</v>
          </cell>
          <cell r="B1322">
            <v>414</v>
          </cell>
          <cell r="C1322" t="str">
            <v>X4210</v>
          </cell>
          <cell r="D1322" t="str">
            <v>ER-RADI</v>
          </cell>
          <cell r="E1322" t="str">
            <v>AHMED</v>
          </cell>
          <cell r="F1322">
            <v>20270</v>
          </cell>
          <cell r="G1322" t="str">
            <v>1</v>
          </cell>
          <cell r="H1322" t="str">
            <v>OULED ATI OULED BHAR KBAR</v>
          </cell>
          <cell r="I1322" t="str">
            <v>F</v>
          </cell>
          <cell r="J1322">
            <v>28711</v>
          </cell>
          <cell r="K1322">
            <v>35065</v>
          </cell>
          <cell r="L1322" t="str">
            <v>42</v>
          </cell>
          <cell r="M1322" t="str">
            <v>A</v>
          </cell>
          <cell r="N1322">
            <v>35065</v>
          </cell>
          <cell r="P1322">
            <v>24</v>
          </cell>
          <cell r="Q1322" t="str">
            <v>O</v>
          </cell>
          <cell r="R1322" t="str">
            <v>O</v>
          </cell>
          <cell r="S1322">
            <v>0</v>
          </cell>
          <cell r="T1322" t="str">
            <v>M</v>
          </cell>
          <cell r="U1322" t="str">
            <v>QAIDOUR FATIMA BT MOHAMED</v>
          </cell>
          <cell r="X1322">
            <v>5</v>
          </cell>
          <cell r="Y1322">
            <v>5</v>
          </cell>
          <cell r="AB1322" t="str">
            <v>X</v>
          </cell>
          <cell r="AC1322" t="str">
            <v>X</v>
          </cell>
          <cell r="AD1322" t="str">
            <v>X</v>
          </cell>
          <cell r="AH1322" t="str">
            <v>N</v>
          </cell>
          <cell r="AI1322" t="str">
            <v>N</v>
          </cell>
          <cell r="AK1322" t="str">
            <v>49 RUE 12 DERB OULED JAAFAR EL FATH KHGA</v>
          </cell>
          <cell r="AL1322" t="str">
            <v>7 AS.SC.EXP.</v>
          </cell>
          <cell r="AM1322" t="str">
            <v>CEP.CES.EMM</v>
          </cell>
          <cell r="AP1322" t="str">
            <v>SH 20559</v>
          </cell>
          <cell r="AQ1322">
            <v>0</v>
          </cell>
          <cell r="AR1322" t="str">
            <v>B</v>
          </cell>
          <cell r="AS1322" t="str">
            <v>BMCE.KHGA</v>
          </cell>
          <cell r="AT1322" t="str">
            <v>40001200000301436</v>
          </cell>
          <cell r="AU1322" t="str">
            <v>/  /</v>
          </cell>
          <cell r="AW1322">
            <v>38534</v>
          </cell>
          <cell r="BA1322" t="str">
            <v>2</v>
          </cell>
          <cell r="BB1322">
            <v>1</v>
          </cell>
          <cell r="BD1322">
            <v>0</v>
          </cell>
          <cell r="BE1322" t="str">
            <v>M</v>
          </cell>
          <cell r="BF1322" t="str">
            <v>N</v>
          </cell>
          <cell r="BG1322">
            <v>1</v>
          </cell>
          <cell r="BH1322">
            <v>38718</v>
          </cell>
        </row>
        <row r="1323">
          <cell r="A1323">
            <v>91772</v>
          </cell>
          <cell r="B1323">
            <v>461</v>
          </cell>
          <cell r="C1323" t="str">
            <v>X6032</v>
          </cell>
          <cell r="D1323" t="str">
            <v>KHISSI</v>
          </cell>
          <cell r="E1323" t="str">
            <v>EL HOUSSAINE</v>
          </cell>
          <cell r="F1323">
            <v>19905</v>
          </cell>
          <cell r="H1323" t="str">
            <v>AIN LOUH - AZROU</v>
          </cell>
          <cell r="I1323" t="str">
            <v>F</v>
          </cell>
          <cell r="J1323">
            <v>28338</v>
          </cell>
          <cell r="K1323">
            <v>32540</v>
          </cell>
          <cell r="L1323" t="str">
            <v>52</v>
          </cell>
          <cell r="M1323" t="str">
            <v>A</v>
          </cell>
          <cell r="N1323">
            <v>32540</v>
          </cell>
          <cell r="P1323">
            <v>25</v>
          </cell>
          <cell r="Q1323" t="str">
            <v>O</v>
          </cell>
          <cell r="R1323" t="str">
            <v>N</v>
          </cell>
          <cell r="S1323">
            <v>0</v>
          </cell>
          <cell r="T1323" t="str">
            <v>M</v>
          </cell>
          <cell r="U1323" t="str">
            <v>FATIMA BT TAIBI HADDAOUI</v>
          </cell>
          <cell r="X1323">
            <v>4</v>
          </cell>
          <cell r="Y1323">
            <v>3</v>
          </cell>
          <cell r="AB1323" t="str">
            <v>X</v>
          </cell>
          <cell r="AC1323" t="str">
            <v>X</v>
          </cell>
          <cell r="AD1323" t="str">
            <v>X</v>
          </cell>
          <cell r="AH1323" t="str">
            <v>N</v>
          </cell>
          <cell r="AI1323" t="str">
            <v>O</v>
          </cell>
          <cell r="AJ1323">
            <v>35765</v>
          </cell>
          <cell r="AK1323" t="str">
            <v>346 LOTISEMENT EL HANA - KHGA</v>
          </cell>
          <cell r="AL1323" t="str">
            <v>7 A.TI</v>
          </cell>
          <cell r="AM1323" t="str">
            <v>CES.EMM.DUT.</v>
          </cell>
          <cell r="AP1323" t="str">
            <v>H 39596</v>
          </cell>
          <cell r="AQ1323">
            <v>0</v>
          </cell>
          <cell r="AR1323" t="str">
            <v>B</v>
          </cell>
          <cell r="AS1323" t="str">
            <v>C.I.H - KHGA</v>
          </cell>
          <cell r="AT1323" t="str">
            <v>9585068211004700</v>
          </cell>
          <cell r="AU1323" t="str">
            <v>/  /</v>
          </cell>
          <cell r="AW1323">
            <v>38353</v>
          </cell>
          <cell r="BA1323" t="str">
            <v>2</v>
          </cell>
          <cell r="BB1323">
            <v>1</v>
          </cell>
          <cell r="BD1323">
            <v>0</v>
          </cell>
          <cell r="BE1323" t="str">
            <v>M</v>
          </cell>
          <cell r="BF1323" t="str">
            <v>N</v>
          </cell>
          <cell r="BG1323">
            <v>5</v>
          </cell>
          <cell r="BH1323">
            <v>38353</v>
          </cell>
          <cell r="BI1323" t="str">
            <v>O</v>
          </cell>
        </row>
        <row r="1324">
          <cell r="A1324">
            <v>91783</v>
          </cell>
          <cell r="B1324">
            <v>411</v>
          </cell>
          <cell r="C1324" t="str">
            <v>X6032</v>
          </cell>
          <cell r="D1324" t="str">
            <v>LEKTEF</v>
          </cell>
          <cell r="E1324" t="str">
            <v>EL HOUSSIN</v>
          </cell>
          <cell r="F1324">
            <v>23923</v>
          </cell>
          <cell r="H1324" t="str">
            <v>SIDI KACEM</v>
          </cell>
          <cell r="I1324" t="str">
            <v>F</v>
          </cell>
          <cell r="J1324">
            <v>31677</v>
          </cell>
          <cell r="K1324">
            <v>31837</v>
          </cell>
          <cell r="L1324" t="str">
            <v>52</v>
          </cell>
          <cell r="M1324" t="str">
            <v>B</v>
          </cell>
          <cell r="N1324">
            <v>35612</v>
          </cell>
          <cell r="O1324">
            <v>0</v>
          </cell>
          <cell r="P1324">
            <v>16</v>
          </cell>
          <cell r="Q1324" t="str">
            <v>O</v>
          </cell>
          <cell r="R1324" t="str">
            <v>N</v>
          </cell>
          <cell r="S1324">
            <v>0</v>
          </cell>
          <cell r="T1324" t="str">
            <v>M</v>
          </cell>
          <cell r="U1324" t="str">
            <v>EL KAISSI SAMIRA BT DRISS</v>
          </cell>
          <cell r="X1324">
            <v>3</v>
          </cell>
          <cell r="Y1324">
            <v>3</v>
          </cell>
          <cell r="AB1324" t="str">
            <v>X</v>
          </cell>
          <cell r="AC1324" t="str">
            <v>X</v>
          </cell>
          <cell r="AD1324" t="str">
            <v>X</v>
          </cell>
          <cell r="AH1324" t="str">
            <v>N</v>
          </cell>
          <cell r="AI1324" t="str">
            <v>N</v>
          </cell>
          <cell r="AK1324" t="str">
            <v>208 LOTISSEMENT EL HANA - KHOURIBGA</v>
          </cell>
          <cell r="AL1324" t="str">
            <v>7 AS.SC.EX.</v>
          </cell>
          <cell r="AM1324" t="str">
            <v>CES.BAC.DUT</v>
          </cell>
          <cell r="AP1324" t="str">
            <v>GK 44</v>
          </cell>
          <cell r="AQ1324">
            <v>0</v>
          </cell>
          <cell r="AR1324" t="str">
            <v>B</v>
          </cell>
          <cell r="AS1324" t="str">
            <v>WAFABANK - KHOURIBGA</v>
          </cell>
          <cell r="AT1324" t="str">
            <v>1220301141841</v>
          </cell>
          <cell r="AU1324" t="str">
            <v>/  /</v>
          </cell>
          <cell r="AW1324">
            <v>41640</v>
          </cell>
          <cell r="BA1324" t="str">
            <v>2</v>
          </cell>
          <cell r="BB1324">
            <v>1</v>
          </cell>
          <cell r="BC1324" t="str">
            <v>O</v>
          </cell>
          <cell r="BD1324">
            <v>0</v>
          </cell>
          <cell r="BE1324" t="str">
            <v>M</v>
          </cell>
          <cell r="BF1324" t="str">
            <v>N</v>
          </cell>
          <cell r="BG1324">
            <v>1</v>
          </cell>
          <cell r="BH1324">
            <v>42186</v>
          </cell>
          <cell r="BI1324" t="str">
            <v>O</v>
          </cell>
        </row>
        <row r="1325">
          <cell r="A1325">
            <v>91794</v>
          </cell>
          <cell r="B1325">
            <v>466</v>
          </cell>
          <cell r="C1325" t="str">
            <v>X3050</v>
          </cell>
          <cell r="D1325" t="str">
            <v>SKHOUNI</v>
          </cell>
          <cell r="E1325" t="str">
            <v>KADDOUR</v>
          </cell>
          <cell r="F1325">
            <v>19824</v>
          </cell>
          <cell r="G1325" t="str">
            <v>2</v>
          </cell>
          <cell r="H1325" t="str">
            <v>OUED-ZEM</v>
          </cell>
          <cell r="I1325" t="str">
            <v>F</v>
          </cell>
          <cell r="J1325">
            <v>28104</v>
          </cell>
          <cell r="K1325">
            <v>31199</v>
          </cell>
          <cell r="L1325" t="str">
            <v>41</v>
          </cell>
          <cell r="M1325" t="str">
            <v>A</v>
          </cell>
          <cell r="N1325">
            <v>31199</v>
          </cell>
          <cell r="P1325">
            <v>26</v>
          </cell>
          <cell r="Q1325" t="str">
            <v>O</v>
          </cell>
          <cell r="R1325" t="str">
            <v>N</v>
          </cell>
          <cell r="S1325">
            <v>0</v>
          </cell>
          <cell r="T1325" t="str">
            <v>M</v>
          </cell>
          <cell r="U1325" t="str">
            <v>SAADAOUI FATIMA BT MOHAMED</v>
          </cell>
          <cell r="X1325">
            <v>4</v>
          </cell>
          <cell r="Y1325">
            <v>3</v>
          </cell>
          <cell r="AB1325" t="str">
            <v>X</v>
          </cell>
          <cell r="AC1325" t="str">
            <v>X</v>
          </cell>
          <cell r="AD1325" t="str">
            <v>X</v>
          </cell>
          <cell r="AH1325" t="str">
            <v>N</v>
          </cell>
          <cell r="AI1325" t="str">
            <v>N</v>
          </cell>
          <cell r="AK1325" t="str">
            <v>9 RUE 7 QUARTIER ZIDANIA - OUED ZEM</v>
          </cell>
          <cell r="AL1325" t="str">
            <v>7 AS.SC.EXP.</v>
          </cell>
          <cell r="AM1325" t="str">
            <v>CES.CFO.EMM</v>
          </cell>
          <cell r="AP1325" t="str">
            <v>Q 32686</v>
          </cell>
          <cell r="AQ1325">
            <v>0</v>
          </cell>
          <cell r="AR1325" t="str">
            <v>B</v>
          </cell>
          <cell r="AS1325" t="str">
            <v>B.M.C.I  O.ZEM</v>
          </cell>
          <cell r="AT1325" t="str">
            <v>253581086301</v>
          </cell>
          <cell r="AU1325" t="str">
            <v>/  /</v>
          </cell>
          <cell r="AW1325">
            <v>38169</v>
          </cell>
          <cell r="BA1325" t="str">
            <v>2</v>
          </cell>
          <cell r="BB1325">
            <v>1</v>
          </cell>
          <cell r="BD1325">
            <v>0</v>
          </cell>
          <cell r="BE1325" t="str">
            <v>M</v>
          </cell>
          <cell r="BF1325" t="str">
            <v>N</v>
          </cell>
          <cell r="BG1325">
            <v>31</v>
          </cell>
          <cell r="BH1325">
            <v>38169</v>
          </cell>
          <cell r="BI1325" t="str">
            <v>O</v>
          </cell>
        </row>
        <row r="1326">
          <cell r="A1326">
            <v>91804</v>
          </cell>
          <cell r="B1326">
            <v>412</v>
          </cell>
          <cell r="C1326" t="str">
            <v>X4036</v>
          </cell>
          <cell r="D1326" t="str">
            <v>EL OUARID</v>
          </cell>
          <cell r="E1326" t="str">
            <v>BENDAOUD</v>
          </cell>
          <cell r="F1326">
            <v>19175</v>
          </cell>
          <cell r="G1326" t="str">
            <v>1</v>
          </cell>
          <cell r="H1326" t="str">
            <v>OULED BHAR KBAR KHOURIBGA</v>
          </cell>
          <cell r="I1326" t="str">
            <v>D</v>
          </cell>
          <cell r="J1326">
            <v>26922</v>
          </cell>
          <cell r="K1326">
            <v>33573</v>
          </cell>
          <cell r="L1326" t="str">
            <v>42</v>
          </cell>
          <cell r="M1326" t="str">
            <v>A</v>
          </cell>
          <cell r="N1326">
            <v>33573</v>
          </cell>
          <cell r="P1326">
            <v>29</v>
          </cell>
          <cell r="Q1326" t="str">
            <v>O</v>
          </cell>
          <cell r="R1326" t="str">
            <v>N</v>
          </cell>
          <cell r="S1326">
            <v>0</v>
          </cell>
          <cell r="T1326" t="str">
            <v>M</v>
          </cell>
          <cell r="U1326" t="str">
            <v>FATNA BT ABBOU JEDDARI</v>
          </cell>
          <cell r="X1326">
            <v>6</v>
          </cell>
          <cell r="Y1326">
            <v>3</v>
          </cell>
          <cell r="AB1326" t="str">
            <v>X</v>
          </cell>
          <cell r="AC1326" t="str">
            <v>X</v>
          </cell>
          <cell r="AD1326" t="str">
            <v>X</v>
          </cell>
          <cell r="AH1326" t="str">
            <v>N</v>
          </cell>
          <cell r="AI1326" t="str">
            <v>N</v>
          </cell>
          <cell r="AK1326" t="str">
            <v>RUE LAMSSAID 97 BLOC D MASSIRA - KHGA</v>
          </cell>
          <cell r="AL1326" t="str">
            <v>6AS.SC.EXP.</v>
          </cell>
          <cell r="AM1326" t="str">
            <v>CES.CFO.EMM</v>
          </cell>
          <cell r="AP1326" t="str">
            <v>Q 7098</v>
          </cell>
          <cell r="AQ1326">
            <v>0</v>
          </cell>
          <cell r="AR1326" t="str">
            <v>B</v>
          </cell>
          <cell r="AS1326" t="str">
            <v>CRED.MAROC KHGA</v>
          </cell>
          <cell r="AT1326" t="str">
            <v>082001051085</v>
          </cell>
          <cell r="AU1326" t="str">
            <v>/  /</v>
          </cell>
          <cell r="AW1326">
            <v>37438</v>
          </cell>
          <cell r="AZ1326" t="str">
            <v>M</v>
          </cell>
          <cell r="BA1326" t="str">
            <v>2</v>
          </cell>
          <cell r="BB1326">
            <v>1</v>
          </cell>
          <cell r="BC1326" t="str">
            <v>N</v>
          </cell>
          <cell r="BD1326">
            <v>0</v>
          </cell>
          <cell r="BE1326" t="str">
            <v>M</v>
          </cell>
          <cell r="BF1326" t="str">
            <v>N</v>
          </cell>
          <cell r="BG1326">
            <v>1</v>
          </cell>
          <cell r="BH1326">
            <v>37438</v>
          </cell>
        </row>
        <row r="1327">
          <cell r="A1327">
            <v>91825</v>
          </cell>
          <cell r="B1327">
            <v>461</v>
          </cell>
          <cell r="C1327" t="str">
            <v>X3032</v>
          </cell>
          <cell r="D1327" t="str">
            <v>OULMANTICH</v>
          </cell>
          <cell r="E1327" t="str">
            <v>MOHAMED</v>
          </cell>
          <cell r="F1327">
            <v>21731</v>
          </cell>
          <cell r="H1327" t="str">
            <v>KROUCHEN - KHENIFRA</v>
          </cell>
          <cell r="I1327" t="str">
            <v>F</v>
          </cell>
          <cell r="J1327">
            <v>31985</v>
          </cell>
          <cell r="K1327">
            <v>31990</v>
          </cell>
          <cell r="L1327" t="str">
            <v>41</v>
          </cell>
          <cell r="M1327" t="str">
            <v>A</v>
          </cell>
          <cell r="N1327">
            <v>31990</v>
          </cell>
          <cell r="P1327">
            <v>15</v>
          </cell>
          <cell r="Q1327" t="str">
            <v>O</v>
          </cell>
          <cell r="R1327" t="str">
            <v>N</v>
          </cell>
          <cell r="S1327">
            <v>0</v>
          </cell>
          <cell r="T1327" t="str">
            <v>M</v>
          </cell>
          <cell r="U1327" t="str">
            <v>RAISS AICHA BENT EL ARBI</v>
          </cell>
          <cell r="X1327">
            <v>3</v>
          </cell>
          <cell r="Y1327">
            <v>3</v>
          </cell>
          <cell r="Z1327" t="str">
            <v>N</v>
          </cell>
          <cell r="AB1327" t="str">
            <v>X</v>
          </cell>
          <cell r="AC1327" t="str">
            <v>X</v>
          </cell>
          <cell r="AD1327" t="str">
            <v>X</v>
          </cell>
          <cell r="AE1327" t="str">
            <v>MINI.EDUC.NAT.</v>
          </cell>
          <cell r="AH1327" t="str">
            <v>O</v>
          </cell>
          <cell r="AI1327" t="str">
            <v>N</v>
          </cell>
          <cell r="AK1327" t="str">
            <v>21 RUE EL JORF LASFAR VILLE O.C.P  KHGA</v>
          </cell>
          <cell r="AL1327" t="str">
            <v>7 AS</v>
          </cell>
          <cell r="AM1327" t="str">
            <v>CEP.CES.ITA.EMM</v>
          </cell>
          <cell r="AP1327" t="str">
            <v>V 28189</v>
          </cell>
          <cell r="AQ1327">
            <v>0</v>
          </cell>
          <cell r="AR1327" t="str">
            <v>B</v>
          </cell>
          <cell r="AS1327" t="str">
            <v>POPULAIRE.KHGA</v>
          </cell>
          <cell r="AT1327" t="str">
            <v>2111112890120004</v>
          </cell>
          <cell r="AU1327" t="str">
            <v>/  /</v>
          </cell>
          <cell r="AW1327">
            <v>41821</v>
          </cell>
          <cell r="BA1327" t="str">
            <v>2</v>
          </cell>
          <cell r="BB1327">
            <v>1</v>
          </cell>
          <cell r="BD1327">
            <v>0</v>
          </cell>
          <cell r="BE1327" t="str">
            <v>M</v>
          </cell>
          <cell r="BG1327">
            <v>4</v>
          </cell>
          <cell r="BH1327">
            <v>41821</v>
          </cell>
        </row>
        <row r="1328">
          <cell r="A1328">
            <v>91829</v>
          </cell>
          <cell r="B1328">
            <v>461</v>
          </cell>
          <cell r="C1328" t="str">
            <v>X4032</v>
          </cell>
          <cell r="D1328" t="str">
            <v>MOKHLIS</v>
          </cell>
          <cell r="E1328" t="str">
            <v>ABDELJALIL</v>
          </cell>
          <cell r="F1328">
            <v>22780</v>
          </cell>
          <cell r="G1328" t="str">
            <v>1</v>
          </cell>
          <cell r="H1328" t="str">
            <v>KHOURIBGA</v>
          </cell>
          <cell r="I1328" t="str">
            <v>F</v>
          </cell>
          <cell r="J1328">
            <v>31985</v>
          </cell>
          <cell r="K1328">
            <v>36526</v>
          </cell>
          <cell r="L1328" t="str">
            <v>42</v>
          </cell>
          <cell r="M1328" t="str">
            <v>A</v>
          </cell>
          <cell r="N1328">
            <v>36526</v>
          </cell>
          <cell r="P1328">
            <v>15</v>
          </cell>
          <cell r="Q1328" t="str">
            <v>O</v>
          </cell>
          <cell r="R1328" t="str">
            <v>N</v>
          </cell>
          <cell r="S1328">
            <v>0</v>
          </cell>
          <cell r="T1328" t="str">
            <v>M</v>
          </cell>
          <cell r="U1328" t="str">
            <v>BADRAOUI FATIHA</v>
          </cell>
          <cell r="X1328">
            <v>3</v>
          </cell>
          <cell r="Y1328">
            <v>3</v>
          </cell>
          <cell r="AB1328" t="str">
            <v>X</v>
          </cell>
          <cell r="AC1328" t="str">
            <v>X</v>
          </cell>
          <cell r="AD1328" t="str">
            <v>X</v>
          </cell>
          <cell r="AH1328" t="str">
            <v>O</v>
          </cell>
          <cell r="AI1328" t="str">
            <v>N</v>
          </cell>
          <cell r="AK1328" t="str">
            <v>37 BLOC 8 NVX LOG. O.C.P. - KHOURIBGA</v>
          </cell>
          <cell r="AL1328" t="str">
            <v>7 AS.SC.EX.</v>
          </cell>
          <cell r="AM1328" t="str">
            <v>CEP.CES.BAC SC EX.ITA.EMM</v>
          </cell>
          <cell r="AP1328" t="str">
            <v>Q 89690</v>
          </cell>
          <cell r="AQ1328">
            <v>0</v>
          </cell>
          <cell r="AR1328" t="str">
            <v>B</v>
          </cell>
          <cell r="AS1328" t="str">
            <v>B.M.C.E - KHGA</v>
          </cell>
          <cell r="AT1328" t="str">
            <v>40001200000992367</v>
          </cell>
          <cell r="AU1328" t="str">
            <v>/  /</v>
          </cell>
          <cell r="AW1328">
            <v>42005</v>
          </cell>
          <cell r="BA1328" t="str">
            <v>2</v>
          </cell>
          <cell r="BB1328">
            <v>1</v>
          </cell>
          <cell r="BC1328" t="str">
            <v>O</v>
          </cell>
          <cell r="BD1328">
            <v>0</v>
          </cell>
          <cell r="BE1328" t="str">
            <v>M</v>
          </cell>
          <cell r="BF1328" t="str">
            <v>N</v>
          </cell>
          <cell r="BG1328">
            <v>5</v>
          </cell>
          <cell r="BH1328">
            <v>42005</v>
          </cell>
        </row>
        <row r="1329">
          <cell r="A1329">
            <v>91830</v>
          </cell>
          <cell r="B1329">
            <v>409</v>
          </cell>
          <cell r="C1329" t="str">
            <v>X3032</v>
          </cell>
          <cell r="D1329" t="str">
            <v>RABHAOUI</v>
          </cell>
          <cell r="E1329" t="str">
            <v>BRAHIM</v>
          </cell>
          <cell r="F1329">
            <v>22097</v>
          </cell>
          <cell r="H1329" t="str">
            <v>BENI MELLAL</v>
          </cell>
          <cell r="I1329" t="str">
            <v>F</v>
          </cell>
          <cell r="J1329">
            <v>31985</v>
          </cell>
          <cell r="K1329">
            <v>31990</v>
          </cell>
          <cell r="L1329" t="str">
            <v>41</v>
          </cell>
          <cell r="M1329" t="str">
            <v>A</v>
          </cell>
          <cell r="N1329">
            <v>31990</v>
          </cell>
          <cell r="P1329">
            <v>15</v>
          </cell>
          <cell r="Q1329" t="str">
            <v>O</v>
          </cell>
          <cell r="R1329" t="str">
            <v>N</v>
          </cell>
          <cell r="S1329">
            <v>0</v>
          </cell>
          <cell r="T1329" t="str">
            <v>M</v>
          </cell>
          <cell r="U1329" t="str">
            <v>CHAMMAA JAMAA</v>
          </cell>
          <cell r="X1329">
            <v>4</v>
          </cell>
          <cell r="Y1329">
            <v>4</v>
          </cell>
          <cell r="AB1329" t="str">
            <v>X</v>
          </cell>
          <cell r="AC1329" t="str">
            <v>X</v>
          </cell>
          <cell r="AD1329" t="str">
            <v>X</v>
          </cell>
          <cell r="AH1329" t="str">
            <v>O</v>
          </cell>
          <cell r="AI1329" t="str">
            <v>N</v>
          </cell>
          <cell r="AK1329" t="str">
            <v>1,RUE OULMES  OCP   KHOURIBGA</v>
          </cell>
          <cell r="AL1329" t="str">
            <v>7 AS.SC.</v>
          </cell>
          <cell r="AM1329" t="str">
            <v>CEP.CES.ITA.EMM</v>
          </cell>
          <cell r="AO1329" t="str">
            <v>1746</v>
          </cell>
          <cell r="AP1329" t="str">
            <v>I 92974</v>
          </cell>
          <cell r="AQ1329">
            <v>0</v>
          </cell>
          <cell r="AR1329" t="str">
            <v>B</v>
          </cell>
          <cell r="AS1329" t="str">
            <v>S.G.M.B - KHGA</v>
          </cell>
          <cell r="AT1329" t="str">
            <v>0670009207255</v>
          </cell>
          <cell r="AU1329" t="str">
            <v>/  /</v>
          </cell>
          <cell r="AW1329">
            <v>42005</v>
          </cell>
          <cell r="BA1329" t="str">
            <v>2</v>
          </cell>
          <cell r="BB1329">
            <v>1</v>
          </cell>
          <cell r="BD1329">
            <v>0</v>
          </cell>
          <cell r="BE1329" t="str">
            <v>M</v>
          </cell>
          <cell r="BF1329" t="str">
            <v>N</v>
          </cell>
          <cell r="BG1329">
            <v>1</v>
          </cell>
          <cell r="BH1329">
            <v>42005</v>
          </cell>
        </row>
        <row r="1330">
          <cell r="A1330">
            <v>91835</v>
          </cell>
          <cell r="B1330">
            <v>464</v>
          </cell>
          <cell r="C1330" t="str">
            <v>X3210</v>
          </cell>
          <cell r="D1330" t="str">
            <v>EL HABHOUB</v>
          </cell>
          <cell r="E1330" t="str">
            <v>ECH-CHERKI</v>
          </cell>
          <cell r="F1330">
            <v>22412</v>
          </cell>
          <cell r="G1330" t="str">
            <v>1</v>
          </cell>
          <cell r="H1330" t="str">
            <v>KHOURIBGA</v>
          </cell>
          <cell r="I1330" t="str">
            <v>F</v>
          </cell>
          <cell r="J1330">
            <v>31985</v>
          </cell>
          <cell r="K1330">
            <v>31990</v>
          </cell>
          <cell r="L1330" t="str">
            <v>41</v>
          </cell>
          <cell r="M1330" t="str">
            <v>A</v>
          </cell>
          <cell r="N1330">
            <v>31990</v>
          </cell>
          <cell r="P1330">
            <v>15</v>
          </cell>
          <cell r="Q1330" t="str">
            <v>O</v>
          </cell>
          <cell r="R1330" t="str">
            <v>N</v>
          </cell>
          <cell r="S1330">
            <v>0</v>
          </cell>
          <cell r="T1330" t="str">
            <v>M</v>
          </cell>
          <cell r="U1330" t="str">
            <v>HABIBA BT EL HOUSSINE HIRABI</v>
          </cell>
          <cell r="X1330">
            <v>6</v>
          </cell>
          <cell r="Y1330">
            <v>4</v>
          </cell>
          <cell r="AB1330" t="str">
            <v>X</v>
          </cell>
          <cell r="AC1330" t="str">
            <v>X</v>
          </cell>
          <cell r="AD1330" t="str">
            <v>X</v>
          </cell>
          <cell r="AH1330" t="str">
            <v>N</v>
          </cell>
          <cell r="AI1330" t="str">
            <v>N</v>
          </cell>
          <cell r="AK1330" t="str">
            <v>5 IMM.4 RUE ASNI IMAM MALIK EL FATH KHGA</v>
          </cell>
          <cell r="AL1330" t="str">
            <v>7 AS.SC.EXP.</v>
          </cell>
          <cell r="AM1330" t="str">
            <v>CEP.ITA.EMM</v>
          </cell>
          <cell r="AP1330" t="str">
            <v>Q 108618</v>
          </cell>
          <cell r="AQ1330">
            <v>0</v>
          </cell>
          <cell r="AR1330" t="str">
            <v>B</v>
          </cell>
          <cell r="AS1330" t="str">
            <v>BMCE.KHGA</v>
          </cell>
          <cell r="AT1330" t="str">
            <v>40001200000622894</v>
          </cell>
          <cell r="AU1330" t="str">
            <v>/  /</v>
          </cell>
          <cell r="AW1330">
            <v>42005</v>
          </cell>
          <cell r="BA1330" t="str">
            <v>2</v>
          </cell>
          <cell r="BB1330">
            <v>1</v>
          </cell>
          <cell r="BC1330" t="str">
            <v>O</v>
          </cell>
          <cell r="BD1330">
            <v>0</v>
          </cell>
          <cell r="BE1330" t="str">
            <v>M</v>
          </cell>
          <cell r="BF1330" t="str">
            <v>N</v>
          </cell>
          <cell r="BG1330">
            <v>5</v>
          </cell>
          <cell r="BH1330">
            <v>42005</v>
          </cell>
        </row>
        <row r="1331">
          <cell r="A1331">
            <v>91836</v>
          </cell>
          <cell r="B1331">
            <v>414</v>
          </cell>
          <cell r="C1331" t="str">
            <v>X3210</v>
          </cell>
          <cell r="D1331" t="str">
            <v>ES-SAHEL</v>
          </cell>
          <cell r="E1331" t="str">
            <v>EL MOSTAFA</v>
          </cell>
          <cell r="F1331">
            <v>22629</v>
          </cell>
          <cell r="G1331" t="str">
            <v>1</v>
          </cell>
          <cell r="H1331" t="str">
            <v>KHOURIBGA</v>
          </cell>
          <cell r="I1331" t="str">
            <v>F</v>
          </cell>
          <cell r="J1331">
            <v>31985</v>
          </cell>
          <cell r="K1331">
            <v>31990</v>
          </cell>
          <cell r="L1331" t="str">
            <v>41</v>
          </cell>
          <cell r="M1331" t="str">
            <v>A</v>
          </cell>
          <cell r="N1331">
            <v>31990</v>
          </cell>
          <cell r="P1331">
            <v>15</v>
          </cell>
          <cell r="Q1331" t="str">
            <v>O</v>
          </cell>
          <cell r="R1331" t="str">
            <v>N</v>
          </cell>
          <cell r="S1331">
            <v>0</v>
          </cell>
          <cell r="T1331" t="str">
            <v>M</v>
          </cell>
          <cell r="U1331" t="str">
            <v>HALHAL MERYEM BENT MOHAMED</v>
          </cell>
          <cell r="X1331">
            <v>0</v>
          </cell>
          <cell r="Y1331">
            <v>0</v>
          </cell>
          <cell r="Z1331" t="str">
            <v>N</v>
          </cell>
          <cell r="AB1331" t="str">
            <v>N</v>
          </cell>
          <cell r="AC1331" t="str">
            <v>X</v>
          </cell>
          <cell r="AD1331" t="str">
            <v>X</v>
          </cell>
          <cell r="AH1331" t="str">
            <v>O</v>
          </cell>
          <cell r="AI1331" t="str">
            <v>N</v>
          </cell>
          <cell r="AK1331" t="str">
            <v>12 RUE OUM ER-RABIA O.C.P - KHOURIBGA</v>
          </cell>
          <cell r="AL1331" t="str">
            <v>7 AS.SC.EX</v>
          </cell>
          <cell r="AM1331" t="str">
            <v>CEP.CES.ITA.EMM</v>
          </cell>
          <cell r="AP1331" t="str">
            <v>Q 101380</v>
          </cell>
          <cell r="AQ1331">
            <v>0</v>
          </cell>
          <cell r="AR1331" t="str">
            <v>B</v>
          </cell>
          <cell r="AS1331" t="str">
            <v>BMCE.KHGA</v>
          </cell>
          <cell r="AT1331" t="str">
            <v>4000120000625319</v>
          </cell>
          <cell r="AU1331" t="str">
            <v>/  /</v>
          </cell>
          <cell r="AW1331">
            <v>42005</v>
          </cell>
          <cell r="BA1331" t="str">
            <v>6</v>
          </cell>
          <cell r="BB1331">
            <v>0</v>
          </cell>
          <cell r="BD1331">
            <v>0</v>
          </cell>
          <cell r="BE1331" t="str">
            <v>M</v>
          </cell>
          <cell r="BG1331">
            <v>1</v>
          </cell>
          <cell r="BH1331">
            <v>42005</v>
          </cell>
        </row>
        <row r="1332">
          <cell r="A1332">
            <v>91837</v>
          </cell>
          <cell r="B1332">
            <v>414</v>
          </cell>
          <cell r="C1332" t="str">
            <v>X3210</v>
          </cell>
          <cell r="D1332" t="str">
            <v>HICHAM</v>
          </cell>
          <cell r="E1332" t="str">
            <v>ABDERRAHIM</v>
          </cell>
          <cell r="F1332">
            <v>22973</v>
          </cell>
          <cell r="H1332" t="str">
            <v>OD. ARIF SIDI AISSA B.MELLAL</v>
          </cell>
          <cell r="I1332" t="str">
            <v>F</v>
          </cell>
          <cell r="J1332">
            <v>31985</v>
          </cell>
          <cell r="K1332">
            <v>31990</v>
          </cell>
          <cell r="L1332" t="str">
            <v>41</v>
          </cell>
          <cell r="M1332" t="str">
            <v>A</v>
          </cell>
          <cell r="N1332">
            <v>31990</v>
          </cell>
          <cell r="P1332">
            <v>15</v>
          </cell>
          <cell r="Q1332" t="str">
            <v>O</v>
          </cell>
          <cell r="R1332" t="str">
            <v>N</v>
          </cell>
          <cell r="S1332">
            <v>0</v>
          </cell>
          <cell r="T1332" t="str">
            <v>M</v>
          </cell>
          <cell r="U1332" t="str">
            <v>EL ASRI FOUZIA</v>
          </cell>
          <cell r="X1332">
            <v>2</v>
          </cell>
          <cell r="Y1332">
            <v>2</v>
          </cell>
          <cell r="AB1332" t="str">
            <v>X</v>
          </cell>
          <cell r="AC1332" t="str">
            <v>X</v>
          </cell>
          <cell r="AD1332" t="str">
            <v>X</v>
          </cell>
          <cell r="AH1332" t="str">
            <v>O</v>
          </cell>
          <cell r="AI1332" t="str">
            <v>N</v>
          </cell>
          <cell r="AK1332" t="str">
            <v>36,RUE EL ANOUAR  O.C.P  KHOURIBGA</v>
          </cell>
          <cell r="AL1332" t="str">
            <v>7 AS.SC.EXP.</v>
          </cell>
          <cell r="AM1332" t="str">
            <v>CEP.CES.ITA.EMM</v>
          </cell>
          <cell r="AP1332" t="str">
            <v>Q 98479</v>
          </cell>
          <cell r="AQ1332">
            <v>0</v>
          </cell>
          <cell r="AR1332" t="str">
            <v>B</v>
          </cell>
          <cell r="AS1332" t="str">
            <v>BMCE.KHGA</v>
          </cell>
          <cell r="AT1332" t="str">
            <v>40001200000639675</v>
          </cell>
          <cell r="AU1332" t="str">
            <v>/  /</v>
          </cell>
          <cell r="AW1332">
            <v>42005</v>
          </cell>
          <cell r="BA1332" t="str">
            <v>2</v>
          </cell>
          <cell r="BB1332">
            <v>1</v>
          </cell>
          <cell r="BD1332">
            <v>0</v>
          </cell>
          <cell r="BE1332" t="str">
            <v>M</v>
          </cell>
          <cell r="BF1332" t="str">
            <v>N</v>
          </cell>
          <cell r="BG1332">
            <v>1</v>
          </cell>
          <cell r="BH1332">
            <v>42005</v>
          </cell>
        </row>
        <row r="1333">
          <cell r="A1333">
            <v>91839</v>
          </cell>
          <cell r="B1333">
            <v>464</v>
          </cell>
          <cell r="C1333" t="str">
            <v>X3210</v>
          </cell>
          <cell r="D1333" t="str">
            <v>MEJJAD</v>
          </cell>
          <cell r="E1333" t="str">
            <v>BOUBKER</v>
          </cell>
          <cell r="F1333">
            <v>22097</v>
          </cell>
          <cell r="G1333" t="str">
            <v>6</v>
          </cell>
          <cell r="H1333" t="str">
            <v>M'FASSIS - KHOURIBGA</v>
          </cell>
          <cell r="I1333" t="str">
            <v>F</v>
          </cell>
          <cell r="J1333">
            <v>31985</v>
          </cell>
          <cell r="K1333">
            <v>31990</v>
          </cell>
          <cell r="L1333" t="str">
            <v>41</v>
          </cell>
          <cell r="M1333" t="str">
            <v>A</v>
          </cell>
          <cell r="N1333">
            <v>31990</v>
          </cell>
          <cell r="P1333">
            <v>15</v>
          </cell>
          <cell r="Q1333" t="str">
            <v>O</v>
          </cell>
          <cell r="R1333" t="str">
            <v>N</v>
          </cell>
          <cell r="S1333">
            <v>0</v>
          </cell>
          <cell r="T1333" t="str">
            <v>M</v>
          </cell>
          <cell r="U1333" t="str">
            <v>ALFA RAHMA BT KHALIFA</v>
          </cell>
          <cell r="X1333">
            <v>2</v>
          </cell>
          <cell r="Y1333">
            <v>2</v>
          </cell>
          <cell r="Z1333" t="str">
            <v>N</v>
          </cell>
          <cell r="AB1333" t="str">
            <v>X</v>
          </cell>
          <cell r="AC1333" t="str">
            <v>X</v>
          </cell>
          <cell r="AD1333" t="str">
            <v>X</v>
          </cell>
          <cell r="AE1333" t="str">
            <v>M. AGRICULTURE</v>
          </cell>
          <cell r="AH1333" t="str">
            <v>O</v>
          </cell>
          <cell r="AI1333" t="str">
            <v>N</v>
          </cell>
          <cell r="AK1333" t="str">
            <v>15 BLOC 26 NX LOGEMENTS OCP KHOURIBGA</v>
          </cell>
          <cell r="AL1333" t="str">
            <v>7 AS.SC.EX.</v>
          </cell>
          <cell r="AM1333" t="str">
            <v>CEP.CES.BAC SC-EX.ITA.EMM</v>
          </cell>
          <cell r="AP1333" t="str">
            <v>Q 66274</v>
          </cell>
          <cell r="AQ1333">
            <v>0</v>
          </cell>
          <cell r="AR1333" t="str">
            <v>B</v>
          </cell>
          <cell r="AS1333" t="str">
            <v>BMCE.KHOURIBGA</v>
          </cell>
          <cell r="AT1333" t="str">
            <v>40001200000624834</v>
          </cell>
          <cell r="AU1333" t="str">
            <v>/  /</v>
          </cell>
          <cell r="AW1333">
            <v>42005</v>
          </cell>
          <cell r="BA1333" t="str">
            <v>2</v>
          </cell>
          <cell r="BB1333">
            <v>1</v>
          </cell>
          <cell r="BC1333" t="str">
            <v>O</v>
          </cell>
          <cell r="BD1333">
            <v>0</v>
          </cell>
          <cell r="BE1333" t="str">
            <v>M</v>
          </cell>
          <cell r="BG1333">
            <v>5</v>
          </cell>
          <cell r="BH1333">
            <v>42005</v>
          </cell>
          <cell r="BI1333" t="str">
            <v>O</v>
          </cell>
        </row>
        <row r="1334">
          <cell r="A1334">
            <v>91840</v>
          </cell>
          <cell r="B1334">
            <v>464</v>
          </cell>
          <cell r="C1334" t="str">
            <v>X3210</v>
          </cell>
          <cell r="D1334" t="str">
            <v>OUACHCHAM</v>
          </cell>
          <cell r="E1334" t="str">
            <v>EL HOUSSINE</v>
          </cell>
          <cell r="F1334">
            <v>21174</v>
          </cell>
          <cell r="G1334" t="str">
            <v>1</v>
          </cell>
          <cell r="H1334" t="str">
            <v>OULED BHAR SGHAR KHOURIBGA</v>
          </cell>
          <cell r="I1334" t="str">
            <v>F</v>
          </cell>
          <cell r="J1334">
            <v>31985</v>
          </cell>
          <cell r="K1334">
            <v>31990</v>
          </cell>
          <cell r="L1334" t="str">
            <v>41</v>
          </cell>
          <cell r="M1334" t="str">
            <v>A</v>
          </cell>
          <cell r="N1334">
            <v>31990</v>
          </cell>
          <cell r="P1334">
            <v>15</v>
          </cell>
          <cell r="Q1334" t="str">
            <v>O</v>
          </cell>
          <cell r="R1334" t="str">
            <v>N</v>
          </cell>
          <cell r="S1334">
            <v>0</v>
          </cell>
          <cell r="T1334" t="str">
            <v>M</v>
          </cell>
          <cell r="U1334" t="str">
            <v>MACHROUH FATIMA BT ABDELLAH</v>
          </cell>
          <cell r="X1334">
            <v>3</v>
          </cell>
          <cell r="Y1334">
            <v>3</v>
          </cell>
          <cell r="AB1334" t="str">
            <v>X</v>
          </cell>
          <cell r="AC1334" t="str">
            <v>X</v>
          </cell>
          <cell r="AD1334" t="str">
            <v>X</v>
          </cell>
          <cell r="AH1334" t="str">
            <v>O</v>
          </cell>
          <cell r="AI1334" t="str">
            <v>N</v>
          </cell>
          <cell r="AK1334" t="str">
            <v>11 BLOC 3 NX LOGEMENTS OCP KHOURIBGA</v>
          </cell>
          <cell r="AL1334" t="str">
            <v>7 AS.SC.EXP.</v>
          </cell>
          <cell r="AM1334" t="str">
            <v>CEP.CES.ITA.EMM</v>
          </cell>
          <cell r="AP1334" t="str">
            <v>Q 64871</v>
          </cell>
          <cell r="AQ1334">
            <v>0</v>
          </cell>
          <cell r="AR1334" t="str">
            <v>B</v>
          </cell>
          <cell r="AS1334" t="str">
            <v>BMCE.KHGA</v>
          </cell>
          <cell r="AT1334" t="str">
            <v>40001200000623282</v>
          </cell>
          <cell r="AU1334" t="str">
            <v>/  /</v>
          </cell>
          <cell r="AW1334">
            <v>41275</v>
          </cell>
          <cell r="AZ1334" t="str">
            <v>R</v>
          </cell>
          <cell r="BA1334" t="str">
            <v>2</v>
          </cell>
          <cell r="BB1334">
            <v>1</v>
          </cell>
          <cell r="BC1334" t="str">
            <v>O</v>
          </cell>
          <cell r="BD1334">
            <v>0</v>
          </cell>
          <cell r="BE1334" t="str">
            <v>M</v>
          </cell>
          <cell r="BG1334">
            <v>5</v>
          </cell>
          <cell r="BH1334">
            <v>41456</v>
          </cell>
        </row>
        <row r="1335">
          <cell r="A1335">
            <v>91841</v>
          </cell>
          <cell r="B1335">
            <v>414</v>
          </cell>
          <cell r="C1335" t="str">
            <v>X4210</v>
          </cell>
          <cell r="D1335" t="str">
            <v>ZOUAOUI</v>
          </cell>
          <cell r="E1335" t="str">
            <v>LARBI</v>
          </cell>
          <cell r="F1335">
            <v>21731</v>
          </cell>
          <cell r="H1335" t="str">
            <v>BEN AHMED - SETTAT</v>
          </cell>
          <cell r="I1335" t="str">
            <v>F</v>
          </cell>
          <cell r="J1335">
            <v>31985</v>
          </cell>
          <cell r="K1335">
            <v>33573</v>
          </cell>
          <cell r="L1335" t="str">
            <v>42</v>
          </cell>
          <cell r="M1335" t="str">
            <v>A</v>
          </cell>
          <cell r="N1335">
            <v>33573</v>
          </cell>
          <cell r="P1335">
            <v>15</v>
          </cell>
          <cell r="Q1335" t="str">
            <v>O</v>
          </cell>
          <cell r="R1335" t="str">
            <v>N</v>
          </cell>
          <cell r="S1335">
            <v>0</v>
          </cell>
          <cell r="T1335" t="str">
            <v>M</v>
          </cell>
          <cell r="U1335" t="str">
            <v>AIT EL FAHIM KHADIJA BT HOUSSA</v>
          </cell>
          <cell r="X1335">
            <v>3</v>
          </cell>
          <cell r="Y1335">
            <v>3</v>
          </cell>
          <cell r="AB1335" t="str">
            <v>X</v>
          </cell>
          <cell r="AC1335" t="str">
            <v>X</v>
          </cell>
          <cell r="AD1335" t="str">
            <v>X</v>
          </cell>
          <cell r="AH1335" t="str">
            <v>O</v>
          </cell>
          <cell r="AI1335" t="str">
            <v>N</v>
          </cell>
          <cell r="AK1335" t="str">
            <v>7 RUE OUED EL MAKHAZINE O.C.P - KHGA</v>
          </cell>
          <cell r="AL1335" t="str">
            <v>7 AS.SC-EX.</v>
          </cell>
          <cell r="AM1335" t="str">
            <v>CEP.CES.ITA.EMM</v>
          </cell>
          <cell r="AP1335" t="str">
            <v>W 46926</v>
          </cell>
          <cell r="AQ1335">
            <v>0</v>
          </cell>
          <cell r="AR1335" t="str">
            <v>B</v>
          </cell>
          <cell r="AS1335" t="str">
            <v>CR.MAROC - KHGA</v>
          </cell>
          <cell r="AT1335" t="str">
            <v>082001048507</v>
          </cell>
          <cell r="AU1335" t="str">
            <v>/  /</v>
          </cell>
          <cell r="AW1335">
            <v>41821</v>
          </cell>
          <cell r="AZ1335" t="str">
            <v>M</v>
          </cell>
          <cell r="BA1335" t="str">
            <v>2</v>
          </cell>
          <cell r="BB1335">
            <v>0</v>
          </cell>
          <cell r="BC1335" t="str">
            <v>N</v>
          </cell>
          <cell r="BD1335">
            <v>0</v>
          </cell>
          <cell r="BE1335" t="str">
            <v>M</v>
          </cell>
          <cell r="BG1335">
            <v>1</v>
          </cell>
          <cell r="BH1335">
            <v>41821</v>
          </cell>
        </row>
        <row r="1336">
          <cell r="A1336">
            <v>91851</v>
          </cell>
          <cell r="B1336">
            <v>423</v>
          </cell>
          <cell r="C1336" t="str">
            <v>X4210</v>
          </cell>
          <cell r="D1336" t="str">
            <v>BOUADEL</v>
          </cell>
          <cell r="E1336" t="str">
            <v>EL MATI</v>
          </cell>
          <cell r="F1336">
            <v>19540</v>
          </cell>
          <cell r="G1336" t="str">
            <v>2</v>
          </cell>
          <cell r="H1336" t="str">
            <v>OUED-ZEM</v>
          </cell>
          <cell r="I1336" t="str">
            <v>F</v>
          </cell>
          <cell r="J1336">
            <v>28103</v>
          </cell>
          <cell r="K1336">
            <v>35065</v>
          </cell>
          <cell r="L1336" t="str">
            <v>42</v>
          </cell>
          <cell r="M1336" t="str">
            <v>A</v>
          </cell>
          <cell r="N1336">
            <v>35065</v>
          </cell>
          <cell r="O1336">
            <v>0</v>
          </cell>
          <cell r="P1336">
            <v>26</v>
          </cell>
          <cell r="Q1336" t="str">
            <v>O</v>
          </cell>
          <cell r="R1336" t="str">
            <v>N</v>
          </cell>
          <cell r="S1336">
            <v>0</v>
          </cell>
          <cell r="T1336" t="str">
            <v>M</v>
          </cell>
          <cell r="U1336" t="str">
            <v>AICHA BT BENDAOUD BOUADEL</v>
          </cell>
          <cell r="X1336">
            <v>4</v>
          </cell>
          <cell r="Y1336">
            <v>3</v>
          </cell>
          <cell r="AB1336" t="str">
            <v>X</v>
          </cell>
          <cell r="AC1336" t="str">
            <v>X</v>
          </cell>
          <cell r="AD1336" t="str">
            <v>X</v>
          </cell>
          <cell r="AH1336" t="str">
            <v>N</v>
          </cell>
          <cell r="AI1336" t="str">
            <v>N</v>
          </cell>
          <cell r="AK1336" t="str">
            <v>137 RUE OUED EDDAHAB KOREA - OUED ZEM</v>
          </cell>
          <cell r="AL1336" t="str">
            <v>7 AS.SC-EX.</v>
          </cell>
          <cell r="AM1336" t="str">
            <v>CEP.CES.CFO.EMM</v>
          </cell>
          <cell r="AP1336" t="str">
            <v>Q 36092</v>
          </cell>
          <cell r="AQ1336">
            <v>0</v>
          </cell>
          <cell r="AR1336" t="str">
            <v>B</v>
          </cell>
          <cell r="AS1336" t="str">
            <v>POPULAIRE O.ZEM</v>
          </cell>
          <cell r="AT1336" t="str">
            <v>2111136253370005</v>
          </cell>
          <cell r="AU1336" t="str">
            <v>/  /</v>
          </cell>
          <cell r="AW1336">
            <v>37987</v>
          </cell>
          <cell r="BA1336" t="str">
            <v>2</v>
          </cell>
          <cell r="BB1336">
            <v>1</v>
          </cell>
          <cell r="BD1336">
            <v>0</v>
          </cell>
          <cell r="BE1336" t="str">
            <v>M</v>
          </cell>
          <cell r="BF1336" t="str">
            <v>N</v>
          </cell>
          <cell r="BG1336">
            <v>31</v>
          </cell>
          <cell r="BH1336">
            <v>38169</v>
          </cell>
          <cell r="BI1336" t="str">
            <v>O</v>
          </cell>
        </row>
        <row r="1337">
          <cell r="A1337">
            <v>68160</v>
          </cell>
          <cell r="B1337">
            <v>410</v>
          </cell>
          <cell r="C1337" t="str">
            <v>X2156</v>
          </cell>
          <cell r="D1337" t="str">
            <v>JOREICHE</v>
          </cell>
          <cell r="E1337" t="str">
            <v>MOHAMED</v>
          </cell>
          <cell r="F1337">
            <v>20636</v>
          </cell>
          <cell r="H1337" t="str">
            <v>KASBAT TADLA</v>
          </cell>
          <cell r="I1337" t="str">
            <v>D</v>
          </cell>
          <cell r="J1337">
            <v>27683</v>
          </cell>
          <cell r="K1337">
            <v>36526</v>
          </cell>
          <cell r="L1337" t="str">
            <v>33</v>
          </cell>
          <cell r="M1337" t="str">
            <v>A</v>
          </cell>
          <cell r="N1337">
            <v>36526</v>
          </cell>
          <cell r="P1337">
            <v>27</v>
          </cell>
          <cell r="Q1337" t="str">
            <v>O</v>
          </cell>
          <cell r="R1337" t="str">
            <v>N</v>
          </cell>
          <cell r="S1337">
            <v>0</v>
          </cell>
          <cell r="T1337" t="str">
            <v>M</v>
          </cell>
          <cell r="U1337" t="str">
            <v>OBBAD ES-SAADIA BT OMAR</v>
          </cell>
          <cell r="X1337">
            <v>5</v>
          </cell>
          <cell r="Y1337">
            <v>3</v>
          </cell>
          <cell r="AB1337" t="str">
            <v>X</v>
          </cell>
          <cell r="AC1337" t="str">
            <v>X</v>
          </cell>
          <cell r="AD1337" t="str">
            <v>X</v>
          </cell>
          <cell r="AH1337" t="str">
            <v>N</v>
          </cell>
          <cell r="AI1337" t="str">
            <v>N</v>
          </cell>
          <cell r="AK1337" t="str">
            <v>117,NELLE CONSTRUCTION DE SECHAGE KHGA</v>
          </cell>
          <cell r="AL1337" t="str">
            <v>4 AS</v>
          </cell>
          <cell r="AP1337" t="str">
            <v>Q 99024</v>
          </cell>
          <cell r="AQ1337">
            <v>0</v>
          </cell>
          <cell r="AR1337" t="str">
            <v>B</v>
          </cell>
          <cell r="AS1337" t="str">
            <v>B.M.C.I - KHGA</v>
          </cell>
          <cell r="AT1337" t="str">
            <v>02820976601301</v>
          </cell>
          <cell r="AU1337" t="str">
            <v>/  /</v>
          </cell>
          <cell r="AW1337">
            <v>38899</v>
          </cell>
          <cell r="BA1337" t="str">
            <v>6</v>
          </cell>
          <cell r="BB1337">
            <v>1</v>
          </cell>
          <cell r="BD1337">
            <v>0</v>
          </cell>
          <cell r="BE1337" t="str">
            <v>M</v>
          </cell>
          <cell r="BF1337" t="str">
            <v>N</v>
          </cell>
          <cell r="BG1337">
            <v>1</v>
          </cell>
          <cell r="BH1337">
            <v>38899</v>
          </cell>
        </row>
        <row r="1338">
          <cell r="A1338">
            <v>95550</v>
          </cell>
          <cell r="B1338">
            <v>403</v>
          </cell>
          <cell r="C1338" t="str">
            <v>X2550</v>
          </cell>
          <cell r="D1338" t="str">
            <v>LATIF</v>
          </cell>
          <cell r="E1338" t="str">
            <v>AZZEDDINE</v>
          </cell>
          <cell r="F1338">
            <v>19297</v>
          </cell>
          <cell r="G1338" t="str">
            <v>1</v>
          </cell>
          <cell r="H1338" t="str">
            <v>KHOURIBGA</v>
          </cell>
          <cell r="I1338" t="str">
            <v>D</v>
          </cell>
          <cell r="J1338">
            <v>26869</v>
          </cell>
          <cell r="K1338">
            <v>27942</v>
          </cell>
          <cell r="L1338" t="str">
            <v>33</v>
          </cell>
          <cell r="M1338" t="str">
            <v>B</v>
          </cell>
          <cell r="N1338">
            <v>33786</v>
          </cell>
          <cell r="P1338">
            <v>29</v>
          </cell>
          <cell r="Q1338" t="str">
            <v>O</v>
          </cell>
          <cell r="R1338" t="str">
            <v>N</v>
          </cell>
          <cell r="S1338">
            <v>0</v>
          </cell>
          <cell r="T1338" t="str">
            <v>M</v>
          </cell>
          <cell r="U1338" t="str">
            <v>MAJDI SOUAD</v>
          </cell>
          <cell r="X1338">
            <v>2</v>
          </cell>
          <cell r="Y1338">
            <v>1</v>
          </cell>
          <cell r="AB1338" t="str">
            <v>O</v>
          </cell>
          <cell r="AC1338" t="str">
            <v>X</v>
          </cell>
          <cell r="AD1338" t="str">
            <v>X</v>
          </cell>
          <cell r="AE1338" t="str">
            <v>MINI.EDUC.NAT.</v>
          </cell>
          <cell r="AH1338" t="str">
            <v>O</v>
          </cell>
          <cell r="AI1338" t="str">
            <v>N</v>
          </cell>
          <cell r="AK1338" t="str">
            <v>2 RUE BENI MERINE VILLAGE OCP KHOURIBGA</v>
          </cell>
          <cell r="AL1338" t="str">
            <v>3 AS.A.APP.</v>
          </cell>
          <cell r="AM1338" t="str">
            <v>CEP.BEI(BREVET D'ETAT D'INFIRMIER)</v>
          </cell>
          <cell r="AP1338" t="str">
            <v>Q 41031</v>
          </cell>
          <cell r="AQ1338">
            <v>0</v>
          </cell>
          <cell r="AR1338" t="str">
            <v>B</v>
          </cell>
          <cell r="AS1338" t="str">
            <v>BMCE.KHGA</v>
          </cell>
          <cell r="AT1338" t="str">
            <v>4000120000095505</v>
          </cell>
          <cell r="AU1338" t="str">
            <v>/  /</v>
          </cell>
          <cell r="AW1338">
            <v>38551</v>
          </cell>
          <cell r="AX1338">
            <v>38551</v>
          </cell>
          <cell r="BA1338" t="str">
            <v>2</v>
          </cell>
          <cell r="BB1338">
            <v>1</v>
          </cell>
          <cell r="BD1338">
            <v>0</v>
          </cell>
          <cell r="BE1338" t="str">
            <v>M</v>
          </cell>
          <cell r="BF1338" t="str">
            <v>N</v>
          </cell>
          <cell r="BG1338">
            <v>1</v>
          </cell>
          <cell r="BH1338">
            <v>37622</v>
          </cell>
        </row>
        <row r="1339">
          <cell r="A1339">
            <v>95552</v>
          </cell>
          <cell r="B1339">
            <v>403</v>
          </cell>
          <cell r="C1339" t="str">
            <v>X2550</v>
          </cell>
          <cell r="D1339" t="str">
            <v>MOUSSAID</v>
          </cell>
          <cell r="E1339" t="str">
            <v>MOHAMMED</v>
          </cell>
          <cell r="F1339">
            <v>19804</v>
          </cell>
          <cell r="G1339" t="str">
            <v>1</v>
          </cell>
          <cell r="H1339" t="str">
            <v>KHOURIBGA</v>
          </cell>
          <cell r="I1339" t="str">
            <v>F</v>
          </cell>
          <cell r="J1339">
            <v>27576</v>
          </cell>
          <cell r="K1339">
            <v>28672</v>
          </cell>
          <cell r="L1339" t="str">
            <v>33</v>
          </cell>
          <cell r="M1339" t="str">
            <v>A</v>
          </cell>
          <cell r="N1339">
            <v>28672</v>
          </cell>
          <cell r="P1339">
            <v>27</v>
          </cell>
          <cell r="Q1339" t="str">
            <v>O</v>
          </cell>
          <cell r="R1339" t="str">
            <v>N</v>
          </cell>
          <cell r="S1339">
            <v>0</v>
          </cell>
          <cell r="T1339" t="str">
            <v>M</v>
          </cell>
          <cell r="U1339" t="str">
            <v>MECHATE RACHIDA BT MOHAMED</v>
          </cell>
          <cell r="X1339">
            <v>3</v>
          </cell>
          <cell r="Y1339">
            <v>3</v>
          </cell>
          <cell r="AB1339" t="str">
            <v>O</v>
          </cell>
          <cell r="AC1339" t="str">
            <v>X</v>
          </cell>
          <cell r="AD1339" t="str">
            <v>X</v>
          </cell>
          <cell r="AE1339" t="str">
            <v>MINI.EDUC.NAT.</v>
          </cell>
          <cell r="AH1339" t="str">
            <v>N</v>
          </cell>
          <cell r="AI1339" t="str">
            <v>N</v>
          </cell>
          <cell r="AK1339" t="str">
            <v>69 RUE ANNABA BLOC 3 KHOUADRIA JDAD KHGA</v>
          </cell>
          <cell r="AL1339" t="str">
            <v>3 A.S</v>
          </cell>
          <cell r="AM1339" t="str">
            <v>CES.BEI(BREVET D'ETAT D'INFIRMIER)</v>
          </cell>
          <cell r="AP1339" t="str">
            <v>Q 3744</v>
          </cell>
          <cell r="AQ1339">
            <v>0</v>
          </cell>
          <cell r="AR1339" t="str">
            <v>B</v>
          </cell>
          <cell r="AS1339" t="str">
            <v>POPULAIRE.KHGA</v>
          </cell>
          <cell r="AT1339" t="str">
            <v>2111112760170006</v>
          </cell>
          <cell r="AU1339" t="str">
            <v>/  /</v>
          </cell>
          <cell r="AW1339">
            <v>38169</v>
          </cell>
          <cell r="AZ1339" t="str">
            <v>M</v>
          </cell>
          <cell r="BA1339" t="str">
            <v>2</v>
          </cell>
          <cell r="BB1339">
            <v>1</v>
          </cell>
          <cell r="BD1339">
            <v>0</v>
          </cell>
          <cell r="BE1339" t="str">
            <v>M</v>
          </cell>
          <cell r="BF1339" t="str">
            <v>N</v>
          </cell>
          <cell r="BG1339">
            <v>1</v>
          </cell>
          <cell r="BH1339">
            <v>38169</v>
          </cell>
          <cell r="BI1339" t="str">
            <v>O</v>
          </cell>
        </row>
        <row r="1340">
          <cell r="A1340">
            <v>95571</v>
          </cell>
          <cell r="B1340">
            <v>457</v>
          </cell>
          <cell r="C1340" t="str">
            <v>X6450</v>
          </cell>
          <cell r="D1340" t="str">
            <v>HASSANI</v>
          </cell>
          <cell r="E1340" t="str">
            <v>MUSTAPHA</v>
          </cell>
          <cell r="F1340">
            <v>19905</v>
          </cell>
          <cell r="H1340" t="str">
            <v>OUED DERNA - BENI MELLAL</v>
          </cell>
          <cell r="I1340" t="str">
            <v>D</v>
          </cell>
          <cell r="J1340">
            <v>26883</v>
          </cell>
          <cell r="K1340">
            <v>36526</v>
          </cell>
          <cell r="L1340" t="str">
            <v>52</v>
          </cell>
          <cell r="M1340" t="str">
            <v>A</v>
          </cell>
          <cell r="N1340">
            <v>36526</v>
          </cell>
          <cell r="P1340">
            <v>29</v>
          </cell>
          <cell r="Q1340" t="str">
            <v>O</v>
          </cell>
          <cell r="R1340" t="str">
            <v>N</v>
          </cell>
          <cell r="S1340">
            <v>0</v>
          </cell>
          <cell r="T1340" t="str">
            <v>M</v>
          </cell>
          <cell r="U1340" t="str">
            <v>MALIKA BT EL KBIR EL MAHDAOUI</v>
          </cell>
          <cell r="X1340">
            <v>4</v>
          </cell>
          <cell r="Y1340">
            <v>1</v>
          </cell>
          <cell r="AB1340" t="str">
            <v>X</v>
          </cell>
          <cell r="AC1340" t="str">
            <v>X</v>
          </cell>
          <cell r="AD1340" t="str">
            <v>X</v>
          </cell>
          <cell r="AH1340" t="str">
            <v>N</v>
          </cell>
          <cell r="AI1340" t="str">
            <v>N</v>
          </cell>
          <cell r="AK1340" t="str">
            <v>32 RUE CHAHID GHADAOUI ABBES OUED ZEM</v>
          </cell>
          <cell r="AL1340" t="str">
            <v>6 A.T.I</v>
          </cell>
          <cell r="AM1340" t="str">
            <v>CEP.CES.DTM</v>
          </cell>
          <cell r="AP1340" t="str">
            <v>Q 32479</v>
          </cell>
          <cell r="AQ1340">
            <v>0</v>
          </cell>
          <cell r="AR1340" t="str">
            <v>B</v>
          </cell>
          <cell r="AS1340" t="str">
            <v>POPULAIRE.O.ZEM</v>
          </cell>
          <cell r="AT1340" t="str">
            <v>2111113052580001</v>
          </cell>
          <cell r="AU1340" t="str">
            <v>/  /</v>
          </cell>
          <cell r="AW1340">
            <v>38169</v>
          </cell>
          <cell r="BA1340" t="str">
            <v>2</v>
          </cell>
          <cell r="BB1340">
            <v>1</v>
          </cell>
          <cell r="BD1340">
            <v>0</v>
          </cell>
          <cell r="BE1340" t="str">
            <v>M</v>
          </cell>
          <cell r="BF1340" t="str">
            <v>N</v>
          </cell>
          <cell r="BG1340">
            <v>31</v>
          </cell>
          <cell r="BH1340">
            <v>38169</v>
          </cell>
          <cell r="BI1340" t="str">
            <v>O</v>
          </cell>
        </row>
        <row r="1341">
          <cell r="A1341">
            <v>95590</v>
          </cell>
          <cell r="B1341">
            <v>411</v>
          </cell>
          <cell r="C1341" t="str">
            <v>X6150</v>
          </cell>
          <cell r="D1341" t="str">
            <v>EL MOKHLIK</v>
          </cell>
          <cell r="E1341" t="str">
            <v>LAHCEN</v>
          </cell>
          <cell r="F1341">
            <v>19175</v>
          </cell>
          <cell r="H1341" t="str">
            <v>KASBAT TADLA</v>
          </cell>
          <cell r="I1341" t="str">
            <v>F</v>
          </cell>
          <cell r="J1341">
            <v>26878</v>
          </cell>
          <cell r="K1341">
            <v>36526</v>
          </cell>
          <cell r="L1341" t="str">
            <v>52</v>
          </cell>
          <cell r="M1341" t="str">
            <v>A</v>
          </cell>
          <cell r="N1341">
            <v>36526</v>
          </cell>
          <cell r="P1341">
            <v>29</v>
          </cell>
          <cell r="Q1341" t="str">
            <v>O</v>
          </cell>
          <cell r="R1341" t="str">
            <v>N</v>
          </cell>
          <cell r="S1341">
            <v>0</v>
          </cell>
          <cell r="T1341" t="str">
            <v>M</v>
          </cell>
          <cell r="U1341" t="str">
            <v>IZZA BENT SALAH</v>
          </cell>
          <cell r="X1341">
            <v>5</v>
          </cell>
          <cell r="Y1341">
            <v>1</v>
          </cell>
          <cell r="AB1341" t="str">
            <v>X</v>
          </cell>
          <cell r="AC1341" t="str">
            <v>X</v>
          </cell>
          <cell r="AD1341" t="str">
            <v>X</v>
          </cell>
          <cell r="AH1341" t="str">
            <v>N</v>
          </cell>
          <cell r="AI1341" t="str">
            <v>N</v>
          </cell>
          <cell r="AK1341" t="str">
            <v>190 AV.CAID ARBI EL OMARI NAHAD  - KHGA</v>
          </cell>
          <cell r="AL1341" t="str">
            <v>6 A.T.I</v>
          </cell>
          <cell r="AM1341" t="str">
            <v>CEP.CES.DTM.EMM</v>
          </cell>
          <cell r="AP1341" t="str">
            <v>Q 30702</v>
          </cell>
          <cell r="AQ1341">
            <v>0</v>
          </cell>
          <cell r="AR1341" t="str">
            <v>B</v>
          </cell>
          <cell r="AS1341" t="str">
            <v>POPULAIRE.KHGA</v>
          </cell>
          <cell r="AT1341" t="str">
            <v>2111112757170001</v>
          </cell>
          <cell r="AU1341" t="str">
            <v>/  /</v>
          </cell>
          <cell r="AW1341">
            <v>37438</v>
          </cell>
          <cell r="BA1341" t="str">
            <v>1</v>
          </cell>
          <cell r="BB1341">
            <v>1</v>
          </cell>
          <cell r="BD1341">
            <v>0</v>
          </cell>
          <cell r="BE1341" t="str">
            <v>M</v>
          </cell>
          <cell r="BF1341" t="str">
            <v>N</v>
          </cell>
          <cell r="BG1341">
            <v>1</v>
          </cell>
          <cell r="BH1341">
            <v>37438</v>
          </cell>
          <cell r="BI1341" t="str">
            <v>O</v>
          </cell>
        </row>
        <row r="1342">
          <cell r="A1342">
            <v>95673</v>
          </cell>
          <cell r="B1342">
            <v>403</v>
          </cell>
          <cell r="C1342" t="str">
            <v>X6050</v>
          </cell>
          <cell r="D1342" t="str">
            <v>JDI</v>
          </cell>
          <cell r="E1342" t="str">
            <v>MOHAMED</v>
          </cell>
          <cell r="F1342">
            <v>19400</v>
          </cell>
          <cell r="H1342" t="str">
            <v>FQUIH BEN SALAH</v>
          </cell>
          <cell r="I1342" t="str">
            <v>D</v>
          </cell>
          <cell r="J1342">
            <v>27213</v>
          </cell>
          <cell r="K1342">
            <v>30133</v>
          </cell>
          <cell r="L1342" t="str">
            <v>52</v>
          </cell>
          <cell r="M1342" t="str">
            <v>B</v>
          </cell>
          <cell r="N1342">
            <v>35612</v>
          </cell>
          <cell r="P1342">
            <v>28</v>
          </cell>
          <cell r="Q1342" t="str">
            <v>O</v>
          </cell>
          <cell r="R1342" t="str">
            <v>N</v>
          </cell>
          <cell r="S1342">
            <v>0</v>
          </cell>
          <cell r="T1342" t="str">
            <v>M</v>
          </cell>
          <cell r="U1342" t="str">
            <v>EL AMRANI ATIKA</v>
          </cell>
          <cell r="X1342">
            <v>4</v>
          </cell>
          <cell r="Y1342">
            <v>2</v>
          </cell>
          <cell r="AB1342" t="str">
            <v>X</v>
          </cell>
          <cell r="AC1342" t="str">
            <v>X</v>
          </cell>
          <cell r="AD1342" t="str">
            <v>X</v>
          </cell>
          <cell r="AH1342" t="str">
            <v>N</v>
          </cell>
          <cell r="AI1342" t="str">
            <v>O</v>
          </cell>
          <cell r="AJ1342">
            <v>32507</v>
          </cell>
          <cell r="AK1342" t="str">
            <v>110 HAY SAKIA AL HAMRA OUED ZEM</v>
          </cell>
          <cell r="AL1342" t="str">
            <v>6 A.T.F(A.APP.)</v>
          </cell>
          <cell r="AM1342" t="str">
            <v>CEP.CES.DTM (CHIMISTE)</v>
          </cell>
          <cell r="AO1342" t="str">
            <v>3223</v>
          </cell>
          <cell r="AP1342" t="str">
            <v>Q 91885</v>
          </cell>
          <cell r="AQ1342">
            <v>0</v>
          </cell>
          <cell r="AR1342" t="str">
            <v>B</v>
          </cell>
          <cell r="AS1342" t="str">
            <v>POPULAIRE.O.ZEM</v>
          </cell>
          <cell r="AT1342" t="str">
            <v>2111113035650004</v>
          </cell>
          <cell r="AU1342" t="str">
            <v>/  /</v>
          </cell>
          <cell r="AW1342">
            <v>37803</v>
          </cell>
          <cell r="BA1342" t="str">
            <v>2</v>
          </cell>
          <cell r="BB1342">
            <v>1</v>
          </cell>
          <cell r="BC1342" t="str">
            <v>N</v>
          </cell>
          <cell r="BD1342">
            <v>0</v>
          </cell>
          <cell r="BE1342" t="str">
            <v>M</v>
          </cell>
          <cell r="BF1342" t="str">
            <v>N</v>
          </cell>
          <cell r="BG1342">
            <v>31</v>
          </cell>
          <cell r="BH1342">
            <v>37803</v>
          </cell>
          <cell r="BI1342" t="str">
            <v>O</v>
          </cell>
        </row>
        <row r="1343">
          <cell r="A1343">
            <v>95704</v>
          </cell>
          <cell r="B1343">
            <v>426</v>
          </cell>
          <cell r="C1343" t="str">
            <v>X4050</v>
          </cell>
          <cell r="D1343" t="str">
            <v>FAIZ</v>
          </cell>
          <cell r="E1343" t="str">
            <v>MOHAMED</v>
          </cell>
          <cell r="F1343">
            <v>18444</v>
          </cell>
          <cell r="H1343" t="str">
            <v>TAGOUNITE - OUARZAZATE</v>
          </cell>
          <cell r="I1343" t="str">
            <v>F</v>
          </cell>
          <cell r="J1343">
            <v>27211</v>
          </cell>
          <cell r="K1343">
            <v>29403</v>
          </cell>
          <cell r="L1343" t="str">
            <v>42</v>
          </cell>
          <cell r="M1343" t="str">
            <v>E</v>
          </cell>
          <cell r="N1343">
            <v>35612</v>
          </cell>
          <cell r="P1343">
            <v>28</v>
          </cell>
          <cell r="Q1343" t="str">
            <v>O</v>
          </cell>
          <cell r="R1343" t="str">
            <v>N</v>
          </cell>
          <cell r="S1343">
            <v>0</v>
          </cell>
          <cell r="T1343" t="str">
            <v>M</v>
          </cell>
          <cell r="U1343" t="str">
            <v>FAIZ FATIMA</v>
          </cell>
          <cell r="X1343">
            <v>5</v>
          </cell>
          <cell r="Y1343">
            <v>3</v>
          </cell>
          <cell r="AB1343" t="str">
            <v>X</v>
          </cell>
          <cell r="AC1343" t="str">
            <v>X</v>
          </cell>
          <cell r="AD1343" t="str">
            <v>X</v>
          </cell>
          <cell r="AH1343" t="str">
            <v>O</v>
          </cell>
          <cell r="AI1343" t="str">
            <v>N</v>
          </cell>
          <cell r="AK1343" t="str">
            <v>07 RUE IDRISSIDE OCP - KHOURIBGA</v>
          </cell>
          <cell r="AL1343" t="str">
            <v>6 A.T.I</v>
          </cell>
          <cell r="AM1343" t="str">
            <v>CEP.DTM.EMM</v>
          </cell>
          <cell r="AN1343" t="str">
            <v>49═38═23</v>
          </cell>
          <cell r="AP1343" t="str">
            <v>Q 12244</v>
          </cell>
          <cell r="AQ1343">
            <v>0</v>
          </cell>
          <cell r="AR1343" t="str">
            <v>B</v>
          </cell>
          <cell r="AS1343" t="str">
            <v>POPULAIRE.KHGA</v>
          </cell>
          <cell r="AT1343" t="str">
            <v>2111112761210009</v>
          </cell>
          <cell r="AU1343" t="str">
            <v>/  /</v>
          </cell>
          <cell r="AW1343">
            <v>37887</v>
          </cell>
          <cell r="AX1343">
            <v>37887</v>
          </cell>
          <cell r="AZ1343" t="str">
            <v>M</v>
          </cell>
          <cell r="BA1343" t="str">
            <v>2</v>
          </cell>
          <cell r="BB1343">
            <v>1</v>
          </cell>
          <cell r="BC1343" t="str">
            <v>O</v>
          </cell>
          <cell r="BD1343">
            <v>0</v>
          </cell>
          <cell r="BE1343" t="str">
            <v>M</v>
          </cell>
          <cell r="BF1343" t="str">
            <v>N</v>
          </cell>
          <cell r="BG1343">
            <v>4</v>
          </cell>
          <cell r="BH1343">
            <v>37257</v>
          </cell>
        </row>
        <row r="1344">
          <cell r="A1344">
            <v>95849</v>
          </cell>
          <cell r="B1344">
            <v>421</v>
          </cell>
          <cell r="C1344" t="str">
            <v>X5032</v>
          </cell>
          <cell r="D1344" t="str">
            <v>MOKHTARI</v>
          </cell>
          <cell r="E1344" t="str">
            <v>SERGHINI</v>
          </cell>
          <cell r="F1344">
            <v>19175</v>
          </cell>
          <cell r="H1344" t="str">
            <v>AIN CHKEF - FES</v>
          </cell>
          <cell r="I1344" t="str">
            <v>F</v>
          </cell>
          <cell r="J1344">
            <v>27309</v>
          </cell>
          <cell r="K1344">
            <v>37073</v>
          </cell>
          <cell r="L1344" t="str">
            <v>51</v>
          </cell>
          <cell r="M1344" t="str">
            <v>A</v>
          </cell>
          <cell r="N1344">
            <v>37073</v>
          </cell>
          <cell r="P1344">
            <v>28</v>
          </cell>
          <cell r="Q1344" t="str">
            <v>O</v>
          </cell>
          <cell r="R1344" t="str">
            <v>N</v>
          </cell>
          <cell r="S1344">
            <v>0</v>
          </cell>
          <cell r="T1344" t="str">
            <v>M</v>
          </cell>
          <cell r="U1344" t="str">
            <v>EL YAZIDI NAIMA BENT AHMED</v>
          </cell>
          <cell r="X1344">
            <v>6</v>
          </cell>
          <cell r="Y1344">
            <v>3</v>
          </cell>
          <cell r="AB1344" t="str">
            <v>X</v>
          </cell>
          <cell r="AC1344" t="str">
            <v>X</v>
          </cell>
          <cell r="AD1344" t="str">
            <v>X</v>
          </cell>
          <cell r="AH1344" t="str">
            <v>O</v>
          </cell>
          <cell r="AI1344" t="str">
            <v>N</v>
          </cell>
          <cell r="AK1344" t="str">
            <v>13,RUE IBN KHALDOUN OCP KHOURIBGA</v>
          </cell>
          <cell r="AL1344" t="str">
            <v>6 A.T.I</v>
          </cell>
          <cell r="AM1344" t="str">
            <v>CEP.DTM.EMM</v>
          </cell>
          <cell r="AP1344" t="str">
            <v>Q 1914</v>
          </cell>
          <cell r="AQ1344">
            <v>0</v>
          </cell>
          <cell r="AR1344" t="str">
            <v>B</v>
          </cell>
          <cell r="AS1344" t="str">
            <v>C.I.H - KHGA</v>
          </cell>
          <cell r="AT1344" t="str">
            <v>7287436 2130 04700</v>
          </cell>
          <cell r="AU1344" t="str">
            <v>/  /</v>
          </cell>
          <cell r="AW1344">
            <v>38219</v>
          </cell>
          <cell r="AX1344">
            <v>38219</v>
          </cell>
          <cell r="AZ1344" t="str">
            <v>M</v>
          </cell>
          <cell r="BA1344" t="str">
            <v>2</v>
          </cell>
          <cell r="BB1344">
            <v>1</v>
          </cell>
          <cell r="BC1344" t="str">
            <v>O</v>
          </cell>
          <cell r="BD1344">
            <v>0</v>
          </cell>
          <cell r="BE1344" t="str">
            <v>M</v>
          </cell>
          <cell r="BF1344" t="str">
            <v>N</v>
          </cell>
          <cell r="BG1344">
            <v>4</v>
          </cell>
          <cell r="BH1344">
            <v>37438</v>
          </cell>
          <cell r="BI1344" t="str">
            <v>O</v>
          </cell>
        </row>
        <row r="1345">
          <cell r="A1345">
            <v>95852</v>
          </cell>
          <cell r="B1345">
            <v>468</v>
          </cell>
          <cell r="C1345" t="str">
            <v>X4150</v>
          </cell>
          <cell r="D1345" t="str">
            <v>NAJIM</v>
          </cell>
          <cell r="E1345" t="str">
            <v>MOHAMED</v>
          </cell>
          <cell r="F1345">
            <v>19036</v>
          </cell>
          <cell r="H1345" t="str">
            <v>MEDIOUNA - CASABLANCA</v>
          </cell>
          <cell r="I1345" t="str">
            <v>F</v>
          </cell>
          <cell r="J1345">
            <v>27309</v>
          </cell>
          <cell r="K1345">
            <v>35065</v>
          </cell>
          <cell r="L1345" t="str">
            <v>42</v>
          </cell>
          <cell r="M1345" t="str">
            <v>B</v>
          </cell>
          <cell r="N1345">
            <v>35065</v>
          </cell>
          <cell r="P1345">
            <v>28</v>
          </cell>
          <cell r="Q1345" t="str">
            <v>O</v>
          </cell>
          <cell r="R1345" t="str">
            <v>N</v>
          </cell>
          <cell r="S1345">
            <v>0</v>
          </cell>
          <cell r="T1345" t="str">
            <v>M</v>
          </cell>
          <cell r="U1345" t="str">
            <v>RACHIDA BENT MOHAMED KADDOUCH</v>
          </cell>
          <cell r="X1345">
            <v>6</v>
          </cell>
          <cell r="Y1345">
            <v>3</v>
          </cell>
          <cell r="AB1345" t="str">
            <v>X</v>
          </cell>
          <cell r="AC1345" t="str">
            <v>X</v>
          </cell>
          <cell r="AD1345" t="str">
            <v>X</v>
          </cell>
          <cell r="AH1345" t="str">
            <v>N</v>
          </cell>
          <cell r="AI1345" t="str">
            <v>N</v>
          </cell>
          <cell r="AK1345" t="str">
            <v>65 RUE ABOULANOUAR BLOC C EL WIFAK KHGA</v>
          </cell>
          <cell r="AL1345" t="str">
            <v>DTM MACANIQUE</v>
          </cell>
          <cell r="AM1345" t="str">
            <v>CEP.CESM.DTM.EMM</v>
          </cell>
          <cell r="AP1345" t="str">
            <v>Q 4955</v>
          </cell>
          <cell r="AQ1345">
            <v>0</v>
          </cell>
          <cell r="AR1345" t="str">
            <v>B</v>
          </cell>
          <cell r="AS1345" t="str">
            <v>POPULAIRE.KHGA</v>
          </cell>
          <cell r="AT1345" t="str">
            <v>2111112761650006</v>
          </cell>
          <cell r="AU1345" t="str">
            <v>/  /</v>
          </cell>
          <cell r="AW1345">
            <v>37438</v>
          </cell>
          <cell r="BA1345" t="str">
            <v>1</v>
          </cell>
          <cell r="BB1345">
            <v>1</v>
          </cell>
          <cell r="BC1345" t="str">
            <v>O</v>
          </cell>
          <cell r="BD1345">
            <v>0</v>
          </cell>
          <cell r="BE1345" t="str">
            <v>M</v>
          </cell>
          <cell r="BF1345" t="str">
            <v>N</v>
          </cell>
          <cell r="BG1345">
            <v>1</v>
          </cell>
          <cell r="BH1345">
            <v>37438</v>
          </cell>
          <cell r="BI1345" t="str">
            <v>O</v>
          </cell>
        </row>
        <row r="1346">
          <cell r="A1346">
            <v>95949</v>
          </cell>
          <cell r="B1346">
            <v>413</v>
          </cell>
          <cell r="C1346" t="str">
            <v>X5200</v>
          </cell>
          <cell r="D1346" t="str">
            <v>NAHMAD</v>
          </cell>
          <cell r="E1346" t="str">
            <v>BRAHIM</v>
          </cell>
          <cell r="F1346">
            <v>18444</v>
          </cell>
          <cell r="H1346" t="str">
            <v>SIDI EL MEKKI - BERRECHID</v>
          </cell>
          <cell r="I1346" t="str">
            <v>F</v>
          </cell>
          <cell r="J1346">
            <v>27492</v>
          </cell>
          <cell r="K1346">
            <v>33420</v>
          </cell>
          <cell r="L1346" t="str">
            <v>51</v>
          </cell>
          <cell r="M1346" t="str">
            <v>A</v>
          </cell>
          <cell r="N1346">
            <v>33420</v>
          </cell>
          <cell r="O1346">
            <v>0</v>
          </cell>
          <cell r="P1346">
            <v>28</v>
          </cell>
          <cell r="Q1346" t="str">
            <v>O</v>
          </cell>
          <cell r="R1346" t="str">
            <v>N</v>
          </cell>
          <cell r="S1346">
            <v>0</v>
          </cell>
          <cell r="T1346" t="str">
            <v>M</v>
          </cell>
          <cell r="U1346" t="str">
            <v>ZENFAR KHADDOUJ</v>
          </cell>
          <cell r="X1346">
            <v>4</v>
          </cell>
          <cell r="Y1346">
            <v>3</v>
          </cell>
          <cell r="AB1346" t="str">
            <v>X</v>
          </cell>
          <cell r="AC1346" t="str">
            <v>X</v>
          </cell>
          <cell r="AD1346" t="str">
            <v>X</v>
          </cell>
          <cell r="AH1346" t="str">
            <v>N</v>
          </cell>
          <cell r="AI1346" t="str">
            <v>O</v>
          </cell>
          <cell r="AJ1346">
            <v>32507</v>
          </cell>
          <cell r="AK1346" t="str">
            <v>82 BIS BLOC M RUE MALAISIE NAHDA KHGA</v>
          </cell>
          <cell r="AL1346" t="str">
            <v>6 A.T.I</v>
          </cell>
          <cell r="AM1346" t="str">
            <v>CEP.CES.CFM</v>
          </cell>
          <cell r="AP1346" t="str">
            <v>Q 8774</v>
          </cell>
          <cell r="AQ1346">
            <v>0</v>
          </cell>
          <cell r="AR1346" t="str">
            <v>B</v>
          </cell>
          <cell r="AS1346" t="str">
            <v>B.M.C.E - KHGA</v>
          </cell>
          <cell r="AT1346" t="str">
            <v>40001200000111704</v>
          </cell>
          <cell r="AU1346" t="str">
            <v>/  /</v>
          </cell>
          <cell r="AW1346">
            <v>37622</v>
          </cell>
          <cell r="BA1346" t="str">
            <v>2</v>
          </cell>
          <cell r="BB1346">
            <v>1</v>
          </cell>
          <cell r="BD1346">
            <v>0</v>
          </cell>
          <cell r="BE1346" t="str">
            <v>M</v>
          </cell>
          <cell r="BF1346" t="str">
            <v>N</v>
          </cell>
          <cell r="BG1346">
            <v>1</v>
          </cell>
          <cell r="BH1346">
            <v>37622</v>
          </cell>
          <cell r="BI1346" t="str">
            <v>O</v>
          </cell>
        </row>
        <row r="1347">
          <cell r="A1347">
            <v>96147</v>
          </cell>
          <cell r="B1347">
            <v>413</v>
          </cell>
          <cell r="C1347" t="str">
            <v>X3200</v>
          </cell>
          <cell r="D1347" t="str">
            <v>HADDAD</v>
          </cell>
          <cell r="E1347" t="str">
            <v>M'HAMED</v>
          </cell>
          <cell r="F1347">
            <v>16983</v>
          </cell>
          <cell r="G1347" t="str">
            <v>1</v>
          </cell>
          <cell r="H1347" t="str">
            <v>KHOURIBGA</v>
          </cell>
          <cell r="I1347" t="str">
            <v>D</v>
          </cell>
          <cell r="J1347">
            <v>30142</v>
          </cell>
          <cell r="K1347">
            <v>30164</v>
          </cell>
          <cell r="L1347" t="str">
            <v>41</v>
          </cell>
          <cell r="M1347" t="str">
            <v>A</v>
          </cell>
          <cell r="N1347">
            <v>30164</v>
          </cell>
          <cell r="P1347">
            <v>20</v>
          </cell>
          <cell r="Q1347" t="str">
            <v>O</v>
          </cell>
          <cell r="R1347" t="str">
            <v>N</v>
          </cell>
          <cell r="S1347">
            <v>0</v>
          </cell>
          <cell r="T1347" t="str">
            <v>M</v>
          </cell>
          <cell r="U1347" t="str">
            <v>SABOUR KHADIJA</v>
          </cell>
          <cell r="X1347">
            <v>4</v>
          </cell>
          <cell r="Y1347">
            <v>0</v>
          </cell>
          <cell r="AB1347" t="str">
            <v>X</v>
          </cell>
          <cell r="AC1347" t="str">
            <v>X</v>
          </cell>
          <cell r="AD1347" t="str">
            <v>X</v>
          </cell>
          <cell r="AH1347" t="str">
            <v>N</v>
          </cell>
          <cell r="AI1347" t="str">
            <v>N</v>
          </cell>
          <cell r="AK1347" t="str">
            <v>10 RUE 14 BD PELESTINE HAY EL HOUDA KHGA</v>
          </cell>
          <cell r="AL1347" t="str">
            <v>3 A.I</v>
          </cell>
          <cell r="AM1347" t="str">
            <v>CET.CFP</v>
          </cell>
          <cell r="AP1347" t="str">
            <v>Q 107270</v>
          </cell>
          <cell r="AQ1347">
            <v>0</v>
          </cell>
          <cell r="AR1347" t="str">
            <v>B</v>
          </cell>
          <cell r="AS1347" t="str">
            <v>CREDIT DU MAROC</v>
          </cell>
          <cell r="AT1347" t="str">
            <v>820010008299</v>
          </cell>
          <cell r="AU1347" t="str">
            <v>/  /</v>
          </cell>
          <cell r="AW1347">
            <v>37622</v>
          </cell>
          <cell r="AX1347">
            <v>37555</v>
          </cell>
          <cell r="BB1347">
            <v>1</v>
          </cell>
          <cell r="BC1347" t="str">
            <v>N</v>
          </cell>
          <cell r="BD1347">
            <v>0</v>
          </cell>
          <cell r="BE1347" t="str">
            <v>M</v>
          </cell>
          <cell r="BF1347" t="str">
            <v>N</v>
          </cell>
          <cell r="BG1347">
            <v>1</v>
          </cell>
          <cell r="BH1347">
            <v>37073</v>
          </cell>
        </row>
        <row r="1348">
          <cell r="A1348">
            <v>96251</v>
          </cell>
          <cell r="B1348">
            <v>402</v>
          </cell>
          <cell r="C1348" t="str">
            <v>X4602</v>
          </cell>
          <cell r="D1348" t="str">
            <v>NOUBLI</v>
          </cell>
          <cell r="E1348" t="str">
            <v>MOHAMMED</v>
          </cell>
          <cell r="F1348">
            <v>19152</v>
          </cell>
          <cell r="G1348" t="str">
            <v>1</v>
          </cell>
          <cell r="H1348" t="str">
            <v>KHOURIBGA</v>
          </cell>
          <cell r="I1348" t="str">
            <v>D</v>
          </cell>
          <cell r="J1348">
            <v>27597</v>
          </cell>
          <cell r="K1348">
            <v>35065</v>
          </cell>
          <cell r="L1348" t="str">
            <v>52</v>
          </cell>
          <cell r="M1348" t="str">
            <v>A</v>
          </cell>
          <cell r="N1348">
            <v>35065</v>
          </cell>
          <cell r="P1348">
            <v>27</v>
          </cell>
          <cell r="Q1348" t="str">
            <v>N</v>
          </cell>
          <cell r="R1348" t="str">
            <v>N</v>
          </cell>
          <cell r="S1348">
            <v>0</v>
          </cell>
          <cell r="T1348" t="str">
            <v>M</v>
          </cell>
          <cell r="U1348" t="str">
            <v>AKKAR FATNA</v>
          </cell>
          <cell r="X1348">
            <v>3</v>
          </cell>
          <cell r="Y1348">
            <v>3</v>
          </cell>
          <cell r="AB1348" t="str">
            <v>O</v>
          </cell>
          <cell r="AC1348" t="str">
            <v>X</v>
          </cell>
          <cell r="AD1348" t="str">
            <v>X</v>
          </cell>
          <cell r="AE1348" t="str">
            <v>O C P 70661/400</v>
          </cell>
          <cell r="AH1348" t="str">
            <v>N</v>
          </cell>
          <cell r="AI1348" t="str">
            <v>N</v>
          </cell>
          <cell r="AK1348" t="str">
            <v>59, RUE D'EGYPTE EL KARAM - KHGA</v>
          </cell>
          <cell r="AL1348" t="str">
            <v>6 A.T</v>
          </cell>
          <cell r="AM1348" t="str">
            <v>CEP.CES.DTM (GESTION)</v>
          </cell>
          <cell r="AP1348" t="str">
            <v>Q 18365</v>
          </cell>
          <cell r="AQ1348">
            <v>0</v>
          </cell>
          <cell r="AR1348" t="str">
            <v>B</v>
          </cell>
          <cell r="AS1348" t="str">
            <v>B.M.C.E - KHGA</v>
          </cell>
          <cell r="AT1348" t="str">
            <v>40001200000115487</v>
          </cell>
          <cell r="AU1348" t="str">
            <v>/  /</v>
          </cell>
          <cell r="AW1348">
            <v>38718</v>
          </cell>
          <cell r="BA1348" t="str">
            <v>6</v>
          </cell>
          <cell r="BB1348">
            <v>1</v>
          </cell>
          <cell r="BD1348">
            <v>0</v>
          </cell>
          <cell r="BE1348" t="str">
            <v>M</v>
          </cell>
          <cell r="BF1348" t="str">
            <v>O</v>
          </cell>
          <cell r="BG1348">
            <v>0</v>
          </cell>
          <cell r="BH1348">
            <v>38718</v>
          </cell>
          <cell r="BI1348" t="str">
            <v>O</v>
          </cell>
        </row>
        <row r="1349">
          <cell r="A1349">
            <v>96506</v>
          </cell>
          <cell r="B1349">
            <v>403</v>
          </cell>
          <cell r="C1349" t="str">
            <v>X6800</v>
          </cell>
          <cell r="D1349" t="str">
            <v>SBAA</v>
          </cell>
          <cell r="E1349" t="str">
            <v>ABDELKADER</v>
          </cell>
          <cell r="F1349">
            <v>19175</v>
          </cell>
          <cell r="G1349" t="str">
            <v>1</v>
          </cell>
          <cell r="H1349" t="str">
            <v>OULED BHAR SGHAR KHOURIBGA</v>
          </cell>
          <cell r="I1349" t="str">
            <v>F</v>
          </cell>
          <cell r="J1349">
            <v>26093</v>
          </cell>
          <cell r="K1349">
            <v>32478</v>
          </cell>
          <cell r="L1349" t="str">
            <v>52</v>
          </cell>
          <cell r="M1349" t="str">
            <v>A</v>
          </cell>
          <cell r="N1349">
            <v>32478</v>
          </cell>
          <cell r="P1349">
            <v>31</v>
          </cell>
          <cell r="Q1349" t="str">
            <v>O</v>
          </cell>
          <cell r="R1349" t="str">
            <v>N</v>
          </cell>
          <cell r="S1349">
            <v>0</v>
          </cell>
          <cell r="T1349" t="str">
            <v>M</v>
          </cell>
          <cell r="U1349" t="str">
            <v>SABBAR SAADIA</v>
          </cell>
          <cell r="X1349">
            <v>4</v>
          </cell>
          <cell r="Y1349">
            <v>4</v>
          </cell>
          <cell r="AB1349" t="str">
            <v>O</v>
          </cell>
          <cell r="AC1349" t="str">
            <v>X</v>
          </cell>
          <cell r="AD1349" t="str">
            <v>X</v>
          </cell>
          <cell r="AE1349" t="str">
            <v>OCP MLE 66110</v>
          </cell>
          <cell r="AH1349" t="str">
            <v>O</v>
          </cell>
          <cell r="AI1349" t="str">
            <v>N</v>
          </cell>
          <cell r="AK1349" t="str">
            <v>6 RUE BENI MERINES OCP KHOURIBGA</v>
          </cell>
          <cell r="AL1349" t="str">
            <v>4 A.S</v>
          </cell>
          <cell r="AM1349" t="str">
            <v>CEP.CES.CFO.EMM</v>
          </cell>
          <cell r="AP1349" t="str">
            <v>Q 16873</v>
          </cell>
          <cell r="AQ1349">
            <v>0</v>
          </cell>
          <cell r="AR1349" t="str">
            <v>B</v>
          </cell>
          <cell r="AS1349" t="str">
            <v>SGMB.KHGA</v>
          </cell>
          <cell r="AT1349" t="str">
            <v>670009079024</v>
          </cell>
          <cell r="AU1349" t="str">
            <v>/  /</v>
          </cell>
          <cell r="AW1349">
            <v>37438</v>
          </cell>
          <cell r="BA1349" t="str">
            <v>2</v>
          </cell>
          <cell r="BB1349">
            <v>1</v>
          </cell>
          <cell r="BD1349">
            <v>0</v>
          </cell>
          <cell r="BE1349" t="str">
            <v>M</v>
          </cell>
          <cell r="BF1349" t="str">
            <v>O</v>
          </cell>
          <cell r="BG1349">
            <v>1</v>
          </cell>
          <cell r="BH1349">
            <v>37438</v>
          </cell>
        </row>
        <row r="1350">
          <cell r="A1350">
            <v>96707</v>
          </cell>
          <cell r="B1350">
            <v>401</v>
          </cell>
          <cell r="C1350" t="str">
            <v>X3601</v>
          </cell>
          <cell r="D1350" t="str">
            <v>HERRAT</v>
          </cell>
          <cell r="E1350" t="str">
            <v>EL MILOUDI</v>
          </cell>
          <cell r="F1350">
            <v>20026</v>
          </cell>
          <cell r="G1350" t="str">
            <v>1</v>
          </cell>
          <cell r="H1350" t="str">
            <v>KHOURIBGA</v>
          </cell>
          <cell r="I1350" t="str">
            <v>D</v>
          </cell>
          <cell r="J1350">
            <v>27307</v>
          </cell>
          <cell r="K1350">
            <v>37073</v>
          </cell>
          <cell r="L1350" t="str">
            <v>51</v>
          </cell>
          <cell r="M1350" t="str">
            <v>A</v>
          </cell>
          <cell r="N1350">
            <v>37073</v>
          </cell>
          <cell r="P1350">
            <v>28</v>
          </cell>
          <cell r="Q1350" t="str">
            <v>N</v>
          </cell>
          <cell r="R1350" t="str">
            <v>N</v>
          </cell>
          <cell r="S1350">
            <v>0</v>
          </cell>
          <cell r="T1350" t="str">
            <v>M</v>
          </cell>
          <cell r="U1350" t="str">
            <v>CHAMI ZOHRA</v>
          </cell>
          <cell r="X1350">
            <v>3</v>
          </cell>
          <cell r="Y1350">
            <v>3</v>
          </cell>
          <cell r="AB1350" t="str">
            <v>X</v>
          </cell>
          <cell r="AC1350" t="str">
            <v>X</v>
          </cell>
          <cell r="AD1350" t="str">
            <v>X</v>
          </cell>
          <cell r="AH1350" t="str">
            <v>N</v>
          </cell>
          <cell r="AI1350" t="str">
            <v>N</v>
          </cell>
          <cell r="AK1350" t="str">
            <v>187,RUE EL YAQOUTIA EL HANA KHOURIBGA</v>
          </cell>
          <cell r="AL1350" t="str">
            <v>7 A.S.LM</v>
          </cell>
          <cell r="AM1350" t="str">
            <v>CEP.CES.BAC.</v>
          </cell>
          <cell r="AP1350" t="str">
            <v>Q 36905</v>
          </cell>
          <cell r="AQ1350">
            <v>0</v>
          </cell>
          <cell r="AR1350" t="str">
            <v>B</v>
          </cell>
          <cell r="AS1350" t="str">
            <v>BMCE.KHGA</v>
          </cell>
          <cell r="AT1350" t="str">
            <v>40001200000656844</v>
          </cell>
          <cell r="AU1350" t="str">
            <v>/  /</v>
          </cell>
          <cell r="AW1350">
            <v>38353</v>
          </cell>
          <cell r="BA1350" t="str">
            <v>2</v>
          </cell>
          <cell r="BB1350">
            <v>1</v>
          </cell>
          <cell r="BD1350">
            <v>0</v>
          </cell>
          <cell r="BE1350" t="str">
            <v>M</v>
          </cell>
          <cell r="BF1350" t="str">
            <v>N</v>
          </cell>
          <cell r="BG1350">
            <v>0</v>
          </cell>
          <cell r="BH1350">
            <v>38353</v>
          </cell>
          <cell r="BI1350" t="str">
            <v>O</v>
          </cell>
        </row>
        <row r="1351">
          <cell r="A1351">
            <v>96708</v>
          </cell>
          <cell r="B1351">
            <v>437</v>
          </cell>
          <cell r="C1351" t="str">
            <v>X4450</v>
          </cell>
          <cell r="D1351" t="str">
            <v>KHAMMOURI</v>
          </cell>
          <cell r="E1351" t="str">
            <v>MOHAMMED</v>
          </cell>
          <cell r="F1351">
            <v>20636</v>
          </cell>
          <cell r="G1351" t="str">
            <v>1</v>
          </cell>
          <cell r="H1351" t="str">
            <v>OULED BHAR SGHAR KHOURIBGA</v>
          </cell>
          <cell r="I1351" t="str">
            <v>F</v>
          </cell>
          <cell r="J1351">
            <v>28677</v>
          </cell>
          <cell r="K1351">
            <v>36526</v>
          </cell>
          <cell r="L1351" t="str">
            <v>42</v>
          </cell>
          <cell r="M1351" t="str">
            <v>A</v>
          </cell>
          <cell r="N1351">
            <v>36526</v>
          </cell>
          <cell r="P1351">
            <v>24</v>
          </cell>
          <cell r="Q1351" t="str">
            <v>N</v>
          </cell>
          <cell r="R1351" t="str">
            <v>N</v>
          </cell>
          <cell r="S1351">
            <v>0</v>
          </cell>
          <cell r="T1351" t="str">
            <v>M</v>
          </cell>
          <cell r="U1351" t="str">
            <v>ANGOUD EZZAHRA BT BENDAOUD</v>
          </cell>
          <cell r="X1351">
            <v>5</v>
          </cell>
          <cell r="Y1351">
            <v>5</v>
          </cell>
          <cell r="AB1351" t="str">
            <v>X</v>
          </cell>
          <cell r="AC1351" t="str">
            <v>X</v>
          </cell>
          <cell r="AD1351" t="str">
            <v>X</v>
          </cell>
          <cell r="AH1351" t="str">
            <v>N</v>
          </cell>
          <cell r="AI1351" t="str">
            <v>N</v>
          </cell>
          <cell r="AK1351" t="str">
            <v>363 HAY EL ELHANA - KHOURIBGA</v>
          </cell>
          <cell r="AL1351" t="str">
            <v>7 A.S.M.T</v>
          </cell>
          <cell r="AM1351" t="str">
            <v>CEP.CES.CFO.EMM</v>
          </cell>
          <cell r="AP1351" t="str">
            <v>Q 65070</v>
          </cell>
          <cell r="AQ1351">
            <v>0</v>
          </cell>
          <cell r="AR1351" t="str">
            <v>B</v>
          </cell>
          <cell r="AS1351" t="str">
            <v>C.I.H - KHGA</v>
          </cell>
          <cell r="AT1351" t="str">
            <v>9829797211004700</v>
          </cell>
          <cell r="AU1351" t="str">
            <v>/  /</v>
          </cell>
          <cell r="AW1351">
            <v>38899</v>
          </cell>
          <cell r="BA1351" t="str">
            <v>2</v>
          </cell>
          <cell r="BB1351">
            <v>1</v>
          </cell>
          <cell r="BD1351">
            <v>0</v>
          </cell>
          <cell r="BE1351" t="str">
            <v>M</v>
          </cell>
          <cell r="BF1351" t="str">
            <v>N</v>
          </cell>
          <cell r="BG1351">
            <v>0</v>
          </cell>
          <cell r="BH1351">
            <v>38899</v>
          </cell>
          <cell r="BI1351" t="str">
            <v>O</v>
          </cell>
        </row>
        <row r="1352">
          <cell r="A1352">
            <v>96735</v>
          </cell>
          <cell r="B1352">
            <v>403</v>
          </cell>
          <cell r="C1352" t="str">
            <v>X6050</v>
          </cell>
          <cell r="D1352" t="str">
            <v>ED-DOUMI</v>
          </cell>
          <cell r="E1352" t="str">
            <v>BOUAZZA</v>
          </cell>
          <cell r="F1352">
            <v>19175</v>
          </cell>
          <cell r="G1352" t="str">
            <v>1</v>
          </cell>
          <cell r="H1352" t="str">
            <v>OULED BHAR KBAR KHOURIBGA</v>
          </cell>
          <cell r="I1352" t="str">
            <v>F</v>
          </cell>
          <cell r="J1352">
            <v>26093</v>
          </cell>
          <cell r="K1352">
            <v>36526</v>
          </cell>
          <cell r="L1352" t="str">
            <v>52</v>
          </cell>
          <cell r="M1352" t="str">
            <v>A</v>
          </cell>
          <cell r="N1352">
            <v>36526</v>
          </cell>
          <cell r="P1352">
            <v>31</v>
          </cell>
          <cell r="Q1352" t="str">
            <v>O</v>
          </cell>
          <cell r="R1352" t="str">
            <v>N</v>
          </cell>
          <cell r="S1352">
            <v>0</v>
          </cell>
          <cell r="T1352" t="str">
            <v>M</v>
          </cell>
          <cell r="U1352" t="str">
            <v>HASKI MALIKA</v>
          </cell>
          <cell r="X1352">
            <v>5</v>
          </cell>
          <cell r="Y1352">
            <v>1</v>
          </cell>
          <cell r="AB1352" t="str">
            <v>X</v>
          </cell>
          <cell r="AC1352" t="str">
            <v>X</v>
          </cell>
          <cell r="AD1352" t="str">
            <v>X</v>
          </cell>
          <cell r="AH1352" t="str">
            <v>N</v>
          </cell>
          <cell r="AI1352" t="str">
            <v>N</v>
          </cell>
          <cell r="AK1352" t="str">
            <v>122,LOTISSEMENT EL HANA KHOURIBGA</v>
          </cell>
          <cell r="AL1352" t="str">
            <v>3 AS</v>
          </cell>
          <cell r="AM1352" t="str">
            <v>CEP.CES.CA.CFO.EMM</v>
          </cell>
          <cell r="AO1352" t="str">
            <v>2693</v>
          </cell>
          <cell r="AP1352" t="str">
            <v>Q 4805</v>
          </cell>
          <cell r="AQ1352">
            <v>0</v>
          </cell>
          <cell r="AR1352" t="str">
            <v>B</v>
          </cell>
          <cell r="AS1352" t="str">
            <v>C.I.H - KHGA</v>
          </cell>
          <cell r="AT1352" t="str">
            <v>9391376211004700</v>
          </cell>
          <cell r="AU1352" t="str">
            <v>/  /</v>
          </cell>
          <cell r="AW1352">
            <v>38219</v>
          </cell>
          <cell r="AX1352">
            <v>38219</v>
          </cell>
          <cell r="BA1352" t="str">
            <v>2</v>
          </cell>
          <cell r="BB1352">
            <v>1</v>
          </cell>
          <cell r="BD1352">
            <v>0</v>
          </cell>
          <cell r="BE1352" t="str">
            <v>M</v>
          </cell>
          <cell r="BF1352" t="str">
            <v>N</v>
          </cell>
          <cell r="BG1352">
            <v>1</v>
          </cell>
          <cell r="BH1352">
            <v>37438</v>
          </cell>
          <cell r="BI1352" t="str">
            <v>O</v>
          </cell>
        </row>
        <row r="1353">
          <cell r="A1353">
            <v>96737</v>
          </cell>
          <cell r="B1353">
            <v>411</v>
          </cell>
          <cell r="C1353" t="str">
            <v>X5150</v>
          </cell>
          <cell r="D1353" t="str">
            <v>KHACHANE</v>
          </cell>
          <cell r="E1353" t="str">
            <v>MOHAMMED</v>
          </cell>
          <cell r="F1353">
            <v>18809</v>
          </cell>
          <cell r="G1353" t="str">
            <v>3</v>
          </cell>
          <cell r="H1353" t="str">
            <v>BOUJNIBA - KHOURIBGA</v>
          </cell>
          <cell r="I1353" t="str">
            <v>F</v>
          </cell>
          <cell r="J1353">
            <v>26413</v>
          </cell>
          <cell r="K1353">
            <v>37073</v>
          </cell>
          <cell r="L1353" t="str">
            <v>51</v>
          </cell>
          <cell r="M1353" t="str">
            <v>A</v>
          </cell>
          <cell r="N1353">
            <v>37073</v>
          </cell>
          <cell r="O1353">
            <v>0</v>
          </cell>
          <cell r="P1353">
            <v>31</v>
          </cell>
          <cell r="Q1353" t="str">
            <v>O</v>
          </cell>
          <cell r="R1353" t="str">
            <v>N</v>
          </cell>
          <cell r="S1353">
            <v>0</v>
          </cell>
          <cell r="T1353" t="str">
            <v>M</v>
          </cell>
          <cell r="U1353" t="str">
            <v>SALHA BENT HAMMADI LADID</v>
          </cell>
          <cell r="X1353">
            <v>4</v>
          </cell>
          <cell r="Y1353">
            <v>2</v>
          </cell>
          <cell r="AB1353" t="str">
            <v>X</v>
          </cell>
          <cell r="AC1353" t="str">
            <v>X</v>
          </cell>
          <cell r="AD1353" t="str">
            <v>X</v>
          </cell>
          <cell r="AH1353" t="str">
            <v>O</v>
          </cell>
          <cell r="AI1353" t="str">
            <v>N</v>
          </cell>
          <cell r="AK1353" t="str">
            <v>01 RUE SAQUIA EL HAMRA - KHOURIBGA</v>
          </cell>
          <cell r="AL1353" t="str">
            <v>4 A.T</v>
          </cell>
          <cell r="AM1353" t="str">
            <v>CET.CFP.EMM</v>
          </cell>
          <cell r="AP1353" t="str">
            <v>Q 21340</v>
          </cell>
          <cell r="AQ1353">
            <v>0</v>
          </cell>
          <cell r="AR1353" t="str">
            <v>B</v>
          </cell>
          <cell r="AS1353" t="str">
            <v>POPULAIRE.KHGA</v>
          </cell>
          <cell r="AT1353" t="str">
            <v>2111136316050008</v>
          </cell>
          <cell r="AU1353" t="str">
            <v>/  /</v>
          </cell>
          <cell r="AW1353">
            <v>37622</v>
          </cell>
          <cell r="AX1353">
            <v>37555</v>
          </cell>
          <cell r="AZ1353" t="str">
            <v>M</v>
          </cell>
          <cell r="BA1353" t="str">
            <v>2</v>
          </cell>
          <cell r="BB1353">
            <v>1</v>
          </cell>
          <cell r="BD1353">
            <v>0</v>
          </cell>
          <cell r="BE1353" t="str">
            <v>M</v>
          </cell>
          <cell r="BF1353" t="str">
            <v>N</v>
          </cell>
          <cell r="BG1353">
            <v>1</v>
          </cell>
          <cell r="BH1353">
            <v>37073</v>
          </cell>
        </row>
        <row r="1354">
          <cell r="A1354">
            <v>96861</v>
          </cell>
          <cell r="B1354">
            <v>466</v>
          </cell>
          <cell r="C1354" t="str">
            <v>X4050</v>
          </cell>
          <cell r="D1354" t="str">
            <v>DIANI</v>
          </cell>
          <cell r="E1354" t="str">
            <v>MOHAMED</v>
          </cell>
          <cell r="F1354">
            <v>19175</v>
          </cell>
          <cell r="H1354" t="str">
            <v>AIT ATAB - BENI MELLAL</v>
          </cell>
          <cell r="I1354" t="str">
            <v>F</v>
          </cell>
          <cell r="J1354">
            <v>26126</v>
          </cell>
          <cell r="K1354">
            <v>37043</v>
          </cell>
          <cell r="L1354" t="str">
            <v>42</v>
          </cell>
          <cell r="M1354" t="str">
            <v>C</v>
          </cell>
          <cell r="N1354">
            <v>37043</v>
          </cell>
          <cell r="P1354">
            <v>31</v>
          </cell>
          <cell r="Q1354" t="str">
            <v>O</v>
          </cell>
          <cell r="R1354" t="str">
            <v>N</v>
          </cell>
          <cell r="S1354">
            <v>0</v>
          </cell>
          <cell r="T1354" t="str">
            <v>M</v>
          </cell>
          <cell r="U1354" t="str">
            <v>GHADOUILI FATIMA BT ELHOUSSAIN</v>
          </cell>
          <cell r="X1354">
            <v>5</v>
          </cell>
          <cell r="Y1354">
            <v>5</v>
          </cell>
          <cell r="AB1354" t="str">
            <v>X</v>
          </cell>
          <cell r="AC1354" t="str">
            <v>X</v>
          </cell>
          <cell r="AD1354" t="str">
            <v>X</v>
          </cell>
          <cell r="AH1354" t="str">
            <v>N</v>
          </cell>
          <cell r="AI1354" t="str">
            <v>N</v>
          </cell>
          <cell r="AK1354" t="str">
            <v>31 HAY EL HANA OCP KHGA</v>
          </cell>
          <cell r="AL1354" t="str">
            <v>3 A.S</v>
          </cell>
          <cell r="AM1354" t="str">
            <v>CEP.CES.CFO.</v>
          </cell>
          <cell r="AP1354" t="str">
            <v>Q 5330</v>
          </cell>
          <cell r="AQ1354">
            <v>0</v>
          </cell>
          <cell r="AR1354" t="str">
            <v>B</v>
          </cell>
          <cell r="AS1354" t="str">
            <v>C.I.H - KHGA</v>
          </cell>
          <cell r="AT1354" t="str">
            <v>9829961211004700</v>
          </cell>
          <cell r="AU1354" t="str">
            <v>/  /</v>
          </cell>
          <cell r="AW1354">
            <v>38219</v>
          </cell>
          <cell r="AX1354">
            <v>38219</v>
          </cell>
          <cell r="BA1354" t="str">
            <v>2</v>
          </cell>
          <cell r="BB1354">
            <v>1</v>
          </cell>
          <cell r="BC1354" t="str">
            <v>O</v>
          </cell>
          <cell r="BD1354">
            <v>0</v>
          </cell>
          <cell r="BE1354" t="str">
            <v>M</v>
          </cell>
          <cell r="BF1354" t="str">
            <v>N</v>
          </cell>
          <cell r="BG1354">
            <v>5</v>
          </cell>
          <cell r="BH1354">
            <v>37438</v>
          </cell>
          <cell r="BI1354" t="str">
            <v>O</v>
          </cell>
        </row>
        <row r="1355">
          <cell r="A1355">
            <v>96862</v>
          </cell>
          <cell r="B1355">
            <v>428</v>
          </cell>
          <cell r="C1355" t="str">
            <v>X5150</v>
          </cell>
          <cell r="D1355" t="str">
            <v>GRIRRANE</v>
          </cell>
          <cell r="E1355" t="str">
            <v>MOHAMED</v>
          </cell>
          <cell r="F1355">
            <v>19360</v>
          </cell>
          <cell r="G1355" t="str">
            <v>2</v>
          </cell>
          <cell r="H1355" t="str">
            <v>OUED-ZEM</v>
          </cell>
          <cell r="I1355" t="str">
            <v>F</v>
          </cell>
          <cell r="J1355">
            <v>26126</v>
          </cell>
          <cell r="K1355">
            <v>37073</v>
          </cell>
          <cell r="L1355" t="str">
            <v>51</v>
          </cell>
          <cell r="M1355" t="str">
            <v>A</v>
          </cell>
          <cell r="N1355">
            <v>37073</v>
          </cell>
          <cell r="P1355">
            <v>31</v>
          </cell>
          <cell r="Q1355" t="str">
            <v>O</v>
          </cell>
          <cell r="R1355" t="str">
            <v>N</v>
          </cell>
          <cell r="S1355">
            <v>0</v>
          </cell>
          <cell r="T1355" t="str">
            <v>M</v>
          </cell>
          <cell r="U1355" t="str">
            <v>KHADIJA BT EL HASSANE ENNAFA</v>
          </cell>
          <cell r="X1355">
            <v>6</v>
          </cell>
          <cell r="Y1355">
            <v>5</v>
          </cell>
          <cell r="AB1355" t="str">
            <v>X</v>
          </cell>
          <cell r="AC1355" t="str">
            <v>X</v>
          </cell>
          <cell r="AD1355" t="str">
            <v>X</v>
          </cell>
          <cell r="AH1355" t="str">
            <v>N</v>
          </cell>
          <cell r="AI1355" t="str">
            <v>O</v>
          </cell>
          <cell r="AJ1355">
            <v>32507</v>
          </cell>
          <cell r="AK1355" t="str">
            <v>136 QUARTIER HASSANIA - OUED ZEM</v>
          </cell>
          <cell r="AL1355" t="str">
            <v>3 A.S</v>
          </cell>
          <cell r="AM1355" t="str">
            <v>CEP.CES.CFO</v>
          </cell>
          <cell r="AP1355" t="str">
            <v>Q 1975</v>
          </cell>
          <cell r="AQ1355">
            <v>0</v>
          </cell>
          <cell r="AR1355" t="str">
            <v>B</v>
          </cell>
          <cell r="AS1355" t="str">
            <v>B.M.C.I  O.ZEM</v>
          </cell>
          <cell r="AT1355" t="str">
            <v>53385728301</v>
          </cell>
          <cell r="AU1355" t="str">
            <v>/  /</v>
          </cell>
          <cell r="AW1355">
            <v>37803</v>
          </cell>
          <cell r="AZ1355" t="str">
            <v>M</v>
          </cell>
          <cell r="BA1355" t="str">
            <v>1</v>
          </cell>
          <cell r="BB1355">
            <v>1</v>
          </cell>
          <cell r="BD1355">
            <v>0</v>
          </cell>
          <cell r="BE1355" t="str">
            <v>M</v>
          </cell>
          <cell r="BF1355" t="str">
            <v>N</v>
          </cell>
          <cell r="BG1355">
            <v>30</v>
          </cell>
          <cell r="BH1355">
            <v>37803</v>
          </cell>
          <cell r="BI1355" t="str">
            <v>O</v>
          </cell>
        </row>
        <row r="1356">
          <cell r="A1356">
            <v>96863</v>
          </cell>
          <cell r="B1356">
            <v>465</v>
          </cell>
          <cell r="C1356" t="str">
            <v>X3300</v>
          </cell>
          <cell r="D1356" t="str">
            <v>CHERQAOUI</v>
          </cell>
          <cell r="E1356" t="str">
            <v>ABDELGHANI</v>
          </cell>
          <cell r="F1356">
            <v>17988</v>
          </cell>
          <cell r="G1356" t="str">
            <v>5</v>
          </cell>
          <cell r="H1356" t="str">
            <v>BOUJAAD - KHOURIBGA</v>
          </cell>
          <cell r="I1356" t="str">
            <v>F</v>
          </cell>
          <cell r="J1356">
            <v>27424</v>
          </cell>
          <cell r="K1356">
            <v>29403</v>
          </cell>
          <cell r="L1356" t="str">
            <v>41</v>
          </cell>
          <cell r="M1356" t="str">
            <v>A</v>
          </cell>
          <cell r="N1356">
            <v>29403</v>
          </cell>
          <cell r="P1356">
            <v>28</v>
          </cell>
          <cell r="Q1356" t="str">
            <v>O</v>
          </cell>
          <cell r="R1356" t="str">
            <v>N</v>
          </cell>
          <cell r="S1356">
            <v>0</v>
          </cell>
          <cell r="T1356" t="str">
            <v>M</v>
          </cell>
          <cell r="U1356" t="str">
            <v>CHERQAOUI ZOUBIDA</v>
          </cell>
          <cell r="X1356">
            <v>3</v>
          </cell>
          <cell r="Y1356">
            <v>1</v>
          </cell>
          <cell r="AB1356" t="str">
            <v>X</v>
          </cell>
          <cell r="AC1356" t="str">
            <v>X</v>
          </cell>
          <cell r="AD1356" t="str">
            <v>X</v>
          </cell>
          <cell r="AH1356" t="str">
            <v>N</v>
          </cell>
          <cell r="AI1356" t="str">
            <v>N</v>
          </cell>
          <cell r="AK1356" t="str">
            <v>44 LOT.BELEBSIR - OUED ZEM</v>
          </cell>
          <cell r="AL1356" t="str">
            <v>6 A.T.I</v>
          </cell>
          <cell r="AM1356" t="str">
            <v>CEP.CES.DTM.CFO</v>
          </cell>
          <cell r="AP1356" t="str">
            <v>Q 10744</v>
          </cell>
          <cell r="AQ1356">
            <v>0</v>
          </cell>
          <cell r="AR1356" t="str">
            <v>B</v>
          </cell>
          <cell r="AS1356" t="str">
            <v>POPULAIRE.O.ZEM</v>
          </cell>
          <cell r="AT1356" t="str">
            <v>2111113031010005</v>
          </cell>
          <cell r="AU1356" t="str">
            <v>/  /</v>
          </cell>
          <cell r="AW1356">
            <v>37438</v>
          </cell>
          <cell r="AZ1356" t="str">
            <v>R</v>
          </cell>
          <cell r="BA1356" t="str">
            <v>2</v>
          </cell>
          <cell r="BB1356">
            <v>1</v>
          </cell>
          <cell r="BD1356">
            <v>0</v>
          </cell>
          <cell r="BE1356" t="str">
            <v>M</v>
          </cell>
          <cell r="BF1356" t="str">
            <v>N</v>
          </cell>
          <cell r="BG1356">
            <v>31</v>
          </cell>
          <cell r="BH1356">
            <v>37438</v>
          </cell>
          <cell r="BI1356" t="str">
            <v>O</v>
          </cell>
        </row>
        <row r="1357">
          <cell r="A1357">
            <v>96885</v>
          </cell>
          <cell r="B1357">
            <v>404</v>
          </cell>
          <cell r="C1357" t="str">
            <v>X3601</v>
          </cell>
          <cell r="D1357" t="str">
            <v>MAKINE</v>
          </cell>
          <cell r="E1357" t="str">
            <v>AHMED</v>
          </cell>
          <cell r="F1357">
            <v>19175</v>
          </cell>
          <cell r="G1357" t="str">
            <v>1</v>
          </cell>
          <cell r="H1357" t="str">
            <v>OULED BHAR KBAR KHOURIBGA</v>
          </cell>
          <cell r="I1357" t="str">
            <v>D</v>
          </cell>
          <cell r="J1357">
            <v>26794</v>
          </cell>
          <cell r="K1357">
            <v>35431</v>
          </cell>
          <cell r="L1357" t="str">
            <v>51</v>
          </cell>
          <cell r="M1357" t="str">
            <v>A</v>
          </cell>
          <cell r="N1357">
            <v>35431</v>
          </cell>
          <cell r="P1357">
            <v>29</v>
          </cell>
          <cell r="Q1357" t="str">
            <v>O</v>
          </cell>
          <cell r="R1357" t="str">
            <v>O</v>
          </cell>
          <cell r="S1357">
            <v>0</v>
          </cell>
          <cell r="T1357" t="str">
            <v>M</v>
          </cell>
          <cell r="U1357" t="str">
            <v>FATIMA BENT MOHAMED MOUAFIQ</v>
          </cell>
          <cell r="X1357">
            <v>7</v>
          </cell>
          <cell r="Y1357">
            <v>5</v>
          </cell>
          <cell r="AB1357" t="str">
            <v>X</v>
          </cell>
          <cell r="AC1357" t="str">
            <v>X</v>
          </cell>
          <cell r="AD1357" t="str">
            <v>X</v>
          </cell>
          <cell r="AH1357" t="str">
            <v>N</v>
          </cell>
          <cell r="AI1357" t="str">
            <v>O</v>
          </cell>
          <cell r="AJ1357">
            <v>32172</v>
          </cell>
          <cell r="AK1357" t="str">
            <v>169 BLOC A HAY ESSALAM - BOUJNIBA</v>
          </cell>
          <cell r="AL1357" t="str">
            <v>6 A.S</v>
          </cell>
          <cell r="AM1357" t="str">
            <v>CES.</v>
          </cell>
          <cell r="AP1357" t="str">
            <v>Q 18690</v>
          </cell>
          <cell r="AQ1357">
            <v>0</v>
          </cell>
          <cell r="AR1357" t="str">
            <v>B</v>
          </cell>
          <cell r="AS1357" t="str">
            <v>B.M.C.E - KHGA</v>
          </cell>
          <cell r="AT1357" t="str">
            <v>4000120000097251</v>
          </cell>
          <cell r="AU1357" t="str">
            <v>/  /</v>
          </cell>
          <cell r="AW1357">
            <v>38717</v>
          </cell>
          <cell r="AX1357">
            <v>38717</v>
          </cell>
          <cell r="AZ1357" t="str">
            <v>M</v>
          </cell>
          <cell r="BA1357" t="str">
            <v>2</v>
          </cell>
          <cell r="BB1357">
            <v>1</v>
          </cell>
          <cell r="BD1357">
            <v>0</v>
          </cell>
          <cell r="BE1357" t="str">
            <v>M</v>
          </cell>
          <cell r="BF1357" t="str">
            <v>N</v>
          </cell>
          <cell r="BG1357">
            <v>0</v>
          </cell>
          <cell r="BH1357">
            <v>37803</v>
          </cell>
          <cell r="BI1357" t="str">
            <v>O</v>
          </cell>
        </row>
        <row r="1358">
          <cell r="A1358">
            <v>96894</v>
          </cell>
          <cell r="B1358">
            <v>405</v>
          </cell>
          <cell r="C1358" t="str">
            <v>X5300</v>
          </cell>
          <cell r="D1358" t="str">
            <v>CHOUGRED</v>
          </cell>
          <cell r="E1358" t="str">
            <v>BOUCHTA</v>
          </cell>
          <cell r="F1358">
            <v>18809</v>
          </cell>
          <cell r="G1358" t="str">
            <v>1</v>
          </cell>
          <cell r="H1358" t="str">
            <v>OULED BHAR SGHAR KHOURIBGA</v>
          </cell>
          <cell r="I1358" t="str">
            <v>F</v>
          </cell>
          <cell r="J1358">
            <v>26960</v>
          </cell>
          <cell r="K1358">
            <v>35431</v>
          </cell>
          <cell r="L1358" t="str">
            <v>51</v>
          </cell>
          <cell r="M1358" t="str">
            <v>A</v>
          </cell>
          <cell r="N1358">
            <v>35431</v>
          </cell>
          <cell r="P1358">
            <v>29</v>
          </cell>
          <cell r="Q1358" t="str">
            <v>O</v>
          </cell>
          <cell r="R1358" t="str">
            <v>N</v>
          </cell>
          <cell r="S1358">
            <v>0</v>
          </cell>
          <cell r="T1358" t="str">
            <v>M</v>
          </cell>
          <cell r="U1358" t="str">
            <v>LAMHAYANE MINA BENT ALI</v>
          </cell>
          <cell r="X1358">
            <v>5</v>
          </cell>
          <cell r="Y1358">
            <v>5</v>
          </cell>
          <cell r="AB1358" t="str">
            <v>X</v>
          </cell>
          <cell r="AC1358" t="str">
            <v>X</v>
          </cell>
          <cell r="AD1358" t="str">
            <v>X</v>
          </cell>
          <cell r="AH1358" t="str">
            <v>N</v>
          </cell>
          <cell r="AI1358" t="str">
            <v>N</v>
          </cell>
          <cell r="AK1358" t="str">
            <v>181,HAY YASSMINE I NAHDA KHOURIBGA</v>
          </cell>
          <cell r="AL1358" t="str">
            <v>5 A.S.LM</v>
          </cell>
          <cell r="AM1358" t="str">
            <v>CEP.CES.CFO.</v>
          </cell>
          <cell r="AP1358" t="str">
            <v>Q 6105</v>
          </cell>
          <cell r="AQ1358">
            <v>0</v>
          </cell>
          <cell r="AR1358" t="str">
            <v>B</v>
          </cell>
          <cell r="AS1358" t="str">
            <v>POPULAIRE.KHGA</v>
          </cell>
          <cell r="AT1358" t="str">
            <v>2111112765060004</v>
          </cell>
          <cell r="AU1358" t="str">
            <v>/  /</v>
          </cell>
          <cell r="AW1358">
            <v>37622</v>
          </cell>
          <cell r="AX1358">
            <v>37555</v>
          </cell>
          <cell r="AZ1358" t="str">
            <v>M</v>
          </cell>
          <cell r="BA1358" t="str">
            <v>2</v>
          </cell>
          <cell r="BB1358">
            <v>1</v>
          </cell>
          <cell r="BD1358">
            <v>0</v>
          </cell>
          <cell r="BE1358" t="str">
            <v>M</v>
          </cell>
          <cell r="BF1358" t="str">
            <v>N</v>
          </cell>
          <cell r="BG1358">
            <v>1</v>
          </cell>
          <cell r="BH1358">
            <v>37073</v>
          </cell>
          <cell r="BI1358" t="str">
            <v>O</v>
          </cell>
        </row>
        <row r="1359">
          <cell r="A1359">
            <v>97036</v>
          </cell>
          <cell r="B1359">
            <v>411</v>
          </cell>
          <cell r="C1359" t="str">
            <v>X5150</v>
          </cell>
          <cell r="D1359" t="str">
            <v>MOUHIB</v>
          </cell>
          <cell r="E1359" t="str">
            <v>MOUSSADEK</v>
          </cell>
          <cell r="F1359">
            <v>18809</v>
          </cell>
          <cell r="H1359" t="str">
            <v>BERRECHID</v>
          </cell>
          <cell r="I1359" t="str">
            <v>F</v>
          </cell>
          <cell r="J1359">
            <v>27599</v>
          </cell>
          <cell r="K1359">
            <v>37073</v>
          </cell>
          <cell r="L1359" t="str">
            <v>51</v>
          </cell>
          <cell r="M1359" t="str">
            <v>A</v>
          </cell>
          <cell r="N1359">
            <v>37073</v>
          </cell>
          <cell r="P1359">
            <v>27</v>
          </cell>
          <cell r="Q1359" t="str">
            <v>O</v>
          </cell>
          <cell r="R1359" t="str">
            <v>N</v>
          </cell>
          <cell r="S1359">
            <v>0</v>
          </cell>
          <cell r="T1359" t="str">
            <v>M</v>
          </cell>
          <cell r="U1359" t="str">
            <v>EL YAHYAOUI RACHIDA</v>
          </cell>
          <cell r="X1359">
            <v>2</v>
          </cell>
          <cell r="Y1359">
            <v>2</v>
          </cell>
          <cell r="AB1359" t="str">
            <v>O</v>
          </cell>
          <cell r="AC1359" t="str">
            <v>X</v>
          </cell>
          <cell r="AD1359" t="str">
            <v>X</v>
          </cell>
          <cell r="AE1359" t="str">
            <v>MINI.EDUC.NAT.</v>
          </cell>
          <cell r="AH1359" t="str">
            <v>O</v>
          </cell>
          <cell r="AI1359" t="str">
            <v>N</v>
          </cell>
          <cell r="AK1359" t="str">
            <v>35 RUE AFOUGHAL OCP KHOURIBGA</v>
          </cell>
          <cell r="AL1359" t="str">
            <v>6 A.T.I</v>
          </cell>
          <cell r="AM1359" t="str">
            <v>CEP.CES.EMM</v>
          </cell>
          <cell r="AP1359" t="str">
            <v>Q 37714</v>
          </cell>
          <cell r="AQ1359">
            <v>0</v>
          </cell>
          <cell r="AR1359" t="str">
            <v>B</v>
          </cell>
          <cell r="AS1359" t="str">
            <v>POPULAIRE.KHGA</v>
          </cell>
          <cell r="AT1359" t="str">
            <v>2111112765180000</v>
          </cell>
          <cell r="AU1359" t="str">
            <v>/  /</v>
          </cell>
          <cell r="AW1359">
            <v>38551</v>
          </cell>
          <cell r="AX1359">
            <v>38551</v>
          </cell>
          <cell r="AZ1359" t="str">
            <v>M</v>
          </cell>
          <cell r="BA1359" t="str">
            <v>1</v>
          </cell>
          <cell r="BB1359">
            <v>1</v>
          </cell>
          <cell r="BC1359" t="str">
            <v>N</v>
          </cell>
          <cell r="BD1359">
            <v>0</v>
          </cell>
          <cell r="BE1359" t="str">
            <v>M</v>
          </cell>
          <cell r="BF1359" t="str">
            <v>N</v>
          </cell>
          <cell r="BG1359">
            <v>1</v>
          </cell>
          <cell r="BH1359">
            <v>37622</v>
          </cell>
        </row>
        <row r="1360">
          <cell r="A1360">
            <v>97521</v>
          </cell>
          <cell r="B1360">
            <v>414</v>
          </cell>
          <cell r="C1360" t="str">
            <v>X5207</v>
          </cell>
          <cell r="D1360" t="str">
            <v>OUARBYA</v>
          </cell>
          <cell r="E1360" t="str">
            <v>MOHAMED</v>
          </cell>
          <cell r="F1360">
            <v>19905</v>
          </cell>
          <cell r="H1360" t="str">
            <v>MGHILA - BENI MELLAL</v>
          </cell>
          <cell r="I1360" t="str">
            <v>F</v>
          </cell>
          <cell r="J1360">
            <v>27597</v>
          </cell>
          <cell r="K1360">
            <v>34151</v>
          </cell>
          <cell r="L1360" t="str">
            <v>51</v>
          </cell>
          <cell r="M1360" t="str">
            <v>A</v>
          </cell>
          <cell r="N1360">
            <v>34151</v>
          </cell>
          <cell r="P1360">
            <v>27</v>
          </cell>
          <cell r="Q1360" t="str">
            <v>O</v>
          </cell>
          <cell r="R1360" t="str">
            <v>N</v>
          </cell>
          <cell r="S1360">
            <v>0</v>
          </cell>
          <cell r="T1360" t="str">
            <v>M</v>
          </cell>
          <cell r="U1360" t="str">
            <v>FATIMA BENT AHMED OUTARKA</v>
          </cell>
          <cell r="X1360">
            <v>4</v>
          </cell>
          <cell r="Y1360">
            <v>2</v>
          </cell>
          <cell r="AB1360" t="str">
            <v>X</v>
          </cell>
          <cell r="AC1360" t="str">
            <v>X</v>
          </cell>
          <cell r="AD1360" t="str">
            <v>X</v>
          </cell>
          <cell r="AH1360" t="str">
            <v>O</v>
          </cell>
          <cell r="AI1360" t="str">
            <v>N</v>
          </cell>
          <cell r="AK1360" t="str">
            <v>38,BLOC 15 NX LOGTS O.C.P KHOURIBGA</v>
          </cell>
          <cell r="AL1360" t="str">
            <v>6 A.T</v>
          </cell>
          <cell r="AM1360" t="str">
            <v>CEP.CES.DTM.EMM</v>
          </cell>
          <cell r="AP1360" t="str">
            <v>I 28261</v>
          </cell>
          <cell r="AQ1360">
            <v>0</v>
          </cell>
          <cell r="AR1360" t="str">
            <v>B</v>
          </cell>
          <cell r="AS1360" t="str">
            <v>CNCA - KHOURIBGA</v>
          </cell>
          <cell r="AT1360" t="str">
            <v>804948 K 601</v>
          </cell>
          <cell r="AU1360" t="str">
            <v>/  /</v>
          </cell>
          <cell r="AW1360">
            <v>38169</v>
          </cell>
          <cell r="BA1360" t="str">
            <v>2</v>
          </cell>
          <cell r="BB1360">
            <v>1</v>
          </cell>
          <cell r="BD1360">
            <v>0</v>
          </cell>
          <cell r="BE1360" t="str">
            <v>M</v>
          </cell>
          <cell r="BF1360" t="str">
            <v>N</v>
          </cell>
          <cell r="BG1360">
            <v>1</v>
          </cell>
          <cell r="BH1360">
            <v>38169</v>
          </cell>
          <cell r="BI1360" t="str">
            <v>N</v>
          </cell>
        </row>
        <row r="1361">
          <cell r="A1361">
            <v>97535</v>
          </cell>
          <cell r="B1361">
            <v>421</v>
          </cell>
          <cell r="C1361" t="str">
            <v>X6150</v>
          </cell>
          <cell r="D1361" t="str">
            <v>AZIM</v>
          </cell>
          <cell r="E1361" t="str">
            <v>KHALIFA</v>
          </cell>
          <cell r="F1361">
            <v>19175</v>
          </cell>
          <cell r="H1361" t="str">
            <v>FQUIH BEN SALAH</v>
          </cell>
          <cell r="I1361" t="str">
            <v>F</v>
          </cell>
          <cell r="J1361">
            <v>27590</v>
          </cell>
          <cell r="K1361">
            <v>35065</v>
          </cell>
          <cell r="L1361" t="str">
            <v>52</v>
          </cell>
          <cell r="M1361" t="str">
            <v>A</v>
          </cell>
          <cell r="N1361">
            <v>35612</v>
          </cell>
          <cell r="P1361">
            <v>27</v>
          </cell>
          <cell r="Q1361" t="str">
            <v>O</v>
          </cell>
          <cell r="R1361" t="str">
            <v>N</v>
          </cell>
          <cell r="S1361">
            <v>0</v>
          </cell>
          <cell r="T1361" t="str">
            <v>M</v>
          </cell>
          <cell r="U1361" t="str">
            <v>EL MOUADDAB FATIHA</v>
          </cell>
          <cell r="X1361">
            <v>4</v>
          </cell>
          <cell r="Y1361">
            <v>4</v>
          </cell>
          <cell r="AB1361" t="str">
            <v>X</v>
          </cell>
          <cell r="AC1361" t="str">
            <v>X</v>
          </cell>
          <cell r="AD1361" t="str">
            <v>X</v>
          </cell>
          <cell r="AH1361" t="str">
            <v>N</v>
          </cell>
          <cell r="AI1361" t="str">
            <v>O</v>
          </cell>
          <cell r="AJ1361">
            <v>35765</v>
          </cell>
          <cell r="AK1361" t="str">
            <v>152,LOTSSEMENT EL HANA  KHOURIBGA</v>
          </cell>
          <cell r="AL1361" t="str">
            <v>6 A.T.I</v>
          </cell>
          <cell r="AM1361" t="str">
            <v>CEP.CES.DTM.EMM</v>
          </cell>
          <cell r="AP1361" t="str">
            <v>Q 60809</v>
          </cell>
          <cell r="AQ1361">
            <v>0</v>
          </cell>
          <cell r="AR1361" t="str">
            <v>B</v>
          </cell>
          <cell r="AS1361" t="str">
            <v>C.I.H - KHGA</v>
          </cell>
          <cell r="AT1361" t="str">
            <v>9391251211004700</v>
          </cell>
          <cell r="AU1361" t="str">
            <v>/  /</v>
          </cell>
          <cell r="AW1361">
            <v>38551</v>
          </cell>
          <cell r="AX1361">
            <v>38551</v>
          </cell>
          <cell r="BA1361" t="str">
            <v>6</v>
          </cell>
          <cell r="BB1361">
            <v>1</v>
          </cell>
          <cell r="BD1361">
            <v>0</v>
          </cell>
          <cell r="BE1361" t="str">
            <v>M</v>
          </cell>
          <cell r="BF1361" t="str">
            <v>N</v>
          </cell>
          <cell r="BG1361">
            <v>5</v>
          </cell>
          <cell r="BH1361">
            <v>37622</v>
          </cell>
          <cell r="BI1361" t="str">
            <v>O</v>
          </cell>
        </row>
        <row r="1362">
          <cell r="A1362">
            <v>97541</v>
          </cell>
          <cell r="B1362">
            <v>464</v>
          </cell>
          <cell r="C1362" t="str">
            <v>X6207</v>
          </cell>
          <cell r="D1362" t="str">
            <v>SOUAF</v>
          </cell>
          <cell r="E1362" t="str">
            <v>CHERKI</v>
          </cell>
          <cell r="F1362">
            <v>18079</v>
          </cell>
          <cell r="H1362" t="str">
            <v>FQUIH BEN SALAH</v>
          </cell>
          <cell r="I1362" t="str">
            <v>F</v>
          </cell>
          <cell r="J1362">
            <v>27590</v>
          </cell>
          <cell r="K1362">
            <v>35065</v>
          </cell>
          <cell r="L1362" t="str">
            <v>52</v>
          </cell>
          <cell r="M1362" t="str">
            <v>C</v>
          </cell>
          <cell r="N1362">
            <v>35065</v>
          </cell>
          <cell r="P1362">
            <v>27</v>
          </cell>
          <cell r="Q1362" t="str">
            <v>O</v>
          </cell>
          <cell r="R1362" t="str">
            <v>N</v>
          </cell>
          <cell r="S1362">
            <v>0</v>
          </cell>
          <cell r="T1362" t="str">
            <v>M</v>
          </cell>
          <cell r="U1362" t="str">
            <v>MEHDAOUI MALIKA</v>
          </cell>
          <cell r="X1362">
            <v>6</v>
          </cell>
          <cell r="Y1362">
            <v>3</v>
          </cell>
          <cell r="AB1362" t="str">
            <v>X</v>
          </cell>
          <cell r="AC1362" t="str">
            <v>X</v>
          </cell>
          <cell r="AD1362" t="str">
            <v>X</v>
          </cell>
          <cell r="AH1362" t="str">
            <v>O</v>
          </cell>
          <cell r="AI1362" t="str">
            <v>N</v>
          </cell>
          <cell r="AK1362" t="str">
            <v>10 RUE EL HANSALI OCP - KHOURIBGA</v>
          </cell>
          <cell r="AL1362" t="str">
            <v>6 A.T.I</v>
          </cell>
          <cell r="AM1362" t="str">
            <v>CEP.CES.DTM.EMM</v>
          </cell>
          <cell r="AP1362" t="str">
            <v>Q 3546</v>
          </cell>
          <cell r="AQ1362">
            <v>0</v>
          </cell>
          <cell r="AR1362" t="str">
            <v>B</v>
          </cell>
          <cell r="AS1362" t="str">
            <v>CRED MAROC KHGA</v>
          </cell>
          <cell r="AT1362" t="str">
            <v>082001042044</v>
          </cell>
          <cell r="AU1362" t="str">
            <v>/  /</v>
          </cell>
          <cell r="AW1362">
            <v>38551</v>
          </cell>
          <cell r="AX1362">
            <v>38551</v>
          </cell>
          <cell r="BA1362" t="str">
            <v>2</v>
          </cell>
          <cell r="BB1362">
            <v>1</v>
          </cell>
          <cell r="BD1362">
            <v>0</v>
          </cell>
          <cell r="BE1362" t="str">
            <v>M</v>
          </cell>
          <cell r="BF1362" t="str">
            <v>N</v>
          </cell>
          <cell r="BG1362">
            <v>1</v>
          </cell>
          <cell r="BH1362">
            <v>37622</v>
          </cell>
        </row>
        <row r="1363">
          <cell r="A1363">
            <v>97546</v>
          </cell>
          <cell r="B1363">
            <v>418</v>
          </cell>
          <cell r="C1363" t="str">
            <v>X6050</v>
          </cell>
          <cell r="D1363" t="str">
            <v>ILHAM</v>
          </cell>
          <cell r="E1363" t="str">
            <v>NAJIB</v>
          </cell>
          <cell r="F1363">
            <v>19540</v>
          </cell>
          <cell r="G1363" t="str">
            <v>1</v>
          </cell>
          <cell r="H1363" t="str">
            <v>OULED BHAR KBAR KHOURIBGA</v>
          </cell>
          <cell r="I1363" t="str">
            <v>F</v>
          </cell>
          <cell r="J1363">
            <v>27590</v>
          </cell>
          <cell r="K1363">
            <v>30133</v>
          </cell>
          <cell r="L1363" t="str">
            <v>52</v>
          </cell>
          <cell r="M1363" t="str">
            <v>B</v>
          </cell>
          <cell r="N1363">
            <v>35612</v>
          </cell>
          <cell r="P1363">
            <v>27</v>
          </cell>
          <cell r="Q1363" t="str">
            <v>O</v>
          </cell>
          <cell r="R1363" t="str">
            <v>N</v>
          </cell>
          <cell r="S1363">
            <v>0</v>
          </cell>
          <cell r="T1363" t="str">
            <v>M</v>
          </cell>
          <cell r="U1363" t="str">
            <v>RIAKHI CHAIBIA BENT BOUCHAIB</v>
          </cell>
          <cell r="X1363">
            <v>3</v>
          </cell>
          <cell r="Y1363">
            <v>3</v>
          </cell>
          <cell r="AB1363" t="str">
            <v>O</v>
          </cell>
          <cell r="AC1363" t="str">
            <v>X</v>
          </cell>
          <cell r="AD1363" t="str">
            <v>X</v>
          </cell>
          <cell r="AE1363" t="str">
            <v>MINI.EDUC.NAT.</v>
          </cell>
          <cell r="AH1363" t="str">
            <v>N</v>
          </cell>
          <cell r="AI1363" t="str">
            <v>O</v>
          </cell>
          <cell r="AJ1363">
            <v>35065</v>
          </cell>
          <cell r="AK1363" t="str">
            <v>107,AVENUE D'EGUPTE EL KARAM KHOURIBGA</v>
          </cell>
          <cell r="AL1363" t="str">
            <v>6 A.T.I</v>
          </cell>
          <cell r="AM1363" t="str">
            <v>CEP.CES.DTM.EMM</v>
          </cell>
          <cell r="AP1363" t="str">
            <v>Q 32420</v>
          </cell>
          <cell r="AQ1363">
            <v>0</v>
          </cell>
          <cell r="AR1363" t="str">
            <v>B</v>
          </cell>
          <cell r="AS1363" t="str">
            <v>C.I.H - KHGA</v>
          </cell>
          <cell r="AT1363" t="str">
            <v>9391137211004700</v>
          </cell>
          <cell r="AU1363" t="str">
            <v>/  /</v>
          </cell>
          <cell r="AW1363">
            <v>37803</v>
          </cell>
          <cell r="BA1363" t="str">
            <v>2</v>
          </cell>
          <cell r="BB1363">
            <v>1</v>
          </cell>
          <cell r="BC1363" t="str">
            <v>N</v>
          </cell>
          <cell r="BD1363">
            <v>0</v>
          </cell>
          <cell r="BE1363" t="str">
            <v>M</v>
          </cell>
          <cell r="BF1363" t="str">
            <v>N</v>
          </cell>
          <cell r="BG1363">
            <v>4</v>
          </cell>
          <cell r="BH1363">
            <v>37803</v>
          </cell>
          <cell r="BI1363" t="str">
            <v>O</v>
          </cell>
        </row>
        <row r="1364">
          <cell r="A1364">
            <v>97549</v>
          </cell>
          <cell r="B1364">
            <v>476</v>
          </cell>
          <cell r="C1364" t="str">
            <v>X5150</v>
          </cell>
          <cell r="D1364" t="str">
            <v>MOUADEN</v>
          </cell>
          <cell r="E1364" t="str">
            <v>AHMED</v>
          </cell>
          <cell r="F1364">
            <v>18444</v>
          </cell>
          <cell r="H1364" t="str">
            <v>BENI OUJJINE - BENI MELLAL</v>
          </cell>
          <cell r="I1364" t="str">
            <v>F</v>
          </cell>
          <cell r="J1364">
            <v>27590</v>
          </cell>
          <cell r="K1364">
            <v>32690</v>
          </cell>
          <cell r="L1364" t="str">
            <v>51</v>
          </cell>
          <cell r="M1364" t="str">
            <v>C</v>
          </cell>
          <cell r="N1364">
            <v>35612</v>
          </cell>
          <cell r="P1364">
            <v>27</v>
          </cell>
          <cell r="Q1364" t="str">
            <v>O</v>
          </cell>
          <cell r="R1364" t="str">
            <v>N</v>
          </cell>
          <cell r="S1364">
            <v>0</v>
          </cell>
          <cell r="T1364" t="str">
            <v>M</v>
          </cell>
          <cell r="U1364" t="str">
            <v>KHAIRATE SAMIRA</v>
          </cell>
          <cell r="X1364">
            <v>5</v>
          </cell>
          <cell r="Y1364">
            <v>1</v>
          </cell>
          <cell r="AB1364" t="str">
            <v>X</v>
          </cell>
          <cell r="AC1364" t="str">
            <v>X</v>
          </cell>
          <cell r="AD1364" t="str">
            <v>X</v>
          </cell>
          <cell r="AH1364" t="str">
            <v>N</v>
          </cell>
          <cell r="AI1364" t="str">
            <v>N</v>
          </cell>
          <cell r="AK1364" t="str">
            <v>6 ERRACHAD 1 RUE MALAOUI NAHDA - KHGA</v>
          </cell>
          <cell r="AL1364" t="str">
            <v>6 A.T.I</v>
          </cell>
          <cell r="AM1364" t="str">
            <v>CEP.CES.DTM.EMM</v>
          </cell>
          <cell r="AP1364" t="str">
            <v>Q 17352</v>
          </cell>
          <cell r="AQ1364">
            <v>0</v>
          </cell>
          <cell r="AR1364" t="str">
            <v>B</v>
          </cell>
          <cell r="AS1364" t="str">
            <v>C.I.H - KHOURIBGA</v>
          </cell>
          <cell r="AT1364" t="str">
            <v>7947690211004700</v>
          </cell>
          <cell r="AU1364" t="str">
            <v>/  /</v>
          </cell>
          <cell r="AW1364">
            <v>38551</v>
          </cell>
          <cell r="AX1364">
            <v>38551</v>
          </cell>
          <cell r="AZ1364" t="str">
            <v>K</v>
          </cell>
          <cell r="BA1364" t="str">
            <v>1</v>
          </cell>
          <cell r="BB1364">
            <v>1</v>
          </cell>
          <cell r="BC1364" t="str">
            <v>N</v>
          </cell>
          <cell r="BD1364">
            <v>0</v>
          </cell>
          <cell r="BE1364" t="str">
            <v>M</v>
          </cell>
          <cell r="BF1364" t="str">
            <v>N</v>
          </cell>
          <cell r="BG1364">
            <v>1</v>
          </cell>
          <cell r="BH1364">
            <v>37622</v>
          </cell>
          <cell r="BI1364" t="str">
            <v>O</v>
          </cell>
        </row>
        <row r="1365">
          <cell r="A1365">
            <v>97553</v>
          </cell>
          <cell r="B1365">
            <v>415</v>
          </cell>
          <cell r="C1365" t="str">
            <v>X6300</v>
          </cell>
          <cell r="D1365" t="str">
            <v>EL OUARDI</v>
          </cell>
          <cell r="E1365" t="str">
            <v>ABDESLAM</v>
          </cell>
          <cell r="F1365">
            <v>18079</v>
          </cell>
          <cell r="H1365" t="str">
            <v>KASBAT TADLA - BENI MELLAL</v>
          </cell>
          <cell r="I1365" t="str">
            <v>F</v>
          </cell>
          <cell r="J1365">
            <v>27590</v>
          </cell>
          <cell r="K1365">
            <v>35065</v>
          </cell>
          <cell r="L1365" t="str">
            <v>52</v>
          </cell>
          <cell r="M1365" t="str">
            <v>A</v>
          </cell>
          <cell r="N1365">
            <v>35065</v>
          </cell>
          <cell r="O1365">
            <v>29401.66</v>
          </cell>
          <cell r="P1365">
            <v>27</v>
          </cell>
          <cell r="Q1365" t="str">
            <v>O</v>
          </cell>
          <cell r="R1365" t="str">
            <v>N</v>
          </cell>
          <cell r="S1365">
            <v>0</v>
          </cell>
          <cell r="T1365" t="str">
            <v>M</v>
          </cell>
          <cell r="U1365" t="str">
            <v>AACHIBAT SOUMIA</v>
          </cell>
          <cell r="X1365">
            <v>5</v>
          </cell>
          <cell r="Y1365">
            <v>2</v>
          </cell>
          <cell r="AB1365" t="str">
            <v>X</v>
          </cell>
          <cell r="AC1365" t="str">
            <v>X</v>
          </cell>
          <cell r="AD1365" t="str">
            <v>X</v>
          </cell>
          <cell r="AH1365" t="str">
            <v>N</v>
          </cell>
          <cell r="AI1365" t="str">
            <v>N</v>
          </cell>
          <cell r="AK1365" t="str">
            <v>05 BD ALLAL EL FASSI NAHDA - KHOURIBGA</v>
          </cell>
          <cell r="AL1365" t="str">
            <v>6 A.T.I</v>
          </cell>
          <cell r="AM1365" t="str">
            <v>CEP.CES.DTM.EMM</v>
          </cell>
          <cell r="AP1365" t="str">
            <v>Q 30151</v>
          </cell>
          <cell r="AQ1365">
            <v>0</v>
          </cell>
          <cell r="AR1365" t="str">
            <v>B</v>
          </cell>
          <cell r="AS1365" t="str">
            <v>POPULAIRE.KHGA</v>
          </cell>
          <cell r="AT1365" t="str">
            <v>2111112765270009</v>
          </cell>
          <cell r="AU1365" t="str">
            <v>/  /</v>
          </cell>
          <cell r="AW1365">
            <v>37622</v>
          </cell>
          <cell r="BA1365" t="str">
            <v>2</v>
          </cell>
          <cell r="BB1365">
            <v>1</v>
          </cell>
          <cell r="BD1365">
            <v>0</v>
          </cell>
          <cell r="BE1365" t="str">
            <v>M</v>
          </cell>
          <cell r="BF1365" t="str">
            <v>N</v>
          </cell>
          <cell r="BG1365">
            <v>1</v>
          </cell>
          <cell r="BH1365">
            <v>37622</v>
          </cell>
          <cell r="BI1365" t="str">
            <v>O</v>
          </cell>
        </row>
        <row r="1366">
          <cell r="A1366">
            <v>97555</v>
          </cell>
          <cell r="B1366">
            <v>461</v>
          </cell>
          <cell r="C1366" t="str">
            <v>X3150</v>
          </cell>
          <cell r="D1366" t="str">
            <v>MNOUNI</v>
          </cell>
          <cell r="E1366" t="str">
            <v>ABDESLAM</v>
          </cell>
          <cell r="F1366">
            <v>19175</v>
          </cell>
          <cell r="H1366" t="str">
            <v>TAROUAL - OUAZZANE</v>
          </cell>
          <cell r="I1366" t="str">
            <v>F</v>
          </cell>
          <cell r="J1366">
            <v>27590</v>
          </cell>
          <cell r="K1366">
            <v>33420</v>
          </cell>
          <cell r="L1366" t="str">
            <v>41</v>
          </cell>
          <cell r="M1366" t="str">
            <v>A</v>
          </cell>
          <cell r="N1366">
            <v>33420</v>
          </cell>
          <cell r="P1366">
            <v>27</v>
          </cell>
          <cell r="Q1366" t="str">
            <v>O</v>
          </cell>
          <cell r="R1366" t="str">
            <v>N</v>
          </cell>
          <cell r="S1366">
            <v>0</v>
          </cell>
          <cell r="T1366" t="str">
            <v>M</v>
          </cell>
          <cell r="U1366" t="str">
            <v>ETTAHIRI MINA</v>
          </cell>
          <cell r="X1366">
            <v>5</v>
          </cell>
          <cell r="Y1366">
            <v>3</v>
          </cell>
          <cell r="AB1366" t="str">
            <v>X</v>
          </cell>
          <cell r="AC1366" t="str">
            <v>X</v>
          </cell>
          <cell r="AD1366" t="str">
            <v>X</v>
          </cell>
          <cell r="AH1366" t="str">
            <v>N</v>
          </cell>
          <cell r="AI1366" t="str">
            <v>N</v>
          </cell>
          <cell r="AK1366" t="str">
            <v>11 LOTISSEMENT ARD EL KHEIR 2 RIAD KHGA</v>
          </cell>
          <cell r="AL1366" t="str">
            <v>7 A.T.I</v>
          </cell>
          <cell r="AM1366" t="str">
            <v>CEP.CES.EMM</v>
          </cell>
          <cell r="AP1366" t="str">
            <v>Q 29383</v>
          </cell>
          <cell r="AQ1366">
            <v>0</v>
          </cell>
          <cell r="AR1366" t="str">
            <v>B</v>
          </cell>
          <cell r="AS1366" t="str">
            <v>POPULAIRE.KHGA</v>
          </cell>
          <cell r="AT1366" t="str">
            <v>2111112765280008</v>
          </cell>
          <cell r="AU1366" t="str">
            <v>/  /</v>
          </cell>
          <cell r="AW1366">
            <v>37622</v>
          </cell>
          <cell r="BA1366" t="str">
            <v>1</v>
          </cell>
          <cell r="BB1366">
            <v>1</v>
          </cell>
          <cell r="BC1366" t="str">
            <v>O</v>
          </cell>
          <cell r="BD1366">
            <v>0</v>
          </cell>
          <cell r="BE1366" t="str">
            <v>M</v>
          </cell>
          <cell r="BF1366" t="str">
            <v>N</v>
          </cell>
          <cell r="BG1366">
            <v>5</v>
          </cell>
          <cell r="BH1366">
            <v>37622</v>
          </cell>
          <cell r="BI1366" t="str">
            <v>O</v>
          </cell>
        </row>
        <row r="1367">
          <cell r="A1367">
            <v>97556</v>
          </cell>
          <cell r="B1367">
            <v>421</v>
          </cell>
          <cell r="C1367" t="str">
            <v>X4150</v>
          </cell>
          <cell r="D1367" t="str">
            <v>BAJDA</v>
          </cell>
          <cell r="E1367" t="str">
            <v>MOHAMMAD</v>
          </cell>
          <cell r="F1367">
            <v>19175</v>
          </cell>
          <cell r="H1367" t="str">
            <v>ZALGUENE BZOU - BENI MELLAL</v>
          </cell>
          <cell r="I1367" t="str">
            <v>F</v>
          </cell>
          <cell r="J1367">
            <v>27590</v>
          </cell>
          <cell r="K1367">
            <v>36526</v>
          </cell>
          <cell r="L1367" t="str">
            <v>42</v>
          </cell>
          <cell r="M1367" t="str">
            <v>B</v>
          </cell>
          <cell r="N1367">
            <v>36526</v>
          </cell>
          <cell r="P1367">
            <v>27</v>
          </cell>
          <cell r="Q1367" t="str">
            <v>O</v>
          </cell>
          <cell r="R1367" t="str">
            <v>N</v>
          </cell>
          <cell r="S1367">
            <v>0</v>
          </cell>
          <cell r="T1367" t="str">
            <v>M</v>
          </cell>
          <cell r="U1367" t="str">
            <v>KHADDOUJ BENT AHMED HANAOUI</v>
          </cell>
          <cell r="X1367">
            <v>3</v>
          </cell>
          <cell r="Y1367">
            <v>1</v>
          </cell>
          <cell r="AB1367" t="str">
            <v>X</v>
          </cell>
          <cell r="AC1367" t="str">
            <v>X</v>
          </cell>
          <cell r="AD1367" t="str">
            <v>X</v>
          </cell>
          <cell r="AH1367" t="str">
            <v>N</v>
          </cell>
          <cell r="AI1367" t="str">
            <v>N</v>
          </cell>
          <cell r="AK1367" t="str">
            <v>4 ERRACHAD 3 NAHDA RUE EL MALAOUI - KHGA</v>
          </cell>
          <cell r="AL1367" t="str">
            <v>6 A.T.I</v>
          </cell>
          <cell r="AM1367" t="str">
            <v>CEP.CES.DTM.EMM</v>
          </cell>
          <cell r="AP1367" t="str">
            <v>Q 76710</v>
          </cell>
          <cell r="AQ1367">
            <v>0</v>
          </cell>
          <cell r="AR1367" t="str">
            <v>B</v>
          </cell>
          <cell r="AS1367" t="str">
            <v>C.I.H  KHGA</v>
          </cell>
          <cell r="AT1367" t="str">
            <v>7933468211004700</v>
          </cell>
          <cell r="AU1367" t="str">
            <v>/  /</v>
          </cell>
          <cell r="AW1367">
            <v>37622</v>
          </cell>
          <cell r="BA1367" t="str">
            <v>1</v>
          </cell>
          <cell r="BB1367">
            <v>1</v>
          </cell>
          <cell r="BD1367">
            <v>0</v>
          </cell>
          <cell r="BE1367" t="str">
            <v>M</v>
          </cell>
          <cell r="BF1367" t="str">
            <v>N</v>
          </cell>
          <cell r="BG1367">
            <v>4</v>
          </cell>
          <cell r="BH1367">
            <v>37622</v>
          </cell>
          <cell r="BI1367" t="str">
            <v>O</v>
          </cell>
        </row>
        <row r="1368">
          <cell r="A1368">
            <v>97558</v>
          </cell>
          <cell r="B1368">
            <v>403</v>
          </cell>
          <cell r="C1368" t="str">
            <v>X6150</v>
          </cell>
          <cell r="D1368" t="str">
            <v>NABAT</v>
          </cell>
          <cell r="E1368" t="str">
            <v>ALI</v>
          </cell>
          <cell r="F1368">
            <v>19175</v>
          </cell>
          <cell r="H1368" t="str">
            <v>LAHLAF BEN AHMED - SETTAT</v>
          </cell>
          <cell r="I1368" t="str">
            <v>F</v>
          </cell>
          <cell r="J1368">
            <v>27590</v>
          </cell>
          <cell r="K1368">
            <v>33573</v>
          </cell>
          <cell r="L1368" t="str">
            <v>52</v>
          </cell>
          <cell r="M1368" t="str">
            <v>A</v>
          </cell>
          <cell r="N1368">
            <v>33573</v>
          </cell>
          <cell r="O1368">
            <v>0</v>
          </cell>
          <cell r="P1368">
            <v>27</v>
          </cell>
          <cell r="Q1368" t="str">
            <v>O</v>
          </cell>
          <cell r="R1368" t="str">
            <v>N</v>
          </cell>
          <cell r="S1368">
            <v>0</v>
          </cell>
          <cell r="T1368" t="str">
            <v>M</v>
          </cell>
          <cell r="U1368" t="str">
            <v>ZAOUALI JAMILA</v>
          </cell>
          <cell r="X1368">
            <v>5</v>
          </cell>
          <cell r="Y1368">
            <v>3</v>
          </cell>
          <cell r="AB1368" t="str">
            <v>X</v>
          </cell>
          <cell r="AC1368" t="str">
            <v>X</v>
          </cell>
          <cell r="AD1368" t="str">
            <v>X</v>
          </cell>
          <cell r="AH1368" t="str">
            <v>N</v>
          </cell>
          <cell r="AI1368" t="str">
            <v>O</v>
          </cell>
          <cell r="AJ1368">
            <v>35765</v>
          </cell>
          <cell r="AK1368" t="str">
            <v>490,QUARTIER EL AMAL - ERAC KHOURIBGA</v>
          </cell>
          <cell r="AL1368" t="str">
            <v>7 A.T.I</v>
          </cell>
          <cell r="AM1368" t="str">
            <v>CEP.CES.DTM.EMM</v>
          </cell>
          <cell r="AN1368" t="str">
            <v>49═67═27</v>
          </cell>
          <cell r="AO1368" t="str">
            <v>2680</v>
          </cell>
          <cell r="AP1368" t="str">
            <v>Q 24640</v>
          </cell>
          <cell r="AQ1368">
            <v>0</v>
          </cell>
          <cell r="AR1368" t="str">
            <v>B</v>
          </cell>
          <cell r="AS1368" t="str">
            <v>BMCE.KHGA</v>
          </cell>
          <cell r="AT1368" t="str">
            <v>40001200000111607</v>
          </cell>
          <cell r="AU1368" t="str">
            <v>/  /</v>
          </cell>
          <cell r="AW1368">
            <v>38551</v>
          </cell>
          <cell r="AX1368">
            <v>38551</v>
          </cell>
          <cell r="BA1368" t="str">
            <v>1</v>
          </cell>
          <cell r="BB1368">
            <v>1</v>
          </cell>
          <cell r="BD1368">
            <v>0</v>
          </cell>
          <cell r="BE1368" t="str">
            <v>M</v>
          </cell>
          <cell r="BF1368" t="str">
            <v>N</v>
          </cell>
          <cell r="BG1368">
            <v>1</v>
          </cell>
          <cell r="BH1368">
            <v>37622</v>
          </cell>
          <cell r="BI1368" t="str">
            <v>O</v>
          </cell>
        </row>
        <row r="1369">
          <cell r="A1369">
            <v>97559</v>
          </cell>
          <cell r="B1369">
            <v>412</v>
          </cell>
          <cell r="C1369" t="str">
            <v>X5036</v>
          </cell>
          <cell r="D1369" t="str">
            <v>ZAOUI</v>
          </cell>
          <cell r="E1369" t="str">
            <v>ABDELKRIM</v>
          </cell>
          <cell r="F1369">
            <v>18810</v>
          </cell>
          <cell r="H1369" t="str">
            <v>OUJDA</v>
          </cell>
          <cell r="I1369" t="str">
            <v>F</v>
          </cell>
          <cell r="J1369">
            <v>27590</v>
          </cell>
          <cell r="K1369">
            <v>34151</v>
          </cell>
          <cell r="L1369" t="str">
            <v>51</v>
          </cell>
          <cell r="M1369" t="str">
            <v>A</v>
          </cell>
          <cell r="N1369">
            <v>34151</v>
          </cell>
          <cell r="P1369">
            <v>27</v>
          </cell>
          <cell r="Q1369" t="str">
            <v>O</v>
          </cell>
          <cell r="R1369" t="str">
            <v>N</v>
          </cell>
          <cell r="S1369">
            <v>0</v>
          </cell>
          <cell r="T1369" t="str">
            <v>M</v>
          </cell>
          <cell r="U1369" t="str">
            <v>CHAOUI YAMINA</v>
          </cell>
          <cell r="X1369">
            <v>3</v>
          </cell>
          <cell r="Y1369">
            <v>2</v>
          </cell>
          <cell r="AB1369" t="str">
            <v>X</v>
          </cell>
          <cell r="AC1369" t="str">
            <v>X</v>
          </cell>
          <cell r="AD1369" t="str">
            <v>X</v>
          </cell>
          <cell r="AH1369" t="str">
            <v>N</v>
          </cell>
          <cell r="AI1369" t="str">
            <v>O</v>
          </cell>
          <cell r="AJ1369">
            <v>35765</v>
          </cell>
          <cell r="AK1369" t="str">
            <v>361 LOTISSEMENT EL HANA KHOURIBGA</v>
          </cell>
          <cell r="AL1369" t="str">
            <v>7 A.T.I</v>
          </cell>
          <cell r="AM1369" t="str">
            <v>CEP.CES.EMM</v>
          </cell>
          <cell r="AP1369" t="str">
            <v>Q 48659</v>
          </cell>
          <cell r="AQ1369">
            <v>0</v>
          </cell>
          <cell r="AR1369" t="str">
            <v>B</v>
          </cell>
          <cell r="AS1369" t="str">
            <v>C.I.H - KHOURIBGA</v>
          </cell>
          <cell r="AT1369" t="str">
            <v>9391624211004700</v>
          </cell>
          <cell r="AU1369" t="str">
            <v>/  /</v>
          </cell>
          <cell r="AW1369">
            <v>37622</v>
          </cell>
          <cell r="BA1369" t="str">
            <v>2</v>
          </cell>
          <cell r="BB1369">
            <v>1</v>
          </cell>
          <cell r="BC1369" t="str">
            <v>O</v>
          </cell>
          <cell r="BD1369">
            <v>0</v>
          </cell>
          <cell r="BE1369" t="str">
            <v>M</v>
          </cell>
          <cell r="BF1369" t="str">
            <v>N</v>
          </cell>
          <cell r="BG1369">
            <v>5</v>
          </cell>
          <cell r="BH1369">
            <v>37622</v>
          </cell>
          <cell r="BI1369" t="str">
            <v>O</v>
          </cell>
        </row>
        <row r="1370">
          <cell r="A1370">
            <v>97561</v>
          </cell>
          <cell r="B1370">
            <v>412</v>
          </cell>
          <cell r="C1370" t="str">
            <v>X6036</v>
          </cell>
          <cell r="D1370" t="str">
            <v>HOURRI</v>
          </cell>
          <cell r="E1370" t="str">
            <v>SAID</v>
          </cell>
          <cell r="F1370">
            <v>19540</v>
          </cell>
          <cell r="H1370" t="str">
            <v>AGHBALA - BENI MELLAL</v>
          </cell>
          <cell r="I1370" t="str">
            <v>F</v>
          </cell>
          <cell r="J1370">
            <v>27590</v>
          </cell>
          <cell r="K1370">
            <v>37043</v>
          </cell>
          <cell r="L1370" t="str">
            <v>52</v>
          </cell>
          <cell r="M1370" t="str">
            <v>A</v>
          </cell>
          <cell r="N1370">
            <v>37043</v>
          </cell>
          <cell r="P1370">
            <v>27</v>
          </cell>
          <cell r="Q1370" t="str">
            <v>O</v>
          </cell>
          <cell r="R1370" t="str">
            <v>N</v>
          </cell>
          <cell r="S1370">
            <v>0</v>
          </cell>
          <cell r="T1370" t="str">
            <v>M</v>
          </cell>
          <cell r="U1370" t="str">
            <v>QUALMI MALIKA</v>
          </cell>
          <cell r="X1370">
            <v>5</v>
          </cell>
          <cell r="Y1370">
            <v>2</v>
          </cell>
          <cell r="AB1370" t="str">
            <v>X</v>
          </cell>
          <cell r="AC1370" t="str">
            <v>X</v>
          </cell>
          <cell r="AD1370" t="str">
            <v>X</v>
          </cell>
          <cell r="AH1370" t="str">
            <v>N</v>
          </cell>
          <cell r="AI1370" t="str">
            <v>N</v>
          </cell>
          <cell r="AK1370" t="str">
            <v>112,RUE LIBERIA EL KARAM NAHDA KHOURIBGA</v>
          </cell>
          <cell r="AL1370" t="str">
            <v>7 A.I</v>
          </cell>
          <cell r="AM1370" t="str">
            <v>CEP.DTM.EMM</v>
          </cell>
          <cell r="AN1370" t="str">
            <v>56═27═95</v>
          </cell>
          <cell r="AP1370" t="str">
            <v>Q 13730</v>
          </cell>
          <cell r="AQ1370">
            <v>0</v>
          </cell>
          <cell r="AR1370" t="str">
            <v>B</v>
          </cell>
          <cell r="AS1370" t="str">
            <v>C.I.H  KHGA</v>
          </cell>
          <cell r="AT1370" t="str">
            <v>0880104211004700</v>
          </cell>
          <cell r="AU1370" t="str">
            <v>/  /</v>
          </cell>
          <cell r="AW1370">
            <v>37803</v>
          </cell>
          <cell r="BA1370" t="str">
            <v>2</v>
          </cell>
          <cell r="BB1370">
            <v>1</v>
          </cell>
          <cell r="BD1370">
            <v>0</v>
          </cell>
          <cell r="BE1370" t="str">
            <v>M</v>
          </cell>
          <cell r="BF1370" t="str">
            <v>N</v>
          </cell>
          <cell r="BG1370">
            <v>1</v>
          </cell>
          <cell r="BH1370">
            <v>37803</v>
          </cell>
          <cell r="BI1370" t="str">
            <v>O</v>
          </cell>
        </row>
        <row r="1371">
          <cell r="A1371">
            <v>97562</v>
          </cell>
          <cell r="B1371">
            <v>422</v>
          </cell>
          <cell r="C1371" t="str">
            <v>X6036</v>
          </cell>
          <cell r="D1371" t="str">
            <v>ATTOU</v>
          </cell>
          <cell r="E1371" t="str">
            <v>BRAHIM</v>
          </cell>
          <cell r="F1371">
            <v>18809</v>
          </cell>
          <cell r="H1371" t="str">
            <v>GOULMIMA - ERRACHIDIA</v>
          </cell>
          <cell r="I1371" t="str">
            <v>F</v>
          </cell>
          <cell r="J1371">
            <v>27590</v>
          </cell>
          <cell r="K1371">
            <v>35065</v>
          </cell>
          <cell r="L1371" t="str">
            <v>52</v>
          </cell>
          <cell r="M1371" t="str">
            <v>A</v>
          </cell>
          <cell r="N1371">
            <v>35065</v>
          </cell>
          <cell r="P1371">
            <v>27</v>
          </cell>
          <cell r="Q1371" t="str">
            <v>O</v>
          </cell>
          <cell r="R1371" t="str">
            <v>N</v>
          </cell>
          <cell r="S1371">
            <v>0</v>
          </cell>
          <cell r="T1371" t="str">
            <v>M</v>
          </cell>
          <cell r="U1371" t="str">
            <v>OUIDANI FATIMA</v>
          </cell>
          <cell r="X1371">
            <v>4</v>
          </cell>
          <cell r="Y1371">
            <v>2</v>
          </cell>
          <cell r="AB1371" t="str">
            <v>X</v>
          </cell>
          <cell r="AC1371" t="str">
            <v>X</v>
          </cell>
          <cell r="AD1371" t="str">
            <v>X</v>
          </cell>
          <cell r="AH1371" t="str">
            <v>N</v>
          </cell>
          <cell r="AI1371" t="str">
            <v>N</v>
          </cell>
          <cell r="AK1371" t="str">
            <v>7 COOPERATIVE ESSAADA HAY RIAD KHOURIBGA</v>
          </cell>
          <cell r="AL1371" t="str">
            <v>6 A.T.I</v>
          </cell>
          <cell r="AM1371" t="str">
            <v>CEP.CES.DTM.EMM</v>
          </cell>
          <cell r="AP1371" t="str">
            <v>Q 50637</v>
          </cell>
          <cell r="AQ1371">
            <v>0</v>
          </cell>
          <cell r="AR1371" t="str">
            <v>B</v>
          </cell>
          <cell r="AS1371" t="str">
            <v>POPULAIRE.KHGA</v>
          </cell>
          <cell r="AT1371" t="str">
            <v>2111112765290007</v>
          </cell>
          <cell r="AU1371" t="str">
            <v>/  /</v>
          </cell>
          <cell r="AW1371">
            <v>37622</v>
          </cell>
          <cell r="BA1371" t="str">
            <v>2</v>
          </cell>
          <cell r="BB1371">
            <v>1</v>
          </cell>
          <cell r="BD1371">
            <v>0</v>
          </cell>
          <cell r="BE1371" t="str">
            <v>M</v>
          </cell>
          <cell r="BF1371" t="str">
            <v>N</v>
          </cell>
          <cell r="BG1371">
            <v>1</v>
          </cell>
          <cell r="BH1371">
            <v>37622</v>
          </cell>
          <cell r="BI1371" t="str">
            <v>O</v>
          </cell>
        </row>
        <row r="1372">
          <cell r="A1372">
            <v>97593</v>
          </cell>
          <cell r="B1372">
            <v>412</v>
          </cell>
          <cell r="C1372" t="str">
            <v>X5036</v>
          </cell>
          <cell r="D1372" t="str">
            <v>IZENZAR</v>
          </cell>
          <cell r="E1372" t="str">
            <v>MOULOUD</v>
          </cell>
          <cell r="F1372">
            <v>19540</v>
          </cell>
          <cell r="H1372" t="str">
            <v>BENI AYATTE - BENI MELLAL</v>
          </cell>
          <cell r="I1372" t="str">
            <v>F</v>
          </cell>
          <cell r="J1372">
            <v>27590</v>
          </cell>
          <cell r="K1372">
            <v>32690</v>
          </cell>
          <cell r="L1372" t="str">
            <v>51</v>
          </cell>
          <cell r="M1372" t="str">
            <v>A</v>
          </cell>
          <cell r="N1372">
            <v>32690</v>
          </cell>
          <cell r="O1372">
            <v>0</v>
          </cell>
          <cell r="P1372">
            <v>27</v>
          </cell>
          <cell r="Q1372" t="str">
            <v>O</v>
          </cell>
          <cell r="R1372" t="str">
            <v>N</v>
          </cell>
          <cell r="S1372">
            <v>0</v>
          </cell>
          <cell r="T1372" t="str">
            <v>M</v>
          </cell>
          <cell r="U1372" t="str">
            <v>EL HARAMI SAADIA</v>
          </cell>
          <cell r="X1372">
            <v>4</v>
          </cell>
          <cell r="Y1372">
            <v>2</v>
          </cell>
          <cell r="AB1372" t="str">
            <v>X</v>
          </cell>
          <cell r="AC1372" t="str">
            <v>X</v>
          </cell>
          <cell r="AD1372" t="str">
            <v>X</v>
          </cell>
          <cell r="AH1372" t="str">
            <v>O</v>
          </cell>
          <cell r="AI1372" t="str">
            <v>N</v>
          </cell>
          <cell r="AK1372" t="str">
            <v>05,RUE AFOUGHAL OCP KHOURIBGA</v>
          </cell>
          <cell r="AL1372" t="str">
            <v>7 A.T.I</v>
          </cell>
          <cell r="AM1372" t="str">
            <v>CEP.DTM.EMM</v>
          </cell>
          <cell r="AN1372" t="str">
            <v>56═73═37</v>
          </cell>
          <cell r="AP1372" t="str">
            <v>Q 61230</v>
          </cell>
          <cell r="AQ1372">
            <v>0</v>
          </cell>
          <cell r="AR1372" t="str">
            <v>B</v>
          </cell>
          <cell r="AS1372" t="str">
            <v>B.M.C.E  KHGA</v>
          </cell>
          <cell r="AT1372" t="str">
            <v>40001200000870438</v>
          </cell>
          <cell r="AU1372" t="str">
            <v>/  /</v>
          </cell>
          <cell r="AW1372">
            <v>37803</v>
          </cell>
          <cell r="BA1372" t="str">
            <v>2</v>
          </cell>
          <cell r="BB1372">
            <v>1</v>
          </cell>
          <cell r="BD1372">
            <v>0</v>
          </cell>
          <cell r="BE1372" t="str">
            <v>M</v>
          </cell>
          <cell r="BF1372" t="str">
            <v>N</v>
          </cell>
          <cell r="BG1372">
            <v>1</v>
          </cell>
          <cell r="BH1372">
            <v>37803</v>
          </cell>
          <cell r="BI1372" t="str">
            <v>O</v>
          </cell>
        </row>
        <row r="1373">
          <cell r="A1373">
            <v>97707</v>
          </cell>
          <cell r="B1373">
            <v>415</v>
          </cell>
          <cell r="C1373" t="str">
            <v>X4300</v>
          </cell>
          <cell r="D1373" t="str">
            <v>HIDA</v>
          </cell>
          <cell r="E1373" t="str">
            <v>MOHAMED</v>
          </cell>
          <cell r="F1373">
            <v>18190</v>
          </cell>
          <cell r="H1373" t="str">
            <v>AZROU</v>
          </cell>
          <cell r="I1373" t="str">
            <v>F</v>
          </cell>
          <cell r="J1373">
            <v>27967</v>
          </cell>
          <cell r="K1373">
            <v>29403</v>
          </cell>
          <cell r="L1373" t="str">
            <v>42</v>
          </cell>
          <cell r="M1373" t="str">
            <v>B</v>
          </cell>
          <cell r="N1373">
            <v>35612</v>
          </cell>
          <cell r="P1373">
            <v>26</v>
          </cell>
          <cell r="Q1373" t="str">
            <v>O</v>
          </cell>
          <cell r="R1373" t="str">
            <v>N</v>
          </cell>
          <cell r="S1373">
            <v>0</v>
          </cell>
          <cell r="T1373" t="str">
            <v>M</v>
          </cell>
          <cell r="U1373" t="str">
            <v>SALIL M'BARKA BENT ALI</v>
          </cell>
          <cell r="X1373">
            <v>6</v>
          </cell>
          <cell r="Y1373">
            <v>6</v>
          </cell>
          <cell r="Z1373" t="str">
            <v>N</v>
          </cell>
          <cell r="AA1373" t="str">
            <v>21/02/94</v>
          </cell>
          <cell r="AB1373" t="str">
            <v>X</v>
          </cell>
          <cell r="AC1373" t="str">
            <v>X</v>
          </cell>
          <cell r="AD1373" t="str">
            <v>X</v>
          </cell>
          <cell r="AH1373" t="str">
            <v>O</v>
          </cell>
          <cell r="AI1373" t="str">
            <v>N</v>
          </cell>
          <cell r="AK1373" t="str">
            <v>11,RUE IFNI  OCP KHOURIBGA</v>
          </cell>
          <cell r="AL1373" t="str">
            <v>6 A.T.I</v>
          </cell>
          <cell r="AM1373" t="str">
            <v>CEP.CES.EMM</v>
          </cell>
          <cell r="AP1373" t="str">
            <v>Q 11722</v>
          </cell>
          <cell r="AQ1373">
            <v>0</v>
          </cell>
          <cell r="AR1373" t="str">
            <v>B</v>
          </cell>
          <cell r="AS1373" t="str">
            <v>POPULAIRE.KHGA</v>
          </cell>
          <cell r="AT1373" t="str">
            <v>2111112768420007</v>
          </cell>
          <cell r="AU1373" t="str">
            <v>/  /</v>
          </cell>
          <cell r="AW1373">
            <v>37987</v>
          </cell>
          <cell r="AZ1373" t="str">
            <v>M</v>
          </cell>
          <cell r="BA1373" t="str">
            <v>2</v>
          </cell>
          <cell r="BB1373">
            <v>1</v>
          </cell>
          <cell r="BD1373">
            <v>0</v>
          </cell>
          <cell r="BE1373" t="str">
            <v>M</v>
          </cell>
          <cell r="BF1373" t="str">
            <v>N</v>
          </cell>
          <cell r="BG1373">
            <v>1</v>
          </cell>
          <cell r="BH1373">
            <v>37987</v>
          </cell>
          <cell r="BI1373" t="str">
            <v>N</v>
          </cell>
        </row>
        <row r="1374">
          <cell r="A1374">
            <v>97727</v>
          </cell>
          <cell r="B1374">
            <v>409</v>
          </cell>
          <cell r="C1374" t="str">
            <v>X5650</v>
          </cell>
          <cell r="D1374" t="str">
            <v>IGLI</v>
          </cell>
          <cell r="E1374" t="str">
            <v>MOHAMED</v>
          </cell>
          <cell r="F1374">
            <v>19175</v>
          </cell>
          <cell r="H1374" t="str">
            <v>FES</v>
          </cell>
          <cell r="I1374" t="str">
            <v>F</v>
          </cell>
          <cell r="J1374">
            <v>27972</v>
          </cell>
          <cell r="K1374">
            <v>37257</v>
          </cell>
          <cell r="L1374" t="str">
            <v>51</v>
          </cell>
          <cell r="M1374" t="str">
            <v>A</v>
          </cell>
          <cell r="N1374">
            <v>37257</v>
          </cell>
          <cell r="O1374">
            <v>0</v>
          </cell>
          <cell r="P1374">
            <v>26</v>
          </cell>
          <cell r="Q1374" t="str">
            <v>O</v>
          </cell>
          <cell r="R1374" t="str">
            <v>N</v>
          </cell>
          <cell r="S1374">
            <v>0</v>
          </cell>
          <cell r="T1374" t="str">
            <v>M</v>
          </cell>
          <cell r="U1374" t="str">
            <v>EL OMAMMI FATIMA BENT AHMED</v>
          </cell>
          <cell r="X1374">
            <v>3</v>
          </cell>
          <cell r="Y1374">
            <v>2</v>
          </cell>
          <cell r="Z1374" t="str">
            <v>O</v>
          </cell>
          <cell r="AA1374" t="str">
            <v>28/08/91</v>
          </cell>
          <cell r="AB1374" t="str">
            <v>O</v>
          </cell>
          <cell r="AC1374" t="str">
            <v>X</v>
          </cell>
          <cell r="AD1374" t="str">
            <v>X</v>
          </cell>
          <cell r="AE1374" t="str">
            <v>PREFACTURE KHGA</v>
          </cell>
          <cell r="AH1374" t="str">
            <v>O</v>
          </cell>
          <cell r="AI1374" t="str">
            <v>N</v>
          </cell>
          <cell r="AK1374" t="str">
            <v>39,RUE EL ANOUAR OCP KHOURIBGA</v>
          </cell>
          <cell r="AL1374" t="str">
            <v>7 A.T.I</v>
          </cell>
          <cell r="AM1374" t="str">
            <v>CEP.CES.DTM.EMM</v>
          </cell>
          <cell r="AN1374" t="str">
            <v>49═25═86</v>
          </cell>
          <cell r="AP1374" t="str">
            <v>Q 38199</v>
          </cell>
          <cell r="AQ1374">
            <v>0</v>
          </cell>
          <cell r="AR1374" t="str">
            <v>B</v>
          </cell>
          <cell r="AS1374" t="str">
            <v>BCM - KHOURIBGA</v>
          </cell>
          <cell r="AT1374" t="str">
            <v>97 X 300164</v>
          </cell>
          <cell r="AU1374" t="str">
            <v>/  /</v>
          </cell>
          <cell r="AW1374">
            <v>37987</v>
          </cell>
          <cell r="AZ1374" t="str">
            <v>M</v>
          </cell>
          <cell r="BA1374" t="str">
            <v>2</v>
          </cell>
          <cell r="BB1374">
            <v>0</v>
          </cell>
          <cell r="BD1374">
            <v>0</v>
          </cell>
          <cell r="BE1374" t="str">
            <v>M</v>
          </cell>
          <cell r="BF1374" t="str">
            <v>N</v>
          </cell>
          <cell r="BG1374">
            <v>1</v>
          </cell>
          <cell r="BH1374">
            <v>39083</v>
          </cell>
        </row>
        <row r="1375">
          <cell r="A1375">
            <v>97728</v>
          </cell>
          <cell r="B1375">
            <v>405</v>
          </cell>
          <cell r="C1375" t="str">
            <v>X5300</v>
          </cell>
          <cell r="D1375" t="str">
            <v>EL ABDI</v>
          </cell>
          <cell r="E1375" t="str">
            <v>ABDELAZIZ</v>
          </cell>
          <cell r="F1375">
            <v>19540</v>
          </cell>
          <cell r="H1375" t="str">
            <v>BEN GUERIR</v>
          </cell>
          <cell r="I1375" t="str">
            <v>F</v>
          </cell>
          <cell r="J1375">
            <v>27974</v>
          </cell>
          <cell r="K1375">
            <v>34335</v>
          </cell>
          <cell r="L1375" t="str">
            <v>51</v>
          </cell>
          <cell r="M1375" t="str">
            <v>A</v>
          </cell>
          <cell r="N1375">
            <v>34335</v>
          </cell>
          <cell r="P1375">
            <v>26</v>
          </cell>
          <cell r="Q1375" t="str">
            <v>O</v>
          </cell>
          <cell r="R1375" t="str">
            <v>N</v>
          </cell>
          <cell r="S1375">
            <v>0</v>
          </cell>
          <cell r="T1375" t="str">
            <v>M</v>
          </cell>
          <cell r="U1375" t="str">
            <v>KHAOUAKHI FATIMA BENT DRISS</v>
          </cell>
          <cell r="X1375">
            <v>5</v>
          </cell>
          <cell r="Y1375">
            <v>4</v>
          </cell>
          <cell r="AB1375" t="str">
            <v>X</v>
          </cell>
          <cell r="AC1375" t="str">
            <v>X</v>
          </cell>
          <cell r="AD1375" t="str">
            <v>X</v>
          </cell>
          <cell r="AH1375" t="str">
            <v>N</v>
          </cell>
          <cell r="AI1375" t="str">
            <v>O</v>
          </cell>
          <cell r="AJ1375">
            <v>35796</v>
          </cell>
          <cell r="AK1375" t="str">
            <v>279 EL HANA KHOURIBGA</v>
          </cell>
          <cell r="AL1375" t="str">
            <v>7 A.T.I</v>
          </cell>
          <cell r="AM1375" t="str">
            <v>CEP.CES.EMM</v>
          </cell>
          <cell r="AP1375" t="str">
            <v>Q 38099</v>
          </cell>
          <cell r="AQ1375">
            <v>0</v>
          </cell>
          <cell r="AR1375" t="str">
            <v>B</v>
          </cell>
          <cell r="AS1375" t="str">
            <v>C.I.H - KHGA</v>
          </cell>
          <cell r="AT1375" t="str">
            <v>7290885213004700</v>
          </cell>
          <cell r="AU1375" t="str">
            <v>/  /</v>
          </cell>
          <cell r="AW1375">
            <v>37987</v>
          </cell>
          <cell r="BA1375" t="str">
            <v>2</v>
          </cell>
          <cell r="BB1375">
            <v>1</v>
          </cell>
          <cell r="BD1375">
            <v>0</v>
          </cell>
          <cell r="BE1375" t="str">
            <v>M</v>
          </cell>
          <cell r="BF1375" t="str">
            <v>N</v>
          </cell>
          <cell r="BG1375">
            <v>1</v>
          </cell>
          <cell r="BH1375">
            <v>37987</v>
          </cell>
          <cell r="BI1375" t="str">
            <v>O</v>
          </cell>
        </row>
        <row r="1376">
          <cell r="A1376">
            <v>97731</v>
          </cell>
          <cell r="B1376">
            <v>409</v>
          </cell>
          <cell r="C1376" t="str">
            <v>X4032</v>
          </cell>
          <cell r="D1376" t="str">
            <v>RAOUTANI</v>
          </cell>
          <cell r="E1376" t="str">
            <v>MOHAMED</v>
          </cell>
          <cell r="F1376">
            <v>18444</v>
          </cell>
          <cell r="H1376" t="str">
            <v>FQUIH BEN SALAH</v>
          </cell>
          <cell r="I1376" t="str">
            <v>F</v>
          </cell>
          <cell r="J1376">
            <v>27971</v>
          </cell>
          <cell r="K1376">
            <v>36526</v>
          </cell>
          <cell r="L1376" t="str">
            <v>42</v>
          </cell>
          <cell r="M1376" t="str">
            <v>C</v>
          </cell>
          <cell r="N1376">
            <v>36526</v>
          </cell>
          <cell r="P1376">
            <v>26</v>
          </cell>
          <cell r="Q1376" t="str">
            <v>O</v>
          </cell>
          <cell r="R1376" t="str">
            <v>N</v>
          </cell>
          <cell r="S1376">
            <v>0</v>
          </cell>
          <cell r="T1376" t="str">
            <v>M</v>
          </cell>
          <cell r="U1376" t="str">
            <v>BENLINDA ZOHRA</v>
          </cell>
          <cell r="X1376">
            <v>1</v>
          </cell>
          <cell r="Y1376">
            <v>1</v>
          </cell>
          <cell r="AB1376" t="str">
            <v>X</v>
          </cell>
          <cell r="AC1376" t="str">
            <v>X</v>
          </cell>
          <cell r="AD1376" t="str">
            <v>X</v>
          </cell>
          <cell r="AH1376" t="str">
            <v>O</v>
          </cell>
          <cell r="AI1376" t="str">
            <v>N</v>
          </cell>
          <cell r="AK1376" t="str">
            <v>28 RUE EL ANOUAR  O.C.P - KHOURIBGA</v>
          </cell>
          <cell r="AL1376" t="str">
            <v>7 A.T.I</v>
          </cell>
          <cell r="AM1376" t="str">
            <v>CEP.CES.DTM.EMM</v>
          </cell>
          <cell r="AP1376" t="str">
            <v>Q 26327</v>
          </cell>
          <cell r="AQ1376">
            <v>0</v>
          </cell>
          <cell r="AR1376" t="str">
            <v>B</v>
          </cell>
          <cell r="AS1376" t="str">
            <v>BMCE-KHOURIBGA</v>
          </cell>
          <cell r="AT1376" t="str">
            <v>40001200000131007</v>
          </cell>
          <cell r="AU1376" t="str">
            <v>/  /</v>
          </cell>
          <cell r="AW1376">
            <v>37987</v>
          </cell>
          <cell r="BA1376" t="str">
            <v>2</v>
          </cell>
          <cell r="BB1376">
            <v>1</v>
          </cell>
          <cell r="BD1376">
            <v>0</v>
          </cell>
          <cell r="BE1376" t="str">
            <v>M</v>
          </cell>
          <cell r="BF1376" t="str">
            <v>N</v>
          </cell>
          <cell r="BG1376">
            <v>1</v>
          </cell>
          <cell r="BH1376">
            <v>37987</v>
          </cell>
        </row>
        <row r="1377">
          <cell r="A1377">
            <v>97733</v>
          </cell>
          <cell r="B1377">
            <v>461</v>
          </cell>
          <cell r="C1377" t="str">
            <v>X4150</v>
          </cell>
          <cell r="D1377" t="str">
            <v>ZHIRI</v>
          </cell>
          <cell r="E1377" t="str">
            <v>AHMED</v>
          </cell>
          <cell r="F1377">
            <v>19175</v>
          </cell>
          <cell r="H1377" t="str">
            <v>MOKRISSET - OUAZZANE</v>
          </cell>
          <cell r="I1377" t="str">
            <v>F</v>
          </cell>
          <cell r="J1377">
            <v>27972</v>
          </cell>
          <cell r="K1377">
            <v>35065</v>
          </cell>
          <cell r="L1377" t="str">
            <v>42</v>
          </cell>
          <cell r="M1377" t="str">
            <v>B</v>
          </cell>
          <cell r="N1377">
            <v>35065</v>
          </cell>
          <cell r="P1377">
            <v>26</v>
          </cell>
          <cell r="Q1377" t="str">
            <v>O</v>
          </cell>
          <cell r="R1377" t="str">
            <v>N</v>
          </cell>
          <cell r="S1377">
            <v>0</v>
          </cell>
          <cell r="T1377" t="str">
            <v>M</v>
          </cell>
          <cell r="U1377" t="str">
            <v>SAADIA BENT ABDESLAM AMOUAL</v>
          </cell>
          <cell r="X1377">
            <v>2</v>
          </cell>
          <cell r="Y1377">
            <v>1</v>
          </cell>
          <cell r="AB1377" t="str">
            <v>X</v>
          </cell>
          <cell r="AC1377" t="str">
            <v>X</v>
          </cell>
          <cell r="AD1377" t="str">
            <v>X</v>
          </cell>
          <cell r="AH1377" t="str">
            <v>N</v>
          </cell>
          <cell r="AI1377" t="str">
            <v>N</v>
          </cell>
          <cell r="AK1377" t="str">
            <v>302,LOTISSEMENT YASSMINE I KHOURIBGA</v>
          </cell>
          <cell r="AL1377" t="str">
            <v>7 A.T.I</v>
          </cell>
          <cell r="AM1377" t="str">
            <v>CEP.CES.DTM.EMM</v>
          </cell>
          <cell r="AP1377" t="str">
            <v>Q 41039</v>
          </cell>
          <cell r="AQ1377">
            <v>0</v>
          </cell>
          <cell r="AR1377" t="str">
            <v>B</v>
          </cell>
          <cell r="AS1377" t="str">
            <v>B.M.C.I-KHOURIBGA</v>
          </cell>
          <cell r="AT1377" t="str">
            <v>02820957104301</v>
          </cell>
          <cell r="AU1377" t="str">
            <v>/  /</v>
          </cell>
          <cell r="AW1377">
            <v>37987</v>
          </cell>
          <cell r="BA1377" t="str">
            <v>1</v>
          </cell>
          <cell r="BB1377">
            <v>1</v>
          </cell>
          <cell r="BC1377" t="str">
            <v>O</v>
          </cell>
          <cell r="BD1377">
            <v>0</v>
          </cell>
          <cell r="BE1377" t="str">
            <v>M</v>
          </cell>
          <cell r="BF1377" t="str">
            <v>N</v>
          </cell>
          <cell r="BG1377">
            <v>5</v>
          </cell>
          <cell r="BH1377">
            <v>37987</v>
          </cell>
          <cell r="BI1377" t="str">
            <v>O</v>
          </cell>
        </row>
        <row r="1378">
          <cell r="A1378">
            <v>97740</v>
          </cell>
          <cell r="B1378">
            <v>423</v>
          </cell>
          <cell r="C1378" t="str">
            <v>X5207</v>
          </cell>
          <cell r="D1378" t="str">
            <v>LAHRACHE</v>
          </cell>
          <cell r="E1378" t="str">
            <v>MOHAMMED</v>
          </cell>
          <cell r="F1378">
            <v>18444</v>
          </cell>
          <cell r="H1378" t="str">
            <v>MEKNASSA - TAZA</v>
          </cell>
          <cell r="I1378" t="str">
            <v>F</v>
          </cell>
          <cell r="J1378">
            <v>30358</v>
          </cell>
          <cell r="K1378">
            <v>34151</v>
          </cell>
          <cell r="L1378" t="str">
            <v>51</v>
          </cell>
          <cell r="M1378" t="str">
            <v>B</v>
          </cell>
          <cell r="N1378">
            <v>35612</v>
          </cell>
          <cell r="O1378">
            <v>0</v>
          </cell>
          <cell r="P1378">
            <v>21</v>
          </cell>
          <cell r="Q1378" t="str">
            <v>O</v>
          </cell>
          <cell r="R1378" t="str">
            <v>N</v>
          </cell>
          <cell r="S1378">
            <v>0</v>
          </cell>
          <cell r="T1378" t="str">
            <v>M</v>
          </cell>
          <cell r="U1378" t="str">
            <v>FATIMA BT DRISS EL OUALI AKKI</v>
          </cell>
          <cell r="X1378">
            <v>3</v>
          </cell>
          <cell r="Y1378">
            <v>1</v>
          </cell>
          <cell r="AB1378" t="str">
            <v>X</v>
          </cell>
          <cell r="AC1378" t="str">
            <v>X</v>
          </cell>
          <cell r="AD1378" t="str">
            <v>X</v>
          </cell>
          <cell r="AH1378" t="str">
            <v>O</v>
          </cell>
          <cell r="AI1378" t="str">
            <v>N</v>
          </cell>
          <cell r="AK1378" t="str">
            <v>10,IMMEUBLE ADOUR OCP KHOURIBGA</v>
          </cell>
          <cell r="AL1378" t="str">
            <v>7 A.T.I</v>
          </cell>
          <cell r="AM1378" t="str">
            <v>CEP.CES.DTM.EMM</v>
          </cell>
          <cell r="AP1378" t="str">
            <v>Z 40973</v>
          </cell>
          <cell r="AQ1378">
            <v>0</v>
          </cell>
          <cell r="AR1378" t="str">
            <v>B</v>
          </cell>
          <cell r="AS1378" t="str">
            <v>BMCE.KHGA</v>
          </cell>
          <cell r="AT1378" t="str">
            <v>40001200000131492</v>
          </cell>
          <cell r="AU1378" t="str">
            <v>/  /</v>
          </cell>
          <cell r="AW1378">
            <v>38534</v>
          </cell>
          <cell r="BA1378" t="str">
            <v>2</v>
          </cell>
          <cell r="BB1378">
            <v>1</v>
          </cell>
          <cell r="BC1378" t="str">
            <v>O</v>
          </cell>
          <cell r="BD1378">
            <v>0</v>
          </cell>
          <cell r="BE1378" t="str">
            <v>M</v>
          </cell>
          <cell r="BF1378" t="str">
            <v>N</v>
          </cell>
          <cell r="BG1378">
            <v>4</v>
          </cell>
          <cell r="BH1378">
            <v>38534</v>
          </cell>
          <cell r="BI1378" t="str">
            <v>O</v>
          </cell>
        </row>
        <row r="1379">
          <cell r="A1379">
            <v>97777</v>
          </cell>
          <cell r="B1379">
            <v>411</v>
          </cell>
          <cell r="C1379" t="str">
            <v>X3150</v>
          </cell>
          <cell r="D1379" t="str">
            <v>HASK</v>
          </cell>
          <cell r="E1379" t="str">
            <v>ABBES</v>
          </cell>
          <cell r="F1379">
            <v>19540</v>
          </cell>
          <cell r="H1379" t="str">
            <v>OULED BOUZIRI - SETTAT</v>
          </cell>
          <cell r="I1379" t="str">
            <v>F</v>
          </cell>
          <cell r="J1379">
            <v>28004</v>
          </cell>
          <cell r="K1379">
            <v>33420</v>
          </cell>
          <cell r="L1379" t="str">
            <v>41</v>
          </cell>
          <cell r="M1379" t="str">
            <v>A</v>
          </cell>
          <cell r="N1379">
            <v>33420</v>
          </cell>
          <cell r="O1379">
            <v>0</v>
          </cell>
          <cell r="P1379">
            <v>26</v>
          </cell>
          <cell r="Q1379" t="str">
            <v>O</v>
          </cell>
          <cell r="R1379" t="str">
            <v>N</v>
          </cell>
          <cell r="S1379">
            <v>0</v>
          </cell>
          <cell r="T1379" t="str">
            <v>M</v>
          </cell>
          <cell r="U1379" t="str">
            <v>BOULAKBAH AICHA BENT OMAR</v>
          </cell>
          <cell r="X1379">
            <v>4</v>
          </cell>
          <cell r="Y1379">
            <v>2</v>
          </cell>
          <cell r="AB1379" t="str">
            <v>X</v>
          </cell>
          <cell r="AC1379" t="str">
            <v>X</v>
          </cell>
          <cell r="AD1379" t="str">
            <v>X</v>
          </cell>
          <cell r="AH1379" t="str">
            <v>O</v>
          </cell>
          <cell r="AI1379" t="str">
            <v>N</v>
          </cell>
          <cell r="AK1379" t="str">
            <v>02, RUE JBEL BANI OCP KHOURIBGA</v>
          </cell>
          <cell r="AL1379" t="str">
            <v>6 A.T.I</v>
          </cell>
          <cell r="AM1379" t="str">
            <v>EMM.</v>
          </cell>
          <cell r="AP1379" t="str">
            <v>Q 20194</v>
          </cell>
          <cell r="AQ1379">
            <v>0</v>
          </cell>
          <cell r="AR1379" t="str">
            <v>B</v>
          </cell>
          <cell r="AS1379" t="str">
            <v>C.I.H . KHGA</v>
          </cell>
          <cell r="AT1379" t="str">
            <v>72903562110</v>
          </cell>
          <cell r="AU1379" t="str">
            <v>/  /</v>
          </cell>
          <cell r="AW1379">
            <v>37987</v>
          </cell>
          <cell r="BA1379" t="str">
            <v>1</v>
          </cell>
          <cell r="BB1379">
            <v>1</v>
          </cell>
          <cell r="BD1379">
            <v>0</v>
          </cell>
          <cell r="BE1379" t="str">
            <v>M</v>
          </cell>
          <cell r="BF1379" t="str">
            <v>N</v>
          </cell>
          <cell r="BG1379">
            <v>4</v>
          </cell>
          <cell r="BH1379">
            <v>38169</v>
          </cell>
        </row>
        <row r="1380">
          <cell r="A1380">
            <v>97829</v>
          </cell>
          <cell r="B1380">
            <v>414</v>
          </cell>
          <cell r="C1380" t="str">
            <v>X4210</v>
          </cell>
          <cell r="D1380" t="str">
            <v>ABDEDDAIM</v>
          </cell>
          <cell r="E1380" t="str">
            <v>MOHAMED</v>
          </cell>
          <cell r="F1380">
            <v>19412</v>
          </cell>
          <cell r="H1380" t="str">
            <v>CASABLANCA</v>
          </cell>
          <cell r="I1380" t="str">
            <v>F</v>
          </cell>
          <cell r="J1380">
            <v>28338</v>
          </cell>
          <cell r="K1380">
            <v>32478</v>
          </cell>
          <cell r="L1380" t="str">
            <v>42</v>
          </cell>
          <cell r="M1380" t="str">
            <v>D</v>
          </cell>
          <cell r="N1380">
            <v>35612</v>
          </cell>
          <cell r="P1380">
            <v>25</v>
          </cell>
          <cell r="Q1380" t="str">
            <v>O</v>
          </cell>
          <cell r="R1380" t="str">
            <v>N</v>
          </cell>
          <cell r="S1380">
            <v>0</v>
          </cell>
          <cell r="T1380" t="str">
            <v>M</v>
          </cell>
          <cell r="U1380" t="str">
            <v>AZAFAD KARIMA BENT LARBI</v>
          </cell>
          <cell r="V1380" t="str">
            <v>ASNAM FATIMA  BENT DRISS</v>
          </cell>
          <cell r="X1380">
            <v>4</v>
          </cell>
          <cell r="Y1380">
            <v>3</v>
          </cell>
          <cell r="AB1380" t="str">
            <v>X</v>
          </cell>
          <cell r="AC1380" t="str">
            <v>X</v>
          </cell>
          <cell r="AD1380" t="str">
            <v>X</v>
          </cell>
          <cell r="AH1380" t="str">
            <v>O</v>
          </cell>
          <cell r="AI1380" t="str">
            <v>N</v>
          </cell>
          <cell r="AK1380" t="str">
            <v>5, IMMEUBLE KASSOU O.C.P - KHGA</v>
          </cell>
          <cell r="AL1380" t="str">
            <v>7 A.T.I</v>
          </cell>
          <cell r="AM1380" t="str">
            <v>CES.EMM</v>
          </cell>
          <cell r="AP1380" t="str">
            <v>B 37582</v>
          </cell>
          <cell r="AQ1380">
            <v>0</v>
          </cell>
          <cell r="AR1380" t="str">
            <v>B</v>
          </cell>
          <cell r="AS1380" t="str">
            <v>POPULAIRE.KHGA</v>
          </cell>
          <cell r="AT1380" t="str">
            <v>2111112770900004</v>
          </cell>
          <cell r="AU1380" t="str">
            <v>/  /</v>
          </cell>
          <cell r="AW1380">
            <v>38353</v>
          </cell>
          <cell r="AZ1380" t="str">
            <v>M</v>
          </cell>
          <cell r="BA1380" t="str">
            <v>2</v>
          </cell>
          <cell r="BB1380">
            <v>1</v>
          </cell>
          <cell r="BD1380">
            <v>0</v>
          </cell>
          <cell r="BE1380" t="str">
            <v>M</v>
          </cell>
          <cell r="BF1380" t="str">
            <v>N</v>
          </cell>
          <cell r="BG1380">
            <v>1</v>
          </cell>
          <cell r="BH1380">
            <v>38353</v>
          </cell>
        </row>
        <row r="1381">
          <cell r="A1381">
            <v>97831</v>
          </cell>
          <cell r="B1381">
            <v>414</v>
          </cell>
          <cell r="C1381" t="str">
            <v>X4210</v>
          </cell>
          <cell r="D1381" t="str">
            <v>GHANEM</v>
          </cell>
          <cell r="E1381" t="str">
            <v>ABDELLAH</v>
          </cell>
          <cell r="F1381">
            <v>18809</v>
          </cell>
          <cell r="H1381" t="str">
            <v>SIDI YAHIA DU GHARB KENITRA</v>
          </cell>
          <cell r="I1381" t="str">
            <v>F</v>
          </cell>
          <cell r="J1381">
            <v>28338</v>
          </cell>
          <cell r="K1381">
            <v>32478</v>
          </cell>
          <cell r="L1381" t="str">
            <v>42</v>
          </cell>
          <cell r="M1381" t="str">
            <v>A</v>
          </cell>
          <cell r="N1381">
            <v>32478</v>
          </cell>
          <cell r="P1381">
            <v>25</v>
          </cell>
          <cell r="Q1381" t="str">
            <v>O</v>
          </cell>
          <cell r="R1381" t="str">
            <v>N</v>
          </cell>
          <cell r="S1381">
            <v>0</v>
          </cell>
          <cell r="T1381" t="str">
            <v>M</v>
          </cell>
          <cell r="U1381" t="str">
            <v>GHANEM MALIKA BENT ABDESLAM</v>
          </cell>
          <cell r="X1381">
            <v>4</v>
          </cell>
          <cell r="Y1381">
            <v>4</v>
          </cell>
          <cell r="AB1381" t="str">
            <v>X</v>
          </cell>
          <cell r="AC1381" t="str">
            <v>X</v>
          </cell>
          <cell r="AD1381" t="str">
            <v>X</v>
          </cell>
          <cell r="AH1381" t="str">
            <v>N</v>
          </cell>
          <cell r="AI1381" t="str">
            <v>N</v>
          </cell>
          <cell r="AK1381" t="str">
            <v>55,LOTISSEMENT EL HANA KHOURIBGA</v>
          </cell>
          <cell r="AL1381" t="str">
            <v>7 A.T.I</v>
          </cell>
          <cell r="AM1381" t="str">
            <v>CES.EMM</v>
          </cell>
          <cell r="AP1381" t="str">
            <v>G 70814</v>
          </cell>
          <cell r="AQ1381">
            <v>0</v>
          </cell>
          <cell r="AR1381" t="str">
            <v>B</v>
          </cell>
          <cell r="AS1381" t="str">
            <v>POPULAIRE.KHGA</v>
          </cell>
          <cell r="AT1381" t="str">
            <v>2111112770910003</v>
          </cell>
          <cell r="AU1381" t="str">
            <v>/  /</v>
          </cell>
          <cell r="AW1381">
            <v>38353</v>
          </cell>
          <cell r="AZ1381" t="str">
            <v>M</v>
          </cell>
          <cell r="BA1381" t="str">
            <v>2</v>
          </cell>
          <cell r="BB1381">
            <v>1</v>
          </cell>
          <cell r="BC1381" t="str">
            <v>N</v>
          </cell>
          <cell r="BD1381">
            <v>0</v>
          </cell>
          <cell r="BE1381" t="str">
            <v>M</v>
          </cell>
          <cell r="BF1381" t="str">
            <v>N</v>
          </cell>
          <cell r="BG1381">
            <v>1</v>
          </cell>
          <cell r="BH1381">
            <v>38353</v>
          </cell>
          <cell r="BI1381" t="str">
            <v>O</v>
          </cell>
        </row>
        <row r="1382">
          <cell r="A1382">
            <v>98158</v>
          </cell>
          <cell r="B1382">
            <v>409</v>
          </cell>
          <cell r="C1382" t="str">
            <v>X4150</v>
          </cell>
          <cell r="D1382" t="str">
            <v>MAMJOUD</v>
          </cell>
          <cell r="E1382" t="str">
            <v>EL BOUAZZAOUI</v>
          </cell>
          <cell r="F1382">
            <v>20270</v>
          </cell>
          <cell r="H1382" t="str">
            <v>BENI BRAHIM BEN AHMED SETTAT</v>
          </cell>
          <cell r="I1382" t="str">
            <v>F</v>
          </cell>
          <cell r="J1382">
            <v>28712</v>
          </cell>
          <cell r="K1382">
            <v>35065</v>
          </cell>
          <cell r="L1382" t="str">
            <v>42</v>
          </cell>
          <cell r="M1382" t="str">
            <v>C</v>
          </cell>
          <cell r="N1382">
            <v>35065</v>
          </cell>
          <cell r="P1382">
            <v>24</v>
          </cell>
          <cell r="Q1382" t="str">
            <v>O</v>
          </cell>
          <cell r="R1382" t="str">
            <v>N</v>
          </cell>
          <cell r="S1382">
            <v>0</v>
          </cell>
          <cell r="T1382" t="str">
            <v>M</v>
          </cell>
          <cell r="U1382" t="str">
            <v>HADDOUCH RACHIDA BT LACHHAB</v>
          </cell>
          <cell r="X1382">
            <v>6</v>
          </cell>
          <cell r="Y1382">
            <v>4</v>
          </cell>
          <cell r="AB1382" t="str">
            <v>X</v>
          </cell>
          <cell r="AC1382" t="str">
            <v>X</v>
          </cell>
          <cell r="AD1382" t="str">
            <v>X</v>
          </cell>
          <cell r="AH1382" t="str">
            <v>N</v>
          </cell>
          <cell r="AI1382" t="str">
            <v>N</v>
          </cell>
          <cell r="AK1382" t="str">
            <v>12,COOPERATIVE AMAL HAY RIAD KHOURIBGA</v>
          </cell>
          <cell r="AL1382" t="str">
            <v>7 A.M.T</v>
          </cell>
          <cell r="AM1382" t="str">
            <v>CEP.CES.EMM</v>
          </cell>
          <cell r="AN1382" t="str">
            <v>49═71═27</v>
          </cell>
          <cell r="AP1382" t="str">
            <v>Q 44628</v>
          </cell>
          <cell r="AQ1382">
            <v>0</v>
          </cell>
          <cell r="AR1382" t="str">
            <v>B</v>
          </cell>
          <cell r="AS1382" t="str">
            <v>B.M.C.I  KHGA</v>
          </cell>
          <cell r="AT1382" t="str">
            <v>02820522738301</v>
          </cell>
          <cell r="AU1382" t="str">
            <v>/  /</v>
          </cell>
          <cell r="AW1382">
            <v>38718</v>
          </cell>
          <cell r="AZ1382" t="str">
            <v>K</v>
          </cell>
          <cell r="BA1382" t="str">
            <v>1</v>
          </cell>
          <cell r="BB1382">
            <v>1</v>
          </cell>
          <cell r="BC1382" t="str">
            <v>N</v>
          </cell>
          <cell r="BD1382">
            <v>0</v>
          </cell>
          <cell r="BE1382" t="str">
            <v>M</v>
          </cell>
          <cell r="BF1382" t="str">
            <v>N</v>
          </cell>
          <cell r="BG1382">
            <v>1</v>
          </cell>
          <cell r="BH1382">
            <v>38718</v>
          </cell>
          <cell r="BI1382" t="str">
            <v>O</v>
          </cell>
        </row>
        <row r="1383">
          <cell r="A1383">
            <v>98162</v>
          </cell>
          <cell r="B1383">
            <v>413</v>
          </cell>
          <cell r="C1383" t="str">
            <v>X6200</v>
          </cell>
          <cell r="D1383" t="str">
            <v>OUATIR</v>
          </cell>
          <cell r="E1383" t="str">
            <v>MOHAMMED</v>
          </cell>
          <cell r="F1383">
            <v>20270</v>
          </cell>
          <cell r="G1383" t="str">
            <v>1</v>
          </cell>
          <cell r="H1383" t="str">
            <v>KHOURIBGA</v>
          </cell>
          <cell r="I1383" t="str">
            <v>F</v>
          </cell>
          <cell r="J1383">
            <v>28711</v>
          </cell>
          <cell r="K1383">
            <v>31079</v>
          </cell>
          <cell r="L1383" t="str">
            <v>52</v>
          </cell>
          <cell r="M1383" t="str">
            <v>B</v>
          </cell>
          <cell r="N1383">
            <v>35612</v>
          </cell>
          <cell r="P1383">
            <v>24</v>
          </cell>
          <cell r="Q1383" t="str">
            <v>O</v>
          </cell>
          <cell r="R1383" t="str">
            <v>N</v>
          </cell>
          <cell r="S1383">
            <v>0</v>
          </cell>
          <cell r="T1383" t="str">
            <v>M</v>
          </cell>
          <cell r="U1383" t="str">
            <v>NAJID HOUDA BENT EL MILOUDI</v>
          </cell>
          <cell r="X1383">
            <v>3</v>
          </cell>
          <cell r="Y1383">
            <v>2</v>
          </cell>
          <cell r="AB1383" t="str">
            <v>X</v>
          </cell>
          <cell r="AC1383" t="str">
            <v>X</v>
          </cell>
          <cell r="AD1383" t="str">
            <v>X</v>
          </cell>
          <cell r="AH1383" t="str">
            <v>O</v>
          </cell>
          <cell r="AI1383" t="str">
            <v>N</v>
          </cell>
          <cell r="AK1383" t="str">
            <v>13 RUE DE LIGUE ARABE OCP - KHGA</v>
          </cell>
          <cell r="AL1383" t="str">
            <v>7 A.SC.MATHS</v>
          </cell>
          <cell r="AM1383" t="str">
            <v>CEP.CES.EMM.IUT.</v>
          </cell>
          <cell r="AP1383" t="str">
            <v>Q 30605</v>
          </cell>
          <cell r="AQ1383">
            <v>0</v>
          </cell>
          <cell r="AR1383" t="str">
            <v>B</v>
          </cell>
          <cell r="AS1383" t="str">
            <v>CR.MAROC</v>
          </cell>
          <cell r="AT1383" t="str">
            <v>082001046595</v>
          </cell>
          <cell r="AU1383" t="str">
            <v>/  /</v>
          </cell>
          <cell r="AW1383">
            <v>38718</v>
          </cell>
          <cell r="BA1383" t="str">
            <v>2</v>
          </cell>
          <cell r="BB1383">
            <v>1</v>
          </cell>
          <cell r="BD1383">
            <v>0</v>
          </cell>
          <cell r="BE1383" t="str">
            <v>M</v>
          </cell>
          <cell r="BF1383" t="str">
            <v>N</v>
          </cell>
          <cell r="BG1383">
            <v>1</v>
          </cell>
          <cell r="BH1383">
            <v>38718</v>
          </cell>
          <cell r="BI1383" t="str">
            <v>O</v>
          </cell>
        </row>
        <row r="1384">
          <cell r="A1384">
            <v>98168</v>
          </cell>
          <cell r="B1384">
            <v>463</v>
          </cell>
          <cell r="C1384" t="str">
            <v>X4200</v>
          </cell>
          <cell r="D1384" t="str">
            <v>RAFFAQ</v>
          </cell>
          <cell r="E1384" t="str">
            <v>MOHAMMED</v>
          </cell>
          <cell r="F1384">
            <v>20116</v>
          </cell>
          <cell r="H1384" t="str">
            <v>KENITRA</v>
          </cell>
          <cell r="I1384" t="str">
            <v>F</v>
          </cell>
          <cell r="J1384">
            <v>28711</v>
          </cell>
          <cell r="K1384">
            <v>37043</v>
          </cell>
          <cell r="L1384" t="str">
            <v>42</v>
          </cell>
          <cell r="M1384" t="str">
            <v>A</v>
          </cell>
          <cell r="N1384">
            <v>37043</v>
          </cell>
          <cell r="P1384">
            <v>24</v>
          </cell>
          <cell r="Q1384" t="str">
            <v>O</v>
          </cell>
          <cell r="R1384" t="str">
            <v>N</v>
          </cell>
          <cell r="S1384">
            <v>0</v>
          </cell>
          <cell r="T1384" t="str">
            <v>M</v>
          </cell>
          <cell r="U1384" t="str">
            <v>HAGUIG SAADIA BENT AHMED SAIDA</v>
          </cell>
          <cell r="X1384">
            <v>3</v>
          </cell>
          <cell r="Y1384">
            <v>3</v>
          </cell>
          <cell r="AB1384" t="str">
            <v>X</v>
          </cell>
          <cell r="AC1384" t="str">
            <v>X</v>
          </cell>
          <cell r="AD1384" t="str">
            <v>X</v>
          </cell>
          <cell r="AE1384" t="str">
            <v>MINI.EDUC.NAT.</v>
          </cell>
          <cell r="AH1384" t="str">
            <v>N</v>
          </cell>
          <cell r="AI1384" t="str">
            <v>N</v>
          </cell>
          <cell r="AK1384" t="str">
            <v>159. YASMINE I NAHDA - KHOURIBGA</v>
          </cell>
          <cell r="AL1384" t="str">
            <v>7 A.SC.EXP.</v>
          </cell>
          <cell r="AM1384" t="str">
            <v>EMM</v>
          </cell>
          <cell r="AP1384" t="str">
            <v>Q 8572</v>
          </cell>
          <cell r="AQ1384">
            <v>0</v>
          </cell>
          <cell r="AR1384" t="str">
            <v>B</v>
          </cell>
          <cell r="AS1384" t="str">
            <v>C.I.H - KHGA</v>
          </cell>
          <cell r="AT1384" t="str">
            <v>8978215</v>
          </cell>
          <cell r="AU1384" t="str">
            <v>/  /</v>
          </cell>
          <cell r="AW1384">
            <v>38718</v>
          </cell>
          <cell r="BA1384" t="str">
            <v>2</v>
          </cell>
          <cell r="BB1384">
            <v>1</v>
          </cell>
          <cell r="BC1384" t="str">
            <v>O</v>
          </cell>
          <cell r="BD1384">
            <v>0</v>
          </cell>
          <cell r="BE1384" t="str">
            <v>M</v>
          </cell>
          <cell r="BF1384" t="str">
            <v>N</v>
          </cell>
          <cell r="BG1384">
            <v>5</v>
          </cell>
          <cell r="BH1384">
            <v>38718</v>
          </cell>
          <cell r="BI1384" t="str">
            <v>O</v>
          </cell>
        </row>
        <row r="1385">
          <cell r="A1385">
            <v>96672</v>
          </cell>
          <cell r="B1385">
            <v>410</v>
          </cell>
          <cell r="C1385" t="str">
            <v>X6032</v>
          </cell>
          <cell r="D1385" t="str">
            <v>AJOUHI</v>
          </cell>
          <cell r="E1385" t="str">
            <v>MOHAMMED</v>
          </cell>
          <cell r="F1385">
            <v>19175</v>
          </cell>
          <cell r="G1385" t="str">
            <v>1</v>
          </cell>
          <cell r="H1385" t="str">
            <v>KHOURIBGA</v>
          </cell>
          <cell r="I1385" t="str">
            <v>F</v>
          </cell>
          <cell r="J1385">
            <v>26042</v>
          </cell>
          <cell r="K1385">
            <v>36526</v>
          </cell>
          <cell r="L1385" t="str">
            <v>52</v>
          </cell>
          <cell r="M1385" t="str">
            <v>A</v>
          </cell>
          <cell r="N1385">
            <v>36526</v>
          </cell>
          <cell r="P1385">
            <v>32</v>
          </cell>
          <cell r="Q1385" t="str">
            <v>O</v>
          </cell>
          <cell r="R1385" t="str">
            <v>N</v>
          </cell>
          <cell r="S1385">
            <v>0</v>
          </cell>
          <cell r="T1385" t="str">
            <v>M</v>
          </cell>
          <cell r="U1385" t="str">
            <v>BADNAOUI MILOUDIA BENT AHMED</v>
          </cell>
          <cell r="X1385">
            <v>4</v>
          </cell>
          <cell r="Y1385">
            <v>2</v>
          </cell>
          <cell r="AB1385" t="str">
            <v>X</v>
          </cell>
          <cell r="AC1385" t="str">
            <v>X</v>
          </cell>
          <cell r="AD1385" t="str">
            <v>X</v>
          </cell>
          <cell r="AE1385" t="str">
            <v>MINI.EDUC.NAT.</v>
          </cell>
          <cell r="AH1385" t="str">
            <v>N</v>
          </cell>
          <cell r="AI1385" t="str">
            <v>N</v>
          </cell>
          <cell r="AK1385" t="str">
            <v>39 BLOC 3 RUE ANNABA HAY RIAD KHOURIBGA</v>
          </cell>
          <cell r="AL1385" t="str">
            <v>3 A.S</v>
          </cell>
          <cell r="AM1385" t="str">
            <v>CEP.CA.CFO.EMM</v>
          </cell>
          <cell r="AP1385" t="str">
            <v>Q 32850</v>
          </cell>
          <cell r="AQ1385">
            <v>0</v>
          </cell>
          <cell r="AR1385" t="str">
            <v>B</v>
          </cell>
          <cell r="AS1385" t="str">
            <v>POPULAIRE.KHGA</v>
          </cell>
          <cell r="AT1385" t="str">
            <v>2111112758230002</v>
          </cell>
          <cell r="AU1385" t="str">
            <v>/  /</v>
          </cell>
          <cell r="AW1385">
            <v>38219</v>
          </cell>
          <cell r="AX1385">
            <v>38219</v>
          </cell>
          <cell r="BA1385" t="str">
            <v>2</v>
          </cell>
          <cell r="BB1385">
            <v>1</v>
          </cell>
          <cell r="BD1385">
            <v>0</v>
          </cell>
          <cell r="BE1385" t="str">
            <v>M</v>
          </cell>
          <cell r="BF1385" t="str">
            <v>N</v>
          </cell>
          <cell r="BG1385">
            <v>1</v>
          </cell>
          <cell r="BH1385">
            <v>37438</v>
          </cell>
          <cell r="BI1385" t="str">
            <v>O</v>
          </cell>
        </row>
        <row r="1386">
          <cell r="A1386">
            <v>96798</v>
          </cell>
          <cell r="B1386">
            <v>408</v>
          </cell>
          <cell r="C1386" t="str">
            <v>X4150</v>
          </cell>
          <cell r="D1386" t="str">
            <v>BELMOUDEN</v>
          </cell>
          <cell r="E1386" t="str">
            <v>MOULAY ALI</v>
          </cell>
          <cell r="F1386">
            <v>19540</v>
          </cell>
          <cell r="H1386" t="str">
            <v>KHENIFRA</v>
          </cell>
          <cell r="I1386" t="str">
            <v>D</v>
          </cell>
          <cell r="J1386">
            <v>26784</v>
          </cell>
          <cell r="K1386">
            <v>35065</v>
          </cell>
          <cell r="L1386" t="str">
            <v>42</v>
          </cell>
          <cell r="M1386" t="str">
            <v>A</v>
          </cell>
          <cell r="N1386">
            <v>35065</v>
          </cell>
          <cell r="P1386">
            <v>30</v>
          </cell>
          <cell r="Q1386" t="str">
            <v>O</v>
          </cell>
          <cell r="R1386" t="str">
            <v>N</v>
          </cell>
          <cell r="S1386">
            <v>0</v>
          </cell>
          <cell r="T1386" t="str">
            <v>M</v>
          </cell>
          <cell r="U1386" t="str">
            <v>SAADIA BT MOHAMED ADDANE</v>
          </cell>
          <cell r="X1386">
            <v>4</v>
          </cell>
          <cell r="Y1386">
            <v>4</v>
          </cell>
          <cell r="AB1386" t="str">
            <v>X</v>
          </cell>
          <cell r="AC1386" t="str">
            <v>X</v>
          </cell>
          <cell r="AD1386" t="str">
            <v>X</v>
          </cell>
          <cell r="AH1386" t="str">
            <v>O</v>
          </cell>
          <cell r="AI1386" t="str">
            <v>N</v>
          </cell>
          <cell r="AK1386" t="str">
            <v>31,RUE ANOUAR FARES OCP - KHOURIBGA</v>
          </cell>
          <cell r="AL1386" t="str">
            <v>3 A.S</v>
          </cell>
          <cell r="AM1386" t="str">
            <v>CEP.CES.CFO</v>
          </cell>
          <cell r="AP1386" t="str">
            <v>Q 31453</v>
          </cell>
          <cell r="AQ1386">
            <v>0</v>
          </cell>
          <cell r="AR1386" t="str">
            <v>B</v>
          </cell>
          <cell r="AS1386" t="str">
            <v>BCM.KHGA</v>
          </cell>
          <cell r="AT1386" t="str">
            <v>97 V 300863</v>
          </cell>
          <cell r="AU1386" t="str">
            <v>/  /</v>
          </cell>
          <cell r="AW1386">
            <v>37803</v>
          </cell>
          <cell r="BA1386" t="str">
            <v>1</v>
          </cell>
          <cell r="BB1386">
            <v>1</v>
          </cell>
          <cell r="BD1386">
            <v>0</v>
          </cell>
          <cell r="BE1386" t="str">
            <v>M</v>
          </cell>
          <cell r="BF1386" t="str">
            <v>N</v>
          </cell>
          <cell r="BG1386">
            <v>1</v>
          </cell>
          <cell r="BH1386">
            <v>37803</v>
          </cell>
        </row>
        <row r="1387">
          <cell r="A1387">
            <v>97942</v>
          </cell>
          <cell r="B1387">
            <v>401</v>
          </cell>
          <cell r="C1387" t="str">
            <v>X2601</v>
          </cell>
          <cell r="D1387" t="str">
            <v>HACINI</v>
          </cell>
          <cell r="E1387" t="str">
            <v>HAMMOU</v>
          </cell>
          <cell r="F1387">
            <v>19540</v>
          </cell>
          <cell r="H1387" t="str">
            <v>EL KSIBA - BENI MELLAL</v>
          </cell>
          <cell r="I1387" t="str">
            <v>D</v>
          </cell>
          <cell r="J1387">
            <v>28510</v>
          </cell>
          <cell r="K1387">
            <v>36526</v>
          </cell>
          <cell r="L1387" t="str">
            <v>42</v>
          </cell>
          <cell r="M1387" t="str">
            <v>C</v>
          </cell>
          <cell r="N1387">
            <v>36526</v>
          </cell>
          <cell r="O1387">
            <v>0</v>
          </cell>
          <cell r="P1387">
            <v>25</v>
          </cell>
          <cell r="Q1387" t="str">
            <v>N</v>
          </cell>
          <cell r="R1387" t="str">
            <v>N</v>
          </cell>
          <cell r="S1387">
            <v>0</v>
          </cell>
          <cell r="T1387" t="str">
            <v>M</v>
          </cell>
          <cell r="U1387" t="str">
            <v>FETTOUMA BENT SIDI ALI ISSA</v>
          </cell>
          <cell r="X1387">
            <v>5</v>
          </cell>
          <cell r="Y1387">
            <v>5</v>
          </cell>
          <cell r="AB1387" t="str">
            <v>X</v>
          </cell>
          <cell r="AC1387" t="str">
            <v>X</v>
          </cell>
          <cell r="AD1387" t="str">
            <v>X</v>
          </cell>
          <cell r="AH1387" t="str">
            <v>O</v>
          </cell>
          <cell r="AI1387" t="str">
            <v>N</v>
          </cell>
          <cell r="AK1387" t="str">
            <v>7,BLOC 12 NOUVEAUX LOGTS OCP KHOURIBGA</v>
          </cell>
          <cell r="AL1387" t="str">
            <v>2 A.FAC.SC.JUR.</v>
          </cell>
          <cell r="AM1387" t="str">
            <v>CEP.CES.BAC LM.</v>
          </cell>
          <cell r="AP1387" t="str">
            <v>Q 44252</v>
          </cell>
          <cell r="AQ1387">
            <v>0</v>
          </cell>
          <cell r="AR1387" t="str">
            <v>B</v>
          </cell>
          <cell r="AS1387" t="str">
            <v>BMCE.KHGA</v>
          </cell>
          <cell r="AT1387" t="str">
            <v>40001200000456151</v>
          </cell>
          <cell r="AU1387" t="str">
            <v>/  /</v>
          </cell>
          <cell r="AW1387">
            <v>39630</v>
          </cell>
          <cell r="BA1387" t="str">
            <v>2</v>
          </cell>
          <cell r="BB1387">
            <v>1</v>
          </cell>
          <cell r="BD1387">
            <v>0</v>
          </cell>
          <cell r="BE1387" t="str">
            <v>M</v>
          </cell>
          <cell r="BF1387" t="str">
            <v>N</v>
          </cell>
          <cell r="BG1387">
            <v>0</v>
          </cell>
          <cell r="BH1387">
            <v>39630</v>
          </cell>
        </row>
        <row r="1388">
          <cell r="A1388">
            <v>98276</v>
          </cell>
          <cell r="B1388">
            <v>403</v>
          </cell>
          <cell r="C1388" t="str">
            <v>X2550</v>
          </cell>
          <cell r="D1388" t="str">
            <v>EL GOUBI</v>
          </cell>
          <cell r="E1388" t="str">
            <v>AHMED</v>
          </cell>
          <cell r="F1388">
            <v>19146</v>
          </cell>
          <cell r="G1388" t="str">
            <v>3</v>
          </cell>
          <cell r="H1388" t="str">
            <v>BOUJNIBA - KHOURIBGA</v>
          </cell>
          <cell r="I1388" t="str">
            <v>D</v>
          </cell>
          <cell r="J1388">
            <v>29074</v>
          </cell>
          <cell r="K1388">
            <v>32478</v>
          </cell>
          <cell r="L1388" t="str">
            <v>33</v>
          </cell>
          <cell r="M1388" t="str">
            <v>B</v>
          </cell>
          <cell r="N1388">
            <v>35612</v>
          </cell>
          <cell r="O1388">
            <v>0</v>
          </cell>
          <cell r="P1388">
            <v>23</v>
          </cell>
          <cell r="Q1388" t="str">
            <v>O</v>
          </cell>
          <cell r="R1388" t="str">
            <v>N</v>
          </cell>
          <cell r="S1388">
            <v>0</v>
          </cell>
          <cell r="T1388" t="str">
            <v>M</v>
          </cell>
          <cell r="U1388" t="str">
            <v>MOUNIR RACHIDA</v>
          </cell>
          <cell r="X1388">
            <v>3</v>
          </cell>
          <cell r="Y1388">
            <v>3</v>
          </cell>
          <cell r="AB1388" t="str">
            <v>O</v>
          </cell>
          <cell r="AC1388" t="str">
            <v>X</v>
          </cell>
          <cell r="AD1388" t="str">
            <v>X</v>
          </cell>
          <cell r="AE1388" t="str">
            <v>OCP MLE 71270</v>
          </cell>
          <cell r="AH1388" t="str">
            <v>O</v>
          </cell>
          <cell r="AI1388" t="str">
            <v>N</v>
          </cell>
          <cell r="AK1388" t="str">
            <v>3 RUE SEFROU VILLE OCP - KHOURIBGA</v>
          </cell>
          <cell r="AL1388" t="str">
            <v>5 A.S.LETTRES</v>
          </cell>
          <cell r="AM1388" t="str">
            <v>CEP.BREVET D'INFIRMIER</v>
          </cell>
          <cell r="AP1388" t="str">
            <v>Q 45309</v>
          </cell>
          <cell r="AQ1388">
            <v>0</v>
          </cell>
          <cell r="AR1388" t="str">
            <v>B</v>
          </cell>
          <cell r="AS1388" t="str">
            <v>CREDIT DU MAROC</v>
          </cell>
          <cell r="AT1388" t="str">
            <v>820010001342</v>
          </cell>
          <cell r="AU1388" t="str">
            <v>/  /</v>
          </cell>
          <cell r="AW1388">
            <v>41046</v>
          </cell>
          <cell r="AX1388">
            <v>41046</v>
          </cell>
          <cell r="AZ1388" t="str">
            <v>M</v>
          </cell>
          <cell r="BA1388" t="str">
            <v>2</v>
          </cell>
          <cell r="BB1388">
            <v>1</v>
          </cell>
          <cell r="BC1388" t="str">
            <v>O</v>
          </cell>
          <cell r="BD1388">
            <v>0</v>
          </cell>
          <cell r="BE1388" t="str">
            <v>M</v>
          </cell>
          <cell r="BF1388" t="str">
            <v>O</v>
          </cell>
          <cell r="BG1388">
            <v>1</v>
          </cell>
          <cell r="BH1388">
            <v>39083</v>
          </cell>
          <cell r="BI1388" t="str">
            <v>O</v>
          </cell>
        </row>
        <row r="1389">
          <cell r="A1389">
            <v>98316</v>
          </cell>
          <cell r="B1389">
            <v>418</v>
          </cell>
          <cell r="C1389" t="str">
            <v>X3150</v>
          </cell>
          <cell r="D1389" t="str">
            <v>RASFI</v>
          </cell>
          <cell r="E1389" t="str">
            <v>MOHAMMED</v>
          </cell>
          <cell r="F1389">
            <v>21001</v>
          </cell>
          <cell r="H1389" t="str">
            <v>BENI AMIR EST - BENI MELLAL</v>
          </cell>
          <cell r="I1389" t="str">
            <v>F</v>
          </cell>
          <cell r="J1389">
            <v>29116</v>
          </cell>
          <cell r="K1389">
            <v>29129</v>
          </cell>
          <cell r="L1389" t="str">
            <v>41</v>
          </cell>
          <cell r="M1389" t="str">
            <v>A</v>
          </cell>
          <cell r="N1389">
            <v>29129</v>
          </cell>
          <cell r="O1389">
            <v>0</v>
          </cell>
          <cell r="P1389">
            <v>23</v>
          </cell>
          <cell r="Q1389" t="str">
            <v>O</v>
          </cell>
          <cell r="R1389" t="str">
            <v>N</v>
          </cell>
          <cell r="S1389">
            <v>0</v>
          </cell>
          <cell r="T1389" t="str">
            <v>M</v>
          </cell>
          <cell r="U1389" t="str">
            <v>YAAFOUR RAHMA BENT KADDOUR</v>
          </cell>
          <cell r="X1389">
            <v>6</v>
          </cell>
          <cell r="Y1389">
            <v>5</v>
          </cell>
          <cell r="AB1389" t="str">
            <v>X</v>
          </cell>
          <cell r="AC1389" t="str">
            <v>X</v>
          </cell>
          <cell r="AD1389" t="str">
            <v>X</v>
          </cell>
          <cell r="AH1389" t="str">
            <v>O</v>
          </cell>
          <cell r="AI1389" t="str">
            <v>N</v>
          </cell>
          <cell r="AK1389" t="str">
            <v>9 RUE IBN KHALDOUN OCP KHOURIBGA</v>
          </cell>
          <cell r="AL1389" t="str">
            <v>7 A.SC.EXP.</v>
          </cell>
          <cell r="AM1389" t="str">
            <v>CEP.CES.EMM</v>
          </cell>
          <cell r="AP1389" t="str">
            <v>I 31758</v>
          </cell>
          <cell r="AQ1389">
            <v>0</v>
          </cell>
          <cell r="AR1389" t="str">
            <v>B</v>
          </cell>
          <cell r="AS1389" t="str">
            <v>B.M.C.I  KHGA</v>
          </cell>
          <cell r="AT1389" t="str">
            <v>02820562508301</v>
          </cell>
          <cell r="AU1389" t="str">
            <v>/  /</v>
          </cell>
          <cell r="AW1389">
            <v>39264</v>
          </cell>
          <cell r="BA1389" t="str">
            <v>2</v>
          </cell>
          <cell r="BB1389">
            <v>1</v>
          </cell>
          <cell r="BC1389" t="str">
            <v>O</v>
          </cell>
          <cell r="BD1389">
            <v>0</v>
          </cell>
          <cell r="BE1389" t="str">
            <v>M</v>
          </cell>
          <cell r="BF1389" t="str">
            <v>N</v>
          </cell>
          <cell r="BG1389">
            <v>3</v>
          </cell>
          <cell r="BH1389">
            <v>39264</v>
          </cell>
        </row>
        <row r="1390">
          <cell r="A1390">
            <v>98471</v>
          </cell>
          <cell r="B1390">
            <v>437</v>
          </cell>
          <cell r="C1390" t="str">
            <v>X2450</v>
          </cell>
          <cell r="D1390" t="str">
            <v>ZOUITEN</v>
          </cell>
          <cell r="E1390" t="str">
            <v>ABDELLATIF</v>
          </cell>
          <cell r="F1390">
            <v>21145</v>
          </cell>
          <cell r="G1390" t="str">
            <v>6</v>
          </cell>
          <cell r="H1390" t="str">
            <v>HATTANE - KHOURIBGA</v>
          </cell>
          <cell r="I1390" t="str">
            <v>D</v>
          </cell>
          <cell r="J1390">
            <v>29549</v>
          </cell>
          <cell r="K1390">
            <v>36526</v>
          </cell>
          <cell r="L1390" t="str">
            <v>33</v>
          </cell>
          <cell r="M1390" t="str">
            <v>A</v>
          </cell>
          <cell r="N1390">
            <v>36526</v>
          </cell>
          <cell r="P1390">
            <v>22</v>
          </cell>
          <cell r="Q1390" t="str">
            <v>N</v>
          </cell>
          <cell r="R1390" t="str">
            <v>N</v>
          </cell>
          <cell r="S1390">
            <v>0</v>
          </cell>
          <cell r="T1390" t="str">
            <v>M</v>
          </cell>
          <cell r="U1390" t="str">
            <v>ASMAI FATIMA BENT MOHAMED</v>
          </cell>
          <cell r="X1390">
            <v>3</v>
          </cell>
          <cell r="Y1390">
            <v>3</v>
          </cell>
          <cell r="AB1390" t="str">
            <v>X</v>
          </cell>
          <cell r="AC1390" t="str">
            <v>X</v>
          </cell>
          <cell r="AD1390" t="str">
            <v>X</v>
          </cell>
          <cell r="AH1390" t="str">
            <v>O</v>
          </cell>
          <cell r="AI1390" t="str">
            <v>N</v>
          </cell>
          <cell r="AK1390" t="str">
            <v>03,RUE MELLILIA O C P - KHOURIBGA</v>
          </cell>
          <cell r="AL1390" t="str">
            <v>5 A.SC.EXP.</v>
          </cell>
          <cell r="AM1390" t="str">
            <v>DTM(L'INSTITUT NAT.DU CUIR ET TEXTIL.FES</v>
          </cell>
          <cell r="AP1390" t="str">
            <v>Q 102635</v>
          </cell>
          <cell r="AQ1390">
            <v>0</v>
          </cell>
          <cell r="AR1390" t="str">
            <v>B</v>
          </cell>
          <cell r="AS1390" t="str">
            <v>BMCI-KHOURIBGA</v>
          </cell>
          <cell r="AT1390" t="str">
            <v>02821219295301</v>
          </cell>
          <cell r="AU1390" t="str">
            <v>/  /</v>
          </cell>
          <cell r="AW1390">
            <v>41438</v>
          </cell>
          <cell r="AX1390">
            <v>41438</v>
          </cell>
          <cell r="BA1390" t="str">
            <v>2</v>
          </cell>
          <cell r="BB1390">
            <v>1</v>
          </cell>
          <cell r="BC1390" t="str">
            <v>N</v>
          </cell>
          <cell r="BD1390">
            <v>0</v>
          </cell>
          <cell r="BE1390" t="str">
            <v>M</v>
          </cell>
          <cell r="BF1390" t="str">
            <v>N</v>
          </cell>
          <cell r="BG1390">
            <v>0</v>
          </cell>
          <cell r="BH1390">
            <v>39630</v>
          </cell>
          <cell r="BI1390" t="str">
            <v>N</v>
          </cell>
        </row>
        <row r="1391">
          <cell r="A1391">
            <v>98556</v>
          </cell>
          <cell r="B1391">
            <v>402</v>
          </cell>
          <cell r="C1391" t="str">
            <v>X3602</v>
          </cell>
          <cell r="D1391" t="str">
            <v>ALLIOUA</v>
          </cell>
          <cell r="E1391" t="str">
            <v>EL MOSTAFA</v>
          </cell>
          <cell r="F1391">
            <v>19827</v>
          </cell>
          <cell r="G1391" t="str">
            <v>1</v>
          </cell>
          <cell r="H1391" t="str">
            <v>KHOURIBGA</v>
          </cell>
          <cell r="I1391" t="str">
            <v>F</v>
          </cell>
          <cell r="J1391">
            <v>29799</v>
          </cell>
          <cell r="K1391">
            <v>37073</v>
          </cell>
          <cell r="L1391" t="str">
            <v>51</v>
          </cell>
          <cell r="M1391" t="str">
            <v>A</v>
          </cell>
          <cell r="N1391">
            <v>37073</v>
          </cell>
          <cell r="P1391">
            <v>21</v>
          </cell>
          <cell r="Q1391" t="str">
            <v>N</v>
          </cell>
          <cell r="R1391" t="str">
            <v>N</v>
          </cell>
          <cell r="S1391">
            <v>0</v>
          </cell>
          <cell r="T1391" t="str">
            <v>M</v>
          </cell>
          <cell r="U1391" t="str">
            <v>ZILAF AZIZA</v>
          </cell>
          <cell r="X1391">
            <v>5</v>
          </cell>
          <cell r="Y1391">
            <v>5</v>
          </cell>
          <cell r="AB1391" t="str">
            <v>X</v>
          </cell>
          <cell r="AC1391" t="str">
            <v>X</v>
          </cell>
          <cell r="AD1391" t="str">
            <v>X</v>
          </cell>
          <cell r="AH1391" t="str">
            <v>O</v>
          </cell>
          <cell r="AI1391" t="str">
            <v>N</v>
          </cell>
          <cell r="AK1391" t="str">
            <v>19 RUE AFOUGHAL OCP  KHOURIBGA</v>
          </cell>
          <cell r="AL1391" t="str">
            <v>BAC.SC.ECO.</v>
          </cell>
          <cell r="AM1391" t="str">
            <v>CEP.CES.BAC(SC.ECO).EMM</v>
          </cell>
          <cell r="AP1391" t="str">
            <v>Q 53824</v>
          </cell>
          <cell r="AQ1391">
            <v>0</v>
          </cell>
          <cell r="AR1391" t="str">
            <v>B</v>
          </cell>
          <cell r="AS1391" t="str">
            <v>S.G.M.B-KHOURIBGA</v>
          </cell>
          <cell r="AT1391" t="str">
            <v>0670009283788</v>
          </cell>
          <cell r="AU1391" t="str">
            <v>/  /</v>
          </cell>
          <cell r="AW1391">
            <v>41727</v>
          </cell>
          <cell r="AX1391">
            <v>41727</v>
          </cell>
          <cell r="BA1391" t="str">
            <v>2</v>
          </cell>
          <cell r="BB1391">
            <v>1</v>
          </cell>
          <cell r="BC1391" t="str">
            <v>O</v>
          </cell>
          <cell r="BD1391">
            <v>0</v>
          </cell>
          <cell r="BE1391" t="str">
            <v>M</v>
          </cell>
          <cell r="BF1391" t="str">
            <v>N</v>
          </cell>
          <cell r="BG1391">
            <v>0</v>
          </cell>
          <cell r="BH1391">
            <v>39995</v>
          </cell>
        </row>
        <row r="1392">
          <cell r="A1392">
            <v>98577</v>
          </cell>
          <cell r="B1392">
            <v>423</v>
          </cell>
          <cell r="C1392" t="str">
            <v>X4211</v>
          </cell>
          <cell r="D1392" t="str">
            <v>CHIHABI</v>
          </cell>
          <cell r="E1392" t="str">
            <v>ABDELKADER</v>
          </cell>
          <cell r="F1392">
            <v>21134</v>
          </cell>
          <cell r="G1392" t="str">
            <v>2</v>
          </cell>
          <cell r="H1392" t="str">
            <v>OUED-ZEM</v>
          </cell>
          <cell r="I1392" t="str">
            <v>F</v>
          </cell>
          <cell r="J1392">
            <v>29799</v>
          </cell>
          <cell r="K1392">
            <v>37043</v>
          </cell>
          <cell r="L1392" t="str">
            <v>42</v>
          </cell>
          <cell r="M1392" t="str">
            <v>A</v>
          </cell>
          <cell r="N1392">
            <v>37043</v>
          </cell>
          <cell r="P1392">
            <v>21</v>
          </cell>
          <cell r="Q1392" t="str">
            <v>O</v>
          </cell>
          <cell r="R1392" t="str">
            <v>N</v>
          </cell>
          <cell r="S1392">
            <v>0</v>
          </cell>
          <cell r="T1392" t="str">
            <v>M</v>
          </cell>
          <cell r="U1392" t="str">
            <v>ZEMMAOUI SAMIRA BT ABDELLAH</v>
          </cell>
          <cell r="X1392">
            <v>3</v>
          </cell>
          <cell r="Y1392">
            <v>3</v>
          </cell>
          <cell r="AB1392" t="str">
            <v>X</v>
          </cell>
          <cell r="AC1392" t="str">
            <v>X</v>
          </cell>
          <cell r="AD1392" t="str">
            <v>X</v>
          </cell>
          <cell r="AH1392" t="str">
            <v>O</v>
          </cell>
          <cell r="AI1392" t="str">
            <v>N</v>
          </cell>
          <cell r="AK1392" t="str">
            <v>1 RUE EL JADIDA VILLE O.C.P - KHGA</v>
          </cell>
          <cell r="AL1392" t="str">
            <v>7 A.SC.MATHS.</v>
          </cell>
          <cell r="AM1392" t="str">
            <v>CES.EMM</v>
          </cell>
          <cell r="AP1392" t="str">
            <v>Q 55166</v>
          </cell>
          <cell r="AQ1392">
            <v>0</v>
          </cell>
          <cell r="AR1392" t="str">
            <v>B</v>
          </cell>
          <cell r="AS1392" t="str">
            <v>SGMB.KHGA</v>
          </cell>
          <cell r="AT1392" t="str">
            <v>670009131401</v>
          </cell>
          <cell r="AU1392" t="str">
            <v>/  /</v>
          </cell>
          <cell r="AW1392">
            <v>41804</v>
          </cell>
          <cell r="AX1392">
            <v>41804</v>
          </cell>
          <cell r="BA1392" t="str">
            <v>2</v>
          </cell>
          <cell r="BB1392">
            <v>0</v>
          </cell>
          <cell r="BC1392" t="str">
            <v>O</v>
          </cell>
          <cell r="BD1392">
            <v>0</v>
          </cell>
          <cell r="BE1392" t="str">
            <v>M</v>
          </cell>
          <cell r="BF1392" t="str">
            <v>N</v>
          </cell>
          <cell r="BG1392">
            <v>4</v>
          </cell>
          <cell r="BH1392">
            <v>39814</v>
          </cell>
        </row>
        <row r="1393">
          <cell r="A1393">
            <v>98589</v>
          </cell>
          <cell r="B1393">
            <v>403</v>
          </cell>
          <cell r="C1393" t="str">
            <v>X3050</v>
          </cell>
          <cell r="D1393" t="str">
            <v>TOUNESI</v>
          </cell>
          <cell r="E1393" t="str">
            <v>SALAH</v>
          </cell>
          <cell r="F1393">
            <v>20838</v>
          </cell>
          <cell r="H1393" t="str">
            <v>ZOUAERS - BENI MELLAL</v>
          </cell>
          <cell r="I1393" t="str">
            <v>F</v>
          </cell>
          <cell r="J1393">
            <v>29799</v>
          </cell>
          <cell r="K1393">
            <v>29799</v>
          </cell>
          <cell r="L1393" t="str">
            <v>41</v>
          </cell>
          <cell r="M1393" t="str">
            <v>A</v>
          </cell>
          <cell r="N1393">
            <v>29799</v>
          </cell>
          <cell r="P1393">
            <v>21</v>
          </cell>
          <cell r="Q1393" t="str">
            <v>O</v>
          </cell>
          <cell r="R1393" t="str">
            <v>N</v>
          </cell>
          <cell r="S1393">
            <v>0</v>
          </cell>
          <cell r="T1393" t="str">
            <v>M</v>
          </cell>
          <cell r="U1393" t="str">
            <v>IMLALI SAADIA</v>
          </cell>
          <cell r="X1393">
            <v>3</v>
          </cell>
          <cell r="Y1393">
            <v>3</v>
          </cell>
          <cell r="AB1393" t="str">
            <v>X</v>
          </cell>
          <cell r="AC1393" t="str">
            <v>X</v>
          </cell>
          <cell r="AD1393" t="str">
            <v>X</v>
          </cell>
          <cell r="AH1393" t="str">
            <v>O</v>
          </cell>
          <cell r="AI1393" t="str">
            <v>N</v>
          </cell>
          <cell r="AK1393" t="str">
            <v>12 IMMEUBLE ADOUR OCP - KHGA</v>
          </cell>
          <cell r="AL1393" t="str">
            <v>7 A.MATHS.TECH.</v>
          </cell>
          <cell r="AM1393" t="str">
            <v>CEP.CES.EMM</v>
          </cell>
          <cell r="AP1393" t="str">
            <v>H 115241</v>
          </cell>
          <cell r="AQ1393">
            <v>0</v>
          </cell>
          <cell r="AR1393" t="str">
            <v>B</v>
          </cell>
          <cell r="AS1393" t="str">
            <v>B.M.C.I  KHGA</v>
          </cell>
          <cell r="AT1393" t="str">
            <v>02820739145301</v>
          </cell>
          <cell r="AU1393" t="str">
            <v>/  /</v>
          </cell>
          <cell r="AW1393">
            <v>39814</v>
          </cell>
          <cell r="BA1393" t="str">
            <v>2</v>
          </cell>
          <cell r="BB1393">
            <v>1</v>
          </cell>
          <cell r="BC1393" t="str">
            <v>O</v>
          </cell>
          <cell r="BD1393">
            <v>0</v>
          </cell>
          <cell r="BE1393" t="str">
            <v>M</v>
          </cell>
          <cell r="BF1393" t="str">
            <v>N</v>
          </cell>
          <cell r="BG1393">
            <v>1</v>
          </cell>
          <cell r="BH1393">
            <v>39814</v>
          </cell>
        </row>
        <row r="1394">
          <cell r="A1394">
            <v>98710</v>
          </cell>
          <cell r="B1394">
            <v>423</v>
          </cell>
          <cell r="C1394" t="str">
            <v>X6200</v>
          </cell>
          <cell r="D1394" t="str">
            <v>GUEZRI</v>
          </cell>
          <cell r="E1394" t="str">
            <v>ABDELLATIF</v>
          </cell>
          <cell r="F1394">
            <v>21001</v>
          </cell>
          <cell r="G1394" t="str">
            <v>1</v>
          </cell>
          <cell r="H1394" t="str">
            <v>OULED BHAR KBAR KHOURIBGA</v>
          </cell>
          <cell r="I1394" t="str">
            <v>D</v>
          </cell>
          <cell r="J1394">
            <v>30096</v>
          </cell>
          <cell r="K1394">
            <v>30286</v>
          </cell>
          <cell r="L1394" t="str">
            <v>52</v>
          </cell>
          <cell r="M1394" t="str">
            <v>B</v>
          </cell>
          <cell r="N1394">
            <v>35612</v>
          </cell>
          <cell r="P1394">
            <v>20</v>
          </cell>
          <cell r="Q1394" t="str">
            <v>O</v>
          </cell>
          <cell r="R1394" t="str">
            <v>N</v>
          </cell>
          <cell r="S1394">
            <v>0</v>
          </cell>
          <cell r="T1394" t="str">
            <v>M</v>
          </cell>
          <cell r="U1394" t="str">
            <v>GUEZRI RACHIDA BENT SALAH</v>
          </cell>
          <cell r="X1394">
            <v>3</v>
          </cell>
          <cell r="Y1394">
            <v>3</v>
          </cell>
          <cell r="AB1394" t="str">
            <v>X</v>
          </cell>
          <cell r="AC1394" t="str">
            <v>X</v>
          </cell>
          <cell r="AD1394" t="str">
            <v>X</v>
          </cell>
          <cell r="AH1394" t="str">
            <v>N</v>
          </cell>
          <cell r="AI1394" t="str">
            <v>O</v>
          </cell>
          <cell r="AJ1394">
            <v>36526</v>
          </cell>
          <cell r="AK1394" t="str">
            <v>66,LOTISSEMENT EL HANA KHOURIBGA</v>
          </cell>
          <cell r="AL1394" t="str">
            <v>DUT.</v>
          </cell>
          <cell r="AM1394" t="str">
            <v>DTM.BAC.DUT.</v>
          </cell>
          <cell r="AP1394" t="str">
            <v>Q 15654</v>
          </cell>
          <cell r="AQ1394">
            <v>0</v>
          </cell>
          <cell r="AR1394" t="str">
            <v>B</v>
          </cell>
          <cell r="AS1394" t="str">
            <v>C.I.H - KHGA</v>
          </cell>
          <cell r="AT1394" t="str">
            <v>9584699211004700</v>
          </cell>
          <cell r="AU1394" t="str">
            <v>/  /</v>
          </cell>
          <cell r="AW1394">
            <v>40179</v>
          </cell>
          <cell r="BA1394" t="str">
            <v>2</v>
          </cell>
          <cell r="BB1394">
            <v>1</v>
          </cell>
          <cell r="BC1394" t="str">
            <v>O</v>
          </cell>
          <cell r="BD1394">
            <v>0</v>
          </cell>
          <cell r="BE1394" t="str">
            <v>M</v>
          </cell>
          <cell r="BF1394" t="str">
            <v>N</v>
          </cell>
          <cell r="BG1394">
            <v>4</v>
          </cell>
          <cell r="BH1394">
            <v>40179</v>
          </cell>
          <cell r="BI1394" t="str">
            <v>O</v>
          </cell>
        </row>
        <row r="1395">
          <cell r="A1395">
            <v>98737</v>
          </cell>
          <cell r="B1395">
            <v>406</v>
          </cell>
          <cell r="C1395" t="str">
            <v>X4050</v>
          </cell>
          <cell r="D1395" t="str">
            <v>BOUZIANE</v>
          </cell>
          <cell r="E1395" t="str">
            <v>BRAHIM</v>
          </cell>
          <cell r="F1395">
            <v>21515</v>
          </cell>
          <cell r="H1395" t="str">
            <v>FIGUIG</v>
          </cell>
          <cell r="I1395" t="str">
            <v>F</v>
          </cell>
          <cell r="J1395">
            <v>30165</v>
          </cell>
          <cell r="K1395">
            <v>36526</v>
          </cell>
          <cell r="L1395" t="str">
            <v>42</v>
          </cell>
          <cell r="M1395" t="str">
            <v>A</v>
          </cell>
          <cell r="N1395">
            <v>36526</v>
          </cell>
          <cell r="P1395">
            <v>20</v>
          </cell>
          <cell r="Q1395" t="str">
            <v>O</v>
          </cell>
          <cell r="R1395" t="str">
            <v>N</v>
          </cell>
          <cell r="S1395">
            <v>0</v>
          </cell>
          <cell r="T1395" t="str">
            <v>M</v>
          </cell>
          <cell r="U1395" t="str">
            <v>DODO YAMINA DOUDOU</v>
          </cell>
          <cell r="X1395">
            <v>2</v>
          </cell>
          <cell r="Y1395">
            <v>2</v>
          </cell>
          <cell r="Z1395" t="str">
            <v>N</v>
          </cell>
          <cell r="AB1395" t="str">
            <v>X</v>
          </cell>
          <cell r="AC1395" t="str">
            <v>X</v>
          </cell>
          <cell r="AD1395" t="str">
            <v>X</v>
          </cell>
          <cell r="AH1395" t="str">
            <v>O</v>
          </cell>
          <cell r="AI1395" t="str">
            <v>N</v>
          </cell>
          <cell r="AK1395" t="str">
            <v>5, RUE GHARNATA VILLE O.C.P - KHGA</v>
          </cell>
          <cell r="AL1395" t="str">
            <v>7 A.MATHS TECH.</v>
          </cell>
          <cell r="AM1395" t="str">
            <v>CEP.CES.EMM</v>
          </cell>
          <cell r="AP1395" t="str">
            <v>F 192423</v>
          </cell>
          <cell r="AQ1395">
            <v>0</v>
          </cell>
          <cell r="AR1395" t="str">
            <v>B</v>
          </cell>
          <cell r="AS1395" t="str">
            <v>SGMB.KHGA</v>
          </cell>
          <cell r="AT1395" t="str">
            <v>670009026252</v>
          </cell>
          <cell r="AU1395" t="str">
            <v>/  /</v>
          </cell>
          <cell r="AW1395">
            <v>40179</v>
          </cell>
          <cell r="BA1395" t="str">
            <v>2</v>
          </cell>
          <cell r="BB1395">
            <v>1</v>
          </cell>
          <cell r="BC1395" t="str">
            <v>O</v>
          </cell>
          <cell r="BD1395">
            <v>0</v>
          </cell>
          <cell r="BE1395" t="str">
            <v>M</v>
          </cell>
          <cell r="BG1395">
            <v>4</v>
          </cell>
          <cell r="BH1395">
            <v>40179</v>
          </cell>
        </row>
        <row r="1396">
          <cell r="A1396">
            <v>98738</v>
          </cell>
          <cell r="B1396">
            <v>428</v>
          </cell>
          <cell r="C1396" t="str">
            <v>X4050</v>
          </cell>
          <cell r="D1396" t="str">
            <v>EL MOUKTAFI</v>
          </cell>
          <cell r="E1396" t="str">
            <v>BOUCHAIB</v>
          </cell>
          <cell r="F1396">
            <v>21593</v>
          </cell>
          <cell r="H1396" t="str">
            <v>GUISSER - SETTAT</v>
          </cell>
          <cell r="I1396" t="str">
            <v>F</v>
          </cell>
          <cell r="J1396">
            <v>30165</v>
          </cell>
          <cell r="K1396">
            <v>32448</v>
          </cell>
          <cell r="L1396" t="str">
            <v>42</v>
          </cell>
          <cell r="M1396" t="str">
            <v>A</v>
          </cell>
          <cell r="N1396">
            <v>32448</v>
          </cell>
          <cell r="P1396">
            <v>20</v>
          </cell>
          <cell r="Q1396" t="str">
            <v>O</v>
          </cell>
          <cell r="R1396" t="str">
            <v>N</v>
          </cell>
          <cell r="S1396">
            <v>0</v>
          </cell>
          <cell r="T1396" t="str">
            <v>M</v>
          </cell>
          <cell r="U1396" t="str">
            <v>MAKMOUL SOURIA</v>
          </cell>
          <cell r="X1396">
            <v>3</v>
          </cell>
          <cell r="Y1396">
            <v>3</v>
          </cell>
          <cell r="AB1396" t="str">
            <v>X</v>
          </cell>
          <cell r="AC1396" t="str">
            <v>X</v>
          </cell>
          <cell r="AD1396" t="str">
            <v>X</v>
          </cell>
          <cell r="AE1396" t="str">
            <v>MINI.EDUC.NATIO</v>
          </cell>
          <cell r="AH1396" t="str">
            <v>N</v>
          </cell>
          <cell r="AI1396" t="str">
            <v>N</v>
          </cell>
          <cell r="AK1396" t="str">
            <v>103 LOTISSEMENT EL HANA - KHGA</v>
          </cell>
          <cell r="AL1396" t="str">
            <v>7 A.M.T</v>
          </cell>
          <cell r="AM1396" t="str">
            <v>CEP.CES.EMM</v>
          </cell>
          <cell r="AP1396" t="str">
            <v>Q 73749</v>
          </cell>
          <cell r="AQ1396">
            <v>0</v>
          </cell>
          <cell r="AR1396" t="str">
            <v>B</v>
          </cell>
          <cell r="AS1396" t="str">
            <v>WAFABANK - KHA</v>
          </cell>
          <cell r="AT1396" t="str">
            <v>1220301196203</v>
          </cell>
          <cell r="AU1396" t="str">
            <v>/  /</v>
          </cell>
          <cell r="AW1396">
            <v>40179</v>
          </cell>
          <cell r="AZ1396" t="str">
            <v>M</v>
          </cell>
          <cell r="BA1396" t="str">
            <v>2</v>
          </cell>
          <cell r="BB1396">
            <v>1</v>
          </cell>
          <cell r="BC1396" t="str">
            <v>O</v>
          </cell>
          <cell r="BD1396">
            <v>0</v>
          </cell>
          <cell r="BE1396" t="str">
            <v>M</v>
          </cell>
          <cell r="BF1396" t="str">
            <v>N</v>
          </cell>
          <cell r="BG1396">
            <v>4</v>
          </cell>
          <cell r="BH1396">
            <v>40179</v>
          </cell>
          <cell r="BI1396" t="str">
            <v>O</v>
          </cell>
        </row>
        <row r="1397">
          <cell r="A1397">
            <v>98743</v>
          </cell>
          <cell r="B1397">
            <v>461</v>
          </cell>
          <cell r="C1397" t="str">
            <v>X4150</v>
          </cell>
          <cell r="D1397" t="str">
            <v>ARAB</v>
          </cell>
          <cell r="E1397" t="str">
            <v>ABDELAZIZ</v>
          </cell>
          <cell r="F1397">
            <v>21731</v>
          </cell>
          <cell r="H1397" t="str">
            <v>TAZA</v>
          </cell>
          <cell r="I1397" t="str">
            <v>F</v>
          </cell>
          <cell r="J1397">
            <v>30165</v>
          </cell>
          <cell r="K1397">
            <v>36526</v>
          </cell>
          <cell r="L1397" t="str">
            <v>42</v>
          </cell>
          <cell r="M1397" t="str">
            <v>A</v>
          </cell>
          <cell r="N1397">
            <v>36526</v>
          </cell>
          <cell r="P1397">
            <v>20</v>
          </cell>
          <cell r="Q1397" t="str">
            <v>O</v>
          </cell>
          <cell r="R1397" t="str">
            <v>N</v>
          </cell>
          <cell r="S1397">
            <v>0</v>
          </cell>
          <cell r="T1397" t="str">
            <v>M</v>
          </cell>
          <cell r="U1397" t="str">
            <v>AGUIG AICHA</v>
          </cell>
          <cell r="X1397">
            <v>3</v>
          </cell>
          <cell r="Y1397">
            <v>3</v>
          </cell>
          <cell r="AB1397" t="str">
            <v>X</v>
          </cell>
          <cell r="AC1397" t="str">
            <v>X</v>
          </cell>
          <cell r="AD1397" t="str">
            <v>X</v>
          </cell>
          <cell r="AH1397" t="str">
            <v>P</v>
          </cell>
          <cell r="AI1397" t="str">
            <v>N</v>
          </cell>
          <cell r="AK1397" t="str">
            <v>APP N° 1 N° 132 RUE TRIPOLI RIAD KHGA</v>
          </cell>
          <cell r="AL1397" t="str">
            <v>7 A.T.I</v>
          </cell>
          <cell r="AM1397" t="str">
            <v>CEP.CES.EMM</v>
          </cell>
          <cell r="AP1397" t="str">
            <v>G 23064</v>
          </cell>
          <cell r="AQ1397">
            <v>0</v>
          </cell>
          <cell r="AR1397" t="str">
            <v>B</v>
          </cell>
          <cell r="AS1397" t="str">
            <v>WAFABANK - KHGA</v>
          </cell>
          <cell r="AT1397" t="str">
            <v>1220301190644</v>
          </cell>
          <cell r="AU1397" t="str">
            <v>/  /</v>
          </cell>
          <cell r="AW1397">
            <v>40179</v>
          </cell>
          <cell r="BA1397" t="str">
            <v>2</v>
          </cell>
          <cell r="BB1397">
            <v>1</v>
          </cell>
          <cell r="BC1397" t="str">
            <v>O</v>
          </cell>
          <cell r="BD1397">
            <v>0</v>
          </cell>
          <cell r="BE1397" t="str">
            <v>M</v>
          </cell>
          <cell r="BF1397" t="str">
            <v>N</v>
          </cell>
          <cell r="BG1397">
            <v>5</v>
          </cell>
          <cell r="BH1397">
            <v>40179</v>
          </cell>
        </row>
        <row r="1398">
          <cell r="A1398">
            <v>98744</v>
          </cell>
          <cell r="B1398">
            <v>421</v>
          </cell>
          <cell r="C1398" t="str">
            <v>X4032</v>
          </cell>
          <cell r="D1398" t="str">
            <v>AKKAOUI</v>
          </cell>
          <cell r="E1398" t="str">
            <v>ASSOU</v>
          </cell>
          <cell r="F1398">
            <v>21001</v>
          </cell>
          <cell r="H1398" t="str">
            <v>RICH - ERRACHIDIA</v>
          </cell>
          <cell r="I1398" t="str">
            <v>F</v>
          </cell>
          <cell r="J1398">
            <v>30166</v>
          </cell>
          <cell r="K1398">
            <v>37043</v>
          </cell>
          <cell r="L1398" t="str">
            <v>42</v>
          </cell>
          <cell r="M1398" t="str">
            <v>A</v>
          </cell>
          <cell r="N1398">
            <v>37043</v>
          </cell>
          <cell r="P1398">
            <v>20</v>
          </cell>
          <cell r="Q1398" t="str">
            <v>O</v>
          </cell>
          <cell r="R1398" t="str">
            <v>N</v>
          </cell>
          <cell r="S1398">
            <v>0</v>
          </cell>
          <cell r="T1398" t="str">
            <v>M</v>
          </cell>
          <cell r="U1398" t="str">
            <v>OUAHILI NAIMA</v>
          </cell>
          <cell r="X1398">
            <v>2</v>
          </cell>
          <cell r="Y1398">
            <v>2</v>
          </cell>
          <cell r="AB1398" t="str">
            <v>X</v>
          </cell>
          <cell r="AC1398" t="str">
            <v>X</v>
          </cell>
          <cell r="AD1398" t="str">
            <v>X</v>
          </cell>
          <cell r="AH1398" t="str">
            <v>O</v>
          </cell>
          <cell r="AI1398" t="str">
            <v>N</v>
          </cell>
          <cell r="AK1398" t="str">
            <v>1 IMMEUBLE KASSOU O.C.P  KHGA</v>
          </cell>
          <cell r="AL1398" t="str">
            <v>7 A.T.I</v>
          </cell>
          <cell r="AM1398" t="str">
            <v>CEP.CES.EMM</v>
          </cell>
          <cell r="AP1398" t="str">
            <v>U 46460</v>
          </cell>
          <cell r="AQ1398">
            <v>0</v>
          </cell>
          <cell r="AR1398" t="str">
            <v>B</v>
          </cell>
          <cell r="AS1398" t="str">
            <v>B.M.C.I  KHGA</v>
          </cell>
          <cell r="AT1398" t="str">
            <v>02820668529301</v>
          </cell>
          <cell r="AU1398" t="str">
            <v>/  /</v>
          </cell>
          <cell r="AW1398">
            <v>40179</v>
          </cell>
          <cell r="BA1398" t="str">
            <v>2</v>
          </cell>
          <cell r="BB1398">
            <v>1</v>
          </cell>
          <cell r="BC1398" t="str">
            <v>O</v>
          </cell>
          <cell r="BD1398">
            <v>0</v>
          </cell>
          <cell r="BE1398" t="str">
            <v>M</v>
          </cell>
          <cell r="BF1398" t="str">
            <v>N</v>
          </cell>
          <cell r="BG1398">
            <v>4</v>
          </cell>
          <cell r="BH1398">
            <v>40179</v>
          </cell>
        </row>
        <row r="1399">
          <cell r="A1399">
            <v>98776</v>
          </cell>
          <cell r="B1399">
            <v>403</v>
          </cell>
          <cell r="C1399" t="str">
            <v>X2550</v>
          </cell>
          <cell r="D1399" t="str">
            <v>SELLAJI</v>
          </cell>
          <cell r="E1399" t="str">
            <v>BOUAZZA</v>
          </cell>
          <cell r="F1399">
            <v>20974</v>
          </cell>
          <cell r="G1399" t="str">
            <v>2</v>
          </cell>
          <cell r="H1399" t="str">
            <v>OUED-ZEM</v>
          </cell>
          <cell r="I1399" t="str">
            <v>F</v>
          </cell>
          <cell r="J1399">
            <v>30179</v>
          </cell>
          <cell r="K1399">
            <v>32478</v>
          </cell>
          <cell r="L1399" t="str">
            <v>33</v>
          </cell>
          <cell r="M1399" t="str">
            <v>A</v>
          </cell>
          <cell r="N1399">
            <v>32478</v>
          </cell>
          <cell r="P1399">
            <v>20</v>
          </cell>
          <cell r="Q1399" t="str">
            <v>O</v>
          </cell>
          <cell r="R1399" t="str">
            <v>N</v>
          </cell>
          <cell r="S1399">
            <v>0</v>
          </cell>
          <cell r="T1399" t="str">
            <v>M</v>
          </cell>
          <cell r="U1399" t="str">
            <v>FATIMA BENT BOUAZZA FARDALI</v>
          </cell>
          <cell r="X1399">
            <v>6</v>
          </cell>
          <cell r="Y1399">
            <v>6</v>
          </cell>
          <cell r="AB1399" t="str">
            <v>X</v>
          </cell>
          <cell r="AC1399" t="str">
            <v>X</v>
          </cell>
          <cell r="AD1399" t="str">
            <v>X</v>
          </cell>
          <cell r="AH1399" t="str">
            <v>N</v>
          </cell>
          <cell r="AI1399" t="str">
            <v>N</v>
          </cell>
          <cell r="AK1399" t="str">
            <v>76 RUE 16 ZIDANIA KOREA - OUED ZEM</v>
          </cell>
          <cell r="AL1399" t="str">
            <v>7 A.S.LM</v>
          </cell>
          <cell r="AM1399" t="str">
            <v>B.E.I(BREVET D'ETAT D'INFIRMIER)</v>
          </cell>
          <cell r="AP1399" t="str">
            <v>QA 496</v>
          </cell>
          <cell r="AQ1399">
            <v>0</v>
          </cell>
          <cell r="AR1399" t="str">
            <v>B</v>
          </cell>
          <cell r="AS1399" t="str">
            <v>POPULAIRE.O.ZEM</v>
          </cell>
          <cell r="AT1399" t="str">
            <v>2111113062820009</v>
          </cell>
          <cell r="AU1399" t="str">
            <v>/  /</v>
          </cell>
          <cell r="AW1399">
            <v>40179</v>
          </cell>
          <cell r="BA1399" t="str">
            <v>2</v>
          </cell>
          <cell r="BB1399">
            <v>1</v>
          </cell>
          <cell r="BC1399" t="str">
            <v>N</v>
          </cell>
          <cell r="BD1399">
            <v>0</v>
          </cell>
          <cell r="BE1399" t="str">
            <v>M</v>
          </cell>
          <cell r="BF1399" t="str">
            <v>N</v>
          </cell>
          <cell r="BG1399">
            <v>30</v>
          </cell>
          <cell r="BH1399">
            <v>40179</v>
          </cell>
          <cell r="BI1399" t="str">
            <v>O</v>
          </cell>
        </row>
        <row r="1400">
          <cell r="A1400">
            <v>98781</v>
          </cell>
          <cell r="B1400">
            <v>403</v>
          </cell>
          <cell r="C1400" t="str">
            <v>X1550</v>
          </cell>
          <cell r="D1400" t="str">
            <v>EL MANSOURI</v>
          </cell>
          <cell r="E1400" t="str">
            <v>AHMED</v>
          </cell>
          <cell r="F1400">
            <v>22386</v>
          </cell>
          <cell r="G1400" t="str">
            <v>1</v>
          </cell>
          <cell r="H1400" t="str">
            <v>KHOURIBGA</v>
          </cell>
          <cell r="I1400" t="str">
            <v>F</v>
          </cell>
          <cell r="J1400">
            <v>30173</v>
          </cell>
          <cell r="K1400">
            <v>30195</v>
          </cell>
          <cell r="L1400" t="str">
            <v>32</v>
          </cell>
          <cell r="M1400" t="str">
            <v>A</v>
          </cell>
          <cell r="N1400">
            <v>30195</v>
          </cell>
          <cell r="P1400">
            <v>20</v>
          </cell>
          <cell r="Q1400" t="str">
            <v>O</v>
          </cell>
          <cell r="R1400" t="str">
            <v>N</v>
          </cell>
          <cell r="S1400">
            <v>0</v>
          </cell>
          <cell r="T1400" t="str">
            <v>M</v>
          </cell>
          <cell r="U1400" t="str">
            <v>QAOS FATIHA BENT AZZOUZ</v>
          </cell>
          <cell r="X1400">
            <v>5</v>
          </cell>
          <cell r="Y1400">
            <v>5</v>
          </cell>
          <cell r="AB1400" t="str">
            <v>X</v>
          </cell>
          <cell r="AC1400" t="str">
            <v>X</v>
          </cell>
          <cell r="AD1400" t="str">
            <v>X</v>
          </cell>
          <cell r="AH1400" t="str">
            <v>N</v>
          </cell>
          <cell r="AI1400" t="str">
            <v>N</v>
          </cell>
          <cell r="AK1400" t="str">
            <v>DOUAR LAMRAHNA OULED ABDOUNE KHOURIBGA</v>
          </cell>
          <cell r="AL1400" t="str">
            <v>4 A.S</v>
          </cell>
          <cell r="AM1400" t="str">
            <v>B.E.I(BREVET D'ETAT D'INFIRMIER)</v>
          </cell>
          <cell r="AP1400" t="str">
            <v>Q 82871</v>
          </cell>
          <cell r="AQ1400">
            <v>0</v>
          </cell>
          <cell r="AR1400" t="str">
            <v>B</v>
          </cell>
          <cell r="AS1400" t="str">
            <v>POPULAIRE.KHGA</v>
          </cell>
          <cell r="AT1400" t="str">
            <v>2111156454050008</v>
          </cell>
          <cell r="AU1400" t="str">
            <v>/  /</v>
          </cell>
          <cell r="AW1400">
            <v>40725</v>
          </cell>
          <cell r="BA1400" t="str">
            <v>2</v>
          </cell>
          <cell r="BB1400">
            <v>1</v>
          </cell>
          <cell r="BD1400">
            <v>0</v>
          </cell>
          <cell r="BE1400" t="str">
            <v>M</v>
          </cell>
          <cell r="BF1400" t="str">
            <v>N</v>
          </cell>
          <cell r="BG1400">
            <v>1</v>
          </cell>
          <cell r="BH1400">
            <v>40725</v>
          </cell>
        </row>
        <row r="1401">
          <cell r="A1401">
            <v>98859</v>
          </cell>
          <cell r="B1401">
            <v>403</v>
          </cell>
          <cell r="C1401" t="str">
            <v>X4352</v>
          </cell>
          <cell r="D1401" t="str">
            <v>ECH-CHELLAOUI</v>
          </cell>
          <cell r="E1401" t="str">
            <v>M'HAMMED</v>
          </cell>
          <cell r="F1401">
            <v>21747</v>
          </cell>
          <cell r="G1401" t="str">
            <v>1</v>
          </cell>
          <cell r="H1401" t="str">
            <v>OULED BHAR KBAR KHOURIBGA</v>
          </cell>
          <cell r="I1401" t="str">
            <v>D</v>
          </cell>
          <cell r="J1401">
            <v>30211</v>
          </cell>
          <cell r="K1401">
            <v>35065</v>
          </cell>
          <cell r="L1401" t="str">
            <v>42</v>
          </cell>
          <cell r="M1401" t="str">
            <v>A</v>
          </cell>
          <cell r="N1401">
            <v>35065</v>
          </cell>
          <cell r="P1401">
            <v>20</v>
          </cell>
          <cell r="Q1401" t="str">
            <v>O</v>
          </cell>
          <cell r="R1401" t="str">
            <v>N</v>
          </cell>
          <cell r="S1401">
            <v>0</v>
          </cell>
          <cell r="T1401" t="str">
            <v>M</v>
          </cell>
          <cell r="U1401" t="str">
            <v>TABIT FATIMA BENT LEKBIR</v>
          </cell>
          <cell r="X1401">
            <v>4</v>
          </cell>
          <cell r="Y1401">
            <v>4</v>
          </cell>
          <cell r="AB1401" t="str">
            <v>X</v>
          </cell>
          <cell r="AC1401" t="str">
            <v>X</v>
          </cell>
          <cell r="AD1401" t="str">
            <v>X</v>
          </cell>
          <cell r="AH1401" t="str">
            <v>N</v>
          </cell>
          <cell r="AI1401" t="str">
            <v>N</v>
          </cell>
          <cell r="AK1401" t="str">
            <v>232,YASSMINE 1 NAHDA KHOURIBGA</v>
          </cell>
          <cell r="AL1401" t="str">
            <v>7 A.SC.EXP.</v>
          </cell>
          <cell r="AM1401" t="str">
            <v>DMG(GEOMETRE DE L'ECOLE MINES TOUISSIT</v>
          </cell>
          <cell r="AO1401" t="str">
            <v>2404</v>
          </cell>
          <cell r="AP1401" t="str">
            <v>Q 64442</v>
          </cell>
          <cell r="AQ1401">
            <v>0</v>
          </cell>
          <cell r="AR1401" t="str">
            <v>B</v>
          </cell>
          <cell r="AS1401" t="str">
            <v>POPULAIRE.KHGA</v>
          </cell>
          <cell r="AT1401" t="str">
            <v>2111136316020001</v>
          </cell>
          <cell r="AU1401" t="str">
            <v>/  /</v>
          </cell>
          <cell r="AW1401">
            <v>40179</v>
          </cell>
          <cell r="BA1401" t="str">
            <v>2</v>
          </cell>
          <cell r="BB1401">
            <v>1</v>
          </cell>
          <cell r="BD1401">
            <v>0</v>
          </cell>
          <cell r="BE1401" t="str">
            <v>M</v>
          </cell>
          <cell r="BF1401" t="str">
            <v>N</v>
          </cell>
          <cell r="BG1401">
            <v>1</v>
          </cell>
          <cell r="BH1401">
            <v>40360</v>
          </cell>
          <cell r="BI1401" t="str">
            <v>O</v>
          </cell>
        </row>
        <row r="1402">
          <cell r="A1402">
            <v>98948</v>
          </cell>
          <cell r="B1402">
            <v>414</v>
          </cell>
          <cell r="C1402" t="str">
            <v>X4210</v>
          </cell>
          <cell r="D1402" t="str">
            <v>ESSENBATI</v>
          </cell>
          <cell r="E1402" t="str">
            <v>MOHAMED</v>
          </cell>
          <cell r="F1402">
            <v>21176</v>
          </cell>
          <cell r="G1402" t="str">
            <v>1</v>
          </cell>
          <cell r="H1402" t="str">
            <v>KHOURIBGA</v>
          </cell>
          <cell r="I1402" t="str">
            <v>F</v>
          </cell>
          <cell r="J1402">
            <v>30529</v>
          </cell>
          <cell r="K1402">
            <v>36526</v>
          </cell>
          <cell r="L1402" t="str">
            <v>42</v>
          </cell>
          <cell r="M1402" t="str">
            <v>A</v>
          </cell>
          <cell r="N1402">
            <v>36526</v>
          </cell>
          <cell r="P1402">
            <v>19</v>
          </cell>
          <cell r="Q1402" t="str">
            <v>O</v>
          </cell>
          <cell r="R1402" t="str">
            <v>N</v>
          </cell>
          <cell r="S1402">
            <v>0</v>
          </cell>
          <cell r="T1402" t="str">
            <v>M</v>
          </cell>
          <cell r="U1402" t="str">
            <v>ZOUBIDA BENT MOHAMED</v>
          </cell>
          <cell r="X1402">
            <v>2</v>
          </cell>
          <cell r="Y1402">
            <v>2</v>
          </cell>
          <cell r="Z1402" t="str">
            <v>N</v>
          </cell>
          <cell r="AB1402" t="str">
            <v>N</v>
          </cell>
          <cell r="AC1402" t="str">
            <v>X</v>
          </cell>
          <cell r="AD1402" t="str">
            <v>X</v>
          </cell>
          <cell r="AH1402" t="str">
            <v>N</v>
          </cell>
          <cell r="AI1402" t="str">
            <v>N</v>
          </cell>
          <cell r="AK1402" t="str">
            <v>72 BLOC 9 HAY RIAD - KHOURIBGA</v>
          </cell>
          <cell r="AL1402" t="str">
            <v>7 A.SC.MATHS</v>
          </cell>
          <cell r="AM1402" t="str">
            <v>CEP.CES.EMM</v>
          </cell>
          <cell r="AP1402" t="str">
            <v>Q 42957</v>
          </cell>
          <cell r="AQ1402">
            <v>0</v>
          </cell>
          <cell r="AR1402" t="str">
            <v>B</v>
          </cell>
          <cell r="AS1402" t="str">
            <v>BMCE.KHGA</v>
          </cell>
          <cell r="AT1402" t="str">
            <v>40001200000386117</v>
          </cell>
          <cell r="AU1402" t="str">
            <v>/  /</v>
          </cell>
          <cell r="AW1402">
            <v>40544</v>
          </cell>
          <cell r="AZ1402" t="str">
            <v>R</v>
          </cell>
          <cell r="BA1402" t="str">
            <v>2</v>
          </cell>
          <cell r="BB1402">
            <v>0</v>
          </cell>
          <cell r="BD1402">
            <v>0</v>
          </cell>
          <cell r="BE1402" t="str">
            <v>M</v>
          </cell>
          <cell r="BF1402" t="str">
            <v>N</v>
          </cell>
          <cell r="BG1402">
            <v>1</v>
          </cell>
          <cell r="BH1402">
            <v>40544</v>
          </cell>
          <cell r="BI1402" t="str">
            <v>O</v>
          </cell>
        </row>
        <row r="1403">
          <cell r="A1403">
            <v>98964</v>
          </cell>
          <cell r="B1403">
            <v>411</v>
          </cell>
          <cell r="C1403" t="str">
            <v>X4150</v>
          </cell>
          <cell r="D1403" t="str">
            <v>BOUCHRIHA</v>
          </cell>
          <cell r="E1403" t="str">
            <v>MOHAMMED</v>
          </cell>
          <cell r="F1403">
            <v>21525</v>
          </cell>
          <cell r="H1403" t="str">
            <v>GUELMIM</v>
          </cell>
          <cell r="I1403" t="str">
            <v>F</v>
          </cell>
          <cell r="J1403">
            <v>30529</v>
          </cell>
          <cell r="K1403">
            <v>36526</v>
          </cell>
          <cell r="L1403" t="str">
            <v>42</v>
          </cell>
          <cell r="M1403" t="str">
            <v>A</v>
          </cell>
          <cell r="N1403">
            <v>36526</v>
          </cell>
          <cell r="P1403">
            <v>19</v>
          </cell>
          <cell r="Q1403" t="str">
            <v>O</v>
          </cell>
          <cell r="R1403" t="str">
            <v>N</v>
          </cell>
          <cell r="S1403">
            <v>0</v>
          </cell>
          <cell r="T1403" t="str">
            <v>M</v>
          </cell>
          <cell r="U1403" t="str">
            <v>BOUCHRIHA KELTOUM</v>
          </cell>
          <cell r="X1403">
            <v>3</v>
          </cell>
          <cell r="Y1403">
            <v>3</v>
          </cell>
          <cell r="AB1403" t="str">
            <v>X</v>
          </cell>
          <cell r="AC1403" t="str">
            <v>X</v>
          </cell>
          <cell r="AD1403" t="str">
            <v>X</v>
          </cell>
          <cell r="AH1403" t="str">
            <v>O</v>
          </cell>
          <cell r="AI1403" t="str">
            <v>N</v>
          </cell>
          <cell r="AK1403" t="str">
            <v>35 RUE EL ANOUAR VILLE  OCP - KHOURIBGA</v>
          </cell>
          <cell r="AL1403" t="str">
            <v>7 A.T.I</v>
          </cell>
          <cell r="AM1403" t="str">
            <v>CEP.CES.EMM</v>
          </cell>
          <cell r="AP1403" t="str">
            <v>J 53708</v>
          </cell>
          <cell r="AQ1403">
            <v>0</v>
          </cell>
          <cell r="AR1403" t="str">
            <v>B</v>
          </cell>
          <cell r="AS1403" t="str">
            <v>BMCE.KHGA</v>
          </cell>
          <cell r="AT1403" t="str">
            <v>40001200000383930</v>
          </cell>
          <cell r="AU1403" t="str">
            <v>/  /</v>
          </cell>
          <cell r="AW1403">
            <v>40360</v>
          </cell>
          <cell r="BA1403" t="str">
            <v>1</v>
          </cell>
          <cell r="BB1403">
            <v>1</v>
          </cell>
          <cell r="BD1403">
            <v>0</v>
          </cell>
          <cell r="BE1403" t="str">
            <v>M</v>
          </cell>
          <cell r="BF1403" t="str">
            <v>N</v>
          </cell>
          <cell r="BG1403">
            <v>1</v>
          </cell>
          <cell r="BH1403">
            <v>40544</v>
          </cell>
          <cell r="BI1403" t="str">
            <v>N</v>
          </cell>
        </row>
        <row r="1404">
          <cell r="A1404">
            <v>91758</v>
          </cell>
          <cell r="B1404">
            <v>414</v>
          </cell>
          <cell r="C1404" t="str">
            <v>X6207</v>
          </cell>
          <cell r="D1404" t="str">
            <v>AISSAOUI</v>
          </cell>
          <cell r="E1404" t="str">
            <v>ABDERRAHIM</v>
          </cell>
          <cell r="F1404">
            <v>22999</v>
          </cell>
          <cell r="H1404" t="str">
            <v>FES</v>
          </cell>
          <cell r="I1404" t="str">
            <v>F</v>
          </cell>
          <cell r="J1404">
            <v>31625</v>
          </cell>
          <cell r="K1404">
            <v>31809</v>
          </cell>
          <cell r="L1404" t="str">
            <v>52</v>
          </cell>
          <cell r="M1404" t="str">
            <v>C</v>
          </cell>
          <cell r="N1404">
            <v>35612</v>
          </cell>
          <cell r="P1404">
            <v>16</v>
          </cell>
          <cell r="Q1404" t="str">
            <v>O</v>
          </cell>
          <cell r="R1404" t="str">
            <v>N</v>
          </cell>
          <cell r="S1404">
            <v>0</v>
          </cell>
          <cell r="T1404" t="str">
            <v>M</v>
          </cell>
          <cell r="U1404" t="str">
            <v>HAMDI LATIFA BENT KACEM</v>
          </cell>
          <cell r="X1404">
            <v>2</v>
          </cell>
          <cell r="Y1404">
            <v>2</v>
          </cell>
          <cell r="Z1404" t="str">
            <v>N</v>
          </cell>
          <cell r="AB1404" t="str">
            <v>O</v>
          </cell>
          <cell r="AC1404" t="str">
            <v>X</v>
          </cell>
          <cell r="AD1404" t="str">
            <v>X</v>
          </cell>
          <cell r="AE1404" t="str">
            <v>OCP 515/437</v>
          </cell>
          <cell r="AH1404" t="str">
            <v>O</v>
          </cell>
          <cell r="AI1404" t="str">
            <v>N</v>
          </cell>
          <cell r="AK1404" t="str">
            <v>5, RUE KENITRA VILLE O.C.P - KHGA</v>
          </cell>
          <cell r="AL1404" t="str">
            <v>DUT.</v>
          </cell>
          <cell r="AM1404" t="str">
            <v>CEP.BAC.DUT</v>
          </cell>
          <cell r="AP1404" t="str">
            <v>C 202353</v>
          </cell>
          <cell r="AQ1404">
            <v>0</v>
          </cell>
          <cell r="AR1404" t="str">
            <v>B</v>
          </cell>
          <cell r="AS1404" t="str">
            <v>BMCI . KHOURIBGA</v>
          </cell>
          <cell r="AT1404" t="str">
            <v>02821217161301</v>
          </cell>
          <cell r="AU1404" t="str">
            <v>/  /</v>
          </cell>
          <cell r="AW1404">
            <v>43630</v>
          </cell>
          <cell r="AX1404">
            <v>43630</v>
          </cell>
          <cell r="AY1404" t="str">
            <v>O</v>
          </cell>
          <cell r="BA1404" t="str">
            <v>2</v>
          </cell>
          <cell r="BB1404">
            <v>1</v>
          </cell>
          <cell r="BD1404">
            <v>0</v>
          </cell>
          <cell r="BE1404" t="str">
            <v>M</v>
          </cell>
          <cell r="BF1404" t="str">
            <v>O</v>
          </cell>
          <cell r="BG1404">
            <v>1</v>
          </cell>
          <cell r="BH1404">
            <v>41640</v>
          </cell>
        </row>
        <row r="1405">
          <cell r="A1405">
            <v>75119</v>
          </cell>
          <cell r="B1405">
            <v>457</v>
          </cell>
          <cell r="C1405" t="str">
            <v>X3450</v>
          </cell>
          <cell r="D1405" t="str">
            <v>BENNASRI</v>
          </cell>
          <cell r="E1405" t="str">
            <v>DAHANI</v>
          </cell>
          <cell r="F1405">
            <v>19175</v>
          </cell>
          <cell r="H1405" t="str">
            <v>MOULAY BOUAZZA</v>
          </cell>
          <cell r="I1405" t="str">
            <v>F</v>
          </cell>
          <cell r="J1405">
            <v>27474</v>
          </cell>
          <cell r="K1405">
            <v>33420</v>
          </cell>
          <cell r="L1405" t="str">
            <v>41</v>
          </cell>
          <cell r="M1405" t="str">
            <v>A</v>
          </cell>
          <cell r="N1405">
            <v>33420</v>
          </cell>
          <cell r="O1405">
            <v>0</v>
          </cell>
          <cell r="P1405">
            <v>28</v>
          </cell>
          <cell r="Q1405" t="str">
            <v>O</v>
          </cell>
          <cell r="R1405" t="str">
            <v>N</v>
          </cell>
          <cell r="S1405">
            <v>0</v>
          </cell>
          <cell r="T1405" t="str">
            <v>M</v>
          </cell>
          <cell r="U1405" t="str">
            <v>BENNASRI IZZA BENT MOHAMED</v>
          </cell>
          <cell r="X1405">
            <v>5</v>
          </cell>
          <cell r="Y1405">
            <v>4</v>
          </cell>
          <cell r="AB1405" t="str">
            <v>X</v>
          </cell>
          <cell r="AC1405" t="str">
            <v>X</v>
          </cell>
          <cell r="AD1405" t="str">
            <v>X</v>
          </cell>
          <cell r="AH1405" t="str">
            <v>O</v>
          </cell>
          <cell r="AI1405" t="str">
            <v>N</v>
          </cell>
          <cell r="AK1405" t="str">
            <v>11 RUE GHARNATA  OCP - KHOURIBGA</v>
          </cell>
          <cell r="AL1405" t="str">
            <v>4 A.T</v>
          </cell>
          <cell r="AM1405" t="str">
            <v>CES.MECANIQUE DE BAK</v>
          </cell>
          <cell r="AP1405" t="str">
            <v>H 1218</v>
          </cell>
          <cell r="AQ1405">
            <v>0</v>
          </cell>
          <cell r="AR1405" t="str">
            <v>B</v>
          </cell>
          <cell r="AS1405" t="str">
            <v>C.I.H - KHGA</v>
          </cell>
          <cell r="AT1405" t="str">
            <v>7290471213004700</v>
          </cell>
          <cell r="AU1405" t="str">
            <v>/  /</v>
          </cell>
          <cell r="AW1405">
            <v>38219</v>
          </cell>
          <cell r="AX1405">
            <v>38219</v>
          </cell>
          <cell r="BA1405" t="str">
            <v>1</v>
          </cell>
          <cell r="BB1405">
            <v>1</v>
          </cell>
          <cell r="BC1405" t="str">
            <v>O</v>
          </cell>
          <cell r="BD1405">
            <v>4</v>
          </cell>
          <cell r="BE1405" t="str">
            <v>M</v>
          </cell>
          <cell r="BF1405" t="str">
            <v>N</v>
          </cell>
          <cell r="BG1405">
            <v>5</v>
          </cell>
          <cell r="BH1405">
            <v>37438</v>
          </cell>
        </row>
        <row r="1406">
          <cell r="A1406">
            <v>87236</v>
          </cell>
          <cell r="B1406">
            <v>466</v>
          </cell>
          <cell r="C1406" t="str">
            <v>C5050</v>
          </cell>
          <cell r="D1406" t="str">
            <v>EL HAMMAR</v>
          </cell>
          <cell r="E1406" t="str">
            <v>TOUHAMI KHALIL</v>
          </cell>
          <cell r="F1406">
            <v>22296</v>
          </cell>
          <cell r="H1406" t="str">
            <v>SAFI</v>
          </cell>
          <cell r="I1406" t="str">
            <v>D</v>
          </cell>
          <cell r="J1406">
            <v>31449</v>
          </cell>
          <cell r="K1406">
            <v>34151</v>
          </cell>
          <cell r="L1406" t="str">
            <v>31</v>
          </cell>
          <cell r="M1406" t="str">
            <v>A</v>
          </cell>
          <cell r="N1406">
            <v>34151</v>
          </cell>
          <cell r="P1406">
            <v>18</v>
          </cell>
          <cell r="Q1406" t="str">
            <v>O</v>
          </cell>
          <cell r="R1406" t="str">
            <v>N</v>
          </cell>
          <cell r="S1406">
            <v>0</v>
          </cell>
          <cell r="T1406" t="str">
            <v>M</v>
          </cell>
          <cell r="U1406" t="str">
            <v>NAJAT BENT GOUZA</v>
          </cell>
          <cell r="X1406">
            <v>2</v>
          </cell>
          <cell r="Y1406">
            <v>2</v>
          </cell>
          <cell r="Z1406" t="str">
            <v>N</v>
          </cell>
          <cell r="AB1406" t="str">
            <v>X</v>
          </cell>
          <cell r="AC1406" t="str">
            <v>X</v>
          </cell>
          <cell r="AD1406" t="str">
            <v>X</v>
          </cell>
          <cell r="AH1406" t="str">
            <v>N</v>
          </cell>
          <cell r="AI1406" t="str">
            <v>N</v>
          </cell>
          <cell r="AK1406" t="str">
            <v>348 VILLAGE O.C.P - BOUJNIBA</v>
          </cell>
          <cell r="AL1406" t="str">
            <v>4 A.S</v>
          </cell>
          <cell r="AM1406" t="str">
            <v>PLOMBERIE</v>
          </cell>
          <cell r="AP1406" t="str">
            <v>Q 54561</v>
          </cell>
          <cell r="AQ1406">
            <v>0</v>
          </cell>
          <cell r="AR1406" t="str">
            <v>B</v>
          </cell>
          <cell r="AS1406" t="str">
            <v>BMCE - KHGA</v>
          </cell>
          <cell r="AT1406" t="str">
            <v>40001200001150380</v>
          </cell>
          <cell r="AU1406" t="str">
            <v>/  /</v>
          </cell>
          <cell r="AW1406">
            <v>43081</v>
          </cell>
          <cell r="AX1406">
            <v>43081</v>
          </cell>
          <cell r="BA1406" t="str">
            <v>2</v>
          </cell>
          <cell r="BB1406">
            <v>1</v>
          </cell>
          <cell r="BD1406">
            <v>0</v>
          </cell>
          <cell r="BE1406" t="str">
            <v>M</v>
          </cell>
          <cell r="BG1406">
            <v>51</v>
          </cell>
          <cell r="BH1406">
            <v>41091</v>
          </cell>
        </row>
        <row r="1407">
          <cell r="A1407">
            <v>65364</v>
          </cell>
          <cell r="B1407">
            <v>403</v>
          </cell>
          <cell r="C1407" t="str">
            <v>C6801</v>
          </cell>
          <cell r="D1407" t="str">
            <v>EN-NOQOBI</v>
          </cell>
          <cell r="E1407" t="str">
            <v>MOHAMED</v>
          </cell>
          <cell r="F1407">
            <v>19540</v>
          </cell>
          <cell r="H1407" t="str">
            <v>R'FALA - BZOU</v>
          </cell>
          <cell r="I1407" t="str">
            <v>D</v>
          </cell>
          <cell r="J1407">
            <v>27092</v>
          </cell>
          <cell r="K1407">
            <v>36526</v>
          </cell>
          <cell r="L1407" t="str">
            <v>32</v>
          </cell>
          <cell r="M1407" t="str">
            <v>A</v>
          </cell>
          <cell r="N1407">
            <v>36526</v>
          </cell>
          <cell r="P1407">
            <v>29</v>
          </cell>
          <cell r="Q1407" t="str">
            <v>O</v>
          </cell>
          <cell r="R1407" t="str">
            <v>N</v>
          </cell>
          <cell r="S1407">
            <v>0</v>
          </cell>
          <cell r="T1407" t="str">
            <v>M</v>
          </cell>
          <cell r="U1407" t="str">
            <v>EJ-JBIRI NAIMA BENT AHMED</v>
          </cell>
          <cell r="X1407">
            <v>5</v>
          </cell>
          <cell r="Y1407">
            <v>3</v>
          </cell>
          <cell r="AB1407" t="str">
            <v>X</v>
          </cell>
          <cell r="AC1407" t="str">
            <v>X</v>
          </cell>
          <cell r="AD1407" t="str">
            <v>X</v>
          </cell>
          <cell r="AH1407" t="str">
            <v>N</v>
          </cell>
          <cell r="AI1407" t="str">
            <v>N</v>
          </cell>
          <cell r="AK1407" t="str">
            <v>N 22 BLOC D HAY EL AMAL  BOUJNIBA</v>
          </cell>
          <cell r="AL1407" t="str">
            <v>4 A.S</v>
          </cell>
          <cell r="AP1407" t="str">
            <v>Q 16194</v>
          </cell>
          <cell r="AQ1407">
            <v>0</v>
          </cell>
          <cell r="AR1407" t="str">
            <v>B</v>
          </cell>
          <cell r="AS1407" t="str">
            <v>BMCE.SAFI</v>
          </cell>
          <cell r="AT1407" t="str">
            <v>59001200000412760</v>
          </cell>
          <cell r="AU1407" t="str">
            <v>/  /</v>
          </cell>
          <cell r="AW1407">
            <v>37803</v>
          </cell>
          <cell r="AY1407" t="str">
            <v>A</v>
          </cell>
          <cell r="BA1407" t="str">
            <v>0</v>
          </cell>
          <cell r="BB1407">
            <v>1</v>
          </cell>
          <cell r="BD1407">
            <v>0</v>
          </cell>
          <cell r="BE1407" t="str">
            <v>M</v>
          </cell>
          <cell r="BF1407" t="str">
            <v>N</v>
          </cell>
          <cell r="BG1407">
            <v>1</v>
          </cell>
          <cell r="BH1407">
            <v>37803</v>
          </cell>
        </row>
        <row r="1408">
          <cell r="A1408">
            <v>87375</v>
          </cell>
          <cell r="B1408">
            <v>428</v>
          </cell>
          <cell r="C1408" t="str">
            <v>C7152</v>
          </cell>
          <cell r="D1408" t="str">
            <v>BOUHANI</v>
          </cell>
          <cell r="E1408" t="str">
            <v>MOHAMMED</v>
          </cell>
          <cell r="F1408">
            <v>23014</v>
          </cell>
          <cell r="G1408" t="str">
            <v>6</v>
          </cell>
          <cell r="H1408" t="str">
            <v>HATTANE - KHOURIBGA</v>
          </cell>
          <cell r="I1408" t="str">
            <v>F</v>
          </cell>
          <cell r="J1408">
            <v>31481</v>
          </cell>
          <cell r="K1408">
            <v>36526</v>
          </cell>
          <cell r="L1408" t="str">
            <v>33</v>
          </cell>
          <cell r="M1408" t="str">
            <v>A</v>
          </cell>
          <cell r="N1408">
            <v>36526</v>
          </cell>
          <cell r="P1408">
            <v>17</v>
          </cell>
          <cell r="Q1408" t="str">
            <v>O</v>
          </cell>
          <cell r="R1408" t="str">
            <v>N</v>
          </cell>
          <cell r="S1408">
            <v>0</v>
          </cell>
          <cell r="T1408" t="str">
            <v>M</v>
          </cell>
          <cell r="U1408" t="str">
            <v>SAHEL AMAL BENT MOHAMED</v>
          </cell>
          <cell r="X1408">
            <v>2</v>
          </cell>
          <cell r="Y1408">
            <v>2</v>
          </cell>
          <cell r="Z1408" t="str">
            <v>N</v>
          </cell>
          <cell r="AB1408" t="str">
            <v>X</v>
          </cell>
          <cell r="AC1408" t="str">
            <v>X</v>
          </cell>
          <cell r="AD1408" t="str">
            <v>X</v>
          </cell>
          <cell r="AH1408" t="str">
            <v>N</v>
          </cell>
          <cell r="AI1408" t="str">
            <v>N</v>
          </cell>
          <cell r="AK1408" t="str">
            <v>45 NOUVEAUX LOGEMENTS OCP - KHOURIBGA</v>
          </cell>
          <cell r="AL1408" t="str">
            <v>7 A.S SC-EX</v>
          </cell>
          <cell r="AM1408" t="str">
            <v>CFO.</v>
          </cell>
          <cell r="AP1408" t="str">
            <v>Q 64655</v>
          </cell>
          <cell r="AQ1408">
            <v>0</v>
          </cell>
          <cell r="AR1408" t="str">
            <v>B</v>
          </cell>
          <cell r="AS1408" t="str">
            <v>SGMB - KHGA</v>
          </cell>
          <cell r="AT1408" t="str">
            <v>067009281460</v>
          </cell>
          <cell r="AU1408" t="str">
            <v>/  /</v>
          </cell>
          <cell r="AW1408">
            <v>41456</v>
          </cell>
          <cell r="BA1408" t="str">
            <v>1</v>
          </cell>
          <cell r="BB1408">
            <v>1</v>
          </cell>
          <cell r="BD1408">
            <v>0</v>
          </cell>
          <cell r="BE1408" t="str">
            <v>M</v>
          </cell>
          <cell r="BG1408">
            <v>1</v>
          </cell>
          <cell r="BH1408">
            <v>41456</v>
          </cell>
          <cell r="BI1408" t="str">
            <v>O</v>
          </cell>
        </row>
        <row r="1409">
          <cell r="A1409">
            <v>61809</v>
          </cell>
          <cell r="B1409">
            <v>411</v>
          </cell>
          <cell r="C1409" t="str">
            <v>C5152</v>
          </cell>
          <cell r="D1409" t="str">
            <v>ABID</v>
          </cell>
          <cell r="E1409" t="str">
            <v>ABDERRAZZAK</v>
          </cell>
          <cell r="F1409">
            <v>21149</v>
          </cell>
          <cell r="H1409" t="str">
            <v>MEKNES</v>
          </cell>
          <cell r="I1409" t="str">
            <v>F</v>
          </cell>
          <cell r="J1409">
            <v>30478</v>
          </cell>
          <cell r="K1409">
            <v>33117</v>
          </cell>
          <cell r="L1409" t="str">
            <v>31</v>
          </cell>
          <cell r="M1409" t="str">
            <v>A</v>
          </cell>
          <cell r="N1409">
            <v>33117</v>
          </cell>
          <cell r="O1409">
            <v>0</v>
          </cell>
          <cell r="P1409">
            <v>19</v>
          </cell>
          <cell r="Q1409" t="str">
            <v>O</v>
          </cell>
          <cell r="R1409" t="str">
            <v>N</v>
          </cell>
          <cell r="S1409">
            <v>0</v>
          </cell>
          <cell r="T1409" t="str">
            <v>M</v>
          </cell>
          <cell r="U1409" t="str">
            <v>BOUTOU KALTOUMA BT MOHAMED</v>
          </cell>
          <cell r="X1409">
            <v>3</v>
          </cell>
          <cell r="Y1409">
            <v>3</v>
          </cell>
          <cell r="AB1409" t="str">
            <v>X</v>
          </cell>
          <cell r="AC1409" t="str">
            <v>X</v>
          </cell>
          <cell r="AD1409" t="str">
            <v>X</v>
          </cell>
          <cell r="AH1409" t="str">
            <v>N</v>
          </cell>
          <cell r="AI1409" t="str">
            <v>N</v>
          </cell>
          <cell r="AK1409" t="str">
            <v>32 NOUVEAUX LOGEMENTS OCP - KHGA</v>
          </cell>
          <cell r="AL1409" t="str">
            <v>4.A.S</v>
          </cell>
          <cell r="AM1409" t="str">
            <v>C.Q.P . C.F.O</v>
          </cell>
          <cell r="AP1409" t="str">
            <v>D 43111</v>
          </cell>
          <cell r="AQ1409">
            <v>0</v>
          </cell>
          <cell r="AR1409" t="str">
            <v>B</v>
          </cell>
          <cell r="AS1409" t="str">
            <v>S.G.M.B - KHGA</v>
          </cell>
          <cell r="AT1409" t="str">
            <v>4000670009356344</v>
          </cell>
          <cell r="AU1409" t="str">
            <v>/  /</v>
          </cell>
          <cell r="AW1409">
            <v>40179</v>
          </cell>
          <cell r="BA1409" t="str">
            <v>1</v>
          </cell>
          <cell r="BB1409">
            <v>1</v>
          </cell>
          <cell r="BD1409">
            <v>0</v>
          </cell>
          <cell r="BE1409" t="str">
            <v>M</v>
          </cell>
          <cell r="BG1409">
            <v>1</v>
          </cell>
          <cell r="BH1409">
            <v>40179</v>
          </cell>
        </row>
        <row r="1410">
          <cell r="A1410">
            <v>61811</v>
          </cell>
          <cell r="B1410">
            <v>411</v>
          </cell>
          <cell r="C1410" t="str">
            <v>C6152</v>
          </cell>
          <cell r="D1410" t="str">
            <v>LAABOULI</v>
          </cell>
          <cell r="E1410" t="str">
            <v>NOUR-EDDINE</v>
          </cell>
          <cell r="F1410">
            <v>21991</v>
          </cell>
          <cell r="H1410" t="str">
            <v>CASABLANCA</v>
          </cell>
          <cell r="I1410" t="str">
            <v>F</v>
          </cell>
          <cell r="J1410">
            <v>30478</v>
          </cell>
          <cell r="K1410">
            <v>35065</v>
          </cell>
          <cell r="L1410" t="str">
            <v>32</v>
          </cell>
          <cell r="M1410" t="str">
            <v>A</v>
          </cell>
          <cell r="N1410">
            <v>35065</v>
          </cell>
          <cell r="P1410">
            <v>19</v>
          </cell>
          <cell r="Q1410" t="str">
            <v>O</v>
          </cell>
          <cell r="R1410" t="str">
            <v>N</v>
          </cell>
          <cell r="S1410">
            <v>0</v>
          </cell>
          <cell r="T1410" t="str">
            <v>M</v>
          </cell>
          <cell r="U1410" t="str">
            <v>SOUAD BENT M'HAMMED</v>
          </cell>
          <cell r="X1410">
            <v>1</v>
          </cell>
          <cell r="Y1410">
            <v>1</v>
          </cell>
          <cell r="AB1410" t="str">
            <v>X</v>
          </cell>
          <cell r="AC1410" t="str">
            <v>X</v>
          </cell>
          <cell r="AD1410" t="str">
            <v>X</v>
          </cell>
          <cell r="AH1410" t="str">
            <v>N</v>
          </cell>
          <cell r="AI1410" t="str">
            <v>N</v>
          </cell>
          <cell r="AK1410" t="str">
            <v>24 BLOC I BD ALLAL EL FASSI NAHDA - KHGA</v>
          </cell>
          <cell r="AL1410" t="str">
            <v>4.A.S</v>
          </cell>
          <cell r="AM1410" t="str">
            <v>CQP.CFO</v>
          </cell>
          <cell r="AP1410" t="str">
            <v>BJ 17534</v>
          </cell>
          <cell r="AQ1410">
            <v>0</v>
          </cell>
          <cell r="AR1410" t="str">
            <v>B</v>
          </cell>
          <cell r="AS1410" t="str">
            <v>POPULAIRE - KHGA</v>
          </cell>
          <cell r="AT1410" t="str">
            <v>2111112878770002</v>
          </cell>
          <cell r="AU1410" t="str">
            <v>/  /</v>
          </cell>
          <cell r="AW1410">
            <v>40360</v>
          </cell>
          <cell r="BA1410" t="str">
            <v>1</v>
          </cell>
          <cell r="BB1410">
            <v>1</v>
          </cell>
          <cell r="BD1410">
            <v>0</v>
          </cell>
          <cell r="BE1410" t="str">
            <v>M</v>
          </cell>
          <cell r="BF1410" t="str">
            <v>N</v>
          </cell>
          <cell r="BG1410">
            <v>1</v>
          </cell>
          <cell r="BH1410">
            <v>40360</v>
          </cell>
        </row>
        <row r="1411">
          <cell r="A1411">
            <v>66427</v>
          </cell>
          <cell r="B1411">
            <v>411</v>
          </cell>
          <cell r="C1411" t="str">
            <v>C6152</v>
          </cell>
          <cell r="D1411" t="str">
            <v>NAANANI</v>
          </cell>
          <cell r="E1411" t="str">
            <v>MOHAMED</v>
          </cell>
          <cell r="F1411">
            <v>19175</v>
          </cell>
          <cell r="H1411" t="str">
            <v>LAHLAF BEN AHMED - SETTAT</v>
          </cell>
          <cell r="I1411" t="str">
            <v>D</v>
          </cell>
          <cell r="J1411">
            <v>27283</v>
          </cell>
          <cell r="K1411">
            <v>35065</v>
          </cell>
          <cell r="L1411" t="str">
            <v>32</v>
          </cell>
          <cell r="M1411" t="str">
            <v>A</v>
          </cell>
          <cell r="N1411">
            <v>35065</v>
          </cell>
          <cell r="P1411">
            <v>28</v>
          </cell>
          <cell r="Q1411" t="str">
            <v>O</v>
          </cell>
          <cell r="R1411" t="str">
            <v>N</v>
          </cell>
          <cell r="S1411">
            <v>0</v>
          </cell>
          <cell r="T1411" t="str">
            <v>M</v>
          </cell>
          <cell r="U1411" t="str">
            <v>NAJAT BENT BOUCHAIB</v>
          </cell>
          <cell r="X1411">
            <v>4</v>
          </cell>
          <cell r="Y1411">
            <v>3</v>
          </cell>
          <cell r="AB1411" t="str">
            <v>X</v>
          </cell>
          <cell r="AC1411" t="str">
            <v>X</v>
          </cell>
          <cell r="AD1411" t="str">
            <v>X</v>
          </cell>
          <cell r="AH1411" t="str">
            <v>N</v>
          </cell>
          <cell r="AI1411" t="str">
            <v>N</v>
          </cell>
          <cell r="AK1411" t="str">
            <v>12, EL AMAL I COOPER AL MOSTAKBAL - KHGA</v>
          </cell>
          <cell r="AL1411" t="str">
            <v>3.A.S</v>
          </cell>
          <cell r="AM1411" t="str">
            <v>CFO.</v>
          </cell>
          <cell r="AP1411" t="str">
            <v>Q 15530</v>
          </cell>
          <cell r="AQ1411">
            <v>0</v>
          </cell>
          <cell r="AR1411" t="str">
            <v>B</v>
          </cell>
          <cell r="AS1411" t="str">
            <v>BMCE.KHGA</v>
          </cell>
          <cell r="AT1411" t="str">
            <v>40001200000123344</v>
          </cell>
          <cell r="AU1411" t="str">
            <v>/  /</v>
          </cell>
          <cell r="AW1411">
            <v>37438</v>
          </cell>
          <cell r="BA1411" t="str">
            <v>1</v>
          </cell>
          <cell r="BB1411">
            <v>1</v>
          </cell>
          <cell r="BD1411">
            <v>0</v>
          </cell>
          <cell r="BE1411" t="str">
            <v>M</v>
          </cell>
          <cell r="BF1411" t="str">
            <v>N</v>
          </cell>
          <cell r="BG1411">
            <v>1</v>
          </cell>
          <cell r="BH1411">
            <v>37438</v>
          </cell>
          <cell r="BI1411" t="str">
            <v>O</v>
          </cell>
        </row>
        <row r="1412">
          <cell r="A1412">
            <v>66438</v>
          </cell>
          <cell r="B1412">
            <v>421</v>
          </cell>
          <cell r="C1412" t="str">
            <v>C5152</v>
          </cell>
          <cell r="D1412" t="str">
            <v>RAHIB</v>
          </cell>
          <cell r="E1412" t="str">
            <v>MOHAMMED</v>
          </cell>
          <cell r="F1412">
            <v>19725</v>
          </cell>
          <cell r="G1412" t="str">
            <v>1</v>
          </cell>
          <cell r="H1412" t="str">
            <v>OULED BHAR KBAR KHOURIBGA</v>
          </cell>
          <cell r="I1412" t="str">
            <v>D</v>
          </cell>
          <cell r="J1412">
            <v>27284</v>
          </cell>
          <cell r="K1412">
            <v>33117</v>
          </cell>
          <cell r="L1412" t="str">
            <v>31</v>
          </cell>
          <cell r="M1412" t="str">
            <v>A</v>
          </cell>
          <cell r="N1412">
            <v>33117</v>
          </cell>
          <cell r="P1412">
            <v>28</v>
          </cell>
          <cell r="Q1412" t="str">
            <v>O</v>
          </cell>
          <cell r="R1412" t="str">
            <v>N</v>
          </cell>
          <cell r="S1412">
            <v>0</v>
          </cell>
          <cell r="T1412" t="str">
            <v>M</v>
          </cell>
          <cell r="U1412" t="str">
            <v>MOUSTANI EL MILOUDIA</v>
          </cell>
          <cell r="X1412">
            <v>8</v>
          </cell>
          <cell r="Y1412">
            <v>6</v>
          </cell>
          <cell r="AB1412" t="str">
            <v>X</v>
          </cell>
          <cell r="AC1412" t="str">
            <v>X</v>
          </cell>
          <cell r="AD1412" t="str">
            <v>X</v>
          </cell>
          <cell r="AH1412" t="str">
            <v>N</v>
          </cell>
          <cell r="AI1412" t="str">
            <v>N</v>
          </cell>
          <cell r="AK1412" t="str">
            <v>178 NX LOGEMENTS SECHAGE OCP - KHGA</v>
          </cell>
          <cell r="AL1412" t="str">
            <v>4.A.S</v>
          </cell>
          <cell r="AM1412" t="str">
            <v>CFO.</v>
          </cell>
          <cell r="AP1412" t="str">
            <v>Q 35676</v>
          </cell>
          <cell r="AQ1412">
            <v>0</v>
          </cell>
          <cell r="AR1412" t="str">
            <v>C</v>
          </cell>
          <cell r="AU1412" t="str">
            <v>/  /</v>
          </cell>
          <cell r="AW1412">
            <v>38169</v>
          </cell>
          <cell r="BA1412" t="str">
            <v>1</v>
          </cell>
          <cell r="BB1412">
            <v>1</v>
          </cell>
          <cell r="BD1412">
            <v>0</v>
          </cell>
          <cell r="BE1412" t="str">
            <v>M</v>
          </cell>
          <cell r="BF1412" t="str">
            <v>N</v>
          </cell>
          <cell r="BG1412">
            <v>4</v>
          </cell>
          <cell r="BH1412">
            <v>38169</v>
          </cell>
          <cell r="BI1412" t="str">
            <v>O</v>
          </cell>
        </row>
        <row r="1413">
          <cell r="A1413">
            <v>68500</v>
          </cell>
          <cell r="B1413">
            <v>411</v>
          </cell>
          <cell r="C1413" t="str">
            <v>C6152</v>
          </cell>
          <cell r="D1413" t="str">
            <v>EL MESTANNI</v>
          </cell>
          <cell r="E1413" t="str">
            <v>MOHAMMED</v>
          </cell>
          <cell r="F1413">
            <v>20557</v>
          </cell>
          <cell r="G1413" t="str">
            <v>3</v>
          </cell>
          <cell r="H1413" t="str">
            <v>BOUJNIBA - KHOURIBGA</v>
          </cell>
          <cell r="I1413" t="str">
            <v>D</v>
          </cell>
          <cell r="J1413">
            <v>27898</v>
          </cell>
          <cell r="K1413">
            <v>36526</v>
          </cell>
          <cell r="L1413" t="str">
            <v>32</v>
          </cell>
          <cell r="M1413" t="str">
            <v>A</v>
          </cell>
          <cell r="N1413">
            <v>36526</v>
          </cell>
          <cell r="P1413">
            <v>26</v>
          </cell>
          <cell r="Q1413" t="str">
            <v>O</v>
          </cell>
          <cell r="R1413" t="str">
            <v>N</v>
          </cell>
          <cell r="S1413">
            <v>0</v>
          </cell>
          <cell r="T1413" t="str">
            <v>M</v>
          </cell>
          <cell r="U1413" t="str">
            <v>TAKSI HABIBA</v>
          </cell>
          <cell r="X1413">
            <v>5</v>
          </cell>
          <cell r="Y1413">
            <v>4</v>
          </cell>
          <cell r="AB1413" t="str">
            <v>X</v>
          </cell>
          <cell r="AC1413" t="str">
            <v>X</v>
          </cell>
          <cell r="AD1413" t="str">
            <v>X</v>
          </cell>
          <cell r="AH1413" t="str">
            <v>N</v>
          </cell>
          <cell r="AI1413" t="str">
            <v>N</v>
          </cell>
          <cell r="AK1413" t="str">
            <v>151 NOUVEAU LOGEMENT SECHAGE KHGA</v>
          </cell>
          <cell r="AL1413" t="str">
            <v>2.A.S</v>
          </cell>
          <cell r="AM1413" t="str">
            <v>CFO.</v>
          </cell>
          <cell r="AP1413" t="str">
            <v>Q 76293</v>
          </cell>
          <cell r="AQ1413">
            <v>0</v>
          </cell>
          <cell r="AR1413" t="str">
            <v>B</v>
          </cell>
          <cell r="AS1413" t="str">
            <v>B.M.C.E - KHGA</v>
          </cell>
          <cell r="AT1413" t="str">
            <v>40001200001125742</v>
          </cell>
          <cell r="AU1413" t="str">
            <v>/  /</v>
          </cell>
          <cell r="AW1413">
            <v>38899</v>
          </cell>
          <cell r="BA1413" t="str">
            <v>1</v>
          </cell>
          <cell r="BB1413">
            <v>1</v>
          </cell>
          <cell r="BD1413">
            <v>0</v>
          </cell>
          <cell r="BE1413" t="str">
            <v>M</v>
          </cell>
          <cell r="BF1413" t="str">
            <v>N</v>
          </cell>
          <cell r="BG1413">
            <v>1</v>
          </cell>
          <cell r="BH1413">
            <v>38899</v>
          </cell>
        </row>
        <row r="1414">
          <cell r="A1414">
            <v>69302</v>
          </cell>
          <cell r="B1414">
            <v>411</v>
          </cell>
          <cell r="C1414" t="str">
            <v>C6152</v>
          </cell>
          <cell r="D1414" t="str">
            <v>EL KOUKH</v>
          </cell>
          <cell r="E1414" t="str">
            <v>MOHAMMED</v>
          </cell>
          <cell r="F1414">
            <v>19847</v>
          </cell>
          <cell r="G1414" t="str">
            <v>1</v>
          </cell>
          <cell r="H1414" t="str">
            <v>OULED BHAR KBAR KHOURIBGA</v>
          </cell>
          <cell r="I1414" t="str">
            <v>D</v>
          </cell>
          <cell r="J1414">
            <v>28229</v>
          </cell>
          <cell r="K1414">
            <v>35065</v>
          </cell>
          <cell r="L1414" t="str">
            <v>32</v>
          </cell>
          <cell r="M1414" t="str">
            <v>A</v>
          </cell>
          <cell r="N1414">
            <v>35065</v>
          </cell>
          <cell r="P1414">
            <v>26</v>
          </cell>
          <cell r="Q1414" t="str">
            <v>O</v>
          </cell>
          <cell r="R1414" t="str">
            <v>N</v>
          </cell>
          <cell r="S1414">
            <v>0</v>
          </cell>
          <cell r="T1414" t="str">
            <v>M</v>
          </cell>
          <cell r="U1414" t="str">
            <v>MLIJI RAHMA</v>
          </cell>
          <cell r="X1414">
            <v>4</v>
          </cell>
          <cell r="Y1414">
            <v>3</v>
          </cell>
          <cell r="AB1414" t="str">
            <v>X</v>
          </cell>
          <cell r="AC1414" t="str">
            <v>X</v>
          </cell>
          <cell r="AD1414" t="str">
            <v>X</v>
          </cell>
          <cell r="AH1414" t="str">
            <v>N</v>
          </cell>
          <cell r="AI1414" t="str">
            <v>N</v>
          </cell>
          <cell r="AK1414" t="str">
            <v>584 DERB 3 - BOUJNIBA</v>
          </cell>
          <cell r="AL1414" t="str">
            <v>6 A.S.L.M</v>
          </cell>
          <cell r="AM1414" t="str">
            <v>CFO.</v>
          </cell>
          <cell r="AP1414" t="str">
            <v>Q 107284</v>
          </cell>
          <cell r="AQ1414">
            <v>0</v>
          </cell>
          <cell r="AR1414" t="str">
            <v>B</v>
          </cell>
          <cell r="AS1414" t="str">
            <v>C.N.C.A  KHGA</v>
          </cell>
          <cell r="AT1414" t="str">
            <v>0806130D601</v>
          </cell>
          <cell r="AU1414" t="str">
            <v>/  /</v>
          </cell>
          <cell r="AW1414">
            <v>38169</v>
          </cell>
          <cell r="BA1414" t="str">
            <v>1</v>
          </cell>
          <cell r="BB1414">
            <v>1</v>
          </cell>
          <cell r="BD1414">
            <v>0</v>
          </cell>
          <cell r="BE1414" t="str">
            <v>M</v>
          </cell>
          <cell r="BF1414" t="str">
            <v>N</v>
          </cell>
          <cell r="BG1414">
            <v>50</v>
          </cell>
          <cell r="BH1414">
            <v>38169</v>
          </cell>
        </row>
        <row r="1415">
          <cell r="A1415">
            <v>69340</v>
          </cell>
          <cell r="B1415">
            <v>411</v>
          </cell>
          <cell r="C1415" t="str">
            <v>C6152</v>
          </cell>
          <cell r="D1415" t="str">
            <v>MATRANE</v>
          </cell>
          <cell r="E1415" t="str">
            <v>EL MILOUDI</v>
          </cell>
          <cell r="F1415">
            <v>18970</v>
          </cell>
          <cell r="H1415" t="str">
            <v>CASABLANCA</v>
          </cell>
          <cell r="I1415" t="str">
            <v>D</v>
          </cell>
          <cell r="J1415">
            <v>28254</v>
          </cell>
          <cell r="K1415">
            <v>35065</v>
          </cell>
          <cell r="L1415" t="str">
            <v>32</v>
          </cell>
          <cell r="M1415" t="str">
            <v>A</v>
          </cell>
          <cell r="N1415">
            <v>35065</v>
          </cell>
          <cell r="P1415">
            <v>25</v>
          </cell>
          <cell r="Q1415" t="str">
            <v>O</v>
          </cell>
          <cell r="R1415" t="str">
            <v>N</v>
          </cell>
          <cell r="S1415">
            <v>0</v>
          </cell>
          <cell r="T1415" t="str">
            <v>M</v>
          </cell>
          <cell r="U1415" t="str">
            <v>NAJIA BENT MOHAMED</v>
          </cell>
          <cell r="X1415">
            <v>4</v>
          </cell>
          <cell r="Y1415">
            <v>4</v>
          </cell>
          <cell r="AB1415" t="str">
            <v>X</v>
          </cell>
          <cell r="AC1415" t="str">
            <v>X</v>
          </cell>
          <cell r="AD1415" t="str">
            <v>X</v>
          </cell>
          <cell r="AE1415" t="str">
            <v>M.I.N</v>
          </cell>
          <cell r="AH1415" t="str">
            <v>N</v>
          </cell>
          <cell r="AI1415" t="str">
            <v>N</v>
          </cell>
          <cell r="AK1415" t="str">
            <v>7 RUE OUED CHARRAT PEPINIERE KHGA</v>
          </cell>
          <cell r="AL1415" t="str">
            <v>4.A.S</v>
          </cell>
          <cell r="AM1415" t="str">
            <v>CFO.</v>
          </cell>
          <cell r="AP1415" t="str">
            <v>Q 102504</v>
          </cell>
          <cell r="AQ1415">
            <v>0</v>
          </cell>
          <cell r="AR1415" t="str">
            <v>B</v>
          </cell>
          <cell r="AS1415" t="str">
            <v>POPULAIRE.KHGA</v>
          </cell>
          <cell r="AT1415" t="str">
            <v>2111112834470002</v>
          </cell>
          <cell r="AU1415" t="str">
            <v>/  /</v>
          </cell>
          <cell r="AW1415">
            <v>37987</v>
          </cell>
          <cell r="BA1415" t="str">
            <v>1</v>
          </cell>
          <cell r="BB1415">
            <v>1</v>
          </cell>
          <cell r="BD1415">
            <v>0</v>
          </cell>
          <cell r="BE1415" t="str">
            <v>M</v>
          </cell>
          <cell r="BF1415" t="str">
            <v>N</v>
          </cell>
          <cell r="BG1415">
            <v>1</v>
          </cell>
          <cell r="BH1415">
            <v>37987</v>
          </cell>
        </row>
        <row r="1416">
          <cell r="A1416">
            <v>69779</v>
          </cell>
          <cell r="B1416">
            <v>412</v>
          </cell>
          <cell r="C1416" t="str">
            <v>C6036</v>
          </cell>
          <cell r="D1416" t="str">
            <v>NJILI</v>
          </cell>
          <cell r="E1416" t="str">
            <v>EL KBIR</v>
          </cell>
          <cell r="F1416">
            <v>20270</v>
          </cell>
          <cell r="G1416" t="str">
            <v>6</v>
          </cell>
          <cell r="H1416" t="str">
            <v>OULED AZZOUZ - KHOURIBGA</v>
          </cell>
          <cell r="I1416" t="str">
            <v>D</v>
          </cell>
          <cell r="J1416">
            <v>28376</v>
          </cell>
          <cell r="K1416">
            <v>36526</v>
          </cell>
          <cell r="L1416" t="str">
            <v>32</v>
          </cell>
          <cell r="M1416" t="str">
            <v>A</v>
          </cell>
          <cell r="N1416">
            <v>36526</v>
          </cell>
          <cell r="P1416">
            <v>25</v>
          </cell>
          <cell r="Q1416" t="str">
            <v>O</v>
          </cell>
          <cell r="R1416" t="str">
            <v>N</v>
          </cell>
          <cell r="S1416">
            <v>0</v>
          </cell>
          <cell r="T1416" t="str">
            <v>M</v>
          </cell>
          <cell r="U1416" t="str">
            <v>SALOUI KHADIJA</v>
          </cell>
          <cell r="X1416">
            <v>3</v>
          </cell>
          <cell r="Y1416">
            <v>3</v>
          </cell>
          <cell r="AB1416" t="str">
            <v>X</v>
          </cell>
          <cell r="AC1416" t="str">
            <v>X</v>
          </cell>
          <cell r="AD1416" t="str">
            <v>X</v>
          </cell>
          <cell r="AH1416" t="str">
            <v>N</v>
          </cell>
          <cell r="AI1416" t="str">
            <v>N</v>
          </cell>
          <cell r="AK1416" t="str">
            <v>245 BLOC R AVENUE 16 NOVEMBRE NAHDA KHGA</v>
          </cell>
          <cell r="AL1416" t="str">
            <v>4.A.S</v>
          </cell>
          <cell r="AM1416" t="str">
            <v>CFO.</v>
          </cell>
          <cell r="AP1416" t="str">
            <v>Q 76503</v>
          </cell>
          <cell r="AQ1416">
            <v>0</v>
          </cell>
          <cell r="AR1416" t="str">
            <v>C</v>
          </cell>
          <cell r="AU1416" t="str">
            <v>/  /</v>
          </cell>
          <cell r="AW1416">
            <v>38534</v>
          </cell>
          <cell r="BA1416" t="str">
            <v>2</v>
          </cell>
          <cell r="BB1416">
            <v>1</v>
          </cell>
          <cell r="BC1416" t="str">
            <v>0</v>
          </cell>
          <cell r="BD1416">
            <v>4</v>
          </cell>
          <cell r="BE1416" t="str">
            <v>M</v>
          </cell>
          <cell r="BF1416" t="str">
            <v>N</v>
          </cell>
          <cell r="BG1416">
            <v>4</v>
          </cell>
          <cell r="BH1416">
            <v>38534</v>
          </cell>
        </row>
        <row r="1417">
          <cell r="A1417">
            <v>70062</v>
          </cell>
          <cell r="B1417">
            <v>421</v>
          </cell>
          <cell r="C1417" t="str">
            <v>C6152</v>
          </cell>
          <cell r="D1417" t="str">
            <v>KOLAL</v>
          </cell>
          <cell r="E1417" t="str">
            <v>EL MAATI</v>
          </cell>
          <cell r="F1417">
            <v>20125</v>
          </cell>
          <cell r="G1417" t="str">
            <v>2</v>
          </cell>
          <cell r="H1417" t="str">
            <v>OUED-ZEM</v>
          </cell>
          <cell r="I1417" t="str">
            <v>D</v>
          </cell>
          <cell r="J1417">
            <v>28473</v>
          </cell>
          <cell r="K1417">
            <v>35065</v>
          </cell>
          <cell r="L1417" t="str">
            <v>32</v>
          </cell>
          <cell r="M1417" t="str">
            <v>A</v>
          </cell>
          <cell r="N1417">
            <v>35065</v>
          </cell>
          <cell r="P1417">
            <v>25</v>
          </cell>
          <cell r="Q1417" t="str">
            <v>O</v>
          </cell>
          <cell r="R1417" t="str">
            <v>N</v>
          </cell>
          <cell r="S1417">
            <v>0</v>
          </cell>
          <cell r="T1417" t="str">
            <v>M</v>
          </cell>
          <cell r="U1417" t="str">
            <v>ABBASSI M'BARKA</v>
          </cell>
          <cell r="X1417">
            <v>3</v>
          </cell>
          <cell r="Y1417">
            <v>3</v>
          </cell>
          <cell r="AB1417" t="str">
            <v>X</v>
          </cell>
          <cell r="AC1417" t="str">
            <v>X</v>
          </cell>
          <cell r="AD1417" t="str">
            <v>X</v>
          </cell>
          <cell r="AH1417" t="str">
            <v>N</v>
          </cell>
          <cell r="AI1417" t="str">
            <v>N</v>
          </cell>
          <cell r="AK1417" t="str">
            <v>435 NOUVEAUX LOGEMENTS SECHAGE - KHGA</v>
          </cell>
          <cell r="AL1417" t="str">
            <v>4.A.S</v>
          </cell>
          <cell r="AM1417" t="str">
            <v>CFO.</v>
          </cell>
          <cell r="AP1417" t="str">
            <v>Q 9872</v>
          </cell>
          <cell r="AQ1417">
            <v>0</v>
          </cell>
          <cell r="AR1417" t="str">
            <v>B</v>
          </cell>
          <cell r="AS1417" t="str">
            <v>POPULAIRE.KHGA</v>
          </cell>
          <cell r="AT1417" t="str">
            <v>2111112836290002</v>
          </cell>
          <cell r="AU1417" t="str">
            <v>/  /</v>
          </cell>
          <cell r="AW1417">
            <v>38534</v>
          </cell>
          <cell r="AZ1417" t="str">
            <v>R</v>
          </cell>
          <cell r="BA1417" t="str">
            <v>1</v>
          </cell>
          <cell r="BB1417">
            <v>1</v>
          </cell>
          <cell r="BD1417">
            <v>0</v>
          </cell>
          <cell r="BE1417" t="str">
            <v>M</v>
          </cell>
          <cell r="BF1417" t="str">
            <v>N</v>
          </cell>
          <cell r="BG1417">
            <v>1</v>
          </cell>
          <cell r="BH1417">
            <v>38534</v>
          </cell>
        </row>
        <row r="1418">
          <cell r="A1418">
            <v>71674</v>
          </cell>
          <cell r="B1418">
            <v>461</v>
          </cell>
          <cell r="C1418" t="str">
            <v>C5152</v>
          </cell>
          <cell r="D1418" t="str">
            <v>EL MOUNZIL</v>
          </cell>
          <cell r="E1418" t="str">
            <v>MOHAMMED</v>
          </cell>
          <cell r="F1418">
            <v>19175</v>
          </cell>
          <cell r="G1418" t="str">
            <v>1</v>
          </cell>
          <cell r="H1418" t="str">
            <v>OULED BHAR KBAR KHOURIBGA</v>
          </cell>
          <cell r="I1418" t="str">
            <v>D</v>
          </cell>
          <cell r="J1418">
            <v>29239</v>
          </cell>
          <cell r="K1418">
            <v>33117</v>
          </cell>
          <cell r="L1418" t="str">
            <v>31</v>
          </cell>
          <cell r="M1418" t="str">
            <v>A</v>
          </cell>
          <cell r="N1418">
            <v>33117</v>
          </cell>
          <cell r="P1418">
            <v>23</v>
          </cell>
          <cell r="Q1418" t="str">
            <v>O</v>
          </cell>
          <cell r="R1418" t="str">
            <v>N</v>
          </cell>
          <cell r="S1418">
            <v>0</v>
          </cell>
          <cell r="T1418" t="str">
            <v>M</v>
          </cell>
          <cell r="U1418" t="str">
            <v>BENADADA HALIMA</v>
          </cell>
          <cell r="X1418">
            <v>3</v>
          </cell>
          <cell r="Y1418">
            <v>3</v>
          </cell>
          <cell r="AB1418" t="str">
            <v>X</v>
          </cell>
          <cell r="AC1418" t="str">
            <v>X</v>
          </cell>
          <cell r="AD1418" t="str">
            <v>X</v>
          </cell>
          <cell r="AH1418" t="str">
            <v>N</v>
          </cell>
          <cell r="AI1418" t="str">
            <v>N</v>
          </cell>
          <cell r="AK1418" t="str">
            <v>28, RUE 8 HAY EL MOUKAOUAMA - KHGA</v>
          </cell>
          <cell r="AL1418" t="str">
            <v>4.A.S</v>
          </cell>
          <cell r="AM1418" t="str">
            <v>CFO.</v>
          </cell>
          <cell r="AP1418" t="str">
            <v>Q 47368</v>
          </cell>
          <cell r="AQ1418">
            <v>0</v>
          </cell>
          <cell r="AR1418" t="str">
            <v>B</v>
          </cell>
          <cell r="AS1418" t="str">
            <v>BMCE.KHGA</v>
          </cell>
          <cell r="AT1418" t="str">
            <v>40001200000772274</v>
          </cell>
          <cell r="AU1418" t="str">
            <v>/  /</v>
          </cell>
          <cell r="AW1418">
            <v>38899</v>
          </cell>
          <cell r="BA1418" t="str">
            <v>1</v>
          </cell>
          <cell r="BB1418">
            <v>1</v>
          </cell>
          <cell r="BC1418" t="str">
            <v>O</v>
          </cell>
          <cell r="BD1418">
            <v>4</v>
          </cell>
          <cell r="BE1418" t="str">
            <v>M</v>
          </cell>
          <cell r="BF1418" t="str">
            <v>N</v>
          </cell>
          <cell r="BG1418">
            <v>5</v>
          </cell>
          <cell r="BH1418">
            <v>38899</v>
          </cell>
        </row>
        <row r="1419">
          <cell r="A1419">
            <v>71704</v>
          </cell>
          <cell r="B1419">
            <v>411</v>
          </cell>
          <cell r="C1419" t="str">
            <v>C6152</v>
          </cell>
          <cell r="D1419" t="str">
            <v>HACHOUMI</v>
          </cell>
          <cell r="E1419" t="str">
            <v>MOHAMED</v>
          </cell>
          <cell r="F1419">
            <v>18444</v>
          </cell>
          <cell r="H1419" t="str">
            <v>BEN AHMED - SETTAT</v>
          </cell>
          <cell r="I1419" t="str">
            <v>D</v>
          </cell>
          <cell r="J1419">
            <v>29252</v>
          </cell>
          <cell r="K1419">
            <v>35065</v>
          </cell>
          <cell r="L1419" t="str">
            <v>32</v>
          </cell>
          <cell r="M1419" t="str">
            <v>A</v>
          </cell>
          <cell r="N1419">
            <v>35065</v>
          </cell>
          <cell r="P1419">
            <v>24</v>
          </cell>
          <cell r="Q1419" t="str">
            <v>O</v>
          </cell>
          <cell r="R1419" t="str">
            <v>N</v>
          </cell>
          <cell r="S1419">
            <v>0</v>
          </cell>
          <cell r="T1419" t="str">
            <v>M</v>
          </cell>
          <cell r="U1419" t="str">
            <v>MALIKA BENT OMAR</v>
          </cell>
          <cell r="V1419" t="str">
            <v>RAZZAK AICHA</v>
          </cell>
          <cell r="X1419">
            <v>1</v>
          </cell>
          <cell r="Y1419">
            <v>1</v>
          </cell>
          <cell r="AB1419" t="str">
            <v>X</v>
          </cell>
          <cell r="AC1419" t="str">
            <v>X</v>
          </cell>
          <cell r="AD1419" t="str">
            <v>X</v>
          </cell>
          <cell r="AH1419" t="str">
            <v>N</v>
          </cell>
          <cell r="AI1419" t="str">
            <v>N</v>
          </cell>
          <cell r="AK1419" t="str">
            <v>396 NOUVEAU LOGEMENT O.C.P - KHOURIBGA</v>
          </cell>
          <cell r="AL1419" t="str">
            <v>4.A.S</v>
          </cell>
          <cell r="AM1419" t="str">
            <v>CFO.</v>
          </cell>
          <cell r="AP1419" t="str">
            <v>Q 81497</v>
          </cell>
          <cell r="AQ1419">
            <v>0</v>
          </cell>
          <cell r="AR1419" t="str">
            <v>B</v>
          </cell>
          <cell r="AS1419" t="str">
            <v>BMCI - KHGA</v>
          </cell>
          <cell r="AT1419" t="str">
            <v>02820830907301</v>
          </cell>
          <cell r="AU1419" t="str">
            <v>/  /</v>
          </cell>
          <cell r="AW1419">
            <v>38534</v>
          </cell>
          <cell r="BA1419" t="str">
            <v>1</v>
          </cell>
          <cell r="BB1419">
            <v>1</v>
          </cell>
          <cell r="BD1419">
            <v>0</v>
          </cell>
          <cell r="BE1419" t="str">
            <v>M</v>
          </cell>
          <cell r="BF1419" t="str">
            <v>N</v>
          </cell>
          <cell r="BG1419">
            <v>1</v>
          </cell>
          <cell r="BH1419">
            <v>38534</v>
          </cell>
        </row>
        <row r="1420">
          <cell r="A1420">
            <v>71821</v>
          </cell>
          <cell r="B1420">
            <v>411</v>
          </cell>
          <cell r="C1420" t="str">
            <v>C6152</v>
          </cell>
          <cell r="D1420" t="str">
            <v>JDID</v>
          </cell>
          <cell r="E1420" t="str">
            <v>MOHAMMED</v>
          </cell>
          <cell r="F1420">
            <v>20231</v>
          </cell>
          <cell r="G1420" t="str">
            <v>4</v>
          </cell>
          <cell r="H1420" t="str">
            <v>BOULANOUAR - KHOURIBGA</v>
          </cell>
          <cell r="I1420" t="str">
            <v>D</v>
          </cell>
          <cell r="J1420">
            <v>29299</v>
          </cell>
          <cell r="K1420">
            <v>35065</v>
          </cell>
          <cell r="L1420" t="str">
            <v>32</v>
          </cell>
          <cell r="M1420" t="str">
            <v>A</v>
          </cell>
          <cell r="N1420">
            <v>35065</v>
          </cell>
          <cell r="P1420">
            <v>23</v>
          </cell>
          <cell r="Q1420" t="str">
            <v>O</v>
          </cell>
          <cell r="R1420" t="str">
            <v>N</v>
          </cell>
          <cell r="S1420">
            <v>0</v>
          </cell>
          <cell r="T1420" t="str">
            <v>M</v>
          </cell>
          <cell r="U1420" t="str">
            <v>AICHA BENT AHMED</v>
          </cell>
          <cell r="X1420">
            <v>5</v>
          </cell>
          <cell r="Y1420">
            <v>3</v>
          </cell>
          <cell r="AB1420" t="str">
            <v>X</v>
          </cell>
          <cell r="AC1420" t="str">
            <v>X</v>
          </cell>
          <cell r="AD1420" t="str">
            <v>X</v>
          </cell>
          <cell r="AH1420" t="str">
            <v>N</v>
          </cell>
          <cell r="AI1420" t="str">
            <v>N</v>
          </cell>
          <cell r="AK1420" t="str">
            <v>31 COOPERATIVE EL AMAL HAY RIAD - KHGA</v>
          </cell>
          <cell r="AL1420" t="str">
            <v>5.A.SC.</v>
          </cell>
          <cell r="AM1420" t="str">
            <v>CFO.</v>
          </cell>
          <cell r="AP1420" t="str">
            <v>Q 103570</v>
          </cell>
          <cell r="AQ1420">
            <v>0</v>
          </cell>
          <cell r="AR1420" t="str">
            <v>B</v>
          </cell>
          <cell r="AS1420" t="str">
            <v>POPULAIRE.KHGA</v>
          </cell>
          <cell r="AT1420" t="str">
            <v>2111112832560002</v>
          </cell>
          <cell r="AU1420" t="str">
            <v>/  /</v>
          </cell>
          <cell r="AW1420">
            <v>38899</v>
          </cell>
          <cell r="BA1420" t="str">
            <v>6</v>
          </cell>
          <cell r="BB1420">
            <v>1</v>
          </cell>
          <cell r="BD1420">
            <v>0</v>
          </cell>
          <cell r="BE1420" t="str">
            <v>M</v>
          </cell>
          <cell r="BF1420" t="str">
            <v>N</v>
          </cell>
          <cell r="BG1420">
            <v>1</v>
          </cell>
          <cell r="BH1420">
            <v>38899</v>
          </cell>
          <cell r="BI1420" t="str">
            <v>O</v>
          </cell>
        </row>
        <row r="1421">
          <cell r="A1421">
            <v>68731</v>
          </cell>
          <cell r="B1421">
            <v>428</v>
          </cell>
          <cell r="C1421" t="str">
            <v>C4411</v>
          </cell>
          <cell r="D1421" t="str">
            <v>SEDKI</v>
          </cell>
          <cell r="E1421" t="str">
            <v>EL MOSTAFA</v>
          </cell>
          <cell r="F1421">
            <v>19877</v>
          </cell>
          <cell r="G1421" t="str">
            <v>1</v>
          </cell>
          <cell r="H1421" t="str">
            <v>OULED ABDOUNE - KHOURIBGA</v>
          </cell>
          <cell r="I1421" t="str">
            <v>D</v>
          </cell>
          <cell r="J1421">
            <v>28060</v>
          </cell>
          <cell r="K1421">
            <v>34851</v>
          </cell>
          <cell r="L1421" t="str">
            <v>22</v>
          </cell>
          <cell r="M1421" t="str">
            <v>A</v>
          </cell>
          <cell r="N1421">
            <v>34851</v>
          </cell>
          <cell r="P1421">
            <v>26</v>
          </cell>
          <cell r="Q1421" t="str">
            <v>O</v>
          </cell>
          <cell r="R1421" t="str">
            <v>N</v>
          </cell>
          <cell r="S1421">
            <v>0</v>
          </cell>
          <cell r="T1421" t="str">
            <v>M</v>
          </cell>
          <cell r="U1421" t="str">
            <v>KARMA AICHA BENT SALAH</v>
          </cell>
          <cell r="X1421">
            <v>4</v>
          </cell>
          <cell r="Y1421">
            <v>2</v>
          </cell>
          <cell r="AB1421" t="str">
            <v>X</v>
          </cell>
          <cell r="AC1421" t="str">
            <v>X</v>
          </cell>
          <cell r="AD1421" t="str">
            <v>X</v>
          </cell>
          <cell r="AH1421" t="str">
            <v>N</v>
          </cell>
          <cell r="AI1421" t="str">
            <v>N</v>
          </cell>
          <cell r="AK1421" t="str">
            <v>DOUAR LAMRAHNA OULED ABDOUNE KHOURIBGA</v>
          </cell>
          <cell r="AL1421" t="str">
            <v>CM 2</v>
          </cell>
          <cell r="AP1421" t="str">
            <v>Q 42009</v>
          </cell>
          <cell r="AQ1421">
            <v>0</v>
          </cell>
          <cell r="AR1421" t="str">
            <v>B</v>
          </cell>
          <cell r="AS1421" t="str">
            <v>CR.MAROC - KHGA</v>
          </cell>
          <cell r="AT1421" t="str">
            <v>082001054382</v>
          </cell>
          <cell r="AU1421" t="str">
            <v>02/11/97</v>
          </cell>
          <cell r="AW1421">
            <v>38169</v>
          </cell>
          <cell r="BA1421" t="str">
            <v>0</v>
          </cell>
          <cell r="BB1421">
            <v>1</v>
          </cell>
          <cell r="BD1421">
            <v>0</v>
          </cell>
          <cell r="BE1421" t="str">
            <v>M</v>
          </cell>
          <cell r="BF1421" t="str">
            <v>N</v>
          </cell>
          <cell r="BG1421">
            <v>4</v>
          </cell>
          <cell r="BH1421">
            <v>38169</v>
          </cell>
          <cell r="BI1421" t="str">
            <v>O</v>
          </cell>
        </row>
        <row r="1422">
          <cell r="A1422">
            <v>65445</v>
          </cell>
          <cell r="B1422">
            <v>403</v>
          </cell>
          <cell r="C1422" t="str">
            <v>C5801</v>
          </cell>
          <cell r="D1422" t="str">
            <v>ATINE</v>
          </cell>
          <cell r="E1422" t="str">
            <v>EL ARBI</v>
          </cell>
          <cell r="F1422">
            <v>19905</v>
          </cell>
          <cell r="G1422" t="str">
            <v>6</v>
          </cell>
          <cell r="H1422" t="str">
            <v>M'FASSIS - KHOURIBGA</v>
          </cell>
          <cell r="I1422" t="str">
            <v>D</v>
          </cell>
          <cell r="J1422">
            <v>27103</v>
          </cell>
          <cell r="K1422">
            <v>32690</v>
          </cell>
          <cell r="L1422" t="str">
            <v>31</v>
          </cell>
          <cell r="M1422" t="str">
            <v>A</v>
          </cell>
          <cell r="N1422">
            <v>32690</v>
          </cell>
          <cell r="P1422">
            <v>29</v>
          </cell>
          <cell r="Q1422" t="str">
            <v>O</v>
          </cell>
          <cell r="R1422" t="str">
            <v>N</v>
          </cell>
          <cell r="S1422">
            <v>0</v>
          </cell>
          <cell r="T1422" t="str">
            <v>M</v>
          </cell>
          <cell r="U1422" t="str">
            <v>EL BOUALAOUIA BENT EL ARBI</v>
          </cell>
          <cell r="X1422">
            <v>6</v>
          </cell>
          <cell r="Y1422">
            <v>4</v>
          </cell>
          <cell r="AB1422" t="str">
            <v>X</v>
          </cell>
          <cell r="AC1422" t="str">
            <v>X</v>
          </cell>
          <cell r="AD1422" t="str">
            <v>X</v>
          </cell>
          <cell r="AH1422" t="str">
            <v>N</v>
          </cell>
          <cell r="AI1422" t="str">
            <v>N</v>
          </cell>
          <cell r="AK1422" t="str">
            <v>31 DERB 7 - HATTANE</v>
          </cell>
          <cell r="AL1422" t="str">
            <v>3 A.S</v>
          </cell>
          <cell r="AP1422" t="str">
            <v>Q 375836</v>
          </cell>
          <cell r="AQ1422">
            <v>0</v>
          </cell>
          <cell r="AR1422" t="str">
            <v>N</v>
          </cell>
          <cell r="AS1422" t="str">
            <v>CREDIT-AGR-KHGA</v>
          </cell>
          <cell r="AT1422" t="str">
            <v>0807542F601</v>
          </cell>
          <cell r="AU1422" t="str">
            <v>/  /</v>
          </cell>
          <cell r="AW1422">
            <v>38169</v>
          </cell>
          <cell r="AY1422" t="str">
            <v>O</v>
          </cell>
          <cell r="BA1422" t="str">
            <v>0</v>
          </cell>
          <cell r="BB1422">
            <v>1</v>
          </cell>
          <cell r="BD1422">
            <v>0</v>
          </cell>
          <cell r="BE1422" t="str">
            <v>M</v>
          </cell>
          <cell r="BF1422" t="str">
            <v>N</v>
          </cell>
          <cell r="BG1422">
            <v>10</v>
          </cell>
          <cell r="BH1422">
            <v>38169</v>
          </cell>
          <cell r="BI1422" t="str">
            <v>O</v>
          </cell>
        </row>
        <row r="1423">
          <cell r="A1423">
            <v>82578</v>
          </cell>
          <cell r="B1423">
            <v>411</v>
          </cell>
          <cell r="C1423" t="str">
            <v>X4150</v>
          </cell>
          <cell r="D1423" t="str">
            <v>RAZEM</v>
          </cell>
          <cell r="E1423" t="str">
            <v>ABDELKBIR</v>
          </cell>
          <cell r="F1423">
            <v>20656</v>
          </cell>
          <cell r="H1423" t="str">
            <v>SALE</v>
          </cell>
          <cell r="I1423" t="str">
            <v>F</v>
          </cell>
          <cell r="J1423">
            <v>31017</v>
          </cell>
          <cell r="K1423">
            <v>36526</v>
          </cell>
          <cell r="L1423" t="str">
            <v>42</v>
          </cell>
          <cell r="M1423" t="str">
            <v>A</v>
          </cell>
          <cell r="N1423">
            <v>36526</v>
          </cell>
          <cell r="P1423">
            <v>18</v>
          </cell>
          <cell r="Q1423" t="str">
            <v>O</v>
          </cell>
          <cell r="R1423" t="str">
            <v>N</v>
          </cell>
          <cell r="S1423">
            <v>0</v>
          </cell>
          <cell r="T1423" t="str">
            <v>M</v>
          </cell>
          <cell r="U1423" t="str">
            <v>HIRIBI LEKBIRA BENT LAHCEN</v>
          </cell>
          <cell r="X1423">
            <v>3</v>
          </cell>
          <cell r="Y1423">
            <v>3</v>
          </cell>
          <cell r="AB1423" t="str">
            <v>O</v>
          </cell>
          <cell r="AC1423" t="str">
            <v>X</v>
          </cell>
          <cell r="AD1423" t="str">
            <v>X</v>
          </cell>
          <cell r="AE1423" t="str">
            <v>MINI.EDUC.NAT.</v>
          </cell>
          <cell r="AH1423" t="str">
            <v>N</v>
          </cell>
          <cell r="AI1423" t="str">
            <v>N</v>
          </cell>
          <cell r="AK1423" t="str">
            <v>10.LOTISSEMENT HAIZOUN EL MASSIRA KHGA</v>
          </cell>
          <cell r="AL1423" t="str">
            <v>7 A.SC.EXP.</v>
          </cell>
          <cell r="AM1423" t="str">
            <v>CFO.EMM</v>
          </cell>
          <cell r="AP1423" t="str">
            <v>A 84611</v>
          </cell>
          <cell r="AQ1423">
            <v>0</v>
          </cell>
          <cell r="AR1423" t="str">
            <v>B</v>
          </cell>
          <cell r="AS1423" t="str">
            <v>WAFABANK - KHGA</v>
          </cell>
          <cell r="AT1423" t="str">
            <v>1220301192462</v>
          </cell>
          <cell r="AU1423" t="str">
            <v>/  /</v>
          </cell>
          <cell r="AW1423">
            <v>40909</v>
          </cell>
          <cell r="BA1423" t="str">
            <v>2</v>
          </cell>
          <cell r="BB1423">
            <v>1</v>
          </cell>
          <cell r="BC1423" t="str">
            <v>O</v>
          </cell>
          <cell r="BD1423">
            <v>0</v>
          </cell>
          <cell r="BE1423" t="str">
            <v>M</v>
          </cell>
          <cell r="BF1423" t="str">
            <v>N</v>
          </cell>
          <cell r="BG1423">
            <v>5</v>
          </cell>
          <cell r="BH1423">
            <v>40909</v>
          </cell>
          <cell r="BI1423" t="str">
            <v>O</v>
          </cell>
        </row>
        <row r="1424">
          <cell r="A1424">
            <v>89535</v>
          </cell>
          <cell r="B1424">
            <v>412</v>
          </cell>
          <cell r="C1424" t="str">
            <v>X3150</v>
          </cell>
          <cell r="D1424" t="str">
            <v>RAITEB</v>
          </cell>
          <cell r="E1424" t="str">
            <v>ABDERRAHIM</v>
          </cell>
          <cell r="F1424">
            <v>21001</v>
          </cell>
          <cell r="H1424" t="str">
            <v>OULED SAID - SETTAT</v>
          </cell>
          <cell r="I1424" t="str">
            <v>F</v>
          </cell>
          <cell r="J1424">
            <v>30144</v>
          </cell>
          <cell r="K1424">
            <v>33055</v>
          </cell>
          <cell r="L1424" t="str">
            <v>41</v>
          </cell>
          <cell r="M1424" t="str">
            <v>A</v>
          </cell>
          <cell r="N1424">
            <v>33055</v>
          </cell>
          <cell r="P1424">
            <v>20</v>
          </cell>
          <cell r="Q1424" t="str">
            <v>O</v>
          </cell>
          <cell r="R1424" t="str">
            <v>N</v>
          </cell>
          <cell r="S1424">
            <v>0</v>
          </cell>
          <cell r="T1424" t="str">
            <v>M</v>
          </cell>
          <cell r="U1424" t="str">
            <v>KASMAOUI LEKBIRA BENT EL ARBI</v>
          </cell>
          <cell r="X1424">
            <v>4</v>
          </cell>
          <cell r="Y1424">
            <v>4</v>
          </cell>
          <cell r="AB1424" t="str">
            <v>X</v>
          </cell>
          <cell r="AC1424" t="str">
            <v>X</v>
          </cell>
          <cell r="AD1424" t="str">
            <v>X</v>
          </cell>
          <cell r="AH1424" t="str">
            <v>O</v>
          </cell>
          <cell r="AI1424" t="str">
            <v>N</v>
          </cell>
          <cell r="AK1424" t="str">
            <v>41 BLOC 30 NVX LOGEMENTS O.C.P - KHGA</v>
          </cell>
          <cell r="AL1424" t="str">
            <v>7 A.SC.EXP.</v>
          </cell>
          <cell r="AM1424" t="str">
            <v>CES.CFO.EMM</v>
          </cell>
          <cell r="AP1424" t="str">
            <v>W 49771</v>
          </cell>
          <cell r="AQ1424">
            <v>0</v>
          </cell>
          <cell r="AR1424" t="str">
            <v>B</v>
          </cell>
          <cell r="AS1424" t="str">
            <v>POPULAIRE  KHGA</v>
          </cell>
          <cell r="AT1424" t="str">
            <v>2111112855010000</v>
          </cell>
          <cell r="AU1424" t="str">
            <v>/  /</v>
          </cell>
          <cell r="AW1424">
            <v>39995</v>
          </cell>
          <cell r="BA1424" t="str">
            <v>2</v>
          </cell>
          <cell r="BB1424">
            <v>1</v>
          </cell>
          <cell r="BC1424" t="str">
            <v>O</v>
          </cell>
          <cell r="BD1424">
            <v>0</v>
          </cell>
          <cell r="BE1424" t="str">
            <v>M</v>
          </cell>
          <cell r="BF1424" t="str">
            <v>N</v>
          </cell>
          <cell r="BG1424">
            <v>5</v>
          </cell>
          <cell r="BH1424">
            <v>40179</v>
          </cell>
          <cell r="BI1424" t="str">
            <v>N</v>
          </cell>
        </row>
        <row r="1425">
          <cell r="A1425">
            <v>79526</v>
          </cell>
          <cell r="B1425">
            <v>418</v>
          </cell>
          <cell r="C1425" t="str">
            <v>X4150</v>
          </cell>
          <cell r="D1425" t="str">
            <v>SAMAOUI</v>
          </cell>
          <cell r="E1425" t="str">
            <v>MOHAMMED</v>
          </cell>
          <cell r="F1425">
            <v>20516</v>
          </cell>
          <cell r="G1425" t="str">
            <v>2</v>
          </cell>
          <cell r="H1425" t="str">
            <v>BENI SMIR OUED-ZEM</v>
          </cell>
          <cell r="I1425" t="str">
            <v>D</v>
          </cell>
          <cell r="J1425">
            <v>29284</v>
          </cell>
          <cell r="K1425">
            <v>36526</v>
          </cell>
          <cell r="L1425" t="str">
            <v>42</v>
          </cell>
          <cell r="M1425" t="str">
            <v>A</v>
          </cell>
          <cell r="N1425">
            <v>36526</v>
          </cell>
          <cell r="P1425">
            <v>23</v>
          </cell>
          <cell r="Q1425" t="str">
            <v>O</v>
          </cell>
          <cell r="R1425" t="str">
            <v>N</v>
          </cell>
          <cell r="S1425">
            <v>0</v>
          </cell>
          <cell r="T1425" t="str">
            <v>M</v>
          </cell>
          <cell r="U1425" t="str">
            <v>MEKKAOUI FATIMA BENT SALAH</v>
          </cell>
          <cell r="X1425">
            <v>3</v>
          </cell>
          <cell r="Y1425">
            <v>3</v>
          </cell>
          <cell r="AB1425" t="str">
            <v>N</v>
          </cell>
          <cell r="AC1425" t="str">
            <v>X</v>
          </cell>
          <cell r="AD1425" t="str">
            <v>X</v>
          </cell>
          <cell r="AH1425" t="str">
            <v>N</v>
          </cell>
          <cell r="AI1425" t="str">
            <v>N</v>
          </cell>
          <cell r="AK1425" t="str">
            <v>288,YASSMINE 1  NAHDA - KHOURIBGA</v>
          </cell>
          <cell r="AL1425" t="str">
            <v>5 A.SC.EXP.</v>
          </cell>
          <cell r="AM1425" t="str">
            <v>CAP.CES. EPMT (ELECTRONICIEN)  EMM.</v>
          </cell>
          <cell r="AP1425" t="str">
            <v>Y 21324</v>
          </cell>
          <cell r="AQ1425">
            <v>0</v>
          </cell>
          <cell r="AR1425" t="str">
            <v>B</v>
          </cell>
          <cell r="AS1425" t="str">
            <v>C I H - KHOURIBGA</v>
          </cell>
          <cell r="AT1425" t="str">
            <v>3197092211004700</v>
          </cell>
          <cell r="AU1425" t="str">
            <v>/  /</v>
          </cell>
          <cell r="AW1425">
            <v>39264</v>
          </cell>
          <cell r="BA1425" t="str">
            <v>1</v>
          </cell>
          <cell r="BB1425">
            <v>1</v>
          </cell>
          <cell r="BD1425">
            <v>0</v>
          </cell>
          <cell r="BE1425" t="str">
            <v>M</v>
          </cell>
          <cell r="BF1425" t="str">
            <v>N</v>
          </cell>
          <cell r="BG1425">
            <v>1</v>
          </cell>
          <cell r="BH1425">
            <v>39264</v>
          </cell>
          <cell r="BI1425" t="str">
            <v>O</v>
          </cell>
        </row>
        <row r="1426">
          <cell r="A1426">
            <v>68245</v>
          </cell>
          <cell r="B1426">
            <v>403</v>
          </cell>
          <cell r="C1426" t="str">
            <v>X6800</v>
          </cell>
          <cell r="D1426" t="str">
            <v>EL HAJRI</v>
          </cell>
          <cell r="E1426" t="str">
            <v>MOHAMED</v>
          </cell>
          <cell r="F1426">
            <v>19905</v>
          </cell>
          <cell r="H1426" t="str">
            <v>TAROUAL - OUAZZANE</v>
          </cell>
          <cell r="I1426" t="str">
            <v>D</v>
          </cell>
          <cell r="J1426">
            <v>27732</v>
          </cell>
          <cell r="K1426">
            <v>36526</v>
          </cell>
          <cell r="L1426" t="str">
            <v>52</v>
          </cell>
          <cell r="M1426" t="str">
            <v>A</v>
          </cell>
          <cell r="N1426">
            <v>36526</v>
          </cell>
          <cell r="P1426">
            <v>27</v>
          </cell>
          <cell r="Q1426" t="str">
            <v>O</v>
          </cell>
          <cell r="R1426" t="str">
            <v>N</v>
          </cell>
          <cell r="S1426">
            <v>0</v>
          </cell>
          <cell r="T1426" t="str">
            <v>M</v>
          </cell>
          <cell r="U1426" t="str">
            <v>CHERQAOUI HAFIDA BT HASSANE</v>
          </cell>
          <cell r="X1426">
            <v>3</v>
          </cell>
          <cell r="Y1426">
            <v>3</v>
          </cell>
          <cell r="AB1426" t="str">
            <v>O</v>
          </cell>
          <cell r="AC1426" t="str">
            <v>X</v>
          </cell>
          <cell r="AD1426" t="str">
            <v>X</v>
          </cell>
          <cell r="AE1426" t="str">
            <v>00025/110 IPSE</v>
          </cell>
          <cell r="AH1426" t="str">
            <v>N</v>
          </cell>
          <cell r="AI1426" t="str">
            <v>N</v>
          </cell>
          <cell r="AK1426" t="str">
            <v>10,IMMEUBLE A QUART. ADMINISTRATIF KHGA</v>
          </cell>
          <cell r="AL1426" t="str">
            <v>5 A.S</v>
          </cell>
          <cell r="AM1426" t="str">
            <v>CES.CFO.EMM.</v>
          </cell>
          <cell r="AP1426" t="str">
            <v>Q 1474</v>
          </cell>
          <cell r="AQ1426">
            <v>0</v>
          </cell>
          <cell r="AR1426" t="str">
            <v>B</v>
          </cell>
          <cell r="AS1426" t="str">
            <v>C.I.H  KHGA</v>
          </cell>
          <cell r="AT1426" t="str">
            <v>7940836211004700</v>
          </cell>
          <cell r="AU1426" t="str">
            <v>/  /</v>
          </cell>
          <cell r="AW1426">
            <v>38169</v>
          </cell>
          <cell r="BA1426" t="str">
            <v>0</v>
          </cell>
          <cell r="BB1426">
            <v>1</v>
          </cell>
          <cell r="BD1426">
            <v>0</v>
          </cell>
          <cell r="BE1426" t="str">
            <v>M</v>
          </cell>
          <cell r="BF1426" t="str">
            <v>O</v>
          </cell>
          <cell r="BG1426">
            <v>1</v>
          </cell>
          <cell r="BH1426">
            <v>38169</v>
          </cell>
          <cell r="BI1426" t="str">
            <v>N</v>
          </cell>
        </row>
        <row r="1427">
          <cell r="A1427">
            <v>89572</v>
          </cell>
          <cell r="B1427">
            <v>411</v>
          </cell>
          <cell r="C1427" t="str">
            <v>X4150</v>
          </cell>
          <cell r="D1427" t="str">
            <v>ATTAR</v>
          </cell>
          <cell r="E1427" t="str">
            <v>EL HOUSSAIN</v>
          </cell>
          <cell r="F1427">
            <v>20162</v>
          </cell>
          <cell r="H1427" t="str">
            <v>RABAT</v>
          </cell>
          <cell r="I1427" t="str">
            <v>F</v>
          </cell>
          <cell r="J1427">
            <v>28690</v>
          </cell>
          <cell r="K1427">
            <v>36526</v>
          </cell>
          <cell r="L1427" t="str">
            <v>42</v>
          </cell>
          <cell r="M1427" t="str">
            <v>A</v>
          </cell>
          <cell r="N1427">
            <v>36526</v>
          </cell>
          <cell r="P1427">
            <v>24</v>
          </cell>
          <cell r="Q1427" t="str">
            <v>O</v>
          </cell>
          <cell r="R1427" t="str">
            <v>N</v>
          </cell>
          <cell r="S1427">
            <v>0</v>
          </cell>
          <cell r="T1427" t="str">
            <v>M</v>
          </cell>
          <cell r="U1427" t="str">
            <v>CHIGUER ABIDA BENT AHMED</v>
          </cell>
          <cell r="X1427">
            <v>3</v>
          </cell>
          <cell r="Y1427">
            <v>3</v>
          </cell>
          <cell r="AB1427" t="str">
            <v>X</v>
          </cell>
          <cell r="AC1427" t="str">
            <v>X</v>
          </cell>
          <cell r="AD1427" t="str">
            <v>X</v>
          </cell>
          <cell r="AH1427" t="str">
            <v>O</v>
          </cell>
          <cell r="AI1427" t="str">
            <v>N</v>
          </cell>
          <cell r="AK1427" t="str">
            <v>11, RUE AFOUGHAL, VILLE OCP, KHOURIBGA</v>
          </cell>
          <cell r="AL1427" t="str">
            <v>4 A.S</v>
          </cell>
          <cell r="AM1427" t="str">
            <v>CFP.CFO.EMM.</v>
          </cell>
          <cell r="AP1427" t="str">
            <v>H 48965</v>
          </cell>
          <cell r="AQ1427">
            <v>0</v>
          </cell>
          <cell r="AR1427" t="str">
            <v>B</v>
          </cell>
          <cell r="AS1427" t="str">
            <v>CREDIT DU MAROC</v>
          </cell>
          <cell r="AT1427" t="str">
            <v>820010016583</v>
          </cell>
          <cell r="AU1427" t="str">
            <v>/  /</v>
          </cell>
          <cell r="AW1427">
            <v>38534</v>
          </cell>
          <cell r="BA1427" t="str">
            <v>2</v>
          </cell>
          <cell r="BB1427">
            <v>1</v>
          </cell>
          <cell r="BC1427" t="str">
            <v>O</v>
          </cell>
          <cell r="BD1427">
            <v>0</v>
          </cell>
          <cell r="BE1427" t="str">
            <v>M</v>
          </cell>
          <cell r="BF1427" t="str">
            <v>N</v>
          </cell>
          <cell r="BG1427">
            <v>4</v>
          </cell>
          <cell r="BH1427">
            <v>38718</v>
          </cell>
          <cell r="BI1427" t="str">
            <v>N</v>
          </cell>
        </row>
        <row r="1428">
          <cell r="A1428">
            <v>89578</v>
          </cell>
          <cell r="B1428">
            <v>411</v>
          </cell>
          <cell r="C1428" t="str">
            <v>X3150</v>
          </cell>
          <cell r="D1428" t="str">
            <v>OUACHCHAM</v>
          </cell>
          <cell r="E1428" t="str">
            <v>SALAH</v>
          </cell>
          <cell r="F1428">
            <v>19991</v>
          </cell>
          <cell r="G1428" t="str">
            <v>6</v>
          </cell>
          <cell r="H1428" t="str">
            <v>M'FASSIS</v>
          </cell>
          <cell r="I1428" t="str">
            <v>D</v>
          </cell>
          <cell r="J1428">
            <v>27428</v>
          </cell>
          <cell r="K1428">
            <v>33239</v>
          </cell>
          <cell r="L1428" t="str">
            <v>41</v>
          </cell>
          <cell r="M1428" t="str">
            <v>A</v>
          </cell>
          <cell r="N1428">
            <v>33239</v>
          </cell>
          <cell r="P1428">
            <v>29</v>
          </cell>
          <cell r="Q1428" t="str">
            <v>O</v>
          </cell>
          <cell r="R1428" t="str">
            <v>N</v>
          </cell>
          <cell r="S1428">
            <v>0</v>
          </cell>
          <cell r="T1428" t="str">
            <v>M</v>
          </cell>
          <cell r="U1428" t="str">
            <v>NEZHA BENT ABID BEN EL KBIR</v>
          </cell>
          <cell r="X1428">
            <v>5</v>
          </cell>
          <cell r="Y1428">
            <v>0</v>
          </cell>
          <cell r="AB1428" t="str">
            <v>X</v>
          </cell>
          <cell r="AC1428" t="str">
            <v>X</v>
          </cell>
          <cell r="AD1428" t="str">
            <v>X</v>
          </cell>
          <cell r="AH1428" t="str">
            <v>N</v>
          </cell>
          <cell r="AI1428" t="str">
            <v>N</v>
          </cell>
          <cell r="AK1428" t="str">
            <v>16 LOTISSEMENT EL HANA - KHGA</v>
          </cell>
          <cell r="AL1428" t="str">
            <v>4 A.S</v>
          </cell>
          <cell r="AM1428" t="str">
            <v>CES.CFO.EMM.</v>
          </cell>
          <cell r="AP1428" t="str">
            <v>Q 18069</v>
          </cell>
          <cell r="AQ1428">
            <v>0</v>
          </cell>
          <cell r="AR1428" t="str">
            <v>B</v>
          </cell>
          <cell r="AS1428" t="str">
            <v>WAFABANK - KHGA</v>
          </cell>
          <cell r="AT1428" t="str">
            <v>1220301137191</v>
          </cell>
          <cell r="AU1428" t="str">
            <v>/  /</v>
          </cell>
          <cell r="AW1428">
            <v>38353</v>
          </cell>
          <cell r="BA1428" t="str">
            <v>1</v>
          </cell>
          <cell r="BB1428">
            <v>1</v>
          </cell>
          <cell r="BD1428">
            <v>0</v>
          </cell>
          <cell r="BE1428" t="str">
            <v>M</v>
          </cell>
          <cell r="BF1428" t="str">
            <v>N</v>
          </cell>
          <cell r="BG1428">
            <v>1</v>
          </cell>
          <cell r="BH1428">
            <v>38353</v>
          </cell>
          <cell r="BI1428" t="str">
            <v>O</v>
          </cell>
        </row>
        <row r="1429">
          <cell r="A1429">
            <v>89583</v>
          </cell>
          <cell r="B1429">
            <v>421</v>
          </cell>
          <cell r="C1429" t="str">
            <v>X4150</v>
          </cell>
          <cell r="D1429" t="str">
            <v>OUAKANI</v>
          </cell>
          <cell r="E1429" t="str">
            <v>RAHAL</v>
          </cell>
          <cell r="F1429">
            <v>20636</v>
          </cell>
          <cell r="H1429" t="str">
            <v>OULED M'RAH - SETTAT</v>
          </cell>
          <cell r="I1429" t="str">
            <v>F</v>
          </cell>
          <cell r="J1429">
            <v>29775</v>
          </cell>
          <cell r="K1429">
            <v>36526</v>
          </cell>
          <cell r="L1429" t="str">
            <v>42</v>
          </cell>
          <cell r="M1429" t="str">
            <v>A</v>
          </cell>
          <cell r="N1429">
            <v>36526</v>
          </cell>
          <cell r="O1429">
            <v>0</v>
          </cell>
          <cell r="P1429">
            <v>21</v>
          </cell>
          <cell r="Q1429" t="str">
            <v>O</v>
          </cell>
          <cell r="R1429" t="str">
            <v>N</v>
          </cell>
          <cell r="S1429">
            <v>0</v>
          </cell>
          <cell r="T1429" t="str">
            <v>M</v>
          </cell>
          <cell r="U1429" t="str">
            <v>FAHILI ZOHRA BENT ALLAL</v>
          </cell>
          <cell r="X1429">
            <v>4</v>
          </cell>
          <cell r="Y1429">
            <v>4</v>
          </cell>
          <cell r="AB1429" t="str">
            <v>X</v>
          </cell>
          <cell r="AC1429" t="str">
            <v>X</v>
          </cell>
          <cell r="AD1429" t="str">
            <v>X</v>
          </cell>
          <cell r="AH1429" t="str">
            <v>N</v>
          </cell>
          <cell r="AI1429" t="str">
            <v>N</v>
          </cell>
          <cell r="AK1429" t="str">
            <v>26 BLOC R BD 20 AOUT NAHDA - KHOURIBGA</v>
          </cell>
          <cell r="AL1429" t="str">
            <v>7 A.SC.EXP.</v>
          </cell>
          <cell r="AM1429" t="str">
            <v>CES.CFO.EMM</v>
          </cell>
          <cell r="AP1429" t="str">
            <v>B 636518</v>
          </cell>
          <cell r="AQ1429">
            <v>0</v>
          </cell>
          <cell r="AR1429" t="str">
            <v>B</v>
          </cell>
          <cell r="AS1429" t="str">
            <v>BMCE.KHGA</v>
          </cell>
          <cell r="AT1429" t="str">
            <v>40001200000821938</v>
          </cell>
          <cell r="AU1429" t="str">
            <v>/  /</v>
          </cell>
          <cell r="AW1429">
            <v>41620</v>
          </cell>
          <cell r="AX1429">
            <v>41620</v>
          </cell>
          <cell r="BA1429" t="str">
            <v>2</v>
          </cell>
          <cell r="BB1429">
            <v>1</v>
          </cell>
          <cell r="BC1429" t="str">
            <v>O</v>
          </cell>
          <cell r="BD1429">
            <v>0</v>
          </cell>
          <cell r="BE1429" t="str">
            <v>M</v>
          </cell>
          <cell r="BF1429" t="str">
            <v>N</v>
          </cell>
          <cell r="BG1429">
            <v>4</v>
          </cell>
          <cell r="BH1429">
            <v>39814</v>
          </cell>
          <cell r="BI1429" t="str">
            <v>N</v>
          </cell>
        </row>
        <row r="1430">
          <cell r="A1430">
            <v>67698</v>
          </cell>
          <cell r="B1430">
            <v>422</v>
          </cell>
          <cell r="C1430" t="str">
            <v>C6036</v>
          </cell>
          <cell r="D1430" t="str">
            <v>EL YASMINO</v>
          </cell>
          <cell r="E1430" t="str">
            <v>BOUZEKRI</v>
          </cell>
          <cell r="F1430">
            <v>19455</v>
          </cell>
          <cell r="G1430" t="str">
            <v>2</v>
          </cell>
          <cell r="H1430" t="str">
            <v>OUED-ZEM</v>
          </cell>
          <cell r="I1430" t="str">
            <v>D</v>
          </cell>
          <cell r="J1430">
            <v>27514</v>
          </cell>
          <cell r="K1430">
            <v>36526</v>
          </cell>
          <cell r="L1430" t="str">
            <v>32</v>
          </cell>
          <cell r="M1430" t="str">
            <v>A</v>
          </cell>
          <cell r="N1430">
            <v>36526</v>
          </cell>
          <cell r="P1430">
            <v>28</v>
          </cell>
          <cell r="Q1430" t="str">
            <v>O</v>
          </cell>
          <cell r="R1430" t="str">
            <v>N</v>
          </cell>
          <cell r="S1430">
            <v>0</v>
          </cell>
          <cell r="T1430" t="str">
            <v>M</v>
          </cell>
          <cell r="U1430" t="str">
            <v>DARIF FATIMA</v>
          </cell>
          <cell r="X1430">
            <v>7</v>
          </cell>
          <cell r="Y1430">
            <v>2</v>
          </cell>
          <cell r="AB1430" t="str">
            <v>X</v>
          </cell>
          <cell r="AC1430" t="str">
            <v>X</v>
          </cell>
          <cell r="AD1430" t="str">
            <v>X</v>
          </cell>
          <cell r="AH1430" t="str">
            <v>O</v>
          </cell>
          <cell r="AI1430" t="str">
            <v>N</v>
          </cell>
          <cell r="AK1430" t="str">
            <v>VILLA 33 O.C.P  OUED ZEM</v>
          </cell>
          <cell r="AL1430" t="str">
            <v>4 A.S</v>
          </cell>
          <cell r="AM1430" t="str">
            <v>CFO.</v>
          </cell>
          <cell r="AP1430" t="str">
            <v>Q 26481</v>
          </cell>
          <cell r="AQ1430">
            <v>0</v>
          </cell>
          <cell r="AR1430" t="str">
            <v>B</v>
          </cell>
          <cell r="AS1430" t="str">
            <v>POPULAIRE-O.ZEM</v>
          </cell>
          <cell r="AT1430" t="str">
            <v>1211113627917000915</v>
          </cell>
          <cell r="AU1430" t="str">
            <v>/  /</v>
          </cell>
          <cell r="AW1430">
            <v>37803</v>
          </cell>
          <cell r="BA1430" t="str">
            <v>2</v>
          </cell>
          <cell r="BB1430">
            <v>1</v>
          </cell>
          <cell r="BD1430">
            <v>0</v>
          </cell>
          <cell r="BE1430" t="str">
            <v>M</v>
          </cell>
          <cell r="BF1430" t="str">
            <v>N</v>
          </cell>
          <cell r="BG1430">
            <v>30</v>
          </cell>
          <cell r="BH1430">
            <v>37803</v>
          </cell>
        </row>
        <row r="1431">
          <cell r="A1431">
            <v>68371</v>
          </cell>
          <cell r="B1431">
            <v>401</v>
          </cell>
          <cell r="C1431" t="str">
            <v>C4601</v>
          </cell>
          <cell r="D1431" t="str">
            <v>JOUIDER</v>
          </cell>
          <cell r="E1431" t="str">
            <v>JILALI</v>
          </cell>
          <cell r="F1431">
            <v>19905</v>
          </cell>
          <cell r="G1431" t="str">
            <v>1</v>
          </cell>
          <cell r="H1431" t="str">
            <v>KHOURIBGA</v>
          </cell>
          <cell r="I1431" t="str">
            <v>D</v>
          </cell>
          <cell r="J1431">
            <v>27849</v>
          </cell>
          <cell r="K1431">
            <v>33573</v>
          </cell>
          <cell r="L1431" t="str">
            <v>33</v>
          </cell>
          <cell r="M1431" t="str">
            <v>C</v>
          </cell>
          <cell r="N1431">
            <v>35612</v>
          </cell>
          <cell r="P1431">
            <v>27</v>
          </cell>
          <cell r="Q1431" t="str">
            <v>O</v>
          </cell>
          <cell r="R1431" t="str">
            <v>N</v>
          </cell>
          <cell r="S1431">
            <v>0</v>
          </cell>
          <cell r="T1431" t="str">
            <v>M</v>
          </cell>
          <cell r="U1431" t="str">
            <v>FATIHA BENT ABDELKHALEK</v>
          </cell>
          <cell r="X1431">
            <v>5</v>
          </cell>
          <cell r="Y1431">
            <v>5</v>
          </cell>
          <cell r="AB1431" t="str">
            <v>X</v>
          </cell>
          <cell r="AC1431" t="str">
            <v>X</v>
          </cell>
          <cell r="AD1431" t="str">
            <v>X</v>
          </cell>
          <cell r="AH1431" t="str">
            <v>N</v>
          </cell>
          <cell r="AI1431" t="str">
            <v>N</v>
          </cell>
          <cell r="AK1431" t="str">
            <v>7 SQUARE FOUWARATE PEPINIERE OCP KHGA</v>
          </cell>
          <cell r="AL1431" t="str">
            <v>7 A.S</v>
          </cell>
          <cell r="AM1431" t="str">
            <v>CES.</v>
          </cell>
          <cell r="AP1431" t="str">
            <v>Q 20172</v>
          </cell>
          <cell r="AQ1431">
            <v>0</v>
          </cell>
          <cell r="AR1431" t="str">
            <v>B</v>
          </cell>
          <cell r="AS1431" t="str">
            <v>SGMB- KHGA</v>
          </cell>
          <cell r="AT1431" t="str">
            <v>067000938845141</v>
          </cell>
          <cell r="AU1431" t="str">
            <v>/  /</v>
          </cell>
          <cell r="AW1431">
            <v>38534</v>
          </cell>
          <cell r="AZ1431" t="str">
            <v>M</v>
          </cell>
          <cell r="BA1431" t="str">
            <v>2</v>
          </cell>
          <cell r="BB1431">
            <v>1</v>
          </cell>
          <cell r="BD1431">
            <v>0</v>
          </cell>
          <cell r="BE1431" t="str">
            <v>M</v>
          </cell>
          <cell r="BF1431" t="str">
            <v>N</v>
          </cell>
          <cell r="BG1431">
            <v>1</v>
          </cell>
          <cell r="BH1431">
            <v>38899</v>
          </cell>
        </row>
        <row r="1432">
          <cell r="A1432">
            <v>70119</v>
          </cell>
          <cell r="B1432">
            <v>468</v>
          </cell>
          <cell r="C1432" t="str">
            <v>X4102</v>
          </cell>
          <cell r="D1432" t="str">
            <v>ET-TSOULI</v>
          </cell>
          <cell r="E1432" t="str">
            <v>AHMED</v>
          </cell>
          <cell r="F1432">
            <v>18381</v>
          </cell>
          <cell r="G1432" t="str">
            <v>3</v>
          </cell>
          <cell r="H1432" t="str">
            <v>BOUJNIBA - KHOURIBGA</v>
          </cell>
          <cell r="I1432" t="str">
            <v>D</v>
          </cell>
          <cell r="J1432">
            <v>28482</v>
          </cell>
          <cell r="K1432">
            <v>35065</v>
          </cell>
          <cell r="L1432" t="str">
            <v>42</v>
          </cell>
          <cell r="M1432" t="str">
            <v>A</v>
          </cell>
          <cell r="N1432">
            <v>35065</v>
          </cell>
          <cell r="P1432">
            <v>25</v>
          </cell>
          <cell r="Q1432" t="str">
            <v>O</v>
          </cell>
          <cell r="R1432" t="str">
            <v>N</v>
          </cell>
          <cell r="S1432">
            <v>0</v>
          </cell>
          <cell r="T1432" t="str">
            <v>M</v>
          </cell>
          <cell r="U1432" t="str">
            <v>RMAIDI LATIFA BENT HAJ ALI</v>
          </cell>
          <cell r="X1432">
            <v>4</v>
          </cell>
          <cell r="Y1432">
            <v>2</v>
          </cell>
          <cell r="AB1432" t="str">
            <v>X</v>
          </cell>
          <cell r="AC1432" t="str">
            <v>X</v>
          </cell>
          <cell r="AD1432" t="str">
            <v>X</v>
          </cell>
          <cell r="AH1432" t="str">
            <v>O</v>
          </cell>
          <cell r="AI1432" t="str">
            <v>N</v>
          </cell>
          <cell r="AK1432" t="str">
            <v>13 IMMEUBLE CASSOU OCP - KHGA</v>
          </cell>
          <cell r="AL1432" t="str">
            <v>4 A.S</v>
          </cell>
          <cell r="AP1432" t="str">
            <v>Q 800006</v>
          </cell>
          <cell r="AQ1432">
            <v>0</v>
          </cell>
          <cell r="AR1432" t="str">
            <v>B</v>
          </cell>
          <cell r="AS1432" t="str">
            <v>C I H . KHGA</v>
          </cell>
          <cell r="AT1432" t="str">
            <v>7290745211004700</v>
          </cell>
          <cell r="AU1432" t="str">
            <v>/  /</v>
          </cell>
          <cell r="AW1432">
            <v>38353</v>
          </cell>
          <cell r="AZ1432" t="str">
            <v>K</v>
          </cell>
          <cell r="BA1432" t="str">
            <v>2</v>
          </cell>
          <cell r="BB1432">
            <v>1</v>
          </cell>
          <cell r="BC1432" t="str">
            <v>N</v>
          </cell>
          <cell r="BD1432">
            <v>0</v>
          </cell>
          <cell r="BE1432" t="str">
            <v>M</v>
          </cell>
          <cell r="BF1432" t="str">
            <v>N</v>
          </cell>
          <cell r="BG1432">
            <v>1</v>
          </cell>
          <cell r="BH1432">
            <v>38534</v>
          </cell>
          <cell r="BI1432" t="str">
            <v>O</v>
          </cell>
        </row>
        <row r="1433">
          <cell r="A1433">
            <v>79312</v>
          </cell>
          <cell r="B1433">
            <v>406</v>
          </cell>
          <cell r="C1433" t="str">
            <v>X5050</v>
          </cell>
          <cell r="D1433" t="str">
            <v>BITIT</v>
          </cell>
          <cell r="E1433" t="str">
            <v>NOUREDDINE</v>
          </cell>
          <cell r="F1433">
            <v>20595</v>
          </cell>
          <cell r="G1433" t="str">
            <v>1</v>
          </cell>
          <cell r="H1433" t="str">
            <v>KHOURIBGA</v>
          </cell>
          <cell r="I1433" t="str">
            <v>F</v>
          </cell>
          <cell r="J1433">
            <v>29068</v>
          </cell>
          <cell r="K1433">
            <v>35431</v>
          </cell>
          <cell r="L1433" t="str">
            <v>51</v>
          </cell>
          <cell r="M1433" t="str">
            <v>A</v>
          </cell>
          <cell r="N1433">
            <v>35431</v>
          </cell>
          <cell r="O1433">
            <v>0</v>
          </cell>
          <cell r="P1433">
            <v>23</v>
          </cell>
          <cell r="Q1433" t="str">
            <v>O</v>
          </cell>
          <cell r="R1433" t="str">
            <v>N</v>
          </cell>
          <cell r="S1433">
            <v>0</v>
          </cell>
          <cell r="T1433" t="str">
            <v>M</v>
          </cell>
          <cell r="U1433" t="str">
            <v>SAOUDI FATIMA BENT LAHCEN</v>
          </cell>
          <cell r="X1433">
            <v>5</v>
          </cell>
          <cell r="Y1433">
            <v>5</v>
          </cell>
          <cell r="AB1433" t="str">
            <v>X</v>
          </cell>
          <cell r="AC1433" t="str">
            <v>X</v>
          </cell>
          <cell r="AD1433" t="str">
            <v>X</v>
          </cell>
          <cell r="AH1433" t="str">
            <v>O</v>
          </cell>
          <cell r="AI1433" t="str">
            <v>N</v>
          </cell>
          <cell r="AK1433" t="str">
            <v>05 RUE IBN KHALDOUN OCP - KHOURIBGA</v>
          </cell>
          <cell r="AL1433" t="str">
            <v>7 A.S MATHS TEC</v>
          </cell>
          <cell r="AM1433" t="str">
            <v>C.E.S.M  . E.M.M</v>
          </cell>
          <cell r="AN1433" t="str">
            <v>49═31═49</v>
          </cell>
          <cell r="AO1433" t="str">
            <v>1199</v>
          </cell>
          <cell r="AP1433" t="str">
            <v>H 157784</v>
          </cell>
          <cell r="AQ1433">
            <v>0</v>
          </cell>
          <cell r="AR1433" t="str">
            <v>B</v>
          </cell>
          <cell r="AS1433" t="str">
            <v>B.M.C.I  KHGA</v>
          </cell>
          <cell r="AT1433" t="str">
            <v>02820892405301</v>
          </cell>
          <cell r="AU1433" t="str">
            <v>/  /</v>
          </cell>
          <cell r="AW1433">
            <v>41073</v>
          </cell>
          <cell r="AX1433">
            <v>41073</v>
          </cell>
          <cell r="AZ1433" t="str">
            <v>M</v>
          </cell>
          <cell r="BA1433" t="str">
            <v>2</v>
          </cell>
          <cell r="BB1433">
            <v>1</v>
          </cell>
          <cell r="BD1433">
            <v>0</v>
          </cell>
          <cell r="BE1433" t="str">
            <v>M</v>
          </cell>
          <cell r="BF1433" t="str">
            <v>N</v>
          </cell>
          <cell r="BG1433">
            <v>1</v>
          </cell>
          <cell r="BH1433">
            <v>39083</v>
          </cell>
          <cell r="BI1433" t="str">
            <v>N</v>
          </cell>
        </row>
        <row r="1434">
          <cell r="A1434">
            <v>90667</v>
          </cell>
          <cell r="B1434">
            <v>414</v>
          </cell>
          <cell r="C1434" t="str">
            <v>X4210</v>
          </cell>
          <cell r="D1434" t="str">
            <v>BYA</v>
          </cell>
          <cell r="E1434" t="str">
            <v>SALAH</v>
          </cell>
          <cell r="F1434">
            <v>20636</v>
          </cell>
          <cell r="H1434" t="str">
            <v>BENI AMIR EST - BENI MELLAL</v>
          </cell>
          <cell r="I1434" t="str">
            <v>F</v>
          </cell>
          <cell r="J1434">
            <v>29803</v>
          </cell>
          <cell r="K1434">
            <v>37043</v>
          </cell>
          <cell r="L1434" t="str">
            <v>42</v>
          </cell>
          <cell r="M1434" t="str">
            <v>A</v>
          </cell>
          <cell r="N1434">
            <v>37043</v>
          </cell>
          <cell r="P1434">
            <v>21</v>
          </cell>
          <cell r="Q1434" t="str">
            <v>O</v>
          </cell>
          <cell r="R1434" t="str">
            <v>N</v>
          </cell>
          <cell r="S1434">
            <v>0</v>
          </cell>
          <cell r="T1434" t="str">
            <v>M</v>
          </cell>
          <cell r="U1434" t="str">
            <v>FILAHI HALIMA BENT MOHAMED</v>
          </cell>
          <cell r="X1434">
            <v>4</v>
          </cell>
          <cell r="Y1434">
            <v>4</v>
          </cell>
          <cell r="AB1434" t="str">
            <v>X</v>
          </cell>
          <cell r="AC1434" t="str">
            <v>X</v>
          </cell>
          <cell r="AD1434" t="str">
            <v>X</v>
          </cell>
          <cell r="AE1434" t="str">
            <v>MIN.AGRICULTURE</v>
          </cell>
          <cell r="AH1434" t="str">
            <v>N</v>
          </cell>
          <cell r="AI1434" t="str">
            <v>N</v>
          </cell>
          <cell r="AK1434" t="str">
            <v>359.YASMINE 1 NAHDA KHOURIBGA</v>
          </cell>
          <cell r="AL1434" t="str">
            <v>7 A.S.SC.EXP.</v>
          </cell>
          <cell r="AM1434" t="str">
            <v>CEP.CES.EMM</v>
          </cell>
          <cell r="AP1434" t="str">
            <v>I 41122</v>
          </cell>
          <cell r="AQ1434">
            <v>0</v>
          </cell>
          <cell r="AR1434" t="str">
            <v>B</v>
          </cell>
          <cell r="AS1434" t="str">
            <v>CR.MAROC - KHGA</v>
          </cell>
          <cell r="AT1434" t="str">
            <v>082001048051</v>
          </cell>
          <cell r="AU1434" t="str">
            <v>/  /</v>
          </cell>
          <cell r="AW1434">
            <v>39814</v>
          </cell>
          <cell r="BA1434" t="str">
            <v>2</v>
          </cell>
          <cell r="BB1434">
            <v>1</v>
          </cell>
          <cell r="BD1434">
            <v>0</v>
          </cell>
          <cell r="BE1434" t="str">
            <v>M</v>
          </cell>
          <cell r="BF1434" t="str">
            <v>N</v>
          </cell>
          <cell r="BG1434">
            <v>1</v>
          </cell>
          <cell r="BH1434">
            <v>39814</v>
          </cell>
          <cell r="BI1434" t="str">
            <v>N</v>
          </cell>
        </row>
        <row r="1435">
          <cell r="A1435">
            <v>91481</v>
          </cell>
          <cell r="B1435">
            <v>412</v>
          </cell>
          <cell r="C1435" t="str">
            <v>X4036</v>
          </cell>
          <cell r="D1435" t="str">
            <v>GUEZRI</v>
          </cell>
          <cell r="E1435" t="str">
            <v>MOHAMMED</v>
          </cell>
          <cell r="F1435">
            <v>22143</v>
          </cell>
          <cell r="G1435" t="str">
            <v>1</v>
          </cell>
          <cell r="H1435" t="str">
            <v>OULED BHAR KBAR KHOURIBGA</v>
          </cell>
          <cell r="I1435" t="str">
            <v>F</v>
          </cell>
          <cell r="J1435">
            <v>31260</v>
          </cell>
          <cell r="K1435">
            <v>36526</v>
          </cell>
          <cell r="L1435" t="str">
            <v>42</v>
          </cell>
          <cell r="M1435" t="str">
            <v>A</v>
          </cell>
          <cell r="N1435">
            <v>36526</v>
          </cell>
          <cell r="P1435">
            <v>17</v>
          </cell>
          <cell r="Q1435" t="str">
            <v>O</v>
          </cell>
          <cell r="R1435" t="str">
            <v>N</v>
          </cell>
          <cell r="S1435">
            <v>0</v>
          </cell>
          <cell r="T1435" t="str">
            <v>M</v>
          </cell>
          <cell r="U1435" t="str">
            <v>BOUDSILA AMAL BT MOHAMED</v>
          </cell>
          <cell r="X1435">
            <v>2</v>
          </cell>
          <cell r="Y1435">
            <v>2</v>
          </cell>
          <cell r="AB1435" t="str">
            <v>X</v>
          </cell>
          <cell r="AC1435" t="str">
            <v>X</v>
          </cell>
          <cell r="AD1435" t="str">
            <v>X</v>
          </cell>
          <cell r="AH1435" t="str">
            <v>O</v>
          </cell>
          <cell r="AI1435" t="str">
            <v>N</v>
          </cell>
          <cell r="AK1435" t="str">
            <v>23 RUE EL ANOUAR OCP  KHGA</v>
          </cell>
          <cell r="AL1435" t="str">
            <v>7 A.S .SC.EXP.</v>
          </cell>
          <cell r="AM1435" t="str">
            <v>BAC.EMM</v>
          </cell>
          <cell r="AP1435" t="str">
            <v>Q 55887</v>
          </cell>
          <cell r="AQ1435">
            <v>0</v>
          </cell>
          <cell r="AR1435" t="str">
            <v>B</v>
          </cell>
          <cell r="AS1435" t="str">
            <v>B.M.C.E KHGA</v>
          </cell>
          <cell r="AT1435" t="str">
            <v>40001200000844345</v>
          </cell>
          <cell r="AU1435" t="str">
            <v>/  /</v>
          </cell>
          <cell r="AW1435">
            <v>43265</v>
          </cell>
          <cell r="AX1435">
            <v>43265</v>
          </cell>
          <cell r="BA1435" t="str">
            <v>2</v>
          </cell>
          <cell r="BB1435">
            <v>1</v>
          </cell>
          <cell r="BD1435">
            <v>0</v>
          </cell>
          <cell r="BE1435" t="str">
            <v>M</v>
          </cell>
          <cell r="BG1435">
            <v>1</v>
          </cell>
          <cell r="BH1435">
            <v>41275</v>
          </cell>
          <cell r="BI1435" t="str">
            <v>N</v>
          </cell>
        </row>
        <row r="1436">
          <cell r="A1436">
            <v>87420</v>
          </cell>
          <cell r="B1436">
            <v>411</v>
          </cell>
          <cell r="C1436" t="str">
            <v>C6152</v>
          </cell>
          <cell r="D1436" t="str">
            <v>BENCHAREF</v>
          </cell>
          <cell r="E1436" t="str">
            <v>MOHAMMED</v>
          </cell>
          <cell r="F1436">
            <v>21731</v>
          </cell>
          <cell r="H1436" t="str">
            <v>BEN SLIMANE</v>
          </cell>
          <cell r="I1436" t="str">
            <v>F</v>
          </cell>
          <cell r="J1436">
            <v>31495</v>
          </cell>
          <cell r="K1436">
            <v>33270</v>
          </cell>
          <cell r="L1436" t="str">
            <v>32</v>
          </cell>
          <cell r="M1436" t="str">
            <v>A</v>
          </cell>
          <cell r="N1436">
            <v>33270</v>
          </cell>
          <cell r="O1436">
            <v>0</v>
          </cell>
          <cell r="P1436">
            <v>17</v>
          </cell>
          <cell r="Q1436" t="str">
            <v>O</v>
          </cell>
          <cell r="R1436" t="str">
            <v>N</v>
          </cell>
          <cell r="S1436">
            <v>0</v>
          </cell>
          <cell r="T1436" t="str">
            <v>M</v>
          </cell>
          <cell r="U1436" t="str">
            <v>KHADIJA BENT ZAANOUNI</v>
          </cell>
          <cell r="X1436">
            <v>3</v>
          </cell>
          <cell r="Y1436">
            <v>3</v>
          </cell>
          <cell r="Z1436" t="str">
            <v>N</v>
          </cell>
          <cell r="AB1436" t="str">
            <v>X</v>
          </cell>
          <cell r="AC1436" t="str">
            <v>X</v>
          </cell>
          <cell r="AD1436" t="str">
            <v>X</v>
          </cell>
          <cell r="AH1436" t="str">
            <v>N</v>
          </cell>
          <cell r="AI1436" t="str">
            <v>N</v>
          </cell>
          <cell r="AK1436" t="str">
            <v>112 HAY IQBAL II - KHOURIBGA</v>
          </cell>
          <cell r="AL1436" t="str">
            <v>7 A.S SC.</v>
          </cell>
          <cell r="AM1436" t="str">
            <v>ITA.CFO</v>
          </cell>
          <cell r="AP1436" t="str">
            <v>TO 107096</v>
          </cell>
          <cell r="AQ1436">
            <v>0</v>
          </cell>
          <cell r="AR1436" t="str">
            <v>B</v>
          </cell>
          <cell r="AS1436" t="str">
            <v>B.M.C.I  KHGA</v>
          </cell>
          <cell r="AT1436" t="str">
            <v>0282121105030100001</v>
          </cell>
          <cell r="AU1436" t="str">
            <v>/  /</v>
          </cell>
          <cell r="AW1436">
            <v>41091</v>
          </cell>
          <cell r="BA1436" t="str">
            <v>1</v>
          </cell>
          <cell r="BB1436">
            <v>1</v>
          </cell>
          <cell r="BD1436">
            <v>0</v>
          </cell>
          <cell r="BE1436" t="str">
            <v>M</v>
          </cell>
          <cell r="BG1436">
            <v>1</v>
          </cell>
          <cell r="BH1436">
            <v>41091</v>
          </cell>
        </row>
        <row r="1437">
          <cell r="A1437">
            <v>90221</v>
          </cell>
          <cell r="B1437">
            <v>401</v>
          </cell>
          <cell r="C1437" t="str">
            <v>X2601</v>
          </cell>
          <cell r="D1437" t="str">
            <v>FARID</v>
          </cell>
          <cell r="E1437" t="str">
            <v>BOUCHAIB</v>
          </cell>
          <cell r="F1437">
            <v>18600</v>
          </cell>
          <cell r="G1437" t="str">
            <v>1</v>
          </cell>
          <cell r="H1437" t="str">
            <v>KHOURIBGA</v>
          </cell>
          <cell r="I1437" t="str">
            <v>D</v>
          </cell>
          <cell r="J1437">
            <v>27311</v>
          </cell>
          <cell r="K1437">
            <v>35065</v>
          </cell>
          <cell r="L1437" t="str">
            <v>42</v>
          </cell>
          <cell r="M1437" t="str">
            <v>B</v>
          </cell>
          <cell r="N1437">
            <v>35065</v>
          </cell>
          <cell r="P1437">
            <v>28</v>
          </cell>
          <cell r="Q1437" t="str">
            <v>N</v>
          </cell>
          <cell r="R1437" t="str">
            <v>N</v>
          </cell>
          <cell r="S1437">
            <v>0</v>
          </cell>
          <cell r="T1437" t="str">
            <v>M</v>
          </cell>
          <cell r="U1437" t="str">
            <v>HAIMER ES-SAADIA BENT MOHAMED</v>
          </cell>
          <cell r="X1437">
            <v>4</v>
          </cell>
          <cell r="Y1437">
            <v>4</v>
          </cell>
          <cell r="AB1437" t="str">
            <v>X</v>
          </cell>
          <cell r="AC1437" t="str">
            <v>X</v>
          </cell>
          <cell r="AD1437" t="str">
            <v>X</v>
          </cell>
          <cell r="AE1437" t="str">
            <v>MINI.EDUC.NAT.</v>
          </cell>
          <cell r="AH1437" t="str">
            <v>N</v>
          </cell>
          <cell r="AI1437" t="str">
            <v>N</v>
          </cell>
          <cell r="AK1437" t="str">
            <v>541 BLOC 2 KHOUADRIA JDAD KHOURIBGA</v>
          </cell>
          <cell r="AL1437" t="str">
            <v>1 A.DE FAC.</v>
          </cell>
          <cell r="AM1437" t="str">
            <v>BAC LETTRES.</v>
          </cell>
          <cell r="AP1437" t="str">
            <v>Q 13774</v>
          </cell>
          <cell r="AQ1437">
            <v>0</v>
          </cell>
          <cell r="AR1437" t="str">
            <v>B</v>
          </cell>
          <cell r="AS1437" t="str">
            <v>POPULAIRE.KHGA</v>
          </cell>
          <cell r="AT1437" t="str">
            <v>2111112762800006</v>
          </cell>
          <cell r="AU1437" t="str">
            <v>/  /</v>
          </cell>
          <cell r="AW1437">
            <v>38169</v>
          </cell>
          <cell r="BA1437" t="str">
            <v>2</v>
          </cell>
          <cell r="BB1437">
            <v>1</v>
          </cell>
          <cell r="BD1437">
            <v>0</v>
          </cell>
          <cell r="BE1437" t="str">
            <v>M</v>
          </cell>
          <cell r="BF1437" t="str">
            <v>N</v>
          </cell>
          <cell r="BG1437">
            <v>0</v>
          </cell>
          <cell r="BH1437">
            <v>38353</v>
          </cell>
          <cell r="BI1437" t="str">
            <v>N</v>
          </cell>
        </row>
        <row r="1438">
          <cell r="A1438">
            <v>90558</v>
          </cell>
          <cell r="B1438">
            <v>464</v>
          </cell>
          <cell r="C1438" t="str">
            <v>X3211</v>
          </cell>
          <cell r="D1438" t="str">
            <v>ADDIOUI</v>
          </cell>
          <cell r="E1438" t="str">
            <v>MOHAMED</v>
          </cell>
          <cell r="F1438">
            <v>20703</v>
          </cell>
          <cell r="H1438" t="str">
            <v>EL KSIBA - BENI MELLAL</v>
          </cell>
          <cell r="I1438" t="str">
            <v>F</v>
          </cell>
          <cell r="J1438">
            <v>29994</v>
          </cell>
          <cell r="K1438">
            <v>31625</v>
          </cell>
          <cell r="L1438" t="str">
            <v>41</v>
          </cell>
          <cell r="M1438" t="str">
            <v>A</v>
          </cell>
          <cell r="N1438">
            <v>31625</v>
          </cell>
          <cell r="P1438">
            <v>21</v>
          </cell>
          <cell r="Q1438" t="str">
            <v>O</v>
          </cell>
          <cell r="R1438" t="str">
            <v>N</v>
          </cell>
          <cell r="S1438">
            <v>0</v>
          </cell>
          <cell r="T1438" t="str">
            <v>M</v>
          </cell>
          <cell r="U1438" t="str">
            <v>ADJAR SOUAD BT HAMOU</v>
          </cell>
          <cell r="X1438">
            <v>5</v>
          </cell>
          <cell r="Y1438">
            <v>4</v>
          </cell>
          <cell r="AB1438" t="str">
            <v>X</v>
          </cell>
          <cell r="AC1438" t="str">
            <v>X</v>
          </cell>
          <cell r="AD1438" t="str">
            <v>X</v>
          </cell>
          <cell r="AH1438" t="str">
            <v>O</v>
          </cell>
          <cell r="AI1438" t="str">
            <v>N</v>
          </cell>
          <cell r="AK1438" t="str">
            <v>23 BLOC 22 NOUVEAUX LOGEMENT OCP KHGA</v>
          </cell>
          <cell r="AL1438" t="str">
            <v>1 A.FAC</v>
          </cell>
          <cell r="AM1438" t="str">
            <v>BAC.CFO.EMM</v>
          </cell>
          <cell r="AP1438" t="str">
            <v>I 27244</v>
          </cell>
          <cell r="AQ1438">
            <v>0</v>
          </cell>
          <cell r="AR1438" t="str">
            <v>B</v>
          </cell>
          <cell r="AS1438" t="str">
            <v>POPULAIRE  KHGA</v>
          </cell>
          <cell r="AT1438" t="str">
            <v>2111113139300001</v>
          </cell>
          <cell r="AU1438" t="str">
            <v>/  /</v>
          </cell>
          <cell r="AW1438">
            <v>39995</v>
          </cell>
          <cell r="BA1438" t="str">
            <v>2</v>
          </cell>
          <cell r="BB1438">
            <v>1</v>
          </cell>
          <cell r="BC1438" t="str">
            <v>O</v>
          </cell>
          <cell r="BD1438">
            <v>0</v>
          </cell>
          <cell r="BE1438" t="str">
            <v>M</v>
          </cell>
          <cell r="BF1438" t="str">
            <v>N</v>
          </cell>
          <cell r="BG1438">
            <v>5</v>
          </cell>
          <cell r="BH1438">
            <v>39995</v>
          </cell>
          <cell r="BI1438" t="str">
            <v>N</v>
          </cell>
        </row>
        <row r="1439">
          <cell r="A1439">
            <v>66231</v>
          </cell>
          <cell r="B1439">
            <v>432</v>
          </cell>
          <cell r="C1439" t="str">
            <v>C6050</v>
          </cell>
          <cell r="D1439" t="str">
            <v>EL YAMNI</v>
          </cell>
          <cell r="E1439" t="str">
            <v>MOHAMMED</v>
          </cell>
          <cell r="F1439">
            <v>19540</v>
          </cell>
          <cell r="G1439" t="str">
            <v>6</v>
          </cell>
          <cell r="H1439" t="str">
            <v>HATTANE</v>
          </cell>
          <cell r="I1439" t="str">
            <v>D</v>
          </cell>
          <cell r="J1439">
            <v>27251</v>
          </cell>
          <cell r="K1439">
            <v>35065</v>
          </cell>
          <cell r="L1439" t="str">
            <v>32</v>
          </cell>
          <cell r="M1439" t="str">
            <v>A</v>
          </cell>
          <cell r="N1439">
            <v>35065</v>
          </cell>
          <cell r="O1439">
            <v>0</v>
          </cell>
          <cell r="P1439">
            <v>28</v>
          </cell>
          <cell r="Q1439" t="str">
            <v>O</v>
          </cell>
          <cell r="R1439" t="str">
            <v>N</v>
          </cell>
          <cell r="S1439">
            <v>0</v>
          </cell>
          <cell r="T1439" t="str">
            <v>M</v>
          </cell>
          <cell r="U1439" t="str">
            <v>ED DADSSI MOULOUDIA BENT Med</v>
          </cell>
          <cell r="X1439">
            <v>2</v>
          </cell>
          <cell r="Y1439">
            <v>1</v>
          </cell>
          <cell r="AB1439" t="str">
            <v>X</v>
          </cell>
          <cell r="AC1439" t="str">
            <v>X</v>
          </cell>
          <cell r="AD1439" t="str">
            <v>X</v>
          </cell>
          <cell r="AH1439" t="str">
            <v>N</v>
          </cell>
          <cell r="AI1439" t="str">
            <v>N</v>
          </cell>
          <cell r="AK1439" t="str">
            <v>18 BLOC A RUE SOUDAN NAHDA KHGA</v>
          </cell>
          <cell r="AL1439" t="str">
            <v>3AS</v>
          </cell>
          <cell r="AM1439" t="str">
            <v>CFO</v>
          </cell>
          <cell r="AP1439" t="str">
            <v>Q 60397</v>
          </cell>
          <cell r="AQ1439">
            <v>0</v>
          </cell>
          <cell r="AR1439" t="str">
            <v>B</v>
          </cell>
          <cell r="AS1439" t="str">
            <v>POPULAIRE KHGA</v>
          </cell>
          <cell r="AT1439" t="str">
            <v>2111112879020001</v>
          </cell>
          <cell r="AU1439" t="str">
            <v>/  /</v>
          </cell>
          <cell r="AW1439">
            <v>37803</v>
          </cell>
          <cell r="AY1439" t="str">
            <v>AB</v>
          </cell>
          <cell r="AZ1439" t="str">
            <v>R</v>
          </cell>
          <cell r="BA1439" t="str">
            <v>2</v>
          </cell>
          <cell r="BB1439">
            <v>1</v>
          </cell>
          <cell r="BD1439">
            <v>0</v>
          </cell>
          <cell r="BE1439" t="str">
            <v>M</v>
          </cell>
          <cell r="BF1439" t="str">
            <v>N</v>
          </cell>
          <cell r="BG1439">
            <v>1</v>
          </cell>
          <cell r="BH1439">
            <v>37803</v>
          </cell>
          <cell r="BI1439" t="str">
            <v>O</v>
          </cell>
        </row>
        <row r="1440">
          <cell r="A1440">
            <v>85261</v>
          </cell>
          <cell r="B1440">
            <v>413</v>
          </cell>
          <cell r="C1440" t="str">
            <v>C6200</v>
          </cell>
          <cell r="D1440" t="str">
            <v>SMAHI</v>
          </cell>
          <cell r="E1440" t="str">
            <v>SAID</v>
          </cell>
          <cell r="F1440">
            <v>22618</v>
          </cell>
          <cell r="G1440" t="str">
            <v>1</v>
          </cell>
          <cell r="H1440" t="str">
            <v>KHOURIBGA</v>
          </cell>
          <cell r="I1440" t="str">
            <v>F</v>
          </cell>
          <cell r="J1440">
            <v>30879</v>
          </cell>
          <cell r="K1440">
            <v>33573</v>
          </cell>
          <cell r="L1440" t="str">
            <v>32</v>
          </cell>
          <cell r="M1440" t="str">
            <v>A</v>
          </cell>
          <cell r="N1440">
            <v>33573</v>
          </cell>
          <cell r="P1440">
            <v>18</v>
          </cell>
          <cell r="Q1440" t="str">
            <v>O</v>
          </cell>
          <cell r="R1440" t="str">
            <v>N</v>
          </cell>
          <cell r="S1440">
            <v>0</v>
          </cell>
          <cell r="T1440" t="str">
            <v>M</v>
          </cell>
          <cell r="U1440" t="str">
            <v>KABIL KHADIJA BENT AHMED</v>
          </cell>
          <cell r="X1440">
            <v>4</v>
          </cell>
          <cell r="Y1440">
            <v>4</v>
          </cell>
          <cell r="AB1440" t="str">
            <v>X</v>
          </cell>
          <cell r="AC1440" t="str">
            <v>X</v>
          </cell>
          <cell r="AD1440" t="str">
            <v>X</v>
          </cell>
          <cell r="AH1440" t="str">
            <v>N</v>
          </cell>
          <cell r="AI1440" t="str">
            <v>N</v>
          </cell>
          <cell r="AK1440" t="str">
            <v>634 NOUVEAU TACHERON OCP - BOUJINIBA</v>
          </cell>
          <cell r="AL1440" t="str">
            <v>5AS</v>
          </cell>
          <cell r="AM1440" t="str">
            <v>CQP . CFP</v>
          </cell>
          <cell r="AP1440" t="str">
            <v>B 442286</v>
          </cell>
          <cell r="AQ1440">
            <v>0</v>
          </cell>
          <cell r="AR1440" t="str">
            <v>B</v>
          </cell>
          <cell r="AS1440" t="str">
            <v>B.M.C.E - KHGA</v>
          </cell>
          <cell r="AT1440" t="str">
            <v>400012000001109155</v>
          </cell>
          <cell r="AU1440" t="str">
            <v>/  /</v>
          </cell>
          <cell r="AW1440">
            <v>40909</v>
          </cell>
          <cell r="BA1440" t="str">
            <v>2</v>
          </cell>
          <cell r="BB1440">
            <v>1</v>
          </cell>
          <cell r="BD1440">
            <v>0</v>
          </cell>
          <cell r="BE1440" t="str">
            <v>M</v>
          </cell>
          <cell r="BF1440" t="str">
            <v>N</v>
          </cell>
          <cell r="BG1440">
            <v>50</v>
          </cell>
          <cell r="BH1440">
            <v>41091</v>
          </cell>
          <cell r="BI1440" t="str">
            <v>O</v>
          </cell>
        </row>
        <row r="1441">
          <cell r="A1441">
            <v>79674</v>
          </cell>
          <cell r="B1441">
            <v>461</v>
          </cell>
          <cell r="C1441" t="str">
            <v>C6001</v>
          </cell>
          <cell r="D1441" t="str">
            <v>SELLAMI</v>
          </cell>
          <cell r="E1441" t="str">
            <v>MOHAMED</v>
          </cell>
          <cell r="F1441">
            <v>19099</v>
          </cell>
          <cell r="G1441" t="str">
            <v>2</v>
          </cell>
          <cell r="H1441" t="str">
            <v>OUED-ZEM</v>
          </cell>
          <cell r="I1441" t="str">
            <v>F</v>
          </cell>
          <cell r="J1441">
            <v>29388</v>
          </cell>
          <cell r="K1441">
            <v>36526</v>
          </cell>
          <cell r="L1441" t="str">
            <v>32</v>
          </cell>
          <cell r="M1441" t="str">
            <v>A</v>
          </cell>
          <cell r="N1441">
            <v>36526</v>
          </cell>
          <cell r="O1441">
            <v>0</v>
          </cell>
          <cell r="P1441">
            <v>22</v>
          </cell>
          <cell r="Q1441" t="str">
            <v>O</v>
          </cell>
          <cell r="R1441" t="str">
            <v>N</v>
          </cell>
          <cell r="S1441">
            <v>0</v>
          </cell>
          <cell r="T1441" t="str">
            <v>M</v>
          </cell>
          <cell r="U1441" t="str">
            <v>BAHHAR FOUZIA BENT MOHAMED</v>
          </cell>
          <cell r="X1441">
            <v>3</v>
          </cell>
          <cell r="Y1441">
            <v>3</v>
          </cell>
          <cell r="AB1441" t="str">
            <v>X</v>
          </cell>
          <cell r="AC1441" t="str">
            <v>X</v>
          </cell>
          <cell r="AD1441" t="str">
            <v>X</v>
          </cell>
          <cell r="AH1441" t="str">
            <v>N</v>
          </cell>
          <cell r="AI1441" t="str">
            <v>N</v>
          </cell>
          <cell r="AK1441" t="str">
            <v>RUE 8 N°11 ELAAFOU - OUED ZEM</v>
          </cell>
          <cell r="AL1441" t="str">
            <v>3 AS</v>
          </cell>
          <cell r="AM1441" t="str">
            <v>CFP. CQP</v>
          </cell>
          <cell r="AP1441" t="str">
            <v>Q 97203</v>
          </cell>
          <cell r="AQ1441">
            <v>0</v>
          </cell>
          <cell r="AR1441" t="str">
            <v>B</v>
          </cell>
          <cell r="AS1441" t="str">
            <v>POPULAIRE.O-ZEM</v>
          </cell>
          <cell r="AT1441" t="str">
            <v>211113628463000500</v>
          </cell>
          <cell r="AU1441" t="str">
            <v>/  /</v>
          </cell>
          <cell r="AW1441">
            <v>39083</v>
          </cell>
          <cell r="BA1441" t="str">
            <v>2</v>
          </cell>
          <cell r="BB1441">
            <v>1</v>
          </cell>
          <cell r="BD1441">
            <v>0</v>
          </cell>
          <cell r="BE1441" t="str">
            <v>M</v>
          </cell>
          <cell r="BG1441">
            <v>31</v>
          </cell>
          <cell r="BH1441">
            <v>39083</v>
          </cell>
          <cell r="BI1441" t="str">
            <v>O</v>
          </cell>
        </row>
        <row r="1442">
          <cell r="A1442">
            <v>67587</v>
          </cell>
          <cell r="B1442">
            <v>418</v>
          </cell>
          <cell r="C1442" t="str">
            <v>C5070</v>
          </cell>
          <cell r="D1442" t="str">
            <v>QAIDA</v>
          </cell>
          <cell r="E1442" t="str">
            <v>AHMED</v>
          </cell>
          <cell r="F1442">
            <v>19814</v>
          </cell>
          <cell r="G1442" t="str">
            <v>1</v>
          </cell>
          <cell r="H1442" t="str">
            <v>KHOURIBGA</v>
          </cell>
          <cell r="I1442" t="str">
            <v>D</v>
          </cell>
          <cell r="J1442">
            <v>27500</v>
          </cell>
          <cell r="K1442">
            <v>32509</v>
          </cell>
          <cell r="L1442" t="str">
            <v>31</v>
          </cell>
          <cell r="M1442" t="str">
            <v>A</v>
          </cell>
          <cell r="N1442">
            <v>32509</v>
          </cell>
          <cell r="O1442">
            <v>6478.24</v>
          </cell>
          <cell r="P1442">
            <v>28</v>
          </cell>
          <cell r="Q1442" t="str">
            <v>O</v>
          </cell>
          <cell r="R1442" t="str">
            <v>N</v>
          </cell>
          <cell r="S1442">
            <v>0</v>
          </cell>
          <cell r="T1442" t="str">
            <v>M</v>
          </cell>
          <cell r="U1442" t="str">
            <v>EL MANSOURI MALIKA BT ABDAOUI</v>
          </cell>
          <cell r="X1442">
            <v>4</v>
          </cell>
          <cell r="Y1442">
            <v>3</v>
          </cell>
          <cell r="AB1442" t="str">
            <v>X</v>
          </cell>
          <cell r="AC1442" t="str">
            <v>X</v>
          </cell>
          <cell r="AD1442" t="str">
            <v>X</v>
          </cell>
          <cell r="AH1442" t="str">
            <v>N</v>
          </cell>
          <cell r="AI1442" t="str">
            <v>N</v>
          </cell>
          <cell r="AK1442" t="str">
            <v>RUE 5 N°50 QUARTIER BRIQUE KHOURIBGA</v>
          </cell>
          <cell r="AL1442" t="str">
            <v>4.A.S</v>
          </cell>
          <cell r="AM1442" t="str">
            <v>C.F.O(CONDUTEUR D'USINE)</v>
          </cell>
          <cell r="AP1442" t="str">
            <v>Q 68810</v>
          </cell>
          <cell r="AQ1442">
            <v>0</v>
          </cell>
          <cell r="AR1442" t="str">
            <v>B</v>
          </cell>
          <cell r="AS1442" t="str">
            <v>CRED.MAROC KHGA</v>
          </cell>
          <cell r="AT1442" t="str">
            <v>820010019492</v>
          </cell>
          <cell r="AU1442" t="str">
            <v>/  /</v>
          </cell>
          <cell r="AW1442">
            <v>38169</v>
          </cell>
          <cell r="BA1442" t="str">
            <v>1</v>
          </cell>
          <cell r="BB1442">
            <v>1</v>
          </cell>
          <cell r="BC1442" t="str">
            <v>O</v>
          </cell>
          <cell r="BD1442">
            <v>4</v>
          </cell>
          <cell r="BE1442" t="str">
            <v>M</v>
          </cell>
          <cell r="BF1442" t="str">
            <v>N</v>
          </cell>
          <cell r="BG1442">
            <v>1</v>
          </cell>
          <cell r="BH1442">
            <v>38169</v>
          </cell>
        </row>
        <row r="1443">
          <cell r="A1443">
            <v>97739</v>
          </cell>
          <cell r="B1443">
            <v>414</v>
          </cell>
          <cell r="C1443" t="str">
            <v>X6207</v>
          </cell>
          <cell r="D1443" t="str">
            <v>MARBOUH</v>
          </cell>
          <cell r="E1443" t="str">
            <v>BRAHIM</v>
          </cell>
          <cell r="F1443">
            <v>19540</v>
          </cell>
          <cell r="H1443" t="str">
            <v>TINGHIR - OUERZAZAT</v>
          </cell>
          <cell r="I1443" t="str">
            <v>F</v>
          </cell>
          <cell r="J1443">
            <v>27974</v>
          </cell>
          <cell r="K1443">
            <v>36526</v>
          </cell>
          <cell r="L1443" t="str">
            <v>52</v>
          </cell>
          <cell r="M1443" t="str">
            <v>A</v>
          </cell>
          <cell r="N1443">
            <v>36526</v>
          </cell>
          <cell r="P1443">
            <v>26</v>
          </cell>
          <cell r="Q1443" t="str">
            <v>O</v>
          </cell>
          <cell r="R1443" t="str">
            <v>N</v>
          </cell>
          <cell r="S1443">
            <v>0</v>
          </cell>
          <cell r="T1443" t="str">
            <v>M</v>
          </cell>
          <cell r="U1443" t="str">
            <v>MARBOUH FATIMA</v>
          </cell>
          <cell r="X1443">
            <v>1</v>
          </cell>
          <cell r="Y1443">
            <v>1</v>
          </cell>
          <cell r="AB1443" t="str">
            <v>N</v>
          </cell>
          <cell r="AC1443" t="str">
            <v>X</v>
          </cell>
          <cell r="AD1443" t="str">
            <v>X</v>
          </cell>
          <cell r="AH1443" t="str">
            <v>N</v>
          </cell>
          <cell r="AI1443" t="str">
            <v>N</v>
          </cell>
          <cell r="AK1443" t="str">
            <v>128 HAY EL HANA KHGA</v>
          </cell>
          <cell r="AL1443" t="str">
            <v>D.T.M</v>
          </cell>
          <cell r="AM1443" t="str">
            <v>CEP.CET.DTM.EMM</v>
          </cell>
          <cell r="AP1443" t="str">
            <v>SH 16218</v>
          </cell>
          <cell r="AQ1443">
            <v>0</v>
          </cell>
          <cell r="AR1443" t="str">
            <v>B</v>
          </cell>
          <cell r="AS1443" t="str">
            <v>C.I.H  KHGA</v>
          </cell>
          <cell r="AT1443" t="str">
            <v>7290679213004700</v>
          </cell>
          <cell r="AU1443" t="str">
            <v>/  /</v>
          </cell>
          <cell r="AW1443">
            <v>37987</v>
          </cell>
          <cell r="BA1443" t="str">
            <v>2</v>
          </cell>
          <cell r="BB1443">
            <v>1</v>
          </cell>
          <cell r="BC1443" t="str">
            <v>O</v>
          </cell>
          <cell r="BD1443">
            <v>0</v>
          </cell>
          <cell r="BE1443" t="str">
            <v>M</v>
          </cell>
          <cell r="BF1443" t="str">
            <v>N</v>
          </cell>
          <cell r="BG1443">
            <v>5</v>
          </cell>
          <cell r="BH1443">
            <v>37987</v>
          </cell>
          <cell r="BI1443" t="str">
            <v>O</v>
          </cell>
        </row>
        <row r="1444">
          <cell r="A1444">
            <v>96373</v>
          </cell>
          <cell r="B1444">
            <v>421</v>
          </cell>
          <cell r="C1444" t="str">
            <v>X6032</v>
          </cell>
          <cell r="D1444" t="str">
            <v>OUARRAK</v>
          </cell>
          <cell r="E1444" t="str">
            <v>ABBOU</v>
          </cell>
          <cell r="F1444">
            <v>19175</v>
          </cell>
          <cell r="G1444" t="str">
            <v>1</v>
          </cell>
          <cell r="H1444" t="str">
            <v>OULED BHAR KBAR KHOURIBGA</v>
          </cell>
          <cell r="I1444" t="str">
            <v>F</v>
          </cell>
          <cell r="J1444">
            <v>26042</v>
          </cell>
          <cell r="K1444">
            <v>36526</v>
          </cell>
          <cell r="L1444" t="str">
            <v>52</v>
          </cell>
          <cell r="M1444" t="str">
            <v>B</v>
          </cell>
          <cell r="N1444">
            <v>36526</v>
          </cell>
          <cell r="P1444">
            <v>32</v>
          </cell>
          <cell r="Q1444" t="str">
            <v>O</v>
          </cell>
          <cell r="R1444" t="str">
            <v>N</v>
          </cell>
          <cell r="S1444">
            <v>0</v>
          </cell>
          <cell r="T1444" t="str">
            <v>M</v>
          </cell>
          <cell r="U1444" t="str">
            <v>HABIBA BT EL MAATI BEN LEBSIR</v>
          </cell>
          <cell r="X1444">
            <v>5</v>
          </cell>
          <cell r="Y1444">
            <v>1</v>
          </cell>
          <cell r="AB1444" t="str">
            <v>X</v>
          </cell>
          <cell r="AC1444" t="str">
            <v>X</v>
          </cell>
          <cell r="AD1444" t="str">
            <v>X</v>
          </cell>
          <cell r="AH1444" t="str">
            <v>N</v>
          </cell>
          <cell r="AI1444" t="str">
            <v>N</v>
          </cell>
          <cell r="AK1444" t="str">
            <v>170 BLOC A LOT. EL WAHDA - OUED ZEM</v>
          </cell>
          <cell r="AL1444" t="str">
            <v>3 A.S</v>
          </cell>
          <cell r="AM1444" t="str">
            <v>CEP.CA</v>
          </cell>
          <cell r="AP1444" t="str">
            <v>QA 18462</v>
          </cell>
          <cell r="AQ1444">
            <v>0</v>
          </cell>
          <cell r="AR1444" t="str">
            <v>B</v>
          </cell>
          <cell r="AS1444" t="str">
            <v>B.M.C.I  O.ZEM</v>
          </cell>
          <cell r="AT1444" t="str">
            <v>253615036301</v>
          </cell>
          <cell r="AU1444" t="str">
            <v>/  /</v>
          </cell>
          <cell r="AW1444">
            <v>37438</v>
          </cell>
          <cell r="BA1444" t="str">
            <v>2</v>
          </cell>
          <cell r="BB1444">
            <v>1</v>
          </cell>
          <cell r="BC1444" t="str">
            <v>N</v>
          </cell>
          <cell r="BD1444">
            <v>0</v>
          </cell>
          <cell r="BE1444" t="str">
            <v>M</v>
          </cell>
          <cell r="BF1444" t="str">
            <v>N</v>
          </cell>
          <cell r="BG1444">
            <v>30</v>
          </cell>
          <cell r="BH1444">
            <v>37438</v>
          </cell>
          <cell r="BI1444" t="str">
            <v>O</v>
          </cell>
        </row>
        <row r="1445">
          <cell r="A1445">
            <v>21904</v>
          </cell>
          <cell r="B1445">
            <v>405</v>
          </cell>
          <cell r="C1445" t="str">
            <v>C6300</v>
          </cell>
          <cell r="D1445" t="str">
            <v>MAJIDI</v>
          </cell>
          <cell r="E1445" t="str">
            <v>EL RHAZOUANI</v>
          </cell>
          <cell r="F1445">
            <v>22097</v>
          </cell>
          <cell r="G1445" t="str">
            <v>4</v>
          </cell>
          <cell r="H1445" t="str">
            <v>BOULANOUAR</v>
          </cell>
          <cell r="I1445" t="str">
            <v>F</v>
          </cell>
          <cell r="J1445">
            <v>31891</v>
          </cell>
          <cell r="K1445">
            <v>35065</v>
          </cell>
          <cell r="L1445" t="str">
            <v>32</v>
          </cell>
          <cell r="M1445" t="str">
            <v>A</v>
          </cell>
          <cell r="N1445">
            <v>35065</v>
          </cell>
          <cell r="P1445">
            <v>16</v>
          </cell>
          <cell r="Q1445" t="str">
            <v>O</v>
          </cell>
          <cell r="R1445" t="str">
            <v>N</v>
          </cell>
          <cell r="S1445">
            <v>0</v>
          </cell>
          <cell r="T1445" t="str">
            <v>M</v>
          </cell>
          <cell r="U1445" t="str">
            <v>FACHKOUL BADIA</v>
          </cell>
          <cell r="X1445">
            <v>2</v>
          </cell>
          <cell r="Y1445">
            <v>2</v>
          </cell>
          <cell r="AB1445" t="str">
            <v>X</v>
          </cell>
          <cell r="AC1445" t="str">
            <v>X</v>
          </cell>
          <cell r="AD1445" t="str">
            <v>X</v>
          </cell>
          <cell r="AH1445" t="str">
            <v>N</v>
          </cell>
          <cell r="AI1445" t="str">
            <v>N</v>
          </cell>
          <cell r="AK1445" t="str">
            <v>715 VILLAGE O.C.P BOULANOIR</v>
          </cell>
          <cell r="AL1445" t="str">
            <v>1ERE ANNEE M-P</v>
          </cell>
          <cell r="AM1445" t="str">
            <v>BAC (SCIENCE MATH)</v>
          </cell>
          <cell r="AP1445" t="str">
            <v>Q 108814</v>
          </cell>
          <cell r="AQ1445">
            <v>0</v>
          </cell>
          <cell r="AR1445" t="str">
            <v>B</v>
          </cell>
          <cell r="AS1445" t="str">
            <v>BMCE - KHGA</v>
          </cell>
          <cell r="AT1445" t="str">
            <v>4000001200001250096</v>
          </cell>
          <cell r="AU1445" t="str">
            <v>/  /</v>
          </cell>
          <cell r="AW1445">
            <v>41640</v>
          </cell>
          <cell r="BA1445" t="str">
            <v>2</v>
          </cell>
          <cell r="BB1445">
            <v>0</v>
          </cell>
          <cell r="BC1445" t="str">
            <v>N</v>
          </cell>
          <cell r="BD1445">
            <v>0</v>
          </cell>
          <cell r="BE1445" t="str">
            <v>M</v>
          </cell>
          <cell r="BG1445">
            <v>40</v>
          </cell>
          <cell r="BH1445">
            <v>41640</v>
          </cell>
          <cell r="BI1445" t="str">
            <v>N</v>
          </cell>
        </row>
        <row r="1446">
          <cell r="A1446">
            <v>71952</v>
          </cell>
          <cell r="B1446">
            <v>400</v>
          </cell>
          <cell r="C1446" t="str">
            <v>C4152</v>
          </cell>
          <cell r="D1446" t="str">
            <v>IDAM</v>
          </cell>
          <cell r="E1446" t="str">
            <v>MOHAMED</v>
          </cell>
          <cell r="F1446">
            <v>19175</v>
          </cell>
          <cell r="G1446" t="str">
            <v>1</v>
          </cell>
          <cell r="H1446" t="str">
            <v>KHOURIBGA</v>
          </cell>
          <cell r="I1446" t="str">
            <v>D</v>
          </cell>
          <cell r="J1446">
            <v>29371</v>
          </cell>
          <cell r="K1446">
            <v>37012</v>
          </cell>
          <cell r="L1446" t="str">
            <v>22</v>
          </cell>
          <cell r="M1446" t="str">
            <v>A</v>
          </cell>
          <cell r="N1446">
            <v>37012</v>
          </cell>
          <cell r="P1446">
            <v>22</v>
          </cell>
          <cell r="Q1446" t="str">
            <v>O</v>
          </cell>
          <cell r="R1446" t="str">
            <v>N</v>
          </cell>
          <cell r="S1446">
            <v>0</v>
          </cell>
          <cell r="T1446" t="str">
            <v>M</v>
          </cell>
          <cell r="U1446" t="str">
            <v>MOUHALIL ESSADIA</v>
          </cell>
          <cell r="X1446">
            <v>3</v>
          </cell>
          <cell r="Y1446">
            <v>3</v>
          </cell>
          <cell r="AB1446" t="str">
            <v>X</v>
          </cell>
          <cell r="AC1446" t="str">
            <v>X</v>
          </cell>
          <cell r="AD1446" t="str">
            <v>X</v>
          </cell>
          <cell r="AH1446" t="str">
            <v>N</v>
          </cell>
          <cell r="AI1446" t="str">
            <v>N</v>
          </cell>
          <cell r="AK1446" t="str">
            <v>703 VILLAGE O.C.P - BOULANOIR</v>
          </cell>
          <cell r="AL1446" t="str">
            <v>CM2</v>
          </cell>
          <cell r="AP1446" t="str">
            <v>Q 101457</v>
          </cell>
          <cell r="AQ1446">
            <v>0</v>
          </cell>
          <cell r="AR1446" t="str">
            <v>B</v>
          </cell>
          <cell r="AS1446" t="str">
            <v>B.M.C.E - KHGA</v>
          </cell>
          <cell r="AT1446" t="str">
            <v>40001200000986256</v>
          </cell>
          <cell r="AU1446" t="str">
            <v>/  /</v>
          </cell>
          <cell r="AW1446">
            <v>39083</v>
          </cell>
          <cell r="AY1446" t="str">
            <v>A</v>
          </cell>
          <cell r="BA1446" t="str">
            <v>0</v>
          </cell>
          <cell r="BB1446">
            <v>1</v>
          </cell>
          <cell r="BC1446" t="str">
            <v>N</v>
          </cell>
          <cell r="BD1446">
            <v>0</v>
          </cell>
          <cell r="BE1446" t="str">
            <v>M</v>
          </cell>
          <cell r="BF1446" t="str">
            <v>N</v>
          </cell>
          <cell r="BG1446">
            <v>40</v>
          </cell>
          <cell r="BH1446">
            <v>39083</v>
          </cell>
        </row>
        <row r="1447">
          <cell r="A1447">
            <v>96507</v>
          </cell>
          <cell r="B1447">
            <v>403</v>
          </cell>
          <cell r="C1447" t="str">
            <v>X6050</v>
          </cell>
          <cell r="D1447" t="str">
            <v>LAMDEL</v>
          </cell>
          <cell r="E1447" t="str">
            <v>MOHAMED</v>
          </cell>
          <cell r="F1447">
            <v>19142</v>
          </cell>
          <cell r="G1447" t="str">
            <v>6</v>
          </cell>
          <cell r="H1447" t="str">
            <v>HATTANE - KHOURIBGA</v>
          </cell>
          <cell r="I1447" t="str">
            <v>F</v>
          </cell>
          <cell r="J1447">
            <v>26126</v>
          </cell>
          <cell r="K1447">
            <v>30164</v>
          </cell>
          <cell r="L1447" t="str">
            <v>52</v>
          </cell>
          <cell r="M1447" t="str">
            <v>A</v>
          </cell>
          <cell r="N1447">
            <v>30164</v>
          </cell>
          <cell r="P1447">
            <v>31</v>
          </cell>
          <cell r="Q1447" t="str">
            <v>O</v>
          </cell>
          <cell r="R1447" t="str">
            <v>N</v>
          </cell>
          <cell r="S1447">
            <v>0</v>
          </cell>
          <cell r="T1447" t="str">
            <v>M</v>
          </cell>
          <cell r="U1447" t="str">
            <v>AZERJAF FOUZIA BENT EL HABIB</v>
          </cell>
          <cell r="X1447">
            <v>4</v>
          </cell>
          <cell r="Y1447">
            <v>3</v>
          </cell>
          <cell r="AB1447" t="str">
            <v>X</v>
          </cell>
          <cell r="AC1447" t="str">
            <v>X</v>
          </cell>
          <cell r="AD1447" t="str">
            <v>X</v>
          </cell>
          <cell r="AH1447" t="str">
            <v>N</v>
          </cell>
          <cell r="AI1447" t="str">
            <v>O</v>
          </cell>
          <cell r="AJ1447">
            <v>30286</v>
          </cell>
          <cell r="AK1447" t="str">
            <v>161 CITE JAMILA - KHOURIBGA</v>
          </cell>
          <cell r="AL1447" t="str">
            <v>4 A.S</v>
          </cell>
          <cell r="AM1447" t="str">
            <v>CES.EMM</v>
          </cell>
          <cell r="AN1447" t="str">
            <v>56═37═21</v>
          </cell>
          <cell r="AO1447" t="str">
            <v>2539</v>
          </cell>
          <cell r="AP1447" t="str">
            <v>Q 11353</v>
          </cell>
          <cell r="AQ1447">
            <v>0</v>
          </cell>
          <cell r="AR1447" t="str">
            <v>B</v>
          </cell>
          <cell r="AS1447" t="str">
            <v>WAFA BANK KHGA</v>
          </cell>
          <cell r="AT1447" t="str">
            <v>1220301223481</v>
          </cell>
          <cell r="AU1447" t="str">
            <v>/  /</v>
          </cell>
          <cell r="AW1447">
            <v>37438</v>
          </cell>
          <cell r="BA1447" t="str">
            <v>2</v>
          </cell>
          <cell r="BB1447">
            <v>1</v>
          </cell>
          <cell r="BC1447" t="str">
            <v>N</v>
          </cell>
          <cell r="BD1447">
            <v>0</v>
          </cell>
          <cell r="BE1447" t="str">
            <v>M</v>
          </cell>
          <cell r="BF1447" t="str">
            <v>N</v>
          </cell>
          <cell r="BG1447">
            <v>1</v>
          </cell>
          <cell r="BH1447">
            <v>37438</v>
          </cell>
          <cell r="BI1447" t="str">
            <v>O</v>
          </cell>
        </row>
        <row r="1448">
          <cell r="A1448">
            <v>91971</v>
          </cell>
          <cell r="B1448">
            <v>421</v>
          </cell>
          <cell r="C1448" t="str">
            <v>X6032</v>
          </cell>
          <cell r="D1448" t="str">
            <v>HASSINI</v>
          </cell>
          <cell r="E1448" t="str">
            <v>ABDELKHALEK</v>
          </cell>
          <cell r="F1448">
            <v>22698</v>
          </cell>
          <cell r="H1448" t="str">
            <v>CASABLANCA</v>
          </cell>
          <cell r="I1448" t="str">
            <v>D</v>
          </cell>
          <cell r="J1448">
            <v>33451</v>
          </cell>
          <cell r="K1448">
            <v>36526</v>
          </cell>
          <cell r="L1448" t="str">
            <v>52</v>
          </cell>
          <cell r="M1448" t="str">
            <v>A</v>
          </cell>
          <cell r="N1448">
            <v>36526</v>
          </cell>
          <cell r="P1448">
            <v>11</v>
          </cell>
          <cell r="Q1448" t="str">
            <v>N</v>
          </cell>
          <cell r="R1448" t="str">
            <v>N</v>
          </cell>
          <cell r="S1448">
            <v>0</v>
          </cell>
          <cell r="T1448" t="str">
            <v>M</v>
          </cell>
          <cell r="U1448" t="str">
            <v>SAHEL MERYAM BENT AHMED</v>
          </cell>
          <cell r="X1448">
            <v>3</v>
          </cell>
          <cell r="Y1448">
            <v>3</v>
          </cell>
          <cell r="AB1448" t="str">
            <v>X</v>
          </cell>
          <cell r="AC1448" t="str">
            <v>X</v>
          </cell>
          <cell r="AD1448" t="str">
            <v>X</v>
          </cell>
          <cell r="AH1448" t="str">
            <v>O</v>
          </cell>
          <cell r="AI1448" t="str">
            <v>N</v>
          </cell>
          <cell r="AK1448" t="str">
            <v>03 IMMEUBLE KASSOU O.C.P - KHGA</v>
          </cell>
          <cell r="AL1448" t="str">
            <v>P 4</v>
          </cell>
          <cell r="AM1448" t="str">
            <v>LICENCE EN PHYSIQUE</v>
          </cell>
          <cell r="AP1448" t="str">
            <v>M 60960</v>
          </cell>
          <cell r="AQ1448">
            <v>0</v>
          </cell>
          <cell r="AR1448" t="str">
            <v>B</v>
          </cell>
          <cell r="AS1448" t="str">
            <v>B.M.C.E - KHGA</v>
          </cell>
          <cell r="AT1448" t="str">
            <v>400012000007185-36</v>
          </cell>
          <cell r="AU1448" t="str">
            <v>26/05/08</v>
          </cell>
          <cell r="AW1448">
            <v>42917</v>
          </cell>
          <cell r="AY1448" t="str">
            <v>O</v>
          </cell>
          <cell r="BA1448" t="str">
            <v>2</v>
          </cell>
          <cell r="BB1448">
            <v>1</v>
          </cell>
          <cell r="BC1448" t="str">
            <v>N</v>
          </cell>
          <cell r="BD1448">
            <v>0</v>
          </cell>
          <cell r="BE1448" t="str">
            <v>M</v>
          </cell>
          <cell r="BF1448" t="str">
            <v>N</v>
          </cell>
          <cell r="BG1448">
            <v>0</v>
          </cell>
          <cell r="BH1448">
            <v>42917</v>
          </cell>
          <cell r="BI1448" t="str">
            <v>N</v>
          </cell>
        </row>
        <row r="1449">
          <cell r="A1449">
            <v>91212</v>
          </cell>
          <cell r="B1449">
            <v>423</v>
          </cell>
          <cell r="C1449" t="str">
            <v>X4210</v>
          </cell>
          <cell r="D1449" t="str">
            <v>RAQUI</v>
          </cell>
          <cell r="E1449" t="str">
            <v>SAID</v>
          </cell>
          <cell r="F1449">
            <v>22827</v>
          </cell>
          <cell r="G1449" t="str">
            <v>2</v>
          </cell>
          <cell r="H1449" t="str">
            <v>BENI SEMIR OUED-ZEM</v>
          </cell>
          <cell r="I1449" t="str">
            <v>F</v>
          </cell>
          <cell r="J1449">
            <v>30886</v>
          </cell>
          <cell r="K1449">
            <v>35065</v>
          </cell>
          <cell r="L1449" t="str">
            <v>42</v>
          </cell>
          <cell r="M1449" t="str">
            <v>A</v>
          </cell>
          <cell r="N1449">
            <v>35065</v>
          </cell>
          <cell r="O1449">
            <v>0</v>
          </cell>
          <cell r="P1449">
            <v>18</v>
          </cell>
          <cell r="Q1449" t="str">
            <v>O</v>
          </cell>
          <cell r="R1449" t="str">
            <v>N</v>
          </cell>
          <cell r="S1449">
            <v>0</v>
          </cell>
          <cell r="T1449" t="str">
            <v>M</v>
          </cell>
          <cell r="U1449" t="str">
            <v>MRISS SIHAM</v>
          </cell>
          <cell r="X1449">
            <v>3</v>
          </cell>
          <cell r="Y1449">
            <v>3</v>
          </cell>
          <cell r="Z1449" t="str">
            <v>N</v>
          </cell>
          <cell r="AB1449" t="str">
            <v>X</v>
          </cell>
          <cell r="AC1449" t="str">
            <v>X</v>
          </cell>
          <cell r="AD1449" t="str">
            <v>X</v>
          </cell>
          <cell r="AH1449" t="str">
            <v>O</v>
          </cell>
          <cell r="AI1449" t="str">
            <v>N</v>
          </cell>
          <cell r="AK1449" t="str">
            <v>12 IMMEUBLE KASSOU OCP - KHOURIBGA</v>
          </cell>
          <cell r="AL1449" t="str">
            <v>7 SC.MATHS</v>
          </cell>
          <cell r="AM1449" t="str">
            <v>E.M.M</v>
          </cell>
          <cell r="AP1449" t="str">
            <v>Q 62008</v>
          </cell>
          <cell r="AQ1449">
            <v>0</v>
          </cell>
          <cell r="AR1449" t="str">
            <v>B</v>
          </cell>
          <cell r="AS1449" t="str">
            <v>B.M.C.E  KHGA</v>
          </cell>
          <cell r="AT1449" t="str">
            <v>400012000008661-70</v>
          </cell>
          <cell r="AU1449" t="str">
            <v>/  /</v>
          </cell>
          <cell r="AW1449">
            <v>41091</v>
          </cell>
          <cell r="BA1449" t="str">
            <v>2</v>
          </cell>
          <cell r="BB1449">
            <v>1</v>
          </cell>
          <cell r="BC1449" t="str">
            <v>N</v>
          </cell>
          <cell r="BD1449">
            <v>0</v>
          </cell>
          <cell r="BE1449" t="str">
            <v>M</v>
          </cell>
          <cell r="BG1449">
            <v>1</v>
          </cell>
          <cell r="BH1449">
            <v>41091</v>
          </cell>
          <cell r="BI1449" t="str">
            <v>N</v>
          </cell>
        </row>
        <row r="1450">
          <cell r="A1450">
            <v>86981</v>
          </cell>
          <cell r="B1450">
            <v>428</v>
          </cell>
          <cell r="C1450" t="str">
            <v>C7050</v>
          </cell>
          <cell r="D1450" t="str">
            <v>BEDNAOUI</v>
          </cell>
          <cell r="E1450" t="str">
            <v>MOHAMMED</v>
          </cell>
          <cell r="F1450">
            <v>22465</v>
          </cell>
          <cell r="G1450" t="str">
            <v>2</v>
          </cell>
          <cell r="H1450" t="str">
            <v>OULED BOUGHADI</v>
          </cell>
          <cell r="I1450" t="str">
            <v>F</v>
          </cell>
          <cell r="J1450">
            <v>31310</v>
          </cell>
          <cell r="K1450">
            <v>36526</v>
          </cell>
          <cell r="L1450" t="str">
            <v>33</v>
          </cell>
          <cell r="M1450" t="str">
            <v>A</v>
          </cell>
          <cell r="N1450">
            <v>36526</v>
          </cell>
          <cell r="O1450">
            <v>0</v>
          </cell>
          <cell r="P1450">
            <v>17</v>
          </cell>
          <cell r="Q1450" t="str">
            <v>O</v>
          </cell>
          <cell r="R1450" t="str">
            <v>N</v>
          </cell>
          <cell r="S1450">
            <v>0</v>
          </cell>
          <cell r="T1450" t="str">
            <v>M</v>
          </cell>
          <cell r="U1450" t="str">
            <v>HARTITI KHADDOUJ BENT ETTOUMI</v>
          </cell>
          <cell r="X1450">
            <v>4</v>
          </cell>
          <cell r="Y1450">
            <v>4</v>
          </cell>
          <cell r="AB1450" t="str">
            <v>X</v>
          </cell>
          <cell r="AC1450" t="str">
            <v>X</v>
          </cell>
          <cell r="AD1450" t="str">
            <v>X</v>
          </cell>
          <cell r="AH1450" t="str">
            <v>N</v>
          </cell>
          <cell r="AI1450" t="str">
            <v>N</v>
          </cell>
          <cell r="AK1450" t="str">
            <v>96 NOUEAUX LOGEMENTS OCP - KHGA</v>
          </cell>
          <cell r="AL1450" t="str">
            <v>7 A.S EX</v>
          </cell>
          <cell r="AM1450" t="str">
            <v>C.F.O</v>
          </cell>
          <cell r="AP1450" t="str">
            <v>Q 63467</v>
          </cell>
          <cell r="AQ1450">
            <v>0</v>
          </cell>
          <cell r="AR1450" t="str">
            <v>B</v>
          </cell>
          <cell r="AS1450" t="str">
            <v>POPULAIRE  OUED ZEM</v>
          </cell>
          <cell r="AT1450" t="str">
            <v>2111112859750007</v>
          </cell>
          <cell r="AU1450" t="str">
            <v>/  /</v>
          </cell>
          <cell r="AW1450">
            <v>40909</v>
          </cell>
          <cell r="BA1450" t="str">
            <v>2</v>
          </cell>
          <cell r="BB1450">
            <v>1</v>
          </cell>
          <cell r="BD1450">
            <v>0</v>
          </cell>
          <cell r="BE1450" t="str">
            <v>M</v>
          </cell>
          <cell r="BF1450" t="str">
            <v>N</v>
          </cell>
          <cell r="BG1450">
            <v>4</v>
          </cell>
          <cell r="BH1450">
            <v>41091</v>
          </cell>
        </row>
        <row r="1451">
          <cell r="A1451">
            <v>71423</v>
          </cell>
          <cell r="B1451">
            <v>428</v>
          </cell>
          <cell r="C1451" t="str">
            <v>C4411</v>
          </cell>
          <cell r="D1451" t="str">
            <v>EL FALHI</v>
          </cell>
          <cell r="E1451" t="str">
            <v>LARBI</v>
          </cell>
          <cell r="F1451">
            <v>19175</v>
          </cell>
          <cell r="H1451" t="str">
            <v>EL M'DAKRA</v>
          </cell>
          <cell r="I1451" t="str">
            <v>D</v>
          </cell>
          <cell r="J1451">
            <v>33506</v>
          </cell>
          <cell r="K1451">
            <v>34547</v>
          </cell>
          <cell r="L1451" t="str">
            <v>22</v>
          </cell>
          <cell r="M1451" t="str">
            <v>A</v>
          </cell>
          <cell r="N1451">
            <v>34547</v>
          </cell>
          <cell r="P1451">
            <v>11</v>
          </cell>
          <cell r="Q1451" t="str">
            <v>O</v>
          </cell>
          <cell r="R1451" t="str">
            <v>N</v>
          </cell>
          <cell r="S1451">
            <v>0</v>
          </cell>
          <cell r="T1451" t="str">
            <v>M</v>
          </cell>
          <cell r="U1451" t="str">
            <v>MORCHID KHADDOUJ BENT BOUCHAIB</v>
          </cell>
          <cell r="X1451">
            <v>5</v>
          </cell>
          <cell r="Y1451">
            <v>3</v>
          </cell>
          <cell r="AB1451" t="str">
            <v>X</v>
          </cell>
          <cell r="AC1451" t="str">
            <v>X</v>
          </cell>
          <cell r="AD1451" t="str">
            <v>X</v>
          </cell>
          <cell r="AH1451" t="str">
            <v>N</v>
          </cell>
          <cell r="AI1451" t="str">
            <v>N</v>
          </cell>
          <cell r="AK1451" t="str">
            <v>1312 SBATA VILLAGE OCP HATTANE</v>
          </cell>
          <cell r="AL1451" t="str">
            <v>1 A.S</v>
          </cell>
          <cell r="AM1451" t="str">
            <v>CFP (MECANIQUE DE BASE)</v>
          </cell>
          <cell r="AP1451" t="str">
            <v>Q 73259</v>
          </cell>
          <cell r="AQ1451">
            <v>0</v>
          </cell>
          <cell r="AR1451" t="str">
            <v>B</v>
          </cell>
          <cell r="AS1451" t="str">
            <v>WAFABANK - KHGA</v>
          </cell>
          <cell r="AT1451" t="str">
            <v>1220301234700</v>
          </cell>
          <cell r="AU1451" t="str">
            <v>/  /</v>
          </cell>
          <cell r="AW1451">
            <v>41075</v>
          </cell>
          <cell r="AX1451">
            <v>41075</v>
          </cell>
          <cell r="AZ1451" t="str">
            <v>K</v>
          </cell>
          <cell r="BA1451" t="str">
            <v>0</v>
          </cell>
          <cell r="BB1451">
            <v>1</v>
          </cell>
          <cell r="BC1451" t="str">
            <v>N</v>
          </cell>
          <cell r="BD1451">
            <v>0</v>
          </cell>
          <cell r="BE1451" t="str">
            <v>M</v>
          </cell>
          <cell r="BF1451" t="str">
            <v>N</v>
          </cell>
          <cell r="BG1451">
            <v>11</v>
          </cell>
          <cell r="BH1451">
            <v>39264</v>
          </cell>
        </row>
        <row r="1452">
          <cell r="A1452">
            <v>70972</v>
          </cell>
          <cell r="B1452">
            <v>465</v>
          </cell>
          <cell r="C1452" t="str">
            <v>C4300</v>
          </cell>
          <cell r="D1452" t="str">
            <v>FOUADI</v>
          </cell>
          <cell r="E1452" t="str">
            <v>EL MOSTAFA</v>
          </cell>
          <cell r="F1452">
            <v>19419</v>
          </cell>
          <cell r="G1452" t="str">
            <v>3</v>
          </cell>
          <cell r="H1452" t="str">
            <v>BOUJNIBA</v>
          </cell>
          <cell r="I1452" t="str">
            <v>D</v>
          </cell>
          <cell r="J1452">
            <v>28871</v>
          </cell>
          <cell r="K1452">
            <v>36526</v>
          </cell>
          <cell r="L1452" t="str">
            <v>22</v>
          </cell>
          <cell r="M1452" t="str">
            <v>A</v>
          </cell>
          <cell r="N1452">
            <v>36526</v>
          </cell>
          <cell r="P1452">
            <v>24</v>
          </cell>
          <cell r="Q1452" t="str">
            <v>O</v>
          </cell>
          <cell r="R1452" t="str">
            <v>N</v>
          </cell>
          <cell r="S1452">
            <v>0</v>
          </cell>
          <cell r="T1452" t="str">
            <v>M</v>
          </cell>
          <cell r="U1452" t="str">
            <v>DARRAJ RKIA BENT MOHAMED</v>
          </cell>
          <cell r="X1452">
            <v>3</v>
          </cell>
          <cell r="Y1452">
            <v>1</v>
          </cell>
          <cell r="AB1452" t="str">
            <v>X</v>
          </cell>
          <cell r="AC1452" t="str">
            <v>X</v>
          </cell>
          <cell r="AD1452" t="str">
            <v>X</v>
          </cell>
          <cell r="AE1452" t="str">
            <v>M.INT CIADAT BJ</v>
          </cell>
          <cell r="AH1452" t="str">
            <v>N</v>
          </cell>
          <cell r="AI1452" t="str">
            <v>N</v>
          </cell>
          <cell r="AK1452" t="str">
            <v>284 DERB 2 - BOUJNIBA</v>
          </cell>
          <cell r="AL1452" t="str">
            <v>CM2</v>
          </cell>
          <cell r="AP1452" t="str">
            <v>Q 10688</v>
          </cell>
          <cell r="AQ1452">
            <v>0</v>
          </cell>
          <cell r="AR1452" t="str">
            <v>B</v>
          </cell>
          <cell r="AS1452" t="str">
            <v>WAFABANK - KHGA</v>
          </cell>
          <cell r="AT1452" t="str">
            <v>1220301310478</v>
          </cell>
          <cell r="AU1452" t="str">
            <v>/  /</v>
          </cell>
          <cell r="AW1452">
            <v>38534</v>
          </cell>
          <cell r="BA1452" t="str">
            <v>8</v>
          </cell>
          <cell r="BB1452">
            <v>1</v>
          </cell>
          <cell r="BD1452">
            <v>0</v>
          </cell>
          <cell r="BE1452" t="str">
            <v>M</v>
          </cell>
          <cell r="BF1452" t="str">
            <v>N</v>
          </cell>
          <cell r="BG1452">
            <v>51</v>
          </cell>
          <cell r="BH1452">
            <v>38534</v>
          </cell>
          <cell r="BI1452" t="str">
            <v>O</v>
          </cell>
        </row>
        <row r="1453">
          <cell r="A1453">
            <v>60458</v>
          </cell>
          <cell r="B1453">
            <v>423</v>
          </cell>
          <cell r="C1453" t="str">
            <v>C6200</v>
          </cell>
          <cell r="D1453" t="str">
            <v>EL FJIJI</v>
          </cell>
          <cell r="E1453" t="str">
            <v>MOHAMMED</v>
          </cell>
          <cell r="F1453">
            <v>21318</v>
          </cell>
          <cell r="G1453" t="str">
            <v>1</v>
          </cell>
          <cell r="H1453" t="str">
            <v>OULED BHAR SGHAR KHOURIBGA</v>
          </cell>
          <cell r="I1453" t="str">
            <v>F</v>
          </cell>
          <cell r="J1453">
            <v>29997</v>
          </cell>
          <cell r="K1453">
            <v>32690</v>
          </cell>
          <cell r="L1453" t="str">
            <v>32</v>
          </cell>
          <cell r="M1453" t="str">
            <v>A</v>
          </cell>
          <cell r="N1453">
            <v>32690</v>
          </cell>
          <cell r="P1453">
            <v>22</v>
          </cell>
          <cell r="Q1453" t="str">
            <v>O</v>
          </cell>
          <cell r="R1453" t="str">
            <v>N</v>
          </cell>
          <cell r="S1453">
            <v>0</v>
          </cell>
          <cell r="T1453" t="str">
            <v>M</v>
          </cell>
          <cell r="U1453" t="str">
            <v>HAKIMA BENT BIDALI</v>
          </cell>
          <cell r="X1453">
            <v>3</v>
          </cell>
          <cell r="Y1453">
            <v>3</v>
          </cell>
          <cell r="Z1453" t="str">
            <v>N</v>
          </cell>
          <cell r="AB1453" t="str">
            <v>X</v>
          </cell>
          <cell r="AC1453" t="str">
            <v>X</v>
          </cell>
          <cell r="AD1453" t="str">
            <v>X</v>
          </cell>
          <cell r="AH1453" t="str">
            <v>N</v>
          </cell>
          <cell r="AI1453" t="str">
            <v>N</v>
          </cell>
          <cell r="AK1453" t="str">
            <v>95 BIS BLOC 9 KHOUADRIA JDAD KHOURIBGA</v>
          </cell>
          <cell r="AL1453" t="str">
            <v>4 AS</v>
          </cell>
          <cell r="AM1453" t="str">
            <v>C.F.P - C.Q.P</v>
          </cell>
          <cell r="AP1453" t="str">
            <v>SH 37624</v>
          </cell>
          <cell r="AQ1453">
            <v>0</v>
          </cell>
          <cell r="AR1453" t="str">
            <v>B</v>
          </cell>
          <cell r="AS1453" t="str">
            <v>POPULAIRE-KHGA</v>
          </cell>
          <cell r="AT1453" t="str">
            <v>2111112889150004</v>
          </cell>
          <cell r="AU1453" t="str">
            <v>/  /</v>
          </cell>
          <cell r="AW1453">
            <v>39630</v>
          </cell>
          <cell r="BA1453" t="str">
            <v>2</v>
          </cell>
          <cell r="BB1453">
            <v>1</v>
          </cell>
          <cell r="BC1453" t="str">
            <v>N</v>
          </cell>
          <cell r="BD1453">
            <v>0</v>
          </cell>
          <cell r="BE1453" t="str">
            <v>M</v>
          </cell>
          <cell r="BG1453">
            <v>4</v>
          </cell>
          <cell r="BH1453">
            <v>39630</v>
          </cell>
          <cell r="BI1453" t="str">
            <v>N</v>
          </cell>
        </row>
        <row r="1454">
          <cell r="A1454">
            <v>66218</v>
          </cell>
          <cell r="B1454">
            <v>403</v>
          </cell>
          <cell r="C1454" t="str">
            <v>C5801</v>
          </cell>
          <cell r="D1454" t="str">
            <v>EL OUAZINE</v>
          </cell>
          <cell r="E1454" t="str">
            <v>EL KBIR</v>
          </cell>
          <cell r="F1454">
            <v>19540</v>
          </cell>
          <cell r="G1454" t="str">
            <v>3</v>
          </cell>
          <cell r="H1454" t="str">
            <v>BOUJNIBA</v>
          </cell>
          <cell r="I1454" t="str">
            <v>D</v>
          </cell>
          <cell r="J1454">
            <v>27247</v>
          </cell>
          <cell r="K1454">
            <v>32690</v>
          </cell>
          <cell r="L1454" t="str">
            <v>31</v>
          </cell>
          <cell r="M1454" t="str">
            <v>A</v>
          </cell>
          <cell r="N1454">
            <v>32690</v>
          </cell>
          <cell r="P1454">
            <v>28</v>
          </cell>
          <cell r="Q1454" t="str">
            <v>O</v>
          </cell>
          <cell r="R1454" t="str">
            <v>N</v>
          </cell>
          <cell r="S1454">
            <v>0</v>
          </cell>
          <cell r="T1454" t="str">
            <v>M</v>
          </cell>
          <cell r="U1454" t="str">
            <v>NAIMA BENT SALAH BEN MOHAMED</v>
          </cell>
          <cell r="V1454" t="str">
            <v>OUSBOU AICHA</v>
          </cell>
          <cell r="X1454">
            <v>6</v>
          </cell>
          <cell r="Y1454">
            <v>2</v>
          </cell>
          <cell r="AB1454" t="str">
            <v>X</v>
          </cell>
          <cell r="AC1454" t="str">
            <v>X</v>
          </cell>
          <cell r="AD1454" t="str">
            <v>X</v>
          </cell>
          <cell r="AH1454" t="str">
            <v>N</v>
          </cell>
          <cell r="AI1454" t="str">
            <v>N</v>
          </cell>
          <cell r="AK1454" t="str">
            <v>233 BIS DERB 4 - BOUJNIBA</v>
          </cell>
          <cell r="AL1454" t="str">
            <v>4 A.S</v>
          </cell>
          <cell r="AP1454" t="str">
            <v>Q 38017</v>
          </cell>
          <cell r="AQ1454">
            <v>0</v>
          </cell>
          <cell r="AR1454" t="str">
            <v>B</v>
          </cell>
          <cell r="AS1454" t="str">
            <v>B.M.C.I  KHGA</v>
          </cell>
          <cell r="AT1454" t="str">
            <v>02820989114301</v>
          </cell>
          <cell r="AU1454" t="str">
            <v>/  /</v>
          </cell>
          <cell r="AW1454">
            <v>37803</v>
          </cell>
          <cell r="BA1454" t="str">
            <v>0</v>
          </cell>
          <cell r="BB1454">
            <v>1</v>
          </cell>
          <cell r="BD1454">
            <v>0</v>
          </cell>
          <cell r="BE1454" t="str">
            <v>M</v>
          </cell>
          <cell r="BF1454" t="str">
            <v>N</v>
          </cell>
          <cell r="BG1454">
            <v>50</v>
          </cell>
          <cell r="BH1454">
            <v>37803</v>
          </cell>
        </row>
        <row r="1455">
          <cell r="A1455">
            <v>64685</v>
          </cell>
          <cell r="B1455">
            <v>415</v>
          </cell>
          <cell r="C1455" t="str">
            <v>C4300</v>
          </cell>
          <cell r="D1455" t="str">
            <v>MEDQOUN</v>
          </cell>
          <cell r="E1455" t="str">
            <v>M'HAMMED</v>
          </cell>
          <cell r="F1455">
            <v>19175</v>
          </cell>
          <cell r="G1455" t="str">
            <v>1</v>
          </cell>
          <cell r="H1455" t="str">
            <v>OULED BHAR KBAR KHOURIBGA</v>
          </cell>
          <cell r="I1455" t="str">
            <v>D</v>
          </cell>
          <cell r="J1455">
            <v>26876</v>
          </cell>
          <cell r="K1455">
            <v>29281</v>
          </cell>
          <cell r="L1455" t="str">
            <v>22</v>
          </cell>
          <cell r="M1455" t="str">
            <v>D</v>
          </cell>
          <cell r="N1455">
            <v>35612</v>
          </cell>
          <cell r="P1455">
            <v>29</v>
          </cell>
          <cell r="Q1455" t="str">
            <v>O</v>
          </cell>
          <cell r="R1455" t="str">
            <v>N</v>
          </cell>
          <cell r="S1455">
            <v>0</v>
          </cell>
          <cell r="T1455" t="str">
            <v>M</v>
          </cell>
          <cell r="U1455" t="str">
            <v>SAIDA BENT HAJ TAHAR</v>
          </cell>
          <cell r="X1455">
            <v>5</v>
          </cell>
          <cell r="Y1455">
            <v>1</v>
          </cell>
          <cell r="AB1455" t="str">
            <v>X</v>
          </cell>
          <cell r="AC1455" t="str">
            <v>X</v>
          </cell>
          <cell r="AD1455" t="str">
            <v>X</v>
          </cell>
          <cell r="AH1455" t="str">
            <v>N</v>
          </cell>
          <cell r="AI1455" t="str">
            <v>N</v>
          </cell>
          <cell r="AK1455" t="str">
            <v>234 DERB 4 BOUJNIBA</v>
          </cell>
          <cell r="AL1455" t="str">
            <v>3 AS</v>
          </cell>
          <cell r="AP1455" t="str">
            <v>Q 19262</v>
          </cell>
          <cell r="AQ1455">
            <v>0</v>
          </cell>
          <cell r="AR1455" t="str">
            <v>B</v>
          </cell>
          <cell r="AS1455" t="str">
            <v>BMCE.KHGA</v>
          </cell>
          <cell r="AT1455" t="str">
            <v>400012000001135248</v>
          </cell>
          <cell r="AU1455" t="str">
            <v>/  /</v>
          </cell>
          <cell r="AW1455">
            <v>37438</v>
          </cell>
          <cell r="AY1455" t="str">
            <v>XX</v>
          </cell>
          <cell r="AZ1455" t="str">
            <v>M</v>
          </cell>
          <cell r="BA1455" t="str">
            <v>2</v>
          </cell>
          <cell r="BB1455">
            <v>1</v>
          </cell>
          <cell r="BD1455">
            <v>0</v>
          </cell>
          <cell r="BE1455" t="str">
            <v>M</v>
          </cell>
          <cell r="BF1455" t="str">
            <v>N</v>
          </cell>
          <cell r="BG1455">
            <v>50</v>
          </cell>
          <cell r="BH1455">
            <v>37438</v>
          </cell>
          <cell r="BI1455" t="str">
            <v>O</v>
          </cell>
        </row>
        <row r="1456">
          <cell r="A1456">
            <v>69163</v>
          </cell>
          <cell r="B1456">
            <v>461</v>
          </cell>
          <cell r="C1456" t="str">
            <v>C4152</v>
          </cell>
          <cell r="D1456" t="str">
            <v>NEJJADI</v>
          </cell>
          <cell r="E1456" t="str">
            <v>MOHAMMED</v>
          </cell>
          <cell r="F1456">
            <v>19357</v>
          </cell>
          <cell r="G1456" t="str">
            <v>4</v>
          </cell>
          <cell r="H1456" t="str">
            <v>BOULANOUAR</v>
          </cell>
          <cell r="I1456" t="str">
            <v>D</v>
          </cell>
          <cell r="J1456">
            <v>28184</v>
          </cell>
          <cell r="K1456">
            <v>35065</v>
          </cell>
          <cell r="L1456" t="str">
            <v>22</v>
          </cell>
          <cell r="M1456" t="str">
            <v>A</v>
          </cell>
          <cell r="N1456">
            <v>35065</v>
          </cell>
          <cell r="P1456">
            <v>27</v>
          </cell>
          <cell r="Q1456" t="str">
            <v>O</v>
          </cell>
          <cell r="R1456" t="str">
            <v>N</v>
          </cell>
          <cell r="S1456">
            <v>0</v>
          </cell>
          <cell r="T1456" t="str">
            <v>M</v>
          </cell>
          <cell r="U1456" t="str">
            <v>ZAHIR MALIKA BENT MOHAMED</v>
          </cell>
          <cell r="X1456">
            <v>1</v>
          </cell>
          <cell r="Y1456">
            <v>1</v>
          </cell>
          <cell r="AB1456" t="str">
            <v>X</v>
          </cell>
          <cell r="AC1456" t="str">
            <v>X</v>
          </cell>
          <cell r="AD1456" t="str">
            <v>X</v>
          </cell>
          <cell r="AE1456" t="str">
            <v>MINI.EDUC.NAT</v>
          </cell>
          <cell r="AH1456" t="str">
            <v>N</v>
          </cell>
          <cell r="AI1456" t="str">
            <v>N</v>
          </cell>
          <cell r="AK1456" t="str">
            <v>19 LOTISSEMENT HAIZOUN - KHOURIBGA</v>
          </cell>
          <cell r="AL1456" t="str">
            <v>4AS</v>
          </cell>
          <cell r="AP1456" t="str">
            <v>Q 42736</v>
          </cell>
          <cell r="AQ1456">
            <v>0</v>
          </cell>
          <cell r="AR1456" t="str">
            <v>B</v>
          </cell>
          <cell r="AS1456" t="str">
            <v>SGMB - KHGA</v>
          </cell>
          <cell r="AT1456" t="str">
            <v>067000928689241</v>
          </cell>
          <cell r="AU1456" t="str">
            <v>19/03/09</v>
          </cell>
          <cell r="AW1456">
            <v>37803</v>
          </cell>
          <cell r="AY1456" t="str">
            <v>O+</v>
          </cell>
          <cell r="BA1456" t="str">
            <v>1</v>
          </cell>
          <cell r="BB1456">
            <v>1</v>
          </cell>
          <cell r="BD1456">
            <v>0</v>
          </cell>
          <cell r="BE1456" t="str">
            <v>M</v>
          </cell>
          <cell r="BF1456" t="str">
            <v>N</v>
          </cell>
          <cell r="BG1456">
            <v>1</v>
          </cell>
          <cell r="BH1456">
            <v>37803</v>
          </cell>
        </row>
        <row r="1457">
          <cell r="A1457">
            <v>3067</v>
          </cell>
          <cell r="B1457">
            <v>466</v>
          </cell>
          <cell r="C1457" t="str">
            <v>X3070</v>
          </cell>
          <cell r="D1457" t="str">
            <v>BELBSIR</v>
          </cell>
          <cell r="E1457" t="str">
            <v>AHMED</v>
          </cell>
          <cell r="F1457">
            <v>19872</v>
          </cell>
          <cell r="G1457" t="str">
            <v>1</v>
          </cell>
          <cell r="H1457" t="str">
            <v>OULED BHAR KBAR KHOURIBGA</v>
          </cell>
          <cell r="I1457" t="str">
            <v>F</v>
          </cell>
          <cell r="J1457">
            <v>31260</v>
          </cell>
          <cell r="K1457">
            <v>31260</v>
          </cell>
          <cell r="L1457" t="str">
            <v>41</v>
          </cell>
          <cell r="M1457" t="str">
            <v>A</v>
          </cell>
          <cell r="N1457">
            <v>31260</v>
          </cell>
          <cell r="P1457">
            <v>17</v>
          </cell>
          <cell r="Q1457" t="str">
            <v>O</v>
          </cell>
          <cell r="R1457" t="str">
            <v>N</v>
          </cell>
          <cell r="S1457">
            <v>0</v>
          </cell>
          <cell r="T1457" t="str">
            <v>M</v>
          </cell>
          <cell r="U1457" t="str">
            <v>BELBSIR MAHJOUBA BT EL MILOUDI</v>
          </cell>
          <cell r="X1457">
            <v>3</v>
          </cell>
          <cell r="Y1457">
            <v>3</v>
          </cell>
          <cell r="AB1457" t="str">
            <v>X</v>
          </cell>
          <cell r="AC1457" t="str">
            <v>X</v>
          </cell>
          <cell r="AD1457" t="str">
            <v>X</v>
          </cell>
          <cell r="AH1457" t="str">
            <v>O</v>
          </cell>
          <cell r="AI1457" t="str">
            <v>N</v>
          </cell>
          <cell r="AK1457" t="str">
            <v>5 IMMEUBLE ADOUR OCP - KHOURIBGA</v>
          </cell>
          <cell r="AL1457" t="str">
            <v>7AS.EXP</v>
          </cell>
          <cell r="AM1457" t="str">
            <v>BAC &amp; CFM</v>
          </cell>
          <cell r="AP1457" t="str">
            <v>Q 9161</v>
          </cell>
          <cell r="AQ1457">
            <v>0</v>
          </cell>
          <cell r="AR1457" t="str">
            <v>B</v>
          </cell>
          <cell r="AS1457" t="str">
            <v>POPULAIRE.O.ZEM</v>
          </cell>
          <cell r="AT1457" t="str">
            <v>2111113079840008</v>
          </cell>
          <cell r="AU1457" t="str">
            <v>/  /</v>
          </cell>
          <cell r="AW1457">
            <v>39995</v>
          </cell>
          <cell r="BA1457" t="str">
            <v>2</v>
          </cell>
          <cell r="BB1457">
            <v>1</v>
          </cell>
          <cell r="BD1457">
            <v>0</v>
          </cell>
          <cell r="BE1457" t="str">
            <v>M</v>
          </cell>
          <cell r="BG1457">
            <v>5</v>
          </cell>
          <cell r="BH1457">
            <v>39995</v>
          </cell>
          <cell r="BI1457" t="str">
            <v>N</v>
          </cell>
        </row>
        <row r="1458">
          <cell r="A1458">
            <v>64641</v>
          </cell>
          <cell r="B1458">
            <v>419</v>
          </cell>
          <cell r="C1458" t="str">
            <v>C7006</v>
          </cell>
          <cell r="D1458" t="str">
            <v>EL MOUTRIBI</v>
          </cell>
          <cell r="E1458" t="str">
            <v>MOHAMMED</v>
          </cell>
          <cell r="F1458">
            <v>19905</v>
          </cell>
          <cell r="G1458" t="str">
            <v>1</v>
          </cell>
          <cell r="H1458" t="str">
            <v>KHOURIBGA</v>
          </cell>
          <cell r="I1458" t="str">
            <v>D</v>
          </cell>
          <cell r="J1458">
            <v>26869</v>
          </cell>
          <cell r="K1458">
            <v>30133</v>
          </cell>
          <cell r="L1458" t="str">
            <v>33</v>
          </cell>
          <cell r="M1458" t="str">
            <v>E</v>
          </cell>
          <cell r="N1458">
            <v>35612</v>
          </cell>
          <cell r="P1458">
            <v>29</v>
          </cell>
          <cell r="Q1458" t="str">
            <v>O</v>
          </cell>
          <cell r="R1458" t="str">
            <v>N</v>
          </cell>
          <cell r="S1458">
            <v>0</v>
          </cell>
          <cell r="T1458" t="str">
            <v>M</v>
          </cell>
          <cell r="U1458" t="str">
            <v>ZILLAF NAIMA BENT HAMMADI</v>
          </cell>
          <cell r="X1458">
            <v>4</v>
          </cell>
          <cell r="Y1458">
            <v>3</v>
          </cell>
          <cell r="AB1458" t="str">
            <v>X</v>
          </cell>
          <cell r="AC1458" t="str">
            <v>X</v>
          </cell>
          <cell r="AD1458" t="str">
            <v>X</v>
          </cell>
          <cell r="AH1458" t="str">
            <v>N</v>
          </cell>
          <cell r="AI1458" t="str">
            <v>N</v>
          </cell>
          <cell r="AK1458" t="str">
            <v>11 ERRACHIDIA QUAR. ETTAKADOUM SOUK KHGA</v>
          </cell>
          <cell r="AL1458" t="str">
            <v>3 A.S</v>
          </cell>
          <cell r="AP1458" t="str">
            <v>Q 730</v>
          </cell>
          <cell r="AQ1458">
            <v>0</v>
          </cell>
          <cell r="AR1458" t="str">
            <v>B</v>
          </cell>
          <cell r="AS1458" t="str">
            <v>C.I.H - KHGA</v>
          </cell>
          <cell r="AT1458" t="str">
            <v>9391160211004700</v>
          </cell>
          <cell r="AU1458" t="str">
            <v>/  /</v>
          </cell>
          <cell r="AW1458">
            <v>39546</v>
          </cell>
          <cell r="AX1458">
            <v>39546</v>
          </cell>
          <cell r="AZ1458" t="str">
            <v>M</v>
          </cell>
          <cell r="BA1458" t="str">
            <v>2</v>
          </cell>
          <cell r="BB1458">
            <v>1</v>
          </cell>
          <cell r="BD1458">
            <v>0</v>
          </cell>
          <cell r="BE1458" t="str">
            <v>M</v>
          </cell>
          <cell r="BF1458" t="str">
            <v>N</v>
          </cell>
          <cell r="BG1458">
            <v>1</v>
          </cell>
          <cell r="BH1458">
            <v>38169</v>
          </cell>
        </row>
        <row r="1459">
          <cell r="A1459">
            <v>71817</v>
          </cell>
          <cell r="B1459">
            <v>428</v>
          </cell>
          <cell r="C1459" t="str">
            <v>C2000</v>
          </cell>
          <cell r="D1459" t="str">
            <v>FOUKHAR</v>
          </cell>
          <cell r="E1459" t="str">
            <v>SALAH</v>
          </cell>
          <cell r="F1459">
            <v>19905</v>
          </cell>
          <cell r="G1459" t="str">
            <v>1</v>
          </cell>
          <cell r="H1459" t="str">
            <v>KHOURIBGA</v>
          </cell>
          <cell r="I1459" t="str">
            <v>D</v>
          </cell>
          <cell r="J1459">
            <v>29299</v>
          </cell>
          <cell r="K1459">
            <v>31503</v>
          </cell>
          <cell r="L1459" t="str">
            <v>12</v>
          </cell>
          <cell r="M1459" t="str">
            <v>C</v>
          </cell>
          <cell r="N1459">
            <v>34516</v>
          </cell>
          <cell r="P1459">
            <v>23</v>
          </cell>
          <cell r="Q1459" t="str">
            <v>O</v>
          </cell>
          <cell r="R1459" t="str">
            <v>N</v>
          </cell>
          <cell r="S1459">
            <v>0</v>
          </cell>
          <cell r="T1459" t="str">
            <v>M</v>
          </cell>
          <cell r="U1459" t="str">
            <v>EL HOURANI FOUZIA BT ABDESLAM</v>
          </cell>
          <cell r="X1459">
            <v>4</v>
          </cell>
          <cell r="Y1459">
            <v>3</v>
          </cell>
          <cell r="AB1459" t="str">
            <v>X</v>
          </cell>
          <cell r="AC1459" t="str">
            <v>X</v>
          </cell>
          <cell r="AD1459" t="str">
            <v>X</v>
          </cell>
          <cell r="AH1459" t="str">
            <v>N</v>
          </cell>
          <cell r="AI1459" t="str">
            <v>N</v>
          </cell>
          <cell r="AK1459" t="str">
            <v>670 NELLE MEDINA DE SECHAGE KHOURIBGA</v>
          </cell>
          <cell r="AL1459" t="str">
            <v>CM2</v>
          </cell>
          <cell r="AP1459" t="str">
            <v>Q 26700</v>
          </cell>
          <cell r="AQ1459">
            <v>0</v>
          </cell>
          <cell r="AR1459" t="str">
            <v>B</v>
          </cell>
          <cell r="AS1459" t="str">
            <v>POPULAIRE.KHGA</v>
          </cell>
          <cell r="AT1459" t="str">
            <v>2111156482990001</v>
          </cell>
          <cell r="AU1459" t="str">
            <v>/  /</v>
          </cell>
          <cell r="AW1459">
            <v>38899</v>
          </cell>
          <cell r="AY1459" t="str">
            <v>XX</v>
          </cell>
          <cell r="BA1459" t="str">
            <v>1</v>
          </cell>
          <cell r="BB1459">
            <v>1</v>
          </cell>
          <cell r="BD1459">
            <v>0</v>
          </cell>
          <cell r="BE1459" t="str">
            <v>M</v>
          </cell>
          <cell r="BF1459" t="str">
            <v>N</v>
          </cell>
          <cell r="BG1459">
            <v>4</v>
          </cell>
          <cell r="BH1459">
            <v>38899</v>
          </cell>
        </row>
        <row r="1460">
          <cell r="A1460">
            <v>85309</v>
          </cell>
          <cell r="B1460">
            <v>465</v>
          </cell>
          <cell r="C1460" t="str">
            <v>C6300</v>
          </cell>
          <cell r="D1460" t="str">
            <v>LANSARI</v>
          </cell>
          <cell r="E1460" t="str">
            <v>ABDERAHIM</v>
          </cell>
          <cell r="F1460">
            <v>21524</v>
          </cell>
          <cell r="H1460" t="str">
            <v>CASABLANCA</v>
          </cell>
          <cell r="I1460" t="str">
            <v>F</v>
          </cell>
          <cell r="J1460">
            <v>30755</v>
          </cell>
          <cell r="K1460">
            <v>36526</v>
          </cell>
          <cell r="L1460" t="str">
            <v>32</v>
          </cell>
          <cell r="M1460" t="str">
            <v>A</v>
          </cell>
          <cell r="N1460">
            <v>36526</v>
          </cell>
          <cell r="P1460">
            <v>19</v>
          </cell>
          <cell r="Q1460" t="str">
            <v>O</v>
          </cell>
          <cell r="R1460" t="str">
            <v>N</v>
          </cell>
          <cell r="S1460">
            <v>0</v>
          </cell>
          <cell r="T1460" t="str">
            <v>M</v>
          </cell>
          <cell r="U1460" t="str">
            <v>SMAM BOUCHRA BENT ABDELAH</v>
          </cell>
          <cell r="X1460">
            <v>2</v>
          </cell>
          <cell r="Y1460">
            <v>2</v>
          </cell>
          <cell r="AB1460" t="str">
            <v>X</v>
          </cell>
          <cell r="AC1460" t="str">
            <v>X</v>
          </cell>
          <cell r="AD1460" t="str">
            <v>X</v>
          </cell>
          <cell r="AH1460" t="str">
            <v>O</v>
          </cell>
          <cell r="AI1460" t="str">
            <v>N</v>
          </cell>
          <cell r="AK1460" t="str">
            <v>7 IMMEUBLE SOBAMA - KHOURIBGA</v>
          </cell>
          <cell r="AL1460" t="str">
            <v>7 L.M</v>
          </cell>
          <cell r="AM1460" t="str">
            <v>CFO</v>
          </cell>
          <cell r="AP1460" t="str">
            <v>Q 15646</v>
          </cell>
          <cell r="AQ1460">
            <v>0</v>
          </cell>
          <cell r="AR1460" t="str">
            <v>B</v>
          </cell>
          <cell r="AS1460" t="str">
            <v>BMCE - KHGA</v>
          </cell>
          <cell r="AT1460" t="str">
            <v>4000001200001443029</v>
          </cell>
          <cell r="AU1460" t="str">
            <v>/  /</v>
          </cell>
          <cell r="AW1460">
            <v>40360</v>
          </cell>
          <cell r="AZ1460" t="str">
            <v>R</v>
          </cell>
          <cell r="BA1460" t="str">
            <v>2</v>
          </cell>
          <cell r="BB1460">
            <v>1</v>
          </cell>
          <cell r="BD1460">
            <v>0</v>
          </cell>
          <cell r="BE1460" t="str">
            <v>M</v>
          </cell>
          <cell r="BF1460" t="str">
            <v>N</v>
          </cell>
          <cell r="BG1460">
            <v>1</v>
          </cell>
          <cell r="BH1460">
            <v>40360</v>
          </cell>
        </row>
        <row r="1461">
          <cell r="A1461">
            <v>90567</v>
          </cell>
          <cell r="B1461">
            <v>405</v>
          </cell>
          <cell r="C1461" t="str">
            <v>X4300</v>
          </cell>
          <cell r="D1461" t="str">
            <v>QABBAL</v>
          </cell>
          <cell r="E1461" t="str">
            <v>SAID</v>
          </cell>
          <cell r="F1461">
            <v>21001</v>
          </cell>
          <cell r="G1461" t="str">
            <v>1</v>
          </cell>
          <cell r="H1461" t="str">
            <v>OULED BHAR KBAR KHOURIBGA</v>
          </cell>
          <cell r="I1461" t="str">
            <v>F</v>
          </cell>
          <cell r="J1461">
            <v>28859</v>
          </cell>
          <cell r="K1461">
            <v>36526</v>
          </cell>
          <cell r="L1461" t="str">
            <v>42</v>
          </cell>
          <cell r="M1461" t="str">
            <v>A</v>
          </cell>
          <cell r="N1461">
            <v>36526</v>
          </cell>
          <cell r="P1461">
            <v>24</v>
          </cell>
          <cell r="Q1461" t="str">
            <v>O</v>
          </cell>
          <cell r="R1461" t="str">
            <v>N</v>
          </cell>
          <cell r="S1461">
            <v>0</v>
          </cell>
          <cell r="T1461" t="str">
            <v>M</v>
          </cell>
          <cell r="U1461" t="str">
            <v>MOUBACHAR IZZA BENT EL RHEZOUI</v>
          </cell>
          <cell r="X1461">
            <v>5</v>
          </cell>
          <cell r="Y1461">
            <v>5</v>
          </cell>
          <cell r="AB1461" t="str">
            <v>X</v>
          </cell>
          <cell r="AC1461" t="str">
            <v>X</v>
          </cell>
          <cell r="AD1461" t="str">
            <v>X</v>
          </cell>
          <cell r="AH1461" t="str">
            <v>N</v>
          </cell>
          <cell r="AI1461" t="str">
            <v>N</v>
          </cell>
          <cell r="AK1461" t="str">
            <v>1,COOPERATIVE BIR ANZARANE EL FATH KHGA</v>
          </cell>
          <cell r="AL1461" t="str">
            <v>7 A.SCE.EXP</v>
          </cell>
          <cell r="AM1461" t="str">
            <v>CFM.EMM</v>
          </cell>
          <cell r="AP1461" t="str">
            <v>Q 25467</v>
          </cell>
          <cell r="AQ1461">
            <v>0</v>
          </cell>
          <cell r="AR1461" t="str">
            <v>B</v>
          </cell>
          <cell r="AS1461" t="str">
            <v>B.M.C.I- KHOURIBGA</v>
          </cell>
          <cell r="AT1461" t="str">
            <v>2820577931301</v>
          </cell>
          <cell r="AU1461" t="str">
            <v>/  /</v>
          </cell>
          <cell r="AW1461">
            <v>39264</v>
          </cell>
          <cell r="BA1461" t="str">
            <v>2</v>
          </cell>
          <cell r="BB1461">
            <v>1</v>
          </cell>
          <cell r="BD1461">
            <v>0</v>
          </cell>
          <cell r="BE1461" t="str">
            <v>M</v>
          </cell>
          <cell r="BF1461" t="str">
            <v>N</v>
          </cell>
          <cell r="BG1461">
            <v>1</v>
          </cell>
          <cell r="BH1461">
            <v>39264</v>
          </cell>
          <cell r="BI1461" t="str">
            <v>O</v>
          </cell>
        </row>
        <row r="1462">
          <cell r="A1462">
            <v>68941</v>
          </cell>
          <cell r="B1462">
            <v>463</v>
          </cell>
          <cell r="C1462" t="str">
            <v>C4200</v>
          </cell>
          <cell r="D1462" t="str">
            <v>GHAITI</v>
          </cell>
          <cell r="E1462" t="str">
            <v>SALAH</v>
          </cell>
          <cell r="F1462">
            <v>19905</v>
          </cell>
          <cell r="G1462" t="str">
            <v>2</v>
          </cell>
          <cell r="H1462" t="str">
            <v>SMAALA</v>
          </cell>
          <cell r="I1462" t="str">
            <v>D</v>
          </cell>
          <cell r="J1462">
            <v>28163</v>
          </cell>
          <cell r="K1462">
            <v>36526</v>
          </cell>
          <cell r="L1462" t="str">
            <v>22</v>
          </cell>
          <cell r="M1462" t="str">
            <v>A</v>
          </cell>
          <cell r="N1462">
            <v>36526</v>
          </cell>
          <cell r="O1462">
            <v>0</v>
          </cell>
          <cell r="P1462">
            <v>27</v>
          </cell>
          <cell r="Q1462" t="str">
            <v>O</v>
          </cell>
          <cell r="R1462" t="str">
            <v>N</v>
          </cell>
          <cell r="S1462">
            <v>0</v>
          </cell>
          <cell r="T1462" t="str">
            <v>M</v>
          </cell>
          <cell r="U1462" t="str">
            <v>LAAZIZI NAIMA BENT MOHAMED</v>
          </cell>
          <cell r="X1462">
            <v>4</v>
          </cell>
          <cell r="Y1462">
            <v>3</v>
          </cell>
          <cell r="AB1462" t="str">
            <v>X</v>
          </cell>
          <cell r="AC1462" t="str">
            <v>X</v>
          </cell>
          <cell r="AD1462" t="str">
            <v>X</v>
          </cell>
          <cell r="AH1462" t="str">
            <v>N</v>
          </cell>
          <cell r="AI1462" t="str">
            <v>N</v>
          </cell>
          <cell r="AK1462" t="str">
            <v>2 RUE DES PUITS OUED ZEM</v>
          </cell>
          <cell r="AL1462" t="str">
            <v>3AS</v>
          </cell>
          <cell r="AP1462" t="str">
            <v>Q 93231</v>
          </cell>
          <cell r="AQ1462">
            <v>0</v>
          </cell>
          <cell r="AR1462" t="str">
            <v>B</v>
          </cell>
          <cell r="AS1462" t="str">
            <v>WAFABANK - KHGA</v>
          </cell>
          <cell r="AT1462" t="str">
            <v>1220301422333</v>
          </cell>
          <cell r="AU1462" t="str">
            <v>/  /</v>
          </cell>
          <cell r="AW1462">
            <v>38353</v>
          </cell>
          <cell r="AY1462" t="str">
            <v>XX</v>
          </cell>
          <cell r="BA1462" t="str">
            <v>2</v>
          </cell>
          <cell r="BB1462">
            <v>1</v>
          </cell>
          <cell r="BD1462">
            <v>0</v>
          </cell>
          <cell r="BE1462" t="str">
            <v>M</v>
          </cell>
          <cell r="BF1462" t="str">
            <v>N</v>
          </cell>
          <cell r="BG1462">
            <v>30</v>
          </cell>
          <cell r="BH1462">
            <v>38169</v>
          </cell>
          <cell r="BI1462" t="str">
            <v>O</v>
          </cell>
        </row>
        <row r="1463">
          <cell r="A1463">
            <v>44105</v>
          </cell>
          <cell r="B1463">
            <v>409</v>
          </cell>
          <cell r="C1463" t="str">
            <v>C5001</v>
          </cell>
          <cell r="D1463" t="str">
            <v>BALIZ</v>
          </cell>
          <cell r="E1463" t="str">
            <v>MOHAMMED</v>
          </cell>
          <cell r="F1463">
            <v>23727</v>
          </cell>
          <cell r="G1463" t="str">
            <v>4</v>
          </cell>
          <cell r="H1463" t="str">
            <v>BOULANOIR</v>
          </cell>
          <cell r="I1463" t="str">
            <v>D</v>
          </cell>
          <cell r="J1463">
            <v>33673</v>
          </cell>
          <cell r="K1463">
            <v>33695</v>
          </cell>
          <cell r="L1463" t="str">
            <v>31</v>
          </cell>
          <cell r="M1463" t="str">
            <v>A</v>
          </cell>
          <cell r="N1463">
            <v>33695</v>
          </cell>
          <cell r="P1463">
            <v>11</v>
          </cell>
          <cell r="Q1463" t="str">
            <v>O</v>
          </cell>
          <cell r="R1463" t="str">
            <v>N</v>
          </cell>
          <cell r="S1463">
            <v>0</v>
          </cell>
          <cell r="T1463" t="str">
            <v>M</v>
          </cell>
          <cell r="U1463" t="str">
            <v>NAJAT BENT AHMED</v>
          </cell>
          <cell r="X1463">
            <v>2</v>
          </cell>
          <cell r="Y1463">
            <v>2</v>
          </cell>
          <cell r="AB1463" t="str">
            <v>X</v>
          </cell>
          <cell r="AC1463" t="str">
            <v>X</v>
          </cell>
          <cell r="AD1463" t="str">
            <v>X</v>
          </cell>
          <cell r="AH1463" t="str">
            <v>N</v>
          </cell>
          <cell r="AI1463" t="str">
            <v>N</v>
          </cell>
          <cell r="AK1463" t="str">
            <v>1145 AVENUE PALESTINE HAY AMAL - KHGA</v>
          </cell>
          <cell r="AL1463" t="str">
            <v>BAC</v>
          </cell>
          <cell r="AM1463" t="str">
            <v>I.T.A FAB-MEC</v>
          </cell>
          <cell r="AN1463" t="str">
            <v>49═88═37</v>
          </cell>
          <cell r="AP1463" t="str">
            <v>Q 88334</v>
          </cell>
          <cell r="AQ1463">
            <v>0</v>
          </cell>
          <cell r="AR1463" t="str">
            <v>B</v>
          </cell>
          <cell r="AS1463" t="str">
            <v>POPULAIRE KHGA</v>
          </cell>
          <cell r="AT1463" t="str">
            <v>2111112875550001</v>
          </cell>
          <cell r="AU1463" t="str">
            <v>/  /</v>
          </cell>
          <cell r="AW1463">
            <v>43282</v>
          </cell>
          <cell r="BA1463" t="str">
            <v>2</v>
          </cell>
          <cell r="BB1463">
            <v>0</v>
          </cell>
          <cell r="BD1463">
            <v>0</v>
          </cell>
          <cell r="BE1463" t="str">
            <v>M</v>
          </cell>
          <cell r="BG1463">
            <v>1</v>
          </cell>
          <cell r="BH1463">
            <v>43282</v>
          </cell>
          <cell r="BI1463" t="str">
            <v>O</v>
          </cell>
        </row>
        <row r="1464">
          <cell r="A1464">
            <v>71687</v>
          </cell>
          <cell r="B1464">
            <v>421</v>
          </cell>
          <cell r="C1464" t="str">
            <v>C3152</v>
          </cell>
          <cell r="D1464" t="str">
            <v>BOURAYA</v>
          </cell>
          <cell r="E1464" t="str">
            <v>MOKHTAR</v>
          </cell>
          <cell r="F1464">
            <v>19540</v>
          </cell>
          <cell r="H1464" t="str">
            <v>LOULAD</v>
          </cell>
          <cell r="I1464" t="str">
            <v>D</v>
          </cell>
          <cell r="J1464">
            <v>29244</v>
          </cell>
          <cell r="K1464">
            <v>37377</v>
          </cell>
          <cell r="L1464" t="str">
            <v>21</v>
          </cell>
          <cell r="M1464" t="str">
            <v>A</v>
          </cell>
          <cell r="N1464">
            <v>37377</v>
          </cell>
          <cell r="P1464">
            <v>23</v>
          </cell>
          <cell r="Q1464" t="str">
            <v>N</v>
          </cell>
          <cell r="R1464" t="str">
            <v>N</v>
          </cell>
          <cell r="S1464">
            <v>0</v>
          </cell>
          <cell r="T1464" t="str">
            <v>M</v>
          </cell>
          <cell r="U1464" t="str">
            <v>NAIMA BENT MOHAMED</v>
          </cell>
          <cell r="X1464">
            <v>7</v>
          </cell>
          <cell r="Y1464">
            <v>4</v>
          </cell>
          <cell r="AB1464" t="str">
            <v>X</v>
          </cell>
          <cell r="AC1464" t="str">
            <v>X</v>
          </cell>
          <cell r="AD1464" t="str">
            <v>X</v>
          </cell>
          <cell r="AH1464" t="str">
            <v>N</v>
          </cell>
          <cell r="AI1464" t="str">
            <v>N</v>
          </cell>
          <cell r="AK1464" t="str">
            <v>23 RUE 3 DERB BOUAZZA B.KADDOUR - KHGA</v>
          </cell>
          <cell r="AL1464" t="str">
            <v>ILLETTRE</v>
          </cell>
          <cell r="AP1464" t="str">
            <v>Q 76073</v>
          </cell>
          <cell r="AQ1464">
            <v>0</v>
          </cell>
          <cell r="AR1464" t="str">
            <v>C</v>
          </cell>
          <cell r="AU1464" t="str">
            <v>/  /</v>
          </cell>
          <cell r="AW1464">
            <v>38899</v>
          </cell>
          <cell r="BA1464" t="str">
            <v>1</v>
          </cell>
          <cell r="BB1464">
            <v>1</v>
          </cell>
          <cell r="BD1464">
            <v>0</v>
          </cell>
          <cell r="BE1464" t="str">
            <v>M</v>
          </cell>
          <cell r="BF1464" t="str">
            <v>N</v>
          </cell>
          <cell r="BG1464">
            <v>0</v>
          </cell>
          <cell r="BH1464">
            <v>38899</v>
          </cell>
          <cell r="BI1464" t="str">
            <v>O</v>
          </cell>
        </row>
        <row r="1465">
          <cell r="A1465">
            <v>68268</v>
          </cell>
          <cell r="B1465">
            <v>418</v>
          </cell>
          <cell r="C1465" t="str">
            <v>C5152</v>
          </cell>
          <cell r="D1465" t="str">
            <v>MEHMAZI</v>
          </cell>
          <cell r="E1465" t="str">
            <v>AHMED</v>
          </cell>
          <cell r="F1465">
            <v>18629</v>
          </cell>
          <cell r="G1465" t="str">
            <v>1</v>
          </cell>
          <cell r="H1465" t="str">
            <v>OULED BHAR KBAR KHOURIBGA</v>
          </cell>
          <cell r="I1465" t="str">
            <v>D</v>
          </cell>
          <cell r="J1465">
            <v>27766</v>
          </cell>
          <cell r="K1465">
            <v>37073</v>
          </cell>
          <cell r="L1465" t="str">
            <v>31</v>
          </cell>
          <cell r="M1465" t="str">
            <v>A</v>
          </cell>
          <cell r="N1465">
            <v>37073</v>
          </cell>
          <cell r="P1465">
            <v>27</v>
          </cell>
          <cell r="Q1465" t="str">
            <v>O</v>
          </cell>
          <cell r="R1465" t="str">
            <v>N</v>
          </cell>
          <cell r="S1465">
            <v>0</v>
          </cell>
          <cell r="T1465" t="str">
            <v>M</v>
          </cell>
          <cell r="U1465" t="str">
            <v>RACHIDA BENT MOHAMED</v>
          </cell>
          <cell r="X1465">
            <v>5</v>
          </cell>
          <cell r="Y1465">
            <v>5</v>
          </cell>
          <cell r="AB1465" t="str">
            <v>X</v>
          </cell>
          <cell r="AC1465" t="str">
            <v>X</v>
          </cell>
          <cell r="AD1465" t="str">
            <v>X</v>
          </cell>
          <cell r="AH1465" t="str">
            <v>N</v>
          </cell>
          <cell r="AI1465" t="str">
            <v>N</v>
          </cell>
          <cell r="AK1465" t="str">
            <v>48 VILLAGE O.C.P - BOULANOIR</v>
          </cell>
          <cell r="AL1465" t="str">
            <v>4AS</v>
          </cell>
          <cell r="AP1465" t="str">
            <v>Q 48439</v>
          </cell>
          <cell r="AQ1465">
            <v>0</v>
          </cell>
          <cell r="AR1465" t="str">
            <v>B</v>
          </cell>
          <cell r="AS1465" t="str">
            <v>POPULAIRE  KHGA</v>
          </cell>
          <cell r="AT1465" t="str">
            <v>2111112824470004</v>
          </cell>
          <cell r="AU1465" t="str">
            <v>/  /</v>
          </cell>
          <cell r="AW1465">
            <v>37438</v>
          </cell>
          <cell r="AY1465" t="str">
            <v>XX</v>
          </cell>
          <cell r="BA1465" t="str">
            <v>0</v>
          </cell>
          <cell r="BB1465">
            <v>1</v>
          </cell>
          <cell r="BD1465">
            <v>0</v>
          </cell>
          <cell r="BE1465" t="str">
            <v>M</v>
          </cell>
          <cell r="BF1465" t="str">
            <v>N</v>
          </cell>
          <cell r="BG1465">
            <v>40</v>
          </cell>
          <cell r="BH1465">
            <v>37438</v>
          </cell>
        </row>
        <row r="1466">
          <cell r="A1466">
            <v>69732</v>
          </cell>
          <cell r="B1466">
            <v>421</v>
          </cell>
          <cell r="C1466" t="str">
            <v>C3020</v>
          </cell>
          <cell r="D1466" t="str">
            <v>DAHAR</v>
          </cell>
          <cell r="E1466" t="str">
            <v>M'HAMED</v>
          </cell>
          <cell r="F1466">
            <v>19730</v>
          </cell>
          <cell r="G1466" t="str">
            <v>2</v>
          </cell>
          <cell r="H1466" t="str">
            <v>SMAALA</v>
          </cell>
          <cell r="I1466" t="str">
            <v>D</v>
          </cell>
          <cell r="J1466">
            <v>28368</v>
          </cell>
          <cell r="K1466">
            <v>33695</v>
          </cell>
          <cell r="L1466" t="str">
            <v>21</v>
          </cell>
          <cell r="M1466" t="str">
            <v>C</v>
          </cell>
          <cell r="N1466">
            <v>35612</v>
          </cell>
          <cell r="P1466">
            <v>25</v>
          </cell>
          <cell r="Q1466" t="str">
            <v>O</v>
          </cell>
          <cell r="R1466" t="str">
            <v>N</v>
          </cell>
          <cell r="S1466">
            <v>0</v>
          </cell>
          <cell r="T1466" t="str">
            <v>M</v>
          </cell>
          <cell r="U1466" t="str">
            <v>MDAOUER  JAMILA</v>
          </cell>
          <cell r="X1466">
            <v>3</v>
          </cell>
          <cell r="Y1466">
            <v>3</v>
          </cell>
          <cell r="AB1466" t="str">
            <v>X</v>
          </cell>
          <cell r="AC1466" t="str">
            <v>X</v>
          </cell>
          <cell r="AD1466" t="str">
            <v>X</v>
          </cell>
          <cell r="AH1466" t="str">
            <v>N</v>
          </cell>
          <cell r="AI1466" t="str">
            <v>N</v>
          </cell>
          <cell r="AK1466" t="str">
            <v>120 VILLAGE OCP - OUED ZEM</v>
          </cell>
          <cell r="AL1466" t="str">
            <v>2AS</v>
          </cell>
          <cell r="AP1466" t="str">
            <v>Q 43511</v>
          </cell>
          <cell r="AQ1466">
            <v>0</v>
          </cell>
          <cell r="AR1466" t="str">
            <v>B</v>
          </cell>
          <cell r="AS1466" t="str">
            <v>POPULAIRE.O.ZEM</v>
          </cell>
          <cell r="AT1466" t="str">
            <v>2111113032700000</v>
          </cell>
          <cell r="AU1466" t="str">
            <v>/  /</v>
          </cell>
          <cell r="AW1466">
            <v>38169</v>
          </cell>
          <cell r="AY1466" t="str">
            <v>XX</v>
          </cell>
          <cell r="BA1466" t="str">
            <v>0</v>
          </cell>
          <cell r="BB1466">
            <v>1</v>
          </cell>
          <cell r="BD1466">
            <v>0</v>
          </cell>
          <cell r="BE1466" t="str">
            <v>M</v>
          </cell>
          <cell r="BF1466" t="str">
            <v>N</v>
          </cell>
          <cell r="BG1466">
            <v>30</v>
          </cell>
          <cell r="BH1466">
            <v>38169</v>
          </cell>
          <cell r="BI1466" t="str">
            <v>O</v>
          </cell>
        </row>
        <row r="1467">
          <cell r="A1467">
            <v>73442</v>
          </cell>
          <cell r="B1467">
            <v>408</v>
          </cell>
          <cell r="C1467" t="str">
            <v>C4262</v>
          </cell>
          <cell r="D1467" t="str">
            <v>HAOUALA</v>
          </cell>
          <cell r="E1467" t="str">
            <v>MOHAMMED</v>
          </cell>
          <cell r="F1467">
            <v>20651</v>
          </cell>
          <cell r="G1467" t="str">
            <v>4</v>
          </cell>
          <cell r="H1467" t="str">
            <v>BOULANOUAR</v>
          </cell>
          <cell r="I1467" t="str">
            <v>D</v>
          </cell>
          <cell r="J1467">
            <v>30118</v>
          </cell>
          <cell r="K1467">
            <v>36526</v>
          </cell>
          <cell r="L1467" t="str">
            <v>22</v>
          </cell>
          <cell r="M1467" t="str">
            <v>A</v>
          </cell>
          <cell r="N1467">
            <v>36526</v>
          </cell>
          <cell r="P1467">
            <v>20</v>
          </cell>
          <cell r="Q1467" t="str">
            <v>O</v>
          </cell>
          <cell r="R1467" t="str">
            <v>N</v>
          </cell>
          <cell r="S1467">
            <v>0</v>
          </cell>
          <cell r="T1467" t="str">
            <v>M</v>
          </cell>
          <cell r="U1467" t="str">
            <v>HLIMA BENT SALAH</v>
          </cell>
          <cell r="X1467">
            <v>4</v>
          </cell>
          <cell r="Y1467">
            <v>4</v>
          </cell>
          <cell r="AB1467" t="str">
            <v>X</v>
          </cell>
          <cell r="AC1467" t="str">
            <v>X</v>
          </cell>
          <cell r="AD1467" t="str">
            <v>X</v>
          </cell>
          <cell r="AH1467" t="str">
            <v>N</v>
          </cell>
          <cell r="AI1467" t="str">
            <v>N</v>
          </cell>
          <cell r="AK1467" t="str">
            <v>419 VILLAGE OCP BOULANOUAR</v>
          </cell>
          <cell r="AL1467" t="str">
            <v>CM2.</v>
          </cell>
          <cell r="AP1467" t="str">
            <v>Q 5111</v>
          </cell>
          <cell r="AQ1467">
            <v>0</v>
          </cell>
          <cell r="AR1467" t="str">
            <v>B</v>
          </cell>
          <cell r="AS1467" t="str">
            <v>BMCI - KHGA</v>
          </cell>
          <cell r="AT1467" t="str">
            <v>02820768924301</v>
          </cell>
          <cell r="AU1467" t="str">
            <v>/  /</v>
          </cell>
          <cell r="AW1467">
            <v>39814</v>
          </cell>
          <cell r="AY1467" t="str">
            <v>XX</v>
          </cell>
          <cell r="AZ1467" t="str">
            <v>R</v>
          </cell>
          <cell r="BA1467" t="str">
            <v>0</v>
          </cell>
          <cell r="BB1467">
            <v>1</v>
          </cell>
          <cell r="BD1467">
            <v>0</v>
          </cell>
          <cell r="BE1467" t="str">
            <v>M</v>
          </cell>
          <cell r="BF1467" t="str">
            <v>N</v>
          </cell>
          <cell r="BG1467">
            <v>40</v>
          </cell>
          <cell r="BH1467">
            <v>39814</v>
          </cell>
          <cell r="BI1467" t="str">
            <v>O</v>
          </cell>
        </row>
        <row r="1468">
          <cell r="A1468">
            <v>73468</v>
          </cell>
          <cell r="B1468">
            <v>418</v>
          </cell>
          <cell r="C1468" t="str">
            <v>C5152</v>
          </cell>
          <cell r="D1468" t="str">
            <v>BOUADEL</v>
          </cell>
          <cell r="E1468" t="str">
            <v>SAID</v>
          </cell>
          <cell r="F1468">
            <v>21779</v>
          </cell>
          <cell r="G1468" t="str">
            <v>1</v>
          </cell>
          <cell r="H1468" t="str">
            <v>KHOURIBGA</v>
          </cell>
          <cell r="I1468" t="str">
            <v>D</v>
          </cell>
          <cell r="J1468">
            <v>30148</v>
          </cell>
          <cell r="K1468">
            <v>37073</v>
          </cell>
          <cell r="L1468" t="str">
            <v>31</v>
          </cell>
          <cell r="M1468" t="str">
            <v>A</v>
          </cell>
          <cell r="N1468">
            <v>37073</v>
          </cell>
          <cell r="P1468">
            <v>20</v>
          </cell>
          <cell r="Q1468" t="str">
            <v>O</v>
          </cell>
          <cell r="R1468" t="str">
            <v>N</v>
          </cell>
          <cell r="S1468">
            <v>0</v>
          </cell>
          <cell r="T1468" t="str">
            <v>M</v>
          </cell>
          <cell r="U1468" t="str">
            <v>EL BIR JAMILA BT OMAR</v>
          </cell>
          <cell r="X1468">
            <v>3</v>
          </cell>
          <cell r="Y1468">
            <v>3</v>
          </cell>
          <cell r="AB1468" t="str">
            <v>X</v>
          </cell>
          <cell r="AC1468" t="str">
            <v>X</v>
          </cell>
          <cell r="AD1468" t="str">
            <v>X</v>
          </cell>
          <cell r="AH1468" t="str">
            <v>N</v>
          </cell>
          <cell r="AI1468" t="str">
            <v>N</v>
          </cell>
          <cell r="AK1468" t="str">
            <v>584 VILLAGE O.C.P - BOUJNIBA</v>
          </cell>
          <cell r="AL1468" t="str">
            <v>4 A.S</v>
          </cell>
          <cell r="AP1468" t="str">
            <v>Q 13811</v>
          </cell>
          <cell r="AQ1468">
            <v>0</v>
          </cell>
          <cell r="AR1468" t="str">
            <v>B</v>
          </cell>
          <cell r="AS1468" t="str">
            <v>WAFABANK - KHGA</v>
          </cell>
          <cell r="AT1468" t="str">
            <v>122030104322588</v>
          </cell>
          <cell r="AU1468" t="str">
            <v>/  /</v>
          </cell>
          <cell r="AW1468">
            <v>40179</v>
          </cell>
          <cell r="BA1468" t="str">
            <v>0</v>
          </cell>
          <cell r="BB1468">
            <v>1</v>
          </cell>
          <cell r="BD1468">
            <v>0</v>
          </cell>
          <cell r="BE1468" t="str">
            <v>M</v>
          </cell>
          <cell r="BF1468" t="str">
            <v>N</v>
          </cell>
          <cell r="BG1468">
            <v>50</v>
          </cell>
          <cell r="BH1468">
            <v>40179</v>
          </cell>
        </row>
        <row r="1469">
          <cell r="A1469">
            <v>91880</v>
          </cell>
          <cell r="B1469">
            <v>414</v>
          </cell>
          <cell r="C1469" t="str">
            <v>X4210</v>
          </cell>
          <cell r="D1469" t="str">
            <v>SABKI</v>
          </cell>
          <cell r="E1469" t="str">
            <v>HASSAN</v>
          </cell>
          <cell r="F1469">
            <v>23192</v>
          </cell>
          <cell r="H1469" t="str">
            <v>AMGHILA - BENI-MELLAL</v>
          </cell>
          <cell r="I1469" t="str">
            <v>F</v>
          </cell>
          <cell r="J1469">
            <v>31985</v>
          </cell>
          <cell r="K1469">
            <v>36526</v>
          </cell>
          <cell r="L1469" t="str">
            <v>42</v>
          </cell>
          <cell r="M1469" t="str">
            <v>A</v>
          </cell>
          <cell r="N1469">
            <v>36526</v>
          </cell>
          <cell r="P1469">
            <v>15</v>
          </cell>
          <cell r="Q1469" t="str">
            <v>O</v>
          </cell>
          <cell r="R1469" t="str">
            <v>N</v>
          </cell>
          <cell r="S1469">
            <v>0</v>
          </cell>
          <cell r="T1469" t="str">
            <v>M</v>
          </cell>
          <cell r="U1469" t="str">
            <v>ARCHI BOUCHRA BENT BOUZEKRI</v>
          </cell>
          <cell r="X1469">
            <v>2</v>
          </cell>
          <cell r="Y1469">
            <v>2</v>
          </cell>
          <cell r="Z1469" t="str">
            <v>O</v>
          </cell>
          <cell r="AB1469" t="str">
            <v>X</v>
          </cell>
          <cell r="AC1469" t="str">
            <v>X</v>
          </cell>
          <cell r="AD1469" t="str">
            <v>X</v>
          </cell>
          <cell r="AH1469" t="str">
            <v>O</v>
          </cell>
          <cell r="AI1469" t="str">
            <v>N</v>
          </cell>
          <cell r="AK1469" t="str">
            <v>5 RUE OUJDA VILLE OCP - KHOURIBGA</v>
          </cell>
          <cell r="AL1469" t="str">
            <v>7 A.T</v>
          </cell>
          <cell r="AM1469" t="str">
            <v>BAC - EMM</v>
          </cell>
          <cell r="AP1469" t="str">
            <v>I 108752</v>
          </cell>
          <cell r="AQ1469">
            <v>0</v>
          </cell>
          <cell r="AR1469" t="str">
            <v>B</v>
          </cell>
          <cell r="AS1469" t="str">
            <v>B.M.C.E  KHGA</v>
          </cell>
          <cell r="AT1469" t="str">
            <v>40001200000624446</v>
          </cell>
          <cell r="AU1469" t="str">
            <v>/  /</v>
          </cell>
          <cell r="AW1469">
            <v>42005</v>
          </cell>
          <cell r="BA1469" t="str">
            <v>2</v>
          </cell>
          <cell r="BB1469">
            <v>1</v>
          </cell>
          <cell r="BC1469" t="str">
            <v>N</v>
          </cell>
          <cell r="BD1469">
            <v>0</v>
          </cell>
          <cell r="BE1469" t="str">
            <v>M</v>
          </cell>
          <cell r="BG1469">
            <v>1</v>
          </cell>
          <cell r="BH1469">
            <v>42005</v>
          </cell>
          <cell r="BI1469" t="str">
            <v>N</v>
          </cell>
        </row>
        <row r="1470">
          <cell r="A1470">
            <v>21868</v>
          </cell>
          <cell r="B1470">
            <v>428</v>
          </cell>
          <cell r="C1470" t="str">
            <v>C5152</v>
          </cell>
          <cell r="D1470" t="str">
            <v>AOUADI</v>
          </cell>
          <cell r="E1470" t="str">
            <v>EL ARBI</v>
          </cell>
          <cell r="F1470">
            <v>22097</v>
          </cell>
          <cell r="G1470" t="str">
            <v>1</v>
          </cell>
          <cell r="H1470" t="str">
            <v>OULED BHAR KBAR KHOURIBGA</v>
          </cell>
          <cell r="I1470" t="str">
            <v>F</v>
          </cell>
          <cell r="J1470">
            <v>31852</v>
          </cell>
          <cell r="K1470">
            <v>37073</v>
          </cell>
          <cell r="L1470" t="str">
            <v>31</v>
          </cell>
          <cell r="M1470" t="str">
            <v>A</v>
          </cell>
          <cell r="N1470">
            <v>37073</v>
          </cell>
          <cell r="P1470">
            <v>16</v>
          </cell>
          <cell r="Q1470" t="str">
            <v>O</v>
          </cell>
          <cell r="R1470" t="str">
            <v>N</v>
          </cell>
          <cell r="S1470">
            <v>0</v>
          </cell>
          <cell r="T1470" t="str">
            <v>M</v>
          </cell>
          <cell r="U1470" t="str">
            <v>FATIMA BENT MOHAMED</v>
          </cell>
          <cell r="X1470">
            <v>2</v>
          </cell>
          <cell r="Y1470">
            <v>2</v>
          </cell>
          <cell r="Z1470" t="str">
            <v>N</v>
          </cell>
          <cell r="AB1470" t="str">
            <v>X</v>
          </cell>
          <cell r="AC1470" t="str">
            <v>X</v>
          </cell>
          <cell r="AD1470" t="str">
            <v>X</v>
          </cell>
          <cell r="AH1470" t="str">
            <v>N</v>
          </cell>
          <cell r="AI1470" t="str">
            <v>N</v>
          </cell>
          <cell r="AK1470" t="str">
            <v>N°25 HAY TAKDDOUM RUE RAIS EL AINE-KHGA</v>
          </cell>
          <cell r="AL1470" t="str">
            <v>7 A.S</v>
          </cell>
          <cell r="AM1470" t="str">
            <v>I.T.A (ELECTRICITE GENERAL)</v>
          </cell>
          <cell r="AP1470" t="str">
            <v>Q 64804</v>
          </cell>
          <cell r="AQ1470">
            <v>0</v>
          </cell>
          <cell r="AR1470" t="str">
            <v>B</v>
          </cell>
          <cell r="AS1470" t="str">
            <v>CR-MAROC - KHGA</v>
          </cell>
          <cell r="AT1470" t="str">
            <v>233S3000012</v>
          </cell>
          <cell r="AU1470" t="str">
            <v>/  /</v>
          </cell>
          <cell r="AW1470">
            <v>41456</v>
          </cell>
          <cell r="BA1470" t="str">
            <v>1</v>
          </cell>
          <cell r="BB1470">
            <v>1</v>
          </cell>
          <cell r="BD1470">
            <v>0</v>
          </cell>
          <cell r="BE1470" t="str">
            <v>M</v>
          </cell>
          <cell r="BG1470">
            <v>4</v>
          </cell>
          <cell r="BH1470">
            <v>41456</v>
          </cell>
          <cell r="BI1470" t="str">
            <v>N</v>
          </cell>
        </row>
        <row r="1471">
          <cell r="A1471">
            <v>68626</v>
          </cell>
          <cell r="B1471">
            <v>418</v>
          </cell>
          <cell r="C1471" t="str">
            <v>C5152</v>
          </cell>
          <cell r="D1471" t="str">
            <v>EL AMIRI</v>
          </cell>
          <cell r="E1471" t="str">
            <v>AHMED</v>
          </cell>
          <cell r="F1471">
            <v>20636</v>
          </cell>
          <cell r="G1471" t="str">
            <v>3</v>
          </cell>
          <cell r="H1471" t="str">
            <v>EL GUIFAF</v>
          </cell>
          <cell r="I1471" t="str">
            <v>D</v>
          </cell>
          <cell r="J1471">
            <v>27953</v>
          </cell>
          <cell r="K1471">
            <v>37073</v>
          </cell>
          <cell r="L1471" t="str">
            <v>31</v>
          </cell>
          <cell r="M1471" t="str">
            <v>A</v>
          </cell>
          <cell r="N1471">
            <v>37073</v>
          </cell>
          <cell r="P1471">
            <v>26</v>
          </cell>
          <cell r="Q1471" t="str">
            <v>O</v>
          </cell>
          <cell r="R1471" t="str">
            <v>N</v>
          </cell>
          <cell r="S1471">
            <v>0</v>
          </cell>
          <cell r="T1471" t="str">
            <v>M</v>
          </cell>
          <cell r="U1471" t="str">
            <v>CHAMAOUI FATIHA BENT MOHAMED</v>
          </cell>
          <cell r="X1471">
            <v>4</v>
          </cell>
          <cell r="Y1471">
            <v>4</v>
          </cell>
          <cell r="AB1471" t="str">
            <v>X</v>
          </cell>
          <cell r="AC1471" t="str">
            <v>X</v>
          </cell>
          <cell r="AD1471" t="str">
            <v>X</v>
          </cell>
          <cell r="AH1471" t="str">
            <v>N</v>
          </cell>
          <cell r="AI1471" t="str">
            <v>N</v>
          </cell>
          <cell r="AK1471" t="str">
            <v>731 VILLAGE O.C.P - BOUJNIBA</v>
          </cell>
          <cell r="AL1471" t="str">
            <v>3 A.S</v>
          </cell>
          <cell r="AP1471" t="str">
            <v>Q 40018</v>
          </cell>
          <cell r="AQ1471">
            <v>0</v>
          </cell>
          <cell r="AR1471" t="str">
            <v>C</v>
          </cell>
          <cell r="AU1471" t="str">
            <v>/  /</v>
          </cell>
          <cell r="AW1471">
            <v>38899</v>
          </cell>
          <cell r="AY1471" t="str">
            <v>O</v>
          </cell>
          <cell r="BA1471" t="str">
            <v>0</v>
          </cell>
          <cell r="BB1471">
            <v>1</v>
          </cell>
          <cell r="BD1471">
            <v>0</v>
          </cell>
          <cell r="BE1471" t="str">
            <v>M</v>
          </cell>
          <cell r="BG1471">
            <v>50</v>
          </cell>
          <cell r="BH1471">
            <v>38899</v>
          </cell>
        </row>
        <row r="1472">
          <cell r="A1472">
            <v>69623</v>
          </cell>
          <cell r="B1472">
            <v>411</v>
          </cell>
          <cell r="C1472" t="str">
            <v>C3020</v>
          </cell>
          <cell r="D1472" t="str">
            <v>EL MOUKANE</v>
          </cell>
          <cell r="E1472" t="str">
            <v>MOHAMMED</v>
          </cell>
          <cell r="F1472">
            <v>21183</v>
          </cell>
          <cell r="G1472" t="str">
            <v>6</v>
          </cell>
          <cell r="H1472" t="str">
            <v>HATTANE</v>
          </cell>
          <cell r="I1472" t="str">
            <v>D</v>
          </cell>
          <cell r="J1472">
            <v>28356</v>
          </cell>
          <cell r="K1472">
            <v>33725</v>
          </cell>
          <cell r="L1472" t="str">
            <v>21</v>
          </cell>
          <cell r="M1472" t="str">
            <v>A</v>
          </cell>
          <cell r="N1472">
            <v>33725</v>
          </cell>
          <cell r="P1472">
            <v>25</v>
          </cell>
          <cell r="Q1472" t="str">
            <v>O</v>
          </cell>
          <cell r="R1472" t="str">
            <v>N</v>
          </cell>
          <cell r="S1472">
            <v>0</v>
          </cell>
          <cell r="T1472" t="str">
            <v>M</v>
          </cell>
          <cell r="U1472" t="str">
            <v>NEZHA BENT MOHAMED</v>
          </cell>
          <cell r="X1472">
            <v>5</v>
          </cell>
          <cell r="Y1472">
            <v>5</v>
          </cell>
          <cell r="Z1472" t="str">
            <v>O</v>
          </cell>
          <cell r="AA1472" t="str">
            <v>25/05/92</v>
          </cell>
          <cell r="AB1472" t="str">
            <v>X</v>
          </cell>
          <cell r="AC1472" t="str">
            <v>X</v>
          </cell>
          <cell r="AD1472" t="str">
            <v>X</v>
          </cell>
          <cell r="AH1472" t="str">
            <v>N</v>
          </cell>
          <cell r="AI1472" t="str">
            <v>N</v>
          </cell>
          <cell r="AK1472" t="str">
            <v>277 HAY EL QODS - KHOURIBGA</v>
          </cell>
          <cell r="AL1472" t="str">
            <v>2 A.S</v>
          </cell>
          <cell r="AP1472" t="str">
            <v>Q 9766</v>
          </cell>
          <cell r="AQ1472">
            <v>0</v>
          </cell>
          <cell r="AR1472" t="str">
            <v>B</v>
          </cell>
          <cell r="AS1472" t="str">
            <v>C.I.H - KHGA</v>
          </cell>
          <cell r="AT1472" t="str">
            <v>8668196211004700</v>
          </cell>
          <cell r="AU1472" t="str">
            <v>/  /</v>
          </cell>
          <cell r="AW1472">
            <v>39448</v>
          </cell>
          <cell r="AY1472" t="str">
            <v>B</v>
          </cell>
          <cell r="BA1472" t="str">
            <v>0</v>
          </cell>
          <cell r="BB1472">
            <v>1</v>
          </cell>
          <cell r="BD1472">
            <v>0</v>
          </cell>
          <cell r="BE1472" t="str">
            <v>M</v>
          </cell>
          <cell r="BG1472">
            <v>1</v>
          </cell>
          <cell r="BH1472">
            <v>39630</v>
          </cell>
        </row>
        <row r="1473">
          <cell r="A1473">
            <v>60</v>
          </cell>
          <cell r="B1473">
            <v>403</v>
          </cell>
          <cell r="C1473" t="str">
            <v>C5801</v>
          </cell>
          <cell r="D1473" t="str">
            <v>QODSI</v>
          </cell>
          <cell r="E1473" t="str">
            <v>AHMED</v>
          </cell>
          <cell r="F1473">
            <v>23187</v>
          </cell>
          <cell r="G1473" t="str">
            <v>1</v>
          </cell>
          <cell r="H1473" t="str">
            <v>KHOURIBGA</v>
          </cell>
          <cell r="I1473" t="str">
            <v>D</v>
          </cell>
          <cell r="J1473">
            <v>33744</v>
          </cell>
          <cell r="K1473">
            <v>37073</v>
          </cell>
          <cell r="L1473" t="str">
            <v>31</v>
          </cell>
          <cell r="M1473" t="str">
            <v>A</v>
          </cell>
          <cell r="N1473">
            <v>37073</v>
          </cell>
          <cell r="P1473">
            <v>10</v>
          </cell>
          <cell r="Q1473" t="str">
            <v>O</v>
          </cell>
          <cell r="R1473" t="str">
            <v>N</v>
          </cell>
          <cell r="S1473">
            <v>0</v>
          </cell>
          <cell r="T1473" t="str">
            <v>M</v>
          </cell>
          <cell r="U1473" t="str">
            <v>NADIA BT MUSTAPHA</v>
          </cell>
          <cell r="X1473">
            <v>3</v>
          </cell>
          <cell r="Y1473">
            <v>3</v>
          </cell>
          <cell r="Z1473" t="str">
            <v>N</v>
          </cell>
          <cell r="AB1473" t="str">
            <v>X</v>
          </cell>
          <cell r="AC1473" t="str">
            <v>X</v>
          </cell>
          <cell r="AD1473" t="str">
            <v>X</v>
          </cell>
          <cell r="AH1473" t="str">
            <v>N</v>
          </cell>
          <cell r="AI1473" t="str">
            <v>N</v>
          </cell>
          <cell r="AK1473" t="str">
            <v>101 NELLE CONSTRUCTION  SECHAGE - KHGA</v>
          </cell>
          <cell r="AL1473" t="str">
            <v>7.AS</v>
          </cell>
          <cell r="AP1473" t="str">
            <v>Q 88873</v>
          </cell>
          <cell r="AQ1473">
            <v>0</v>
          </cell>
          <cell r="AR1473" t="str">
            <v>B</v>
          </cell>
          <cell r="AS1473" t="str">
            <v>SGMB - KHGA</v>
          </cell>
          <cell r="AT1473" t="str">
            <v>067000929523441</v>
          </cell>
          <cell r="AU1473" t="str">
            <v>12/12/71</v>
          </cell>
          <cell r="AW1473">
            <v>45108</v>
          </cell>
          <cell r="AX1473">
            <v>45108</v>
          </cell>
          <cell r="BA1473" t="str">
            <v>0</v>
          </cell>
          <cell r="BB1473">
            <v>1</v>
          </cell>
          <cell r="BD1473">
            <v>0</v>
          </cell>
          <cell r="BE1473" t="str">
            <v>M</v>
          </cell>
          <cell r="BG1473">
            <v>1</v>
          </cell>
          <cell r="BH1473">
            <v>43282</v>
          </cell>
          <cell r="BI1473" t="str">
            <v>N</v>
          </cell>
        </row>
        <row r="1474">
          <cell r="A1474">
            <v>71826</v>
          </cell>
          <cell r="B1474">
            <v>410</v>
          </cell>
          <cell r="C1474" t="str">
            <v>C2050</v>
          </cell>
          <cell r="D1474" t="str">
            <v>ATQUAOUI</v>
          </cell>
          <cell r="E1474" t="str">
            <v>MOHAMED</v>
          </cell>
          <cell r="F1474">
            <v>19817</v>
          </cell>
          <cell r="G1474" t="str">
            <v>1</v>
          </cell>
          <cell r="H1474" t="str">
            <v>OULED BHAR KBAR KHOURIBGA</v>
          </cell>
          <cell r="I1474" t="str">
            <v>D</v>
          </cell>
          <cell r="J1474">
            <v>29301</v>
          </cell>
          <cell r="K1474">
            <v>31503</v>
          </cell>
          <cell r="L1474" t="str">
            <v>12</v>
          </cell>
          <cell r="M1474" t="str">
            <v>C</v>
          </cell>
          <cell r="N1474">
            <v>33695</v>
          </cell>
          <cell r="P1474">
            <v>23</v>
          </cell>
          <cell r="Q1474" t="str">
            <v>O</v>
          </cell>
          <cell r="R1474" t="str">
            <v>N</v>
          </cell>
          <cell r="S1474">
            <v>0</v>
          </cell>
          <cell r="T1474" t="str">
            <v>M</v>
          </cell>
          <cell r="U1474" t="str">
            <v>FANDI MALIKA BENT LAHCEN</v>
          </cell>
          <cell r="X1474">
            <v>4</v>
          </cell>
          <cell r="Y1474">
            <v>3</v>
          </cell>
          <cell r="AB1474" t="str">
            <v>X</v>
          </cell>
          <cell r="AC1474" t="str">
            <v>X</v>
          </cell>
          <cell r="AD1474" t="str">
            <v>X</v>
          </cell>
          <cell r="AH1474" t="str">
            <v>N</v>
          </cell>
          <cell r="AI1474" t="str">
            <v>N</v>
          </cell>
          <cell r="AK1474" t="str">
            <v>17 VILLAGE O.C.P - BOULANOIR</v>
          </cell>
          <cell r="AL1474" t="str">
            <v>CM2</v>
          </cell>
          <cell r="AP1474" t="str">
            <v>Q 71464</v>
          </cell>
          <cell r="AQ1474">
            <v>0</v>
          </cell>
          <cell r="AR1474" t="str">
            <v>B</v>
          </cell>
          <cell r="AS1474" t="str">
            <v>SGMB - KHGA</v>
          </cell>
          <cell r="AT1474" t="str">
            <v>06709424923</v>
          </cell>
          <cell r="AU1474" t="str">
            <v>/  /</v>
          </cell>
          <cell r="AW1474">
            <v>38899</v>
          </cell>
          <cell r="BA1474" t="str">
            <v>2</v>
          </cell>
          <cell r="BB1474">
            <v>1</v>
          </cell>
          <cell r="BD1474">
            <v>0</v>
          </cell>
          <cell r="BE1474" t="str">
            <v>M</v>
          </cell>
          <cell r="BF1474" t="str">
            <v>N</v>
          </cell>
          <cell r="BG1474">
            <v>40</v>
          </cell>
          <cell r="BH1474">
            <v>38899</v>
          </cell>
        </row>
        <row r="1475">
          <cell r="A1475">
            <v>97776</v>
          </cell>
          <cell r="B1475">
            <v>411</v>
          </cell>
          <cell r="C1475" t="str">
            <v>X5150</v>
          </cell>
          <cell r="D1475" t="str">
            <v>QSAIB</v>
          </cell>
          <cell r="E1475" t="str">
            <v>ABDELKADER</v>
          </cell>
          <cell r="F1475">
            <v>19540</v>
          </cell>
          <cell r="H1475" t="str">
            <v>OLED SENANE SOUK ARBIA-RHARB</v>
          </cell>
          <cell r="I1475" t="str">
            <v>F</v>
          </cell>
          <cell r="J1475">
            <v>28004</v>
          </cell>
          <cell r="K1475">
            <v>37257</v>
          </cell>
          <cell r="L1475" t="str">
            <v>51</v>
          </cell>
          <cell r="M1475" t="str">
            <v>A</v>
          </cell>
          <cell r="N1475">
            <v>37257</v>
          </cell>
          <cell r="O1475">
            <v>0</v>
          </cell>
          <cell r="P1475">
            <v>26</v>
          </cell>
          <cell r="Q1475" t="str">
            <v>O</v>
          </cell>
          <cell r="R1475" t="str">
            <v>N</v>
          </cell>
          <cell r="S1475">
            <v>0</v>
          </cell>
          <cell r="T1475" t="str">
            <v>M</v>
          </cell>
          <cell r="U1475" t="str">
            <v>MALIKA BENT MOHAMED OD RGUIGNA</v>
          </cell>
          <cell r="X1475">
            <v>4</v>
          </cell>
          <cell r="Y1475">
            <v>2</v>
          </cell>
          <cell r="AB1475" t="str">
            <v>X</v>
          </cell>
          <cell r="AC1475" t="str">
            <v>X</v>
          </cell>
          <cell r="AD1475" t="str">
            <v>X</v>
          </cell>
          <cell r="AH1475" t="str">
            <v>N</v>
          </cell>
          <cell r="AI1475" t="str">
            <v>N</v>
          </cell>
          <cell r="AK1475" t="str">
            <v>27 RUE RAFEH COOP. MOSTAKBAL AMAL - KHGA</v>
          </cell>
          <cell r="AL1475" t="str">
            <v>6 M.T</v>
          </cell>
          <cell r="AM1475" t="str">
            <v>E.M.M</v>
          </cell>
          <cell r="AP1475" t="str">
            <v>Q 14615</v>
          </cell>
          <cell r="AQ1475">
            <v>0</v>
          </cell>
          <cell r="AR1475" t="str">
            <v>B</v>
          </cell>
          <cell r="AS1475" t="str">
            <v>CRED MAROC KHGA</v>
          </cell>
          <cell r="AT1475" t="str">
            <v>820010001201</v>
          </cell>
          <cell r="AU1475" t="str">
            <v>/  /</v>
          </cell>
          <cell r="AW1475">
            <v>39214</v>
          </cell>
          <cell r="AX1475">
            <v>39214</v>
          </cell>
          <cell r="BA1475" t="str">
            <v>1</v>
          </cell>
          <cell r="BB1475">
            <v>1</v>
          </cell>
          <cell r="BC1475" t="str">
            <v>N</v>
          </cell>
          <cell r="BD1475">
            <v>0</v>
          </cell>
          <cell r="BE1475" t="str">
            <v>M</v>
          </cell>
          <cell r="BF1475" t="str">
            <v>N</v>
          </cell>
          <cell r="BG1475">
            <v>1</v>
          </cell>
          <cell r="BH1475">
            <v>38169</v>
          </cell>
          <cell r="BI1475" t="str">
            <v>O</v>
          </cell>
        </row>
        <row r="1476">
          <cell r="A1476">
            <v>69308</v>
          </cell>
          <cell r="B1476">
            <v>461</v>
          </cell>
          <cell r="C1476" t="str">
            <v>C4152</v>
          </cell>
          <cell r="D1476" t="str">
            <v>TARIKI</v>
          </cell>
          <cell r="E1476" t="str">
            <v>MOHAMED</v>
          </cell>
          <cell r="F1476">
            <v>19175</v>
          </cell>
          <cell r="H1476" t="str">
            <v>SOUK SEBT</v>
          </cell>
          <cell r="I1476" t="str">
            <v>D</v>
          </cell>
          <cell r="J1476">
            <v>28229</v>
          </cell>
          <cell r="K1476">
            <v>33573</v>
          </cell>
          <cell r="L1476" t="str">
            <v>22</v>
          </cell>
          <cell r="M1476" t="str">
            <v>A</v>
          </cell>
          <cell r="N1476">
            <v>33573</v>
          </cell>
          <cell r="P1476">
            <v>26</v>
          </cell>
          <cell r="Q1476" t="str">
            <v>O</v>
          </cell>
          <cell r="R1476" t="str">
            <v>N</v>
          </cell>
          <cell r="S1476">
            <v>0</v>
          </cell>
          <cell r="T1476" t="str">
            <v>M</v>
          </cell>
          <cell r="U1476" t="str">
            <v>ERRAHMANI NAIMA BT MOHAMED</v>
          </cell>
          <cell r="X1476">
            <v>4</v>
          </cell>
          <cell r="Y1476">
            <v>4</v>
          </cell>
          <cell r="AB1476" t="str">
            <v>X</v>
          </cell>
          <cell r="AC1476" t="str">
            <v>X</v>
          </cell>
          <cell r="AD1476" t="str">
            <v>X</v>
          </cell>
          <cell r="AH1476" t="str">
            <v>N</v>
          </cell>
          <cell r="AI1476" t="str">
            <v>N</v>
          </cell>
          <cell r="AK1476" t="str">
            <v>24 VILLAGE OCP - OUED ZEM</v>
          </cell>
          <cell r="AL1476" t="str">
            <v>4AS</v>
          </cell>
          <cell r="AP1476" t="str">
            <v>I 719</v>
          </cell>
          <cell r="AQ1476">
            <v>0</v>
          </cell>
          <cell r="AR1476" t="str">
            <v>B</v>
          </cell>
          <cell r="AS1476" t="str">
            <v>POPULAIRE  KHGA</v>
          </cell>
          <cell r="AT1476" t="str">
            <v>2111113125230006</v>
          </cell>
          <cell r="AU1476" t="str">
            <v>/  /</v>
          </cell>
          <cell r="AW1476">
            <v>37438</v>
          </cell>
          <cell r="AY1476" t="str">
            <v>O</v>
          </cell>
          <cell r="AZ1476" t="str">
            <v>M</v>
          </cell>
          <cell r="BA1476" t="str">
            <v>1</v>
          </cell>
          <cell r="BB1476">
            <v>1</v>
          </cell>
          <cell r="BD1476">
            <v>0</v>
          </cell>
          <cell r="BE1476" t="str">
            <v>M</v>
          </cell>
          <cell r="BF1476" t="str">
            <v>N</v>
          </cell>
          <cell r="BG1476">
            <v>31</v>
          </cell>
          <cell r="BH1476">
            <v>37987</v>
          </cell>
          <cell r="BI1476" t="str">
            <v>O</v>
          </cell>
        </row>
        <row r="1477">
          <cell r="A1477">
            <v>69755</v>
          </cell>
          <cell r="B1477">
            <v>411</v>
          </cell>
          <cell r="C1477" t="str">
            <v>C4152</v>
          </cell>
          <cell r="D1477" t="str">
            <v>ABADOU</v>
          </cell>
          <cell r="E1477" t="str">
            <v>MOHAMED</v>
          </cell>
          <cell r="F1477">
            <v>20011</v>
          </cell>
          <cell r="H1477" t="str">
            <v>AIT AATAB</v>
          </cell>
          <cell r="I1477" t="str">
            <v>D</v>
          </cell>
          <cell r="J1477">
            <v>28368</v>
          </cell>
          <cell r="K1477">
            <v>33573</v>
          </cell>
          <cell r="L1477" t="str">
            <v>22</v>
          </cell>
          <cell r="M1477" t="str">
            <v>B</v>
          </cell>
          <cell r="N1477">
            <v>35612</v>
          </cell>
          <cell r="P1477">
            <v>25</v>
          </cell>
          <cell r="Q1477" t="str">
            <v>O</v>
          </cell>
          <cell r="R1477" t="str">
            <v>N</v>
          </cell>
          <cell r="S1477">
            <v>0</v>
          </cell>
          <cell r="T1477" t="str">
            <v>M</v>
          </cell>
          <cell r="U1477" t="str">
            <v>KADRI FATIMA BENT MOHAND</v>
          </cell>
          <cell r="X1477">
            <v>5</v>
          </cell>
          <cell r="Y1477">
            <v>5</v>
          </cell>
          <cell r="AB1477" t="str">
            <v>X</v>
          </cell>
          <cell r="AC1477" t="str">
            <v>X</v>
          </cell>
          <cell r="AD1477" t="str">
            <v>X</v>
          </cell>
          <cell r="AH1477" t="str">
            <v>N</v>
          </cell>
          <cell r="AI1477" t="str">
            <v>N</v>
          </cell>
          <cell r="AK1477" t="str">
            <v>1021 VILLAGE O.C.P - BOULANOIR</v>
          </cell>
          <cell r="AL1477" t="str">
            <v>CM2</v>
          </cell>
          <cell r="AP1477" t="str">
            <v>Q 48503</v>
          </cell>
          <cell r="AQ1477">
            <v>0</v>
          </cell>
          <cell r="AR1477" t="str">
            <v>C</v>
          </cell>
          <cell r="AU1477" t="str">
            <v>/  /</v>
          </cell>
          <cell r="AW1477">
            <v>38353</v>
          </cell>
          <cell r="AZ1477" t="str">
            <v>M</v>
          </cell>
          <cell r="BA1477" t="str">
            <v>1</v>
          </cell>
          <cell r="BB1477">
            <v>1</v>
          </cell>
          <cell r="BD1477">
            <v>0</v>
          </cell>
          <cell r="BE1477" t="str">
            <v>M</v>
          </cell>
          <cell r="BF1477" t="str">
            <v>N</v>
          </cell>
          <cell r="BG1477">
            <v>40</v>
          </cell>
          <cell r="BH1477">
            <v>38353</v>
          </cell>
        </row>
        <row r="1478">
          <cell r="A1478">
            <v>69713</v>
          </cell>
          <cell r="B1478">
            <v>411</v>
          </cell>
          <cell r="C1478" t="str">
            <v>C4152</v>
          </cell>
          <cell r="D1478" t="str">
            <v>BAHLANE</v>
          </cell>
          <cell r="E1478" t="str">
            <v>OMAR</v>
          </cell>
          <cell r="F1478">
            <v>20695</v>
          </cell>
          <cell r="G1478" t="str">
            <v>1</v>
          </cell>
          <cell r="H1478" t="str">
            <v>KHOURIBGA</v>
          </cell>
          <cell r="I1478" t="str">
            <v>D</v>
          </cell>
          <cell r="J1478">
            <v>28363</v>
          </cell>
          <cell r="K1478">
            <v>33573</v>
          </cell>
          <cell r="L1478" t="str">
            <v>22</v>
          </cell>
          <cell r="M1478" t="str">
            <v>A</v>
          </cell>
          <cell r="N1478">
            <v>33573</v>
          </cell>
          <cell r="P1478">
            <v>25</v>
          </cell>
          <cell r="Q1478" t="str">
            <v>O</v>
          </cell>
          <cell r="R1478" t="str">
            <v>N</v>
          </cell>
          <cell r="S1478">
            <v>0</v>
          </cell>
          <cell r="T1478" t="str">
            <v>M</v>
          </cell>
          <cell r="U1478" t="str">
            <v>FAKINE ZOUBIDA BENT EL ARBI</v>
          </cell>
          <cell r="X1478">
            <v>5</v>
          </cell>
          <cell r="Y1478">
            <v>3</v>
          </cell>
          <cell r="AB1478" t="str">
            <v>X</v>
          </cell>
          <cell r="AC1478" t="str">
            <v>X</v>
          </cell>
          <cell r="AD1478" t="str">
            <v>X</v>
          </cell>
          <cell r="AH1478" t="str">
            <v>N</v>
          </cell>
          <cell r="AI1478" t="str">
            <v>N</v>
          </cell>
          <cell r="AK1478" t="str">
            <v>933 VILLAGE O.C.P - BOULANOIR</v>
          </cell>
          <cell r="AL1478" t="str">
            <v>CM2</v>
          </cell>
          <cell r="AP1478" t="str">
            <v>Q 20374</v>
          </cell>
          <cell r="AQ1478">
            <v>0</v>
          </cell>
          <cell r="AR1478" t="str">
            <v>B</v>
          </cell>
          <cell r="AS1478" t="str">
            <v>POPULAIRE  KHGA</v>
          </cell>
          <cell r="AT1478" t="str">
            <v>2111112847990004</v>
          </cell>
          <cell r="AU1478" t="str">
            <v>17/10/97</v>
          </cell>
          <cell r="AW1478">
            <v>39083</v>
          </cell>
          <cell r="AY1478" t="str">
            <v>O</v>
          </cell>
          <cell r="BA1478" t="str">
            <v>6</v>
          </cell>
          <cell r="BB1478">
            <v>1</v>
          </cell>
          <cell r="BD1478">
            <v>0</v>
          </cell>
          <cell r="BE1478" t="str">
            <v>M</v>
          </cell>
          <cell r="BF1478" t="str">
            <v>N</v>
          </cell>
          <cell r="BG1478">
            <v>40</v>
          </cell>
          <cell r="BH1478">
            <v>39083</v>
          </cell>
        </row>
        <row r="1479">
          <cell r="A1479">
            <v>64234</v>
          </cell>
          <cell r="B1479">
            <v>421</v>
          </cell>
          <cell r="C1479" t="str">
            <v>C7152</v>
          </cell>
          <cell r="D1479" t="str">
            <v>HAMIL</v>
          </cell>
          <cell r="E1479" t="str">
            <v>MOHAMMED</v>
          </cell>
          <cell r="F1479">
            <v>18974</v>
          </cell>
          <cell r="G1479" t="str">
            <v>4</v>
          </cell>
          <cell r="H1479" t="str">
            <v>BOULANOUAR</v>
          </cell>
          <cell r="I1479" t="str">
            <v>F</v>
          </cell>
          <cell r="J1479">
            <v>26777</v>
          </cell>
          <cell r="K1479">
            <v>33573</v>
          </cell>
          <cell r="L1479" t="str">
            <v>33</v>
          </cell>
          <cell r="M1479" t="str">
            <v>B</v>
          </cell>
          <cell r="N1479">
            <v>35612</v>
          </cell>
          <cell r="O1479">
            <v>0</v>
          </cell>
          <cell r="P1479">
            <v>30</v>
          </cell>
          <cell r="Q1479" t="str">
            <v>O</v>
          </cell>
          <cell r="R1479" t="str">
            <v>N</v>
          </cell>
          <cell r="S1479">
            <v>0</v>
          </cell>
          <cell r="T1479" t="str">
            <v>M</v>
          </cell>
          <cell r="U1479" t="str">
            <v>NOURADI FATNA BENT EL MAATI</v>
          </cell>
          <cell r="X1479">
            <v>6</v>
          </cell>
          <cell r="Y1479">
            <v>3</v>
          </cell>
          <cell r="AB1479" t="str">
            <v>X</v>
          </cell>
          <cell r="AC1479" t="str">
            <v>X</v>
          </cell>
          <cell r="AD1479" t="str">
            <v>X</v>
          </cell>
          <cell r="AH1479" t="str">
            <v>N</v>
          </cell>
          <cell r="AI1479" t="str">
            <v>O</v>
          </cell>
          <cell r="AJ1479">
            <v>33799</v>
          </cell>
          <cell r="AK1479" t="str">
            <v>37 DOUAR KADOUR BELHADJ FERME - KHGA</v>
          </cell>
          <cell r="AL1479" t="str">
            <v>4AS</v>
          </cell>
          <cell r="AM1479" t="str">
            <v>C.F.O</v>
          </cell>
          <cell r="AP1479" t="str">
            <v>Q 35547</v>
          </cell>
          <cell r="AQ1479">
            <v>0</v>
          </cell>
          <cell r="AR1479" t="str">
            <v>B</v>
          </cell>
          <cell r="AS1479" t="str">
            <v>BMCE - KHGA</v>
          </cell>
          <cell r="AT1479" t="str">
            <v>40001200001130592</v>
          </cell>
          <cell r="AU1479" t="str">
            <v>/  /</v>
          </cell>
          <cell r="AW1479">
            <v>37887</v>
          </cell>
          <cell r="AX1479">
            <v>37887</v>
          </cell>
          <cell r="AZ1479" t="str">
            <v>M</v>
          </cell>
          <cell r="BA1479" t="str">
            <v>1</v>
          </cell>
          <cell r="BB1479">
            <v>1</v>
          </cell>
          <cell r="BC1479" t="str">
            <v>O</v>
          </cell>
          <cell r="BD1479">
            <v>4</v>
          </cell>
          <cell r="BE1479" t="str">
            <v>M</v>
          </cell>
          <cell r="BF1479" t="str">
            <v>N</v>
          </cell>
          <cell r="BG1479">
            <v>4</v>
          </cell>
          <cell r="BH1479">
            <v>37438</v>
          </cell>
          <cell r="BI1479" t="str">
            <v>O</v>
          </cell>
        </row>
        <row r="1480">
          <cell r="A1480">
            <v>73112</v>
          </cell>
          <cell r="B1480">
            <v>423</v>
          </cell>
          <cell r="C1480" t="str">
            <v>C6200</v>
          </cell>
          <cell r="D1480" t="str">
            <v>TAALLA</v>
          </cell>
          <cell r="E1480" t="str">
            <v>OMAR</v>
          </cell>
          <cell r="F1480">
            <v>21246</v>
          </cell>
          <cell r="H1480" t="str">
            <v>OUJDA</v>
          </cell>
          <cell r="I1480" t="str">
            <v>F</v>
          </cell>
          <cell r="J1480">
            <v>29924</v>
          </cell>
          <cell r="K1480">
            <v>37043</v>
          </cell>
          <cell r="L1480" t="str">
            <v>32</v>
          </cell>
          <cell r="M1480" t="str">
            <v>A</v>
          </cell>
          <cell r="N1480">
            <v>37043</v>
          </cell>
          <cell r="P1480">
            <v>21</v>
          </cell>
          <cell r="Q1480" t="str">
            <v>O</v>
          </cell>
          <cell r="R1480" t="str">
            <v>N</v>
          </cell>
          <cell r="S1480">
            <v>0</v>
          </cell>
          <cell r="T1480" t="str">
            <v>M</v>
          </cell>
          <cell r="U1480" t="str">
            <v>RATTAL BOUCHRA</v>
          </cell>
          <cell r="X1480">
            <v>3</v>
          </cell>
          <cell r="Y1480">
            <v>3</v>
          </cell>
          <cell r="AB1480" t="str">
            <v>X</v>
          </cell>
          <cell r="AC1480" t="str">
            <v>X</v>
          </cell>
          <cell r="AD1480" t="str">
            <v>X</v>
          </cell>
          <cell r="AH1480" t="str">
            <v>N</v>
          </cell>
          <cell r="AI1480" t="str">
            <v>N</v>
          </cell>
          <cell r="AK1480" t="str">
            <v>16 BLOC 1 KHOUARDIA JDAD - KHGA</v>
          </cell>
          <cell r="AL1480" t="str">
            <v>5AS</v>
          </cell>
          <cell r="AM1480" t="str">
            <v>C.F.P - C.Q.P - C.F.O</v>
          </cell>
          <cell r="AP1480" t="str">
            <v>Q 256443</v>
          </cell>
          <cell r="AQ1480">
            <v>0</v>
          </cell>
          <cell r="AR1480" t="str">
            <v>B</v>
          </cell>
          <cell r="AS1480" t="str">
            <v>POPULAIRE KHGA</v>
          </cell>
          <cell r="AT1480" t="str">
            <v>2111113117520000</v>
          </cell>
          <cell r="AU1480" t="str">
            <v>/  /</v>
          </cell>
          <cell r="AW1480">
            <v>39630</v>
          </cell>
          <cell r="BA1480" t="str">
            <v>2</v>
          </cell>
          <cell r="BB1480">
            <v>0</v>
          </cell>
          <cell r="BD1480">
            <v>0</v>
          </cell>
          <cell r="BE1480" t="str">
            <v>M</v>
          </cell>
          <cell r="BG1480">
            <v>4</v>
          </cell>
          <cell r="BH1480">
            <v>39630</v>
          </cell>
        </row>
        <row r="1481">
          <cell r="A1481">
            <v>91482</v>
          </cell>
          <cell r="B1481">
            <v>413</v>
          </cell>
          <cell r="C1481" t="str">
            <v>X5200</v>
          </cell>
          <cell r="D1481" t="str">
            <v>DIRAA</v>
          </cell>
          <cell r="E1481" t="str">
            <v>BOUCHTA</v>
          </cell>
          <cell r="F1481">
            <v>22142</v>
          </cell>
          <cell r="G1481" t="str">
            <v>1</v>
          </cell>
          <cell r="H1481" t="str">
            <v>KHOURIBGA</v>
          </cell>
          <cell r="I1481" t="str">
            <v>F</v>
          </cell>
          <cell r="J1481">
            <v>31260</v>
          </cell>
          <cell r="K1481">
            <v>37073</v>
          </cell>
          <cell r="L1481" t="str">
            <v>51</v>
          </cell>
          <cell r="M1481" t="str">
            <v>A</v>
          </cell>
          <cell r="N1481">
            <v>37073</v>
          </cell>
          <cell r="P1481">
            <v>17</v>
          </cell>
          <cell r="Q1481" t="str">
            <v>O</v>
          </cell>
          <cell r="R1481" t="str">
            <v>N</v>
          </cell>
          <cell r="S1481">
            <v>0</v>
          </cell>
          <cell r="T1481" t="str">
            <v>M</v>
          </cell>
          <cell r="U1481" t="str">
            <v>EZ-ZOHRA BENT JILALI EL HOURRI</v>
          </cell>
          <cell r="X1481">
            <v>5</v>
          </cell>
          <cell r="Y1481">
            <v>5</v>
          </cell>
          <cell r="AB1481" t="str">
            <v>X</v>
          </cell>
          <cell r="AC1481" t="str">
            <v>X</v>
          </cell>
          <cell r="AD1481" t="str">
            <v>X</v>
          </cell>
          <cell r="AH1481" t="str">
            <v>O</v>
          </cell>
          <cell r="AI1481" t="str">
            <v>N</v>
          </cell>
          <cell r="AK1481" t="str">
            <v>8 BLOC 7 NVX LOGEMNTS O.C.P - KHGA</v>
          </cell>
          <cell r="AL1481" t="str">
            <v>1 FAC</v>
          </cell>
          <cell r="AM1481" t="str">
            <v>BAC - E.M.M</v>
          </cell>
          <cell r="AP1481" t="str">
            <v>Q 64636</v>
          </cell>
          <cell r="AQ1481">
            <v>0</v>
          </cell>
          <cell r="AR1481" t="str">
            <v>B</v>
          </cell>
          <cell r="AS1481" t="str">
            <v>B.M.C.I - KHOURIBGA</v>
          </cell>
          <cell r="AT1481" t="str">
            <v>02820880183301</v>
          </cell>
          <cell r="AU1481" t="str">
            <v>/  /</v>
          </cell>
          <cell r="AW1481">
            <v>43265</v>
          </cell>
          <cell r="AX1481">
            <v>43265</v>
          </cell>
          <cell r="BA1481" t="str">
            <v>2</v>
          </cell>
          <cell r="BB1481">
            <v>1</v>
          </cell>
          <cell r="BD1481">
            <v>0</v>
          </cell>
          <cell r="BE1481" t="str">
            <v>M</v>
          </cell>
          <cell r="BF1481" t="str">
            <v>N</v>
          </cell>
          <cell r="BG1481">
            <v>1</v>
          </cell>
          <cell r="BH1481">
            <v>41275</v>
          </cell>
          <cell r="BI1481" t="str">
            <v>N</v>
          </cell>
        </row>
        <row r="1482">
          <cell r="A1482">
            <v>95848</v>
          </cell>
          <cell r="B1482">
            <v>421</v>
          </cell>
          <cell r="C1482" t="str">
            <v>X3150</v>
          </cell>
          <cell r="D1482" t="str">
            <v>MANIANI</v>
          </cell>
          <cell r="E1482" t="str">
            <v>BOUAZZA</v>
          </cell>
          <cell r="F1482">
            <v>19540</v>
          </cell>
          <cell r="H1482" t="str">
            <v>MAARIF -  BEN AHMED</v>
          </cell>
          <cell r="I1482" t="str">
            <v>D</v>
          </cell>
          <cell r="J1482">
            <v>27309</v>
          </cell>
          <cell r="K1482">
            <v>35431</v>
          </cell>
          <cell r="L1482" t="str">
            <v>41</v>
          </cell>
          <cell r="M1482" t="str">
            <v>A</v>
          </cell>
          <cell r="N1482">
            <v>35431</v>
          </cell>
          <cell r="P1482">
            <v>28</v>
          </cell>
          <cell r="Q1482" t="str">
            <v>O</v>
          </cell>
          <cell r="R1482" t="str">
            <v>N</v>
          </cell>
          <cell r="S1482">
            <v>0</v>
          </cell>
          <cell r="T1482" t="str">
            <v>M</v>
          </cell>
          <cell r="U1482" t="str">
            <v>BENNIS LAILA</v>
          </cell>
          <cell r="X1482">
            <v>2</v>
          </cell>
          <cell r="Y1482">
            <v>2</v>
          </cell>
          <cell r="AB1482" t="str">
            <v>N</v>
          </cell>
          <cell r="AC1482" t="str">
            <v>X</v>
          </cell>
          <cell r="AD1482" t="str">
            <v>X</v>
          </cell>
          <cell r="AH1482" t="str">
            <v>N</v>
          </cell>
          <cell r="AI1482" t="str">
            <v>N</v>
          </cell>
          <cell r="AK1482" t="str">
            <v>181 RUE GUAMBIA EL KARAM NAHDA - KHGA</v>
          </cell>
          <cell r="AL1482" t="str">
            <v>D.T.M</v>
          </cell>
          <cell r="AM1482" t="str">
            <v>C.E.P - C.E.S - D.T.M - E.M.M</v>
          </cell>
          <cell r="AP1482" t="str">
            <v>Q 28209</v>
          </cell>
          <cell r="AQ1482">
            <v>0</v>
          </cell>
          <cell r="AR1482" t="str">
            <v>B</v>
          </cell>
          <cell r="AS1482" t="str">
            <v>POPULAIRE  KHGA</v>
          </cell>
          <cell r="AT1482" t="str">
            <v>2111112761660005</v>
          </cell>
          <cell r="AU1482" t="str">
            <v>/  /</v>
          </cell>
          <cell r="AW1482">
            <v>37803</v>
          </cell>
          <cell r="AZ1482" t="str">
            <v>M</v>
          </cell>
          <cell r="BA1482" t="str">
            <v>1</v>
          </cell>
          <cell r="BB1482">
            <v>1</v>
          </cell>
          <cell r="BC1482" t="str">
            <v>O</v>
          </cell>
          <cell r="BD1482">
            <v>0</v>
          </cell>
          <cell r="BE1482" t="str">
            <v>M</v>
          </cell>
          <cell r="BF1482" t="str">
            <v>N</v>
          </cell>
          <cell r="BG1482">
            <v>5</v>
          </cell>
          <cell r="BH1482">
            <v>37803</v>
          </cell>
          <cell r="BI1482" t="str">
            <v>O</v>
          </cell>
        </row>
        <row r="1483">
          <cell r="A1483">
            <v>97976</v>
          </cell>
          <cell r="B1483">
            <v>421</v>
          </cell>
          <cell r="C1483" t="str">
            <v>X3150</v>
          </cell>
          <cell r="D1483" t="str">
            <v>KHACHAT</v>
          </cell>
          <cell r="E1483" t="str">
            <v>LHOUSSAINE</v>
          </cell>
          <cell r="F1483">
            <v>19540</v>
          </cell>
          <cell r="H1483" t="str">
            <v>AIT ATTAB - AZZILAL</v>
          </cell>
          <cell r="I1483" t="str">
            <v>F</v>
          </cell>
          <cell r="J1483">
            <v>28681</v>
          </cell>
          <cell r="K1483">
            <v>28703</v>
          </cell>
          <cell r="L1483" t="str">
            <v>41</v>
          </cell>
          <cell r="M1483" t="str">
            <v>A</v>
          </cell>
          <cell r="N1483">
            <v>28703</v>
          </cell>
          <cell r="P1483">
            <v>24</v>
          </cell>
          <cell r="Q1483" t="str">
            <v>O</v>
          </cell>
          <cell r="R1483" t="str">
            <v>N</v>
          </cell>
          <cell r="S1483">
            <v>0</v>
          </cell>
          <cell r="T1483" t="str">
            <v>M</v>
          </cell>
          <cell r="U1483" t="str">
            <v>AIT KHALLOUK KHADIJA</v>
          </cell>
          <cell r="X1483">
            <v>3</v>
          </cell>
          <cell r="Y1483">
            <v>3</v>
          </cell>
          <cell r="AB1483" t="str">
            <v>X</v>
          </cell>
          <cell r="AC1483" t="str">
            <v>X</v>
          </cell>
          <cell r="AD1483" t="str">
            <v>X</v>
          </cell>
          <cell r="AH1483" t="str">
            <v>N</v>
          </cell>
          <cell r="AI1483" t="str">
            <v>N</v>
          </cell>
          <cell r="AK1483" t="str">
            <v>61,RUE SFAQS LOT.EL HAOUD RIAD KHOURIBGA</v>
          </cell>
          <cell r="AL1483" t="str">
            <v>7 SC.EX</v>
          </cell>
          <cell r="AM1483" t="str">
            <v>C.E.S - E.M.M</v>
          </cell>
          <cell r="AP1483" t="str">
            <v>Q 15664</v>
          </cell>
          <cell r="AQ1483">
            <v>0</v>
          </cell>
          <cell r="AR1483" t="str">
            <v>B</v>
          </cell>
          <cell r="AS1483" t="str">
            <v>WAFABANK -KHGA</v>
          </cell>
          <cell r="AT1483" t="str">
            <v>1220301268547</v>
          </cell>
          <cell r="AU1483" t="str">
            <v>/  /</v>
          </cell>
          <cell r="AW1483">
            <v>38353</v>
          </cell>
          <cell r="BA1483" t="str">
            <v>1</v>
          </cell>
          <cell r="BB1483">
            <v>1</v>
          </cell>
          <cell r="BC1483" t="str">
            <v>O</v>
          </cell>
          <cell r="BD1483">
            <v>0</v>
          </cell>
          <cell r="BE1483" t="str">
            <v>M</v>
          </cell>
          <cell r="BF1483" t="str">
            <v>N</v>
          </cell>
          <cell r="BG1483">
            <v>5</v>
          </cell>
          <cell r="BH1483">
            <v>38718</v>
          </cell>
          <cell r="BI1483" t="str">
            <v>O</v>
          </cell>
        </row>
        <row r="1484">
          <cell r="A1484">
            <v>97984</v>
          </cell>
          <cell r="B1484">
            <v>421</v>
          </cell>
          <cell r="C1484" t="str">
            <v>X3150</v>
          </cell>
          <cell r="D1484" t="str">
            <v>EL OMARI</v>
          </cell>
          <cell r="E1484" t="str">
            <v>EL ARBI</v>
          </cell>
          <cell r="F1484">
            <v>18809</v>
          </cell>
          <cell r="G1484" t="str">
            <v>2</v>
          </cell>
          <cell r="H1484" t="str">
            <v>OUED-ZEM</v>
          </cell>
          <cell r="I1484" t="str">
            <v>F</v>
          </cell>
          <cell r="J1484">
            <v>28681</v>
          </cell>
          <cell r="K1484">
            <v>28703</v>
          </cell>
          <cell r="L1484" t="str">
            <v>41</v>
          </cell>
          <cell r="M1484" t="str">
            <v>A</v>
          </cell>
          <cell r="N1484">
            <v>28703</v>
          </cell>
          <cell r="P1484">
            <v>24</v>
          </cell>
          <cell r="Q1484" t="str">
            <v>O</v>
          </cell>
          <cell r="R1484" t="str">
            <v>N</v>
          </cell>
          <cell r="S1484">
            <v>0</v>
          </cell>
          <cell r="T1484" t="str">
            <v>M</v>
          </cell>
          <cell r="U1484" t="str">
            <v>EL AMIL NAIMA BENT MOHAMED</v>
          </cell>
          <cell r="X1484">
            <v>4</v>
          </cell>
          <cell r="Y1484">
            <v>3</v>
          </cell>
          <cell r="AB1484" t="str">
            <v>X</v>
          </cell>
          <cell r="AC1484" t="str">
            <v>X</v>
          </cell>
          <cell r="AD1484" t="str">
            <v>X</v>
          </cell>
          <cell r="AH1484" t="str">
            <v>N</v>
          </cell>
          <cell r="AI1484" t="str">
            <v>N</v>
          </cell>
          <cell r="AK1484" t="str">
            <v>81 BLOC A HAY AL WAHDA - OUED ZEM</v>
          </cell>
          <cell r="AL1484" t="str">
            <v>7 SC. EX</v>
          </cell>
          <cell r="AM1484" t="str">
            <v>C.E.S - E.M.M</v>
          </cell>
          <cell r="AP1484" t="str">
            <v>Q 30478</v>
          </cell>
          <cell r="AQ1484">
            <v>0</v>
          </cell>
          <cell r="AR1484" t="str">
            <v>B</v>
          </cell>
          <cell r="AS1484" t="str">
            <v>C.N.C.A - KHGA</v>
          </cell>
          <cell r="AT1484" t="str">
            <v>804037V601</v>
          </cell>
          <cell r="AU1484" t="str">
            <v>/  /</v>
          </cell>
          <cell r="AW1484">
            <v>38353</v>
          </cell>
          <cell r="BA1484" t="str">
            <v>1</v>
          </cell>
          <cell r="BB1484">
            <v>1</v>
          </cell>
          <cell r="BD1484">
            <v>0</v>
          </cell>
          <cell r="BE1484" t="str">
            <v>M</v>
          </cell>
          <cell r="BF1484" t="str">
            <v>N</v>
          </cell>
          <cell r="BG1484">
            <v>31</v>
          </cell>
          <cell r="BH1484">
            <v>38718</v>
          </cell>
          <cell r="BI1484" t="str">
            <v>N</v>
          </cell>
        </row>
        <row r="1485">
          <cell r="A1485">
            <v>97989</v>
          </cell>
          <cell r="B1485">
            <v>428</v>
          </cell>
          <cell r="C1485" t="str">
            <v>X3150</v>
          </cell>
          <cell r="D1485" t="str">
            <v>ZAHRI</v>
          </cell>
          <cell r="E1485" t="str">
            <v>KADDOUR</v>
          </cell>
          <cell r="F1485">
            <v>20270</v>
          </cell>
          <cell r="G1485" t="str">
            <v>2</v>
          </cell>
          <cell r="H1485" t="str">
            <v>SMAALA OUED-ZEM</v>
          </cell>
          <cell r="I1485" t="str">
            <v>F</v>
          </cell>
          <cell r="J1485">
            <v>28681</v>
          </cell>
          <cell r="K1485">
            <v>35612</v>
          </cell>
          <cell r="L1485" t="str">
            <v>41</v>
          </cell>
          <cell r="M1485" t="str">
            <v>A</v>
          </cell>
          <cell r="N1485">
            <v>35612</v>
          </cell>
          <cell r="P1485">
            <v>24</v>
          </cell>
          <cell r="Q1485" t="str">
            <v>O</v>
          </cell>
          <cell r="R1485" t="str">
            <v>N</v>
          </cell>
          <cell r="S1485">
            <v>0</v>
          </cell>
          <cell r="T1485" t="str">
            <v>M</v>
          </cell>
          <cell r="U1485" t="str">
            <v>HATTABI OUAFA</v>
          </cell>
          <cell r="X1485">
            <v>3</v>
          </cell>
          <cell r="Y1485">
            <v>2</v>
          </cell>
          <cell r="AB1485" t="str">
            <v>N</v>
          </cell>
          <cell r="AC1485" t="str">
            <v>X</v>
          </cell>
          <cell r="AD1485" t="str">
            <v>X</v>
          </cell>
          <cell r="AH1485" t="str">
            <v>N</v>
          </cell>
          <cell r="AI1485" t="str">
            <v>N</v>
          </cell>
          <cell r="AK1485" t="str">
            <v>113,LOTISSEMENT EL HAOUD RIAD KHOURIBGA</v>
          </cell>
          <cell r="AL1485" t="str">
            <v>7 SC. EX</v>
          </cell>
          <cell r="AM1485" t="str">
            <v>C.E.P - C.E.S - E.M.M</v>
          </cell>
          <cell r="AP1485" t="str">
            <v>Q 21681</v>
          </cell>
          <cell r="AQ1485">
            <v>0</v>
          </cell>
          <cell r="AR1485" t="str">
            <v>B</v>
          </cell>
          <cell r="AS1485" t="str">
            <v>POPULAIRE  KHGA</v>
          </cell>
          <cell r="AT1485" t="str">
            <v>2111112773370007</v>
          </cell>
          <cell r="AU1485" t="str">
            <v>/  /</v>
          </cell>
          <cell r="AW1485">
            <v>38534</v>
          </cell>
          <cell r="AZ1485" t="str">
            <v>M</v>
          </cell>
          <cell r="BA1485" t="str">
            <v>1</v>
          </cell>
          <cell r="BB1485">
            <v>1</v>
          </cell>
          <cell r="BC1485" t="str">
            <v>O</v>
          </cell>
          <cell r="BD1485">
            <v>0</v>
          </cell>
          <cell r="BE1485" t="str">
            <v>M</v>
          </cell>
          <cell r="BF1485" t="str">
            <v>N</v>
          </cell>
          <cell r="BG1485">
            <v>4</v>
          </cell>
          <cell r="BH1485">
            <v>38718</v>
          </cell>
          <cell r="BI1485" t="str">
            <v>O</v>
          </cell>
        </row>
        <row r="1486">
          <cell r="A1486">
            <v>98866</v>
          </cell>
          <cell r="B1486">
            <v>403</v>
          </cell>
          <cell r="C1486" t="str">
            <v>X4150</v>
          </cell>
          <cell r="D1486" t="str">
            <v>ABLA</v>
          </cell>
          <cell r="E1486" t="str">
            <v>MOHAMED</v>
          </cell>
          <cell r="F1486">
            <v>20887</v>
          </cell>
          <cell r="H1486" t="str">
            <v>MAARIF - BEN AHMED</v>
          </cell>
          <cell r="I1486" t="str">
            <v>F</v>
          </cell>
          <cell r="J1486">
            <v>30228</v>
          </cell>
          <cell r="K1486">
            <v>35065</v>
          </cell>
          <cell r="L1486" t="str">
            <v>42</v>
          </cell>
          <cell r="M1486" t="str">
            <v>A</v>
          </cell>
          <cell r="N1486">
            <v>35065</v>
          </cell>
          <cell r="O1486">
            <v>0</v>
          </cell>
          <cell r="P1486">
            <v>20</v>
          </cell>
          <cell r="Q1486" t="str">
            <v>O</v>
          </cell>
          <cell r="R1486" t="str">
            <v>N</v>
          </cell>
          <cell r="S1486">
            <v>0</v>
          </cell>
          <cell r="T1486" t="str">
            <v>M</v>
          </cell>
          <cell r="U1486" t="str">
            <v>SAOUAB OUM KELTOUM</v>
          </cell>
          <cell r="X1486">
            <v>4</v>
          </cell>
          <cell r="Y1486">
            <v>4</v>
          </cell>
          <cell r="AB1486" t="str">
            <v>X</v>
          </cell>
          <cell r="AC1486" t="str">
            <v>X</v>
          </cell>
          <cell r="AD1486" t="str">
            <v>X</v>
          </cell>
          <cell r="AH1486" t="str">
            <v>N</v>
          </cell>
          <cell r="AI1486" t="str">
            <v>N</v>
          </cell>
          <cell r="AK1486" t="str">
            <v>113 LOTISSEMENT EL AMAL - KHOURIBGA</v>
          </cell>
          <cell r="AL1486" t="str">
            <v>7 SC. EX</v>
          </cell>
          <cell r="AM1486" t="str">
            <v>C.E.S - E.M.M</v>
          </cell>
          <cell r="AP1486" t="str">
            <v>W 83297</v>
          </cell>
          <cell r="AQ1486">
            <v>0</v>
          </cell>
          <cell r="AR1486" t="str">
            <v>B</v>
          </cell>
          <cell r="AS1486" t="str">
            <v>B.M.C.E - KHGA</v>
          </cell>
          <cell r="AT1486" t="str">
            <v>40001200000358569</v>
          </cell>
          <cell r="AU1486" t="str">
            <v>/  /</v>
          </cell>
          <cell r="AW1486">
            <v>39995</v>
          </cell>
          <cell r="BA1486" t="str">
            <v>2</v>
          </cell>
          <cell r="BB1486">
            <v>1</v>
          </cell>
          <cell r="BD1486">
            <v>0</v>
          </cell>
          <cell r="BE1486" t="str">
            <v>M</v>
          </cell>
          <cell r="BF1486" t="str">
            <v>N</v>
          </cell>
          <cell r="BG1486">
            <v>4</v>
          </cell>
          <cell r="BH1486">
            <v>40360</v>
          </cell>
          <cell r="BI1486" t="str">
            <v>O</v>
          </cell>
        </row>
        <row r="1487">
          <cell r="A1487">
            <v>63770</v>
          </cell>
          <cell r="B1487">
            <v>413</v>
          </cell>
          <cell r="C1487" t="str">
            <v>C6200</v>
          </cell>
          <cell r="D1487" t="str">
            <v>EL MOUKHTAFI</v>
          </cell>
          <cell r="E1487" t="str">
            <v>EL MOSTAFA</v>
          </cell>
          <cell r="F1487">
            <v>19175</v>
          </cell>
          <cell r="G1487" t="str">
            <v>3</v>
          </cell>
          <cell r="H1487" t="str">
            <v>OULED BRAHIM</v>
          </cell>
          <cell r="I1487" t="str">
            <v>D</v>
          </cell>
          <cell r="J1487">
            <v>26592</v>
          </cell>
          <cell r="K1487">
            <v>32478</v>
          </cell>
          <cell r="L1487" t="str">
            <v>32</v>
          </cell>
          <cell r="M1487" t="str">
            <v>A</v>
          </cell>
          <cell r="N1487">
            <v>32478</v>
          </cell>
          <cell r="P1487">
            <v>30</v>
          </cell>
          <cell r="Q1487" t="str">
            <v>O</v>
          </cell>
          <cell r="R1487" t="str">
            <v>N</v>
          </cell>
          <cell r="S1487">
            <v>0</v>
          </cell>
          <cell r="T1487" t="str">
            <v>M</v>
          </cell>
          <cell r="U1487" t="str">
            <v>TOUSANI SAADIA</v>
          </cell>
          <cell r="V1487" t="str">
            <v>TORI FATIMA</v>
          </cell>
          <cell r="X1487">
            <v>6</v>
          </cell>
          <cell r="Y1487">
            <v>5</v>
          </cell>
          <cell r="AB1487" t="str">
            <v>X</v>
          </cell>
          <cell r="AC1487" t="str">
            <v>X</v>
          </cell>
          <cell r="AD1487" t="str">
            <v>X</v>
          </cell>
          <cell r="AH1487" t="str">
            <v>N</v>
          </cell>
          <cell r="AI1487" t="str">
            <v>N</v>
          </cell>
          <cell r="AK1487" t="str">
            <v>61 DERB 4 - BOUJNIBA</v>
          </cell>
          <cell r="AL1487" t="str">
            <v>4 AS</v>
          </cell>
          <cell r="AM1487" t="str">
            <v>C.F.O</v>
          </cell>
          <cell r="AP1487" t="str">
            <v>Q 64783</v>
          </cell>
          <cell r="AQ1487">
            <v>0</v>
          </cell>
          <cell r="AR1487" t="str">
            <v>B</v>
          </cell>
          <cell r="AS1487" t="str">
            <v>S.G.M.B - KHGA</v>
          </cell>
          <cell r="AT1487" t="str">
            <v>0670009241983</v>
          </cell>
          <cell r="AU1487" t="str">
            <v>/  /</v>
          </cell>
          <cell r="AW1487">
            <v>37438</v>
          </cell>
          <cell r="BA1487" t="str">
            <v>2</v>
          </cell>
          <cell r="BB1487">
            <v>1</v>
          </cell>
          <cell r="BD1487">
            <v>0</v>
          </cell>
          <cell r="BE1487" t="str">
            <v>M</v>
          </cell>
          <cell r="BF1487" t="str">
            <v>N</v>
          </cell>
          <cell r="BG1487">
            <v>50</v>
          </cell>
          <cell r="BH1487">
            <v>37438</v>
          </cell>
          <cell r="BI1487" t="str">
            <v>O</v>
          </cell>
        </row>
        <row r="1488">
          <cell r="A1488">
            <v>86714</v>
          </cell>
          <cell r="B1488">
            <v>413</v>
          </cell>
          <cell r="C1488" t="str">
            <v>X3200</v>
          </cell>
          <cell r="D1488" t="str">
            <v>FARROUK</v>
          </cell>
          <cell r="E1488" t="str">
            <v>MOHAMED</v>
          </cell>
          <cell r="F1488">
            <v>22827</v>
          </cell>
          <cell r="H1488" t="str">
            <v>OULED HRIZ - BERRECHID</v>
          </cell>
          <cell r="I1488" t="str">
            <v>F</v>
          </cell>
          <cell r="J1488">
            <v>31246</v>
          </cell>
          <cell r="K1488">
            <v>33786</v>
          </cell>
          <cell r="L1488" t="str">
            <v>41</v>
          </cell>
          <cell r="M1488" t="str">
            <v>A</v>
          </cell>
          <cell r="N1488">
            <v>33786</v>
          </cell>
          <cell r="P1488">
            <v>17</v>
          </cell>
          <cell r="Q1488" t="str">
            <v>O</v>
          </cell>
          <cell r="R1488" t="str">
            <v>N</v>
          </cell>
          <cell r="S1488">
            <v>0</v>
          </cell>
          <cell r="T1488" t="str">
            <v>M</v>
          </cell>
          <cell r="U1488" t="str">
            <v>KHAMMAR KABIRA</v>
          </cell>
          <cell r="X1488">
            <v>3</v>
          </cell>
          <cell r="Y1488">
            <v>3</v>
          </cell>
          <cell r="AB1488" t="str">
            <v>X</v>
          </cell>
          <cell r="AC1488" t="str">
            <v>X</v>
          </cell>
          <cell r="AD1488" t="str">
            <v>X</v>
          </cell>
          <cell r="AH1488" t="str">
            <v>N</v>
          </cell>
          <cell r="AI1488" t="str">
            <v>N</v>
          </cell>
          <cell r="AK1488" t="str">
            <v>19 BLOC D GUELETETE ZEMMOUR MASSIRA KHGA</v>
          </cell>
          <cell r="AL1488" t="str">
            <v>5EME SCE EXP</v>
          </cell>
          <cell r="AM1488" t="str">
            <v>C.Q.P - C.F.O - E.M.M</v>
          </cell>
          <cell r="AP1488" t="str">
            <v>Q 455688</v>
          </cell>
          <cell r="AQ1488">
            <v>0</v>
          </cell>
          <cell r="AR1488" t="str">
            <v>B</v>
          </cell>
          <cell r="AS1488" t="str">
            <v>B.M.C.E - KHGA</v>
          </cell>
          <cell r="AT1488" t="str">
            <v>40001200000913215</v>
          </cell>
          <cell r="AU1488" t="str">
            <v>/  /</v>
          </cell>
          <cell r="AW1488">
            <v>41275</v>
          </cell>
          <cell r="BA1488" t="str">
            <v>2</v>
          </cell>
          <cell r="BB1488">
            <v>1</v>
          </cell>
          <cell r="BD1488">
            <v>0</v>
          </cell>
          <cell r="BE1488" t="str">
            <v>M</v>
          </cell>
          <cell r="BF1488" t="str">
            <v>N</v>
          </cell>
          <cell r="BG1488">
            <v>1</v>
          </cell>
          <cell r="BH1488">
            <v>41275</v>
          </cell>
          <cell r="BI1488" t="str">
            <v>N</v>
          </cell>
        </row>
        <row r="1489">
          <cell r="A1489">
            <v>520</v>
          </cell>
          <cell r="B1489">
            <v>457</v>
          </cell>
          <cell r="C1489" t="str">
            <v>X3450</v>
          </cell>
          <cell r="D1489" t="str">
            <v>AFOUKAL</v>
          </cell>
          <cell r="E1489" t="str">
            <v>ALI</v>
          </cell>
          <cell r="F1489">
            <v>24838</v>
          </cell>
          <cell r="G1489" t="str">
            <v>1</v>
          </cell>
          <cell r="H1489" t="str">
            <v>KHOURIBGA</v>
          </cell>
          <cell r="I1489" t="str">
            <v>F</v>
          </cell>
          <cell r="J1489">
            <v>33817</v>
          </cell>
          <cell r="K1489">
            <v>33817</v>
          </cell>
          <cell r="L1489" t="str">
            <v>41</v>
          </cell>
          <cell r="M1489" t="str">
            <v>A</v>
          </cell>
          <cell r="N1489">
            <v>33817</v>
          </cell>
          <cell r="P1489">
            <v>10</v>
          </cell>
          <cell r="Q1489" t="str">
            <v>O</v>
          </cell>
          <cell r="R1489" t="str">
            <v>N</v>
          </cell>
          <cell r="S1489">
            <v>0</v>
          </cell>
          <cell r="T1489" t="str">
            <v>M</v>
          </cell>
          <cell r="U1489" t="str">
            <v>ABOUHARIA FATIMA</v>
          </cell>
          <cell r="X1489">
            <v>2</v>
          </cell>
          <cell r="Y1489">
            <v>2</v>
          </cell>
          <cell r="AB1489" t="str">
            <v>X</v>
          </cell>
          <cell r="AC1489" t="str">
            <v>X</v>
          </cell>
          <cell r="AD1489" t="str">
            <v>X</v>
          </cell>
          <cell r="AH1489" t="str">
            <v>N</v>
          </cell>
          <cell r="AI1489" t="str">
            <v>N</v>
          </cell>
          <cell r="AK1489" t="str">
            <v>18, RUE TAKADDOUM Q. EL HOUDA - KHGA</v>
          </cell>
          <cell r="AL1489" t="str">
            <v>7 SC. EXP.</v>
          </cell>
          <cell r="AM1489" t="str">
            <v>CEP - CES - BAC - EMM</v>
          </cell>
          <cell r="AP1489" t="str">
            <v>Q 118578</v>
          </cell>
          <cell r="AQ1489">
            <v>0</v>
          </cell>
          <cell r="AR1489" t="str">
            <v>B</v>
          </cell>
          <cell r="AS1489" t="str">
            <v>S.G.M.B - KHGA</v>
          </cell>
          <cell r="AT1489" t="str">
            <v>9201435</v>
          </cell>
          <cell r="AU1489" t="str">
            <v>/  /</v>
          </cell>
          <cell r="AW1489">
            <v>43831</v>
          </cell>
          <cell r="BA1489" t="str">
            <v>2</v>
          </cell>
          <cell r="BB1489">
            <v>0</v>
          </cell>
          <cell r="BD1489">
            <v>0</v>
          </cell>
          <cell r="BE1489" t="str">
            <v>M</v>
          </cell>
          <cell r="BG1489">
            <v>5</v>
          </cell>
          <cell r="BH1489">
            <v>43831</v>
          </cell>
          <cell r="BI1489" t="str">
            <v>O</v>
          </cell>
        </row>
        <row r="1490">
          <cell r="A1490">
            <v>515</v>
          </cell>
          <cell r="B1490">
            <v>437</v>
          </cell>
          <cell r="C1490" t="str">
            <v>X5050</v>
          </cell>
          <cell r="D1490" t="str">
            <v>HAMDI</v>
          </cell>
          <cell r="E1490" t="str">
            <v>LATIFA</v>
          </cell>
          <cell r="F1490">
            <v>25338</v>
          </cell>
          <cell r="H1490" t="str">
            <v>OUEZZANE</v>
          </cell>
          <cell r="I1490" t="str">
            <v>F</v>
          </cell>
          <cell r="J1490">
            <v>33817</v>
          </cell>
          <cell r="K1490">
            <v>37073</v>
          </cell>
          <cell r="L1490" t="str">
            <v>51</v>
          </cell>
          <cell r="M1490" t="str">
            <v>A</v>
          </cell>
          <cell r="N1490">
            <v>37073</v>
          </cell>
          <cell r="P1490">
            <v>10</v>
          </cell>
          <cell r="Q1490" t="str">
            <v>N</v>
          </cell>
          <cell r="R1490" t="str">
            <v>N</v>
          </cell>
          <cell r="S1490">
            <v>0</v>
          </cell>
          <cell r="T1490" t="str">
            <v>M</v>
          </cell>
          <cell r="U1490" t="str">
            <v>AISSAOUI ABDERRAHIM</v>
          </cell>
          <cell r="X1490">
            <v>0</v>
          </cell>
          <cell r="Y1490">
            <v>0</v>
          </cell>
          <cell r="AB1490" t="str">
            <v>O</v>
          </cell>
          <cell r="AC1490" t="str">
            <v>X</v>
          </cell>
          <cell r="AD1490" t="str">
            <v>X</v>
          </cell>
          <cell r="AE1490" t="str">
            <v>O.C.P MLE 91758</v>
          </cell>
          <cell r="AH1490" t="str">
            <v>O</v>
          </cell>
          <cell r="AI1490" t="str">
            <v>N</v>
          </cell>
          <cell r="AK1490" t="str">
            <v>5, RUE KENITRA VILLE O.C.P - KHGA</v>
          </cell>
          <cell r="AL1490" t="str">
            <v>1 FAC</v>
          </cell>
          <cell r="AM1490" t="str">
            <v>BAC - EMM</v>
          </cell>
          <cell r="AP1490" t="str">
            <v>Q 134513</v>
          </cell>
          <cell r="AQ1490">
            <v>0</v>
          </cell>
          <cell r="AR1490" t="str">
            <v>B</v>
          </cell>
          <cell r="AS1490" t="str">
            <v>BMCI - KHOURIBGA</v>
          </cell>
          <cell r="AT1490" t="str">
            <v>02821217840301</v>
          </cell>
          <cell r="AU1490" t="str">
            <v>/  /</v>
          </cell>
          <cell r="AW1490">
            <v>45821</v>
          </cell>
          <cell r="AX1490">
            <v>45821</v>
          </cell>
          <cell r="BA1490" t="str">
            <v>2</v>
          </cell>
          <cell r="BB1490">
            <v>1</v>
          </cell>
          <cell r="BD1490">
            <v>0</v>
          </cell>
          <cell r="BE1490" t="str">
            <v>F</v>
          </cell>
          <cell r="BF1490" t="str">
            <v>O</v>
          </cell>
          <cell r="BG1490">
            <v>0</v>
          </cell>
          <cell r="BH1490">
            <v>43831</v>
          </cell>
          <cell r="BI1490" t="str">
            <v>N</v>
          </cell>
        </row>
        <row r="1491">
          <cell r="A1491">
            <v>519</v>
          </cell>
          <cell r="B1491">
            <v>437</v>
          </cell>
          <cell r="C1491" t="str">
            <v>X4450</v>
          </cell>
          <cell r="D1491" t="str">
            <v>EL AIDI</v>
          </cell>
          <cell r="E1491" t="str">
            <v>ABDELHAMID</v>
          </cell>
          <cell r="F1491">
            <v>25024</v>
          </cell>
          <cell r="G1491" t="str">
            <v>1</v>
          </cell>
          <cell r="H1491" t="str">
            <v>KHOURIBGA</v>
          </cell>
          <cell r="I1491" t="str">
            <v>F</v>
          </cell>
          <cell r="J1491">
            <v>33817</v>
          </cell>
          <cell r="K1491">
            <v>35065</v>
          </cell>
          <cell r="L1491" t="str">
            <v>42</v>
          </cell>
          <cell r="M1491" t="str">
            <v>A</v>
          </cell>
          <cell r="N1491">
            <v>35065</v>
          </cell>
          <cell r="P1491">
            <v>10</v>
          </cell>
          <cell r="Q1491" t="str">
            <v>N</v>
          </cell>
          <cell r="R1491" t="str">
            <v>N</v>
          </cell>
          <cell r="S1491">
            <v>0</v>
          </cell>
          <cell r="T1491" t="str">
            <v>M</v>
          </cell>
          <cell r="U1491" t="str">
            <v>BAHASSI FATIMA EZZEHRA BT AHME</v>
          </cell>
          <cell r="X1491">
            <v>1</v>
          </cell>
          <cell r="Y1491">
            <v>1</v>
          </cell>
          <cell r="AB1491" t="str">
            <v>X</v>
          </cell>
          <cell r="AC1491" t="str">
            <v>X</v>
          </cell>
          <cell r="AD1491" t="str">
            <v>X</v>
          </cell>
          <cell r="AH1491" t="str">
            <v>O</v>
          </cell>
          <cell r="AI1491" t="str">
            <v>N</v>
          </cell>
          <cell r="AK1491" t="str">
            <v>2 ,RUE EL HAJEB OCP KHOURIBGA</v>
          </cell>
          <cell r="AL1491" t="str">
            <v>1 FAC</v>
          </cell>
          <cell r="AM1491" t="str">
            <v>CEP - CES - BAC - EMM</v>
          </cell>
          <cell r="AN1491" t="str">
            <v>56═41═74</v>
          </cell>
          <cell r="AP1491" t="str">
            <v>Q 109735</v>
          </cell>
          <cell r="AQ1491">
            <v>0</v>
          </cell>
          <cell r="AR1491" t="str">
            <v>B</v>
          </cell>
          <cell r="AS1491" t="str">
            <v>C.I.H - KHGA</v>
          </cell>
          <cell r="AT1491" t="str">
            <v>7945520211004700</v>
          </cell>
          <cell r="AU1491" t="str">
            <v>/  /</v>
          </cell>
          <cell r="AW1491">
            <v>43831</v>
          </cell>
          <cell r="BA1491" t="str">
            <v>2</v>
          </cell>
          <cell r="BB1491">
            <v>0</v>
          </cell>
          <cell r="BD1491">
            <v>0</v>
          </cell>
          <cell r="BE1491" t="str">
            <v>M</v>
          </cell>
          <cell r="BG1491">
            <v>0</v>
          </cell>
          <cell r="BH1491">
            <v>43831</v>
          </cell>
          <cell r="BI1491" t="str">
            <v>N</v>
          </cell>
        </row>
        <row r="1492">
          <cell r="A1492">
            <v>70464</v>
          </cell>
          <cell r="B1492">
            <v>428</v>
          </cell>
          <cell r="C1492" t="str">
            <v>C3152</v>
          </cell>
          <cell r="D1492" t="str">
            <v>HANNANI</v>
          </cell>
          <cell r="E1492" t="str">
            <v>MOHAMED</v>
          </cell>
          <cell r="F1492">
            <v>18809</v>
          </cell>
          <cell r="H1492" t="str">
            <v>BENI MOUSSA</v>
          </cell>
          <cell r="I1492" t="str">
            <v>D</v>
          </cell>
          <cell r="J1492">
            <v>28579</v>
          </cell>
          <cell r="K1492">
            <v>35096</v>
          </cell>
          <cell r="L1492" t="str">
            <v>21</v>
          </cell>
          <cell r="M1492" t="str">
            <v>A</v>
          </cell>
          <cell r="N1492">
            <v>35096</v>
          </cell>
          <cell r="P1492">
            <v>25</v>
          </cell>
          <cell r="Q1492" t="str">
            <v>O</v>
          </cell>
          <cell r="R1492" t="str">
            <v>N</v>
          </cell>
          <cell r="S1492">
            <v>0</v>
          </cell>
          <cell r="T1492" t="str">
            <v>M</v>
          </cell>
          <cell r="U1492" t="str">
            <v>EL BATTACHE ZOHRA</v>
          </cell>
          <cell r="X1492">
            <v>3</v>
          </cell>
          <cell r="Y1492">
            <v>2</v>
          </cell>
          <cell r="AB1492" t="str">
            <v>X</v>
          </cell>
          <cell r="AC1492" t="str">
            <v>X</v>
          </cell>
          <cell r="AD1492" t="str">
            <v>X</v>
          </cell>
          <cell r="AH1492" t="str">
            <v>N</v>
          </cell>
          <cell r="AI1492" t="str">
            <v>N</v>
          </cell>
          <cell r="AK1492" t="str">
            <v>204 NLLE MEDINA DE SECHAGE OCP - KHGA</v>
          </cell>
          <cell r="AL1492" t="str">
            <v>CM2</v>
          </cell>
          <cell r="AP1492" t="str">
            <v>Q 112155</v>
          </cell>
          <cell r="AQ1492">
            <v>0</v>
          </cell>
          <cell r="AR1492" t="str">
            <v>B</v>
          </cell>
          <cell r="AS1492" t="str">
            <v>CR-AGRIC - KHGA</v>
          </cell>
          <cell r="AT1492" t="str">
            <v>0805951F601</v>
          </cell>
          <cell r="AU1492" t="str">
            <v>/  /</v>
          </cell>
          <cell r="AW1492">
            <v>37803</v>
          </cell>
          <cell r="BA1492" t="str">
            <v>1</v>
          </cell>
          <cell r="BB1492">
            <v>1</v>
          </cell>
          <cell r="BD1492">
            <v>0</v>
          </cell>
          <cell r="BE1492" t="str">
            <v>M</v>
          </cell>
          <cell r="BF1492" t="str">
            <v>N</v>
          </cell>
          <cell r="BG1492">
            <v>4</v>
          </cell>
          <cell r="BH1492">
            <v>38169</v>
          </cell>
        </row>
        <row r="1493">
          <cell r="A1493">
            <v>69793</v>
          </cell>
          <cell r="B1493">
            <v>406</v>
          </cell>
          <cell r="C1493" t="str">
            <v>C3152</v>
          </cell>
          <cell r="D1493" t="str">
            <v>TAA</v>
          </cell>
          <cell r="E1493" t="str">
            <v>MUSTAPHA</v>
          </cell>
          <cell r="F1493">
            <v>18809</v>
          </cell>
          <cell r="G1493" t="str">
            <v>1</v>
          </cell>
          <cell r="H1493" t="str">
            <v>BEN AHMED</v>
          </cell>
          <cell r="I1493" t="str">
            <v>D</v>
          </cell>
          <cell r="J1493">
            <v>29453</v>
          </cell>
          <cell r="K1493">
            <v>37012</v>
          </cell>
          <cell r="L1493" t="str">
            <v>21</v>
          </cell>
          <cell r="M1493" t="str">
            <v>A</v>
          </cell>
          <cell r="N1493">
            <v>37012</v>
          </cell>
          <cell r="P1493">
            <v>22</v>
          </cell>
          <cell r="Q1493" t="str">
            <v>O</v>
          </cell>
          <cell r="R1493" t="str">
            <v>N</v>
          </cell>
          <cell r="S1493">
            <v>0</v>
          </cell>
          <cell r="T1493" t="str">
            <v>M</v>
          </cell>
          <cell r="U1493" t="str">
            <v>HDIDOU NEZHA</v>
          </cell>
          <cell r="X1493">
            <v>5</v>
          </cell>
          <cell r="Y1493">
            <v>2</v>
          </cell>
          <cell r="AB1493" t="str">
            <v>X</v>
          </cell>
          <cell r="AC1493" t="str">
            <v>X</v>
          </cell>
          <cell r="AD1493" t="str">
            <v>X</v>
          </cell>
          <cell r="AH1493" t="str">
            <v>N</v>
          </cell>
          <cell r="AI1493" t="str">
            <v>N</v>
          </cell>
          <cell r="AK1493" t="str">
            <v>140 NOUVELLE MEDINA DE SECHAGE - KHGA</v>
          </cell>
          <cell r="AL1493" t="str">
            <v>CM2</v>
          </cell>
          <cell r="AP1493" t="str">
            <v>W 12776</v>
          </cell>
          <cell r="AQ1493">
            <v>0</v>
          </cell>
          <cell r="AR1493" t="str">
            <v>B</v>
          </cell>
          <cell r="AS1493" t="str">
            <v>CR-MAROC - KHGA</v>
          </cell>
          <cell r="AT1493" t="str">
            <v>082001070183</v>
          </cell>
          <cell r="AU1493" t="str">
            <v>/  /</v>
          </cell>
          <cell r="AW1493">
            <v>38882</v>
          </cell>
          <cell r="AX1493">
            <v>38882</v>
          </cell>
          <cell r="BA1493" t="str">
            <v>1</v>
          </cell>
          <cell r="BB1493">
            <v>1</v>
          </cell>
          <cell r="BD1493">
            <v>0</v>
          </cell>
          <cell r="BE1493" t="str">
            <v>M</v>
          </cell>
          <cell r="BF1493" t="str">
            <v>N</v>
          </cell>
          <cell r="BG1493">
            <v>1</v>
          </cell>
          <cell r="BH1493">
            <v>38899</v>
          </cell>
        </row>
        <row r="1494">
          <cell r="A1494">
            <v>69815</v>
          </cell>
          <cell r="B1494">
            <v>468</v>
          </cell>
          <cell r="C1494" t="str">
            <v>C3152</v>
          </cell>
          <cell r="D1494" t="str">
            <v>LAARISSI</v>
          </cell>
          <cell r="E1494" t="str">
            <v>AHMED</v>
          </cell>
          <cell r="F1494">
            <v>19047</v>
          </cell>
          <cell r="H1494" t="str">
            <v>DOUAR EDHAMNA</v>
          </cell>
          <cell r="I1494" t="str">
            <v>D</v>
          </cell>
          <cell r="J1494">
            <v>28390</v>
          </cell>
          <cell r="K1494">
            <v>37165</v>
          </cell>
          <cell r="L1494" t="str">
            <v>21</v>
          </cell>
          <cell r="M1494" t="str">
            <v>B</v>
          </cell>
          <cell r="N1494">
            <v>37165</v>
          </cell>
          <cell r="P1494">
            <v>25</v>
          </cell>
          <cell r="Q1494" t="str">
            <v>O</v>
          </cell>
          <cell r="R1494" t="str">
            <v>N</v>
          </cell>
          <cell r="S1494">
            <v>0</v>
          </cell>
          <cell r="T1494" t="str">
            <v>M</v>
          </cell>
          <cell r="U1494" t="str">
            <v>LAARISSI AICHA</v>
          </cell>
          <cell r="X1494">
            <v>1</v>
          </cell>
          <cell r="Y1494">
            <v>1</v>
          </cell>
          <cell r="AB1494" t="str">
            <v>N</v>
          </cell>
          <cell r="AC1494" t="str">
            <v>X</v>
          </cell>
          <cell r="AD1494" t="str">
            <v>X</v>
          </cell>
          <cell r="AH1494" t="str">
            <v>N</v>
          </cell>
          <cell r="AI1494" t="str">
            <v>N</v>
          </cell>
          <cell r="AK1494" t="str">
            <v>295 BLOC A HAY EL WAHDA - OUED ZEM</v>
          </cell>
          <cell r="AL1494" t="str">
            <v>CM2</v>
          </cell>
          <cell r="AP1494" t="str">
            <v>Q 24519</v>
          </cell>
          <cell r="AQ1494">
            <v>0</v>
          </cell>
          <cell r="AR1494" t="str">
            <v>C</v>
          </cell>
          <cell r="AU1494" t="str">
            <v>/  /</v>
          </cell>
          <cell r="AW1494">
            <v>37622</v>
          </cell>
          <cell r="BA1494" t="str">
            <v>1</v>
          </cell>
          <cell r="BB1494">
            <v>1</v>
          </cell>
          <cell r="BD1494">
            <v>0</v>
          </cell>
          <cell r="BE1494" t="str">
            <v>M</v>
          </cell>
          <cell r="BF1494" t="str">
            <v>N</v>
          </cell>
          <cell r="BG1494">
            <v>31</v>
          </cell>
          <cell r="BH1494">
            <v>38169</v>
          </cell>
          <cell r="BI1494" t="str">
            <v>O</v>
          </cell>
        </row>
        <row r="1495">
          <cell r="A1495">
            <v>63344</v>
          </cell>
          <cell r="B1495">
            <v>428</v>
          </cell>
          <cell r="C1495" t="str">
            <v>C4152</v>
          </cell>
          <cell r="D1495" t="str">
            <v>DAHHAK</v>
          </cell>
          <cell r="E1495" t="str">
            <v>HAJJAJ</v>
          </cell>
          <cell r="F1495">
            <v>17185</v>
          </cell>
          <cell r="G1495" t="str">
            <v>1</v>
          </cell>
          <cell r="H1495" t="str">
            <v>KHOURIBGA</v>
          </cell>
          <cell r="I1495" t="str">
            <v>D</v>
          </cell>
          <cell r="J1495">
            <v>28963</v>
          </cell>
          <cell r="K1495">
            <v>36526</v>
          </cell>
          <cell r="L1495" t="str">
            <v>22</v>
          </cell>
          <cell r="M1495" t="str">
            <v>A</v>
          </cell>
          <cell r="N1495">
            <v>36526</v>
          </cell>
          <cell r="P1495">
            <v>24</v>
          </cell>
          <cell r="Q1495" t="str">
            <v>O</v>
          </cell>
          <cell r="R1495" t="str">
            <v>N</v>
          </cell>
          <cell r="S1495">
            <v>0</v>
          </cell>
          <cell r="T1495" t="str">
            <v>M</v>
          </cell>
          <cell r="U1495" t="str">
            <v>MORTADA LAILA BENT MOHAMED</v>
          </cell>
          <cell r="X1495">
            <v>3</v>
          </cell>
          <cell r="Y1495">
            <v>2</v>
          </cell>
          <cell r="AB1495" t="str">
            <v>X</v>
          </cell>
          <cell r="AC1495" t="str">
            <v>X</v>
          </cell>
          <cell r="AD1495" t="str">
            <v>X</v>
          </cell>
          <cell r="AH1495" t="str">
            <v>N</v>
          </cell>
          <cell r="AI1495" t="str">
            <v>N</v>
          </cell>
          <cell r="AK1495" t="str">
            <v>114 VILLAGE OCP - BOULANOUAR</v>
          </cell>
          <cell r="AL1495" t="str">
            <v>CM2</v>
          </cell>
          <cell r="AP1495" t="str">
            <v>Q 71604</v>
          </cell>
          <cell r="AQ1495">
            <v>0</v>
          </cell>
          <cell r="AR1495" t="str">
            <v>B</v>
          </cell>
          <cell r="AS1495" t="str">
            <v>C.I.H - KHGA</v>
          </cell>
          <cell r="AT1495" t="str">
            <v>91536362110</v>
          </cell>
          <cell r="AU1495" t="str">
            <v>/  /</v>
          </cell>
          <cell r="AW1495">
            <v>37438</v>
          </cell>
          <cell r="AZ1495" t="str">
            <v>R</v>
          </cell>
          <cell r="BA1495" t="str">
            <v>1</v>
          </cell>
          <cell r="BB1495">
            <v>1</v>
          </cell>
          <cell r="BD1495">
            <v>0</v>
          </cell>
          <cell r="BE1495" t="str">
            <v>M</v>
          </cell>
          <cell r="BF1495" t="str">
            <v>N</v>
          </cell>
          <cell r="BG1495">
            <v>4</v>
          </cell>
          <cell r="BH1495">
            <v>37438</v>
          </cell>
          <cell r="BI1495" t="str">
            <v>N</v>
          </cell>
        </row>
        <row r="1496">
          <cell r="A1496">
            <v>66763</v>
          </cell>
          <cell r="B1496">
            <v>461</v>
          </cell>
          <cell r="C1496" t="str">
            <v>C4152</v>
          </cell>
          <cell r="D1496" t="str">
            <v>ARROUB</v>
          </cell>
          <cell r="E1496" t="str">
            <v>M'BAREK</v>
          </cell>
          <cell r="F1496">
            <v>19271</v>
          </cell>
          <cell r="G1496" t="str">
            <v>2</v>
          </cell>
          <cell r="H1496" t="str">
            <v>OUED-ZEM</v>
          </cell>
          <cell r="I1496" t="str">
            <v>D</v>
          </cell>
          <cell r="J1496">
            <v>27333</v>
          </cell>
          <cell r="K1496">
            <v>37377</v>
          </cell>
          <cell r="L1496" t="str">
            <v>22</v>
          </cell>
          <cell r="M1496" t="str">
            <v>A</v>
          </cell>
          <cell r="N1496">
            <v>37377</v>
          </cell>
          <cell r="P1496">
            <v>28</v>
          </cell>
          <cell r="Q1496" t="str">
            <v>O</v>
          </cell>
          <cell r="R1496" t="str">
            <v>N</v>
          </cell>
          <cell r="S1496">
            <v>0</v>
          </cell>
          <cell r="T1496" t="str">
            <v>M</v>
          </cell>
          <cell r="U1496" t="str">
            <v>EL ACHIQI M'BARKA BT BOUAZZA</v>
          </cell>
          <cell r="X1496">
            <v>6</v>
          </cell>
          <cell r="Y1496">
            <v>5</v>
          </cell>
          <cell r="AB1496" t="str">
            <v>X</v>
          </cell>
          <cell r="AC1496" t="str">
            <v>X</v>
          </cell>
          <cell r="AD1496" t="str">
            <v>X</v>
          </cell>
          <cell r="AH1496" t="str">
            <v>N</v>
          </cell>
          <cell r="AI1496" t="str">
            <v>N</v>
          </cell>
          <cell r="AK1496" t="str">
            <v>N° 65 QUARTIER KOREA - OUED ZEM</v>
          </cell>
          <cell r="AL1496" t="str">
            <v>3 A.S</v>
          </cell>
          <cell r="AP1496" t="str">
            <v>Q 11638</v>
          </cell>
          <cell r="AQ1496">
            <v>0</v>
          </cell>
          <cell r="AR1496" t="str">
            <v>B</v>
          </cell>
          <cell r="AS1496" t="str">
            <v>C.I.H - KHGA</v>
          </cell>
          <cell r="AT1496" t="str">
            <v>9585191211004700</v>
          </cell>
          <cell r="AU1496" t="str">
            <v>/  /</v>
          </cell>
          <cell r="AW1496">
            <v>37622</v>
          </cell>
          <cell r="BA1496" t="str">
            <v>0</v>
          </cell>
          <cell r="BB1496">
            <v>1</v>
          </cell>
          <cell r="BD1496">
            <v>0</v>
          </cell>
          <cell r="BE1496" t="str">
            <v>M</v>
          </cell>
          <cell r="BF1496" t="str">
            <v>N</v>
          </cell>
          <cell r="BG1496">
            <v>30</v>
          </cell>
          <cell r="BH1496">
            <v>37622</v>
          </cell>
        </row>
        <row r="1497">
          <cell r="A1497">
            <v>68355</v>
          </cell>
          <cell r="B1497">
            <v>411</v>
          </cell>
          <cell r="C1497" t="str">
            <v>C3152</v>
          </cell>
          <cell r="D1497" t="str">
            <v>HASNAOUI</v>
          </cell>
          <cell r="E1497" t="str">
            <v>ABDELKARRIM</v>
          </cell>
          <cell r="F1497">
            <v>19540</v>
          </cell>
          <cell r="G1497" t="str">
            <v>5</v>
          </cell>
          <cell r="H1497" t="str">
            <v>OULED YOUSSEF</v>
          </cell>
          <cell r="I1497" t="str">
            <v>D</v>
          </cell>
          <cell r="J1497">
            <v>28068</v>
          </cell>
          <cell r="K1497">
            <v>36861</v>
          </cell>
          <cell r="L1497" t="str">
            <v>21</v>
          </cell>
          <cell r="M1497" t="str">
            <v>B</v>
          </cell>
          <cell r="N1497">
            <v>36861</v>
          </cell>
          <cell r="P1497">
            <v>26</v>
          </cell>
          <cell r="Q1497" t="str">
            <v>O</v>
          </cell>
          <cell r="R1497" t="str">
            <v>N</v>
          </cell>
          <cell r="S1497">
            <v>0</v>
          </cell>
          <cell r="T1497" t="str">
            <v>M</v>
          </cell>
          <cell r="U1497" t="str">
            <v>NEZHA BENT MOHAMED</v>
          </cell>
          <cell r="X1497">
            <v>5</v>
          </cell>
          <cell r="Y1497">
            <v>4</v>
          </cell>
          <cell r="AB1497" t="str">
            <v>X</v>
          </cell>
          <cell r="AC1497" t="str">
            <v>X</v>
          </cell>
          <cell r="AD1497" t="str">
            <v>X</v>
          </cell>
          <cell r="AH1497" t="str">
            <v>N</v>
          </cell>
          <cell r="AI1497" t="str">
            <v>N</v>
          </cell>
          <cell r="AK1497" t="str">
            <v>814 VILLAGE OCP - BOULANOIR</v>
          </cell>
          <cell r="AL1497" t="str">
            <v>2 A.S</v>
          </cell>
          <cell r="AP1497" t="str">
            <v>Q 130329</v>
          </cell>
          <cell r="AQ1497">
            <v>0</v>
          </cell>
          <cell r="AR1497" t="str">
            <v>B</v>
          </cell>
          <cell r="AS1497" t="str">
            <v>WAFABANQUE-KHGA</v>
          </cell>
          <cell r="AT1497" t="str">
            <v>1220301231666</v>
          </cell>
          <cell r="AU1497" t="str">
            <v>/  /</v>
          </cell>
          <cell r="AW1497">
            <v>37803</v>
          </cell>
          <cell r="BA1497" t="str">
            <v>1</v>
          </cell>
          <cell r="BB1497">
            <v>1</v>
          </cell>
          <cell r="BD1497">
            <v>0</v>
          </cell>
          <cell r="BE1497" t="str">
            <v>M</v>
          </cell>
          <cell r="BF1497" t="str">
            <v>N</v>
          </cell>
          <cell r="BG1497">
            <v>40</v>
          </cell>
          <cell r="BH1497">
            <v>37803</v>
          </cell>
        </row>
        <row r="1498">
          <cell r="A1498">
            <v>69987</v>
          </cell>
          <cell r="B1498">
            <v>403</v>
          </cell>
          <cell r="C1498" t="str">
            <v>C3152</v>
          </cell>
          <cell r="D1498" t="str">
            <v>NADI</v>
          </cell>
          <cell r="E1498" t="str">
            <v>ABDELKADER</v>
          </cell>
          <cell r="F1498">
            <v>18809</v>
          </cell>
          <cell r="G1498" t="str">
            <v>3</v>
          </cell>
          <cell r="H1498" t="str">
            <v>BOUJNIBA</v>
          </cell>
          <cell r="I1498" t="str">
            <v>D</v>
          </cell>
          <cell r="J1498">
            <v>28440</v>
          </cell>
          <cell r="K1498">
            <v>37226</v>
          </cell>
          <cell r="L1498" t="str">
            <v>21</v>
          </cell>
          <cell r="M1498" t="str">
            <v>A</v>
          </cell>
          <cell r="N1498">
            <v>37226</v>
          </cell>
          <cell r="O1498">
            <v>0</v>
          </cell>
          <cell r="P1498">
            <v>25</v>
          </cell>
          <cell r="Q1498" t="str">
            <v>O</v>
          </cell>
          <cell r="R1498" t="str">
            <v>N</v>
          </cell>
          <cell r="S1498">
            <v>0</v>
          </cell>
          <cell r="T1498" t="str">
            <v>M</v>
          </cell>
          <cell r="U1498" t="str">
            <v>HADAMI MINA BT ABDELKADER</v>
          </cell>
          <cell r="X1498">
            <v>6</v>
          </cell>
          <cell r="Y1498">
            <v>5</v>
          </cell>
          <cell r="AB1498" t="str">
            <v>X</v>
          </cell>
          <cell r="AC1498" t="str">
            <v>X</v>
          </cell>
          <cell r="AD1498" t="str">
            <v>X</v>
          </cell>
          <cell r="AH1498" t="str">
            <v>O</v>
          </cell>
          <cell r="AI1498" t="str">
            <v>N</v>
          </cell>
          <cell r="AK1498" t="str">
            <v>670 VILLAGE OCP - BOULANOIR</v>
          </cell>
          <cell r="AL1498" t="str">
            <v>CM2</v>
          </cell>
          <cell r="AP1498" t="str">
            <v>Q 41474</v>
          </cell>
          <cell r="AQ1498">
            <v>0</v>
          </cell>
          <cell r="AR1498" t="str">
            <v>C</v>
          </cell>
          <cell r="AU1498" t="str">
            <v>/  /</v>
          </cell>
          <cell r="AW1498">
            <v>37622</v>
          </cell>
          <cell r="BA1498" t="str">
            <v>1</v>
          </cell>
          <cell r="BB1498">
            <v>1</v>
          </cell>
          <cell r="BD1498">
            <v>0</v>
          </cell>
          <cell r="BE1498" t="str">
            <v>M</v>
          </cell>
          <cell r="BF1498" t="str">
            <v>N</v>
          </cell>
          <cell r="BG1498">
            <v>50</v>
          </cell>
          <cell r="BH1498">
            <v>38169</v>
          </cell>
          <cell r="BI1498" t="str">
            <v>O</v>
          </cell>
        </row>
        <row r="1499">
          <cell r="A1499">
            <v>70065</v>
          </cell>
          <cell r="B1499">
            <v>411</v>
          </cell>
          <cell r="C1499" t="str">
            <v>C3152</v>
          </cell>
          <cell r="D1499" t="str">
            <v>BOUHNICHE</v>
          </cell>
          <cell r="E1499" t="str">
            <v>SALAH</v>
          </cell>
          <cell r="F1499">
            <v>19175</v>
          </cell>
          <cell r="G1499" t="str">
            <v>1</v>
          </cell>
          <cell r="H1499" t="str">
            <v>KHOURIBGA</v>
          </cell>
          <cell r="I1499" t="str">
            <v>D</v>
          </cell>
          <cell r="J1499">
            <v>29803</v>
          </cell>
          <cell r="K1499">
            <v>35977</v>
          </cell>
          <cell r="L1499" t="str">
            <v>21</v>
          </cell>
          <cell r="M1499" t="str">
            <v>A</v>
          </cell>
          <cell r="N1499">
            <v>35977</v>
          </cell>
          <cell r="O1499">
            <v>0</v>
          </cell>
          <cell r="P1499">
            <v>21</v>
          </cell>
          <cell r="Q1499" t="str">
            <v>O</v>
          </cell>
          <cell r="R1499" t="str">
            <v>N</v>
          </cell>
          <cell r="S1499">
            <v>0</v>
          </cell>
          <cell r="T1499" t="str">
            <v>M</v>
          </cell>
          <cell r="U1499" t="str">
            <v>HASSOUK LAKBIRA BT BRAHIM</v>
          </cell>
          <cell r="X1499">
            <v>0</v>
          </cell>
          <cell r="Y1499">
            <v>0</v>
          </cell>
          <cell r="AB1499" t="str">
            <v>N</v>
          </cell>
          <cell r="AC1499" t="str">
            <v>X</v>
          </cell>
          <cell r="AD1499" t="str">
            <v>X</v>
          </cell>
          <cell r="AH1499" t="str">
            <v>N</v>
          </cell>
          <cell r="AI1499" t="str">
            <v>N</v>
          </cell>
          <cell r="AK1499" t="str">
            <v>447 VILLAGE OCP - BOULANOIR</v>
          </cell>
          <cell r="AL1499" t="str">
            <v>3 A.S</v>
          </cell>
          <cell r="AP1499" t="str">
            <v>Q 75213</v>
          </cell>
          <cell r="AQ1499">
            <v>0</v>
          </cell>
          <cell r="AR1499" t="str">
            <v>B</v>
          </cell>
          <cell r="AS1499" t="str">
            <v>POPULAIRE-KHGA</v>
          </cell>
          <cell r="AT1499" t="str">
            <v>211111279964001111</v>
          </cell>
          <cell r="AU1499" t="str">
            <v>/  /</v>
          </cell>
          <cell r="AW1499">
            <v>38353</v>
          </cell>
          <cell r="BA1499" t="str">
            <v>1</v>
          </cell>
          <cell r="BB1499">
            <v>1</v>
          </cell>
          <cell r="BD1499">
            <v>0</v>
          </cell>
          <cell r="BE1499" t="str">
            <v>M</v>
          </cell>
          <cell r="BF1499" t="str">
            <v>N</v>
          </cell>
          <cell r="BG1499">
            <v>40</v>
          </cell>
          <cell r="BH1499">
            <v>39264</v>
          </cell>
        </row>
        <row r="1500">
          <cell r="A1500">
            <v>70461</v>
          </cell>
          <cell r="B1500">
            <v>413</v>
          </cell>
          <cell r="C1500" t="str">
            <v>C4200</v>
          </cell>
          <cell r="D1500" t="str">
            <v>NAOUR</v>
          </cell>
          <cell r="E1500" t="str">
            <v>BOUABID</v>
          </cell>
          <cell r="F1500">
            <v>19905</v>
          </cell>
          <cell r="G1500" t="str">
            <v>1</v>
          </cell>
          <cell r="H1500" t="str">
            <v>EL FOKRA</v>
          </cell>
          <cell r="I1500" t="str">
            <v>D</v>
          </cell>
          <cell r="J1500">
            <v>28579</v>
          </cell>
          <cell r="K1500">
            <v>36526</v>
          </cell>
          <cell r="L1500" t="str">
            <v>22</v>
          </cell>
          <cell r="M1500" t="str">
            <v>A</v>
          </cell>
          <cell r="N1500">
            <v>36526</v>
          </cell>
          <cell r="P1500">
            <v>25</v>
          </cell>
          <cell r="Q1500" t="str">
            <v>O</v>
          </cell>
          <cell r="R1500" t="str">
            <v>N</v>
          </cell>
          <cell r="S1500">
            <v>0</v>
          </cell>
          <cell r="T1500" t="str">
            <v>M</v>
          </cell>
          <cell r="U1500" t="str">
            <v>EL KHIARI NAIMA BT EL KBIR</v>
          </cell>
          <cell r="X1500">
            <v>4</v>
          </cell>
          <cell r="Y1500">
            <v>4</v>
          </cell>
          <cell r="AB1500" t="str">
            <v>N</v>
          </cell>
          <cell r="AC1500" t="str">
            <v>X</v>
          </cell>
          <cell r="AD1500" t="str">
            <v>X</v>
          </cell>
          <cell r="AH1500" t="str">
            <v>N</v>
          </cell>
          <cell r="AI1500" t="str">
            <v>N</v>
          </cell>
          <cell r="AK1500" t="str">
            <v>1083 VILLALGE O.C.P - BOULANOIR</v>
          </cell>
          <cell r="AL1500" t="str">
            <v>CM2</v>
          </cell>
          <cell r="AP1500" t="str">
            <v>Q 124233</v>
          </cell>
          <cell r="AQ1500">
            <v>0</v>
          </cell>
          <cell r="AR1500" t="str">
            <v>B</v>
          </cell>
          <cell r="AS1500" t="str">
            <v>BMCE - KHGA</v>
          </cell>
          <cell r="AT1500" t="str">
            <v>40001200001327211</v>
          </cell>
          <cell r="AU1500" t="str">
            <v>/  /</v>
          </cell>
          <cell r="AW1500">
            <v>38169</v>
          </cell>
          <cell r="BA1500" t="str">
            <v>2</v>
          </cell>
          <cell r="BB1500">
            <v>1</v>
          </cell>
          <cell r="BD1500">
            <v>0</v>
          </cell>
          <cell r="BE1500" t="str">
            <v>M</v>
          </cell>
          <cell r="BF1500" t="str">
            <v>N</v>
          </cell>
          <cell r="BG1500">
            <v>40</v>
          </cell>
          <cell r="BH1500">
            <v>38169</v>
          </cell>
        </row>
        <row r="1501">
          <cell r="A1501">
            <v>70477</v>
          </cell>
          <cell r="B1501">
            <v>418</v>
          </cell>
          <cell r="C1501" t="str">
            <v>C4152</v>
          </cell>
          <cell r="D1501" t="str">
            <v>ZOUHAIRI</v>
          </cell>
          <cell r="E1501" t="str">
            <v>ABDERRAHMANE</v>
          </cell>
          <cell r="F1501">
            <v>19175</v>
          </cell>
          <cell r="G1501" t="str">
            <v>2</v>
          </cell>
          <cell r="H1501" t="str">
            <v>OUED-ZEM</v>
          </cell>
          <cell r="I1501" t="str">
            <v>D</v>
          </cell>
          <cell r="J1501">
            <v>30362</v>
          </cell>
          <cell r="K1501">
            <v>37377</v>
          </cell>
          <cell r="L1501" t="str">
            <v>22</v>
          </cell>
          <cell r="M1501" t="str">
            <v>A</v>
          </cell>
          <cell r="N1501">
            <v>37377</v>
          </cell>
          <cell r="P1501">
            <v>21</v>
          </cell>
          <cell r="Q1501" t="str">
            <v>O</v>
          </cell>
          <cell r="R1501" t="str">
            <v>N</v>
          </cell>
          <cell r="S1501">
            <v>0</v>
          </cell>
          <cell r="T1501" t="str">
            <v>M</v>
          </cell>
          <cell r="U1501" t="str">
            <v>MADAK MALIKA BT EL BIDAOUI</v>
          </cell>
          <cell r="X1501">
            <v>5</v>
          </cell>
          <cell r="Y1501">
            <v>5</v>
          </cell>
          <cell r="AB1501" t="str">
            <v>X</v>
          </cell>
          <cell r="AC1501" t="str">
            <v>X</v>
          </cell>
          <cell r="AD1501" t="str">
            <v>X</v>
          </cell>
          <cell r="AH1501" t="str">
            <v>N</v>
          </cell>
          <cell r="AI1501" t="str">
            <v>N</v>
          </cell>
          <cell r="AK1501" t="str">
            <v>79 NOUVELLE MEDINA DE SECHAGE - KHGA</v>
          </cell>
          <cell r="AL1501" t="str">
            <v>2 A.S</v>
          </cell>
          <cell r="AP1501" t="str">
            <v>Q 17759</v>
          </cell>
          <cell r="AQ1501">
            <v>0</v>
          </cell>
          <cell r="AR1501" t="str">
            <v>B</v>
          </cell>
          <cell r="AS1501" t="str">
            <v>WAFABANK - KHGA</v>
          </cell>
          <cell r="AT1501" t="str">
            <v>1220301303307</v>
          </cell>
          <cell r="AU1501" t="str">
            <v>/  /</v>
          </cell>
          <cell r="AW1501">
            <v>38169</v>
          </cell>
          <cell r="AZ1501" t="str">
            <v>R</v>
          </cell>
          <cell r="BA1501" t="str">
            <v>1</v>
          </cell>
          <cell r="BB1501">
            <v>1</v>
          </cell>
          <cell r="BD1501">
            <v>0</v>
          </cell>
          <cell r="BE1501" t="str">
            <v>M</v>
          </cell>
          <cell r="BF1501" t="str">
            <v>N</v>
          </cell>
          <cell r="BG1501">
            <v>1</v>
          </cell>
          <cell r="BH1501">
            <v>39264</v>
          </cell>
        </row>
        <row r="1502">
          <cell r="A1502">
            <v>68496</v>
          </cell>
          <cell r="B1502">
            <v>411</v>
          </cell>
          <cell r="C1502" t="str">
            <v>C4152</v>
          </cell>
          <cell r="D1502" t="str">
            <v>HASOUN</v>
          </cell>
          <cell r="E1502" t="str">
            <v>EL MOULOUDI</v>
          </cell>
          <cell r="F1502">
            <v>19572</v>
          </cell>
          <cell r="G1502" t="str">
            <v>1</v>
          </cell>
          <cell r="H1502" t="str">
            <v>O.B.K - KHGA</v>
          </cell>
          <cell r="I1502" t="str">
            <v>D</v>
          </cell>
          <cell r="J1502">
            <v>27898</v>
          </cell>
          <cell r="K1502">
            <v>35065</v>
          </cell>
          <cell r="L1502" t="str">
            <v>22</v>
          </cell>
          <cell r="M1502" t="str">
            <v>B</v>
          </cell>
          <cell r="N1502">
            <v>35065</v>
          </cell>
          <cell r="P1502">
            <v>26</v>
          </cell>
          <cell r="Q1502" t="str">
            <v>O</v>
          </cell>
          <cell r="R1502" t="str">
            <v>N</v>
          </cell>
          <cell r="S1502">
            <v>0</v>
          </cell>
          <cell r="T1502" t="str">
            <v>M</v>
          </cell>
          <cell r="U1502" t="str">
            <v>FATIMA BENT LAKRAD</v>
          </cell>
          <cell r="X1502">
            <v>6</v>
          </cell>
          <cell r="Y1502">
            <v>5</v>
          </cell>
          <cell r="AB1502" t="str">
            <v>X</v>
          </cell>
          <cell r="AC1502" t="str">
            <v>X</v>
          </cell>
          <cell r="AD1502" t="str">
            <v>X</v>
          </cell>
          <cell r="AH1502" t="str">
            <v>N</v>
          </cell>
          <cell r="AI1502" t="str">
            <v>N</v>
          </cell>
          <cell r="AK1502" t="str">
            <v>536, NLLE CONSTRUCTION OCP - BOUJNIBA</v>
          </cell>
          <cell r="AL1502" t="str">
            <v>CM2</v>
          </cell>
          <cell r="AP1502" t="str">
            <v>Q 35956</v>
          </cell>
          <cell r="AQ1502">
            <v>0</v>
          </cell>
          <cell r="AR1502" t="str">
            <v>C</v>
          </cell>
          <cell r="AU1502" t="str">
            <v>/  /</v>
          </cell>
          <cell r="AW1502">
            <v>37987</v>
          </cell>
          <cell r="BA1502" t="str">
            <v>1</v>
          </cell>
          <cell r="BB1502">
            <v>1</v>
          </cell>
          <cell r="BD1502">
            <v>0</v>
          </cell>
          <cell r="BE1502" t="str">
            <v>M</v>
          </cell>
          <cell r="BF1502" t="str">
            <v>N</v>
          </cell>
          <cell r="BG1502">
            <v>50</v>
          </cell>
          <cell r="BH1502">
            <v>37987</v>
          </cell>
          <cell r="BI1502" t="str">
            <v>O</v>
          </cell>
        </row>
        <row r="1503">
          <cell r="A1503">
            <v>74729</v>
          </cell>
          <cell r="B1503">
            <v>468</v>
          </cell>
          <cell r="C1503" t="str">
            <v>X3070</v>
          </cell>
          <cell r="D1503" t="str">
            <v>BOULAMRACH</v>
          </cell>
          <cell r="E1503" t="str">
            <v>HASSAN</v>
          </cell>
          <cell r="F1503">
            <v>21857</v>
          </cell>
          <cell r="H1503" t="str">
            <v>MARRAKECH</v>
          </cell>
          <cell r="I1503" t="str">
            <v>F</v>
          </cell>
          <cell r="J1503">
            <v>30544</v>
          </cell>
          <cell r="K1503">
            <v>33055</v>
          </cell>
          <cell r="L1503" t="str">
            <v>41</v>
          </cell>
          <cell r="M1503" t="str">
            <v>A</v>
          </cell>
          <cell r="N1503">
            <v>33055</v>
          </cell>
          <cell r="P1503">
            <v>19</v>
          </cell>
          <cell r="Q1503" t="str">
            <v>O</v>
          </cell>
          <cell r="R1503" t="str">
            <v>N</v>
          </cell>
          <cell r="S1503">
            <v>0</v>
          </cell>
          <cell r="T1503" t="str">
            <v>M</v>
          </cell>
          <cell r="U1503" t="str">
            <v>MOURHIT FATIMA BENT EL MEKKI</v>
          </cell>
          <cell r="X1503">
            <v>2</v>
          </cell>
          <cell r="Y1503">
            <v>2</v>
          </cell>
          <cell r="AB1503" t="str">
            <v>X</v>
          </cell>
          <cell r="AC1503" t="str">
            <v>X</v>
          </cell>
          <cell r="AD1503" t="str">
            <v>X</v>
          </cell>
          <cell r="AE1503" t="str">
            <v>HOTEL SAFIR KHG</v>
          </cell>
          <cell r="AH1503" t="str">
            <v>O</v>
          </cell>
          <cell r="AI1503" t="str">
            <v>N</v>
          </cell>
          <cell r="AK1503" t="str">
            <v>12, RUE ESSAOUIRA VILLE OCP - KHGA</v>
          </cell>
          <cell r="AL1503" t="str">
            <v>7 SC-EXP</v>
          </cell>
          <cell r="AM1503" t="str">
            <v>CES - CFO - EMM</v>
          </cell>
          <cell r="AP1503" t="str">
            <v>Q 102215</v>
          </cell>
          <cell r="AQ1503">
            <v>0</v>
          </cell>
          <cell r="AR1503" t="str">
            <v>B</v>
          </cell>
          <cell r="AS1503" t="str">
            <v>C.I.H - KHGA</v>
          </cell>
          <cell r="AT1503" t="str">
            <v>7491152211004700</v>
          </cell>
          <cell r="AU1503" t="str">
            <v>/  /</v>
          </cell>
          <cell r="AW1503">
            <v>40544</v>
          </cell>
          <cell r="BA1503" t="str">
            <v>2</v>
          </cell>
          <cell r="BB1503">
            <v>1</v>
          </cell>
          <cell r="BC1503" t="str">
            <v>O</v>
          </cell>
          <cell r="BD1503">
            <v>5</v>
          </cell>
          <cell r="BE1503" t="str">
            <v>M</v>
          </cell>
          <cell r="BF1503" t="str">
            <v>N</v>
          </cell>
          <cell r="BG1503">
            <v>5</v>
          </cell>
          <cell r="BH1503">
            <v>40544</v>
          </cell>
          <cell r="BI1503" t="str">
            <v>N</v>
          </cell>
        </row>
        <row r="1504">
          <cell r="A1504">
            <v>66738</v>
          </cell>
          <cell r="B1504">
            <v>468</v>
          </cell>
          <cell r="C1504" t="str">
            <v>C4152</v>
          </cell>
          <cell r="D1504" t="str">
            <v>SOUFI</v>
          </cell>
          <cell r="E1504" t="str">
            <v>AHMED</v>
          </cell>
          <cell r="F1504">
            <v>19175</v>
          </cell>
          <cell r="G1504" t="str">
            <v>2</v>
          </cell>
          <cell r="H1504" t="str">
            <v>OUED-ZEM</v>
          </cell>
          <cell r="I1504" t="str">
            <v>D</v>
          </cell>
          <cell r="J1504">
            <v>27332</v>
          </cell>
          <cell r="K1504">
            <v>37012</v>
          </cell>
          <cell r="L1504" t="str">
            <v>22</v>
          </cell>
          <cell r="M1504" t="str">
            <v>A</v>
          </cell>
          <cell r="N1504">
            <v>37012</v>
          </cell>
          <cell r="O1504">
            <v>0</v>
          </cell>
          <cell r="P1504">
            <v>28</v>
          </cell>
          <cell r="Q1504" t="str">
            <v>O</v>
          </cell>
          <cell r="R1504" t="str">
            <v>N</v>
          </cell>
          <cell r="S1504">
            <v>0</v>
          </cell>
          <cell r="T1504" t="str">
            <v>M</v>
          </cell>
          <cell r="U1504" t="str">
            <v>MALIKA BT EL HASSAN</v>
          </cell>
          <cell r="X1504">
            <v>7</v>
          </cell>
          <cell r="Y1504">
            <v>6</v>
          </cell>
          <cell r="AB1504" t="str">
            <v>X</v>
          </cell>
          <cell r="AC1504" t="str">
            <v>X</v>
          </cell>
          <cell r="AD1504" t="str">
            <v>X</v>
          </cell>
          <cell r="AH1504" t="str">
            <v>N</v>
          </cell>
          <cell r="AI1504" t="str">
            <v>N</v>
          </cell>
          <cell r="AK1504" t="str">
            <v>407 NOUVEAU TACHERON OCP - BOUJNIBA</v>
          </cell>
          <cell r="AL1504" t="str">
            <v>C.M.2</v>
          </cell>
          <cell r="AP1504" t="str">
            <v>Q 51973</v>
          </cell>
          <cell r="AQ1504">
            <v>0</v>
          </cell>
          <cell r="AR1504" t="str">
            <v>B</v>
          </cell>
          <cell r="AS1504" t="str">
            <v>WAFABANK-KHGA</v>
          </cell>
          <cell r="AT1504" t="str">
            <v>1220301247026</v>
          </cell>
          <cell r="AU1504" t="str">
            <v>/  /</v>
          </cell>
          <cell r="AW1504">
            <v>37438</v>
          </cell>
          <cell r="AZ1504" t="str">
            <v>R</v>
          </cell>
          <cell r="BA1504" t="str">
            <v>1</v>
          </cell>
          <cell r="BB1504">
            <v>1</v>
          </cell>
          <cell r="BD1504">
            <v>0</v>
          </cell>
          <cell r="BE1504" t="str">
            <v>M</v>
          </cell>
          <cell r="BG1504">
            <v>51</v>
          </cell>
          <cell r="BH1504">
            <v>37438</v>
          </cell>
        </row>
        <row r="1505">
          <cell r="A1505">
            <v>69443</v>
          </cell>
          <cell r="B1505">
            <v>411</v>
          </cell>
          <cell r="C1505" t="str">
            <v>C5152</v>
          </cell>
          <cell r="D1505" t="str">
            <v>ERRADI</v>
          </cell>
          <cell r="E1505" t="str">
            <v>EL KEBIR</v>
          </cell>
          <cell r="F1505">
            <v>19905</v>
          </cell>
          <cell r="G1505" t="str">
            <v>3</v>
          </cell>
          <cell r="H1505" t="str">
            <v>OULED BRAHIM OULED BHAR KBAR</v>
          </cell>
          <cell r="I1505" t="str">
            <v>D</v>
          </cell>
          <cell r="J1505">
            <v>28292</v>
          </cell>
          <cell r="K1505">
            <v>34151</v>
          </cell>
          <cell r="L1505" t="str">
            <v>31</v>
          </cell>
          <cell r="M1505" t="str">
            <v>A</v>
          </cell>
          <cell r="N1505">
            <v>34151</v>
          </cell>
          <cell r="P1505">
            <v>25</v>
          </cell>
          <cell r="Q1505" t="str">
            <v>O</v>
          </cell>
          <cell r="R1505" t="str">
            <v>N</v>
          </cell>
          <cell r="S1505">
            <v>0</v>
          </cell>
          <cell r="T1505" t="str">
            <v>M</v>
          </cell>
          <cell r="U1505" t="str">
            <v>FATIMA BT AHMED</v>
          </cell>
          <cell r="V1505" t="str">
            <v>HALIMA BT SALAH</v>
          </cell>
          <cell r="X1505">
            <v>9</v>
          </cell>
          <cell r="Y1505">
            <v>6</v>
          </cell>
          <cell r="AB1505" t="str">
            <v>X</v>
          </cell>
          <cell r="AC1505" t="str">
            <v>X</v>
          </cell>
          <cell r="AD1505" t="str">
            <v>X</v>
          </cell>
          <cell r="AH1505" t="str">
            <v>N</v>
          </cell>
          <cell r="AI1505" t="str">
            <v>N</v>
          </cell>
          <cell r="AK1505" t="str">
            <v>1053 VILLAGE OCP - BOULANOIR</v>
          </cell>
          <cell r="AL1505" t="str">
            <v>4 A.S</v>
          </cell>
          <cell r="AP1505" t="str">
            <v>Q 48000</v>
          </cell>
          <cell r="AQ1505">
            <v>0</v>
          </cell>
          <cell r="AR1505" t="str">
            <v>B</v>
          </cell>
          <cell r="AS1505" t="str">
            <v>WAFABANK - KHGA</v>
          </cell>
          <cell r="AT1505" t="str">
            <v>1220301295021</v>
          </cell>
          <cell r="AU1505" t="str">
            <v>/  /</v>
          </cell>
          <cell r="AW1505">
            <v>38169</v>
          </cell>
          <cell r="BA1505" t="str">
            <v>1</v>
          </cell>
          <cell r="BB1505">
            <v>1</v>
          </cell>
          <cell r="BD1505">
            <v>0</v>
          </cell>
          <cell r="BE1505" t="str">
            <v>M</v>
          </cell>
          <cell r="BG1505">
            <v>40</v>
          </cell>
          <cell r="BH1505">
            <v>38169</v>
          </cell>
        </row>
        <row r="1506">
          <cell r="A1506">
            <v>69701</v>
          </cell>
          <cell r="B1506">
            <v>409</v>
          </cell>
          <cell r="C1506" t="str">
            <v>C3152</v>
          </cell>
          <cell r="D1506" t="str">
            <v>SIASSI</v>
          </cell>
          <cell r="E1506" t="str">
            <v>MOHAMED</v>
          </cell>
          <cell r="F1506">
            <v>20180</v>
          </cell>
          <cell r="G1506" t="str">
            <v>3</v>
          </cell>
          <cell r="H1506" t="str">
            <v>BOUJNIBA</v>
          </cell>
          <cell r="I1506" t="str">
            <v>D</v>
          </cell>
          <cell r="J1506">
            <v>28363</v>
          </cell>
          <cell r="K1506">
            <v>28491</v>
          </cell>
          <cell r="L1506" t="str">
            <v>21</v>
          </cell>
          <cell r="M1506" t="str">
            <v>A</v>
          </cell>
          <cell r="N1506">
            <v>37135</v>
          </cell>
          <cell r="P1506">
            <v>25</v>
          </cell>
          <cell r="Q1506" t="str">
            <v>O</v>
          </cell>
          <cell r="R1506" t="str">
            <v>N</v>
          </cell>
          <cell r="S1506">
            <v>0</v>
          </cell>
          <cell r="T1506" t="str">
            <v>M</v>
          </cell>
          <cell r="U1506" t="str">
            <v>SALHA BT LARBI BEN MOHAMED</v>
          </cell>
          <cell r="X1506">
            <v>4</v>
          </cell>
          <cell r="Y1506">
            <v>1</v>
          </cell>
          <cell r="AB1506" t="str">
            <v>X</v>
          </cell>
          <cell r="AC1506" t="str">
            <v>X</v>
          </cell>
          <cell r="AD1506" t="str">
            <v>X</v>
          </cell>
          <cell r="AH1506" t="str">
            <v>N</v>
          </cell>
          <cell r="AI1506" t="str">
            <v>N</v>
          </cell>
          <cell r="AK1506" t="str">
            <v>436 VILLAGE OCP - BOUJNIBA</v>
          </cell>
          <cell r="AL1506" t="str">
            <v>CM2</v>
          </cell>
          <cell r="AN1506" t="str">
            <v>57═08═60</v>
          </cell>
          <cell r="AP1506" t="str">
            <v>Q 16786</v>
          </cell>
          <cell r="AQ1506">
            <v>0</v>
          </cell>
          <cell r="AR1506" t="str">
            <v>C</v>
          </cell>
          <cell r="AU1506" t="str">
            <v>/  /</v>
          </cell>
          <cell r="AW1506">
            <v>38534</v>
          </cell>
          <cell r="BA1506" t="str">
            <v>1</v>
          </cell>
          <cell r="BB1506">
            <v>1</v>
          </cell>
          <cell r="BD1506">
            <v>0</v>
          </cell>
          <cell r="BE1506" t="str">
            <v>M</v>
          </cell>
          <cell r="BG1506">
            <v>50</v>
          </cell>
          <cell r="BH1506">
            <v>38534</v>
          </cell>
        </row>
        <row r="1507">
          <cell r="A1507">
            <v>45042</v>
          </cell>
          <cell r="B1507">
            <v>426</v>
          </cell>
          <cell r="C1507" t="str">
            <v>X4050</v>
          </cell>
          <cell r="D1507" t="str">
            <v>KASSOU</v>
          </cell>
          <cell r="E1507" t="str">
            <v>EL HASSANE</v>
          </cell>
          <cell r="F1507">
            <v>22656</v>
          </cell>
          <cell r="H1507" t="str">
            <v>TAOURIRT ( OUJDA )</v>
          </cell>
          <cell r="I1507" t="str">
            <v>F</v>
          </cell>
          <cell r="J1507">
            <v>31625</v>
          </cell>
          <cell r="K1507">
            <v>36526</v>
          </cell>
          <cell r="L1507" t="str">
            <v>42</v>
          </cell>
          <cell r="M1507" t="str">
            <v>A</v>
          </cell>
          <cell r="N1507">
            <v>36526</v>
          </cell>
          <cell r="P1507">
            <v>16</v>
          </cell>
          <cell r="Q1507" t="str">
            <v>O</v>
          </cell>
          <cell r="R1507" t="str">
            <v>N</v>
          </cell>
          <cell r="S1507">
            <v>0</v>
          </cell>
          <cell r="T1507" t="str">
            <v>M</v>
          </cell>
          <cell r="U1507" t="str">
            <v>MIMOUNI FATIMA-ZOHRA</v>
          </cell>
          <cell r="X1507">
            <v>2</v>
          </cell>
          <cell r="Y1507">
            <v>2</v>
          </cell>
          <cell r="AB1507" t="str">
            <v>X</v>
          </cell>
          <cell r="AC1507" t="str">
            <v>X</v>
          </cell>
          <cell r="AD1507" t="str">
            <v>X</v>
          </cell>
          <cell r="AH1507" t="str">
            <v>O</v>
          </cell>
          <cell r="AI1507" t="str">
            <v>N</v>
          </cell>
          <cell r="AK1507" t="str">
            <v>04 IMMEUBLE KASSOU OCP - KHOURIBGA</v>
          </cell>
          <cell r="AL1507" t="str">
            <v>7 SC-EXP</v>
          </cell>
          <cell r="AM1507" t="str">
            <v>BAC - EMM</v>
          </cell>
          <cell r="AN1507" t="str">
            <v>49═43═32</v>
          </cell>
          <cell r="AP1507" t="str">
            <v>F 182648</v>
          </cell>
          <cell r="AQ1507">
            <v>0</v>
          </cell>
          <cell r="AR1507" t="str">
            <v>B</v>
          </cell>
          <cell r="AS1507" t="str">
            <v>S.G.M.B - KHGA</v>
          </cell>
          <cell r="AT1507" t="str">
            <v>0670009207449</v>
          </cell>
          <cell r="AU1507" t="str">
            <v>/  /</v>
          </cell>
          <cell r="AW1507">
            <v>41640</v>
          </cell>
          <cell r="BA1507" t="str">
            <v>2</v>
          </cell>
          <cell r="BB1507">
            <v>1</v>
          </cell>
          <cell r="BC1507" t="str">
            <v>O</v>
          </cell>
          <cell r="BD1507">
            <v>5</v>
          </cell>
          <cell r="BE1507" t="str">
            <v>M</v>
          </cell>
          <cell r="BG1507">
            <v>4</v>
          </cell>
          <cell r="BH1507">
            <v>41640</v>
          </cell>
          <cell r="BI1507" t="str">
            <v>N</v>
          </cell>
        </row>
        <row r="1508">
          <cell r="A1508">
            <v>90450</v>
          </cell>
          <cell r="B1508">
            <v>416</v>
          </cell>
          <cell r="C1508" t="str">
            <v>X5150</v>
          </cell>
          <cell r="D1508" t="str">
            <v>INOUR</v>
          </cell>
          <cell r="E1508" t="str">
            <v>MOHAMED</v>
          </cell>
          <cell r="F1508">
            <v>21064</v>
          </cell>
          <cell r="G1508" t="str">
            <v>1</v>
          </cell>
          <cell r="H1508" t="str">
            <v>KHOURIBGA</v>
          </cell>
          <cell r="I1508" t="str">
            <v>F</v>
          </cell>
          <cell r="J1508">
            <v>29389</v>
          </cell>
          <cell r="K1508">
            <v>33420</v>
          </cell>
          <cell r="L1508" t="str">
            <v>51</v>
          </cell>
          <cell r="M1508" t="str">
            <v>A</v>
          </cell>
          <cell r="N1508">
            <v>33420</v>
          </cell>
          <cell r="P1508">
            <v>22</v>
          </cell>
          <cell r="Q1508" t="str">
            <v>O</v>
          </cell>
          <cell r="R1508" t="str">
            <v>N</v>
          </cell>
          <cell r="S1508">
            <v>0</v>
          </cell>
          <cell r="T1508" t="str">
            <v>M</v>
          </cell>
          <cell r="U1508" t="str">
            <v>EL HARCHAOUI JEMAA BT MOHAMED</v>
          </cell>
          <cell r="X1508">
            <v>4</v>
          </cell>
          <cell r="Y1508">
            <v>4</v>
          </cell>
          <cell r="AB1508" t="str">
            <v>X</v>
          </cell>
          <cell r="AC1508" t="str">
            <v>X</v>
          </cell>
          <cell r="AD1508" t="str">
            <v>X</v>
          </cell>
          <cell r="AH1508" t="str">
            <v>N</v>
          </cell>
          <cell r="AI1508" t="str">
            <v>N</v>
          </cell>
          <cell r="AK1508" t="str">
            <v>192,LOTISSEMENT EL HANA KHOURIBGA</v>
          </cell>
          <cell r="AL1508" t="str">
            <v>7 SC.EX</v>
          </cell>
          <cell r="AM1508" t="str">
            <v>CES - CFO - EMM</v>
          </cell>
          <cell r="AP1508" t="str">
            <v>Q 35918</v>
          </cell>
          <cell r="AQ1508">
            <v>0</v>
          </cell>
          <cell r="AR1508" t="str">
            <v>B</v>
          </cell>
          <cell r="AS1508" t="str">
            <v>C.I.H - KHOURIBGA</v>
          </cell>
          <cell r="AT1508" t="str">
            <v>3194768211004700</v>
          </cell>
          <cell r="AU1508" t="str">
            <v>/  /</v>
          </cell>
          <cell r="AW1508">
            <v>39448</v>
          </cell>
          <cell r="BA1508" t="str">
            <v>2</v>
          </cell>
          <cell r="BB1508">
            <v>1</v>
          </cell>
          <cell r="BC1508" t="str">
            <v>N</v>
          </cell>
          <cell r="BD1508">
            <v>0</v>
          </cell>
          <cell r="BE1508" t="str">
            <v>M</v>
          </cell>
          <cell r="BG1508">
            <v>1</v>
          </cell>
          <cell r="BH1508">
            <v>39448</v>
          </cell>
          <cell r="BI1508" t="str">
            <v>O</v>
          </cell>
        </row>
        <row r="1509">
          <cell r="A1509">
            <v>68604</v>
          </cell>
          <cell r="B1509">
            <v>466</v>
          </cell>
          <cell r="C1509" t="str">
            <v>C7050</v>
          </cell>
          <cell r="D1509" t="str">
            <v>EL GARGATI</v>
          </cell>
          <cell r="E1509" t="str">
            <v>EL MOULOUDI</v>
          </cell>
          <cell r="F1509">
            <v>20636</v>
          </cell>
          <cell r="G1509" t="str">
            <v>3</v>
          </cell>
          <cell r="H1509" t="str">
            <v>LAGFAF</v>
          </cell>
          <cell r="I1509" t="str">
            <v>D</v>
          </cell>
          <cell r="J1509">
            <v>27943</v>
          </cell>
          <cell r="K1509">
            <v>36526</v>
          </cell>
          <cell r="L1509" t="str">
            <v>33</v>
          </cell>
          <cell r="M1509" t="str">
            <v>A</v>
          </cell>
          <cell r="N1509">
            <v>36526</v>
          </cell>
          <cell r="P1509">
            <v>26</v>
          </cell>
          <cell r="Q1509" t="str">
            <v>O</v>
          </cell>
          <cell r="R1509" t="str">
            <v>N</v>
          </cell>
          <cell r="S1509">
            <v>0</v>
          </cell>
          <cell r="T1509" t="str">
            <v>M</v>
          </cell>
          <cell r="U1509" t="str">
            <v>EDDOUMI ZOHRA BT MOHAMED</v>
          </cell>
          <cell r="X1509">
            <v>6</v>
          </cell>
          <cell r="Y1509">
            <v>6</v>
          </cell>
          <cell r="AB1509" t="str">
            <v>X</v>
          </cell>
          <cell r="AC1509" t="str">
            <v>X</v>
          </cell>
          <cell r="AD1509" t="str">
            <v>X</v>
          </cell>
          <cell r="AH1509" t="str">
            <v>N</v>
          </cell>
          <cell r="AI1509" t="str">
            <v>N</v>
          </cell>
          <cell r="AK1509" t="str">
            <v>N° 418 NOUVEAUX LOGEMENTS - KHGA</v>
          </cell>
          <cell r="AL1509" t="str">
            <v>3 A.S</v>
          </cell>
          <cell r="AP1509" t="str">
            <v>Q 41286</v>
          </cell>
          <cell r="AQ1509">
            <v>0</v>
          </cell>
          <cell r="AR1509" t="str">
            <v>B</v>
          </cell>
          <cell r="AS1509" t="str">
            <v>CRED.MAROC KHGA</v>
          </cell>
          <cell r="AT1509" t="str">
            <v>082001032129</v>
          </cell>
          <cell r="AU1509" t="str">
            <v>/  /</v>
          </cell>
          <cell r="AW1509">
            <v>38899</v>
          </cell>
          <cell r="AZ1509" t="str">
            <v>K</v>
          </cell>
          <cell r="BA1509" t="str">
            <v>2</v>
          </cell>
          <cell r="BB1509">
            <v>1</v>
          </cell>
          <cell r="BD1509">
            <v>0</v>
          </cell>
          <cell r="BE1509" t="str">
            <v>M</v>
          </cell>
          <cell r="BG1509">
            <v>5</v>
          </cell>
          <cell r="BH1509">
            <v>38899</v>
          </cell>
        </row>
        <row r="1510">
          <cell r="A1510">
            <v>68936</v>
          </cell>
          <cell r="B1510">
            <v>411</v>
          </cell>
          <cell r="C1510" t="str">
            <v>C3152</v>
          </cell>
          <cell r="D1510" t="str">
            <v>TOUKMIDINE</v>
          </cell>
          <cell r="E1510" t="str">
            <v>ABDELLAH</v>
          </cell>
          <cell r="F1510">
            <v>20487</v>
          </cell>
          <cell r="G1510" t="str">
            <v>3</v>
          </cell>
          <cell r="H1510" t="str">
            <v>BOUJNIBA</v>
          </cell>
          <cell r="I1510" t="str">
            <v>D</v>
          </cell>
          <cell r="J1510">
            <v>28163</v>
          </cell>
          <cell r="K1510">
            <v>33786</v>
          </cell>
          <cell r="L1510" t="str">
            <v>21</v>
          </cell>
          <cell r="M1510" t="str">
            <v>A</v>
          </cell>
          <cell r="N1510">
            <v>33786</v>
          </cell>
          <cell r="O1510">
            <v>0</v>
          </cell>
          <cell r="P1510">
            <v>27</v>
          </cell>
          <cell r="Q1510" t="str">
            <v>O</v>
          </cell>
          <cell r="R1510" t="str">
            <v>N</v>
          </cell>
          <cell r="S1510">
            <v>0</v>
          </cell>
          <cell r="T1510" t="str">
            <v>M</v>
          </cell>
          <cell r="U1510" t="str">
            <v>MALIKA BENT CHERKI</v>
          </cell>
          <cell r="V1510" t="str">
            <v>FATIHI NAIMA</v>
          </cell>
          <cell r="X1510">
            <v>2</v>
          </cell>
          <cell r="Y1510">
            <v>2</v>
          </cell>
          <cell r="AB1510" t="str">
            <v>X</v>
          </cell>
          <cell r="AC1510" t="str">
            <v>X</v>
          </cell>
          <cell r="AD1510" t="str">
            <v>X</v>
          </cell>
          <cell r="AH1510" t="str">
            <v>O</v>
          </cell>
          <cell r="AI1510" t="str">
            <v>N</v>
          </cell>
          <cell r="AK1510" t="str">
            <v>649 VILLAGE OCP - BOUJNIBA</v>
          </cell>
          <cell r="AL1510" t="str">
            <v>4 AS</v>
          </cell>
          <cell r="AP1510" t="str">
            <v>Q 20722</v>
          </cell>
          <cell r="AQ1510">
            <v>0</v>
          </cell>
          <cell r="AR1510" t="str">
            <v>B</v>
          </cell>
          <cell r="AS1510" t="str">
            <v>BMCE - KHGA</v>
          </cell>
          <cell r="AT1510" t="str">
            <v>40001200000976459</v>
          </cell>
          <cell r="AU1510" t="str">
            <v>/  /</v>
          </cell>
          <cell r="AW1510">
            <v>38899</v>
          </cell>
          <cell r="BA1510" t="str">
            <v>1</v>
          </cell>
          <cell r="BB1510">
            <v>1</v>
          </cell>
          <cell r="BC1510" t="str">
            <v>N</v>
          </cell>
          <cell r="BD1510">
            <v>0</v>
          </cell>
          <cell r="BE1510" t="str">
            <v>M</v>
          </cell>
          <cell r="BF1510" t="str">
            <v>O</v>
          </cell>
          <cell r="BG1510">
            <v>50</v>
          </cell>
          <cell r="BH1510">
            <v>38899</v>
          </cell>
          <cell r="BI1510" t="str">
            <v>N</v>
          </cell>
        </row>
        <row r="1511">
          <cell r="A1511">
            <v>950</v>
          </cell>
          <cell r="B1511">
            <v>423</v>
          </cell>
          <cell r="C1511" t="str">
            <v>X3200</v>
          </cell>
          <cell r="D1511" t="str">
            <v>EL FRAYGUI</v>
          </cell>
          <cell r="E1511" t="str">
            <v>BOUCHTA</v>
          </cell>
          <cell r="F1511">
            <v>25227</v>
          </cell>
          <cell r="G1511" t="str">
            <v>1</v>
          </cell>
          <cell r="H1511" t="str">
            <v>O.B.K - KHOURIBGA</v>
          </cell>
          <cell r="I1511" t="str">
            <v>F</v>
          </cell>
          <cell r="J1511">
            <v>33971</v>
          </cell>
          <cell r="K1511">
            <v>34001</v>
          </cell>
          <cell r="L1511" t="str">
            <v>41</v>
          </cell>
          <cell r="M1511" t="str">
            <v>A</v>
          </cell>
          <cell r="N1511">
            <v>34001</v>
          </cell>
          <cell r="O1511">
            <v>0</v>
          </cell>
          <cell r="P1511">
            <v>10</v>
          </cell>
          <cell r="Q1511" t="str">
            <v>O</v>
          </cell>
          <cell r="R1511" t="str">
            <v>N</v>
          </cell>
          <cell r="S1511">
            <v>0</v>
          </cell>
          <cell r="T1511" t="str">
            <v>C</v>
          </cell>
          <cell r="X1511">
            <v>0</v>
          </cell>
          <cell r="Y1511">
            <v>0</v>
          </cell>
          <cell r="AB1511" t="str">
            <v>X</v>
          </cell>
          <cell r="AC1511" t="str">
            <v>X</v>
          </cell>
          <cell r="AD1511" t="str">
            <v>X</v>
          </cell>
          <cell r="AH1511" t="str">
            <v>N</v>
          </cell>
          <cell r="AI1511" t="str">
            <v>N</v>
          </cell>
          <cell r="AK1511" t="str">
            <v>18,IMMEUBLE SOBAMA VILLE OCP  KHOURIBGA</v>
          </cell>
          <cell r="AL1511" t="str">
            <v>1 A.FAC.</v>
          </cell>
          <cell r="AM1511" t="str">
            <v>BAC.EMM</v>
          </cell>
          <cell r="AP1511" t="str">
            <v>Q 149557</v>
          </cell>
          <cell r="AQ1511">
            <v>0</v>
          </cell>
          <cell r="AR1511" t="str">
            <v>B</v>
          </cell>
          <cell r="AS1511" t="str">
            <v>S.G.M.B - KHGA</v>
          </cell>
          <cell r="AT1511" t="str">
            <v>0670009274088</v>
          </cell>
          <cell r="AU1511" t="str">
            <v>/  /</v>
          </cell>
          <cell r="AW1511">
            <v>44013</v>
          </cell>
          <cell r="BA1511" t="str">
            <v>2</v>
          </cell>
          <cell r="BB1511">
            <v>0</v>
          </cell>
          <cell r="BC1511" t="str">
            <v>N</v>
          </cell>
          <cell r="BD1511">
            <v>0</v>
          </cell>
          <cell r="BE1511" t="str">
            <v>M</v>
          </cell>
          <cell r="BG1511">
            <v>4</v>
          </cell>
          <cell r="BH1511">
            <v>44013</v>
          </cell>
          <cell r="BI1511" t="str">
            <v>O</v>
          </cell>
        </row>
        <row r="1512">
          <cell r="A1512">
            <v>64375</v>
          </cell>
          <cell r="B1512">
            <v>418</v>
          </cell>
          <cell r="C1512" t="str">
            <v>C5050</v>
          </cell>
          <cell r="D1512" t="str">
            <v>EL AKHIRI</v>
          </cell>
          <cell r="E1512" t="str">
            <v>BELGASSEM</v>
          </cell>
          <cell r="F1512">
            <v>19175</v>
          </cell>
          <cell r="G1512" t="str">
            <v>1</v>
          </cell>
          <cell r="H1512" t="str">
            <v>O.B.K</v>
          </cell>
          <cell r="I1512" t="str">
            <v>D</v>
          </cell>
          <cell r="J1512">
            <v>26806</v>
          </cell>
          <cell r="K1512">
            <v>34151</v>
          </cell>
          <cell r="L1512" t="str">
            <v>31</v>
          </cell>
          <cell r="M1512" t="str">
            <v>A</v>
          </cell>
          <cell r="N1512">
            <v>34151</v>
          </cell>
          <cell r="P1512">
            <v>29</v>
          </cell>
          <cell r="Q1512" t="str">
            <v>O</v>
          </cell>
          <cell r="R1512" t="str">
            <v>N</v>
          </cell>
          <cell r="S1512">
            <v>0</v>
          </cell>
          <cell r="T1512" t="str">
            <v>M</v>
          </cell>
          <cell r="U1512" t="str">
            <v>EL MILOUDIA BT MOHAMED</v>
          </cell>
          <cell r="X1512">
            <v>6</v>
          </cell>
          <cell r="Y1512">
            <v>0</v>
          </cell>
          <cell r="AB1512" t="str">
            <v>X</v>
          </cell>
          <cell r="AC1512" t="str">
            <v>X</v>
          </cell>
          <cell r="AD1512" t="str">
            <v>X</v>
          </cell>
          <cell r="AH1512" t="str">
            <v>N</v>
          </cell>
          <cell r="AI1512" t="str">
            <v>O</v>
          </cell>
          <cell r="AK1512" t="str">
            <v>76 RUE 30 HAY EL MOUKAOUAMAM - KHGA</v>
          </cell>
          <cell r="AL1512" t="str">
            <v>3 A.S</v>
          </cell>
          <cell r="AP1512" t="str">
            <v>Q 20368</v>
          </cell>
          <cell r="AQ1512">
            <v>0</v>
          </cell>
          <cell r="AR1512" t="str">
            <v>B</v>
          </cell>
          <cell r="AS1512" t="str">
            <v>C.N.C.A - KHGA</v>
          </cell>
          <cell r="AT1512" t="str">
            <v>0805236A601</v>
          </cell>
          <cell r="AU1512" t="str">
            <v>/  /</v>
          </cell>
          <cell r="AW1512">
            <v>37438</v>
          </cell>
          <cell r="BA1512" t="str">
            <v>2</v>
          </cell>
          <cell r="BB1512">
            <v>0</v>
          </cell>
          <cell r="BD1512">
            <v>0</v>
          </cell>
          <cell r="BE1512" t="str">
            <v>M</v>
          </cell>
          <cell r="BG1512">
            <v>1</v>
          </cell>
          <cell r="BH1512">
            <v>37438</v>
          </cell>
          <cell r="BI1512" t="str">
            <v>O</v>
          </cell>
        </row>
        <row r="1513">
          <cell r="A1513">
            <v>65668</v>
          </cell>
          <cell r="B1513">
            <v>416</v>
          </cell>
          <cell r="C1513" t="str">
            <v>C4050</v>
          </cell>
          <cell r="D1513" t="str">
            <v>HARRAS</v>
          </cell>
          <cell r="E1513" t="str">
            <v>ABDELKADER</v>
          </cell>
          <cell r="F1513">
            <v>19540</v>
          </cell>
          <cell r="G1513" t="str">
            <v>3</v>
          </cell>
          <cell r="H1513" t="str">
            <v>BOUJNIBA</v>
          </cell>
          <cell r="I1513" t="str">
            <v>D</v>
          </cell>
          <cell r="J1513">
            <v>27151</v>
          </cell>
          <cell r="K1513">
            <v>29860</v>
          </cell>
          <cell r="L1513" t="str">
            <v>22</v>
          </cell>
          <cell r="M1513" t="str">
            <v>B</v>
          </cell>
          <cell r="N1513">
            <v>35612</v>
          </cell>
          <cell r="O1513">
            <v>0</v>
          </cell>
          <cell r="P1513">
            <v>28</v>
          </cell>
          <cell r="Q1513" t="str">
            <v>O</v>
          </cell>
          <cell r="R1513" t="str">
            <v>N</v>
          </cell>
          <cell r="S1513">
            <v>0</v>
          </cell>
          <cell r="T1513" t="str">
            <v>M</v>
          </cell>
          <cell r="U1513" t="str">
            <v>ZOUBIDA BT EL ARBI</v>
          </cell>
          <cell r="X1513">
            <v>3</v>
          </cell>
          <cell r="Y1513">
            <v>1</v>
          </cell>
          <cell r="AB1513" t="str">
            <v>X</v>
          </cell>
          <cell r="AC1513" t="str">
            <v>X</v>
          </cell>
          <cell r="AD1513" t="str">
            <v>X</v>
          </cell>
          <cell r="AH1513" t="str">
            <v>N</v>
          </cell>
          <cell r="AI1513" t="str">
            <v>N</v>
          </cell>
          <cell r="AK1513" t="str">
            <v>230 NOUVELLE MEDINA SECHAGE OCP - KHGA</v>
          </cell>
          <cell r="AL1513" t="str">
            <v>2 A.S</v>
          </cell>
          <cell r="AP1513" t="str">
            <v>Q 104846</v>
          </cell>
          <cell r="AQ1513">
            <v>0</v>
          </cell>
          <cell r="AR1513" t="str">
            <v>B</v>
          </cell>
          <cell r="AS1513" t="str">
            <v>B.M.C.E - KHGA</v>
          </cell>
          <cell r="AT1513" t="str">
            <v>40001200001188307</v>
          </cell>
          <cell r="AU1513" t="str">
            <v>/  /</v>
          </cell>
          <cell r="AW1513">
            <v>38882</v>
          </cell>
          <cell r="AX1513">
            <v>38882</v>
          </cell>
          <cell r="AZ1513" t="str">
            <v>M</v>
          </cell>
          <cell r="BA1513" t="str">
            <v>2</v>
          </cell>
          <cell r="BB1513">
            <v>1</v>
          </cell>
          <cell r="BD1513">
            <v>0</v>
          </cell>
          <cell r="BE1513" t="str">
            <v>M</v>
          </cell>
          <cell r="BG1513">
            <v>1</v>
          </cell>
          <cell r="BH1513">
            <v>37803</v>
          </cell>
        </row>
        <row r="1514">
          <cell r="A1514">
            <v>66418</v>
          </cell>
          <cell r="B1514">
            <v>466</v>
          </cell>
          <cell r="C1514" t="str">
            <v>C4050</v>
          </cell>
          <cell r="D1514" t="str">
            <v>ZOUAQI</v>
          </cell>
          <cell r="E1514" t="str">
            <v>MOHAMMED</v>
          </cell>
          <cell r="F1514">
            <v>19175</v>
          </cell>
          <cell r="H1514" t="str">
            <v>IMAGHRANE (OUERZAZATE)</v>
          </cell>
          <cell r="I1514" t="str">
            <v>D</v>
          </cell>
          <cell r="J1514">
            <v>27283</v>
          </cell>
          <cell r="K1514">
            <v>29860</v>
          </cell>
          <cell r="L1514" t="str">
            <v>22</v>
          </cell>
          <cell r="M1514" t="str">
            <v>E</v>
          </cell>
          <cell r="N1514">
            <v>35612</v>
          </cell>
          <cell r="P1514">
            <v>28</v>
          </cell>
          <cell r="Q1514" t="str">
            <v>O</v>
          </cell>
          <cell r="R1514" t="str">
            <v>N</v>
          </cell>
          <cell r="S1514">
            <v>0</v>
          </cell>
          <cell r="T1514" t="str">
            <v>M</v>
          </cell>
          <cell r="U1514" t="str">
            <v>MINA BENT ALI</v>
          </cell>
          <cell r="X1514">
            <v>5</v>
          </cell>
          <cell r="Y1514">
            <v>5</v>
          </cell>
          <cell r="AB1514" t="str">
            <v>X</v>
          </cell>
          <cell r="AC1514" t="str">
            <v>X</v>
          </cell>
          <cell r="AD1514" t="str">
            <v>X</v>
          </cell>
          <cell r="AH1514" t="str">
            <v>N</v>
          </cell>
          <cell r="AI1514" t="str">
            <v>N</v>
          </cell>
          <cell r="AK1514" t="str">
            <v>225 DERB 1 - BOUJNIBA</v>
          </cell>
          <cell r="AL1514" t="str">
            <v>4 A.S</v>
          </cell>
          <cell r="AP1514" t="str">
            <v>Q 29819</v>
          </cell>
          <cell r="AQ1514">
            <v>0</v>
          </cell>
          <cell r="AR1514" t="str">
            <v>B</v>
          </cell>
          <cell r="AS1514" t="str">
            <v>BMCE - KHGA</v>
          </cell>
          <cell r="AT1514" t="str">
            <v>40001200000146721</v>
          </cell>
          <cell r="AU1514" t="str">
            <v>/  /</v>
          </cell>
          <cell r="AW1514">
            <v>37438</v>
          </cell>
          <cell r="AZ1514" t="str">
            <v>M</v>
          </cell>
          <cell r="BA1514" t="str">
            <v>2</v>
          </cell>
          <cell r="BB1514">
            <v>0</v>
          </cell>
          <cell r="BD1514">
            <v>0</v>
          </cell>
          <cell r="BE1514" t="str">
            <v>M</v>
          </cell>
          <cell r="BG1514">
            <v>51</v>
          </cell>
          <cell r="BH1514">
            <v>37438</v>
          </cell>
        </row>
        <row r="1515">
          <cell r="A1515">
            <v>73337</v>
          </cell>
          <cell r="B1515">
            <v>446</v>
          </cell>
          <cell r="C1515" t="str">
            <v>C3754</v>
          </cell>
          <cell r="D1515" t="str">
            <v>EL KOUKH</v>
          </cell>
          <cell r="E1515" t="str">
            <v>ABDELOUAHED</v>
          </cell>
          <cell r="F1515">
            <v>21079</v>
          </cell>
          <cell r="G1515" t="str">
            <v>1</v>
          </cell>
          <cell r="H1515" t="str">
            <v>OULED BHAR KBAR</v>
          </cell>
          <cell r="I1515" t="str">
            <v>D</v>
          </cell>
          <cell r="J1515">
            <v>30047</v>
          </cell>
          <cell r="K1515">
            <v>32325</v>
          </cell>
          <cell r="L1515" t="str">
            <v>21</v>
          </cell>
          <cell r="M1515" t="str">
            <v>A</v>
          </cell>
          <cell r="N1515">
            <v>32325</v>
          </cell>
          <cell r="P1515">
            <v>21</v>
          </cell>
          <cell r="Q1515" t="str">
            <v>N</v>
          </cell>
          <cell r="R1515" t="str">
            <v>O</v>
          </cell>
          <cell r="S1515">
            <v>3</v>
          </cell>
          <cell r="T1515" t="str">
            <v>M</v>
          </cell>
          <cell r="U1515" t="str">
            <v>TOUDA BENT SAID</v>
          </cell>
          <cell r="X1515">
            <v>5</v>
          </cell>
          <cell r="Y1515">
            <v>5</v>
          </cell>
          <cell r="AB1515" t="str">
            <v>X</v>
          </cell>
          <cell r="AC1515" t="str">
            <v>X</v>
          </cell>
          <cell r="AD1515" t="str">
            <v>X</v>
          </cell>
          <cell r="AH1515" t="str">
            <v>N</v>
          </cell>
          <cell r="AI1515" t="str">
            <v>N</v>
          </cell>
          <cell r="AK1515" t="str">
            <v>453 DERB 3 - BOUJNIBA</v>
          </cell>
          <cell r="AL1515" t="str">
            <v>CM2</v>
          </cell>
          <cell r="AP1515" t="str">
            <v>Q 81492</v>
          </cell>
          <cell r="AQ1515">
            <v>0</v>
          </cell>
          <cell r="AR1515" t="str">
            <v>C</v>
          </cell>
          <cell r="AS1515" t="str">
            <v>CREDIT AGRICOLE</v>
          </cell>
          <cell r="AT1515" t="str">
            <v>0805348S601</v>
          </cell>
          <cell r="AU1515" t="str">
            <v>/  /</v>
          </cell>
          <cell r="AW1515">
            <v>39814</v>
          </cell>
          <cell r="BA1515" t="str">
            <v>2</v>
          </cell>
          <cell r="BB1515">
            <v>1</v>
          </cell>
          <cell r="BD1515">
            <v>0</v>
          </cell>
          <cell r="BE1515" t="str">
            <v>M</v>
          </cell>
          <cell r="BG1515">
            <v>0</v>
          </cell>
          <cell r="BH1515">
            <v>39814</v>
          </cell>
        </row>
        <row r="1516">
          <cell r="A1516">
            <v>69040</v>
          </cell>
          <cell r="B1516">
            <v>419</v>
          </cell>
          <cell r="C1516" t="str">
            <v>C4001</v>
          </cell>
          <cell r="D1516" t="str">
            <v>TAJAOUI</v>
          </cell>
          <cell r="E1516" t="str">
            <v>EL ARBI</v>
          </cell>
          <cell r="F1516">
            <v>19168</v>
          </cell>
          <cell r="G1516" t="str">
            <v>6</v>
          </cell>
          <cell r="H1516" t="str">
            <v>M'FASSIS</v>
          </cell>
          <cell r="I1516" t="str">
            <v>D</v>
          </cell>
          <cell r="J1516">
            <v>28172</v>
          </cell>
          <cell r="K1516">
            <v>36526</v>
          </cell>
          <cell r="L1516" t="str">
            <v>22</v>
          </cell>
          <cell r="M1516" t="str">
            <v>A</v>
          </cell>
          <cell r="N1516">
            <v>36526</v>
          </cell>
          <cell r="P1516">
            <v>27</v>
          </cell>
          <cell r="Q1516" t="str">
            <v>O</v>
          </cell>
          <cell r="R1516" t="str">
            <v>N</v>
          </cell>
          <cell r="S1516">
            <v>0</v>
          </cell>
          <cell r="T1516" t="str">
            <v>M</v>
          </cell>
          <cell r="U1516" t="str">
            <v>LEGHZAL BT ABDELKADER</v>
          </cell>
          <cell r="X1516">
            <v>5</v>
          </cell>
          <cell r="Y1516">
            <v>5</v>
          </cell>
          <cell r="AB1516" t="str">
            <v>X</v>
          </cell>
          <cell r="AC1516" t="str">
            <v>X</v>
          </cell>
          <cell r="AD1516" t="str">
            <v>X</v>
          </cell>
          <cell r="AH1516" t="str">
            <v>N</v>
          </cell>
          <cell r="AI1516" t="str">
            <v>N</v>
          </cell>
          <cell r="AK1516" t="str">
            <v>871 VILLAGE OCP - HATTANE</v>
          </cell>
          <cell r="AL1516" t="str">
            <v>ILLETTRE</v>
          </cell>
          <cell r="AP1516" t="str">
            <v>Q 80388</v>
          </cell>
          <cell r="AQ1516">
            <v>0</v>
          </cell>
          <cell r="AR1516" t="str">
            <v>C</v>
          </cell>
          <cell r="AU1516" t="str">
            <v>/  /</v>
          </cell>
          <cell r="AW1516">
            <v>37438</v>
          </cell>
          <cell r="BA1516" t="str">
            <v>2</v>
          </cell>
          <cell r="BB1516">
            <v>1</v>
          </cell>
          <cell r="BD1516">
            <v>0</v>
          </cell>
          <cell r="BE1516" t="str">
            <v>M</v>
          </cell>
          <cell r="BG1516">
            <v>10</v>
          </cell>
          <cell r="BH1516">
            <v>37803</v>
          </cell>
        </row>
        <row r="1517">
          <cell r="A1517">
            <v>69194</v>
          </cell>
          <cell r="B1517">
            <v>416</v>
          </cell>
          <cell r="C1517" t="str">
            <v>C4050</v>
          </cell>
          <cell r="D1517" t="str">
            <v>DARID</v>
          </cell>
          <cell r="E1517" t="str">
            <v>ABDELKADER</v>
          </cell>
          <cell r="F1517">
            <v>19175</v>
          </cell>
          <cell r="H1517" t="str">
            <v>SIDI HAJJAJ</v>
          </cell>
          <cell r="I1517" t="str">
            <v>D</v>
          </cell>
          <cell r="J1517">
            <v>28200</v>
          </cell>
          <cell r="K1517">
            <v>36526</v>
          </cell>
          <cell r="L1517" t="str">
            <v>22</v>
          </cell>
          <cell r="M1517" t="str">
            <v>B</v>
          </cell>
          <cell r="N1517">
            <v>36526</v>
          </cell>
          <cell r="P1517">
            <v>26</v>
          </cell>
          <cell r="Q1517" t="str">
            <v>O</v>
          </cell>
          <cell r="R1517" t="str">
            <v>N</v>
          </cell>
          <cell r="S1517">
            <v>0</v>
          </cell>
          <cell r="T1517" t="str">
            <v>M</v>
          </cell>
          <cell r="U1517" t="str">
            <v>SALHA BT MOHAMED</v>
          </cell>
          <cell r="X1517">
            <v>4</v>
          </cell>
          <cell r="Y1517">
            <v>4</v>
          </cell>
          <cell r="AB1517" t="str">
            <v>X</v>
          </cell>
          <cell r="AC1517" t="str">
            <v>X</v>
          </cell>
          <cell r="AD1517" t="str">
            <v>X</v>
          </cell>
          <cell r="AH1517" t="str">
            <v>N</v>
          </cell>
          <cell r="AI1517" t="str">
            <v>N</v>
          </cell>
          <cell r="AK1517" t="str">
            <v>433 NOUVELLE MEDINA SECHAGE - KHGA</v>
          </cell>
          <cell r="AL1517" t="str">
            <v>ILLETTRE</v>
          </cell>
          <cell r="AP1517" t="str">
            <v>Q 75883</v>
          </cell>
          <cell r="AQ1517">
            <v>0</v>
          </cell>
          <cell r="AR1517" t="str">
            <v>B</v>
          </cell>
          <cell r="AS1517" t="str">
            <v>SGMB  -KHGA</v>
          </cell>
          <cell r="AT1517" t="str">
            <v>67000934004841</v>
          </cell>
          <cell r="AU1517" t="str">
            <v>/  /</v>
          </cell>
          <cell r="AW1517">
            <v>37438</v>
          </cell>
          <cell r="BA1517" t="str">
            <v>2</v>
          </cell>
          <cell r="BB1517">
            <v>1</v>
          </cell>
          <cell r="BD1517">
            <v>0</v>
          </cell>
          <cell r="BE1517" t="str">
            <v>M</v>
          </cell>
          <cell r="BG1517">
            <v>1</v>
          </cell>
          <cell r="BH1517">
            <v>37803</v>
          </cell>
        </row>
        <row r="1518">
          <cell r="A1518">
            <v>69741</v>
          </cell>
          <cell r="B1518">
            <v>418</v>
          </cell>
          <cell r="C1518" t="str">
            <v>C4411</v>
          </cell>
          <cell r="D1518" t="str">
            <v>EL IMALI</v>
          </cell>
          <cell r="E1518" t="str">
            <v>AHMED</v>
          </cell>
          <cell r="F1518">
            <v>19905</v>
          </cell>
          <cell r="G1518" t="str">
            <v>6</v>
          </cell>
          <cell r="H1518" t="str">
            <v>MFASSIS</v>
          </cell>
          <cell r="I1518" t="str">
            <v>D</v>
          </cell>
          <cell r="J1518">
            <v>28368</v>
          </cell>
          <cell r="K1518">
            <v>34851</v>
          </cell>
          <cell r="L1518" t="str">
            <v>22</v>
          </cell>
          <cell r="M1518" t="str">
            <v>A</v>
          </cell>
          <cell r="N1518">
            <v>34851</v>
          </cell>
          <cell r="P1518">
            <v>25</v>
          </cell>
          <cell r="Q1518" t="str">
            <v>O</v>
          </cell>
          <cell r="R1518" t="str">
            <v>N</v>
          </cell>
          <cell r="S1518">
            <v>0</v>
          </cell>
          <cell r="T1518" t="str">
            <v>M</v>
          </cell>
          <cell r="U1518" t="str">
            <v>ASSIR HALIMA BT LARBI</v>
          </cell>
          <cell r="X1518">
            <v>4</v>
          </cell>
          <cell r="Y1518">
            <v>4</v>
          </cell>
          <cell r="AB1518" t="str">
            <v>X</v>
          </cell>
          <cell r="AC1518" t="str">
            <v>X</v>
          </cell>
          <cell r="AD1518" t="str">
            <v>X</v>
          </cell>
          <cell r="AH1518" t="str">
            <v>N</v>
          </cell>
          <cell r="AI1518" t="str">
            <v>N</v>
          </cell>
          <cell r="AK1518" t="str">
            <v>1133 SBATTA VILLAGE OCP - HATTANE</v>
          </cell>
          <cell r="AL1518" t="str">
            <v>C.M.2</v>
          </cell>
          <cell r="AP1518" t="str">
            <v>Q 19630</v>
          </cell>
          <cell r="AQ1518">
            <v>0</v>
          </cell>
          <cell r="AR1518" t="str">
            <v>B</v>
          </cell>
          <cell r="AS1518" t="str">
            <v>B.M.C.I - KHGA</v>
          </cell>
          <cell r="AT1518" t="str">
            <v>02820951090301</v>
          </cell>
          <cell r="AU1518" t="str">
            <v>/  /</v>
          </cell>
          <cell r="AW1518">
            <v>38169</v>
          </cell>
          <cell r="BA1518" t="str">
            <v>0</v>
          </cell>
          <cell r="BB1518">
            <v>1</v>
          </cell>
          <cell r="BD1518">
            <v>0</v>
          </cell>
          <cell r="BE1518" t="str">
            <v>M</v>
          </cell>
          <cell r="BF1518" t="str">
            <v>N</v>
          </cell>
          <cell r="BG1518">
            <v>11</v>
          </cell>
          <cell r="BH1518">
            <v>38169</v>
          </cell>
        </row>
        <row r="1519">
          <cell r="A1519">
            <v>70191</v>
          </cell>
          <cell r="B1519">
            <v>426</v>
          </cell>
          <cell r="C1519" t="str">
            <v>C3050</v>
          </cell>
          <cell r="D1519" t="str">
            <v>DAROUACH</v>
          </cell>
          <cell r="E1519" t="str">
            <v>MOHAMMED</v>
          </cell>
          <cell r="F1519">
            <v>19905</v>
          </cell>
          <cell r="G1519" t="str">
            <v>2</v>
          </cell>
          <cell r="H1519" t="str">
            <v>BENI KHIRANE</v>
          </cell>
          <cell r="I1519" t="str">
            <v>D</v>
          </cell>
          <cell r="J1519">
            <v>28494</v>
          </cell>
          <cell r="K1519">
            <v>37012</v>
          </cell>
          <cell r="L1519" t="str">
            <v>21</v>
          </cell>
          <cell r="M1519" t="str">
            <v>A</v>
          </cell>
          <cell r="N1519">
            <v>37012</v>
          </cell>
          <cell r="P1519">
            <v>25</v>
          </cell>
          <cell r="Q1519" t="str">
            <v>N</v>
          </cell>
          <cell r="R1519" t="str">
            <v>N</v>
          </cell>
          <cell r="S1519">
            <v>0</v>
          </cell>
          <cell r="T1519" t="str">
            <v>M</v>
          </cell>
          <cell r="U1519" t="str">
            <v>AANIBI MALIKA BT BOUABID</v>
          </cell>
          <cell r="X1519">
            <v>5</v>
          </cell>
          <cell r="Y1519">
            <v>5</v>
          </cell>
          <cell r="AB1519" t="str">
            <v>X</v>
          </cell>
          <cell r="AC1519" t="str">
            <v>X</v>
          </cell>
          <cell r="AD1519" t="str">
            <v>X</v>
          </cell>
          <cell r="AH1519" t="str">
            <v>N</v>
          </cell>
          <cell r="AI1519" t="str">
            <v>N</v>
          </cell>
          <cell r="AK1519" t="str">
            <v>651 NOUVEAU TACHERON OCP - BOUJNIBA</v>
          </cell>
          <cell r="AL1519" t="str">
            <v>4 A.S</v>
          </cell>
          <cell r="AN1519" t="str">
            <v>57═15═59</v>
          </cell>
          <cell r="AP1519" t="str">
            <v>Q 28538</v>
          </cell>
          <cell r="AQ1519">
            <v>0</v>
          </cell>
          <cell r="AR1519" t="str">
            <v>B</v>
          </cell>
          <cell r="AS1519" t="str">
            <v>BMCE - KHGA</v>
          </cell>
          <cell r="AT1519" t="str">
            <v>4000001200001211878</v>
          </cell>
          <cell r="AU1519" t="str">
            <v>/  /</v>
          </cell>
          <cell r="AW1519">
            <v>38169</v>
          </cell>
          <cell r="AZ1519" t="str">
            <v>K</v>
          </cell>
          <cell r="BA1519" t="str">
            <v>2</v>
          </cell>
          <cell r="BB1519">
            <v>1</v>
          </cell>
          <cell r="BD1519">
            <v>0</v>
          </cell>
          <cell r="BE1519" t="str">
            <v>M</v>
          </cell>
          <cell r="BF1519" t="str">
            <v>N</v>
          </cell>
          <cell r="BG1519">
            <v>0</v>
          </cell>
          <cell r="BH1519">
            <v>38169</v>
          </cell>
        </row>
        <row r="1520">
          <cell r="A1520">
            <v>70481</v>
          </cell>
          <cell r="B1520">
            <v>461</v>
          </cell>
          <cell r="C1520" t="str">
            <v>C4001</v>
          </cell>
          <cell r="D1520" t="str">
            <v>EL KHARMOUDI</v>
          </cell>
          <cell r="E1520" t="str">
            <v>AHMED</v>
          </cell>
          <cell r="F1520">
            <v>20187</v>
          </cell>
          <cell r="G1520" t="str">
            <v>3</v>
          </cell>
          <cell r="H1520" t="str">
            <v>BOUJNIBA</v>
          </cell>
          <cell r="I1520" t="str">
            <v>D</v>
          </cell>
          <cell r="J1520">
            <v>28579</v>
          </cell>
          <cell r="K1520">
            <v>36526</v>
          </cell>
          <cell r="L1520" t="str">
            <v>22</v>
          </cell>
          <cell r="M1520" t="str">
            <v>D</v>
          </cell>
          <cell r="N1520">
            <v>36526</v>
          </cell>
          <cell r="P1520">
            <v>25</v>
          </cell>
          <cell r="Q1520" t="str">
            <v>O</v>
          </cell>
          <cell r="R1520" t="str">
            <v>N</v>
          </cell>
          <cell r="S1520">
            <v>0</v>
          </cell>
          <cell r="T1520" t="str">
            <v>M</v>
          </cell>
          <cell r="U1520" t="str">
            <v>EL MAHDAOUI SAADIA BT SLIMANE</v>
          </cell>
          <cell r="X1520">
            <v>5</v>
          </cell>
          <cell r="Y1520">
            <v>3</v>
          </cell>
          <cell r="AB1520" t="str">
            <v>X</v>
          </cell>
          <cell r="AC1520" t="str">
            <v>X</v>
          </cell>
          <cell r="AD1520" t="str">
            <v>X</v>
          </cell>
          <cell r="AH1520" t="str">
            <v>N</v>
          </cell>
          <cell r="AI1520" t="str">
            <v>N</v>
          </cell>
          <cell r="AK1520" t="str">
            <v>349 VILLAGE O.C.P - BOUJNIBA</v>
          </cell>
          <cell r="AL1520" t="str">
            <v>C.M.2</v>
          </cell>
          <cell r="AP1520" t="str">
            <v>Q 113127</v>
          </cell>
          <cell r="AQ1520">
            <v>0</v>
          </cell>
          <cell r="AR1520" t="str">
            <v>B</v>
          </cell>
          <cell r="AS1520" t="str">
            <v>WAFA BANK. KHGA</v>
          </cell>
          <cell r="AT1520" t="str">
            <v>1220301036252</v>
          </cell>
          <cell r="AU1520" t="str">
            <v>/  /</v>
          </cell>
          <cell r="AW1520">
            <v>38534</v>
          </cell>
          <cell r="BA1520" t="str">
            <v>2</v>
          </cell>
          <cell r="BB1520">
            <v>1</v>
          </cell>
          <cell r="BD1520">
            <v>0</v>
          </cell>
          <cell r="BE1520" t="str">
            <v>M</v>
          </cell>
          <cell r="BG1520">
            <v>51</v>
          </cell>
          <cell r="BH1520">
            <v>38534</v>
          </cell>
        </row>
        <row r="1521">
          <cell r="A1521">
            <v>73136</v>
          </cell>
          <cell r="B1521">
            <v>461</v>
          </cell>
          <cell r="C1521" t="str">
            <v>C3020</v>
          </cell>
          <cell r="D1521" t="str">
            <v>EL BIR</v>
          </cell>
          <cell r="E1521" t="str">
            <v>EL ARBI</v>
          </cell>
          <cell r="F1521">
            <v>20932</v>
          </cell>
          <cell r="G1521" t="str">
            <v>3</v>
          </cell>
          <cell r="H1521" t="str">
            <v>OULED BRAHIM</v>
          </cell>
          <cell r="I1521" t="str">
            <v>D</v>
          </cell>
          <cell r="J1521">
            <v>29939</v>
          </cell>
          <cell r="K1521">
            <v>33664</v>
          </cell>
          <cell r="L1521" t="str">
            <v>21</v>
          </cell>
          <cell r="M1521" t="str">
            <v>A</v>
          </cell>
          <cell r="N1521">
            <v>33664</v>
          </cell>
          <cell r="P1521">
            <v>21</v>
          </cell>
          <cell r="Q1521" t="str">
            <v>O</v>
          </cell>
          <cell r="R1521" t="str">
            <v>N</v>
          </cell>
          <cell r="S1521">
            <v>0</v>
          </cell>
          <cell r="T1521" t="str">
            <v>M</v>
          </cell>
          <cell r="U1521" t="str">
            <v>ERRMELI HLIMA BENT LABSIR</v>
          </cell>
          <cell r="X1521">
            <v>5</v>
          </cell>
          <cell r="Y1521">
            <v>5</v>
          </cell>
          <cell r="AB1521" t="str">
            <v>X</v>
          </cell>
          <cell r="AC1521" t="str">
            <v>X</v>
          </cell>
          <cell r="AD1521" t="str">
            <v>X</v>
          </cell>
          <cell r="AH1521" t="str">
            <v>N</v>
          </cell>
          <cell r="AI1521" t="str">
            <v>N</v>
          </cell>
          <cell r="AK1521" t="str">
            <v>237 HABITA BIR MEZOUI</v>
          </cell>
          <cell r="AL1521" t="str">
            <v>3 A.S</v>
          </cell>
          <cell r="AP1521" t="str">
            <v>Q 18672</v>
          </cell>
          <cell r="AQ1521">
            <v>0</v>
          </cell>
          <cell r="AR1521" t="str">
            <v>C</v>
          </cell>
          <cell r="AU1521" t="str">
            <v>30/06/99</v>
          </cell>
          <cell r="AW1521">
            <v>39630</v>
          </cell>
          <cell r="BA1521" t="str">
            <v>0</v>
          </cell>
          <cell r="BB1521">
            <v>1</v>
          </cell>
          <cell r="BD1521">
            <v>0</v>
          </cell>
          <cell r="BE1521" t="str">
            <v>M</v>
          </cell>
          <cell r="BG1521">
            <v>60</v>
          </cell>
          <cell r="BH1521">
            <v>39630</v>
          </cell>
        </row>
        <row r="1522">
          <cell r="A1522">
            <v>89074</v>
          </cell>
          <cell r="B1522">
            <v>438</v>
          </cell>
          <cell r="C1522" t="str">
            <v>C5152</v>
          </cell>
          <cell r="D1522" t="str">
            <v>DIANE</v>
          </cell>
          <cell r="E1522" t="str">
            <v>KHALIL</v>
          </cell>
          <cell r="F1522">
            <v>21653</v>
          </cell>
          <cell r="H1522" t="str">
            <v>MARRAKECH</v>
          </cell>
          <cell r="I1522" t="str">
            <v>F</v>
          </cell>
          <cell r="J1522">
            <v>30517</v>
          </cell>
          <cell r="K1522">
            <v>30529</v>
          </cell>
          <cell r="L1522" t="str">
            <v>31</v>
          </cell>
          <cell r="M1522" t="str">
            <v>A</v>
          </cell>
          <cell r="N1522">
            <v>30529</v>
          </cell>
          <cell r="P1522">
            <v>19</v>
          </cell>
          <cell r="Q1522" t="str">
            <v>O</v>
          </cell>
          <cell r="R1522" t="str">
            <v>N</v>
          </cell>
          <cell r="S1522">
            <v>0</v>
          </cell>
          <cell r="T1522" t="str">
            <v>M</v>
          </cell>
          <cell r="U1522" t="str">
            <v>MOURABBI FATIHA</v>
          </cell>
          <cell r="X1522">
            <v>3</v>
          </cell>
          <cell r="Y1522">
            <v>3</v>
          </cell>
          <cell r="Z1522" t="str">
            <v>O</v>
          </cell>
          <cell r="AA1522" t="str">
            <v>02/06/96</v>
          </cell>
          <cell r="AB1522" t="str">
            <v>X</v>
          </cell>
          <cell r="AC1522" t="str">
            <v>X</v>
          </cell>
          <cell r="AD1522" t="str">
            <v>X</v>
          </cell>
          <cell r="AH1522" t="str">
            <v>N</v>
          </cell>
          <cell r="AI1522" t="str">
            <v>N</v>
          </cell>
          <cell r="AK1522" t="str">
            <v>588 RUE Med B.ABDELLAH KHOUADRIA-KHGA</v>
          </cell>
          <cell r="AL1522" t="str">
            <v>7 SC EXP</v>
          </cell>
          <cell r="AP1522" t="str">
            <v>B 369291</v>
          </cell>
          <cell r="AQ1522">
            <v>0</v>
          </cell>
          <cell r="AR1522" t="str">
            <v>B</v>
          </cell>
          <cell r="AS1522" t="str">
            <v>POPULAIRE.KHGA</v>
          </cell>
          <cell r="AT1522" t="str">
            <v>211112896650004</v>
          </cell>
          <cell r="AU1522" t="str">
            <v>/  /</v>
          </cell>
          <cell r="AW1522">
            <v>42169</v>
          </cell>
          <cell r="AX1522">
            <v>42169</v>
          </cell>
          <cell r="AZ1522" t="str">
            <v>R</v>
          </cell>
          <cell r="BA1522" t="str">
            <v>1</v>
          </cell>
          <cell r="BB1522">
            <v>1</v>
          </cell>
          <cell r="BD1522">
            <v>0</v>
          </cell>
          <cell r="BE1522" t="str">
            <v>M</v>
          </cell>
          <cell r="BG1522">
            <v>4</v>
          </cell>
          <cell r="BH1522">
            <v>40179</v>
          </cell>
          <cell r="BI1522" t="str">
            <v>N</v>
          </cell>
        </row>
        <row r="1523">
          <cell r="A1523">
            <v>91722</v>
          </cell>
          <cell r="B1523">
            <v>418</v>
          </cell>
          <cell r="C1523" t="str">
            <v>X5050</v>
          </cell>
          <cell r="D1523" t="str">
            <v>LISSIR</v>
          </cell>
          <cell r="E1523" t="str">
            <v>MOHAMED</v>
          </cell>
          <cell r="F1523">
            <v>23188</v>
          </cell>
          <cell r="H1523" t="str">
            <v>CASABLANCA</v>
          </cell>
          <cell r="I1523" t="str">
            <v>F</v>
          </cell>
          <cell r="J1523">
            <v>31625</v>
          </cell>
          <cell r="K1523">
            <v>37073</v>
          </cell>
          <cell r="L1523" t="str">
            <v>51</v>
          </cell>
          <cell r="M1523" t="str">
            <v>A</v>
          </cell>
          <cell r="N1523">
            <v>37073</v>
          </cell>
          <cell r="P1523">
            <v>16</v>
          </cell>
          <cell r="Q1523" t="str">
            <v>O</v>
          </cell>
          <cell r="R1523" t="str">
            <v>N</v>
          </cell>
          <cell r="S1523">
            <v>0</v>
          </cell>
          <cell r="T1523" t="str">
            <v>M</v>
          </cell>
          <cell r="U1523" t="str">
            <v>HAMMAM FATIMA BT EL HOUSSINE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MMAIRE"/>
      <sheetName val="EXPORT.MENS(DC) "/>
      <sheetName val="EXPORT.MENS A COMMUNIQUER"/>
      <sheetName val="EXPORT.MENS A COMMUN"/>
      <sheetName val="EXP. DIRSTAT"/>
      <sheetName val="EXPORT.MENS A COMMUN (2)"/>
      <sheetName val="PROD &amp; VENTES 2005-2006"/>
      <sheetName val="ECARTS CA FOB"/>
      <sheetName val="ECARTS CA TEL"/>
      <sheetName val="ECARTS CA FOB DEF"/>
      <sheetName val="ECARTS CA TEL DEF"/>
      <sheetName val="PRODUCTION"/>
      <sheetName val="PRODPHOS "/>
      <sheetName val="PRODPROD"/>
      <sheetName val="EXPHOS&amp;DERIVES (2)"/>
      <sheetName val="EXPHOSOCP&amp;PB (2)"/>
      <sheetName val="PRODPROD INAC (2)"/>
      <sheetName val="DEPP"/>
      <sheetName val="ENE&amp;MIN"/>
      <sheetName val="MEM T1"/>
      <sheetName val="MEM T2"/>
      <sheetName val="MEM T3 "/>
      <sheetName val="MEM T4"/>
      <sheetName val="Enq P° (DS)"/>
      <sheetName val="PROD2006"/>
      <sheetName val="Enq P° (DS) mensuelle"/>
      <sheetName val="Enq P° INDUST (MP 1S)"/>
      <sheetName val="Enq P° INDUST (MP 2S)"/>
      <sheetName val="CMC (PROD MP)"/>
      <sheetName val="CMC(EXPORT MP)"/>
      <sheetName val="CMC(LOC MP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A1">
            <v>9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Garde"/>
      <sheetName val="Bilan mens"/>
      <sheetName val="Bilan CG"/>
      <sheetName val="F,Garde"/>
      <sheetName val="indicateurs"/>
      <sheetName val="3-Siège des lésions"/>
      <sheetName val="5-jour sailla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blage"/>
      <sheetName val="arrets criblage"/>
      <sheetName val="Chargement"/>
      <sheetName val="arrets Chargement"/>
      <sheetName val="Etat parc"/>
      <sheetName val="I FILM"/>
      <sheetName val="synthese 312"/>
      <sheetName val="Feuil2"/>
      <sheetName val="synthese 123"/>
      <sheetName val="KPI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">
          <cell r="A5" t="str">
            <v>ARAFAH</v>
          </cell>
        </row>
        <row r="6">
          <cell r="A6" t="str">
            <v>BENSLIM</v>
          </cell>
        </row>
        <row r="7">
          <cell r="A7" t="str">
            <v>CHAMBARI</v>
          </cell>
        </row>
        <row r="8">
          <cell r="A8" t="str">
            <v>ECHAMEKH</v>
          </cell>
        </row>
        <row r="9">
          <cell r="A9" t="str">
            <v>EZZAHRAOUI</v>
          </cell>
        </row>
        <row r="10">
          <cell r="A10" t="str">
            <v>SAMOUD</v>
          </cell>
        </row>
        <row r="11">
          <cell r="A11" t="str">
            <v>SBAAI</v>
          </cell>
        </row>
        <row r="12">
          <cell r="A12" t="str">
            <v>GOUMIRI</v>
          </cell>
        </row>
        <row r="13">
          <cell r="A13" t="str">
            <v>TALHI</v>
          </cell>
        </row>
        <row r="14">
          <cell r="A14" t="str">
            <v>ZEROUAL</v>
          </cell>
        </row>
      </sheetData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DGET SOCIAL (2)"/>
      <sheetName val="Projet important"/>
      <sheetName val="Renouvellements TG, EY &amp; BG"/>
      <sheetName val="Dotations nouvelles TG, EY &amp; BG"/>
      <sheetName val="SYNTHESE 99"/>
      <sheetName val="Budget administratif EY, BG &amp;TG"/>
      <sheetName val="BUDGET GT TG  EY  BG &amp; AG"/>
      <sheetName val="BUDGET SOCIAL"/>
      <sheetName val="BUDGET HABITAT"/>
      <sheetName val="Sommaire"/>
      <sheetName val="ECART EBIT"/>
      <sheetName val="RM Stores, consumption"/>
      <sheetName val="REPORTING GROUPE"/>
      <sheetName val="SITE"/>
      <sheetName val="STADE OP"/>
      <sheetName val="Feuil1"/>
      <sheetName val="Feuil3"/>
      <sheetName val="indicateu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verture"/>
      <sheetName val="SOMMAIRE"/>
    </sheetNames>
    <sheetDataSet>
      <sheetData sheetId="0" refreshError="1"/>
      <sheetData sheetId="1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_tab"/>
      <sheetName val="Plan_tab.xls"/>
      <sheetName val="Menu"/>
      <sheetName val="PP"/>
      <sheetName val="SOMMAIRE"/>
      <sheetName val="Budget administratif EY, BG &amp;TG"/>
      <sheetName val="plan Soleil n mois dh"/>
      <sheetName val="structures mgt bsf"/>
      <sheetName val="FRAIS GENERAUX"/>
      <sheetName val="\Users\Benhida\Downloads\Plan_t"/>
      <sheetName val="SIG_LANGUE"/>
      <sheetName val="Feuil1"/>
      <sheetName val="Plan Comptable"/>
      <sheetName val="1-Assumptions"/>
    </sheetNames>
    <definedNames>
      <definedName name="stav_akc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ÚVOD"/>
      <sheetName val="Servco_PROJ"/>
      <sheetName val="Servco_LIM"/>
      <sheetName val="Servco_SAP"/>
      <sheetName val="40003_SAP"/>
      <sheetName val="40001_SAP"/>
      <sheetName val="420001_SAP"/>
      <sheetName val="440000_SAP"/>
      <sheetName val="460002_SAP"/>
      <sheetName val="460004_SAP"/>
      <sheetName val="430006_SAP"/>
      <sheetName val="410001_SAP"/>
      <sheetName val="Ass.Sheet"/>
      <sheetName val="927000-510-139999 Acc Rec"/>
      <sheetName val="clients centre"/>
      <sheetName val="stock pf fin"/>
      <sheetName val="stock pf initial"/>
      <sheetName val="std"/>
      <sheetName val="stk 24-06à15h"/>
      <sheetName val="stk 27-06à15h"/>
      <sheetName val="Servco"/>
      <sheetName val="stk 25-06à18h"/>
      <sheetName val="SOMMAIRE"/>
      <sheetName val="PP"/>
      <sheetName val="stk ini"/>
      <sheetName val="plan Soleil n mois dh"/>
      <sheetName val="structures mgt bsf"/>
      <sheetName val="FRAIS GENERAUX"/>
      <sheetName val="PERS1"/>
    </sheetNames>
    <sheetDataSet>
      <sheetData sheetId="0"/>
      <sheetData sheetId="1"/>
      <sheetData sheetId="2" refreshError="1">
        <row r="3">
          <cell r="C3">
            <v>40693197</v>
          </cell>
          <cell r="D3">
            <v>0</v>
          </cell>
          <cell r="F3">
            <v>0</v>
          </cell>
        </row>
        <row r="6">
          <cell r="C6">
            <v>0</v>
          </cell>
          <cell r="F6">
            <v>0</v>
          </cell>
        </row>
        <row r="7">
          <cell r="C7">
            <v>0</v>
          </cell>
          <cell r="F7">
            <v>0</v>
          </cell>
        </row>
        <row r="8">
          <cell r="C8">
            <v>0</v>
          </cell>
          <cell r="F8">
            <v>0</v>
          </cell>
        </row>
        <row r="9">
          <cell r="C9">
            <v>0</v>
          </cell>
          <cell r="F9">
            <v>0</v>
          </cell>
        </row>
        <row r="10">
          <cell r="C10">
            <v>0</v>
          </cell>
        </row>
        <row r="13">
          <cell r="C13">
            <v>0</v>
          </cell>
          <cell r="D13">
            <v>0</v>
          </cell>
          <cell r="F13">
            <v>0</v>
          </cell>
        </row>
        <row r="18">
          <cell r="C18">
            <v>0</v>
          </cell>
          <cell r="D18">
            <v>0</v>
          </cell>
        </row>
        <row r="23">
          <cell r="C23">
            <v>0</v>
          </cell>
          <cell r="D2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MOIS0904"/>
    </sheetNames>
    <sheetDataSet>
      <sheetData sheetId="0" refreshError="1"/>
      <sheetData sheetId="1">
        <row r="1">
          <cell r="B1" t="str">
            <v>MLE</v>
          </cell>
          <cell r="C1" t="str">
            <v>SERV</v>
          </cell>
          <cell r="D1" t="str">
            <v>NOM</v>
          </cell>
          <cell r="E1" t="str">
            <v>CEMPL</v>
          </cell>
          <cell r="F1" t="str">
            <v>CLASS</v>
          </cell>
          <cell r="G1" t="str">
            <v>ECHELON</v>
          </cell>
          <cell r="H1" t="str">
            <v>TAUX_HOR</v>
          </cell>
          <cell r="I1" t="str">
            <v>NUM_QZ</v>
          </cell>
          <cell r="J1" t="str">
            <v>MMAA_PAIE</v>
          </cell>
          <cell r="K1" t="str">
            <v>PRIME_A_1</v>
          </cell>
        </row>
        <row r="2">
          <cell r="B2" t="str">
            <v>00529</v>
          </cell>
          <cell r="C2">
            <v>321</v>
          </cell>
          <cell r="D2" t="str">
            <v>ELMAHDAOUY SAID</v>
          </cell>
          <cell r="E2" t="str">
            <v>X4450</v>
          </cell>
          <cell r="F2" t="str">
            <v>A</v>
          </cell>
          <cell r="G2" t="str">
            <v>13</v>
          </cell>
          <cell r="H2">
            <v>21.459</v>
          </cell>
          <cell r="J2" t="str">
            <v>092004</v>
          </cell>
          <cell r="K2">
            <v>16297.9</v>
          </cell>
        </row>
        <row r="3">
          <cell r="B3" t="str">
            <v>03113</v>
          </cell>
          <cell r="C3">
            <v>371</v>
          </cell>
          <cell r="D3" t="str">
            <v>BRAIKI ABDELLAZIZ</v>
          </cell>
          <cell r="E3" t="str">
            <v>X3300</v>
          </cell>
          <cell r="F3" t="str">
            <v>A</v>
          </cell>
          <cell r="G3" t="str">
            <v>18</v>
          </cell>
          <cell r="H3">
            <v>19.783999999999999</v>
          </cell>
          <cell r="J3" t="str">
            <v>092004</v>
          </cell>
          <cell r="K3">
            <v>12692.01</v>
          </cell>
        </row>
        <row r="4">
          <cell r="B4" t="str">
            <v>05426</v>
          </cell>
          <cell r="C4">
            <v>371</v>
          </cell>
          <cell r="D4" t="str">
            <v>HMAIMID MOHAMED LAMINE</v>
          </cell>
          <cell r="E4" t="str">
            <v>X3300</v>
          </cell>
          <cell r="F4" t="str">
            <v>A</v>
          </cell>
          <cell r="G4" t="str">
            <v>32</v>
          </cell>
          <cell r="H4">
            <v>23.113</v>
          </cell>
          <cell r="J4" t="str">
            <v>092004</v>
          </cell>
          <cell r="K4">
            <v>16500.38</v>
          </cell>
        </row>
        <row r="5">
          <cell r="B5" t="str">
            <v>05516</v>
          </cell>
          <cell r="C5">
            <v>321</v>
          </cell>
          <cell r="D5" t="str">
            <v>AYACHE ABDESLAM</v>
          </cell>
          <cell r="E5" t="str">
            <v>X3450</v>
          </cell>
          <cell r="F5" t="str">
            <v>B</v>
          </cell>
          <cell r="G5" t="str">
            <v>31</v>
          </cell>
          <cell r="H5">
            <v>24.007999999999999</v>
          </cell>
          <cell r="J5" t="str">
            <v>092004</v>
          </cell>
          <cell r="K5">
            <v>15986.99</v>
          </cell>
        </row>
        <row r="6">
          <cell r="B6" t="str">
            <v>05681</v>
          </cell>
          <cell r="C6">
            <v>353</v>
          </cell>
          <cell r="D6" t="str">
            <v>RIADI HAFID</v>
          </cell>
          <cell r="E6" t="str">
            <v>X5200</v>
          </cell>
          <cell r="F6" t="str">
            <v>B</v>
          </cell>
          <cell r="G6" t="str">
            <v>31</v>
          </cell>
          <cell r="H6">
            <v>33.863999999999997</v>
          </cell>
          <cell r="J6" t="str">
            <v>092004</v>
          </cell>
          <cell r="K6">
            <v>29004.11</v>
          </cell>
        </row>
        <row r="7">
          <cell r="B7" t="str">
            <v>05964</v>
          </cell>
          <cell r="C7">
            <v>353</v>
          </cell>
          <cell r="D7" t="str">
            <v>EL MIR ABDESSAMAD</v>
          </cell>
          <cell r="E7" t="str">
            <v>X4412</v>
          </cell>
          <cell r="F7" t="str">
            <v>A</v>
          </cell>
          <cell r="G7" t="str">
            <v>30</v>
          </cell>
          <cell r="H7">
            <v>26.151</v>
          </cell>
          <cell r="J7" t="str">
            <v>092004</v>
          </cell>
          <cell r="K7">
            <v>12442.79</v>
          </cell>
        </row>
        <row r="8">
          <cell r="B8" t="str">
            <v>05977</v>
          </cell>
          <cell r="C8">
            <v>373</v>
          </cell>
          <cell r="D8" t="str">
            <v>ALOUAT BRAHIM</v>
          </cell>
          <cell r="E8" t="str">
            <v>X3032</v>
          </cell>
          <cell r="F8" t="str">
            <v>A</v>
          </cell>
          <cell r="G8" t="str">
            <v>30</v>
          </cell>
          <cell r="H8">
            <v>22.637</v>
          </cell>
          <cell r="J8" t="str">
            <v>092004</v>
          </cell>
          <cell r="K8">
            <v>13442.04</v>
          </cell>
        </row>
        <row r="9">
          <cell r="B9" t="str">
            <v>10449</v>
          </cell>
          <cell r="C9">
            <v>341</v>
          </cell>
          <cell r="D9" t="str">
            <v>MAHMOUD AHMED</v>
          </cell>
          <cell r="E9" t="str">
            <v>X3060</v>
          </cell>
          <cell r="F9" t="str">
            <v>A</v>
          </cell>
          <cell r="G9" t="str">
            <v>18</v>
          </cell>
          <cell r="H9">
            <v>19.783999999999999</v>
          </cell>
          <cell r="J9" t="str">
            <v>092004</v>
          </cell>
          <cell r="K9">
            <v>12810.86</v>
          </cell>
        </row>
        <row r="10">
          <cell r="B10" t="str">
            <v>18419</v>
          </cell>
          <cell r="C10">
            <v>343</v>
          </cell>
          <cell r="D10" t="str">
            <v>FARDOUSS BOUJEMAA</v>
          </cell>
          <cell r="E10" t="str">
            <v>X4200</v>
          </cell>
          <cell r="F10" t="str">
            <v>A</v>
          </cell>
          <cell r="G10" t="str">
            <v>28</v>
          </cell>
          <cell r="H10">
            <v>25.597999999999999</v>
          </cell>
          <cell r="J10" t="str">
            <v>092004</v>
          </cell>
          <cell r="K10">
            <v>16003.99</v>
          </cell>
        </row>
        <row r="11">
          <cell r="B11" t="str">
            <v>44155</v>
          </cell>
          <cell r="C11">
            <v>313</v>
          </cell>
          <cell r="D11" t="str">
            <v>ZHAR NAJIB</v>
          </cell>
          <cell r="E11" t="str">
            <v>X1601</v>
          </cell>
          <cell r="F11" t="str">
            <v>A</v>
          </cell>
          <cell r="G11" t="str">
            <v>18</v>
          </cell>
          <cell r="H11">
            <v>19.565000000000001</v>
          </cell>
          <cell r="J11" t="str">
            <v>092004</v>
          </cell>
          <cell r="K11">
            <v>14873.36</v>
          </cell>
        </row>
        <row r="12">
          <cell r="B12" t="str">
            <v>45416</v>
          </cell>
          <cell r="C12">
            <v>371</v>
          </cell>
          <cell r="D12" t="str">
            <v>HDAYECH MOHAMED</v>
          </cell>
          <cell r="E12" t="str">
            <v>X5036</v>
          </cell>
          <cell r="F12" t="str">
            <v>A</v>
          </cell>
          <cell r="G12" t="str">
            <v>22</v>
          </cell>
          <cell r="H12">
            <v>29.222000000000001</v>
          </cell>
          <cell r="J12" t="str">
            <v>092004</v>
          </cell>
          <cell r="K12">
            <v>22911.5</v>
          </cell>
        </row>
        <row r="13">
          <cell r="B13" t="str">
            <v>45460</v>
          </cell>
          <cell r="C13">
            <v>371</v>
          </cell>
          <cell r="D13" t="str">
            <v>MHAMDI SAID</v>
          </cell>
          <cell r="E13" t="str">
            <v>X4650</v>
          </cell>
          <cell r="F13" t="str">
            <v>A</v>
          </cell>
          <cell r="G13" t="str">
            <v>20</v>
          </cell>
          <cell r="H13">
            <v>23.395</v>
          </cell>
          <cell r="J13" t="str">
            <v>092004</v>
          </cell>
          <cell r="K13">
            <v>16117.2</v>
          </cell>
        </row>
        <row r="14">
          <cell r="B14" t="str">
            <v>45463</v>
          </cell>
          <cell r="C14">
            <v>353</v>
          </cell>
          <cell r="D14" t="str">
            <v>DRIOUI MUSTAPHA</v>
          </cell>
          <cell r="E14" t="str">
            <v>X4200</v>
          </cell>
          <cell r="F14" t="str">
            <v>A</v>
          </cell>
          <cell r="G14" t="str">
            <v>20</v>
          </cell>
          <cell r="H14">
            <v>23.395</v>
          </cell>
          <cell r="J14" t="str">
            <v>092004</v>
          </cell>
          <cell r="K14">
            <v>16117.2</v>
          </cell>
        </row>
        <row r="15">
          <cell r="B15" t="str">
            <v>45464</v>
          </cell>
          <cell r="C15">
            <v>353</v>
          </cell>
          <cell r="D15" t="str">
            <v>NASRI EL HABIB</v>
          </cell>
          <cell r="E15" t="str">
            <v>X4210</v>
          </cell>
          <cell r="F15" t="str">
            <v>A</v>
          </cell>
          <cell r="G15" t="str">
            <v>20</v>
          </cell>
          <cell r="H15">
            <v>23.395</v>
          </cell>
          <cell r="J15" t="str">
            <v>092004</v>
          </cell>
          <cell r="K15">
            <v>17791.560000000001</v>
          </cell>
        </row>
        <row r="16">
          <cell r="B16" t="str">
            <v>45468</v>
          </cell>
          <cell r="C16">
            <v>362</v>
          </cell>
          <cell r="D16" t="str">
            <v>BAHRAOUI AHMED</v>
          </cell>
          <cell r="E16" t="str">
            <v>X3032</v>
          </cell>
          <cell r="F16" t="str">
            <v>A</v>
          </cell>
          <cell r="G16" t="str">
            <v>20</v>
          </cell>
          <cell r="H16">
            <v>20.259</v>
          </cell>
          <cell r="J16" t="str">
            <v>092004</v>
          </cell>
          <cell r="K16">
            <v>12517.74</v>
          </cell>
        </row>
        <row r="17">
          <cell r="B17" t="str">
            <v>45575</v>
          </cell>
          <cell r="C17">
            <v>361</v>
          </cell>
          <cell r="D17" t="str">
            <v>EL HALLABI AHMED</v>
          </cell>
          <cell r="E17" t="str">
            <v>X1650</v>
          </cell>
          <cell r="F17" t="str">
            <v>A</v>
          </cell>
          <cell r="G17" t="str">
            <v>18</v>
          </cell>
          <cell r="H17">
            <v>14.291</v>
          </cell>
          <cell r="J17" t="str">
            <v>092004</v>
          </cell>
          <cell r="K17">
            <v>6789.3</v>
          </cell>
        </row>
        <row r="18">
          <cell r="B18" t="str">
            <v>45595</v>
          </cell>
          <cell r="C18">
            <v>340</v>
          </cell>
          <cell r="D18" t="str">
            <v>BOUDAD M BARK</v>
          </cell>
          <cell r="E18" t="str">
            <v>X5060</v>
          </cell>
          <cell r="F18" t="str">
            <v>A</v>
          </cell>
          <cell r="G18" t="str">
            <v>18</v>
          </cell>
          <cell r="H18">
            <v>27.866</v>
          </cell>
          <cell r="J18" t="str">
            <v>092004</v>
          </cell>
          <cell r="K18">
            <v>23828.880000000001</v>
          </cell>
        </row>
        <row r="19">
          <cell r="B19" t="str">
            <v>45602</v>
          </cell>
          <cell r="C19">
            <v>331</v>
          </cell>
          <cell r="D19" t="str">
            <v>BALAMISSA,MOULOUD</v>
          </cell>
          <cell r="E19" t="str">
            <v>X4032</v>
          </cell>
          <cell r="F19" t="str">
            <v>A</v>
          </cell>
          <cell r="G19" t="str">
            <v>17</v>
          </cell>
          <cell r="H19">
            <v>22.567</v>
          </cell>
          <cell r="J19" t="str">
            <v>092004</v>
          </cell>
          <cell r="K19">
            <v>17151.54</v>
          </cell>
        </row>
        <row r="20">
          <cell r="B20" t="str">
            <v>45604</v>
          </cell>
          <cell r="C20">
            <v>352</v>
          </cell>
          <cell r="D20" t="str">
            <v>CHIHA ABDELFETTAH</v>
          </cell>
          <cell r="E20" t="str">
            <v>X3032</v>
          </cell>
          <cell r="F20" t="str">
            <v>A</v>
          </cell>
          <cell r="G20" t="str">
            <v>17</v>
          </cell>
          <cell r="H20">
            <v>19.545999999999999</v>
          </cell>
          <cell r="J20" t="str">
            <v>092004</v>
          </cell>
          <cell r="K20">
            <v>6441.88</v>
          </cell>
        </row>
        <row r="21">
          <cell r="B21" t="str">
            <v>48298</v>
          </cell>
          <cell r="C21">
            <v>375</v>
          </cell>
          <cell r="D21" t="str">
            <v>FARIK SAAID</v>
          </cell>
          <cell r="E21" t="str">
            <v>X5032</v>
          </cell>
          <cell r="F21" t="str">
            <v>A</v>
          </cell>
          <cell r="G21" t="str">
            <v>04</v>
          </cell>
          <cell r="H21">
            <v>23.071999999999999</v>
          </cell>
          <cell r="J21" t="str">
            <v>092004</v>
          </cell>
          <cell r="K21">
            <v>8740.76</v>
          </cell>
        </row>
        <row r="22">
          <cell r="B22" t="str">
            <v>48300</v>
          </cell>
          <cell r="C22">
            <v>321</v>
          </cell>
          <cell r="D22" t="str">
            <v>SOUIAH MOHAMED YAHDIH</v>
          </cell>
          <cell r="E22" t="str">
            <v>X5050</v>
          </cell>
          <cell r="F22" t="str">
            <v>A</v>
          </cell>
          <cell r="G22" t="str">
            <v>04</v>
          </cell>
          <cell r="H22">
            <v>23.071999999999999</v>
          </cell>
          <cell r="J22" t="str">
            <v>092004</v>
          </cell>
          <cell r="K22">
            <v>12557.14</v>
          </cell>
        </row>
        <row r="23">
          <cell r="B23" t="str">
            <v>48303</v>
          </cell>
          <cell r="C23">
            <v>321</v>
          </cell>
          <cell r="D23" t="str">
            <v>HAJOUJI AICHA</v>
          </cell>
          <cell r="E23" t="str">
            <v>X5450</v>
          </cell>
          <cell r="F23" t="str">
            <v>A</v>
          </cell>
          <cell r="G23" t="str">
            <v>03</v>
          </cell>
          <cell r="H23">
            <v>22.716000000000001</v>
          </cell>
          <cell r="J23" t="str">
            <v>092004</v>
          </cell>
          <cell r="K23">
            <v>13105.54</v>
          </cell>
        </row>
        <row r="24">
          <cell r="B24" t="str">
            <v>49210</v>
          </cell>
          <cell r="C24">
            <v>313</v>
          </cell>
          <cell r="D24" t="str">
            <v>BOUDERRAOUI SAID</v>
          </cell>
          <cell r="E24" t="str">
            <v>X3036</v>
          </cell>
          <cell r="F24" t="str">
            <v>A</v>
          </cell>
          <cell r="G24" t="str">
            <v>01</v>
          </cell>
          <cell r="H24">
            <v>15.377000000000001</v>
          </cell>
          <cell r="J24" t="str">
            <v>092004</v>
          </cell>
          <cell r="K24">
            <v>0</v>
          </cell>
        </row>
        <row r="25">
          <cell r="B25" t="str">
            <v>49212</v>
          </cell>
          <cell r="C25">
            <v>313</v>
          </cell>
          <cell r="D25" t="str">
            <v>EL HAZZAM KAMAL</v>
          </cell>
          <cell r="E25" t="str">
            <v>X3036</v>
          </cell>
          <cell r="F25" t="str">
            <v>A</v>
          </cell>
          <cell r="G25" t="str">
            <v>01</v>
          </cell>
          <cell r="H25">
            <v>15.377000000000001</v>
          </cell>
          <cell r="J25" t="str">
            <v>092004</v>
          </cell>
          <cell r="K25">
            <v>0</v>
          </cell>
        </row>
        <row r="26">
          <cell r="B26" t="str">
            <v>49213</v>
          </cell>
          <cell r="C26">
            <v>371</v>
          </cell>
          <cell r="D26" t="str">
            <v>KARIYES ADIL</v>
          </cell>
          <cell r="E26" t="str">
            <v>X3036</v>
          </cell>
          <cell r="F26" t="str">
            <v>A</v>
          </cell>
          <cell r="G26" t="str">
            <v>01</v>
          </cell>
          <cell r="H26">
            <v>15.377000000000001</v>
          </cell>
          <cell r="J26" t="str">
            <v>092004</v>
          </cell>
          <cell r="K26">
            <v>0</v>
          </cell>
        </row>
        <row r="27">
          <cell r="B27" t="str">
            <v>49215</v>
          </cell>
          <cell r="C27">
            <v>371</v>
          </cell>
          <cell r="D27" t="str">
            <v>MABOUT ABDELMJID</v>
          </cell>
          <cell r="E27" t="str">
            <v>X3036</v>
          </cell>
          <cell r="F27" t="str">
            <v>A</v>
          </cell>
          <cell r="G27" t="str">
            <v>01</v>
          </cell>
          <cell r="H27">
            <v>15.377000000000001</v>
          </cell>
          <cell r="J27" t="str">
            <v>092004</v>
          </cell>
          <cell r="K27">
            <v>0</v>
          </cell>
        </row>
        <row r="28">
          <cell r="B28" t="str">
            <v>49318</v>
          </cell>
          <cell r="C28">
            <v>341</v>
          </cell>
          <cell r="D28" t="str">
            <v>ASAD MOHAMED</v>
          </cell>
          <cell r="E28" t="str">
            <v>X3050</v>
          </cell>
          <cell r="F28" t="str">
            <v>A</v>
          </cell>
          <cell r="G28" t="str">
            <v>01</v>
          </cell>
          <cell r="H28">
            <v>15.377000000000001</v>
          </cell>
          <cell r="J28" t="str">
            <v>092004</v>
          </cell>
          <cell r="K28">
            <v>0</v>
          </cell>
        </row>
        <row r="29">
          <cell r="B29" t="str">
            <v>49319</v>
          </cell>
          <cell r="C29">
            <v>341</v>
          </cell>
          <cell r="D29" t="str">
            <v>BARTALI YOUNESS</v>
          </cell>
          <cell r="E29" t="str">
            <v>X3050</v>
          </cell>
          <cell r="F29" t="str">
            <v>A</v>
          </cell>
          <cell r="G29" t="str">
            <v>01</v>
          </cell>
          <cell r="H29">
            <v>15.377000000000001</v>
          </cell>
          <cell r="J29" t="str">
            <v>092004</v>
          </cell>
          <cell r="K29">
            <v>0</v>
          </cell>
        </row>
        <row r="30">
          <cell r="B30" t="str">
            <v>49320</v>
          </cell>
          <cell r="C30">
            <v>341</v>
          </cell>
          <cell r="D30" t="str">
            <v>LOUHOUDI OUADIE</v>
          </cell>
          <cell r="E30" t="str">
            <v>X3050</v>
          </cell>
          <cell r="F30" t="str">
            <v>A</v>
          </cell>
          <cell r="G30" t="str">
            <v>01</v>
          </cell>
          <cell r="H30">
            <v>15.377000000000001</v>
          </cell>
          <cell r="J30" t="str">
            <v>092004</v>
          </cell>
          <cell r="K30">
            <v>0</v>
          </cell>
        </row>
        <row r="31">
          <cell r="B31" t="str">
            <v>49363</v>
          </cell>
          <cell r="C31">
            <v>343</v>
          </cell>
          <cell r="D31" t="str">
            <v>BAKKALI KASMI AZIZ</v>
          </cell>
          <cell r="E31" t="str">
            <v>X3210</v>
          </cell>
          <cell r="F31" t="str">
            <v>A</v>
          </cell>
          <cell r="G31" t="str">
            <v>01</v>
          </cell>
          <cell r="H31">
            <v>15.377000000000001</v>
          </cell>
          <cell r="J31" t="str">
            <v>092004</v>
          </cell>
          <cell r="K31">
            <v>0</v>
          </cell>
        </row>
        <row r="32">
          <cell r="B32" t="str">
            <v>49366</v>
          </cell>
          <cell r="C32">
            <v>343</v>
          </cell>
          <cell r="D32" t="str">
            <v>FASSIL TARIK</v>
          </cell>
          <cell r="E32" t="str">
            <v>X3210</v>
          </cell>
          <cell r="F32" t="str">
            <v>A</v>
          </cell>
          <cell r="G32" t="str">
            <v>01</v>
          </cell>
          <cell r="H32">
            <v>15.377000000000001</v>
          </cell>
          <cell r="J32" t="str">
            <v>092004</v>
          </cell>
          <cell r="K32">
            <v>0</v>
          </cell>
        </row>
        <row r="33">
          <cell r="B33" t="str">
            <v>49368</v>
          </cell>
          <cell r="C33">
            <v>343</v>
          </cell>
          <cell r="D33" t="str">
            <v>FAGRI ADIL</v>
          </cell>
          <cell r="E33" t="str">
            <v>X3210</v>
          </cell>
          <cell r="F33" t="str">
            <v>A</v>
          </cell>
          <cell r="G33" t="str">
            <v>01</v>
          </cell>
          <cell r="H33">
            <v>15.377000000000001</v>
          </cell>
          <cell r="J33" t="str">
            <v>092004</v>
          </cell>
          <cell r="K33">
            <v>0</v>
          </cell>
        </row>
        <row r="34">
          <cell r="B34" t="str">
            <v>49370</v>
          </cell>
          <cell r="C34">
            <v>353</v>
          </cell>
          <cell r="D34" t="str">
            <v>CHERRADI ABDERRAHMANE</v>
          </cell>
          <cell r="E34" t="str">
            <v>X3210</v>
          </cell>
          <cell r="F34" t="str">
            <v>A</v>
          </cell>
          <cell r="G34" t="str">
            <v>01</v>
          </cell>
          <cell r="H34">
            <v>15.377000000000001</v>
          </cell>
          <cell r="J34" t="str">
            <v>092004</v>
          </cell>
          <cell r="K34">
            <v>0</v>
          </cell>
        </row>
        <row r="35">
          <cell r="B35" t="str">
            <v>49372</v>
          </cell>
          <cell r="C35">
            <v>322</v>
          </cell>
          <cell r="D35" t="str">
            <v>MOUSSAMIR MILOUD</v>
          </cell>
          <cell r="E35" t="str">
            <v>X3800</v>
          </cell>
          <cell r="F35" t="str">
            <v>A</v>
          </cell>
          <cell r="G35" t="str">
            <v>01</v>
          </cell>
          <cell r="H35">
            <v>15.377000000000001</v>
          </cell>
          <cell r="J35" t="str">
            <v>092004</v>
          </cell>
          <cell r="K35">
            <v>0</v>
          </cell>
        </row>
        <row r="36">
          <cell r="B36" t="str">
            <v>49373</v>
          </cell>
          <cell r="C36">
            <v>322</v>
          </cell>
          <cell r="D36" t="str">
            <v>LOTFI AHMED</v>
          </cell>
          <cell r="E36" t="str">
            <v>X3800</v>
          </cell>
          <cell r="F36" t="str">
            <v>A</v>
          </cell>
          <cell r="G36" t="str">
            <v>01</v>
          </cell>
          <cell r="H36">
            <v>15.377000000000001</v>
          </cell>
          <cell r="J36" t="str">
            <v>092004</v>
          </cell>
          <cell r="K36">
            <v>0</v>
          </cell>
        </row>
        <row r="37">
          <cell r="B37" t="str">
            <v>49455</v>
          </cell>
          <cell r="C37">
            <v>342</v>
          </cell>
          <cell r="D37" t="str">
            <v>BENKIRANE SAAD</v>
          </cell>
          <cell r="E37" t="str">
            <v>X3032</v>
          </cell>
          <cell r="F37" t="str">
            <v>A</v>
          </cell>
          <cell r="G37" t="str">
            <v>01</v>
          </cell>
          <cell r="H37">
            <v>15.377000000000001</v>
          </cell>
          <cell r="J37" t="str">
            <v>092004</v>
          </cell>
          <cell r="K37">
            <v>0</v>
          </cell>
        </row>
        <row r="38">
          <cell r="B38" t="str">
            <v>49456</v>
          </cell>
          <cell r="C38">
            <v>352</v>
          </cell>
          <cell r="D38" t="str">
            <v>OUANCHARI HASSAN</v>
          </cell>
          <cell r="E38" t="str">
            <v>X3032</v>
          </cell>
          <cell r="F38" t="str">
            <v>A</v>
          </cell>
          <cell r="G38" t="str">
            <v>01</v>
          </cell>
          <cell r="H38">
            <v>15.377000000000001</v>
          </cell>
          <cell r="J38" t="str">
            <v>092004</v>
          </cell>
          <cell r="K38">
            <v>0</v>
          </cell>
        </row>
        <row r="39">
          <cell r="B39" t="str">
            <v>49531</v>
          </cell>
          <cell r="C39">
            <v>343</v>
          </cell>
          <cell r="D39" t="str">
            <v>ERRADI ADIL</v>
          </cell>
          <cell r="E39" t="str">
            <v>X5203</v>
          </cell>
          <cell r="F39" t="str">
            <v>A</v>
          </cell>
          <cell r="G39" t="str">
            <v>01</v>
          </cell>
          <cell r="H39">
            <v>21.634</v>
          </cell>
          <cell r="J39" t="str">
            <v>092004</v>
          </cell>
          <cell r="K39">
            <v>0</v>
          </cell>
        </row>
        <row r="40">
          <cell r="B40" t="str">
            <v>60031</v>
          </cell>
          <cell r="C40">
            <v>332</v>
          </cell>
          <cell r="D40" t="str">
            <v>EL KHANCHI BRAHIM ESSA</v>
          </cell>
          <cell r="E40" t="str">
            <v>X3200</v>
          </cell>
          <cell r="F40" t="str">
            <v>A</v>
          </cell>
          <cell r="G40" t="str">
            <v>27</v>
          </cell>
          <cell r="H40">
            <v>21.922999999999998</v>
          </cell>
          <cell r="J40" t="str">
            <v>092004</v>
          </cell>
          <cell r="K40">
            <v>14235.73</v>
          </cell>
        </row>
        <row r="41">
          <cell r="B41" t="str">
            <v>60046</v>
          </cell>
          <cell r="C41">
            <v>383</v>
          </cell>
          <cell r="D41" t="str">
            <v>AZERGUI HASSAN</v>
          </cell>
          <cell r="E41" t="str">
            <v>X3200</v>
          </cell>
          <cell r="F41" t="str">
            <v>A</v>
          </cell>
          <cell r="G41" t="str">
            <v>27</v>
          </cell>
          <cell r="H41">
            <v>21.922999999999998</v>
          </cell>
          <cell r="J41" t="str">
            <v>092004</v>
          </cell>
          <cell r="K41">
            <v>5270.89</v>
          </cell>
        </row>
        <row r="42">
          <cell r="B42" t="str">
            <v>60063</v>
          </cell>
          <cell r="C42">
            <v>342</v>
          </cell>
          <cell r="D42" t="str">
            <v>HAQABI MOHAMED</v>
          </cell>
          <cell r="E42" t="str">
            <v>X4032</v>
          </cell>
          <cell r="F42" t="str">
            <v>B</v>
          </cell>
          <cell r="G42" t="str">
            <v>27</v>
          </cell>
          <cell r="H42">
            <v>26.568000000000001</v>
          </cell>
          <cell r="J42" t="str">
            <v>092004</v>
          </cell>
          <cell r="K42">
            <v>18952.580000000002</v>
          </cell>
        </row>
        <row r="43">
          <cell r="B43" t="str">
            <v>60070</v>
          </cell>
          <cell r="C43">
            <v>373</v>
          </cell>
          <cell r="D43" t="str">
            <v>TAIBI M'HAMED</v>
          </cell>
          <cell r="E43" t="str">
            <v>X3032</v>
          </cell>
          <cell r="F43" t="str">
            <v>A</v>
          </cell>
          <cell r="G43" t="str">
            <v>27</v>
          </cell>
          <cell r="H43">
            <v>21.922999999999998</v>
          </cell>
          <cell r="J43" t="str">
            <v>092004</v>
          </cell>
          <cell r="K43">
            <v>14595.03</v>
          </cell>
        </row>
        <row r="44">
          <cell r="B44" t="str">
            <v>60076</v>
          </cell>
          <cell r="C44">
            <v>342</v>
          </cell>
          <cell r="D44" t="str">
            <v>ABDI MOHAMED</v>
          </cell>
          <cell r="E44" t="str">
            <v>X3032</v>
          </cell>
          <cell r="F44" t="str">
            <v>B</v>
          </cell>
          <cell r="G44" t="str">
            <v>27</v>
          </cell>
          <cell r="H44">
            <v>22.998000000000001</v>
          </cell>
          <cell r="J44" t="str">
            <v>092004</v>
          </cell>
          <cell r="K44">
            <v>17503.38</v>
          </cell>
        </row>
        <row r="45">
          <cell r="B45" t="str">
            <v>60078</v>
          </cell>
          <cell r="C45">
            <v>330</v>
          </cell>
          <cell r="D45" t="str">
            <v>ATIDE ABDELLATIF</v>
          </cell>
          <cell r="E45" t="str">
            <v>X4212</v>
          </cell>
          <cell r="F45" t="str">
            <v>A</v>
          </cell>
          <cell r="G45" t="str">
            <v>27</v>
          </cell>
          <cell r="H45">
            <v>25.323</v>
          </cell>
          <cell r="J45" t="str">
            <v>092004</v>
          </cell>
          <cell r="K45">
            <v>20473.3</v>
          </cell>
        </row>
        <row r="46">
          <cell r="B46" t="str">
            <v>60137</v>
          </cell>
          <cell r="C46">
            <v>351</v>
          </cell>
          <cell r="D46" t="str">
            <v>ELMARHOUMI MOHAMED</v>
          </cell>
          <cell r="E46" t="str">
            <v>X4150</v>
          </cell>
          <cell r="F46" t="str">
            <v>A</v>
          </cell>
          <cell r="G46" t="str">
            <v>23</v>
          </cell>
          <cell r="H46">
            <v>24.222999999999999</v>
          </cell>
          <cell r="J46" t="str">
            <v>092004</v>
          </cell>
          <cell r="K46">
            <v>20383.7</v>
          </cell>
        </row>
        <row r="47">
          <cell r="B47" t="str">
            <v>60219</v>
          </cell>
          <cell r="C47">
            <v>352</v>
          </cell>
          <cell r="D47" t="str">
            <v>LEMFEREJ KAMEL</v>
          </cell>
          <cell r="E47" t="str">
            <v>X3032</v>
          </cell>
          <cell r="F47" t="str">
            <v>A</v>
          </cell>
          <cell r="G47" t="str">
            <v>27</v>
          </cell>
          <cell r="H47">
            <v>21.922999999999998</v>
          </cell>
          <cell r="J47" t="str">
            <v>092004</v>
          </cell>
          <cell r="K47">
            <v>15118.56</v>
          </cell>
        </row>
        <row r="48">
          <cell r="B48" t="str">
            <v>60228</v>
          </cell>
          <cell r="C48">
            <v>375</v>
          </cell>
          <cell r="D48" t="str">
            <v>HAMDAOUI MUSTAPHA</v>
          </cell>
          <cell r="E48" t="str">
            <v>X5032</v>
          </cell>
          <cell r="F48" t="str">
            <v>A</v>
          </cell>
          <cell r="G48" t="str">
            <v>27</v>
          </cell>
          <cell r="H48">
            <v>30.908999999999999</v>
          </cell>
          <cell r="J48" t="str">
            <v>092004</v>
          </cell>
          <cell r="K48">
            <v>23526.84</v>
          </cell>
        </row>
        <row r="49">
          <cell r="B49" t="str">
            <v>60252</v>
          </cell>
          <cell r="C49">
            <v>362</v>
          </cell>
          <cell r="D49" t="str">
            <v>TADLAOUI ABDELOUAHHAB</v>
          </cell>
          <cell r="E49" t="str">
            <v>X4211</v>
          </cell>
          <cell r="F49" t="str">
            <v>A</v>
          </cell>
          <cell r="G49" t="str">
            <v>23</v>
          </cell>
          <cell r="H49">
            <v>24.222999999999999</v>
          </cell>
          <cell r="J49" t="str">
            <v>092004</v>
          </cell>
          <cell r="K49">
            <v>10357.99</v>
          </cell>
        </row>
        <row r="50">
          <cell r="B50" t="str">
            <v>60254</v>
          </cell>
          <cell r="C50">
            <v>350</v>
          </cell>
          <cell r="D50" t="str">
            <v>OUBELLOUCH MBAREK</v>
          </cell>
          <cell r="E50" t="str">
            <v>X4212</v>
          </cell>
          <cell r="F50" t="str">
            <v>C</v>
          </cell>
          <cell r="G50" t="str">
            <v>27</v>
          </cell>
          <cell r="H50">
            <v>27.885000000000002</v>
          </cell>
          <cell r="J50" t="str">
            <v>092004</v>
          </cell>
          <cell r="K50">
            <v>19225.95</v>
          </cell>
        </row>
        <row r="51">
          <cell r="B51" t="str">
            <v>60256</v>
          </cell>
          <cell r="C51">
            <v>330</v>
          </cell>
          <cell r="D51" t="str">
            <v>ABAIBOU HASSANE</v>
          </cell>
          <cell r="E51" t="str">
            <v>X4650</v>
          </cell>
          <cell r="F51" t="str">
            <v>A</v>
          </cell>
          <cell r="G51" t="str">
            <v>20</v>
          </cell>
          <cell r="H51">
            <v>23.395</v>
          </cell>
          <cell r="J51" t="str">
            <v>092004</v>
          </cell>
          <cell r="K51">
            <v>11688.05</v>
          </cell>
        </row>
        <row r="52">
          <cell r="B52" t="str">
            <v>60258</v>
          </cell>
          <cell r="C52">
            <v>375</v>
          </cell>
          <cell r="D52" t="str">
            <v>ELMOKADEM ELHOUSSEINE</v>
          </cell>
          <cell r="E52" t="str">
            <v>X6032</v>
          </cell>
          <cell r="F52" t="str">
            <v>B</v>
          </cell>
          <cell r="G52" t="str">
            <v>27</v>
          </cell>
          <cell r="H52">
            <v>37.110999999999997</v>
          </cell>
          <cell r="J52" t="str">
            <v>092004</v>
          </cell>
          <cell r="K52">
            <v>30884.49</v>
          </cell>
        </row>
        <row r="53">
          <cell r="B53" t="str">
            <v>60265</v>
          </cell>
          <cell r="C53">
            <v>330</v>
          </cell>
          <cell r="D53" t="str">
            <v>MOUNAAM SALAH</v>
          </cell>
          <cell r="E53" t="str">
            <v>X5200</v>
          </cell>
          <cell r="F53" t="str">
            <v>A</v>
          </cell>
          <cell r="G53" t="str">
            <v>27</v>
          </cell>
          <cell r="H53">
            <v>30.908999999999999</v>
          </cell>
          <cell r="J53" t="str">
            <v>092004</v>
          </cell>
          <cell r="K53">
            <v>22788.81</v>
          </cell>
        </row>
        <row r="54">
          <cell r="B54" t="str">
            <v>60267</v>
          </cell>
          <cell r="C54">
            <v>330</v>
          </cell>
          <cell r="D54" t="str">
            <v>GHOUMARY ABDELLATIF</v>
          </cell>
          <cell r="E54" t="str">
            <v>X4212</v>
          </cell>
          <cell r="F54" t="str">
            <v>A</v>
          </cell>
          <cell r="G54" t="str">
            <v>27</v>
          </cell>
          <cell r="H54">
            <v>25.323</v>
          </cell>
          <cell r="J54" t="str">
            <v>092004</v>
          </cell>
          <cell r="K54">
            <v>15055.71</v>
          </cell>
        </row>
        <row r="55">
          <cell r="B55" t="str">
            <v>60268</v>
          </cell>
          <cell r="C55">
            <v>371</v>
          </cell>
          <cell r="D55" t="str">
            <v>BABA ABDELAZIZ</v>
          </cell>
          <cell r="E55" t="str">
            <v>X4036</v>
          </cell>
          <cell r="F55" t="str">
            <v>A</v>
          </cell>
          <cell r="G55" t="str">
            <v>27</v>
          </cell>
          <cell r="H55">
            <v>25.323</v>
          </cell>
          <cell r="J55" t="str">
            <v>092004</v>
          </cell>
          <cell r="K55">
            <v>13253.96</v>
          </cell>
        </row>
        <row r="56">
          <cell r="B56" t="str">
            <v>60270</v>
          </cell>
          <cell r="C56">
            <v>332</v>
          </cell>
          <cell r="D56" t="str">
            <v>MOUJRI MOHAMED</v>
          </cell>
          <cell r="E56" t="str">
            <v>X4412</v>
          </cell>
          <cell r="F56" t="str">
            <v>C</v>
          </cell>
          <cell r="G56" t="str">
            <v>27</v>
          </cell>
          <cell r="H56">
            <v>27.885000000000002</v>
          </cell>
          <cell r="J56" t="str">
            <v>092004</v>
          </cell>
          <cell r="K56">
            <v>17242.23</v>
          </cell>
        </row>
        <row r="57">
          <cell r="B57" t="str">
            <v>60272</v>
          </cell>
          <cell r="C57">
            <v>341</v>
          </cell>
          <cell r="D57" t="str">
            <v>HAFID ELMOSTAPHA</v>
          </cell>
          <cell r="E57" t="str">
            <v>X4212</v>
          </cell>
          <cell r="F57" t="str">
            <v>A</v>
          </cell>
          <cell r="G57" t="str">
            <v>27</v>
          </cell>
          <cell r="H57">
            <v>25.323</v>
          </cell>
          <cell r="J57" t="str">
            <v>092004</v>
          </cell>
          <cell r="K57">
            <v>16857.46</v>
          </cell>
        </row>
        <row r="58">
          <cell r="B58" t="str">
            <v>60273</v>
          </cell>
          <cell r="C58">
            <v>341</v>
          </cell>
          <cell r="D58" t="str">
            <v>HADDADA MOHAMED</v>
          </cell>
          <cell r="E58" t="str">
            <v>X6050</v>
          </cell>
          <cell r="F58" t="str">
            <v>A</v>
          </cell>
          <cell r="G58" t="str">
            <v>27</v>
          </cell>
          <cell r="H58">
            <v>35.362000000000002</v>
          </cell>
          <cell r="J58" t="str">
            <v>092004</v>
          </cell>
          <cell r="K58">
            <v>28587.89</v>
          </cell>
        </row>
        <row r="59">
          <cell r="B59" t="str">
            <v>60275</v>
          </cell>
          <cell r="C59">
            <v>371</v>
          </cell>
          <cell r="D59" t="str">
            <v>KHALFOUNE MOHAMED</v>
          </cell>
          <cell r="E59" t="str">
            <v>X4300</v>
          </cell>
          <cell r="F59" t="str">
            <v>D</v>
          </cell>
          <cell r="G59" t="str">
            <v>27</v>
          </cell>
          <cell r="H59">
            <v>30.908999999999999</v>
          </cell>
          <cell r="J59" t="str">
            <v>092004</v>
          </cell>
          <cell r="K59">
            <v>27201.98</v>
          </cell>
        </row>
        <row r="60">
          <cell r="B60" t="str">
            <v>60326</v>
          </cell>
          <cell r="C60">
            <v>343</v>
          </cell>
          <cell r="D60" t="str">
            <v>HATIM ABDELLATIF</v>
          </cell>
          <cell r="E60" t="str">
            <v>X4210</v>
          </cell>
          <cell r="F60" t="str">
            <v>A</v>
          </cell>
          <cell r="G60" t="str">
            <v>26</v>
          </cell>
          <cell r="H60">
            <v>25.047999999999998</v>
          </cell>
          <cell r="J60" t="str">
            <v>092004</v>
          </cell>
          <cell r="K60">
            <v>14451.03</v>
          </cell>
        </row>
        <row r="61">
          <cell r="B61" t="str">
            <v>60327</v>
          </cell>
          <cell r="C61">
            <v>332</v>
          </cell>
          <cell r="D61" t="str">
            <v>SEBBAB MOHAMED</v>
          </cell>
          <cell r="E61" t="str">
            <v>X4210</v>
          </cell>
          <cell r="F61" t="str">
            <v>C</v>
          </cell>
          <cell r="G61" t="str">
            <v>26</v>
          </cell>
          <cell r="H61">
            <v>27.577999999999999</v>
          </cell>
          <cell r="J61" t="str">
            <v>092004</v>
          </cell>
          <cell r="K61">
            <v>21875.48</v>
          </cell>
        </row>
        <row r="62">
          <cell r="B62" t="str">
            <v>60343</v>
          </cell>
          <cell r="C62">
            <v>375</v>
          </cell>
          <cell r="D62" t="str">
            <v>KAMAL IDRISSI MOHAMED</v>
          </cell>
          <cell r="E62" t="str">
            <v>X3032</v>
          </cell>
          <cell r="F62" t="str">
            <v>A</v>
          </cell>
          <cell r="G62" t="str">
            <v>26</v>
          </cell>
          <cell r="H62">
            <v>21.686</v>
          </cell>
          <cell r="J62" t="str">
            <v>092004</v>
          </cell>
          <cell r="K62">
            <v>14595.03</v>
          </cell>
        </row>
        <row r="63">
          <cell r="B63" t="str">
            <v>60344</v>
          </cell>
          <cell r="C63">
            <v>341</v>
          </cell>
          <cell r="D63" t="str">
            <v>EDDAOUDI MUSTAPHA</v>
          </cell>
          <cell r="E63" t="str">
            <v>X4050</v>
          </cell>
          <cell r="F63" t="str">
            <v>A</v>
          </cell>
          <cell r="G63" t="str">
            <v>26</v>
          </cell>
          <cell r="H63">
            <v>25.047999999999998</v>
          </cell>
          <cell r="J63" t="str">
            <v>092004</v>
          </cell>
          <cell r="K63">
            <v>13558.63</v>
          </cell>
        </row>
        <row r="64">
          <cell r="B64" t="str">
            <v>60364</v>
          </cell>
          <cell r="C64">
            <v>361</v>
          </cell>
          <cell r="D64" t="str">
            <v>ELKERRAI   MILOUD</v>
          </cell>
          <cell r="E64" t="str">
            <v>X4253</v>
          </cell>
          <cell r="F64" t="str">
            <v>A</v>
          </cell>
          <cell r="G64" t="str">
            <v>26</v>
          </cell>
          <cell r="H64">
            <v>25.047999999999998</v>
          </cell>
          <cell r="J64" t="str">
            <v>092004</v>
          </cell>
          <cell r="K64">
            <v>22628.54</v>
          </cell>
        </row>
        <row r="65">
          <cell r="B65" t="str">
            <v>60367</v>
          </cell>
          <cell r="C65">
            <v>363</v>
          </cell>
          <cell r="D65" t="str">
            <v>SAID M'HAMMED</v>
          </cell>
          <cell r="E65" t="str">
            <v>X2601</v>
          </cell>
          <cell r="F65" t="str">
            <v>A</v>
          </cell>
          <cell r="G65" t="str">
            <v>26</v>
          </cell>
          <cell r="H65">
            <v>24.376999999999999</v>
          </cell>
          <cell r="J65" t="str">
            <v>092004</v>
          </cell>
          <cell r="K65">
            <v>22021.81</v>
          </cell>
        </row>
        <row r="66">
          <cell r="B66" t="str">
            <v>60394</v>
          </cell>
          <cell r="C66">
            <v>313</v>
          </cell>
          <cell r="D66" t="str">
            <v>EL KHATTABI MHAMED</v>
          </cell>
          <cell r="E66" t="str">
            <v>X6036</v>
          </cell>
          <cell r="F66" t="str">
            <v>A</v>
          </cell>
          <cell r="G66" t="str">
            <v>26</v>
          </cell>
          <cell r="H66">
            <v>34.975999999999999</v>
          </cell>
          <cell r="J66" t="str">
            <v>092004</v>
          </cell>
          <cell r="K66">
            <v>30774.69</v>
          </cell>
        </row>
        <row r="67">
          <cell r="B67" t="str">
            <v>60445</v>
          </cell>
          <cell r="C67">
            <v>352</v>
          </cell>
          <cell r="D67" t="str">
            <v>MESSAK BOUJEMAA</v>
          </cell>
          <cell r="E67" t="str">
            <v>X3032</v>
          </cell>
          <cell r="F67" t="str">
            <v>A</v>
          </cell>
          <cell r="G67" t="str">
            <v>23</v>
          </cell>
          <cell r="H67">
            <v>20.972999999999999</v>
          </cell>
          <cell r="J67" t="str">
            <v>092004</v>
          </cell>
          <cell r="K67">
            <v>13955.4</v>
          </cell>
        </row>
        <row r="68">
          <cell r="B68" t="str">
            <v>60481</v>
          </cell>
          <cell r="C68">
            <v>375</v>
          </cell>
          <cell r="D68" t="str">
            <v>BNOUHAJAR EL MAATI</v>
          </cell>
          <cell r="E68" t="str">
            <v>X4032</v>
          </cell>
          <cell r="F68" t="str">
            <v>D</v>
          </cell>
          <cell r="G68" t="str">
            <v>23</v>
          </cell>
          <cell r="H68">
            <v>29.559000000000001</v>
          </cell>
          <cell r="J68" t="str">
            <v>092004</v>
          </cell>
          <cell r="K68">
            <v>25295.53</v>
          </cell>
        </row>
        <row r="69">
          <cell r="B69" t="str">
            <v>60485</v>
          </cell>
          <cell r="C69">
            <v>313</v>
          </cell>
          <cell r="D69" t="str">
            <v>MENANI MOHAMED</v>
          </cell>
          <cell r="E69" t="str">
            <v>X3036</v>
          </cell>
          <cell r="F69" t="str">
            <v>A</v>
          </cell>
          <cell r="G69" t="str">
            <v>23</v>
          </cell>
          <cell r="H69">
            <v>20.972999999999999</v>
          </cell>
          <cell r="J69" t="str">
            <v>092004</v>
          </cell>
          <cell r="K69">
            <v>8870.2000000000007</v>
          </cell>
        </row>
        <row r="70">
          <cell r="B70" t="str">
            <v>60583</v>
          </cell>
          <cell r="C70">
            <v>330</v>
          </cell>
          <cell r="D70" t="str">
            <v>BAZTAMI MHAMED</v>
          </cell>
          <cell r="E70" t="str">
            <v>X5212</v>
          </cell>
          <cell r="F70" t="str">
            <v>A</v>
          </cell>
          <cell r="G70" t="str">
            <v>28</v>
          </cell>
          <cell r="H70">
            <v>31.247</v>
          </cell>
          <cell r="J70" t="str">
            <v>092004</v>
          </cell>
          <cell r="K70">
            <v>26009.85</v>
          </cell>
        </row>
        <row r="71">
          <cell r="B71" t="str">
            <v>60598</v>
          </cell>
          <cell r="C71">
            <v>330</v>
          </cell>
          <cell r="D71" t="str">
            <v>ABBASSI MOHAMED</v>
          </cell>
          <cell r="E71" t="str">
            <v>X4212</v>
          </cell>
          <cell r="F71" t="str">
            <v>C</v>
          </cell>
          <cell r="G71" t="str">
            <v>28</v>
          </cell>
          <cell r="H71">
            <v>28.190999999999999</v>
          </cell>
          <cell r="J71" t="str">
            <v>092004</v>
          </cell>
          <cell r="K71">
            <v>20785.98</v>
          </cell>
        </row>
        <row r="72">
          <cell r="B72" t="str">
            <v>60710</v>
          </cell>
          <cell r="C72">
            <v>383</v>
          </cell>
          <cell r="D72" t="str">
            <v>RAJI MOHAMMED</v>
          </cell>
          <cell r="E72" t="str">
            <v>X3210</v>
          </cell>
          <cell r="F72" t="str">
            <v>C</v>
          </cell>
          <cell r="G72" t="str">
            <v>25</v>
          </cell>
          <cell r="H72">
            <v>23.603999999999999</v>
          </cell>
          <cell r="J72" t="str">
            <v>092004</v>
          </cell>
          <cell r="K72">
            <v>14592.23</v>
          </cell>
        </row>
        <row r="73">
          <cell r="B73" t="str">
            <v>60718</v>
          </cell>
          <cell r="C73">
            <v>353</v>
          </cell>
          <cell r="D73" t="str">
            <v>IKSSI LARBI</v>
          </cell>
          <cell r="E73" t="str">
            <v>X6207</v>
          </cell>
          <cell r="F73" t="str">
            <v>A</v>
          </cell>
          <cell r="G73" t="str">
            <v>31</v>
          </cell>
          <cell r="H73">
            <v>36.914000000000001</v>
          </cell>
          <cell r="J73" t="str">
            <v>092004</v>
          </cell>
          <cell r="K73">
            <v>28443.56</v>
          </cell>
        </row>
        <row r="74">
          <cell r="B74" t="str">
            <v>60870</v>
          </cell>
          <cell r="C74">
            <v>342</v>
          </cell>
          <cell r="D74" t="str">
            <v>SAKAR ABDESSLAM</v>
          </cell>
          <cell r="E74" t="str">
            <v>X3032</v>
          </cell>
          <cell r="F74" t="str">
            <v>B</v>
          </cell>
          <cell r="G74" t="str">
            <v>28</v>
          </cell>
          <cell r="H74">
            <v>23.251000000000001</v>
          </cell>
          <cell r="J74" t="str">
            <v>092004</v>
          </cell>
          <cell r="K74">
            <v>16587.849999999999</v>
          </cell>
        </row>
        <row r="75">
          <cell r="B75" t="str">
            <v>60873</v>
          </cell>
          <cell r="C75">
            <v>362</v>
          </cell>
          <cell r="D75" t="str">
            <v>BINOI MOHAMED</v>
          </cell>
          <cell r="E75" t="str">
            <v>X4032</v>
          </cell>
          <cell r="F75" t="str">
            <v>B</v>
          </cell>
          <cell r="G75" t="str">
            <v>28</v>
          </cell>
          <cell r="H75">
            <v>26.86</v>
          </cell>
          <cell r="J75" t="str">
            <v>092004</v>
          </cell>
          <cell r="K75">
            <v>16793</v>
          </cell>
        </row>
        <row r="76">
          <cell r="B76" t="str">
            <v>60894</v>
          </cell>
          <cell r="C76">
            <v>321</v>
          </cell>
          <cell r="D76" t="str">
            <v>KARMA ABDESSELEM</v>
          </cell>
          <cell r="E76" t="str">
            <v>X2450</v>
          </cell>
          <cell r="F76" t="str">
            <v>A</v>
          </cell>
          <cell r="G76" t="str">
            <v>27</v>
          </cell>
          <cell r="H76">
            <v>18.658999999999999</v>
          </cell>
          <cell r="J76" t="str">
            <v>092004</v>
          </cell>
          <cell r="K76">
            <v>12421.39</v>
          </cell>
        </row>
        <row r="77">
          <cell r="B77" t="str">
            <v>60899</v>
          </cell>
          <cell r="C77">
            <v>371</v>
          </cell>
          <cell r="D77" t="str">
            <v>EL QEZOUANI ACHOUR</v>
          </cell>
          <cell r="E77" t="str">
            <v>X5650</v>
          </cell>
          <cell r="F77" t="str">
            <v>A</v>
          </cell>
          <cell r="G77" t="str">
            <v>27</v>
          </cell>
          <cell r="H77">
            <v>30.908999999999999</v>
          </cell>
          <cell r="J77" t="str">
            <v>092004</v>
          </cell>
          <cell r="K77">
            <v>21547.98</v>
          </cell>
        </row>
        <row r="78">
          <cell r="B78" t="str">
            <v>60933</v>
          </cell>
          <cell r="C78">
            <v>371</v>
          </cell>
          <cell r="D78" t="str">
            <v>EL AAJABI MOHAMED</v>
          </cell>
          <cell r="E78" t="str">
            <v>X5036</v>
          </cell>
          <cell r="F78" t="str">
            <v>A</v>
          </cell>
          <cell r="G78" t="str">
            <v>30</v>
          </cell>
          <cell r="H78">
            <v>31.922000000000001</v>
          </cell>
          <cell r="J78" t="str">
            <v>092004</v>
          </cell>
          <cell r="K78">
            <v>24306.28</v>
          </cell>
        </row>
        <row r="79">
          <cell r="B79" t="str">
            <v>60949</v>
          </cell>
          <cell r="C79">
            <v>371</v>
          </cell>
          <cell r="D79" t="str">
            <v>JABRANE AHMED</v>
          </cell>
          <cell r="E79" t="str">
            <v>X1650</v>
          </cell>
          <cell r="F79" t="str">
            <v>A</v>
          </cell>
          <cell r="G79" t="str">
            <v>24</v>
          </cell>
          <cell r="H79">
            <v>15.31</v>
          </cell>
          <cell r="J79" t="str">
            <v>092004</v>
          </cell>
          <cell r="K79">
            <v>8010.96</v>
          </cell>
        </row>
        <row r="80">
          <cell r="B80" t="str">
            <v>60960</v>
          </cell>
          <cell r="C80">
            <v>384</v>
          </cell>
          <cell r="D80" t="str">
            <v>BTAIMA EL MOSTAFA</v>
          </cell>
          <cell r="E80" t="str">
            <v>X3210</v>
          </cell>
          <cell r="F80" t="str">
            <v>A</v>
          </cell>
          <cell r="G80" t="str">
            <v>24</v>
          </cell>
          <cell r="H80">
            <v>21.213000000000001</v>
          </cell>
          <cell r="J80" t="str">
            <v>092004</v>
          </cell>
          <cell r="K80">
            <v>12099.95</v>
          </cell>
        </row>
        <row r="81">
          <cell r="B81" t="str">
            <v>60985</v>
          </cell>
          <cell r="C81">
            <v>352</v>
          </cell>
          <cell r="D81" t="str">
            <v>ZEROUAL ABDELLATIF</v>
          </cell>
          <cell r="E81" t="str">
            <v>X4032</v>
          </cell>
          <cell r="F81" t="str">
            <v>B</v>
          </cell>
          <cell r="G81" t="str">
            <v>24</v>
          </cell>
          <cell r="H81">
            <v>25.69</v>
          </cell>
          <cell r="J81" t="str">
            <v>092004</v>
          </cell>
          <cell r="K81">
            <v>18319.04</v>
          </cell>
        </row>
        <row r="82">
          <cell r="B82" t="str">
            <v>60991</v>
          </cell>
          <cell r="C82">
            <v>373</v>
          </cell>
          <cell r="D82" t="str">
            <v>BOUKHRISSE MAHJOUB</v>
          </cell>
          <cell r="E82" t="str">
            <v>X3032</v>
          </cell>
          <cell r="F82" t="str">
            <v>A</v>
          </cell>
          <cell r="G82" t="str">
            <v>24</v>
          </cell>
          <cell r="H82">
            <v>21.213000000000001</v>
          </cell>
          <cell r="J82" t="str">
            <v>092004</v>
          </cell>
          <cell r="K82">
            <v>16636.13</v>
          </cell>
        </row>
        <row r="83">
          <cell r="B83" t="str">
            <v>60997</v>
          </cell>
          <cell r="C83">
            <v>331</v>
          </cell>
          <cell r="D83" t="str">
            <v>DANIANE ABDELKHALEK</v>
          </cell>
          <cell r="E83" t="str">
            <v>X4032</v>
          </cell>
          <cell r="F83" t="str">
            <v>A</v>
          </cell>
          <cell r="G83" t="str">
            <v>23</v>
          </cell>
          <cell r="H83">
            <v>24.222999999999999</v>
          </cell>
          <cell r="J83" t="str">
            <v>092004</v>
          </cell>
          <cell r="K83">
            <v>21553.25</v>
          </cell>
        </row>
        <row r="84">
          <cell r="B84" t="str">
            <v>61012</v>
          </cell>
          <cell r="C84">
            <v>362</v>
          </cell>
          <cell r="D84" t="str">
            <v>EL ORFI ABDELILAH</v>
          </cell>
          <cell r="E84" t="str">
            <v>X3500</v>
          </cell>
          <cell r="F84" t="str">
            <v>A</v>
          </cell>
          <cell r="G84" t="str">
            <v>23</v>
          </cell>
          <cell r="H84">
            <v>20.972999999999999</v>
          </cell>
          <cell r="J84" t="str">
            <v>092004</v>
          </cell>
          <cell r="K84">
            <v>10972.25</v>
          </cell>
        </row>
        <row r="85">
          <cell r="B85" t="str">
            <v>61046</v>
          </cell>
          <cell r="C85">
            <v>341</v>
          </cell>
          <cell r="D85" t="str">
            <v>EL MOUTAQUI ABDELGHANI</v>
          </cell>
          <cell r="E85" t="str">
            <v>X5050</v>
          </cell>
          <cell r="F85" t="str">
            <v>A</v>
          </cell>
          <cell r="G85" t="str">
            <v>23</v>
          </cell>
          <cell r="H85">
            <v>29.559000000000001</v>
          </cell>
          <cell r="J85" t="str">
            <v>092004</v>
          </cell>
          <cell r="K85">
            <v>22488.11</v>
          </cell>
        </row>
        <row r="86">
          <cell r="B86" t="str">
            <v>61048</v>
          </cell>
          <cell r="C86">
            <v>342</v>
          </cell>
          <cell r="D86" t="str">
            <v>MEZROUI AMAR</v>
          </cell>
          <cell r="E86" t="str">
            <v>X5032</v>
          </cell>
          <cell r="F86" t="str">
            <v>B</v>
          </cell>
          <cell r="G86" t="str">
            <v>23</v>
          </cell>
          <cell r="H86">
            <v>31.001000000000001</v>
          </cell>
          <cell r="J86" t="str">
            <v>092004</v>
          </cell>
          <cell r="K86">
            <v>25049.65</v>
          </cell>
        </row>
        <row r="87">
          <cell r="B87" t="str">
            <v>61049</v>
          </cell>
          <cell r="C87">
            <v>371</v>
          </cell>
          <cell r="D87" t="str">
            <v>HILAL ABDELHADI</v>
          </cell>
          <cell r="E87" t="str">
            <v>X4300</v>
          </cell>
          <cell r="F87" t="str">
            <v>A</v>
          </cell>
          <cell r="G87" t="str">
            <v>23</v>
          </cell>
          <cell r="H87">
            <v>24.222999999999999</v>
          </cell>
          <cell r="J87" t="str">
            <v>092004</v>
          </cell>
          <cell r="K87">
            <v>8024.49</v>
          </cell>
        </row>
        <row r="88">
          <cell r="B88" t="str">
            <v>61050</v>
          </cell>
          <cell r="C88">
            <v>322</v>
          </cell>
          <cell r="D88" t="str">
            <v>BENTAJER AHMED</v>
          </cell>
          <cell r="E88" t="str">
            <v>X5800</v>
          </cell>
          <cell r="F88" t="str">
            <v>B</v>
          </cell>
          <cell r="G88" t="str">
            <v>23</v>
          </cell>
          <cell r="H88">
            <v>31.001000000000001</v>
          </cell>
          <cell r="J88" t="str">
            <v>092004</v>
          </cell>
          <cell r="K88">
            <v>25789.53</v>
          </cell>
        </row>
        <row r="89">
          <cell r="B89" t="str">
            <v>61054</v>
          </cell>
          <cell r="C89">
            <v>351</v>
          </cell>
          <cell r="D89" t="str">
            <v>EL HART ABDELKHALEK</v>
          </cell>
          <cell r="E89" t="str">
            <v>X6150</v>
          </cell>
          <cell r="F89" t="str">
            <v>A</v>
          </cell>
          <cell r="G89" t="str">
            <v>23</v>
          </cell>
          <cell r="H89">
            <v>33.814</v>
          </cell>
          <cell r="J89" t="str">
            <v>092004</v>
          </cell>
          <cell r="K89">
            <v>29740.76</v>
          </cell>
        </row>
        <row r="90">
          <cell r="B90" t="str">
            <v>61057</v>
          </cell>
          <cell r="C90">
            <v>351</v>
          </cell>
          <cell r="D90" t="str">
            <v>MERIOUMI HOUSSAINE</v>
          </cell>
          <cell r="E90" t="str">
            <v>X5150</v>
          </cell>
          <cell r="F90" t="str">
            <v>A</v>
          </cell>
          <cell r="G90" t="str">
            <v>23</v>
          </cell>
          <cell r="H90">
            <v>29.559000000000001</v>
          </cell>
          <cell r="J90" t="str">
            <v>092004</v>
          </cell>
          <cell r="K90">
            <v>24590.080000000002</v>
          </cell>
        </row>
        <row r="91">
          <cell r="B91" t="str">
            <v>61059</v>
          </cell>
          <cell r="C91">
            <v>351</v>
          </cell>
          <cell r="D91" t="str">
            <v>MOUTTAQI MHAMMED</v>
          </cell>
          <cell r="E91" t="str">
            <v>X5150</v>
          </cell>
          <cell r="F91" t="str">
            <v>A</v>
          </cell>
          <cell r="G91" t="str">
            <v>23</v>
          </cell>
          <cell r="H91">
            <v>29.559000000000001</v>
          </cell>
          <cell r="J91" t="str">
            <v>092004</v>
          </cell>
          <cell r="K91">
            <v>24590.080000000002</v>
          </cell>
        </row>
        <row r="92">
          <cell r="B92" t="str">
            <v>61064</v>
          </cell>
          <cell r="C92">
            <v>351</v>
          </cell>
          <cell r="D92" t="str">
            <v>EL HIMES MOHAMED</v>
          </cell>
          <cell r="E92" t="str">
            <v>X4150</v>
          </cell>
          <cell r="F92" t="str">
            <v>A</v>
          </cell>
          <cell r="G92" t="str">
            <v>23</v>
          </cell>
          <cell r="H92">
            <v>24.222999999999999</v>
          </cell>
          <cell r="J92" t="str">
            <v>092004</v>
          </cell>
          <cell r="K92">
            <v>11514.11</v>
          </cell>
        </row>
        <row r="93">
          <cell r="B93" t="str">
            <v>61066</v>
          </cell>
          <cell r="C93">
            <v>341</v>
          </cell>
          <cell r="D93" t="str">
            <v>MANIAR MUSTAPHA</v>
          </cell>
          <cell r="E93" t="str">
            <v>X5032</v>
          </cell>
          <cell r="F93" t="str">
            <v>A</v>
          </cell>
          <cell r="G93" t="str">
            <v>23</v>
          </cell>
          <cell r="H93">
            <v>29.559000000000001</v>
          </cell>
          <cell r="J93" t="str">
            <v>092004</v>
          </cell>
          <cell r="K93">
            <v>21077.21</v>
          </cell>
        </row>
        <row r="94">
          <cell r="B94" t="str">
            <v>61071</v>
          </cell>
          <cell r="C94">
            <v>342</v>
          </cell>
          <cell r="D94" t="str">
            <v>MOUAHHID MOHAMED</v>
          </cell>
          <cell r="E94" t="str">
            <v>X4032</v>
          </cell>
          <cell r="F94" t="str">
            <v>B</v>
          </cell>
          <cell r="G94" t="str">
            <v>23</v>
          </cell>
          <cell r="H94">
            <v>25.398</v>
          </cell>
          <cell r="J94" t="str">
            <v>092004</v>
          </cell>
          <cell r="K94">
            <v>14484.4</v>
          </cell>
        </row>
        <row r="95">
          <cell r="B95" t="str">
            <v>61075</v>
          </cell>
          <cell r="C95">
            <v>353</v>
          </cell>
          <cell r="D95" t="str">
            <v>SANBA MOHAMED</v>
          </cell>
          <cell r="E95" t="str">
            <v>X5200</v>
          </cell>
          <cell r="F95" t="str">
            <v>A</v>
          </cell>
          <cell r="G95" t="str">
            <v>23</v>
          </cell>
          <cell r="H95">
            <v>29.559000000000001</v>
          </cell>
          <cell r="J95" t="str">
            <v>092004</v>
          </cell>
          <cell r="K95">
            <v>19666.3</v>
          </cell>
        </row>
        <row r="96">
          <cell r="B96" t="str">
            <v>61076</v>
          </cell>
          <cell r="C96">
            <v>362</v>
          </cell>
          <cell r="D96" t="str">
            <v>EL GADIRI ABDERRAHIM</v>
          </cell>
          <cell r="E96" t="str">
            <v>X5200</v>
          </cell>
          <cell r="F96" t="str">
            <v>A</v>
          </cell>
          <cell r="G96" t="str">
            <v>23</v>
          </cell>
          <cell r="H96">
            <v>29.559000000000001</v>
          </cell>
          <cell r="J96" t="str">
            <v>092004</v>
          </cell>
          <cell r="K96">
            <v>25295.53</v>
          </cell>
        </row>
        <row r="97">
          <cell r="B97" t="str">
            <v>61078</v>
          </cell>
          <cell r="C97">
            <v>343</v>
          </cell>
          <cell r="D97" t="str">
            <v>AGUILAL EL HASSANE</v>
          </cell>
          <cell r="E97" t="str">
            <v>X4200</v>
          </cell>
          <cell r="F97" t="str">
            <v>A</v>
          </cell>
          <cell r="G97" t="str">
            <v>23</v>
          </cell>
          <cell r="H97">
            <v>24.222999999999999</v>
          </cell>
          <cell r="J97" t="str">
            <v>092004</v>
          </cell>
          <cell r="K97">
            <v>17271.18</v>
          </cell>
        </row>
        <row r="98">
          <cell r="B98" t="str">
            <v>61079</v>
          </cell>
          <cell r="C98">
            <v>353</v>
          </cell>
          <cell r="D98" t="str">
            <v>TAGHOUACHTI MOHAMED</v>
          </cell>
          <cell r="E98" t="str">
            <v>X4200</v>
          </cell>
          <cell r="F98" t="str">
            <v>B</v>
          </cell>
          <cell r="G98" t="str">
            <v>23</v>
          </cell>
          <cell r="H98">
            <v>25.398</v>
          </cell>
          <cell r="J98" t="str">
            <v>092004</v>
          </cell>
          <cell r="K98">
            <v>19914.490000000002</v>
          </cell>
        </row>
        <row r="99">
          <cell r="B99" t="str">
            <v>61080</v>
          </cell>
          <cell r="C99">
            <v>343</v>
          </cell>
          <cell r="D99" t="str">
            <v>EL MERZOUKI BOUTAYEB</v>
          </cell>
          <cell r="E99" t="str">
            <v>X5200</v>
          </cell>
          <cell r="F99" t="str">
            <v>A</v>
          </cell>
          <cell r="G99" t="str">
            <v>23</v>
          </cell>
          <cell r="H99">
            <v>29.559000000000001</v>
          </cell>
          <cell r="J99" t="str">
            <v>092004</v>
          </cell>
          <cell r="K99">
            <v>22488.11</v>
          </cell>
        </row>
        <row r="100">
          <cell r="B100" t="str">
            <v>61081</v>
          </cell>
          <cell r="C100">
            <v>362</v>
          </cell>
          <cell r="D100" t="str">
            <v>LARROUBI MOHAMED</v>
          </cell>
          <cell r="E100" t="str">
            <v>X4200</v>
          </cell>
          <cell r="F100" t="str">
            <v>A</v>
          </cell>
          <cell r="G100" t="str">
            <v>23</v>
          </cell>
          <cell r="H100">
            <v>24.222999999999999</v>
          </cell>
          <cell r="J100" t="str">
            <v>092004</v>
          </cell>
          <cell r="K100">
            <v>17271.18</v>
          </cell>
        </row>
        <row r="101">
          <cell r="B101" t="str">
            <v>61082</v>
          </cell>
          <cell r="C101">
            <v>350</v>
          </cell>
          <cell r="D101" t="str">
            <v>MAKHLOUF MOHAMED</v>
          </cell>
          <cell r="E101" t="str">
            <v>X4200</v>
          </cell>
          <cell r="F101" t="str">
            <v>B</v>
          </cell>
          <cell r="G101" t="str">
            <v>23</v>
          </cell>
          <cell r="H101">
            <v>25.398</v>
          </cell>
          <cell r="J101" t="str">
            <v>092004</v>
          </cell>
          <cell r="K101">
            <v>19914.490000000002</v>
          </cell>
        </row>
        <row r="102">
          <cell r="B102" t="str">
            <v>61083</v>
          </cell>
          <cell r="C102">
            <v>382</v>
          </cell>
          <cell r="D102" t="str">
            <v>BOUHIDA AHMED</v>
          </cell>
          <cell r="E102" t="str">
            <v>X4200</v>
          </cell>
          <cell r="F102" t="str">
            <v>A</v>
          </cell>
          <cell r="G102" t="str">
            <v>23</v>
          </cell>
          <cell r="H102">
            <v>24.222999999999999</v>
          </cell>
          <cell r="J102" t="str">
            <v>092004</v>
          </cell>
          <cell r="K102">
            <v>15548.78</v>
          </cell>
        </row>
        <row r="103">
          <cell r="B103" t="str">
            <v>61084</v>
          </cell>
          <cell r="C103">
            <v>343</v>
          </cell>
          <cell r="D103" t="str">
            <v>ELHAMZAOUI MOHAMED</v>
          </cell>
          <cell r="E103" t="str">
            <v>X5207</v>
          </cell>
          <cell r="F103" t="str">
            <v>A</v>
          </cell>
          <cell r="G103" t="str">
            <v>23</v>
          </cell>
          <cell r="H103">
            <v>29.559000000000001</v>
          </cell>
          <cell r="J103" t="str">
            <v>092004</v>
          </cell>
          <cell r="K103">
            <v>25295.53</v>
          </cell>
        </row>
        <row r="104">
          <cell r="B104" t="str">
            <v>61088</v>
          </cell>
          <cell r="C104">
            <v>343</v>
          </cell>
          <cell r="D104" t="str">
            <v>JAMROUDI ABDELLAH</v>
          </cell>
          <cell r="E104" t="str">
            <v>X4210</v>
          </cell>
          <cell r="F104" t="str">
            <v>A</v>
          </cell>
          <cell r="G104" t="str">
            <v>23</v>
          </cell>
          <cell r="H104">
            <v>24.222999999999999</v>
          </cell>
          <cell r="J104" t="str">
            <v>092004</v>
          </cell>
          <cell r="K104">
            <v>11514.11</v>
          </cell>
        </row>
        <row r="105">
          <cell r="B105" t="str">
            <v>61097</v>
          </cell>
          <cell r="C105">
            <v>383</v>
          </cell>
          <cell r="D105" t="str">
            <v>OULDKHAL TAHAR</v>
          </cell>
          <cell r="E105" t="str">
            <v>X3209</v>
          </cell>
          <cell r="F105" t="str">
            <v>A</v>
          </cell>
          <cell r="G105" t="str">
            <v>23</v>
          </cell>
          <cell r="H105">
            <v>20.972999999999999</v>
          </cell>
          <cell r="J105" t="str">
            <v>092004</v>
          </cell>
          <cell r="K105">
            <v>11462.64</v>
          </cell>
        </row>
        <row r="106">
          <cell r="B106" t="str">
            <v>61116</v>
          </cell>
          <cell r="C106">
            <v>350</v>
          </cell>
          <cell r="D106" t="str">
            <v>HIMMICHE MOKHTAR</v>
          </cell>
          <cell r="E106" t="str">
            <v>X4060</v>
          </cell>
          <cell r="F106" t="str">
            <v>B</v>
          </cell>
          <cell r="G106" t="str">
            <v>22</v>
          </cell>
          <cell r="H106">
            <v>25.106000000000002</v>
          </cell>
          <cell r="J106" t="str">
            <v>092004</v>
          </cell>
          <cell r="K106">
            <v>17502.490000000002</v>
          </cell>
        </row>
        <row r="107">
          <cell r="B107" t="str">
            <v>61117</v>
          </cell>
          <cell r="C107">
            <v>350</v>
          </cell>
          <cell r="D107" t="str">
            <v>BAOUCH ABDELLATIF</v>
          </cell>
          <cell r="E107" t="str">
            <v>X4060</v>
          </cell>
          <cell r="F107" t="str">
            <v>D</v>
          </cell>
          <cell r="G107" t="str">
            <v>22</v>
          </cell>
          <cell r="H107">
            <v>29.222000000000001</v>
          </cell>
          <cell r="J107" t="str">
            <v>092004</v>
          </cell>
          <cell r="K107">
            <v>25295.53</v>
          </cell>
        </row>
        <row r="108">
          <cell r="B108" t="str">
            <v>61121</v>
          </cell>
          <cell r="C108">
            <v>350</v>
          </cell>
          <cell r="D108" t="str">
            <v>RAHALI MOULAY ABDELLAH</v>
          </cell>
          <cell r="E108" t="str">
            <v>X6060</v>
          </cell>
          <cell r="F108" t="str">
            <v>A</v>
          </cell>
          <cell r="G108" t="str">
            <v>22</v>
          </cell>
          <cell r="H108">
            <v>33.424999999999997</v>
          </cell>
          <cell r="J108" t="str">
            <v>092004</v>
          </cell>
          <cell r="K108">
            <v>29740.76</v>
          </cell>
        </row>
        <row r="109">
          <cell r="B109" t="str">
            <v>61122</v>
          </cell>
          <cell r="C109">
            <v>350</v>
          </cell>
          <cell r="D109" t="str">
            <v>FARKOUCHI OMAR</v>
          </cell>
          <cell r="E109" t="str">
            <v>X4060</v>
          </cell>
          <cell r="F109" t="str">
            <v>A</v>
          </cell>
          <cell r="G109" t="str">
            <v>22</v>
          </cell>
          <cell r="H109">
            <v>23.945</v>
          </cell>
          <cell r="J109" t="str">
            <v>092004</v>
          </cell>
          <cell r="K109">
            <v>17849.240000000002</v>
          </cell>
        </row>
        <row r="110">
          <cell r="B110" t="str">
            <v>61127</v>
          </cell>
          <cell r="C110">
            <v>362</v>
          </cell>
          <cell r="D110" t="str">
            <v>IBNETTALIB ABDERRAHIM</v>
          </cell>
          <cell r="E110" t="str">
            <v>X4500</v>
          </cell>
          <cell r="F110" t="str">
            <v>A</v>
          </cell>
          <cell r="G110" t="str">
            <v>22</v>
          </cell>
          <cell r="H110">
            <v>23.945</v>
          </cell>
          <cell r="J110" t="str">
            <v>092004</v>
          </cell>
          <cell r="K110">
            <v>18427.3</v>
          </cell>
        </row>
        <row r="111">
          <cell r="B111" t="str">
            <v>61322</v>
          </cell>
          <cell r="C111">
            <v>322</v>
          </cell>
          <cell r="D111" t="str">
            <v>ESSALEKELOUARRAK MOHAM</v>
          </cell>
          <cell r="E111" t="str">
            <v>X4800</v>
          </cell>
          <cell r="F111" t="str">
            <v>A</v>
          </cell>
          <cell r="G111" t="str">
            <v>22</v>
          </cell>
          <cell r="H111">
            <v>23.945</v>
          </cell>
          <cell r="J111" t="str">
            <v>092004</v>
          </cell>
          <cell r="K111">
            <v>17849.240000000002</v>
          </cell>
        </row>
        <row r="112">
          <cell r="B112" t="str">
            <v>61366</v>
          </cell>
          <cell r="C112">
            <v>371</v>
          </cell>
          <cell r="D112" t="str">
            <v>MHAILLA ABDELHAFID</v>
          </cell>
          <cell r="E112" t="str">
            <v>X3036</v>
          </cell>
          <cell r="F112" t="str">
            <v>A</v>
          </cell>
          <cell r="G112" t="str">
            <v>22</v>
          </cell>
          <cell r="H112">
            <v>20.736000000000001</v>
          </cell>
          <cell r="J112" t="str">
            <v>092004</v>
          </cell>
          <cell r="K112">
            <v>13955.4</v>
          </cell>
        </row>
        <row r="113">
          <cell r="B113" t="str">
            <v>61375</v>
          </cell>
          <cell r="C113">
            <v>351</v>
          </cell>
          <cell r="D113" t="str">
            <v>GUENNOUN ABDELLAH</v>
          </cell>
          <cell r="E113" t="str">
            <v>X4032</v>
          </cell>
          <cell r="F113" t="str">
            <v>A</v>
          </cell>
          <cell r="G113" t="str">
            <v>23</v>
          </cell>
          <cell r="H113">
            <v>24.222999999999999</v>
          </cell>
          <cell r="J113" t="str">
            <v>092004</v>
          </cell>
          <cell r="K113">
            <v>8057.53</v>
          </cell>
        </row>
        <row r="114">
          <cell r="B114" t="str">
            <v>61418</v>
          </cell>
          <cell r="C114">
            <v>382</v>
          </cell>
          <cell r="D114" t="str">
            <v>CHLIYAH BOUJEMAA</v>
          </cell>
          <cell r="E114" t="str">
            <v>X6200</v>
          </cell>
          <cell r="F114" t="str">
            <v>A</v>
          </cell>
          <cell r="G114" t="str">
            <v>22</v>
          </cell>
          <cell r="H114">
            <v>33.424999999999997</v>
          </cell>
          <cell r="J114" t="str">
            <v>092004</v>
          </cell>
          <cell r="K114">
            <v>28599.56</v>
          </cell>
        </row>
        <row r="115">
          <cell r="B115" t="str">
            <v>61498</v>
          </cell>
          <cell r="C115">
            <v>350</v>
          </cell>
          <cell r="D115" t="str">
            <v>ABAD ABDERRAHIM</v>
          </cell>
          <cell r="E115" t="str">
            <v>X3050</v>
          </cell>
          <cell r="F115" t="str">
            <v>B</v>
          </cell>
          <cell r="G115" t="str">
            <v>22</v>
          </cell>
          <cell r="H115">
            <v>21.738</v>
          </cell>
          <cell r="J115" t="str">
            <v>092004</v>
          </cell>
          <cell r="K115">
            <v>17041.45</v>
          </cell>
        </row>
        <row r="116">
          <cell r="B116" t="str">
            <v>61499</v>
          </cell>
          <cell r="C116">
            <v>341</v>
          </cell>
          <cell r="D116" t="str">
            <v>ZANFI RACHID</v>
          </cell>
          <cell r="E116" t="str">
            <v>X3032</v>
          </cell>
          <cell r="F116" t="str">
            <v>A</v>
          </cell>
          <cell r="G116" t="str">
            <v>22</v>
          </cell>
          <cell r="H116">
            <v>20.736000000000001</v>
          </cell>
          <cell r="J116" t="str">
            <v>092004</v>
          </cell>
          <cell r="K116">
            <v>13796.26</v>
          </cell>
        </row>
        <row r="117">
          <cell r="B117" t="str">
            <v>61750</v>
          </cell>
          <cell r="C117">
            <v>373</v>
          </cell>
          <cell r="D117" t="str">
            <v>LYAZRHI NOUREDDINE</v>
          </cell>
          <cell r="E117" t="str">
            <v>X4032</v>
          </cell>
          <cell r="F117" t="str">
            <v>A</v>
          </cell>
          <cell r="G117" t="str">
            <v>23</v>
          </cell>
          <cell r="H117">
            <v>24.222999999999999</v>
          </cell>
          <cell r="J117" t="str">
            <v>092004</v>
          </cell>
          <cell r="K117">
            <v>14970.71</v>
          </cell>
        </row>
        <row r="118">
          <cell r="B118" t="str">
            <v>61751</v>
          </cell>
          <cell r="C118">
            <v>342</v>
          </cell>
          <cell r="D118" t="str">
            <v>SRIJ ABDERRAHIM</v>
          </cell>
          <cell r="E118" t="str">
            <v>X4032</v>
          </cell>
          <cell r="F118" t="str">
            <v>A</v>
          </cell>
          <cell r="G118" t="str">
            <v>23</v>
          </cell>
          <cell r="H118">
            <v>24.222999999999999</v>
          </cell>
          <cell r="J118" t="str">
            <v>092004</v>
          </cell>
          <cell r="K118">
            <v>13814.59</v>
          </cell>
        </row>
        <row r="119">
          <cell r="B119" t="str">
            <v>61753</v>
          </cell>
          <cell r="C119">
            <v>352</v>
          </cell>
          <cell r="D119" t="str">
            <v>MORJANE MOHAMED</v>
          </cell>
          <cell r="E119" t="str">
            <v>X4032</v>
          </cell>
          <cell r="F119" t="str">
            <v>A</v>
          </cell>
          <cell r="G119" t="str">
            <v>23</v>
          </cell>
          <cell r="H119">
            <v>24.222999999999999</v>
          </cell>
          <cell r="J119" t="str">
            <v>092004</v>
          </cell>
          <cell r="K119">
            <v>11514.11</v>
          </cell>
        </row>
        <row r="120">
          <cell r="B120" t="str">
            <v>61756</v>
          </cell>
          <cell r="C120">
            <v>313</v>
          </cell>
          <cell r="D120" t="str">
            <v>EL BOUHSINI JAMAL</v>
          </cell>
          <cell r="E120" t="str">
            <v>X4036</v>
          </cell>
          <cell r="F120" t="str">
            <v>A</v>
          </cell>
          <cell r="G120" t="str">
            <v>23</v>
          </cell>
          <cell r="H120">
            <v>24.222999999999999</v>
          </cell>
          <cell r="J120" t="str">
            <v>092004</v>
          </cell>
          <cell r="K120">
            <v>18427.3</v>
          </cell>
        </row>
        <row r="121">
          <cell r="B121" t="str">
            <v>61757</v>
          </cell>
          <cell r="C121">
            <v>371</v>
          </cell>
          <cell r="D121" t="str">
            <v>BENAMAR ABDESLEM</v>
          </cell>
          <cell r="E121" t="str">
            <v>X3036</v>
          </cell>
          <cell r="F121" t="str">
            <v>A</v>
          </cell>
          <cell r="G121" t="str">
            <v>23</v>
          </cell>
          <cell r="H121">
            <v>20.972999999999999</v>
          </cell>
          <cell r="J121" t="str">
            <v>092004</v>
          </cell>
          <cell r="K121">
            <v>11963.23</v>
          </cell>
        </row>
        <row r="122">
          <cell r="B122" t="str">
            <v>61892</v>
          </cell>
          <cell r="C122">
            <v>373</v>
          </cell>
          <cell r="D122" t="str">
            <v>SAMI MOHAMED</v>
          </cell>
          <cell r="E122" t="str">
            <v>X3032</v>
          </cell>
          <cell r="F122" t="str">
            <v>A</v>
          </cell>
          <cell r="G122" t="str">
            <v>22</v>
          </cell>
          <cell r="H122">
            <v>20.736000000000001</v>
          </cell>
          <cell r="J122" t="str">
            <v>092004</v>
          </cell>
          <cell r="K122">
            <v>14786.04</v>
          </cell>
        </row>
        <row r="123">
          <cell r="B123" t="str">
            <v>61905</v>
          </cell>
          <cell r="C123">
            <v>353</v>
          </cell>
          <cell r="D123" t="str">
            <v>NSAISS LAHOUCINE</v>
          </cell>
          <cell r="E123" t="str">
            <v>X3200</v>
          </cell>
          <cell r="F123" t="str">
            <v>C</v>
          </cell>
          <cell r="G123" t="str">
            <v>22</v>
          </cell>
          <cell r="H123">
            <v>22.806000000000001</v>
          </cell>
          <cell r="J123" t="str">
            <v>092004</v>
          </cell>
          <cell r="K123">
            <v>16803</v>
          </cell>
        </row>
        <row r="124">
          <cell r="B124" t="str">
            <v>61943</v>
          </cell>
          <cell r="C124">
            <v>352</v>
          </cell>
          <cell r="D124" t="str">
            <v>KASBY HASSAN</v>
          </cell>
          <cell r="E124" t="str">
            <v>X4032</v>
          </cell>
          <cell r="F124" t="str">
            <v>B</v>
          </cell>
          <cell r="G124" t="str">
            <v>22</v>
          </cell>
          <cell r="H124">
            <v>25.106000000000002</v>
          </cell>
          <cell r="J124" t="str">
            <v>092004</v>
          </cell>
          <cell r="K124">
            <v>20881.16</v>
          </cell>
        </row>
        <row r="125">
          <cell r="B125" t="str">
            <v>61944</v>
          </cell>
          <cell r="C125">
            <v>362</v>
          </cell>
          <cell r="D125" t="str">
            <v>LAHLAFI HAMID</v>
          </cell>
          <cell r="E125" t="str">
            <v>X4032</v>
          </cell>
          <cell r="F125" t="str">
            <v>A</v>
          </cell>
          <cell r="G125" t="str">
            <v>22</v>
          </cell>
          <cell r="H125">
            <v>23.945</v>
          </cell>
          <cell r="J125" t="str">
            <v>092004</v>
          </cell>
          <cell r="K125">
            <v>19918.28</v>
          </cell>
        </row>
        <row r="126">
          <cell r="B126" t="str">
            <v>61948</v>
          </cell>
          <cell r="C126">
            <v>353</v>
          </cell>
          <cell r="D126" t="str">
            <v>ABDELLAOUI MHAMED</v>
          </cell>
          <cell r="E126" t="str">
            <v>X6200</v>
          </cell>
          <cell r="F126" t="str">
            <v>A</v>
          </cell>
          <cell r="G126" t="str">
            <v>22</v>
          </cell>
          <cell r="H126">
            <v>33.424999999999997</v>
          </cell>
          <cell r="J126" t="str">
            <v>092004</v>
          </cell>
          <cell r="K126">
            <v>29397.16</v>
          </cell>
        </row>
        <row r="127">
          <cell r="B127" t="str">
            <v>61949</v>
          </cell>
          <cell r="C127">
            <v>343</v>
          </cell>
          <cell r="D127" t="str">
            <v>AHDDAR LACHMI</v>
          </cell>
          <cell r="E127" t="str">
            <v>X4200</v>
          </cell>
          <cell r="F127" t="str">
            <v>A</v>
          </cell>
          <cell r="G127" t="str">
            <v>22</v>
          </cell>
          <cell r="H127">
            <v>23.945</v>
          </cell>
          <cell r="J127" t="str">
            <v>092004</v>
          </cell>
          <cell r="K127">
            <v>14227.34</v>
          </cell>
        </row>
        <row r="128">
          <cell r="B128" t="str">
            <v>61950</v>
          </cell>
          <cell r="C128">
            <v>332</v>
          </cell>
          <cell r="D128" t="str">
            <v>ABOUJIRANE SALAH</v>
          </cell>
          <cell r="E128" t="str">
            <v>X4200</v>
          </cell>
          <cell r="F128" t="str">
            <v>A</v>
          </cell>
          <cell r="G128" t="str">
            <v>22</v>
          </cell>
          <cell r="H128">
            <v>23.945</v>
          </cell>
          <cell r="J128" t="str">
            <v>092004</v>
          </cell>
          <cell r="K128">
            <v>15370.19</v>
          </cell>
        </row>
        <row r="129">
          <cell r="B129" t="str">
            <v>61953</v>
          </cell>
          <cell r="C129">
            <v>332</v>
          </cell>
          <cell r="D129" t="str">
            <v>TABI MOHAMMED</v>
          </cell>
          <cell r="E129" t="str">
            <v>X5200</v>
          </cell>
          <cell r="F129" t="str">
            <v>A</v>
          </cell>
          <cell r="G129" t="str">
            <v>22</v>
          </cell>
          <cell r="H129">
            <v>29.222000000000001</v>
          </cell>
          <cell r="J129" t="str">
            <v>092004</v>
          </cell>
          <cell r="K129">
            <v>23608.81</v>
          </cell>
        </row>
        <row r="130">
          <cell r="B130" t="str">
            <v>61955</v>
          </cell>
          <cell r="C130">
            <v>353</v>
          </cell>
          <cell r="D130" t="str">
            <v>ELHARDI AISSA</v>
          </cell>
          <cell r="E130" t="str">
            <v>X5200</v>
          </cell>
          <cell r="F130" t="str">
            <v>A</v>
          </cell>
          <cell r="G130" t="str">
            <v>22</v>
          </cell>
          <cell r="H130">
            <v>29.222000000000001</v>
          </cell>
          <cell r="J130" t="str">
            <v>092004</v>
          </cell>
          <cell r="K130">
            <v>23608.81</v>
          </cell>
        </row>
        <row r="131">
          <cell r="B131" t="str">
            <v>61956</v>
          </cell>
          <cell r="C131">
            <v>332</v>
          </cell>
          <cell r="D131" t="str">
            <v>BAHANNI MOHAMED</v>
          </cell>
          <cell r="E131" t="str">
            <v>X5200</v>
          </cell>
          <cell r="F131" t="str">
            <v>A</v>
          </cell>
          <cell r="G131" t="str">
            <v>22</v>
          </cell>
          <cell r="H131">
            <v>29.222000000000001</v>
          </cell>
          <cell r="J131" t="str">
            <v>092004</v>
          </cell>
          <cell r="K131">
            <v>16664.21</v>
          </cell>
        </row>
        <row r="132">
          <cell r="B132" t="str">
            <v>61960</v>
          </cell>
          <cell r="C132">
            <v>300</v>
          </cell>
          <cell r="D132" t="str">
            <v>LAHMANATE ABDENBI</v>
          </cell>
          <cell r="E132" t="str">
            <v>X4200</v>
          </cell>
          <cell r="F132" t="str">
            <v>A</v>
          </cell>
          <cell r="G132" t="str">
            <v>22</v>
          </cell>
          <cell r="H132">
            <v>23.945</v>
          </cell>
          <cell r="J132" t="str">
            <v>092004</v>
          </cell>
          <cell r="K132">
            <v>20489.689999999999</v>
          </cell>
        </row>
        <row r="133">
          <cell r="B133" t="str">
            <v>61962</v>
          </cell>
          <cell r="C133">
            <v>383</v>
          </cell>
          <cell r="D133" t="str">
            <v>BOKHABRINE BOUJEMAA</v>
          </cell>
          <cell r="E133" t="str">
            <v>X4210</v>
          </cell>
          <cell r="F133" t="str">
            <v>B</v>
          </cell>
          <cell r="G133" t="str">
            <v>22</v>
          </cell>
          <cell r="H133">
            <v>25.106000000000002</v>
          </cell>
          <cell r="J133" t="str">
            <v>092004</v>
          </cell>
          <cell r="K133">
            <v>19096.23</v>
          </cell>
        </row>
        <row r="134">
          <cell r="B134" t="str">
            <v>61970</v>
          </cell>
          <cell r="C134">
            <v>361</v>
          </cell>
          <cell r="D134" t="str">
            <v>BOUACHMIR MOHAMMED</v>
          </cell>
          <cell r="E134" t="str">
            <v>X3253</v>
          </cell>
          <cell r="F134" t="str">
            <v>A</v>
          </cell>
          <cell r="G134" t="str">
            <v>22</v>
          </cell>
          <cell r="H134">
            <v>20.736000000000001</v>
          </cell>
          <cell r="J134" t="str">
            <v>092004</v>
          </cell>
          <cell r="K134">
            <v>15775.81</v>
          </cell>
        </row>
        <row r="135">
          <cell r="B135" t="str">
            <v>61982</v>
          </cell>
          <cell r="C135">
            <v>362</v>
          </cell>
          <cell r="D135" t="str">
            <v>SIFEDDINE MOHAMMED</v>
          </cell>
          <cell r="E135" t="str">
            <v>X4500</v>
          </cell>
          <cell r="F135" t="str">
            <v>A</v>
          </cell>
          <cell r="G135" t="str">
            <v>22</v>
          </cell>
          <cell r="H135">
            <v>23.945</v>
          </cell>
          <cell r="J135" t="str">
            <v>092004</v>
          </cell>
          <cell r="K135">
            <v>17072.8</v>
          </cell>
        </row>
        <row r="136">
          <cell r="B136" t="str">
            <v>61983</v>
          </cell>
          <cell r="C136">
            <v>362</v>
          </cell>
          <cell r="D136" t="str">
            <v>JARDINI MOHAMMED</v>
          </cell>
          <cell r="E136" t="str">
            <v>X6500</v>
          </cell>
          <cell r="F136" t="str">
            <v>A</v>
          </cell>
          <cell r="G136" t="str">
            <v>22</v>
          </cell>
          <cell r="H136">
            <v>33.424999999999997</v>
          </cell>
          <cell r="J136" t="str">
            <v>092004</v>
          </cell>
          <cell r="K136">
            <v>30178.49</v>
          </cell>
        </row>
        <row r="137">
          <cell r="B137" t="str">
            <v>61992</v>
          </cell>
          <cell r="C137">
            <v>361</v>
          </cell>
          <cell r="D137" t="str">
            <v>ZAHAYER ABDESLAM</v>
          </cell>
          <cell r="E137" t="str">
            <v>X6253</v>
          </cell>
          <cell r="F137" t="str">
            <v>C</v>
          </cell>
          <cell r="G137" t="str">
            <v>22</v>
          </cell>
          <cell r="H137">
            <v>36.798999999999999</v>
          </cell>
          <cell r="J137" t="str">
            <v>092004</v>
          </cell>
          <cell r="K137">
            <v>33218.589999999997</v>
          </cell>
        </row>
        <row r="138">
          <cell r="B138" t="str">
            <v>62013</v>
          </cell>
          <cell r="C138">
            <v>321</v>
          </cell>
          <cell r="D138" t="str">
            <v>EL BADI ELAYDI</v>
          </cell>
          <cell r="E138" t="str">
            <v>X2450</v>
          </cell>
          <cell r="F138" t="str">
            <v>A</v>
          </cell>
          <cell r="G138" t="str">
            <v>22</v>
          </cell>
          <cell r="H138">
            <v>17.652999999999999</v>
          </cell>
          <cell r="J138" t="str">
            <v>092004</v>
          </cell>
          <cell r="K138">
            <v>13008.4</v>
          </cell>
        </row>
        <row r="139">
          <cell r="B139" t="str">
            <v>62018</v>
          </cell>
          <cell r="C139">
            <v>321</v>
          </cell>
          <cell r="D139" t="str">
            <v>KABDANI SAID</v>
          </cell>
          <cell r="E139" t="str">
            <v>X2450</v>
          </cell>
          <cell r="F139" t="str">
            <v>A</v>
          </cell>
          <cell r="G139" t="str">
            <v>22</v>
          </cell>
          <cell r="H139">
            <v>17.652999999999999</v>
          </cell>
          <cell r="J139" t="str">
            <v>092004</v>
          </cell>
          <cell r="K139">
            <v>10489.25</v>
          </cell>
        </row>
        <row r="140">
          <cell r="B140" t="str">
            <v>62020</v>
          </cell>
          <cell r="C140">
            <v>321</v>
          </cell>
          <cell r="D140" t="str">
            <v>ELFARSSI ABDALLAH</v>
          </cell>
          <cell r="E140" t="str">
            <v>X2450</v>
          </cell>
          <cell r="F140" t="str">
            <v>A</v>
          </cell>
          <cell r="G140" t="str">
            <v>22</v>
          </cell>
          <cell r="H140">
            <v>17.652999999999999</v>
          </cell>
          <cell r="J140" t="str">
            <v>092004</v>
          </cell>
          <cell r="K140">
            <v>11331.84</v>
          </cell>
        </row>
        <row r="141">
          <cell r="B141" t="str">
            <v>62146</v>
          </cell>
          <cell r="C141">
            <v>361</v>
          </cell>
          <cell r="D141" t="str">
            <v>OUBENAISSA ABDELALI</v>
          </cell>
          <cell r="E141" t="str">
            <v>X1257</v>
          </cell>
          <cell r="F141" t="str">
            <v>A</v>
          </cell>
          <cell r="G141" t="str">
            <v>21</v>
          </cell>
          <cell r="H141">
            <v>14.802</v>
          </cell>
          <cell r="J141" t="str">
            <v>092004</v>
          </cell>
          <cell r="K141">
            <v>8441.15</v>
          </cell>
        </row>
        <row r="142">
          <cell r="B142" t="str">
            <v>62150</v>
          </cell>
          <cell r="C142">
            <v>342</v>
          </cell>
          <cell r="D142" t="str">
            <v>TAOUSSE MOHAMED</v>
          </cell>
          <cell r="E142" t="str">
            <v>X5032</v>
          </cell>
          <cell r="F142" t="str">
            <v>B</v>
          </cell>
          <cell r="G142" t="str">
            <v>21</v>
          </cell>
          <cell r="H142">
            <v>30.29</v>
          </cell>
          <cell r="J142" t="str">
            <v>092004</v>
          </cell>
          <cell r="K142">
            <v>27340.48</v>
          </cell>
        </row>
        <row r="143">
          <cell r="B143" t="str">
            <v>62152</v>
          </cell>
          <cell r="C143">
            <v>382</v>
          </cell>
          <cell r="D143" t="str">
            <v>REZOUK NORDINE</v>
          </cell>
          <cell r="E143" t="str">
            <v>X5032</v>
          </cell>
          <cell r="F143" t="str">
            <v>A</v>
          </cell>
          <cell r="G143" t="str">
            <v>21</v>
          </cell>
          <cell r="H143">
            <v>28.885000000000002</v>
          </cell>
          <cell r="J143" t="str">
            <v>092004</v>
          </cell>
          <cell r="K143">
            <v>21279.21</v>
          </cell>
        </row>
        <row r="144">
          <cell r="B144" t="str">
            <v>62154</v>
          </cell>
          <cell r="C144">
            <v>375</v>
          </cell>
          <cell r="D144" t="str">
            <v>EL AIDI ABDERRAHIM</v>
          </cell>
          <cell r="E144" t="str">
            <v>X6032</v>
          </cell>
          <cell r="F144" t="str">
            <v>A</v>
          </cell>
          <cell r="G144" t="str">
            <v>21</v>
          </cell>
          <cell r="H144">
            <v>33.039000000000001</v>
          </cell>
          <cell r="J144" t="str">
            <v>092004</v>
          </cell>
          <cell r="K144">
            <v>27476.6</v>
          </cell>
        </row>
        <row r="145">
          <cell r="B145" t="str">
            <v>62155</v>
          </cell>
          <cell r="C145">
            <v>352</v>
          </cell>
          <cell r="D145" t="str">
            <v>RKAKBI KACEM</v>
          </cell>
          <cell r="E145" t="str">
            <v>X6032</v>
          </cell>
          <cell r="F145" t="str">
            <v>A</v>
          </cell>
          <cell r="G145" t="str">
            <v>21</v>
          </cell>
          <cell r="H145">
            <v>33.039000000000001</v>
          </cell>
          <cell r="J145" t="str">
            <v>092004</v>
          </cell>
          <cell r="K145">
            <v>29825.3</v>
          </cell>
        </row>
        <row r="146">
          <cell r="B146" t="str">
            <v>62156</v>
          </cell>
          <cell r="C146">
            <v>375</v>
          </cell>
          <cell r="D146" t="str">
            <v>ELYAZIJI MOHAMED</v>
          </cell>
          <cell r="E146" t="str">
            <v>X4032</v>
          </cell>
          <cell r="F146" t="str">
            <v>A</v>
          </cell>
          <cell r="G146" t="str">
            <v>21</v>
          </cell>
          <cell r="H146">
            <v>23.67</v>
          </cell>
          <cell r="J146" t="str">
            <v>092004</v>
          </cell>
          <cell r="K146">
            <v>19686.84</v>
          </cell>
        </row>
        <row r="147">
          <cell r="B147" t="str">
            <v>62157</v>
          </cell>
          <cell r="C147">
            <v>331</v>
          </cell>
          <cell r="D147" t="str">
            <v>SEGHROUCHNI ABDELHAFID</v>
          </cell>
          <cell r="E147" t="str">
            <v>X5032</v>
          </cell>
          <cell r="F147" t="str">
            <v>B</v>
          </cell>
          <cell r="G147" t="str">
            <v>21</v>
          </cell>
          <cell r="H147">
            <v>30.29</v>
          </cell>
          <cell r="J147" t="str">
            <v>092004</v>
          </cell>
          <cell r="K147">
            <v>26632.63</v>
          </cell>
        </row>
        <row r="148">
          <cell r="B148" t="str">
            <v>62159</v>
          </cell>
          <cell r="C148">
            <v>343</v>
          </cell>
          <cell r="D148" t="str">
            <v>ARABA MOHAMMED</v>
          </cell>
          <cell r="E148" t="str">
            <v>X4412</v>
          </cell>
          <cell r="F148" t="str">
            <v>A</v>
          </cell>
          <cell r="G148" t="str">
            <v>21</v>
          </cell>
          <cell r="H148">
            <v>23.67</v>
          </cell>
          <cell r="J148" t="str">
            <v>092004</v>
          </cell>
          <cell r="K148">
            <v>13497.24</v>
          </cell>
        </row>
        <row r="149">
          <cell r="B149" t="str">
            <v>62161</v>
          </cell>
          <cell r="C149">
            <v>343</v>
          </cell>
          <cell r="D149" t="str">
            <v>BENHAJJAM ABDELLATIF</v>
          </cell>
          <cell r="E149" t="str">
            <v>X5200</v>
          </cell>
          <cell r="F149" t="str">
            <v>A</v>
          </cell>
          <cell r="G149" t="str">
            <v>21</v>
          </cell>
          <cell r="H149">
            <v>28.885000000000002</v>
          </cell>
          <cell r="J149" t="str">
            <v>092004</v>
          </cell>
          <cell r="K149">
            <v>19211.759999999998</v>
          </cell>
        </row>
        <row r="150">
          <cell r="B150" t="str">
            <v>62163</v>
          </cell>
          <cell r="C150">
            <v>332</v>
          </cell>
          <cell r="D150" t="str">
            <v>AKKAB DRISS</v>
          </cell>
          <cell r="E150" t="str">
            <v>X4200</v>
          </cell>
          <cell r="F150" t="str">
            <v>A</v>
          </cell>
          <cell r="G150" t="str">
            <v>21</v>
          </cell>
          <cell r="H150">
            <v>23.67</v>
          </cell>
          <cell r="J150" t="str">
            <v>092004</v>
          </cell>
          <cell r="K150">
            <v>16309.64</v>
          </cell>
        </row>
        <row r="151">
          <cell r="B151" t="str">
            <v>62173</v>
          </cell>
          <cell r="C151">
            <v>342</v>
          </cell>
          <cell r="D151" t="str">
            <v>BENITIBE ABDELLATIF</v>
          </cell>
          <cell r="E151" t="str">
            <v>X3150</v>
          </cell>
          <cell r="F151" t="str">
            <v>B</v>
          </cell>
          <cell r="G151" t="str">
            <v>20</v>
          </cell>
          <cell r="H151">
            <v>21.23</v>
          </cell>
          <cell r="J151" t="str">
            <v>092004</v>
          </cell>
          <cell r="K151">
            <v>12248.38</v>
          </cell>
        </row>
        <row r="152">
          <cell r="B152" t="str">
            <v>62175</v>
          </cell>
          <cell r="C152">
            <v>351</v>
          </cell>
          <cell r="D152" t="str">
            <v>EL AKHIRI AHMED</v>
          </cell>
          <cell r="E152" t="str">
            <v>X3150</v>
          </cell>
          <cell r="F152" t="str">
            <v>A</v>
          </cell>
          <cell r="G152" t="str">
            <v>20</v>
          </cell>
          <cell r="H152">
            <v>20.259</v>
          </cell>
          <cell r="J152" t="str">
            <v>092004</v>
          </cell>
          <cell r="K152">
            <v>2485.83</v>
          </cell>
        </row>
        <row r="153">
          <cell r="B153" t="str">
            <v>62176</v>
          </cell>
          <cell r="C153">
            <v>351</v>
          </cell>
          <cell r="D153" t="str">
            <v>ELLAMII MOHAMED</v>
          </cell>
          <cell r="E153" t="str">
            <v>X3150</v>
          </cell>
          <cell r="F153" t="str">
            <v>A</v>
          </cell>
          <cell r="G153" t="str">
            <v>20</v>
          </cell>
          <cell r="H153">
            <v>20.259</v>
          </cell>
          <cell r="J153" t="str">
            <v>092004</v>
          </cell>
          <cell r="K153">
            <v>13155.29</v>
          </cell>
        </row>
        <row r="154">
          <cell r="B154" t="str">
            <v>62232</v>
          </cell>
          <cell r="C154">
            <v>362</v>
          </cell>
          <cell r="D154" t="str">
            <v>LISSANI TAIBI</v>
          </cell>
          <cell r="E154" t="str">
            <v>X4200</v>
          </cell>
          <cell r="F154" t="str">
            <v>A</v>
          </cell>
          <cell r="G154" t="str">
            <v>20</v>
          </cell>
          <cell r="H154">
            <v>23.395</v>
          </cell>
          <cell r="J154" t="str">
            <v>092004</v>
          </cell>
          <cell r="K154">
            <v>18338.3</v>
          </cell>
        </row>
        <row r="155">
          <cell r="B155" t="str">
            <v>62234</v>
          </cell>
          <cell r="C155">
            <v>353</v>
          </cell>
          <cell r="D155" t="str">
            <v>EL KSIS BOUCHTA</v>
          </cell>
          <cell r="E155" t="str">
            <v>X4210</v>
          </cell>
          <cell r="F155" t="str">
            <v>A</v>
          </cell>
          <cell r="G155" t="str">
            <v>24</v>
          </cell>
          <cell r="H155">
            <v>24.498000000000001</v>
          </cell>
          <cell r="J155" t="str">
            <v>092004</v>
          </cell>
          <cell r="K155">
            <v>12962.91</v>
          </cell>
        </row>
        <row r="156">
          <cell r="B156" t="str">
            <v>62240</v>
          </cell>
          <cell r="C156">
            <v>352</v>
          </cell>
          <cell r="D156" t="str">
            <v>BOULEFRA NAJIB</v>
          </cell>
          <cell r="E156" t="str">
            <v>X3032</v>
          </cell>
          <cell r="F156" t="str">
            <v>A</v>
          </cell>
          <cell r="G156" t="str">
            <v>20</v>
          </cell>
          <cell r="H156">
            <v>20.259</v>
          </cell>
          <cell r="J156" t="str">
            <v>092004</v>
          </cell>
          <cell r="K156">
            <v>13474.56</v>
          </cell>
        </row>
        <row r="157">
          <cell r="B157" t="str">
            <v>62243</v>
          </cell>
          <cell r="C157">
            <v>343</v>
          </cell>
          <cell r="D157" t="str">
            <v>LOUKILI HAMID</v>
          </cell>
          <cell r="E157" t="str">
            <v>X4200</v>
          </cell>
          <cell r="F157" t="str">
            <v>A</v>
          </cell>
          <cell r="G157" t="str">
            <v>20</v>
          </cell>
          <cell r="H157">
            <v>23.395</v>
          </cell>
          <cell r="J157" t="str">
            <v>092004</v>
          </cell>
          <cell r="K157">
            <v>13300.93</v>
          </cell>
        </row>
        <row r="158">
          <cell r="B158" t="str">
            <v>62246</v>
          </cell>
          <cell r="C158">
            <v>343</v>
          </cell>
          <cell r="D158" t="str">
            <v>OUASSAF HASSAN</v>
          </cell>
          <cell r="E158" t="str">
            <v>X4210</v>
          </cell>
          <cell r="F158" t="str">
            <v>A</v>
          </cell>
          <cell r="G158" t="str">
            <v>20</v>
          </cell>
          <cell r="H158">
            <v>23.395</v>
          </cell>
          <cell r="J158" t="str">
            <v>092004</v>
          </cell>
          <cell r="K158">
            <v>12233.13</v>
          </cell>
        </row>
        <row r="159">
          <cell r="B159" t="str">
            <v>62249</v>
          </cell>
          <cell r="C159">
            <v>371</v>
          </cell>
          <cell r="D159" t="str">
            <v>LAAROUSSI MOHAMMED</v>
          </cell>
          <cell r="E159" t="str">
            <v>X4650</v>
          </cell>
          <cell r="F159" t="str">
            <v>A</v>
          </cell>
          <cell r="G159" t="str">
            <v>20</v>
          </cell>
          <cell r="H159">
            <v>23.395</v>
          </cell>
          <cell r="J159" t="str">
            <v>092004</v>
          </cell>
          <cell r="K159">
            <v>16117.2</v>
          </cell>
        </row>
        <row r="160">
          <cell r="B160" t="str">
            <v>62250</v>
          </cell>
          <cell r="C160">
            <v>373</v>
          </cell>
          <cell r="D160" t="str">
            <v>BHALLI MOHAMED</v>
          </cell>
          <cell r="E160" t="str">
            <v>X4032</v>
          </cell>
          <cell r="F160" t="str">
            <v>A</v>
          </cell>
          <cell r="G160" t="str">
            <v>27</v>
          </cell>
          <cell r="H160">
            <v>25.323</v>
          </cell>
          <cell r="J160" t="str">
            <v>092004</v>
          </cell>
          <cell r="K160">
            <v>20473.3</v>
          </cell>
        </row>
        <row r="161">
          <cell r="B161" t="str">
            <v>62251</v>
          </cell>
          <cell r="C161">
            <v>353</v>
          </cell>
          <cell r="D161" t="str">
            <v>OMARI ABDELLATIF</v>
          </cell>
          <cell r="E161" t="str">
            <v>X4200</v>
          </cell>
          <cell r="F161" t="str">
            <v>A</v>
          </cell>
          <cell r="G161" t="str">
            <v>20</v>
          </cell>
          <cell r="H161">
            <v>23.395</v>
          </cell>
          <cell r="J161" t="str">
            <v>092004</v>
          </cell>
          <cell r="K161">
            <v>15012.35</v>
          </cell>
        </row>
        <row r="162">
          <cell r="B162" t="str">
            <v>62252</v>
          </cell>
          <cell r="C162">
            <v>371</v>
          </cell>
          <cell r="D162" t="str">
            <v>ZEGOUTE EL MAHJOUB</v>
          </cell>
          <cell r="E162" t="str">
            <v>X5032</v>
          </cell>
          <cell r="F162" t="str">
            <v>A</v>
          </cell>
          <cell r="G162" t="str">
            <v>20</v>
          </cell>
          <cell r="H162">
            <v>28.547000000000001</v>
          </cell>
          <cell r="J162" t="str">
            <v>092004</v>
          </cell>
          <cell r="K162">
            <v>19664.96</v>
          </cell>
        </row>
        <row r="163">
          <cell r="B163" t="str">
            <v>62253</v>
          </cell>
          <cell r="C163">
            <v>371</v>
          </cell>
          <cell r="D163" t="str">
            <v>RAJID ABDELHAK</v>
          </cell>
          <cell r="E163" t="str">
            <v>X5650</v>
          </cell>
          <cell r="F163" t="str">
            <v>A</v>
          </cell>
          <cell r="G163" t="str">
            <v>20</v>
          </cell>
          <cell r="H163">
            <v>28.547000000000001</v>
          </cell>
          <cell r="J163" t="str">
            <v>092004</v>
          </cell>
          <cell r="K163">
            <v>17635.93</v>
          </cell>
        </row>
        <row r="164">
          <cell r="B164" t="str">
            <v>62256</v>
          </cell>
          <cell r="C164">
            <v>352</v>
          </cell>
          <cell r="D164" t="str">
            <v>AIT LEMAALEM ELMAHJOUB</v>
          </cell>
          <cell r="E164" t="str">
            <v>X4032</v>
          </cell>
          <cell r="F164" t="str">
            <v>A</v>
          </cell>
          <cell r="G164" t="str">
            <v>20</v>
          </cell>
          <cell r="H164">
            <v>23.395</v>
          </cell>
          <cell r="J164" t="str">
            <v>092004</v>
          </cell>
          <cell r="K164">
            <v>16675.330000000002</v>
          </cell>
        </row>
        <row r="165">
          <cell r="B165" t="str">
            <v>62258</v>
          </cell>
          <cell r="C165">
            <v>353</v>
          </cell>
          <cell r="D165" t="str">
            <v>EL FENNANE BRAHIM</v>
          </cell>
          <cell r="E165" t="str">
            <v>X4200</v>
          </cell>
          <cell r="F165" t="str">
            <v>A</v>
          </cell>
          <cell r="G165" t="str">
            <v>20</v>
          </cell>
          <cell r="H165">
            <v>23.395</v>
          </cell>
          <cell r="J165" t="str">
            <v>092004</v>
          </cell>
          <cell r="K165">
            <v>15559.09</v>
          </cell>
        </row>
        <row r="166">
          <cell r="B166" t="str">
            <v>62262</v>
          </cell>
          <cell r="C166">
            <v>343</v>
          </cell>
          <cell r="D166" t="str">
            <v>EJJAMI MOHAMMED</v>
          </cell>
          <cell r="E166" t="str">
            <v>X3200</v>
          </cell>
          <cell r="F166" t="str">
            <v>A</v>
          </cell>
          <cell r="G166" t="str">
            <v>20</v>
          </cell>
          <cell r="H166">
            <v>20.259</v>
          </cell>
          <cell r="J166" t="str">
            <v>092004</v>
          </cell>
          <cell r="K166">
            <v>11454.78</v>
          </cell>
        </row>
        <row r="167">
          <cell r="B167" t="str">
            <v>62263</v>
          </cell>
          <cell r="C167">
            <v>353</v>
          </cell>
          <cell r="D167" t="str">
            <v>CHOUKRANI HASSAN</v>
          </cell>
          <cell r="E167" t="str">
            <v>X4200</v>
          </cell>
          <cell r="F167" t="str">
            <v>B</v>
          </cell>
          <cell r="G167" t="str">
            <v>20</v>
          </cell>
          <cell r="H167">
            <v>24.521999999999998</v>
          </cell>
          <cell r="J167" t="str">
            <v>092004</v>
          </cell>
          <cell r="K167">
            <v>19220.18</v>
          </cell>
        </row>
        <row r="168">
          <cell r="B168" t="str">
            <v>62266</v>
          </cell>
          <cell r="C168">
            <v>353</v>
          </cell>
          <cell r="D168" t="str">
            <v>MAHFOUDI LAHCEN</v>
          </cell>
          <cell r="E168" t="str">
            <v>X4200</v>
          </cell>
          <cell r="F168" t="str">
            <v>A</v>
          </cell>
          <cell r="G168" t="str">
            <v>20</v>
          </cell>
          <cell r="H168">
            <v>23.395</v>
          </cell>
          <cell r="J168" t="str">
            <v>092004</v>
          </cell>
          <cell r="K168">
            <v>17742.150000000001</v>
          </cell>
        </row>
        <row r="169">
          <cell r="B169" t="str">
            <v>62268</v>
          </cell>
          <cell r="C169">
            <v>343</v>
          </cell>
          <cell r="D169" t="str">
            <v>BOUKYOUD MOHAMED</v>
          </cell>
          <cell r="E169" t="str">
            <v>X5200</v>
          </cell>
          <cell r="F169" t="str">
            <v>A</v>
          </cell>
          <cell r="G169" t="str">
            <v>20</v>
          </cell>
          <cell r="H169">
            <v>28.547000000000001</v>
          </cell>
          <cell r="J169" t="str">
            <v>092004</v>
          </cell>
          <cell r="K169">
            <v>24417.9</v>
          </cell>
        </row>
        <row r="170">
          <cell r="B170" t="str">
            <v>62456</v>
          </cell>
          <cell r="C170">
            <v>363</v>
          </cell>
          <cell r="D170" t="str">
            <v>AMAMA REDOUANE</v>
          </cell>
          <cell r="E170" t="str">
            <v>X2605</v>
          </cell>
          <cell r="F170" t="str">
            <v>A</v>
          </cell>
          <cell r="G170" t="str">
            <v>19</v>
          </cell>
          <cell r="H170">
            <v>22.5</v>
          </cell>
          <cell r="J170" t="str">
            <v>092004</v>
          </cell>
          <cell r="K170">
            <v>20306.400000000001</v>
          </cell>
        </row>
        <row r="171">
          <cell r="B171" t="str">
            <v>62457</v>
          </cell>
          <cell r="C171">
            <v>375</v>
          </cell>
          <cell r="D171" t="str">
            <v>CHAKER YOUSSEF</v>
          </cell>
          <cell r="E171" t="str">
            <v>X4032</v>
          </cell>
          <cell r="F171" t="str">
            <v>A</v>
          </cell>
          <cell r="G171" t="str">
            <v>19</v>
          </cell>
          <cell r="H171">
            <v>23.119</v>
          </cell>
          <cell r="J171" t="str">
            <v>092004</v>
          </cell>
          <cell r="K171">
            <v>12846.55</v>
          </cell>
        </row>
        <row r="172">
          <cell r="B172" t="str">
            <v>62461</v>
          </cell>
          <cell r="C172">
            <v>342</v>
          </cell>
          <cell r="D172" t="str">
            <v>MEDRANI ABDERRAHIM</v>
          </cell>
          <cell r="E172" t="str">
            <v>X4032</v>
          </cell>
          <cell r="F172" t="str">
            <v>A</v>
          </cell>
          <cell r="G172" t="str">
            <v>19</v>
          </cell>
          <cell r="H172">
            <v>23.119</v>
          </cell>
          <cell r="J172" t="str">
            <v>092004</v>
          </cell>
          <cell r="K172">
            <v>15373.31</v>
          </cell>
        </row>
        <row r="173">
          <cell r="B173" t="str">
            <v>62464</v>
          </cell>
          <cell r="C173">
            <v>353</v>
          </cell>
          <cell r="D173" t="str">
            <v>ALAOUI KASMI MOULAY AH</v>
          </cell>
          <cell r="E173" t="str">
            <v>X4210</v>
          </cell>
          <cell r="F173" t="str">
            <v>A</v>
          </cell>
          <cell r="G173" t="str">
            <v>19</v>
          </cell>
          <cell r="H173">
            <v>23.119</v>
          </cell>
          <cell r="J173" t="str">
            <v>092004</v>
          </cell>
          <cell r="K173">
            <v>14281.64</v>
          </cell>
        </row>
        <row r="174">
          <cell r="B174" t="str">
            <v>62470</v>
          </cell>
          <cell r="C174">
            <v>353</v>
          </cell>
          <cell r="D174" t="str">
            <v>HIJAZI AHMED</v>
          </cell>
          <cell r="E174" t="str">
            <v>X4210</v>
          </cell>
          <cell r="F174" t="str">
            <v>A</v>
          </cell>
          <cell r="G174" t="str">
            <v>19</v>
          </cell>
          <cell r="H174">
            <v>23.119</v>
          </cell>
          <cell r="J174" t="str">
            <v>092004</v>
          </cell>
          <cell r="K174">
            <v>13178.73</v>
          </cell>
        </row>
        <row r="175">
          <cell r="B175" t="str">
            <v>62471</v>
          </cell>
          <cell r="C175">
            <v>375</v>
          </cell>
          <cell r="D175" t="str">
            <v>DRISSI MOULAY HACHEM</v>
          </cell>
          <cell r="E175" t="str">
            <v>X3032</v>
          </cell>
          <cell r="F175" t="str">
            <v>A</v>
          </cell>
          <cell r="G175" t="str">
            <v>19</v>
          </cell>
          <cell r="H175">
            <v>20.021000000000001</v>
          </cell>
          <cell r="J175" t="str">
            <v>092004</v>
          </cell>
          <cell r="K175">
            <v>12846.55</v>
          </cell>
        </row>
        <row r="176">
          <cell r="B176" t="str">
            <v>62473</v>
          </cell>
          <cell r="C176">
            <v>343</v>
          </cell>
          <cell r="D176" t="str">
            <v>ELHARRAR MOHAMED</v>
          </cell>
          <cell r="E176" t="str">
            <v>X4210</v>
          </cell>
          <cell r="F176" t="str">
            <v>B</v>
          </cell>
          <cell r="G176" t="str">
            <v>19</v>
          </cell>
          <cell r="H176">
            <v>24.231000000000002</v>
          </cell>
          <cell r="J176" t="str">
            <v>092004</v>
          </cell>
          <cell r="K176">
            <v>18990.349999999999</v>
          </cell>
        </row>
        <row r="177">
          <cell r="B177" t="str">
            <v>62480</v>
          </cell>
          <cell r="C177">
            <v>321</v>
          </cell>
          <cell r="D177" t="str">
            <v>ABBOUH MAMINE</v>
          </cell>
          <cell r="E177" t="str">
            <v>X1450</v>
          </cell>
          <cell r="F177" t="str">
            <v>A</v>
          </cell>
          <cell r="G177" t="str">
            <v>18</v>
          </cell>
          <cell r="H177">
            <v>14.291</v>
          </cell>
          <cell r="J177" t="str">
            <v>092004</v>
          </cell>
          <cell r="K177">
            <v>6789.3</v>
          </cell>
        </row>
        <row r="178">
          <cell r="B178" t="str">
            <v>62502</v>
          </cell>
          <cell r="C178">
            <v>371</v>
          </cell>
          <cell r="D178" t="str">
            <v>EL YOUSFI AZIZ</v>
          </cell>
          <cell r="E178" t="str">
            <v>X1257</v>
          </cell>
          <cell r="F178" t="str">
            <v>A</v>
          </cell>
          <cell r="G178" t="str">
            <v>18</v>
          </cell>
          <cell r="H178">
            <v>14.291</v>
          </cell>
          <cell r="J178" t="str">
            <v>092004</v>
          </cell>
          <cell r="K178">
            <v>7130.15</v>
          </cell>
        </row>
        <row r="179">
          <cell r="B179" t="str">
            <v>62509</v>
          </cell>
          <cell r="C179">
            <v>341</v>
          </cell>
          <cell r="D179" t="str">
            <v>EL KHARAIF ALI</v>
          </cell>
          <cell r="E179" t="str">
            <v>X3060</v>
          </cell>
          <cell r="F179" t="str">
            <v>A</v>
          </cell>
          <cell r="G179" t="str">
            <v>18</v>
          </cell>
          <cell r="H179">
            <v>19.783999999999999</v>
          </cell>
          <cell r="J179" t="str">
            <v>092004</v>
          </cell>
          <cell r="K179">
            <v>12220.15</v>
          </cell>
        </row>
        <row r="180">
          <cell r="B180" t="str">
            <v>62522</v>
          </cell>
          <cell r="C180">
            <v>371</v>
          </cell>
          <cell r="D180" t="str">
            <v>SOUTOUR DRISS</v>
          </cell>
          <cell r="E180" t="str">
            <v>X4300</v>
          </cell>
          <cell r="F180" t="str">
            <v>A</v>
          </cell>
          <cell r="G180" t="str">
            <v>18</v>
          </cell>
          <cell r="H180">
            <v>22.843</v>
          </cell>
          <cell r="J180" t="str">
            <v>092004</v>
          </cell>
          <cell r="K180">
            <v>15732.33</v>
          </cell>
        </row>
        <row r="181">
          <cell r="B181" t="str">
            <v>62523</v>
          </cell>
          <cell r="C181">
            <v>342</v>
          </cell>
          <cell r="D181" t="str">
            <v>SEGDAL ABDERRAHIM</v>
          </cell>
          <cell r="E181" t="str">
            <v>X4032</v>
          </cell>
          <cell r="F181" t="str">
            <v>A</v>
          </cell>
          <cell r="G181" t="str">
            <v>18</v>
          </cell>
          <cell r="H181">
            <v>22.843</v>
          </cell>
          <cell r="J181" t="str">
            <v>092004</v>
          </cell>
          <cell r="K181">
            <v>16277.11</v>
          </cell>
        </row>
        <row r="182">
          <cell r="B182" t="str">
            <v>62525</v>
          </cell>
          <cell r="C182">
            <v>373</v>
          </cell>
          <cell r="D182" t="str">
            <v>BENNIX SAID</v>
          </cell>
          <cell r="E182" t="str">
            <v>X4032</v>
          </cell>
          <cell r="F182" t="str">
            <v>A</v>
          </cell>
          <cell r="G182" t="str">
            <v>24</v>
          </cell>
          <cell r="H182">
            <v>24.498000000000001</v>
          </cell>
          <cell r="J182" t="str">
            <v>092004</v>
          </cell>
          <cell r="K182">
            <v>17471.740000000002</v>
          </cell>
        </row>
        <row r="183">
          <cell r="B183" t="str">
            <v>62535</v>
          </cell>
          <cell r="C183">
            <v>341</v>
          </cell>
          <cell r="D183" t="str">
            <v>BADAOUI RACHID</v>
          </cell>
          <cell r="E183" t="str">
            <v>X3050</v>
          </cell>
          <cell r="F183" t="str">
            <v>A</v>
          </cell>
          <cell r="G183" t="str">
            <v>18</v>
          </cell>
          <cell r="H183">
            <v>19.783999999999999</v>
          </cell>
          <cell r="J183" t="str">
            <v>092004</v>
          </cell>
          <cell r="K183">
            <v>11276.44</v>
          </cell>
        </row>
        <row r="184">
          <cell r="B184" t="str">
            <v>62537</v>
          </cell>
          <cell r="C184">
            <v>341</v>
          </cell>
          <cell r="D184" t="str">
            <v>ETTOURAT EL HASSAN</v>
          </cell>
          <cell r="E184" t="str">
            <v>X4050</v>
          </cell>
          <cell r="F184" t="str">
            <v>B</v>
          </cell>
          <cell r="G184" t="str">
            <v>25</v>
          </cell>
          <cell r="H184">
            <v>25.984999999999999</v>
          </cell>
          <cell r="J184" t="str">
            <v>092004</v>
          </cell>
          <cell r="K184">
            <v>21617.74</v>
          </cell>
        </row>
        <row r="185">
          <cell r="B185" t="str">
            <v>62538</v>
          </cell>
          <cell r="C185">
            <v>341</v>
          </cell>
          <cell r="D185" t="str">
            <v>KHALD REDOUANE</v>
          </cell>
          <cell r="E185" t="str">
            <v>X4050</v>
          </cell>
          <cell r="F185" t="str">
            <v>A</v>
          </cell>
          <cell r="G185" t="str">
            <v>25</v>
          </cell>
          <cell r="H185">
            <v>24.773</v>
          </cell>
          <cell r="J185" t="str">
            <v>092004</v>
          </cell>
          <cell r="K185">
            <v>17670.11</v>
          </cell>
        </row>
        <row r="186">
          <cell r="B186" t="str">
            <v>62540</v>
          </cell>
          <cell r="C186">
            <v>330</v>
          </cell>
          <cell r="D186" t="str">
            <v>CHAFIK REDOUAN</v>
          </cell>
          <cell r="E186" t="str">
            <v>X6212</v>
          </cell>
          <cell r="F186" t="str">
            <v>A</v>
          </cell>
          <cell r="G186" t="str">
            <v>17</v>
          </cell>
          <cell r="H186">
            <v>31.486999999999998</v>
          </cell>
          <cell r="J186" t="str">
            <v>092004</v>
          </cell>
          <cell r="K186">
            <v>24851.9</v>
          </cell>
        </row>
        <row r="187">
          <cell r="B187" t="str">
            <v>62544</v>
          </cell>
          <cell r="C187">
            <v>342</v>
          </cell>
          <cell r="D187" t="str">
            <v>JORAICHE HAMID</v>
          </cell>
          <cell r="E187" t="str">
            <v>X4032</v>
          </cell>
          <cell r="F187" t="str">
            <v>A</v>
          </cell>
          <cell r="G187" t="str">
            <v>22</v>
          </cell>
          <cell r="H187">
            <v>23.945</v>
          </cell>
          <cell r="J187" t="str">
            <v>092004</v>
          </cell>
          <cell r="K187">
            <v>15929.95</v>
          </cell>
        </row>
        <row r="188">
          <cell r="B188" t="str">
            <v>62557</v>
          </cell>
          <cell r="C188">
            <v>362</v>
          </cell>
          <cell r="D188" t="str">
            <v>TOUIL AHMED</v>
          </cell>
          <cell r="E188" t="str">
            <v>X4150</v>
          </cell>
          <cell r="F188" t="str">
            <v>A</v>
          </cell>
          <cell r="G188" t="str">
            <v>23</v>
          </cell>
          <cell r="H188">
            <v>24.222999999999999</v>
          </cell>
          <cell r="J188" t="str">
            <v>092004</v>
          </cell>
          <cell r="K188">
            <v>11963.23</v>
          </cell>
        </row>
        <row r="189">
          <cell r="B189" t="str">
            <v>62560</v>
          </cell>
          <cell r="C189">
            <v>352</v>
          </cell>
          <cell r="D189" t="str">
            <v>SAQIT MUSTAPHA</v>
          </cell>
          <cell r="E189" t="str">
            <v>X4032</v>
          </cell>
          <cell r="F189" t="str">
            <v>A</v>
          </cell>
          <cell r="G189" t="str">
            <v>17</v>
          </cell>
          <cell r="H189">
            <v>22.567</v>
          </cell>
          <cell r="J189" t="str">
            <v>092004</v>
          </cell>
          <cell r="K189">
            <v>9282.74</v>
          </cell>
        </row>
        <row r="190">
          <cell r="B190" t="str">
            <v>62567</v>
          </cell>
          <cell r="C190">
            <v>383</v>
          </cell>
          <cell r="D190" t="str">
            <v>LOUKILI AHMED</v>
          </cell>
          <cell r="E190" t="str">
            <v>X4210</v>
          </cell>
          <cell r="F190" t="str">
            <v>A</v>
          </cell>
          <cell r="G190" t="str">
            <v>22</v>
          </cell>
          <cell r="H190">
            <v>23.945</v>
          </cell>
          <cell r="J190" t="str">
            <v>092004</v>
          </cell>
          <cell r="K190">
            <v>15929.95</v>
          </cell>
        </row>
        <row r="191">
          <cell r="B191" t="str">
            <v>62568</v>
          </cell>
          <cell r="C191">
            <v>383</v>
          </cell>
          <cell r="D191" t="str">
            <v>BAHRAOUI MOHAMED</v>
          </cell>
          <cell r="E191" t="str">
            <v>X6207</v>
          </cell>
          <cell r="F191" t="str">
            <v>B</v>
          </cell>
          <cell r="G191" t="str">
            <v>25</v>
          </cell>
          <cell r="H191">
            <v>36.292000000000002</v>
          </cell>
          <cell r="J191" t="str">
            <v>092004</v>
          </cell>
          <cell r="K191">
            <v>31927.38</v>
          </cell>
        </row>
        <row r="192">
          <cell r="B192" t="str">
            <v>63005</v>
          </cell>
          <cell r="C192">
            <v>352</v>
          </cell>
          <cell r="D192" t="str">
            <v>MORJANI MOHAMED</v>
          </cell>
          <cell r="E192" t="str">
            <v>X4032</v>
          </cell>
          <cell r="F192" t="str">
            <v>A</v>
          </cell>
          <cell r="G192" t="str">
            <v>23</v>
          </cell>
          <cell r="H192">
            <v>24.222999999999999</v>
          </cell>
          <cell r="J192" t="str">
            <v>092004</v>
          </cell>
          <cell r="K192">
            <v>17471.740000000002</v>
          </cell>
        </row>
        <row r="193">
          <cell r="B193" t="str">
            <v>63047</v>
          </cell>
          <cell r="C193">
            <v>352</v>
          </cell>
          <cell r="D193" t="str">
            <v>BARI ABDELMJID</v>
          </cell>
          <cell r="E193" t="str">
            <v>X3032</v>
          </cell>
          <cell r="F193" t="str">
            <v>A</v>
          </cell>
          <cell r="G193" t="str">
            <v>22</v>
          </cell>
          <cell r="H193">
            <v>20.736000000000001</v>
          </cell>
          <cell r="J193" t="str">
            <v>092004</v>
          </cell>
          <cell r="K193">
            <v>3298.83</v>
          </cell>
        </row>
        <row r="194">
          <cell r="B194" t="str">
            <v>63081</v>
          </cell>
          <cell r="C194">
            <v>371</v>
          </cell>
          <cell r="D194" t="str">
            <v>DOUHABI ABDELAZIZ</v>
          </cell>
          <cell r="E194" t="str">
            <v>X4300</v>
          </cell>
          <cell r="F194" t="str">
            <v>A</v>
          </cell>
          <cell r="G194" t="str">
            <v>24</v>
          </cell>
          <cell r="H194">
            <v>24.498000000000001</v>
          </cell>
          <cell r="J194" t="str">
            <v>092004</v>
          </cell>
          <cell r="K194">
            <v>873.19</v>
          </cell>
        </row>
        <row r="195">
          <cell r="B195" t="str">
            <v>63104</v>
          </cell>
          <cell r="C195">
            <v>362</v>
          </cell>
          <cell r="D195" t="str">
            <v>AHATOUCH AARAB</v>
          </cell>
          <cell r="E195" t="str">
            <v>X3200</v>
          </cell>
          <cell r="F195" t="str">
            <v>A</v>
          </cell>
          <cell r="G195" t="str">
            <v>25</v>
          </cell>
          <cell r="H195">
            <v>21.45</v>
          </cell>
          <cell r="J195" t="str">
            <v>092004</v>
          </cell>
          <cell r="K195">
            <v>14276.41</v>
          </cell>
        </row>
        <row r="196">
          <cell r="B196" t="str">
            <v>63107</v>
          </cell>
          <cell r="C196">
            <v>343</v>
          </cell>
          <cell r="D196" t="str">
            <v>AKKAR JILALI</v>
          </cell>
          <cell r="E196" t="str">
            <v>X3200</v>
          </cell>
          <cell r="F196" t="str">
            <v>A</v>
          </cell>
          <cell r="G196" t="str">
            <v>24</v>
          </cell>
          <cell r="H196">
            <v>21.213000000000001</v>
          </cell>
          <cell r="J196" t="str">
            <v>092004</v>
          </cell>
          <cell r="K196">
            <v>12606.26</v>
          </cell>
        </row>
        <row r="197">
          <cell r="B197" t="str">
            <v>63142</v>
          </cell>
          <cell r="C197">
            <v>313</v>
          </cell>
          <cell r="D197" t="str">
            <v>LEMTOUNI FATIMA</v>
          </cell>
          <cell r="E197" t="str">
            <v>X1603</v>
          </cell>
          <cell r="F197" t="str">
            <v>A</v>
          </cell>
          <cell r="G197" t="str">
            <v>27</v>
          </cell>
          <cell r="H197">
            <v>21.68</v>
          </cell>
          <cell r="J197" t="str">
            <v>092004</v>
          </cell>
          <cell r="K197">
            <v>15468.99</v>
          </cell>
        </row>
        <row r="198">
          <cell r="B198" t="str">
            <v>63191</v>
          </cell>
          <cell r="C198">
            <v>373</v>
          </cell>
          <cell r="D198" t="str">
            <v>ALEBOUDALI MUSTAPHA</v>
          </cell>
          <cell r="E198" t="str">
            <v>X6032</v>
          </cell>
          <cell r="F198" t="str">
            <v>B</v>
          </cell>
          <cell r="G198" t="str">
            <v>19</v>
          </cell>
          <cell r="H198">
            <v>33.835999999999999</v>
          </cell>
          <cell r="J198" t="str">
            <v>092004</v>
          </cell>
          <cell r="K198">
            <v>29743.01</v>
          </cell>
        </row>
        <row r="199">
          <cell r="B199" t="str">
            <v>63225</v>
          </cell>
          <cell r="C199">
            <v>373</v>
          </cell>
          <cell r="D199" t="str">
            <v>ABOUTAHIR TAHAR</v>
          </cell>
          <cell r="E199" t="str">
            <v>X4032</v>
          </cell>
          <cell r="F199" t="str">
            <v>A</v>
          </cell>
          <cell r="G199" t="str">
            <v>25</v>
          </cell>
          <cell r="H199">
            <v>24.773</v>
          </cell>
          <cell r="J199" t="str">
            <v>092004</v>
          </cell>
          <cell r="K199">
            <v>19064.599999999999</v>
          </cell>
        </row>
        <row r="200">
          <cell r="B200" t="str">
            <v>71879</v>
          </cell>
          <cell r="C200">
            <v>382</v>
          </cell>
          <cell r="D200" t="str">
            <v>MOUNJI BOUAZZA</v>
          </cell>
          <cell r="E200" t="str">
            <v>X4412</v>
          </cell>
          <cell r="F200" t="str">
            <v>A</v>
          </cell>
          <cell r="G200" t="str">
            <v>25</v>
          </cell>
          <cell r="H200">
            <v>24.773</v>
          </cell>
          <cell r="J200" t="str">
            <v>092004</v>
          </cell>
          <cell r="K200">
            <v>12962.91</v>
          </cell>
        </row>
        <row r="201">
          <cell r="B201" t="str">
            <v>72261</v>
          </cell>
          <cell r="C201">
            <v>342</v>
          </cell>
          <cell r="D201" t="str">
            <v>EL KOSTALI EL MILOUDI</v>
          </cell>
          <cell r="E201" t="str">
            <v>X3032</v>
          </cell>
          <cell r="F201" t="str">
            <v>A</v>
          </cell>
          <cell r="G201" t="str">
            <v>24</v>
          </cell>
          <cell r="H201">
            <v>21.213000000000001</v>
          </cell>
          <cell r="J201" t="str">
            <v>092004</v>
          </cell>
          <cell r="K201">
            <v>16324.85</v>
          </cell>
        </row>
        <row r="202">
          <cell r="B202" t="str">
            <v>73517</v>
          </cell>
          <cell r="C202">
            <v>362</v>
          </cell>
          <cell r="D202" t="str">
            <v>EL ABBAR M HAMMED</v>
          </cell>
          <cell r="E202" t="str">
            <v>X4200</v>
          </cell>
          <cell r="F202" t="str">
            <v>A</v>
          </cell>
          <cell r="G202" t="str">
            <v>23</v>
          </cell>
          <cell r="H202">
            <v>24.222999999999999</v>
          </cell>
          <cell r="J202" t="str">
            <v>092004</v>
          </cell>
          <cell r="K202">
            <v>15548.78</v>
          </cell>
        </row>
        <row r="203">
          <cell r="B203" t="str">
            <v>79086</v>
          </cell>
          <cell r="C203">
            <v>342</v>
          </cell>
          <cell r="D203" t="str">
            <v>EL KATTABI ABDERRAHIM</v>
          </cell>
          <cell r="E203" t="str">
            <v>X4032</v>
          </cell>
          <cell r="F203" t="str">
            <v>A</v>
          </cell>
          <cell r="G203" t="str">
            <v>27</v>
          </cell>
          <cell r="H203">
            <v>25.323</v>
          </cell>
          <cell r="J203" t="str">
            <v>092004</v>
          </cell>
          <cell r="K203">
            <v>12647.98</v>
          </cell>
        </row>
        <row r="204">
          <cell r="B204" t="str">
            <v>80640</v>
          </cell>
          <cell r="C204">
            <v>332</v>
          </cell>
          <cell r="D204" t="str">
            <v>DANDOUNE MOHAMED</v>
          </cell>
          <cell r="E204" t="str">
            <v>X4200</v>
          </cell>
          <cell r="F204" t="str">
            <v>A</v>
          </cell>
          <cell r="G204" t="str">
            <v>25</v>
          </cell>
          <cell r="H204">
            <v>24.773</v>
          </cell>
          <cell r="J204" t="str">
            <v>092004</v>
          </cell>
          <cell r="K204">
            <v>18852.95</v>
          </cell>
        </row>
        <row r="205">
          <cell r="B205" t="str">
            <v>82532</v>
          </cell>
          <cell r="C205">
            <v>342</v>
          </cell>
          <cell r="D205" t="str">
            <v>TOUMI NAJIB</v>
          </cell>
          <cell r="E205" t="str">
            <v>X4032</v>
          </cell>
          <cell r="F205" t="str">
            <v>A</v>
          </cell>
          <cell r="G205" t="str">
            <v>22</v>
          </cell>
          <cell r="H205">
            <v>23.945</v>
          </cell>
          <cell r="J205" t="str">
            <v>092004</v>
          </cell>
          <cell r="K205">
            <v>12524.73</v>
          </cell>
        </row>
        <row r="206">
          <cell r="B206" t="str">
            <v>86663</v>
          </cell>
          <cell r="C206">
            <v>321</v>
          </cell>
          <cell r="D206" t="str">
            <v>MOUFAKKIR,RADOUANE</v>
          </cell>
          <cell r="E206" t="str">
            <v>X3450</v>
          </cell>
          <cell r="F206" t="str">
            <v>A</v>
          </cell>
          <cell r="G206" t="str">
            <v>21</v>
          </cell>
          <cell r="H206">
            <v>20.5</v>
          </cell>
          <cell r="J206" t="str">
            <v>092004</v>
          </cell>
          <cell r="K206">
            <v>11688.05</v>
          </cell>
        </row>
        <row r="207">
          <cell r="B207" t="str">
            <v>87649</v>
          </cell>
          <cell r="C207">
            <v>322</v>
          </cell>
          <cell r="D207" t="str">
            <v>DIAB EL MOSTAFA</v>
          </cell>
          <cell r="E207" t="str">
            <v>X3800</v>
          </cell>
          <cell r="F207" t="str">
            <v>A</v>
          </cell>
          <cell r="G207" t="str">
            <v>19</v>
          </cell>
          <cell r="H207">
            <v>20.021000000000001</v>
          </cell>
          <cell r="J207" t="str">
            <v>092004</v>
          </cell>
          <cell r="K207">
            <v>16647.88</v>
          </cell>
        </row>
        <row r="208">
          <cell r="B208" t="str">
            <v>89423</v>
          </cell>
          <cell r="C208">
            <v>342</v>
          </cell>
          <cell r="D208" t="str">
            <v>BOUHTITCH AARAB</v>
          </cell>
          <cell r="E208" t="str">
            <v>X4032</v>
          </cell>
          <cell r="F208" t="str">
            <v>A</v>
          </cell>
          <cell r="G208" t="str">
            <v>27</v>
          </cell>
          <cell r="H208">
            <v>25.323</v>
          </cell>
          <cell r="J208" t="str">
            <v>092004</v>
          </cell>
          <cell r="K208">
            <v>19276.25</v>
          </cell>
        </row>
        <row r="209">
          <cell r="B209" t="str">
            <v>89437</v>
          </cell>
          <cell r="C209">
            <v>362</v>
          </cell>
          <cell r="D209" t="str">
            <v>ZENNOUR MOHAMED</v>
          </cell>
          <cell r="E209" t="str">
            <v>X4032</v>
          </cell>
          <cell r="F209" t="str">
            <v>A</v>
          </cell>
          <cell r="G209" t="str">
            <v>23</v>
          </cell>
          <cell r="H209">
            <v>24.222999999999999</v>
          </cell>
          <cell r="J209" t="str">
            <v>092004</v>
          </cell>
          <cell r="K209">
            <v>11963.23</v>
          </cell>
        </row>
        <row r="210">
          <cell r="B210" t="str">
            <v>89493</v>
          </cell>
          <cell r="C210">
            <v>352</v>
          </cell>
          <cell r="D210" t="str">
            <v>TAMSSNAOUI MOHAMED</v>
          </cell>
          <cell r="E210" t="str">
            <v>X4032</v>
          </cell>
          <cell r="F210" t="str">
            <v>A</v>
          </cell>
          <cell r="G210" t="str">
            <v>23</v>
          </cell>
          <cell r="H210">
            <v>24.222999999999999</v>
          </cell>
          <cell r="J210" t="str">
            <v>092004</v>
          </cell>
          <cell r="K210">
            <v>15957.78</v>
          </cell>
        </row>
        <row r="211">
          <cell r="B211" t="str">
            <v>89494</v>
          </cell>
          <cell r="C211">
            <v>332</v>
          </cell>
          <cell r="D211" t="str">
            <v>BOUKHRIS MOHAMMED</v>
          </cell>
          <cell r="E211" t="str">
            <v>X3200</v>
          </cell>
          <cell r="F211" t="str">
            <v>A</v>
          </cell>
          <cell r="G211" t="str">
            <v>24</v>
          </cell>
          <cell r="H211">
            <v>21.213000000000001</v>
          </cell>
          <cell r="J211" t="str">
            <v>092004</v>
          </cell>
          <cell r="K211">
            <v>8795.16</v>
          </cell>
        </row>
        <row r="212">
          <cell r="B212" t="str">
            <v>89538</v>
          </cell>
          <cell r="C212">
            <v>353</v>
          </cell>
          <cell r="D212" t="str">
            <v>BOUCHALGA SIDI</v>
          </cell>
          <cell r="E212" t="str">
            <v>X4200</v>
          </cell>
          <cell r="F212" t="str">
            <v>A</v>
          </cell>
          <cell r="G212" t="str">
            <v>19</v>
          </cell>
          <cell r="H212">
            <v>23.119</v>
          </cell>
          <cell r="J212" t="str">
            <v>092004</v>
          </cell>
          <cell r="K212">
            <v>12846.55</v>
          </cell>
        </row>
        <row r="213">
          <cell r="B213" t="str">
            <v>90436</v>
          </cell>
          <cell r="C213">
            <v>332</v>
          </cell>
          <cell r="D213" t="str">
            <v>IMALOUANE AHMED</v>
          </cell>
          <cell r="E213" t="str">
            <v>X3200</v>
          </cell>
          <cell r="F213" t="str">
            <v>A</v>
          </cell>
          <cell r="G213" t="str">
            <v>27</v>
          </cell>
          <cell r="H213">
            <v>21.922999999999998</v>
          </cell>
          <cell r="J213" t="str">
            <v>092004</v>
          </cell>
          <cell r="K213">
            <v>8865.23</v>
          </cell>
        </row>
        <row r="214">
          <cell r="B214" t="str">
            <v>91419</v>
          </cell>
          <cell r="C214">
            <v>353</v>
          </cell>
          <cell r="D214" t="str">
            <v>HADI HASSAN</v>
          </cell>
          <cell r="E214" t="str">
            <v>X4412</v>
          </cell>
          <cell r="F214" t="str">
            <v>A</v>
          </cell>
          <cell r="G214" t="str">
            <v>20</v>
          </cell>
          <cell r="H214">
            <v>23.395</v>
          </cell>
          <cell r="J214" t="str">
            <v>092004</v>
          </cell>
          <cell r="K214">
            <v>13337.99</v>
          </cell>
        </row>
        <row r="215">
          <cell r="B215" t="str">
            <v>91476</v>
          </cell>
          <cell r="C215">
            <v>332</v>
          </cell>
          <cell r="D215" t="str">
            <v>HARAKAT NOURREDDINE</v>
          </cell>
          <cell r="E215" t="str">
            <v>X4200</v>
          </cell>
          <cell r="F215" t="str">
            <v>A</v>
          </cell>
          <cell r="G215" t="str">
            <v>20</v>
          </cell>
          <cell r="H215">
            <v>23.395</v>
          </cell>
          <cell r="J215" t="str">
            <v>092004</v>
          </cell>
          <cell r="K215">
            <v>13337.99</v>
          </cell>
        </row>
        <row r="216">
          <cell r="B216" t="str">
            <v>98565</v>
          </cell>
          <cell r="C216">
            <v>352</v>
          </cell>
          <cell r="D216" t="str">
            <v>EL KADRI FOUAD</v>
          </cell>
          <cell r="E216" t="str">
            <v>X4032</v>
          </cell>
          <cell r="F216" t="str">
            <v>A</v>
          </cell>
          <cell r="G216" t="str">
            <v>24</v>
          </cell>
          <cell r="H216">
            <v>24.498000000000001</v>
          </cell>
          <cell r="J216" t="str">
            <v>092004</v>
          </cell>
          <cell r="K216">
            <v>19798.93</v>
          </cell>
        </row>
        <row r="217">
          <cell r="B217" t="str">
            <v>98883</v>
          </cell>
          <cell r="C217">
            <v>350</v>
          </cell>
          <cell r="D217" t="str">
            <v>ELKHOURY ABDELWAHAB</v>
          </cell>
          <cell r="E217" t="str">
            <v>X3050</v>
          </cell>
          <cell r="F217" t="str">
            <v>A</v>
          </cell>
          <cell r="G217" t="str">
            <v>28</v>
          </cell>
          <cell r="H217">
            <v>22.163</v>
          </cell>
          <cell r="J217" t="str">
            <v>092004</v>
          </cell>
          <cell r="K217">
            <v>7213.15</v>
          </cell>
        </row>
      </sheetData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nthese EA (3)(2)"/>
      <sheetName val="Feuil1 (2)"/>
      <sheetName val="BUDGET 2000 V.Réctifiée 2"/>
      <sheetName val="Feuil8 (2)"/>
      <sheetName val="Graph1 (2)"/>
      <sheetName val="Graph1"/>
      <sheetName val="Feuil8"/>
      <sheetName val="Feuil1"/>
      <sheetName val="Feuil9"/>
      <sheetName val="Synthese EA (3)"/>
      <sheetName val="Synthese EA (2)"/>
      <sheetName val="REALISE 1999 fin Octobre"/>
      <sheetName val="Réalisé TG fin décembre"/>
      <sheetName val="BUDGET 2000 V.Original "/>
      <sheetName val="Feuil6"/>
      <sheetName val="Feuil5"/>
      <sheetName val="BUDGET 2000 V.Réctifiée 1"/>
      <sheetName val="Prevision marchandises"/>
      <sheetName val="Gr70-90"/>
      <sheetName val="A"/>
      <sheetName val="B"/>
      <sheetName val="Synthese EA"/>
      <sheetName val="Feuil2"/>
      <sheetName val="Feuil3"/>
      <sheetName val="Feuil4"/>
      <sheetName val="ECART EBIT"/>
      <sheetName val="SOMMAIRE"/>
    </sheetNames>
    <sheetDataSet>
      <sheetData sheetId="0" refreshError="1"/>
      <sheetData sheetId="1" refreshError="1"/>
      <sheetData sheetId="2" refreshError="1">
        <row r="5">
          <cell r="B5" t="str">
            <v>12 BUREAU</v>
          </cell>
          <cell r="C5">
            <v>31847</v>
          </cell>
          <cell r="D5">
            <v>31847</v>
          </cell>
          <cell r="I5">
            <v>0</v>
          </cell>
          <cell r="K5" t="str">
            <v>12 BUREAU</v>
          </cell>
          <cell r="Q5">
            <v>0</v>
          </cell>
          <cell r="S5" t="str">
            <v>12 BUREAU</v>
          </cell>
          <cell r="Y5">
            <v>0</v>
          </cell>
          <cell r="AA5" t="str">
            <v>12 BUREAU</v>
          </cell>
          <cell r="AI5">
            <v>0</v>
          </cell>
          <cell r="AK5" t="str">
            <v>12 BUREAU</v>
          </cell>
          <cell r="AQ5">
            <v>0</v>
          </cell>
          <cell r="AS5" t="str">
            <v>12 BUREAU</v>
          </cell>
          <cell r="AT5">
            <v>32200</v>
          </cell>
          <cell r="CD5" t="str">
            <v>12 BUREAU</v>
          </cell>
        </row>
        <row r="6">
          <cell r="B6" t="str">
            <v>13 CHARGES</v>
          </cell>
          <cell r="C6">
            <v>12393</v>
          </cell>
          <cell r="D6">
            <v>12393</v>
          </cell>
          <cell r="I6">
            <v>0</v>
          </cell>
          <cell r="K6" t="str">
            <v>13 CHARGES</v>
          </cell>
          <cell r="Q6">
            <v>0</v>
          </cell>
          <cell r="S6" t="str">
            <v>13 CHARGES</v>
          </cell>
          <cell r="Y6">
            <v>0</v>
          </cell>
          <cell r="AA6" t="str">
            <v>13 CHARGES</v>
          </cell>
          <cell r="AI6">
            <v>0</v>
          </cell>
          <cell r="AK6" t="str">
            <v>13 CHARGES</v>
          </cell>
          <cell r="AQ6">
            <v>0</v>
          </cell>
          <cell r="AS6" t="str">
            <v>13 CHARGES</v>
          </cell>
          <cell r="AT6">
            <v>15700</v>
          </cell>
          <cell r="CD6" t="str">
            <v>13 CHARGES</v>
          </cell>
        </row>
        <row r="7">
          <cell r="B7" t="str">
            <v>14 JOURS</v>
          </cell>
          <cell r="D7">
            <v>0</v>
          </cell>
          <cell r="F7">
            <v>102988.55</v>
          </cell>
          <cell r="G7">
            <v>222203.1</v>
          </cell>
          <cell r="H7">
            <v>2570.6999999999998</v>
          </cell>
          <cell r="I7">
            <v>327762.35000000003</v>
          </cell>
          <cell r="K7" t="str">
            <v>14 JOURS</v>
          </cell>
          <cell r="L7">
            <v>229880.05</v>
          </cell>
          <cell r="M7">
            <v>133453.15</v>
          </cell>
          <cell r="N7">
            <v>0</v>
          </cell>
          <cell r="O7">
            <v>25323.200000000001</v>
          </cell>
          <cell r="P7">
            <v>36949.300000000003</v>
          </cell>
          <cell r="Q7">
            <v>425605.69999999995</v>
          </cell>
          <cell r="S7" t="str">
            <v>14 JOURS</v>
          </cell>
          <cell r="T7">
            <v>375648.39</v>
          </cell>
          <cell r="U7">
            <v>698358.39</v>
          </cell>
          <cell r="V7">
            <v>185959.08</v>
          </cell>
          <cell r="W7">
            <v>906.75</v>
          </cell>
          <cell r="X7">
            <v>91307.4</v>
          </cell>
          <cell r="Y7">
            <v>1352180.01</v>
          </cell>
          <cell r="AA7" t="str">
            <v>14 JOURS</v>
          </cell>
          <cell r="AB7">
            <v>215095.2</v>
          </cell>
          <cell r="AC7">
            <v>0</v>
          </cell>
          <cell r="AD7">
            <v>0</v>
          </cell>
          <cell r="AE7">
            <v>27667.8</v>
          </cell>
          <cell r="AF7">
            <v>223565.4</v>
          </cell>
          <cell r="AG7">
            <v>223565.4</v>
          </cell>
          <cell r="AH7">
            <v>77565.600000000006</v>
          </cell>
          <cell r="AI7">
            <v>767459.4</v>
          </cell>
          <cell r="AK7" t="str">
            <v>14 JOURS</v>
          </cell>
          <cell r="AN7">
            <v>221207</v>
          </cell>
          <cell r="AQ7">
            <v>221207</v>
          </cell>
          <cell r="AS7" t="str">
            <v>14 JOURS</v>
          </cell>
          <cell r="AT7">
            <v>64000</v>
          </cell>
          <cell r="CD7" t="str">
            <v>14 JOURS</v>
          </cell>
          <cell r="CI7">
            <v>259064.95999999999</v>
          </cell>
          <cell r="CJ7">
            <v>299838.88</v>
          </cell>
          <cell r="CK7">
            <v>137535.20000000001</v>
          </cell>
          <cell r="CL7">
            <v>64469.68</v>
          </cell>
        </row>
        <row r="8">
          <cell r="B8" t="str">
            <v>15 CHARGES</v>
          </cell>
          <cell r="D8">
            <v>0</v>
          </cell>
          <cell r="F8">
            <v>51817.75</v>
          </cell>
          <cell r="G8">
            <v>151329.29999999999</v>
          </cell>
          <cell r="H8">
            <v>23377.599999999999</v>
          </cell>
          <cell r="I8">
            <v>226524.65</v>
          </cell>
          <cell r="K8" t="str">
            <v>15 CHARGES</v>
          </cell>
          <cell r="L8">
            <v>187842.55</v>
          </cell>
          <cell r="M8">
            <v>97318.95</v>
          </cell>
          <cell r="N8">
            <v>0</v>
          </cell>
          <cell r="O8">
            <v>20873.400000000001</v>
          </cell>
          <cell r="P8">
            <v>65822.649999999994</v>
          </cell>
          <cell r="Q8">
            <v>371857.55000000005</v>
          </cell>
          <cell r="S8" t="str">
            <v>15 CHARGES</v>
          </cell>
          <cell r="T8">
            <v>303465.51</v>
          </cell>
          <cell r="U8">
            <v>597993.72</v>
          </cell>
          <cell r="V8">
            <v>158281.35</v>
          </cell>
          <cell r="W8">
            <v>843.51</v>
          </cell>
          <cell r="X8">
            <v>181674.57</v>
          </cell>
          <cell r="Y8">
            <v>1242258.6600000001</v>
          </cell>
          <cell r="AA8" t="str">
            <v>15 CHARGES</v>
          </cell>
          <cell r="AB8">
            <v>214194.6</v>
          </cell>
          <cell r="AC8">
            <v>0</v>
          </cell>
          <cell r="AD8">
            <v>0</v>
          </cell>
          <cell r="AE8">
            <v>31714.799999999999</v>
          </cell>
          <cell r="AF8">
            <v>230223</v>
          </cell>
          <cell r="AG8">
            <v>230223</v>
          </cell>
          <cell r="AH8">
            <v>63429.599999999999</v>
          </cell>
          <cell r="AI8">
            <v>769785</v>
          </cell>
          <cell r="AK8" t="str">
            <v>15 CHARGES</v>
          </cell>
          <cell r="AN8">
            <v>232349</v>
          </cell>
          <cell r="AQ8">
            <v>232349</v>
          </cell>
          <cell r="AS8" t="str">
            <v>15 CHARGES</v>
          </cell>
          <cell r="AT8">
            <v>44000</v>
          </cell>
          <cell r="CD8" t="str">
            <v>15 CHARGES</v>
          </cell>
          <cell r="CI8">
            <v>233726.24</v>
          </cell>
          <cell r="CJ8">
            <v>250902.08</v>
          </cell>
          <cell r="CK8">
            <v>117159.67999999999</v>
          </cell>
          <cell r="CL8">
            <v>102704.8</v>
          </cell>
        </row>
        <row r="9">
          <cell r="B9" t="str">
            <v>01*</v>
          </cell>
          <cell r="C9">
            <v>44240</v>
          </cell>
          <cell r="D9">
            <v>44240</v>
          </cell>
          <cell r="F9">
            <v>154806.29999999999</v>
          </cell>
          <cell r="G9">
            <v>373532.4</v>
          </cell>
          <cell r="H9">
            <v>25948.3</v>
          </cell>
          <cell r="I9">
            <v>554287</v>
          </cell>
          <cell r="K9" t="str">
            <v>01*</v>
          </cell>
          <cell r="L9">
            <v>417722.6</v>
          </cell>
          <cell r="M9">
            <v>230772.09999999998</v>
          </cell>
          <cell r="N9">
            <v>0</v>
          </cell>
          <cell r="O9">
            <v>46196.600000000006</v>
          </cell>
          <cell r="P9">
            <v>102771.95</v>
          </cell>
          <cell r="Q9">
            <v>797463.24999999988</v>
          </cell>
          <cell r="S9" t="str">
            <v>01*</v>
          </cell>
          <cell r="T9">
            <v>679113.9</v>
          </cell>
          <cell r="U9">
            <v>1296352.1099999999</v>
          </cell>
          <cell r="V9">
            <v>344240.43</v>
          </cell>
          <cell r="W9">
            <v>1750.26</v>
          </cell>
          <cell r="X9">
            <v>272981.96999999997</v>
          </cell>
          <cell r="Y9">
            <v>2594438.67</v>
          </cell>
          <cell r="AA9" t="str">
            <v>01*</v>
          </cell>
          <cell r="AB9">
            <v>429289.80000000005</v>
          </cell>
          <cell r="AC9">
            <v>0</v>
          </cell>
          <cell r="AD9">
            <v>0</v>
          </cell>
          <cell r="AE9">
            <v>59382.6</v>
          </cell>
          <cell r="AF9">
            <v>453788.4</v>
          </cell>
          <cell r="AG9">
            <v>453788.4</v>
          </cell>
          <cell r="AH9">
            <v>140995.20000000001</v>
          </cell>
          <cell r="AI9">
            <v>1537244.4000000001</v>
          </cell>
          <cell r="AK9" t="str">
            <v>01*</v>
          </cell>
          <cell r="AL9">
            <v>0</v>
          </cell>
          <cell r="AM9">
            <v>0</v>
          </cell>
          <cell r="AN9">
            <v>453556</v>
          </cell>
          <cell r="AO9">
            <v>0</v>
          </cell>
          <cell r="AP9">
            <v>0</v>
          </cell>
          <cell r="AQ9">
            <v>453556</v>
          </cell>
          <cell r="AS9" t="str">
            <v>01*</v>
          </cell>
          <cell r="AT9">
            <v>155900</v>
          </cell>
          <cell r="AU9">
            <v>0</v>
          </cell>
          <cell r="AV9">
            <v>0</v>
          </cell>
          <cell r="AW9">
            <v>0</v>
          </cell>
          <cell r="CD9" t="str">
            <v>01*</v>
          </cell>
          <cell r="CE9">
            <v>0</v>
          </cell>
          <cell r="CF9">
            <v>0</v>
          </cell>
          <cell r="CG9">
            <v>0</v>
          </cell>
          <cell r="CH9">
            <v>0</v>
          </cell>
          <cell r="CI9">
            <v>492791.19999999995</v>
          </cell>
          <cell r="CJ9">
            <v>550740.96</v>
          </cell>
          <cell r="CK9">
            <v>254694.88</v>
          </cell>
          <cell r="CL9">
            <v>167174.48000000001</v>
          </cell>
        </row>
        <row r="10">
          <cell r="B10" t="str">
            <v>22 TAMCA</v>
          </cell>
          <cell r="C10">
            <v>0</v>
          </cell>
          <cell r="D10">
            <v>0</v>
          </cell>
          <cell r="F10">
            <v>136585.29999999999</v>
          </cell>
          <cell r="G10">
            <v>71001.100000000006</v>
          </cell>
          <cell r="H10">
            <v>4367.1499999999996</v>
          </cell>
          <cell r="I10">
            <v>211953.55</v>
          </cell>
          <cell r="K10" t="str">
            <v>22 TAMCA</v>
          </cell>
          <cell r="L10">
            <v>0</v>
          </cell>
          <cell r="M10">
            <v>150224.45000000001</v>
          </cell>
          <cell r="N10">
            <v>0</v>
          </cell>
          <cell r="O10">
            <v>56090.85</v>
          </cell>
          <cell r="P10">
            <v>0</v>
          </cell>
          <cell r="Q10">
            <v>206315.30000000002</v>
          </cell>
          <cell r="S10" t="str">
            <v>22 TAMCA</v>
          </cell>
          <cell r="T10">
            <v>206247.96</v>
          </cell>
          <cell r="U10">
            <v>403475.85</v>
          </cell>
          <cell r="V10">
            <v>44990.61</v>
          </cell>
          <cell r="W10">
            <v>63037.26</v>
          </cell>
          <cell r="X10">
            <v>78222.3</v>
          </cell>
          <cell r="Y10">
            <v>795973.98</v>
          </cell>
          <cell r="AA10" t="str">
            <v>22 TAMCA</v>
          </cell>
          <cell r="AB10">
            <v>64307.4</v>
          </cell>
          <cell r="AC10">
            <v>453765.6</v>
          </cell>
          <cell r="AD10">
            <v>413671.8</v>
          </cell>
          <cell r="AE10">
            <v>401200.2</v>
          </cell>
          <cell r="AF10">
            <v>399513</v>
          </cell>
          <cell r="AG10">
            <v>108345.60000000001</v>
          </cell>
          <cell r="AH10">
            <v>276575.40000000002</v>
          </cell>
          <cell r="AI10">
            <v>2117379</v>
          </cell>
          <cell r="AK10" t="str">
            <v>22 TAMCA</v>
          </cell>
          <cell r="AL10">
            <v>109904</v>
          </cell>
          <cell r="AM10">
            <v>169920</v>
          </cell>
          <cell r="AN10">
            <v>345923</v>
          </cell>
          <cell r="AQ10">
            <v>625747</v>
          </cell>
          <cell r="AS10" t="str">
            <v>22 TAMCA</v>
          </cell>
          <cell r="AT10">
            <v>56000</v>
          </cell>
          <cell r="AV10">
            <v>192000</v>
          </cell>
          <cell r="AW10">
            <v>128000</v>
          </cell>
          <cell r="CD10" t="str">
            <v>22 TAMCA</v>
          </cell>
          <cell r="CI10">
            <v>58930.080000000002</v>
          </cell>
          <cell r="CJ10">
            <v>12026.96</v>
          </cell>
          <cell r="CK10">
            <v>0</v>
          </cell>
          <cell r="CL10">
            <v>11883.52</v>
          </cell>
        </row>
        <row r="11">
          <cell r="B11" t="str">
            <v>23 CHARGES</v>
          </cell>
          <cell r="C11">
            <v>0</v>
          </cell>
          <cell r="D11">
            <v>0</v>
          </cell>
          <cell r="F11">
            <v>59641.95</v>
          </cell>
          <cell r="G11">
            <v>5408.35</v>
          </cell>
          <cell r="H11">
            <v>354.35</v>
          </cell>
          <cell r="I11">
            <v>65404.649999999994</v>
          </cell>
          <cell r="K11" t="str">
            <v>23 CHARGES</v>
          </cell>
          <cell r="L11">
            <v>0</v>
          </cell>
          <cell r="M11">
            <v>65984.149999999994</v>
          </cell>
          <cell r="N11">
            <v>0</v>
          </cell>
          <cell r="O11">
            <v>28818.25</v>
          </cell>
          <cell r="P11">
            <v>0</v>
          </cell>
          <cell r="Q11">
            <v>94802.4</v>
          </cell>
          <cell r="S11" t="str">
            <v>23 CHARGES</v>
          </cell>
          <cell r="T11">
            <v>73531.38</v>
          </cell>
          <cell r="U11">
            <v>190388.67</v>
          </cell>
          <cell r="V11">
            <v>17811.36</v>
          </cell>
          <cell r="W11">
            <v>17474.7</v>
          </cell>
          <cell r="X11">
            <v>34274.22</v>
          </cell>
          <cell r="Y11">
            <v>333480.33000000007</v>
          </cell>
          <cell r="AA11" t="str">
            <v>23 CHARGES</v>
          </cell>
          <cell r="AB11">
            <v>12574.2</v>
          </cell>
          <cell r="AC11">
            <v>216052.8</v>
          </cell>
          <cell r="AD11">
            <v>222471</v>
          </cell>
          <cell r="AE11">
            <v>195692.4</v>
          </cell>
          <cell r="AF11">
            <v>186743.4</v>
          </cell>
          <cell r="AG11">
            <v>23335.8</v>
          </cell>
          <cell r="AH11">
            <v>84246</v>
          </cell>
          <cell r="AI11">
            <v>941115.60000000009</v>
          </cell>
          <cell r="AK11" t="str">
            <v>23 CHARGES</v>
          </cell>
          <cell r="AL11">
            <v>26248</v>
          </cell>
          <cell r="AM11">
            <v>98760</v>
          </cell>
          <cell r="AN11">
            <v>146877</v>
          </cell>
          <cell r="AQ11">
            <v>271885</v>
          </cell>
          <cell r="AS11" t="str">
            <v>23 CHARGES</v>
          </cell>
          <cell r="AT11">
            <v>9900</v>
          </cell>
          <cell r="AV11">
            <v>39180</v>
          </cell>
          <cell r="AW11">
            <v>26120</v>
          </cell>
          <cell r="CD11" t="str">
            <v>23 CHARGES</v>
          </cell>
          <cell r="CI11">
            <v>10778.24</v>
          </cell>
          <cell r="CJ11">
            <v>3716.24</v>
          </cell>
          <cell r="CK11">
            <v>0</v>
          </cell>
          <cell r="CL11">
            <v>2673.44</v>
          </cell>
        </row>
        <row r="12">
          <cell r="B12" t="str">
            <v>02*</v>
          </cell>
          <cell r="C12">
            <v>0</v>
          </cell>
          <cell r="D12">
            <v>0</v>
          </cell>
          <cell r="F12">
            <v>196227.25</v>
          </cell>
          <cell r="G12">
            <v>76409.450000000012</v>
          </cell>
          <cell r="H12">
            <v>4721.5</v>
          </cell>
          <cell r="I12">
            <v>277358.2</v>
          </cell>
          <cell r="K12" t="str">
            <v>02*</v>
          </cell>
          <cell r="L12">
            <v>0</v>
          </cell>
          <cell r="M12">
            <v>216208.6</v>
          </cell>
          <cell r="N12">
            <v>0</v>
          </cell>
          <cell r="O12">
            <v>84909.1</v>
          </cell>
          <cell r="P12">
            <v>0</v>
          </cell>
          <cell r="Q12">
            <v>301117.7</v>
          </cell>
          <cell r="S12" t="str">
            <v>02*</v>
          </cell>
          <cell r="T12">
            <v>279779.33999999997</v>
          </cell>
          <cell r="U12">
            <v>593864.52</v>
          </cell>
          <cell r="V12">
            <v>62801.97</v>
          </cell>
          <cell r="W12">
            <v>80511.960000000006</v>
          </cell>
          <cell r="X12">
            <v>112496.52</v>
          </cell>
          <cell r="Y12">
            <v>1129454.3099999998</v>
          </cell>
          <cell r="AA12" t="str">
            <v>02*</v>
          </cell>
          <cell r="AB12">
            <v>76881.600000000006</v>
          </cell>
          <cell r="AC12">
            <v>669818.39999999991</v>
          </cell>
          <cell r="AD12">
            <v>636142.80000000005</v>
          </cell>
          <cell r="AE12">
            <v>596892.6</v>
          </cell>
          <cell r="AF12">
            <v>586256.4</v>
          </cell>
          <cell r="AG12">
            <v>131681.4</v>
          </cell>
          <cell r="AH12">
            <v>360821.4</v>
          </cell>
          <cell r="AI12">
            <v>3058494.5999999996</v>
          </cell>
          <cell r="AK12" t="str">
            <v>02*</v>
          </cell>
          <cell r="AL12">
            <v>136152</v>
          </cell>
          <cell r="AM12">
            <v>268680</v>
          </cell>
          <cell r="AN12">
            <v>492800</v>
          </cell>
          <cell r="AO12">
            <v>0</v>
          </cell>
          <cell r="AP12">
            <v>0</v>
          </cell>
          <cell r="AQ12">
            <v>897632</v>
          </cell>
          <cell r="AS12" t="str">
            <v>02*</v>
          </cell>
          <cell r="AT12">
            <v>65900</v>
          </cell>
          <cell r="AU12">
            <v>0</v>
          </cell>
          <cell r="AV12">
            <v>231180</v>
          </cell>
          <cell r="AW12">
            <v>154120</v>
          </cell>
          <cell r="CD12" t="str">
            <v>02*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69708.320000000007</v>
          </cell>
          <cell r="CJ12">
            <v>15743.199999999999</v>
          </cell>
          <cell r="CK12">
            <v>0</v>
          </cell>
          <cell r="CL12">
            <v>14556.960000000001</v>
          </cell>
        </row>
        <row r="13">
          <cell r="B13" t="str">
            <v>40 H.C</v>
          </cell>
          <cell r="D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K13" t="str">
            <v>40 H.C</v>
          </cell>
          <cell r="L13">
            <v>0</v>
          </cell>
          <cell r="M13">
            <v>0</v>
          </cell>
          <cell r="N13">
            <v>0</v>
          </cell>
          <cell r="Q13">
            <v>0</v>
          </cell>
          <cell r="S13" t="str">
            <v>40 H.C</v>
          </cell>
          <cell r="T13">
            <v>0</v>
          </cell>
          <cell r="U13">
            <v>0</v>
          </cell>
          <cell r="V13">
            <v>0</v>
          </cell>
          <cell r="Y13">
            <v>0</v>
          </cell>
          <cell r="AA13" t="str">
            <v>40 H.C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 t="str">
            <v>40 H.C</v>
          </cell>
          <cell r="AQ13">
            <v>0</v>
          </cell>
          <cell r="AS13" t="str">
            <v>40 H.C</v>
          </cell>
          <cell r="CD13" t="str">
            <v>40 H.C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</row>
        <row r="14">
          <cell r="B14" t="str">
            <v>41 CHARGES</v>
          </cell>
          <cell r="D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K14" t="str">
            <v>41 CHARGES</v>
          </cell>
          <cell r="L14">
            <v>0</v>
          </cell>
          <cell r="M14">
            <v>0</v>
          </cell>
          <cell r="N14">
            <v>0</v>
          </cell>
          <cell r="Q14">
            <v>0</v>
          </cell>
          <cell r="S14" t="str">
            <v>41 CHARGES</v>
          </cell>
          <cell r="T14">
            <v>0</v>
          </cell>
          <cell r="U14">
            <v>0</v>
          </cell>
          <cell r="V14">
            <v>0</v>
          </cell>
          <cell r="Y14">
            <v>0</v>
          </cell>
          <cell r="AA14" t="str">
            <v>41 CHARGES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K14" t="str">
            <v>41 CHARGES</v>
          </cell>
          <cell r="AQ14">
            <v>0</v>
          </cell>
          <cell r="AS14" t="str">
            <v>41 CHARGES</v>
          </cell>
          <cell r="CD14" t="str">
            <v>41 CHARGES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</row>
        <row r="15">
          <cell r="B15" t="str">
            <v>04*</v>
          </cell>
          <cell r="C15">
            <v>0</v>
          </cell>
          <cell r="D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K15" t="str">
            <v>04*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S15" t="str">
            <v>04*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 t="str">
            <v>04*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 t="str">
            <v>04*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S15" t="str">
            <v>04*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CD15" t="str">
            <v>04*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</row>
        <row r="16">
          <cell r="B16" t="str">
            <v>51 HS BUR</v>
          </cell>
          <cell r="C16">
            <v>3613</v>
          </cell>
          <cell r="D16">
            <v>3613</v>
          </cell>
          <cell r="I16">
            <v>0</v>
          </cell>
          <cell r="K16" t="str">
            <v>51 HS BUR</v>
          </cell>
          <cell r="Q16">
            <v>0</v>
          </cell>
          <cell r="S16" t="str">
            <v>51 HS BUR</v>
          </cell>
          <cell r="Y16">
            <v>0</v>
          </cell>
          <cell r="AA16" t="str">
            <v>51 HS BUR</v>
          </cell>
          <cell r="AI16">
            <v>0</v>
          </cell>
          <cell r="AK16" t="str">
            <v>51 HS BUR</v>
          </cell>
          <cell r="AQ16">
            <v>0</v>
          </cell>
          <cell r="AS16" t="str">
            <v>51 HS BUR</v>
          </cell>
          <cell r="AT16">
            <v>700</v>
          </cell>
          <cell r="CD16" t="str">
            <v>51 HS BUR</v>
          </cell>
        </row>
        <row r="17">
          <cell r="B17" t="str">
            <v>52 HS OE J</v>
          </cell>
          <cell r="D17">
            <v>0</v>
          </cell>
          <cell r="F17">
            <v>6021.1</v>
          </cell>
          <cell r="G17">
            <v>10573.5</v>
          </cell>
          <cell r="H17">
            <v>28.5</v>
          </cell>
          <cell r="I17">
            <v>16623.099999999999</v>
          </cell>
          <cell r="K17" t="str">
            <v>52 HS OE J</v>
          </cell>
          <cell r="L17">
            <v>71616.7</v>
          </cell>
          <cell r="M17">
            <v>4557.1499999999996</v>
          </cell>
          <cell r="N17">
            <v>0</v>
          </cell>
          <cell r="O17">
            <v>28.5</v>
          </cell>
          <cell r="P17">
            <v>5481.5</v>
          </cell>
          <cell r="Q17">
            <v>81683.849999999991</v>
          </cell>
          <cell r="S17" t="str">
            <v>52 HS OE J</v>
          </cell>
          <cell r="T17">
            <v>14780.49</v>
          </cell>
          <cell r="U17">
            <v>140548.10999999999</v>
          </cell>
          <cell r="V17">
            <v>13260.87</v>
          </cell>
          <cell r="W17">
            <v>0</v>
          </cell>
          <cell r="X17">
            <v>11475.27</v>
          </cell>
          <cell r="Y17">
            <v>180064.73999999996</v>
          </cell>
          <cell r="AA17" t="str">
            <v>52 HS OE J</v>
          </cell>
          <cell r="AB17">
            <v>59302.8</v>
          </cell>
          <cell r="AC17">
            <v>0</v>
          </cell>
          <cell r="AD17">
            <v>0</v>
          </cell>
          <cell r="AE17">
            <v>6931.2</v>
          </cell>
          <cell r="AF17">
            <v>46255.5</v>
          </cell>
          <cell r="AG17">
            <v>46255.5</v>
          </cell>
          <cell r="AH17">
            <v>2884.2</v>
          </cell>
          <cell r="AI17">
            <v>161629.20000000001</v>
          </cell>
          <cell r="AK17" t="str">
            <v>52 HS OE J</v>
          </cell>
          <cell r="AN17">
            <v>24890</v>
          </cell>
          <cell r="AQ17">
            <v>24890</v>
          </cell>
          <cell r="AS17" t="str">
            <v>52 HS OE J</v>
          </cell>
          <cell r="AT17">
            <v>5700</v>
          </cell>
          <cell r="CD17" t="str">
            <v>52 HS OE J</v>
          </cell>
          <cell r="CI17">
            <v>64344.72</v>
          </cell>
          <cell r="CJ17">
            <v>53445.919999999998</v>
          </cell>
          <cell r="CK17">
            <v>9738.9599999999991</v>
          </cell>
          <cell r="CL17">
            <v>11044.88</v>
          </cell>
        </row>
        <row r="18">
          <cell r="B18" t="str">
            <v>56 HS TAMCA</v>
          </cell>
          <cell r="D18">
            <v>0</v>
          </cell>
          <cell r="F18">
            <v>5848.2</v>
          </cell>
          <cell r="G18">
            <v>793.25</v>
          </cell>
          <cell r="H18">
            <v>0</v>
          </cell>
          <cell r="I18">
            <v>6641.45</v>
          </cell>
          <cell r="K18" t="str">
            <v>56 HS TAMCA</v>
          </cell>
          <cell r="L18">
            <v>0</v>
          </cell>
          <cell r="M18">
            <v>4282.6000000000004</v>
          </cell>
          <cell r="N18">
            <v>0</v>
          </cell>
          <cell r="O18">
            <v>3748.7</v>
          </cell>
          <cell r="P18">
            <v>0</v>
          </cell>
          <cell r="Q18">
            <v>8031.3</v>
          </cell>
          <cell r="S18" t="str">
            <v>56 HS TAMCA</v>
          </cell>
          <cell r="T18">
            <v>6502.56</v>
          </cell>
          <cell r="U18">
            <v>72633.929999999993</v>
          </cell>
          <cell r="V18">
            <v>3165.72</v>
          </cell>
          <cell r="W18">
            <v>1164.3599999999999</v>
          </cell>
          <cell r="X18">
            <v>5269.38</v>
          </cell>
          <cell r="Y18">
            <v>88735.95</v>
          </cell>
          <cell r="AA18" t="str">
            <v>56 HS TAMCA</v>
          </cell>
          <cell r="AB18">
            <v>3408.6</v>
          </cell>
          <cell r="AC18">
            <v>77919</v>
          </cell>
          <cell r="AD18">
            <v>57832.2</v>
          </cell>
          <cell r="AE18">
            <v>56293.2</v>
          </cell>
          <cell r="AF18">
            <v>56304.6</v>
          </cell>
          <cell r="AG18">
            <v>5061.6000000000004</v>
          </cell>
          <cell r="AH18">
            <v>13771.2</v>
          </cell>
          <cell r="AI18">
            <v>270590.40000000002</v>
          </cell>
          <cell r="AK18" t="str">
            <v>56 HS TAMCA</v>
          </cell>
          <cell r="AL18">
            <v>12213</v>
          </cell>
          <cell r="AM18">
            <v>13851</v>
          </cell>
          <cell r="AN18">
            <v>36148</v>
          </cell>
          <cell r="AQ18">
            <v>62212</v>
          </cell>
          <cell r="AS18" t="str">
            <v>56 HS TAMCA</v>
          </cell>
          <cell r="AT18">
            <v>1000</v>
          </cell>
          <cell r="AV18">
            <v>1800</v>
          </cell>
          <cell r="AW18">
            <v>1200</v>
          </cell>
          <cell r="CD18" t="str">
            <v>56 HS TAMCA</v>
          </cell>
          <cell r="CI18">
            <v>1261.92</v>
          </cell>
          <cell r="CJ18">
            <v>207.68</v>
          </cell>
          <cell r="CK18">
            <v>0</v>
          </cell>
          <cell r="CL18">
            <v>398.64</v>
          </cell>
        </row>
        <row r="19">
          <cell r="B19" t="str">
            <v>59 H.C.TAMCA</v>
          </cell>
          <cell r="D19">
            <v>0</v>
          </cell>
          <cell r="F19">
            <v>-512.04999999999995</v>
          </cell>
          <cell r="G19">
            <v>0</v>
          </cell>
          <cell r="H19">
            <v>0</v>
          </cell>
          <cell r="I19">
            <v>-512.04999999999995</v>
          </cell>
          <cell r="K19" t="str">
            <v>59 H.C.TAMCA</v>
          </cell>
          <cell r="L19">
            <v>0</v>
          </cell>
          <cell r="M19">
            <v>-774.25</v>
          </cell>
          <cell r="N19">
            <v>0</v>
          </cell>
          <cell r="O19">
            <v>-849.3</v>
          </cell>
          <cell r="P19">
            <v>0</v>
          </cell>
          <cell r="Q19">
            <v>-1623.55</v>
          </cell>
          <cell r="S19" t="str">
            <v>59 H.C.TAMCA</v>
          </cell>
          <cell r="T19">
            <v>-3151.77</v>
          </cell>
          <cell r="U19">
            <v>-21949.86</v>
          </cell>
          <cell r="V19">
            <v>0</v>
          </cell>
          <cell r="W19">
            <v>0</v>
          </cell>
          <cell r="X19">
            <v>-360.84</v>
          </cell>
          <cell r="Y19">
            <v>-25462.47</v>
          </cell>
          <cell r="AA19" t="str">
            <v>59 H.C.TAMCA</v>
          </cell>
          <cell r="AB19">
            <v>0</v>
          </cell>
          <cell r="AC19">
            <v>-37084.199999999997</v>
          </cell>
          <cell r="AD19">
            <v>-28317.599999999999</v>
          </cell>
          <cell r="AE19">
            <v>-30449.4</v>
          </cell>
          <cell r="AF19">
            <v>-26835.599999999999</v>
          </cell>
          <cell r="AG19">
            <v>-1117.2</v>
          </cell>
          <cell r="AH19">
            <v>-855</v>
          </cell>
          <cell r="AI19">
            <v>-124658.99999999999</v>
          </cell>
          <cell r="AK19" t="str">
            <v>59 H.C.TAMCA</v>
          </cell>
          <cell r="AL19">
            <v>-992</v>
          </cell>
          <cell r="AM19">
            <v>-1605</v>
          </cell>
          <cell r="AN19">
            <v>-7404</v>
          </cell>
          <cell r="AQ19">
            <v>-10001</v>
          </cell>
          <cell r="AS19" t="str">
            <v>59 H.C.TAMCA</v>
          </cell>
          <cell r="CD19" t="str">
            <v>59 H.C.TAMCA</v>
          </cell>
          <cell r="CI19">
            <v>-565.84</v>
          </cell>
          <cell r="CJ19">
            <v>-160.16</v>
          </cell>
          <cell r="CK19">
            <v>0</v>
          </cell>
          <cell r="CL19">
            <v>0</v>
          </cell>
        </row>
        <row r="20">
          <cell r="B20" t="str">
            <v>05* TOTAL HS</v>
          </cell>
          <cell r="C20">
            <v>3613</v>
          </cell>
          <cell r="D20">
            <v>3613</v>
          </cell>
          <cell r="F20">
            <v>11357.25</v>
          </cell>
          <cell r="G20">
            <v>11366.75</v>
          </cell>
          <cell r="H20">
            <v>28.5</v>
          </cell>
          <cell r="I20">
            <v>22752.5</v>
          </cell>
          <cell r="K20" t="str">
            <v>05* TOTAL HS</v>
          </cell>
          <cell r="L20">
            <v>71616.7</v>
          </cell>
          <cell r="M20">
            <v>8065.5</v>
          </cell>
          <cell r="N20">
            <v>0</v>
          </cell>
          <cell r="O20">
            <v>2927.8999999999996</v>
          </cell>
          <cell r="P20">
            <v>5481.5</v>
          </cell>
          <cell r="Q20">
            <v>88091.599999999991</v>
          </cell>
          <cell r="S20" t="str">
            <v>05* TOTAL HS</v>
          </cell>
          <cell r="T20">
            <v>18131.28</v>
          </cell>
          <cell r="U20">
            <v>191232.18</v>
          </cell>
          <cell r="V20">
            <v>16426.59</v>
          </cell>
          <cell r="W20">
            <v>1164.3599999999999</v>
          </cell>
          <cell r="X20">
            <v>16383.810000000001</v>
          </cell>
          <cell r="Y20">
            <v>243338.21999999997</v>
          </cell>
          <cell r="AA20" t="str">
            <v>05* TOTAL HS</v>
          </cell>
          <cell r="AB20">
            <v>62711.4</v>
          </cell>
          <cell r="AC20">
            <v>40834.800000000003</v>
          </cell>
          <cell r="AD20">
            <v>29514.6</v>
          </cell>
          <cell r="AE20">
            <v>32774.999999999993</v>
          </cell>
          <cell r="AF20">
            <v>75724.5</v>
          </cell>
          <cell r="AG20">
            <v>50199.9</v>
          </cell>
          <cell r="AH20">
            <v>15800.400000000001</v>
          </cell>
          <cell r="AI20">
            <v>307560.60000000003</v>
          </cell>
          <cell r="AK20" t="str">
            <v>05* TOTAL HS</v>
          </cell>
          <cell r="AL20">
            <v>11221</v>
          </cell>
          <cell r="AM20">
            <v>12246</v>
          </cell>
          <cell r="AN20">
            <v>53634</v>
          </cell>
          <cell r="AO20">
            <v>0</v>
          </cell>
          <cell r="AP20">
            <v>0</v>
          </cell>
          <cell r="AQ20">
            <v>77101</v>
          </cell>
          <cell r="AS20" t="str">
            <v>05* TOTAL HS</v>
          </cell>
          <cell r="AT20">
            <v>7400</v>
          </cell>
          <cell r="AU20">
            <v>0</v>
          </cell>
          <cell r="AV20">
            <v>1800</v>
          </cell>
          <cell r="AW20">
            <v>1200</v>
          </cell>
          <cell r="CD20" t="str">
            <v>05* TOTAL HS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65040.800000000003</v>
          </cell>
          <cell r="CJ20">
            <v>53493.439999999995</v>
          </cell>
          <cell r="CK20">
            <v>9738.9599999999991</v>
          </cell>
          <cell r="CL20">
            <v>11443.519999999999</v>
          </cell>
        </row>
        <row r="21">
          <cell r="B21" t="str">
            <v>61 PRIME B</v>
          </cell>
          <cell r="C21">
            <v>6199</v>
          </cell>
          <cell r="D21">
            <v>6199</v>
          </cell>
          <cell r="I21">
            <v>0</v>
          </cell>
          <cell r="K21" t="str">
            <v>61 PRIME B</v>
          </cell>
          <cell r="Q21">
            <v>0</v>
          </cell>
          <cell r="S21" t="str">
            <v>61 PRIME B</v>
          </cell>
          <cell r="Y21">
            <v>0</v>
          </cell>
          <cell r="AA21" t="str">
            <v>61 PRIME B</v>
          </cell>
          <cell r="AI21">
            <v>0</v>
          </cell>
          <cell r="AK21" t="str">
            <v>61 PRIME B</v>
          </cell>
          <cell r="AQ21">
            <v>0</v>
          </cell>
          <cell r="AS21" t="str">
            <v>61 PRIME B</v>
          </cell>
          <cell r="AT21">
            <v>5700</v>
          </cell>
          <cell r="CD21" t="str">
            <v>61 PRIME B</v>
          </cell>
        </row>
        <row r="22">
          <cell r="B22" t="str">
            <v>62 PRIME J</v>
          </cell>
          <cell r="D22">
            <v>0</v>
          </cell>
          <cell r="F22">
            <v>24106.25</v>
          </cell>
          <cell r="G22">
            <v>62535.65</v>
          </cell>
          <cell r="H22">
            <v>6299.45</v>
          </cell>
          <cell r="I22">
            <v>92941.349999999991</v>
          </cell>
          <cell r="K22" t="str">
            <v>62 PRIME J</v>
          </cell>
          <cell r="L22">
            <v>76366.7</v>
          </cell>
          <cell r="M22">
            <v>36069.599999999999</v>
          </cell>
          <cell r="N22">
            <v>0</v>
          </cell>
          <cell r="O22">
            <v>7366.3</v>
          </cell>
          <cell r="P22">
            <v>17184.55</v>
          </cell>
          <cell r="Q22">
            <v>136987.15</v>
          </cell>
          <cell r="S22" t="str">
            <v>62 PRIME J</v>
          </cell>
          <cell r="T22">
            <v>92095.11</v>
          </cell>
          <cell r="U22">
            <v>192903.39</v>
          </cell>
          <cell r="V22">
            <v>36327.660000000003</v>
          </cell>
          <cell r="W22">
            <v>306.89999999999998</v>
          </cell>
          <cell r="X22">
            <v>46144.74</v>
          </cell>
          <cell r="Y22">
            <v>367777.80000000005</v>
          </cell>
          <cell r="AA22" t="str">
            <v>62 PRIME J</v>
          </cell>
          <cell r="AB22">
            <v>47036.4</v>
          </cell>
          <cell r="AC22">
            <v>0</v>
          </cell>
          <cell r="AD22">
            <v>0</v>
          </cell>
          <cell r="AE22">
            <v>8356.2000000000007</v>
          </cell>
          <cell r="AF22">
            <v>59166</v>
          </cell>
          <cell r="AG22">
            <v>59166</v>
          </cell>
          <cell r="AH22">
            <v>16712.400000000001</v>
          </cell>
          <cell r="AI22">
            <v>190437</v>
          </cell>
          <cell r="AK22" t="str">
            <v>62 PRIME J</v>
          </cell>
          <cell r="AN22">
            <v>72723</v>
          </cell>
          <cell r="AQ22">
            <v>72723</v>
          </cell>
          <cell r="AS22" t="str">
            <v>62 PRIME J</v>
          </cell>
          <cell r="AT22">
            <v>18000</v>
          </cell>
          <cell r="CD22" t="str">
            <v>62 PRIME J</v>
          </cell>
          <cell r="CI22">
            <v>95544.24</v>
          </cell>
          <cell r="CJ22">
            <v>80703.039999999994</v>
          </cell>
          <cell r="CK22">
            <v>42306.879999999997</v>
          </cell>
          <cell r="CL22">
            <v>30843.119999999999</v>
          </cell>
        </row>
        <row r="23">
          <cell r="B23" t="str">
            <v>65 PRIME TAM</v>
          </cell>
          <cell r="D23">
            <v>0</v>
          </cell>
          <cell r="F23">
            <v>27225.1</v>
          </cell>
          <cell r="G23">
            <v>19086.45</v>
          </cell>
          <cell r="H23">
            <v>749.55</v>
          </cell>
          <cell r="I23">
            <v>47061.100000000006</v>
          </cell>
          <cell r="K23" t="str">
            <v>65 PRIME TAM</v>
          </cell>
          <cell r="L23">
            <v>0</v>
          </cell>
          <cell r="M23">
            <v>37620</v>
          </cell>
          <cell r="N23">
            <v>0</v>
          </cell>
          <cell r="O23">
            <v>18335.95</v>
          </cell>
          <cell r="P23">
            <v>0</v>
          </cell>
          <cell r="Q23">
            <v>55955.95</v>
          </cell>
          <cell r="S23" t="str">
            <v>65 PRIME TAM</v>
          </cell>
          <cell r="T23">
            <v>60506.73</v>
          </cell>
          <cell r="U23">
            <v>101185.86</v>
          </cell>
          <cell r="V23">
            <v>6821.55</v>
          </cell>
          <cell r="W23">
            <v>10642.92</v>
          </cell>
          <cell r="X23">
            <v>24975.15</v>
          </cell>
          <cell r="Y23">
            <v>204132.21</v>
          </cell>
          <cell r="AA23" t="str">
            <v>65 PRIME TAM</v>
          </cell>
          <cell r="AB23">
            <v>14842.8</v>
          </cell>
          <cell r="AC23">
            <v>106111.2</v>
          </cell>
          <cell r="AD23">
            <v>82251</v>
          </cell>
          <cell r="AE23">
            <v>96637.8</v>
          </cell>
          <cell r="AF23">
            <v>94266.6</v>
          </cell>
          <cell r="AG23">
            <v>25034.400000000001</v>
          </cell>
          <cell r="AH23">
            <v>84268.800000000003</v>
          </cell>
          <cell r="AI23">
            <v>503412.60000000003</v>
          </cell>
          <cell r="AK23" t="str">
            <v>65 PRIME TAM</v>
          </cell>
          <cell r="AL23">
            <v>33608</v>
          </cell>
          <cell r="AM23">
            <v>61997</v>
          </cell>
          <cell r="AN23">
            <v>118683</v>
          </cell>
          <cell r="AQ23">
            <v>214288</v>
          </cell>
          <cell r="AS23" t="str">
            <v>65 PRIME TAM</v>
          </cell>
          <cell r="AT23">
            <v>15000</v>
          </cell>
          <cell r="AV23">
            <v>53580</v>
          </cell>
          <cell r="AW23">
            <v>35720</v>
          </cell>
          <cell r="CD23" t="str">
            <v>65 PRIME TAM</v>
          </cell>
          <cell r="CI23">
            <v>11725.12</v>
          </cell>
          <cell r="CJ23">
            <v>2364.56</v>
          </cell>
          <cell r="CK23">
            <v>0</v>
          </cell>
          <cell r="CL23">
            <v>3161.84</v>
          </cell>
        </row>
        <row r="24">
          <cell r="B24" t="str">
            <v>06*TOT.PRIME</v>
          </cell>
          <cell r="C24">
            <v>6199</v>
          </cell>
          <cell r="D24">
            <v>6199</v>
          </cell>
          <cell r="F24">
            <v>51331.35</v>
          </cell>
          <cell r="G24">
            <v>81622.100000000006</v>
          </cell>
          <cell r="H24">
            <v>7049</v>
          </cell>
          <cell r="I24">
            <v>140002.45000000001</v>
          </cell>
          <cell r="K24" t="str">
            <v>06*TOT.PRIME</v>
          </cell>
          <cell r="L24">
            <v>76366.7</v>
          </cell>
          <cell r="M24">
            <v>73689.600000000006</v>
          </cell>
          <cell r="N24">
            <v>0</v>
          </cell>
          <cell r="O24">
            <v>25702.25</v>
          </cell>
          <cell r="P24">
            <v>17184.55</v>
          </cell>
          <cell r="Q24">
            <v>192943.09999999998</v>
          </cell>
          <cell r="S24" t="str">
            <v>06*TOT.PRIME</v>
          </cell>
          <cell r="T24">
            <v>152601.84</v>
          </cell>
          <cell r="U24">
            <v>294089.25</v>
          </cell>
          <cell r="V24">
            <v>43149.210000000006</v>
          </cell>
          <cell r="W24">
            <v>10949.82</v>
          </cell>
          <cell r="X24">
            <v>71119.89</v>
          </cell>
          <cell r="Y24">
            <v>571910.01</v>
          </cell>
          <cell r="AA24" t="str">
            <v>06*TOT.PRIME</v>
          </cell>
          <cell r="AB24">
            <v>61879.199999999997</v>
          </cell>
          <cell r="AC24">
            <v>106111.2</v>
          </cell>
          <cell r="AD24">
            <v>82251</v>
          </cell>
          <cell r="AE24">
            <v>104994</v>
          </cell>
          <cell r="AF24">
            <v>153432.6</v>
          </cell>
          <cell r="AG24">
            <v>84200.4</v>
          </cell>
          <cell r="AH24">
            <v>100981.20000000001</v>
          </cell>
          <cell r="AI24">
            <v>693849.60000000009</v>
          </cell>
          <cell r="AK24" t="str">
            <v>06*TOT.PRIME</v>
          </cell>
          <cell r="AL24">
            <v>33608</v>
          </cell>
          <cell r="AM24">
            <v>61997</v>
          </cell>
          <cell r="AN24">
            <v>191406</v>
          </cell>
          <cell r="AO24">
            <v>0</v>
          </cell>
          <cell r="AP24">
            <v>0</v>
          </cell>
          <cell r="AQ24">
            <v>287011</v>
          </cell>
          <cell r="AS24" t="str">
            <v>06*TOT.PRIME</v>
          </cell>
          <cell r="AT24">
            <v>38700</v>
          </cell>
          <cell r="AU24">
            <v>0</v>
          </cell>
          <cell r="AV24">
            <v>53580</v>
          </cell>
          <cell r="AW24">
            <v>35720</v>
          </cell>
          <cell r="CD24" t="str">
            <v>06*TOT.PRIME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107269.36</v>
          </cell>
          <cell r="CJ24">
            <v>83067.599999999991</v>
          </cell>
          <cell r="CK24">
            <v>42306.879999999997</v>
          </cell>
          <cell r="CL24">
            <v>34004.959999999999</v>
          </cell>
        </row>
        <row r="25">
          <cell r="B25" t="str">
            <v>71 PAR.RET.OE B</v>
          </cell>
          <cell r="C25">
            <v>12428</v>
          </cell>
          <cell r="D25">
            <v>12428</v>
          </cell>
          <cell r="I25">
            <v>0</v>
          </cell>
          <cell r="K25" t="str">
            <v>71 PAR.RET.OE B</v>
          </cell>
          <cell r="Q25">
            <v>0</v>
          </cell>
          <cell r="S25" t="str">
            <v>71 PAR.RET.OE B</v>
          </cell>
          <cell r="Y25">
            <v>0</v>
          </cell>
          <cell r="AA25" t="str">
            <v>71 PAR.RET.OE B</v>
          </cell>
          <cell r="AI25">
            <v>0</v>
          </cell>
          <cell r="AK25" t="str">
            <v>71 PAR.RET.OE B</v>
          </cell>
          <cell r="AQ25">
            <v>0</v>
          </cell>
          <cell r="AS25" t="str">
            <v>71 PAR.RET.OE B</v>
          </cell>
          <cell r="AT25">
            <v>5600</v>
          </cell>
          <cell r="CD25" t="str">
            <v>71 PAR.RET.OE B</v>
          </cell>
        </row>
        <row r="26">
          <cell r="B26" t="str">
            <v>72 PAR.RET.OE J</v>
          </cell>
          <cell r="D26">
            <v>0</v>
          </cell>
          <cell r="F26">
            <v>31124.85</v>
          </cell>
          <cell r="G26">
            <v>82590.149999999994</v>
          </cell>
          <cell r="H26">
            <v>8470.2000000000007</v>
          </cell>
          <cell r="I26">
            <v>122185.2</v>
          </cell>
          <cell r="K26" t="str">
            <v>72 PAR.RET.OE J</v>
          </cell>
          <cell r="L26">
            <v>91743.4</v>
          </cell>
          <cell r="M26">
            <v>55983.5</v>
          </cell>
          <cell r="N26">
            <v>0</v>
          </cell>
          <cell r="O26">
            <v>10169.75</v>
          </cell>
          <cell r="P26">
            <v>22363</v>
          </cell>
          <cell r="Q26">
            <v>180259.65</v>
          </cell>
          <cell r="S26" t="str">
            <v>72 PAR.RET.OE J</v>
          </cell>
          <cell r="T26">
            <v>130467.84</v>
          </cell>
          <cell r="U26">
            <v>259885.71</v>
          </cell>
          <cell r="V26">
            <v>64571.76</v>
          </cell>
          <cell r="W26">
            <v>404.55</v>
          </cell>
          <cell r="X26">
            <v>65198.58</v>
          </cell>
          <cell r="Y26">
            <v>520528.44</v>
          </cell>
          <cell r="AA26" t="str">
            <v>72 PAR.RET.OE J</v>
          </cell>
          <cell r="AB26">
            <v>84861.6</v>
          </cell>
          <cell r="AC26">
            <v>0</v>
          </cell>
          <cell r="AD26">
            <v>0</v>
          </cell>
          <cell r="AE26">
            <v>13167</v>
          </cell>
          <cell r="AF26">
            <v>98986.2</v>
          </cell>
          <cell r="AG26">
            <v>98986.2</v>
          </cell>
          <cell r="AH26">
            <v>21215.4</v>
          </cell>
          <cell r="AI26">
            <v>317216.40000000002</v>
          </cell>
          <cell r="AK26" t="str">
            <v>72 PAR.RET.OE J</v>
          </cell>
          <cell r="AN26">
            <v>94333</v>
          </cell>
          <cell r="AQ26">
            <v>94333</v>
          </cell>
          <cell r="AS26" t="str">
            <v>72 PAR.RET.OE J</v>
          </cell>
          <cell r="AT26">
            <v>20500</v>
          </cell>
          <cell r="CD26" t="str">
            <v>72 PAR.RET.OE J</v>
          </cell>
          <cell r="CI26">
            <v>112156.88</v>
          </cell>
          <cell r="CJ26">
            <v>107646.88</v>
          </cell>
          <cell r="CK26">
            <v>47006.080000000002</v>
          </cell>
          <cell r="CL26">
            <v>38676</v>
          </cell>
        </row>
        <row r="27">
          <cell r="B27" t="str">
            <v>75 PAR.RET.TAM</v>
          </cell>
          <cell r="D27">
            <v>0</v>
          </cell>
          <cell r="F27">
            <v>36720.35</v>
          </cell>
          <cell r="G27">
            <v>21159.35</v>
          </cell>
          <cell r="H27">
            <v>910.1</v>
          </cell>
          <cell r="I27">
            <v>58789.799999999996</v>
          </cell>
          <cell r="K27" t="str">
            <v>75 PAR.RET.TAM</v>
          </cell>
          <cell r="L27">
            <v>0</v>
          </cell>
          <cell r="M27">
            <v>41274.65</v>
          </cell>
          <cell r="N27">
            <v>0</v>
          </cell>
          <cell r="O27">
            <v>20120.05</v>
          </cell>
          <cell r="P27">
            <v>0</v>
          </cell>
          <cell r="Q27">
            <v>61394.7</v>
          </cell>
          <cell r="S27" t="str">
            <v>75 PAR.RET.TAM</v>
          </cell>
          <cell r="T27">
            <v>72869.22</v>
          </cell>
          <cell r="U27">
            <v>127456.5</v>
          </cell>
          <cell r="V27">
            <v>14399.19</v>
          </cell>
          <cell r="W27">
            <v>19875.96</v>
          </cell>
          <cell r="X27">
            <v>26480.82</v>
          </cell>
          <cell r="Y27">
            <v>261081.69</v>
          </cell>
          <cell r="AA27" t="str">
            <v>75 PAR.RET.TAM</v>
          </cell>
          <cell r="AB27">
            <v>14854.2</v>
          </cell>
          <cell r="AC27">
            <v>128854.2</v>
          </cell>
          <cell r="AD27">
            <v>115892.4</v>
          </cell>
          <cell r="AE27">
            <v>107502</v>
          </cell>
          <cell r="AF27">
            <v>128022</v>
          </cell>
          <cell r="AG27">
            <v>28431.599999999999</v>
          </cell>
          <cell r="AH27">
            <v>85329</v>
          </cell>
          <cell r="AI27">
            <v>608885.39999999991</v>
          </cell>
          <cell r="AK27" t="str">
            <v>75 PAR.RET.TAM</v>
          </cell>
          <cell r="AL27">
            <v>35481</v>
          </cell>
          <cell r="AM27">
            <v>75062</v>
          </cell>
          <cell r="AN27">
            <v>128091</v>
          </cell>
          <cell r="AQ27">
            <v>238634</v>
          </cell>
          <cell r="AS27" t="str">
            <v>75 PAR.RET.TAM</v>
          </cell>
          <cell r="AT27">
            <v>17200</v>
          </cell>
          <cell r="AV27">
            <v>53520</v>
          </cell>
          <cell r="AW27">
            <v>35680</v>
          </cell>
          <cell r="CD27" t="str">
            <v>75 PAR.RET.TAM</v>
          </cell>
          <cell r="CI27">
            <v>22997.919999999998</v>
          </cell>
          <cell r="CJ27">
            <v>2674.32</v>
          </cell>
          <cell r="CK27">
            <v>0</v>
          </cell>
          <cell r="CL27">
            <v>2772</v>
          </cell>
        </row>
        <row r="28">
          <cell r="B28" t="str">
            <v>77 PAR.RET.H.C</v>
          </cell>
          <cell r="D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K28" t="str">
            <v>77 PAR.RET.H.C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S28" t="str">
            <v>77 PAR.RET.H.C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 t="str">
            <v>77 PAR.RET.H.C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 t="str">
            <v>77 PAR.RET.H.C</v>
          </cell>
          <cell r="AQ28">
            <v>0</v>
          </cell>
          <cell r="AS28" t="str">
            <v>77 PAR.RET.H.C</v>
          </cell>
          <cell r="CD28" t="str">
            <v>77 PAR.RET.H.C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</row>
        <row r="29">
          <cell r="B29" t="str">
            <v>79 PART PATRONALE</v>
          </cell>
          <cell r="C29">
            <v>1417</v>
          </cell>
          <cell r="D29">
            <v>1417</v>
          </cell>
          <cell r="F29">
            <v>9110.5</v>
          </cell>
          <cell r="G29">
            <v>14413.4</v>
          </cell>
          <cell r="H29">
            <v>1118.1500000000001</v>
          </cell>
          <cell r="I29">
            <v>24642.050000000003</v>
          </cell>
          <cell r="K29" t="str">
            <v>79 PART PATRONALE</v>
          </cell>
          <cell r="L29">
            <v>13919.4</v>
          </cell>
          <cell r="M29">
            <v>12099.2</v>
          </cell>
          <cell r="N29">
            <v>0</v>
          </cell>
          <cell r="O29">
            <v>4539.1000000000004</v>
          </cell>
          <cell r="P29">
            <v>5098.6499999999996</v>
          </cell>
          <cell r="Q29">
            <v>35656.35</v>
          </cell>
          <cell r="S29" t="str">
            <v>79 PART PATRONALE</v>
          </cell>
          <cell r="T29">
            <v>26947.68</v>
          </cell>
          <cell r="U29">
            <v>57104.79</v>
          </cell>
          <cell r="V29">
            <v>7618.56</v>
          </cell>
          <cell r="W29">
            <v>2003.22</v>
          </cell>
          <cell r="X29">
            <v>12515.01</v>
          </cell>
          <cell r="Y29">
            <v>106189.26</v>
          </cell>
          <cell r="AA29" t="str">
            <v>79 PART PATRONALE</v>
          </cell>
          <cell r="AB29">
            <v>13007.4</v>
          </cell>
          <cell r="AC29">
            <v>21671.4</v>
          </cell>
          <cell r="AD29">
            <v>18103.2</v>
          </cell>
          <cell r="AE29">
            <v>18536.400000000001</v>
          </cell>
          <cell r="AF29">
            <v>24487.200000000001</v>
          </cell>
          <cell r="AG29">
            <v>8914.7999999999993</v>
          </cell>
          <cell r="AH29">
            <v>20474.400000000001</v>
          </cell>
          <cell r="AI29">
            <v>125194.79999999999</v>
          </cell>
          <cell r="AK29" t="str">
            <v>79 PART PATRONALE</v>
          </cell>
          <cell r="AL29">
            <v>5935</v>
          </cell>
          <cell r="AM29">
            <v>10949</v>
          </cell>
          <cell r="AN29">
            <v>33810</v>
          </cell>
          <cell r="AQ29">
            <v>50694</v>
          </cell>
          <cell r="AS29" t="str">
            <v>79 PART PATRONALE</v>
          </cell>
          <cell r="AT29">
            <v>6800</v>
          </cell>
          <cell r="AV29">
            <v>9480</v>
          </cell>
          <cell r="AW29">
            <v>6320</v>
          </cell>
          <cell r="CD29" t="str">
            <v>79 PART PATRONALE</v>
          </cell>
          <cell r="CI29">
            <v>18942.88</v>
          </cell>
          <cell r="CJ29">
            <v>14667.84</v>
          </cell>
          <cell r="CK29">
            <v>7470.32</v>
          </cell>
          <cell r="CL29">
            <v>6019.2</v>
          </cell>
        </row>
        <row r="30">
          <cell r="B30" t="str">
            <v>07*</v>
          </cell>
          <cell r="C30">
            <v>13845</v>
          </cell>
          <cell r="D30">
            <v>13845</v>
          </cell>
          <cell r="F30">
            <v>76955.7</v>
          </cell>
          <cell r="G30">
            <v>118162.9</v>
          </cell>
          <cell r="H30">
            <v>10498.45</v>
          </cell>
          <cell r="I30">
            <v>205617.05</v>
          </cell>
          <cell r="K30" t="str">
            <v>07*</v>
          </cell>
          <cell r="L30">
            <v>105662.79999999999</v>
          </cell>
          <cell r="M30">
            <v>109357.34999999999</v>
          </cell>
          <cell r="N30">
            <v>0</v>
          </cell>
          <cell r="O30">
            <v>34828.9</v>
          </cell>
          <cell r="P30">
            <v>27461.65</v>
          </cell>
          <cell r="Q30">
            <v>277310.69999999995</v>
          </cell>
          <cell r="S30" t="str">
            <v>07*</v>
          </cell>
          <cell r="T30">
            <v>230284.74</v>
          </cell>
          <cell r="U30">
            <v>444446.99999999994</v>
          </cell>
          <cell r="V30">
            <v>86589.51</v>
          </cell>
          <cell r="W30">
            <v>22283.73</v>
          </cell>
          <cell r="X30">
            <v>104194.40999999999</v>
          </cell>
          <cell r="Y30">
            <v>887799.39</v>
          </cell>
          <cell r="AA30" t="str">
            <v>07*</v>
          </cell>
          <cell r="AB30">
            <v>112723.2</v>
          </cell>
          <cell r="AC30">
            <v>150525.6</v>
          </cell>
          <cell r="AD30">
            <v>133995.6</v>
          </cell>
          <cell r="AE30">
            <v>139205.4</v>
          </cell>
          <cell r="AF30">
            <v>251495.40000000002</v>
          </cell>
          <cell r="AG30">
            <v>136332.59999999998</v>
          </cell>
          <cell r="AH30">
            <v>127018.79999999999</v>
          </cell>
          <cell r="AI30">
            <v>1051296.6000000001</v>
          </cell>
          <cell r="AK30" t="str">
            <v>07*</v>
          </cell>
          <cell r="AL30">
            <v>41416</v>
          </cell>
          <cell r="AM30">
            <v>86011</v>
          </cell>
          <cell r="AN30">
            <v>256234</v>
          </cell>
          <cell r="AO30">
            <v>0</v>
          </cell>
          <cell r="AP30">
            <v>0</v>
          </cell>
          <cell r="AQ30">
            <v>383661</v>
          </cell>
          <cell r="AS30" t="str">
            <v>07*</v>
          </cell>
          <cell r="AT30">
            <v>50100</v>
          </cell>
          <cell r="AU30">
            <v>0</v>
          </cell>
          <cell r="AV30">
            <v>63000</v>
          </cell>
          <cell r="AW30">
            <v>42000</v>
          </cell>
          <cell r="CD30" t="str">
            <v>07*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154097.68</v>
          </cell>
          <cell r="CJ30">
            <v>124989.04000000001</v>
          </cell>
          <cell r="CK30">
            <v>54476.4</v>
          </cell>
          <cell r="CL30">
            <v>47467.199999999997</v>
          </cell>
        </row>
        <row r="31">
          <cell r="B31" t="str">
            <v>TOTAL 0**</v>
          </cell>
          <cell r="C31">
            <v>67897</v>
          </cell>
          <cell r="D31">
            <v>67897</v>
          </cell>
          <cell r="F31">
            <v>490677.85</v>
          </cell>
          <cell r="G31">
            <v>661093.60000000009</v>
          </cell>
          <cell r="H31">
            <v>48245.75</v>
          </cell>
          <cell r="I31">
            <v>1200017.2000000002</v>
          </cell>
          <cell r="K31" t="str">
            <v>TOTAL 0**</v>
          </cell>
          <cell r="L31">
            <v>671368.8</v>
          </cell>
          <cell r="M31">
            <v>638093.14999999991</v>
          </cell>
          <cell r="N31">
            <v>0</v>
          </cell>
          <cell r="O31">
            <v>194564.75</v>
          </cell>
          <cell r="P31">
            <v>152899.65</v>
          </cell>
          <cell r="Q31">
            <v>1656926.3499999999</v>
          </cell>
          <cell r="S31" t="str">
            <v>TOTAL 0**</v>
          </cell>
          <cell r="T31">
            <v>1359911.1</v>
          </cell>
          <cell r="U31">
            <v>2819985.0599999996</v>
          </cell>
          <cell r="V31">
            <v>553207.71000000008</v>
          </cell>
          <cell r="W31">
            <v>116660.12999999999</v>
          </cell>
          <cell r="X31">
            <v>577176.6</v>
          </cell>
          <cell r="Y31">
            <v>5426940.5999999996</v>
          </cell>
          <cell r="AA31" t="str">
            <v>TOTAL 0**</v>
          </cell>
          <cell r="AB31">
            <v>743485.2</v>
          </cell>
          <cell r="AC31">
            <v>967289.99999999988</v>
          </cell>
          <cell r="AD31">
            <v>881904</v>
          </cell>
          <cell r="AE31">
            <v>933249.6</v>
          </cell>
          <cell r="AF31">
            <v>1520697.3000000003</v>
          </cell>
          <cell r="AG31">
            <v>856202.70000000007</v>
          </cell>
          <cell r="AH31">
            <v>745617</v>
          </cell>
          <cell r="AI31">
            <v>6648445.7999999998</v>
          </cell>
          <cell r="AK31" t="str">
            <v>TOTAL 0**</v>
          </cell>
          <cell r="AL31">
            <v>222397</v>
          </cell>
          <cell r="AM31">
            <v>428934</v>
          </cell>
          <cell r="AN31">
            <v>1447630</v>
          </cell>
          <cell r="AO31">
            <v>0</v>
          </cell>
          <cell r="AP31">
            <v>0</v>
          </cell>
          <cell r="AQ31">
            <v>2098961</v>
          </cell>
          <cell r="AS31" t="str">
            <v>TOTAL 0**</v>
          </cell>
          <cell r="AT31">
            <v>318000</v>
          </cell>
          <cell r="AU31">
            <v>0</v>
          </cell>
          <cell r="AV31">
            <v>349560</v>
          </cell>
          <cell r="AW31">
            <v>233040</v>
          </cell>
          <cell r="CD31" t="str">
            <v>TOTAL 0**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888907.3600000001</v>
          </cell>
          <cell r="CJ31">
            <v>828034.23999999987</v>
          </cell>
          <cell r="CK31">
            <v>361217.12000000005</v>
          </cell>
          <cell r="CL31">
            <v>274647.12</v>
          </cell>
        </row>
        <row r="32">
          <cell r="B32" t="str">
            <v>103 ELEC.</v>
          </cell>
          <cell r="D32">
            <v>0</v>
          </cell>
          <cell r="G32">
            <v>36859</v>
          </cell>
          <cell r="I32">
            <v>36859</v>
          </cell>
          <cell r="K32" t="str">
            <v>103 ELEC.</v>
          </cell>
          <cell r="Q32">
            <v>0</v>
          </cell>
          <cell r="S32" t="str">
            <v>103 ELEC.</v>
          </cell>
          <cell r="T32">
            <v>36956</v>
          </cell>
          <cell r="V32">
            <v>91374</v>
          </cell>
          <cell r="Y32">
            <v>128330</v>
          </cell>
          <cell r="AA32" t="str">
            <v>103 ELEC.</v>
          </cell>
          <cell r="AI32">
            <v>0</v>
          </cell>
          <cell r="AK32" t="str">
            <v>103 ELEC.</v>
          </cell>
          <cell r="AN32">
            <v>21109</v>
          </cell>
          <cell r="AQ32">
            <v>21109</v>
          </cell>
          <cell r="AS32" t="str">
            <v>103 ELEC.</v>
          </cell>
          <cell r="AU32">
            <v>39000</v>
          </cell>
          <cell r="CD32" t="str">
            <v>103 ELEC.</v>
          </cell>
          <cell r="CH32">
            <v>959210.52500000002</v>
          </cell>
          <cell r="CI32">
            <v>538501</v>
          </cell>
          <cell r="CJ32">
            <v>486754.56</v>
          </cell>
          <cell r="CK32">
            <v>190138.5</v>
          </cell>
        </row>
        <row r="33">
          <cell r="B33" t="str">
            <v>107 EAU</v>
          </cell>
          <cell r="C33">
            <v>57391</v>
          </cell>
          <cell r="D33">
            <v>57391</v>
          </cell>
          <cell r="I33">
            <v>0</v>
          </cell>
          <cell r="K33" t="str">
            <v>107 EAU</v>
          </cell>
          <cell r="Q33">
            <v>0</v>
          </cell>
          <cell r="S33" t="str">
            <v>107 EAU</v>
          </cell>
          <cell r="V33">
            <v>329</v>
          </cell>
          <cell r="Y33">
            <v>329</v>
          </cell>
          <cell r="AA33" t="str">
            <v>107 EAU</v>
          </cell>
          <cell r="AI33">
            <v>0</v>
          </cell>
          <cell r="AK33" t="str">
            <v>107 EAU</v>
          </cell>
          <cell r="AN33">
            <v>7319</v>
          </cell>
          <cell r="AQ33">
            <v>7319</v>
          </cell>
          <cell r="AS33" t="str">
            <v>107 EAU</v>
          </cell>
          <cell r="CD33" t="str">
            <v>107 EAU</v>
          </cell>
        </row>
        <row r="34">
          <cell r="B34" t="str">
            <v>1**TOT.ENERGIE</v>
          </cell>
          <cell r="C34">
            <v>57391</v>
          </cell>
          <cell r="D34">
            <v>57391</v>
          </cell>
          <cell r="F34">
            <v>0</v>
          </cell>
          <cell r="G34">
            <v>36859</v>
          </cell>
          <cell r="H34">
            <v>0</v>
          </cell>
          <cell r="I34">
            <v>36859</v>
          </cell>
          <cell r="K34" t="str">
            <v>1**TOT.ENERGIE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S34" t="str">
            <v>1**TOT.ENERGIE</v>
          </cell>
          <cell r="T34">
            <v>36956</v>
          </cell>
          <cell r="U34">
            <v>0</v>
          </cell>
          <cell r="V34">
            <v>91703</v>
          </cell>
          <cell r="W34">
            <v>0</v>
          </cell>
          <cell r="X34">
            <v>0</v>
          </cell>
          <cell r="Y34">
            <v>128659</v>
          </cell>
          <cell r="AA34" t="str">
            <v>1**TOT.ENERGIE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K34" t="str">
            <v>1**TOT.ENERGIE</v>
          </cell>
          <cell r="AL34">
            <v>0</v>
          </cell>
          <cell r="AM34">
            <v>0</v>
          </cell>
          <cell r="AN34">
            <v>28428</v>
          </cell>
          <cell r="AO34">
            <v>0</v>
          </cell>
          <cell r="AP34">
            <v>0</v>
          </cell>
          <cell r="AQ34">
            <v>28428</v>
          </cell>
          <cell r="AS34" t="str">
            <v>1**TOT.ENERGIE</v>
          </cell>
          <cell r="AT34">
            <v>0</v>
          </cell>
          <cell r="AU34">
            <v>39000</v>
          </cell>
          <cell r="AV34">
            <v>0</v>
          </cell>
          <cell r="AW34">
            <v>0</v>
          </cell>
          <cell r="CD34" t="str">
            <v>1**TOT.ENERGIE</v>
          </cell>
          <cell r="CE34">
            <v>0</v>
          </cell>
          <cell r="CF34">
            <v>0</v>
          </cell>
          <cell r="CG34">
            <v>0</v>
          </cell>
          <cell r="CH34">
            <v>959210.52500000002</v>
          </cell>
          <cell r="CI34">
            <v>538501</v>
          </cell>
          <cell r="CJ34">
            <v>486754.56</v>
          </cell>
          <cell r="CK34">
            <v>190138.5</v>
          </cell>
          <cell r="CL34">
            <v>0</v>
          </cell>
        </row>
        <row r="35">
          <cell r="B35" t="str">
            <v>211 PREST.MEC</v>
          </cell>
          <cell r="C35">
            <v>605</v>
          </cell>
          <cell r="D35">
            <v>605</v>
          </cell>
          <cell r="G35">
            <v>38718</v>
          </cell>
          <cell r="I35">
            <v>38718</v>
          </cell>
          <cell r="K35" t="str">
            <v>211 PREST.MEC</v>
          </cell>
          <cell r="L35">
            <v>5281</v>
          </cell>
          <cell r="Q35">
            <v>5281</v>
          </cell>
          <cell r="S35" t="str">
            <v>211 PREST.MEC</v>
          </cell>
          <cell r="U35">
            <v>2750</v>
          </cell>
          <cell r="V35">
            <v>1034</v>
          </cell>
          <cell r="Y35">
            <v>3784</v>
          </cell>
          <cell r="AA35" t="str">
            <v>211 PREST.MEC</v>
          </cell>
          <cell r="AI35">
            <v>0</v>
          </cell>
          <cell r="AK35" t="str">
            <v>211 PREST.MEC</v>
          </cell>
          <cell r="AP35">
            <v>4701</v>
          </cell>
          <cell r="AQ35">
            <v>4701</v>
          </cell>
          <cell r="AS35" t="str">
            <v>211 PREST.MEC</v>
          </cell>
          <cell r="CD35" t="str">
            <v>211 PREST.MEC</v>
          </cell>
          <cell r="CI35">
            <v>126253</v>
          </cell>
          <cell r="CJ35">
            <v>240652</v>
          </cell>
          <cell r="CK35">
            <v>147015</v>
          </cell>
          <cell r="CL35">
            <v>7939</v>
          </cell>
        </row>
        <row r="36">
          <cell r="B36" t="str">
            <v>212 PREST.ELEC</v>
          </cell>
          <cell r="D36">
            <v>0</v>
          </cell>
          <cell r="H36">
            <v>8890</v>
          </cell>
          <cell r="I36">
            <v>8890</v>
          </cell>
          <cell r="K36" t="str">
            <v>212 PREST.ELEC</v>
          </cell>
          <cell r="Q36">
            <v>0</v>
          </cell>
          <cell r="S36" t="str">
            <v>212 PREST.ELEC</v>
          </cell>
          <cell r="T36">
            <v>4182</v>
          </cell>
          <cell r="U36">
            <v>4000</v>
          </cell>
          <cell r="V36">
            <v>12966</v>
          </cell>
          <cell r="Y36">
            <v>21148</v>
          </cell>
          <cell r="AA36" t="str">
            <v>212 PREST.ELEC</v>
          </cell>
          <cell r="AI36">
            <v>0</v>
          </cell>
          <cell r="AK36" t="str">
            <v>212 PREST.ELEC</v>
          </cell>
          <cell r="AN36">
            <v>13513</v>
          </cell>
          <cell r="AQ36">
            <v>13513</v>
          </cell>
          <cell r="AS36" t="str">
            <v>212 PREST.ELEC</v>
          </cell>
          <cell r="CD36" t="str">
            <v>212 PREST.ELEC</v>
          </cell>
          <cell r="CI36">
            <v>48071</v>
          </cell>
          <cell r="CJ36">
            <v>83851</v>
          </cell>
          <cell r="CK36">
            <v>17062</v>
          </cell>
        </row>
        <row r="37">
          <cell r="B37" t="str">
            <v>242 PREST. LOBO</v>
          </cell>
          <cell r="D37">
            <v>0</v>
          </cell>
          <cell r="I37">
            <v>0</v>
          </cell>
          <cell r="K37" t="str">
            <v>242 PREST. LOBO</v>
          </cell>
          <cell r="Q37">
            <v>0</v>
          </cell>
          <cell r="S37" t="str">
            <v>242 PREST. LOBO</v>
          </cell>
          <cell r="Y37">
            <v>0</v>
          </cell>
          <cell r="AA37" t="str">
            <v>242 PREST. LOBO</v>
          </cell>
          <cell r="AI37">
            <v>0</v>
          </cell>
          <cell r="AK37" t="str">
            <v>242 PREST. LOBO</v>
          </cell>
          <cell r="AQ37">
            <v>0</v>
          </cell>
          <cell r="AS37" t="str">
            <v>242 PREST. LOBO</v>
          </cell>
          <cell r="CD37" t="str">
            <v>242 PREST. LOBO</v>
          </cell>
        </row>
        <row r="38">
          <cell r="B38" t="str">
            <v>2** TOT.PREST.</v>
          </cell>
          <cell r="C38">
            <v>605</v>
          </cell>
          <cell r="D38">
            <v>605</v>
          </cell>
          <cell r="F38">
            <v>0</v>
          </cell>
          <cell r="G38">
            <v>38718</v>
          </cell>
          <cell r="H38">
            <v>8890</v>
          </cell>
          <cell r="I38">
            <v>47608</v>
          </cell>
          <cell r="K38" t="str">
            <v>2** TOT.PREST.</v>
          </cell>
          <cell r="L38">
            <v>5281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5281</v>
          </cell>
          <cell r="S38" t="str">
            <v>2** TOT.PREST.</v>
          </cell>
          <cell r="T38">
            <v>4182</v>
          </cell>
          <cell r="U38">
            <v>6750</v>
          </cell>
          <cell r="V38">
            <v>14000</v>
          </cell>
          <cell r="W38">
            <v>0</v>
          </cell>
          <cell r="X38">
            <v>0</v>
          </cell>
          <cell r="Y38">
            <v>24932</v>
          </cell>
          <cell r="AA38" t="str">
            <v>2** TOT.PREST.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K38" t="str">
            <v>2** TOT.PREST.</v>
          </cell>
          <cell r="AL38">
            <v>0</v>
          </cell>
          <cell r="AM38">
            <v>0</v>
          </cell>
          <cell r="AN38">
            <v>13513</v>
          </cell>
          <cell r="AO38">
            <v>0</v>
          </cell>
          <cell r="AP38">
            <v>4701</v>
          </cell>
          <cell r="AQ38">
            <v>18214</v>
          </cell>
          <cell r="AS38" t="str">
            <v>2** TOT.PREST.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CD38" t="str">
            <v>2** TOT.PREST.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174324</v>
          </cell>
          <cell r="CJ38">
            <v>324503</v>
          </cell>
          <cell r="CK38">
            <v>164077</v>
          </cell>
          <cell r="CL38">
            <v>7939</v>
          </cell>
        </row>
        <row r="39">
          <cell r="B39" t="str">
            <v>311 PRES.MEC.A</v>
          </cell>
          <cell r="D39">
            <v>0</v>
          </cell>
          <cell r="I39">
            <v>0</v>
          </cell>
          <cell r="K39" t="str">
            <v>311 PRES.MEC.A</v>
          </cell>
          <cell r="Q39">
            <v>0</v>
          </cell>
          <cell r="S39" t="str">
            <v>311 PRES.MEC.A</v>
          </cell>
          <cell r="V39">
            <v>1316</v>
          </cell>
          <cell r="Y39">
            <v>1316</v>
          </cell>
          <cell r="AA39" t="str">
            <v>311 PRES.MEC.A</v>
          </cell>
          <cell r="AI39">
            <v>0</v>
          </cell>
          <cell r="AK39" t="str">
            <v>311 PRES.MEC.A</v>
          </cell>
          <cell r="AL39">
            <v>21319</v>
          </cell>
          <cell r="AN39">
            <v>9384</v>
          </cell>
          <cell r="AQ39">
            <v>30703</v>
          </cell>
          <cell r="AS39" t="str">
            <v>311 PRES.MEC.A</v>
          </cell>
          <cell r="CD39" t="str">
            <v>311 PRES.MEC.A</v>
          </cell>
          <cell r="CJ39">
            <v>52919</v>
          </cell>
          <cell r="CK39">
            <v>1970</v>
          </cell>
        </row>
        <row r="40">
          <cell r="B40" t="str">
            <v>312 PRES ELE.A</v>
          </cell>
          <cell r="D40">
            <v>0</v>
          </cell>
          <cell r="I40">
            <v>0</v>
          </cell>
          <cell r="K40" t="str">
            <v>312 PRES ELE.A</v>
          </cell>
          <cell r="Q40">
            <v>0</v>
          </cell>
          <cell r="S40" t="str">
            <v>312 PRES ELE.A</v>
          </cell>
          <cell r="U40">
            <v>304</v>
          </cell>
          <cell r="V40">
            <v>3071</v>
          </cell>
          <cell r="Y40">
            <v>3375</v>
          </cell>
          <cell r="AA40" t="str">
            <v>312 PRES ELE.A</v>
          </cell>
          <cell r="AI40">
            <v>0</v>
          </cell>
          <cell r="AK40" t="str">
            <v>312 PRES ELE.A</v>
          </cell>
          <cell r="AN40">
            <v>4381</v>
          </cell>
          <cell r="AP40">
            <v>11643</v>
          </cell>
          <cell r="AQ40">
            <v>16024</v>
          </cell>
          <cell r="AS40" t="str">
            <v>312 PRES ELE.A</v>
          </cell>
          <cell r="CD40" t="str">
            <v>312 PRES ELE.A</v>
          </cell>
          <cell r="CJ40">
            <v>3794</v>
          </cell>
          <cell r="CK40">
            <v>2435</v>
          </cell>
        </row>
        <row r="41">
          <cell r="B41" t="str">
            <v>315 PR.GCU A.D</v>
          </cell>
          <cell r="D41">
            <v>0</v>
          </cell>
          <cell r="H41">
            <v>308</v>
          </cell>
          <cell r="I41">
            <v>308</v>
          </cell>
          <cell r="K41" t="str">
            <v>315 PR.GCU A.D</v>
          </cell>
          <cell r="Q41">
            <v>0</v>
          </cell>
          <cell r="S41" t="str">
            <v>315 PR.GCU A.D</v>
          </cell>
          <cell r="V41">
            <v>779</v>
          </cell>
          <cell r="Y41">
            <v>779</v>
          </cell>
          <cell r="AA41" t="str">
            <v>315 PR.GCU A.D</v>
          </cell>
          <cell r="AI41">
            <v>0</v>
          </cell>
          <cell r="AK41" t="str">
            <v>315 PR.GCU A.D</v>
          </cell>
          <cell r="AL41">
            <v>6951</v>
          </cell>
          <cell r="AN41">
            <v>27666</v>
          </cell>
          <cell r="AQ41">
            <v>34617</v>
          </cell>
          <cell r="AS41" t="str">
            <v>315 PR.GCU A.D</v>
          </cell>
          <cell r="CD41" t="str">
            <v>315 PR.GCU A.D</v>
          </cell>
        </row>
        <row r="42">
          <cell r="B42" t="str">
            <v>319 AT.DIVERS</v>
          </cell>
          <cell r="D42">
            <v>0</v>
          </cell>
          <cell r="I42">
            <v>0</v>
          </cell>
          <cell r="K42" t="str">
            <v>319 AT.DIVERS</v>
          </cell>
          <cell r="Q42">
            <v>0</v>
          </cell>
          <cell r="S42" t="str">
            <v>319 AT.DIVERS</v>
          </cell>
          <cell r="Y42">
            <v>0</v>
          </cell>
          <cell r="AA42" t="str">
            <v>319 AT.DIVERS</v>
          </cell>
          <cell r="AI42">
            <v>0</v>
          </cell>
          <cell r="AK42" t="str">
            <v>319 AT.DIVERS</v>
          </cell>
          <cell r="AQ42">
            <v>0</v>
          </cell>
          <cell r="AS42" t="str">
            <v>319 AT.DIVERS</v>
          </cell>
          <cell r="CD42" t="str">
            <v>319 AT.DIVERS</v>
          </cell>
        </row>
        <row r="43">
          <cell r="B43" t="str">
            <v>331 PRES.CAMIO</v>
          </cell>
          <cell r="D43">
            <v>0</v>
          </cell>
          <cell r="I43">
            <v>0</v>
          </cell>
          <cell r="K43" t="str">
            <v>331 PRES.CAMIO</v>
          </cell>
          <cell r="P43">
            <v>701023</v>
          </cell>
          <cell r="Q43">
            <v>701023</v>
          </cell>
          <cell r="S43" t="str">
            <v>331 PRES.CAMIO</v>
          </cell>
          <cell r="Y43">
            <v>0</v>
          </cell>
          <cell r="AA43" t="str">
            <v>331 PRES.CAMIO</v>
          </cell>
          <cell r="AI43">
            <v>0</v>
          </cell>
          <cell r="AK43" t="str">
            <v>331 PRES.CAMIO</v>
          </cell>
          <cell r="AN43">
            <v>4698</v>
          </cell>
          <cell r="AQ43">
            <v>4698</v>
          </cell>
          <cell r="AS43" t="str">
            <v>331 PRES.CAMIO</v>
          </cell>
          <cell r="CD43" t="str">
            <v>331 PRES.CAMIO</v>
          </cell>
        </row>
        <row r="44">
          <cell r="B44" t="str">
            <v>332 PREST. BULS</v>
          </cell>
          <cell r="D44">
            <v>0</v>
          </cell>
          <cell r="I44">
            <v>0</v>
          </cell>
          <cell r="K44" t="str">
            <v>332 PREST. BULS</v>
          </cell>
          <cell r="Q44">
            <v>0</v>
          </cell>
          <cell r="S44" t="str">
            <v>332 PREST. BULS</v>
          </cell>
          <cell r="Y44">
            <v>0</v>
          </cell>
          <cell r="AA44" t="str">
            <v>332 PREST. BULS</v>
          </cell>
          <cell r="AI44">
            <v>0</v>
          </cell>
          <cell r="AK44" t="str">
            <v>332 PREST. BULS</v>
          </cell>
          <cell r="AQ44">
            <v>0</v>
          </cell>
          <cell r="AS44" t="str">
            <v>332 PREST. BULS</v>
          </cell>
          <cell r="CD44" t="str">
            <v>332 PREST. BULS</v>
          </cell>
          <cell r="CJ44">
            <v>147418</v>
          </cell>
        </row>
        <row r="45">
          <cell r="B45" t="str">
            <v>333 PREST.  NIVELEUSES</v>
          </cell>
          <cell r="D45">
            <v>0</v>
          </cell>
          <cell r="I45">
            <v>0</v>
          </cell>
          <cell r="K45" t="str">
            <v>333 PREST.  NIVELEUSES</v>
          </cell>
          <cell r="Q45">
            <v>0</v>
          </cell>
          <cell r="S45" t="str">
            <v>333 PREST.  NIVELEUSES</v>
          </cell>
          <cell r="Y45">
            <v>0</v>
          </cell>
          <cell r="AA45" t="str">
            <v>333 PREST.  NIVELEUSES</v>
          </cell>
          <cell r="AI45">
            <v>0</v>
          </cell>
          <cell r="AK45" t="str">
            <v>333 PREST.  NIVELEUSES</v>
          </cell>
          <cell r="AQ45">
            <v>0</v>
          </cell>
          <cell r="AS45" t="str">
            <v>333 PREST.  NIVELEUSES</v>
          </cell>
          <cell r="CD45" t="str">
            <v>333 PREST.  NIVELEUSES</v>
          </cell>
        </row>
        <row r="46">
          <cell r="B46" t="str">
            <v>337 PRES.GARAGAGE</v>
          </cell>
          <cell r="C46">
            <v>17619</v>
          </cell>
          <cell r="D46">
            <v>17619</v>
          </cell>
          <cell r="I46">
            <v>0</v>
          </cell>
          <cell r="K46" t="str">
            <v>337 PRES.GARAGAGE</v>
          </cell>
          <cell r="Q46">
            <v>0</v>
          </cell>
          <cell r="S46" t="str">
            <v>337 PRES.GARAGAGE</v>
          </cell>
          <cell r="X46">
            <v>535033</v>
          </cell>
          <cell r="Y46">
            <v>535033</v>
          </cell>
          <cell r="AA46" t="str">
            <v>337 PRES.GARAGAGE</v>
          </cell>
          <cell r="AI46">
            <v>0</v>
          </cell>
          <cell r="AK46" t="str">
            <v>337 PRES.GARAGAGE</v>
          </cell>
          <cell r="AM46">
            <v>417739</v>
          </cell>
          <cell r="AN46">
            <v>14947</v>
          </cell>
          <cell r="AP46">
            <v>16812</v>
          </cell>
          <cell r="AQ46">
            <v>449498</v>
          </cell>
          <cell r="AS46" t="str">
            <v>337 PRES.GARAGAGE</v>
          </cell>
          <cell r="AU46">
            <v>24400</v>
          </cell>
          <cell r="CD46" t="str">
            <v>337 PRES.GARAGAGE</v>
          </cell>
        </row>
        <row r="47">
          <cell r="B47" t="str">
            <v>339 PREST.ENGIN</v>
          </cell>
          <cell r="D47">
            <v>0</v>
          </cell>
          <cell r="I47">
            <v>0</v>
          </cell>
          <cell r="K47" t="str">
            <v>339 PREST.ENGIN</v>
          </cell>
          <cell r="M47">
            <v>13705</v>
          </cell>
          <cell r="Q47">
            <v>13705</v>
          </cell>
          <cell r="S47" t="str">
            <v>339 PREST.ENGIN</v>
          </cell>
          <cell r="Y47">
            <v>0</v>
          </cell>
          <cell r="AA47" t="str">
            <v>339 PREST.ENGIN</v>
          </cell>
          <cell r="AI47">
            <v>0</v>
          </cell>
          <cell r="AK47" t="str">
            <v>339 PREST.ENGIN</v>
          </cell>
          <cell r="AQ47">
            <v>0</v>
          </cell>
          <cell r="AS47" t="str">
            <v>339 PREST.ENGIN</v>
          </cell>
          <cell r="CD47" t="str">
            <v>339 PREST.ENGIN</v>
          </cell>
          <cell r="CJ47">
            <v>4844</v>
          </cell>
        </row>
        <row r="48">
          <cell r="B48" t="str">
            <v>341 STATION SERVICE</v>
          </cell>
          <cell r="D48">
            <v>0</v>
          </cell>
          <cell r="I48">
            <v>0</v>
          </cell>
          <cell r="K48" t="str">
            <v>341 STATION SERVICE</v>
          </cell>
          <cell r="Q48">
            <v>0</v>
          </cell>
          <cell r="S48" t="str">
            <v>341 STATION SERVICE</v>
          </cell>
          <cell r="Y48">
            <v>0</v>
          </cell>
          <cell r="AA48" t="str">
            <v>341 STATION SERVICE</v>
          </cell>
          <cell r="AI48">
            <v>0</v>
          </cell>
          <cell r="AK48" t="str">
            <v>341 STATION SERVICE</v>
          </cell>
          <cell r="AQ48">
            <v>0</v>
          </cell>
          <cell r="AS48" t="str">
            <v>341 STATION SERVICE</v>
          </cell>
          <cell r="AU48">
            <v>1400</v>
          </cell>
          <cell r="CD48" t="str">
            <v>341 STATION SERVICE</v>
          </cell>
        </row>
        <row r="49">
          <cell r="B49" t="str">
            <v>342 LABOS A.D</v>
          </cell>
          <cell r="D49">
            <v>0</v>
          </cell>
          <cell r="G49">
            <v>27314</v>
          </cell>
          <cell r="I49">
            <v>27314</v>
          </cell>
          <cell r="K49" t="str">
            <v>342 LABOS A.D</v>
          </cell>
          <cell r="Q49">
            <v>0</v>
          </cell>
          <cell r="S49" t="str">
            <v>342 LABOS A.D</v>
          </cell>
          <cell r="Y49">
            <v>0</v>
          </cell>
          <cell r="AA49" t="str">
            <v>342 LABOS A.D</v>
          </cell>
          <cell r="AI49">
            <v>0</v>
          </cell>
          <cell r="AK49" t="str">
            <v>342 LABOS A.D</v>
          </cell>
          <cell r="AN49">
            <v>790000</v>
          </cell>
          <cell r="AQ49">
            <v>790000</v>
          </cell>
          <cell r="AS49" t="str">
            <v>342 LABOS A.D</v>
          </cell>
          <cell r="CD49" t="str">
            <v>342 LABOS A.D</v>
          </cell>
        </row>
        <row r="50">
          <cell r="B50" t="str">
            <v>343 IMPR. + MICROFILM</v>
          </cell>
          <cell r="D50">
            <v>0</v>
          </cell>
          <cell r="I50">
            <v>0</v>
          </cell>
          <cell r="K50" t="str">
            <v>343 IMPR. + MICROFILM</v>
          </cell>
          <cell r="Q50">
            <v>0</v>
          </cell>
          <cell r="S50" t="str">
            <v>343 IMPR. + MICROFILM</v>
          </cell>
          <cell r="Y50">
            <v>0</v>
          </cell>
          <cell r="AA50" t="str">
            <v>343 IMPR. + MICROFILM</v>
          </cell>
          <cell r="AI50">
            <v>0</v>
          </cell>
          <cell r="AK50" t="str">
            <v>343 IMPR. + MICROFILM</v>
          </cell>
          <cell r="AQ50">
            <v>0</v>
          </cell>
          <cell r="AS50" t="str">
            <v>343 IMPR. + MICROFILM</v>
          </cell>
          <cell r="AU50">
            <v>1000</v>
          </cell>
          <cell r="CD50" t="str">
            <v>343 IMPR. + MICROFILM</v>
          </cell>
        </row>
        <row r="51">
          <cell r="B51" t="str">
            <v>345 TELECOMMUNICAT.</v>
          </cell>
          <cell r="C51">
            <v>9360</v>
          </cell>
          <cell r="D51">
            <v>9360</v>
          </cell>
          <cell r="H51">
            <v>7920</v>
          </cell>
          <cell r="I51">
            <v>7920</v>
          </cell>
          <cell r="K51" t="str">
            <v>345 TELECOMMUNICAT.</v>
          </cell>
          <cell r="P51">
            <v>3600</v>
          </cell>
          <cell r="Q51">
            <v>3600</v>
          </cell>
          <cell r="S51" t="str">
            <v>345 TELECOMMUNICAT.</v>
          </cell>
          <cell r="Y51">
            <v>0</v>
          </cell>
          <cell r="AA51" t="str">
            <v>345 TELECOMMUNICAT.</v>
          </cell>
          <cell r="AH51">
            <v>25560</v>
          </cell>
          <cell r="AI51">
            <v>25560</v>
          </cell>
          <cell r="AK51" t="str">
            <v>345 TELECOMMUNICAT.</v>
          </cell>
          <cell r="AP51">
            <v>6844</v>
          </cell>
          <cell r="AQ51">
            <v>6844</v>
          </cell>
          <cell r="AS51" t="str">
            <v>345 TELECOMMUNICAT.</v>
          </cell>
          <cell r="AU51">
            <v>11000</v>
          </cell>
          <cell r="AV51">
            <v>4300</v>
          </cell>
          <cell r="CD51" t="str">
            <v>345 TELECOMMUNICAT.</v>
          </cell>
          <cell r="CL51">
            <v>28080</v>
          </cell>
        </row>
        <row r="52">
          <cell r="B52" t="str">
            <v>349 PRESTATION DIVER</v>
          </cell>
          <cell r="D52">
            <v>0</v>
          </cell>
          <cell r="I52">
            <v>0</v>
          </cell>
          <cell r="K52" t="str">
            <v>349 PRESTATION DIVER</v>
          </cell>
          <cell r="Q52">
            <v>0</v>
          </cell>
          <cell r="S52" t="str">
            <v>349 PRESTATION DIVER</v>
          </cell>
          <cell r="Y52">
            <v>0</v>
          </cell>
          <cell r="AA52" t="str">
            <v>349 PRESTATION DIVER</v>
          </cell>
          <cell r="AI52">
            <v>0</v>
          </cell>
          <cell r="AK52" t="str">
            <v>349 PRESTATION DIVER</v>
          </cell>
          <cell r="AQ52">
            <v>0</v>
          </cell>
          <cell r="AS52" t="str">
            <v>349 PRESTATION DIVER</v>
          </cell>
          <cell r="AU52">
            <v>29000</v>
          </cell>
          <cell r="CD52" t="str">
            <v>349 PRESTATION DIVER</v>
          </cell>
        </row>
        <row r="53">
          <cell r="B53" t="str">
            <v>362 PRESTATION  CONDUITE</v>
          </cell>
          <cell r="D53">
            <v>0</v>
          </cell>
          <cell r="I53">
            <v>0</v>
          </cell>
          <cell r="K53" t="str">
            <v>362 PRESTATION  CONDUITE</v>
          </cell>
          <cell r="Q53">
            <v>0</v>
          </cell>
          <cell r="S53" t="str">
            <v>362 PRESTATION  CONDUITE</v>
          </cell>
          <cell r="Y53">
            <v>0</v>
          </cell>
          <cell r="AA53" t="str">
            <v>362 PRESTATION  CONDUITE</v>
          </cell>
          <cell r="AI53">
            <v>0</v>
          </cell>
          <cell r="AK53" t="str">
            <v>362 PRESTATION  CONDUITE</v>
          </cell>
          <cell r="AQ53">
            <v>0</v>
          </cell>
          <cell r="AS53" t="str">
            <v>362 PRESTATION  CONDUITE</v>
          </cell>
          <cell r="CD53" t="str">
            <v>362 PRESTATION  CONDUITE</v>
          </cell>
          <cell r="CJ53">
            <v>41880</v>
          </cell>
        </row>
        <row r="54">
          <cell r="B54" t="str">
            <v>3**T.PRES. A.D</v>
          </cell>
          <cell r="C54">
            <v>26979</v>
          </cell>
          <cell r="D54">
            <v>26979</v>
          </cell>
          <cell r="F54">
            <v>0</v>
          </cell>
          <cell r="G54">
            <v>27314</v>
          </cell>
          <cell r="H54">
            <v>8228</v>
          </cell>
          <cell r="I54">
            <v>35542</v>
          </cell>
          <cell r="K54" t="str">
            <v>3**T.PRES. A.D</v>
          </cell>
          <cell r="L54">
            <v>0</v>
          </cell>
          <cell r="M54">
            <v>13705</v>
          </cell>
          <cell r="N54">
            <v>0</v>
          </cell>
          <cell r="O54">
            <v>0</v>
          </cell>
          <cell r="P54">
            <v>704623</v>
          </cell>
          <cell r="Q54">
            <v>718328</v>
          </cell>
          <cell r="S54" t="str">
            <v>3**T.PRES. A.D</v>
          </cell>
          <cell r="T54">
            <v>0</v>
          </cell>
          <cell r="U54">
            <v>304</v>
          </cell>
          <cell r="V54">
            <v>5166</v>
          </cell>
          <cell r="W54">
            <v>0</v>
          </cell>
          <cell r="X54">
            <v>535033</v>
          </cell>
          <cell r="Y54">
            <v>540503</v>
          </cell>
          <cell r="AA54" t="str">
            <v>3**T.PRES. A.D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25560</v>
          </cell>
          <cell r="AI54">
            <v>25560</v>
          </cell>
          <cell r="AK54" t="str">
            <v>3**T.PRES. A.D</v>
          </cell>
          <cell r="AL54">
            <v>28270</v>
          </cell>
          <cell r="AM54">
            <v>417739</v>
          </cell>
          <cell r="AN54">
            <v>851076</v>
          </cell>
          <cell r="AO54">
            <v>0</v>
          </cell>
          <cell r="AP54">
            <v>35299</v>
          </cell>
          <cell r="AQ54">
            <v>1332384</v>
          </cell>
          <cell r="AS54" t="str">
            <v>3**T.PRES. A.D</v>
          </cell>
          <cell r="AT54">
            <v>0</v>
          </cell>
          <cell r="AU54">
            <v>66800</v>
          </cell>
          <cell r="AV54">
            <v>4300</v>
          </cell>
          <cell r="AW54">
            <v>0</v>
          </cell>
          <cell r="CD54" t="str">
            <v>3**T.PRES. A.D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250855</v>
          </cell>
          <cell r="CK54">
            <v>4405</v>
          </cell>
          <cell r="CL54">
            <v>28080</v>
          </cell>
        </row>
        <row r="55">
          <cell r="B55" t="str">
            <v>402 BANDE</v>
          </cell>
          <cell r="D55">
            <v>0</v>
          </cell>
          <cell r="I55">
            <v>0</v>
          </cell>
          <cell r="K55" t="str">
            <v>402 BANDE</v>
          </cell>
          <cell r="Q55">
            <v>0</v>
          </cell>
          <cell r="S55" t="str">
            <v>402 BANDE</v>
          </cell>
          <cell r="Y55">
            <v>0</v>
          </cell>
          <cell r="AA55" t="str">
            <v>402 BANDE</v>
          </cell>
          <cell r="AI55">
            <v>0</v>
          </cell>
          <cell r="AK55" t="str">
            <v>402 BANDE</v>
          </cell>
          <cell r="AQ55">
            <v>0</v>
          </cell>
          <cell r="AS55" t="str">
            <v>402 BANDE</v>
          </cell>
          <cell r="CD55" t="str">
            <v>402 BANDE</v>
          </cell>
          <cell r="CJ55">
            <v>647500</v>
          </cell>
          <cell r="CK55">
            <v>200000</v>
          </cell>
        </row>
        <row r="56">
          <cell r="B56" t="str">
            <v>404 ESSENCE</v>
          </cell>
          <cell r="D56">
            <v>0</v>
          </cell>
          <cell r="I56">
            <v>0</v>
          </cell>
          <cell r="K56" t="str">
            <v>404 ESSENCE</v>
          </cell>
          <cell r="Q56">
            <v>0</v>
          </cell>
          <cell r="S56" t="str">
            <v>404 ESSENCE</v>
          </cell>
          <cell r="Y56">
            <v>0</v>
          </cell>
          <cell r="AA56" t="str">
            <v>404 ESSENCE</v>
          </cell>
          <cell r="AI56">
            <v>0</v>
          </cell>
          <cell r="AK56" t="str">
            <v>404 ESSENCE</v>
          </cell>
          <cell r="AP56">
            <v>89</v>
          </cell>
          <cell r="AQ56">
            <v>89</v>
          </cell>
          <cell r="AS56" t="str">
            <v>404 ESSENCE</v>
          </cell>
          <cell r="AU56">
            <v>7000</v>
          </cell>
          <cell r="CD56" t="str">
            <v>404 ESSENCE</v>
          </cell>
        </row>
        <row r="57">
          <cell r="B57" t="str">
            <v>405 GASOIL</v>
          </cell>
          <cell r="D57">
            <v>0</v>
          </cell>
          <cell r="F57">
            <v>104</v>
          </cell>
          <cell r="H57">
            <v>546</v>
          </cell>
          <cell r="I57">
            <v>650</v>
          </cell>
          <cell r="K57" t="str">
            <v>405 GASOIL</v>
          </cell>
          <cell r="N57">
            <v>104</v>
          </cell>
          <cell r="P57">
            <v>101</v>
          </cell>
          <cell r="Q57">
            <v>205</v>
          </cell>
          <cell r="S57" t="str">
            <v>405 GASOIL</v>
          </cell>
          <cell r="V57">
            <v>323</v>
          </cell>
          <cell r="X57">
            <v>209</v>
          </cell>
          <cell r="Y57">
            <v>532</v>
          </cell>
          <cell r="AA57" t="str">
            <v>405 GASOIL</v>
          </cell>
          <cell r="AI57">
            <v>0</v>
          </cell>
          <cell r="AK57" t="str">
            <v>405 GASOIL</v>
          </cell>
          <cell r="AQ57">
            <v>0</v>
          </cell>
          <cell r="AS57" t="str">
            <v>405 GASOIL</v>
          </cell>
          <cell r="CD57" t="str">
            <v>405 GASOIL</v>
          </cell>
          <cell r="CJ57">
            <v>656</v>
          </cell>
        </row>
        <row r="58">
          <cell r="B58" t="str">
            <v>406 LUBRIFIANTS</v>
          </cell>
          <cell r="D58">
            <v>0</v>
          </cell>
          <cell r="I58">
            <v>0</v>
          </cell>
          <cell r="K58" t="str">
            <v>406 LUBRIFIANTS</v>
          </cell>
          <cell r="Q58">
            <v>0</v>
          </cell>
          <cell r="S58" t="str">
            <v>406 LUBRIFIANTS</v>
          </cell>
          <cell r="V58">
            <v>10163</v>
          </cell>
          <cell r="Y58">
            <v>10163</v>
          </cell>
          <cell r="AA58" t="str">
            <v>406 LUBRIFIANTS</v>
          </cell>
          <cell r="AI58">
            <v>0</v>
          </cell>
          <cell r="AK58" t="str">
            <v>406 LUBRIFIANTS</v>
          </cell>
          <cell r="AQ58">
            <v>0</v>
          </cell>
          <cell r="AS58" t="str">
            <v>406 LUBRIFIANTS</v>
          </cell>
          <cell r="CD58" t="str">
            <v>406 LUBRIFIANTS</v>
          </cell>
          <cell r="CI58">
            <v>6035</v>
          </cell>
          <cell r="CJ58">
            <v>4050</v>
          </cell>
          <cell r="CK58">
            <v>6547</v>
          </cell>
        </row>
        <row r="59">
          <cell r="B59" t="str">
            <v>407 FOURN. BUREAU</v>
          </cell>
          <cell r="C59">
            <v>10828</v>
          </cell>
          <cell r="D59">
            <v>10828</v>
          </cell>
          <cell r="H59">
            <v>8246</v>
          </cell>
          <cell r="I59">
            <v>8246</v>
          </cell>
          <cell r="K59" t="str">
            <v>407 FOURN. BUREAU</v>
          </cell>
          <cell r="L59">
            <v>403</v>
          </cell>
          <cell r="M59">
            <v>235</v>
          </cell>
          <cell r="N59">
            <v>3755</v>
          </cell>
          <cell r="O59">
            <v>161</v>
          </cell>
          <cell r="P59">
            <v>5274</v>
          </cell>
          <cell r="Q59">
            <v>9828</v>
          </cell>
          <cell r="S59" t="str">
            <v>407 FOURN. BUREAU</v>
          </cell>
          <cell r="T59">
            <v>652</v>
          </cell>
          <cell r="U59">
            <v>1000</v>
          </cell>
          <cell r="V59">
            <v>927</v>
          </cell>
          <cell r="W59">
            <v>453</v>
          </cell>
          <cell r="X59">
            <v>5776</v>
          </cell>
          <cell r="Y59">
            <v>8808</v>
          </cell>
          <cell r="AA59" t="str">
            <v>407 FOURN. BUREAU</v>
          </cell>
          <cell r="AH59">
            <v>6144</v>
          </cell>
          <cell r="AI59">
            <v>6144</v>
          </cell>
          <cell r="AK59" t="str">
            <v>407 FOURN. BUREAU</v>
          </cell>
          <cell r="AM59">
            <v>2615</v>
          </cell>
          <cell r="AN59">
            <v>10249</v>
          </cell>
          <cell r="AP59">
            <v>7999</v>
          </cell>
          <cell r="AQ59">
            <v>20863</v>
          </cell>
          <cell r="AS59" t="str">
            <v>407 FOURN. BUREAU</v>
          </cell>
          <cell r="AT59">
            <v>9000</v>
          </cell>
          <cell r="AV59">
            <v>10380</v>
          </cell>
          <cell r="AW59">
            <v>6920</v>
          </cell>
          <cell r="CD59" t="str">
            <v>407 FOURN. BUREAU</v>
          </cell>
          <cell r="CL59">
            <v>100</v>
          </cell>
        </row>
        <row r="60">
          <cell r="B60" t="str">
            <v>408 ROULEAUX  DE CONV.</v>
          </cell>
          <cell r="D60">
            <v>0</v>
          </cell>
          <cell r="I60">
            <v>0</v>
          </cell>
          <cell r="K60" t="str">
            <v>408 ROULEAUX  DE CONV.</v>
          </cell>
          <cell r="Q60">
            <v>0</v>
          </cell>
          <cell r="S60" t="str">
            <v>408 ROULEAUX  DE CONV.</v>
          </cell>
          <cell r="Y60">
            <v>0</v>
          </cell>
          <cell r="AA60" t="str">
            <v>408 ROULEAUX  DE CONV.</v>
          </cell>
          <cell r="AI60">
            <v>0</v>
          </cell>
          <cell r="AK60" t="str">
            <v>408 ROULEAUX  DE CONV.</v>
          </cell>
          <cell r="AQ60">
            <v>0</v>
          </cell>
          <cell r="AS60" t="str">
            <v>408 ROULEAUX  DE CONV.</v>
          </cell>
          <cell r="CD60" t="str">
            <v>408 ROULEAUX  DE CONV.</v>
          </cell>
          <cell r="CI60">
            <v>60000</v>
          </cell>
          <cell r="CJ60">
            <v>50000</v>
          </cell>
          <cell r="CK60">
            <v>70000</v>
          </cell>
        </row>
        <row r="61">
          <cell r="B61" t="str">
            <v>409 ATRES .MARCH.</v>
          </cell>
          <cell r="C61">
            <v>2800</v>
          </cell>
          <cell r="D61">
            <v>2800</v>
          </cell>
          <cell r="H61">
            <v>14000</v>
          </cell>
          <cell r="I61">
            <v>14000</v>
          </cell>
          <cell r="K61" t="str">
            <v>409 ATRES .MARCH.</v>
          </cell>
          <cell r="L61">
            <v>13700</v>
          </cell>
          <cell r="M61">
            <v>1950</v>
          </cell>
          <cell r="N61">
            <v>5850</v>
          </cell>
          <cell r="O61">
            <v>200</v>
          </cell>
          <cell r="P61">
            <v>2400</v>
          </cell>
          <cell r="Q61">
            <v>24100</v>
          </cell>
          <cell r="S61" t="str">
            <v>409 ATRES .MARCH.</v>
          </cell>
          <cell r="T61">
            <v>44600</v>
          </cell>
          <cell r="U61">
            <v>115000</v>
          </cell>
          <cell r="V61">
            <v>53500</v>
          </cell>
          <cell r="W61">
            <v>140</v>
          </cell>
          <cell r="X61">
            <v>2933</v>
          </cell>
          <cell r="Y61">
            <v>216173</v>
          </cell>
          <cell r="AA61" t="str">
            <v>409 ATRES .MARCH.</v>
          </cell>
          <cell r="AB61">
            <v>6700</v>
          </cell>
          <cell r="AC61">
            <v>7350</v>
          </cell>
          <cell r="AD61">
            <v>6200</v>
          </cell>
          <cell r="AE61">
            <v>5800</v>
          </cell>
          <cell r="AF61">
            <v>10000</v>
          </cell>
          <cell r="AG61">
            <v>3400</v>
          </cell>
          <cell r="AH61">
            <v>3700</v>
          </cell>
          <cell r="AI61">
            <v>43150</v>
          </cell>
          <cell r="AK61" t="str">
            <v>409 ATRES .MARCH.</v>
          </cell>
          <cell r="AL61">
            <v>3300</v>
          </cell>
          <cell r="AM61">
            <v>7000</v>
          </cell>
          <cell r="AN61">
            <v>172600</v>
          </cell>
          <cell r="AP61">
            <v>7000</v>
          </cell>
          <cell r="AQ61">
            <v>189900</v>
          </cell>
          <cell r="AS61" t="str">
            <v>409 ATRES .MARCH.</v>
          </cell>
          <cell r="AT61">
            <v>9000</v>
          </cell>
          <cell r="AU61">
            <v>4000</v>
          </cell>
          <cell r="AV61">
            <v>700</v>
          </cell>
          <cell r="AW61">
            <v>0</v>
          </cell>
          <cell r="CD61" t="str">
            <v>409 ATRES .MARCH.</v>
          </cell>
          <cell r="CI61">
            <v>13000</v>
          </cell>
          <cell r="CJ61">
            <v>57252</v>
          </cell>
          <cell r="CK61">
            <v>3200</v>
          </cell>
        </row>
        <row r="62">
          <cell r="B62" t="str">
            <v>417 P.  DE  RECHANGE</v>
          </cell>
          <cell r="C62">
            <v>122</v>
          </cell>
          <cell r="D62">
            <v>122</v>
          </cell>
          <cell r="I62">
            <v>0</v>
          </cell>
          <cell r="K62" t="str">
            <v>417 P.  DE  RECHANGE</v>
          </cell>
          <cell r="L62">
            <v>95</v>
          </cell>
          <cell r="Q62">
            <v>95</v>
          </cell>
          <cell r="S62" t="str">
            <v>417 P.  DE  RECHANGE</v>
          </cell>
          <cell r="T62">
            <v>5080</v>
          </cell>
          <cell r="U62">
            <v>8700</v>
          </cell>
          <cell r="V62">
            <v>4229</v>
          </cell>
          <cell r="Y62">
            <v>18009</v>
          </cell>
          <cell r="AA62" t="str">
            <v>417 P.  DE  RECHANGE</v>
          </cell>
          <cell r="AH62">
            <v>1056</v>
          </cell>
          <cell r="AI62">
            <v>1056</v>
          </cell>
          <cell r="AK62" t="str">
            <v>417 P.  DE  RECHANGE</v>
          </cell>
          <cell r="AN62">
            <v>1377</v>
          </cell>
          <cell r="AQ62">
            <v>1377</v>
          </cell>
          <cell r="AS62" t="str">
            <v>417 P.  DE  RECHANGE</v>
          </cell>
          <cell r="CD62" t="str">
            <v>417 P.  DE  RECHANGE</v>
          </cell>
          <cell r="CI62">
            <v>18524</v>
          </cell>
          <cell r="CJ62">
            <v>46523</v>
          </cell>
          <cell r="CK62">
            <v>45683</v>
          </cell>
        </row>
        <row r="63">
          <cell r="B63" t="str">
            <v>418 PIECES  AUTO</v>
          </cell>
          <cell r="D63">
            <v>0</v>
          </cell>
          <cell r="I63">
            <v>0</v>
          </cell>
          <cell r="K63" t="str">
            <v>418 PIECES  AUTO</v>
          </cell>
          <cell r="Q63">
            <v>0</v>
          </cell>
          <cell r="S63" t="str">
            <v>418 PIECES  AUTO</v>
          </cell>
          <cell r="Y63">
            <v>0</v>
          </cell>
          <cell r="AA63" t="str">
            <v>418 PIECES  AUTO</v>
          </cell>
          <cell r="AI63">
            <v>0</v>
          </cell>
          <cell r="AK63" t="str">
            <v>418 PIECES  AUTO</v>
          </cell>
          <cell r="AQ63">
            <v>0</v>
          </cell>
          <cell r="AS63" t="str">
            <v>418 PIECES  AUTO</v>
          </cell>
          <cell r="CD63" t="str">
            <v>418 PIECES  AUTO</v>
          </cell>
        </row>
        <row r="64">
          <cell r="B64" t="str">
            <v>419 PETIT OUTILLAGE.</v>
          </cell>
          <cell r="D64">
            <v>0</v>
          </cell>
          <cell r="H64">
            <v>150</v>
          </cell>
          <cell r="I64">
            <v>150</v>
          </cell>
          <cell r="K64" t="str">
            <v>419 PETIT OUTILLAGE.</v>
          </cell>
          <cell r="Q64">
            <v>0</v>
          </cell>
          <cell r="S64" t="str">
            <v>419 PETIT OUTILLAGE.</v>
          </cell>
          <cell r="T64">
            <v>4125</v>
          </cell>
          <cell r="U64">
            <v>1987</v>
          </cell>
          <cell r="V64">
            <v>5242</v>
          </cell>
          <cell r="Y64">
            <v>11354</v>
          </cell>
          <cell r="AA64" t="str">
            <v>419 PETIT OUTILLAGE.</v>
          </cell>
          <cell r="AG64">
            <v>1368</v>
          </cell>
          <cell r="AI64">
            <v>1368</v>
          </cell>
          <cell r="AK64" t="str">
            <v>419 PETIT OUTILLAGE.</v>
          </cell>
          <cell r="AQ64">
            <v>0</v>
          </cell>
          <cell r="AS64" t="str">
            <v>419 PETIT OUTILLAGE.</v>
          </cell>
          <cell r="CD64" t="str">
            <v>419 PETIT OUTILLAGE.</v>
          </cell>
          <cell r="CI64">
            <v>3956</v>
          </cell>
          <cell r="CJ64">
            <v>618</v>
          </cell>
        </row>
        <row r="65">
          <cell r="B65" t="str">
            <v>421 PROD. PHARMAC</v>
          </cell>
          <cell r="C65">
            <v>526</v>
          </cell>
          <cell r="D65">
            <v>526</v>
          </cell>
          <cell r="I65">
            <v>0</v>
          </cell>
          <cell r="K65" t="str">
            <v>421 PROD. PHARMAC</v>
          </cell>
          <cell r="Q65">
            <v>0</v>
          </cell>
          <cell r="S65" t="str">
            <v>421 PROD. PHARMAC</v>
          </cell>
          <cell r="Y65">
            <v>0</v>
          </cell>
          <cell r="AA65" t="str">
            <v>421 PROD. PHARMAC</v>
          </cell>
          <cell r="AI65">
            <v>0</v>
          </cell>
          <cell r="AK65" t="str">
            <v>421 PROD. PHARMAC</v>
          </cell>
          <cell r="AQ65">
            <v>0</v>
          </cell>
          <cell r="AS65" t="str">
            <v>421 PROD. PHARMAC</v>
          </cell>
          <cell r="CD65" t="str">
            <v>421 PROD. PHARMAC</v>
          </cell>
        </row>
        <row r="66">
          <cell r="B66" t="str">
            <v>422 SACHERIE</v>
          </cell>
          <cell r="D66">
            <v>0</v>
          </cell>
          <cell r="I66">
            <v>0</v>
          </cell>
          <cell r="K66" t="str">
            <v>422 SACHERIE</v>
          </cell>
          <cell r="Q66">
            <v>0</v>
          </cell>
          <cell r="S66" t="str">
            <v>422 SACHERIE</v>
          </cell>
          <cell r="Y66">
            <v>0</v>
          </cell>
          <cell r="AA66" t="str">
            <v>422 SACHERIE</v>
          </cell>
          <cell r="AI66">
            <v>0</v>
          </cell>
          <cell r="AK66" t="str">
            <v>422 SACHERIE</v>
          </cell>
          <cell r="AN66">
            <v>19127</v>
          </cell>
          <cell r="AQ66">
            <v>19127</v>
          </cell>
          <cell r="AS66" t="str">
            <v>422 SACHERIE</v>
          </cell>
          <cell r="CD66" t="str">
            <v>422 SACHERIE</v>
          </cell>
        </row>
        <row r="67">
          <cell r="B67" t="str">
            <v>485 FOURNITURE EXT.</v>
          </cell>
          <cell r="C67">
            <v>4958</v>
          </cell>
          <cell r="D67">
            <v>4958</v>
          </cell>
          <cell r="F67">
            <v>9128</v>
          </cell>
          <cell r="I67">
            <v>9128</v>
          </cell>
          <cell r="K67" t="str">
            <v>485 FOURNITURE EXT.</v>
          </cell>
          <cell r="Q67">
            <v>0</v>
          </cell>
          <cell r="S67" t="str">
            <v>485 FOURNITURE EXT.</v>
          </cell>
          <cell r="Y67">
            <v>0</v>
          </cell>
          <cell r="AA67" t="str">
            <v>485 FOURNITURE EXT.</v>
          </cell>
          <cell r="AI67">
            <v>0</v>
          </cell>
          <cell r="AK67" t="str">
            <v>485 FOURNITURE EXT.</v>
          </cell>
          <cell r="AM67">
            <v>192</v>
          </cell>
          <cell r="AN67">
            <v>596</v>
          </cell>
          <cell r="AP67">
            <v>17844</v>
          </cell>
          <cell r="AQ67">
            <v>18632</v>
          </cell>
          <cell r="AS67" t="str">
            <v>485 FOURNITURE EXT.</v>
          </cell>
          <cell r="AU67">
            <v>17000</v>
          </cell>
          <cell r="CD67" t="str">
            <v>485 FOURNITURE EXT.</v>
          </cell>
        </row>
        <row r="68">
          <cell r="B68" t="str">
            <v>486 TRAVAUX EXT.</v>
          </cell>
          <cell r="D68">
            <v>0</v>
          </cell>
          <cell r="I68">
            <v>0</v>
          </cell>
          <cell r="K68" t="str">
            <v>486 TRAVAUX EXT.</v>
          </cell>
          <cell r="Q68">
            <v>0</v>
          </cell>
          <cell r="S68" t="str">
            <v>486 TRAVAUX EXT.</v>
          </cell>
          <cell r="Y68">
            <v>0</v>
          </cell>
          <cell r="AA68" t="str">
            <v>486 TRAVAUX EXT.</v>
          </cell>
          <cell r="AI68">
            <v>0</v>
          </cell>
          <cell r="AK68" t="str">
            <v>486 TRAVAUX EXT.</v>
          </cell>
          <cell r="AQ68">
            <v>0</v>
          </cell>
          <cell r="AS68" t="str">
            <v>486 TRAVAUX EXT.</v>
          </cell>
          <cell r="CD68" t="str">
            <v>486 TRAVAUX EXT.</v>
          </cell>
        </row>
        <row r="69">
          <cell r="B69" t="str">
            <v>490 MAZOUT.  CHAUFFE</v>
          </cell>
          <cell r="D69">
            <v>0</v>
          </cell>
          <cell r="I69">
            <v>0</v>
          </cell>
          <cell r="K69" t="str">
            <v>490 MAZOUT.  CHAUFFE</v>
          </cell>
          <cell r="Q69">
            <v>0</v>
          </cell>
          <cell r="S69" t="str">
            <v>490 MAZOUT.  CHAUFFE</v>
          </cell>
          <cell r="Y69">
            <v>0</v>
          </cell>
          <cell r="AA69" t="str">
            <v>490 MAZOUT.  CHAUFFE</v>
          </cell>
          <cell r="AI69">
            <v>0</v>
          </cell>
          <cell r="AK69" t="str">
            <v>490 MAZOUT.  CHAUFFE</v>
          </cell>
          <cell r="AQ69">
            <v>0</v>
          </cell>
          <cell r="AS69" t="str">
            <v>490 MAZOUT.  CHAUFFE</v>
          </cell>
          <cell r="CD69" t="str">
            <v>490 MAZOUT.  CHAUFFE</v>
          </cell>
        </row>
        <row r="70">
          <cell r="B70" t="str">
            <v>492 GAZ  DE  CHAUFFE</v>
          </cell>
          <cell r="D70">
            <v>0</v>
          </cell>
          <cell r="I70">
            <v>0</v>
          </cell>
          <cell r="K70" t="str">
            <v>492 GAZ  DE  CHAUFFE</v>
          </cell>
          <cell r="Q70">
            <v>0</v>
          </cell>
          <cell r="S70" t="str">
            <v>492 GAZ  DE  CHAUFFE</v>
          </cell>
          <cell r="Y70">
            <v>0</v>
          </cell>
          <cell r="AA70" t="str">
            <v>492 GAZ  DE  CHAUFFE</v>
          </cell>
          <cell r="AI70">
            <v>0</v>
          </cell>
          <cell r="AK70" t="str">
            <v>492 GAZ  DE  CHAUFFE</v>
          </cell>
          <cell r="AQ70">
            <v>0</v>
          </cell>
          <cell r="AS70" t="str">
            <v>492 GAZ  DE  CHAUFFE</v>
          </cell>
          <cell r="CD70" t="str">
            <v>492 GAZ  DE  CHAUFFE</v>
          </cell>
        </row>
        <row r="71">
          <cell r="B71" t="str">
            <v>TOT.MARCH 4**</v>
          </cell>
          <cell r="C71">
            <v>19234</v>
          </cell>
          <cell r="D71">
            <v>19234</v>
          </cell>
          <cell r="F71">
            <v>9232</v>
          </cell>
          <cell r="G71">
            <v>0</v>
          </cell>
          <cell r="H71">
            <v>22942</v>
          </cell>
          <cell r="I71">
            <v>32174</v>
          </cell>
          <cell r="K71" t="str">
            <v>TOT.MARCH 4**</v>
          </cell>
          <cell r="L71">
            <v>14198</v>
          </cell>
          <cell r="M71">
            <v>2185</v>
          </cell>
          <cell r="N71">
            <v>9709</v>
          </cell>
          <cell r="O71">
            <v>361</v>
          </cell>
          <cell r="P71">
            <v>7775</v>
          </cell>
          <cell r="Q71">
            <v>34228</v>
          </cell>
          <cell r="S71" t="str">
            <v>TOT.MARCH 4**</v>
          </cell>
          <cell r="T71">
            <v>54457</v>
          </cell>
          <cell r="U71">
            <v>126687</v>
          </cell>
          <cell r="V71">
            <v>74384</v>
          </cell>
          <cell r="W71">
            <v>593</v>
          </cell>
          <cell r="X71">
            <v>8918</v>
          </cell>
          <cell r="Y71">
            <v>265039</v>
          </cell>
          <cell r="AA71" t="str">
            <v>TOT.MARCH 4**</v>
          </cell>
          <cell r="AB71">
            <v>6700</v>
          </cell>
          <cell r="AC71">
            <v>7350</v>
          </cell>
          <cell r="AD71">
            <v>6200</v>
          </cell>
          <cell r="AE71">
            <v>5800</v>
          </cell>
          <cell r="AF71">
            <v>10000</v>
          </cell>
          <cell r="AG71">
            <v>4768</v>
          </cell>
          <cell r="AH71">
            <v>10900</v>
          </cell>
          <cell r="AI71">
            <v>51718</v>
          </cell>
          <cell r="AK71" t="str">
            <v>TOT.MARCH 4**</v>
          </cell>
          <cell r="AL71">
            <v>3300</v>
          </cell>
          <cell r="AM71">
            <v>9807</v>
          </cell>
          <cell r="AN71">
            <v>203949</v>
          </cell>
          <cell r="AO71">
            <v>0</v>
          </cell>
          <cell r="AP71">
            <v>32932</v>
          </cell>
          <cell r="AQ71">
            <v>249988</v>
          </cell>
          <cell r="AS71" t="str">
            <v>TOT.MARCH 4**</v>
          </cell>
          <cell r="AT71">
            <v>18000</v>
          </cell>
          <cell r="AU71">
            <v>28000</v>
          </cell>
          <cell r="AV71">
            <v>11080</v>
          </cell>
          <cell r="AW71">
            <v>6920</v>
          </cell>
          <cell r="CD71" t="str">
            <v>TOT.MARCH 4**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101515</v>
          </cell>
          <cell r="CJ71">
            <v>806599</v>
          </cell>
          <cell r="CK71">
            <v>325430</v>
          </cell>
          <cell r="CL71">
            <v>100</v>
          </cell>
        </row>
        <row r="72">
          <cell r="B72" t="str">
            <v>510  ENTRETIEN</v>
          </cell>
          <cell r="C72">
            <v>12000</v>
          </cell>
          <cell r="D72">
            <v>12000</v>
          </cell>
          <cell r="I72">
            <v>0</v>
          </cell>
          <cell r="K72" t="str">
            <v>510  ENTRETIEN</v>
          </cell>
          <cell r="Q72">
            <v>0</v>
          </cell>
          <cell r="S72" t="str">
            <v>510  ENTRETIEN</v>
          </cell>
          <cell r="Y72">
            <v>0</v>
          </cell>
          <cell r="AA72" t="str">
            <v>510  ENTRETIEN</v>
          </cell>
          <cell r="AI72">
            <v>0</v>
          </cell>
          <cell r="AK72" t="str">
            <v>510  ENTRETIEN</v>
          </cell>
          <cell r="AQ72">
            <v>0</v>
          </cell>
          <cell r="AS72" t="str">
            <v>510  ENTRETIEN</v>
          </cell>
          <cell r="AT72">
            <v>3000</v>
          </cell>
          <cell r="AV72">
            <v>1000</v>
          </cell>
          <cell r="CD72" t="str">
            <v>510  ENTRETIEN</v>
          </cell>
        </row>
        <row r="73">
          <cell r="B73" t="str">
            <v xml:space="preserve">511  REPARATION </v>
          </cell>
          <cell r="D73">
            <v>0</v>
          </cell>
          <cell r="I73">
            <v>0</v>
          </cell>
          <cell r="K73" t="str">
            <v xml:space="preserve">511  REPARATION </v>
          </cell>
          <cell r="Q73">
            <v>0</v>
          </cell>
          <cell r="S73" t="str">
            <v xml:space="preserve">511  REPARATION </v>
          </cell>
          <cell r="Y73">
            <v>0</v>
          </cell>
          <cell r="AA73" t="str">
            <v xml:space="preserve">511  REPARATION </v>
          </cell>
          <cell r="AI73">
            <v>0</v>
          </cell>
          <cell r="AK73" t="str">
            <v xml:space="preserve">511  REPARATION </v>
          </cell>
          <cell r="AN73">
            <v>45000</v>
          </cell>
          <cell r="AQ73">
            <v>45000</v>
          </cell>
          <cell r="AS73" t="str">
            <v xml:space="preserve">511  REPARATION </v>
          </cell>
          <cell r="CD73" t="str">
            <v xml:space="preserve">511  REPARATION </v>
          </cell>
        </row>
        <row r="74">
          <cell r="B74" t="str">
            <v>540  ASSURANCE</v>
          </cell>
          <cell r="D74">
            <v>0</v>
          </cell>
          <cell r="I74">
            <v>0</v>
          </cell>
          <cell r="K74" t="str">
            <v>540  ASSURANCE</v>
          </cell>
          <cell r="Q74">
            <v>0</v>
          </cell>
          <cell r="S74" t="str">
            <v>540  ASSURANCE</v>
          </cell>
          <cell r="Y74">
            <v>0</v>
          </cell>
          <cell r="AA74" t="str">
            <v>540  ASSURANCE</v>
          </cell>
          <cell r="AI74">
            <v>0</v>
          </cell>
          <cell r="AK74" t="str">
            <v>540  ASSURANCE</v>
          </cell>
          <cell r="AQ74">
            <v>0</v>
          </cell>
          <cell r="AS74" t="str">
            <v>540  ASSURANCE</v>
          </cell>
          <cell r="CD74" t="str">
            <v>540  ASSURANCE</v>
          </cell>
        </row>
        <row r="75">
          <cell r="B75" t="str">
            <v>550  CERPHOS</v>
          </cell>
          <cell r="D75">
            <v>0</v>
          </cell>
          <cell r="I75">
            <v>0</v>
          </cell>
          <cell r="K75" t="str">
            <v>550  CERPHOS</v>
          </cell>
          <cell r="Q75">
            <v>0</v>
          </cell>
          <cell r="S75" t="str">
            <v>550  CERPHOS</v>
          </cell>
          <cell r="Y75">
            <v>0</v>
          </cell>
          <cell r="AA75" t="str">
            <v>550  CERPHOS</v>
          </cell>
          <cell r="AI75">
            <v>0</v>
          </cell>
          <cell r="AK75" t="str">
            <v>550  CERPHOS</v>
          </cell>
          <cell r="AQ75">
            <v>0</v>
          </cell>
          <cell r="AS75" t="str">
            <v>550  CERPHOS</v>
          </cell>
          <cell r="CD75" t="str">
            <v>550  CERPHOS</v>
          </cell>
        </row>
        <row r="76">
          <cell r="B76" t="str">
            <v>551  DOC. GENERALE</v>
          </cell>
          <cell r="D76">
            <v>0</v>
          </cell>
          <cell r="I76">
            <v>0</v>
          </cell>
          <cell r="K76" t="str">
            <v>551  DOC. GENERALE</v>
          </cell>
          <cell r="Q76">
            <v>0</v>
          </cell>
          <cell r="S76" t="str">
            <v>551  DOC. GENERALE</v>
          </cell>
          <cell r="Y76">
            <v>0</v>
          </cell>
          <cell r="AA76" t="str">
            <v>551  DOC. GENERALE</v>
          </cell>
          <cell r="AI76">
            <v>0</v>
          </cell>
          <cell r="AK76" t="str">
            <v>551  DOC. GENERALE</v>
          </cell>
          <cell r="AQ76">
            <v>0</v>
          </cell>
          <cell r="AS76" t="str">
            <v>551  DOC. GENERALE</v>
          </cell>
          <cell r="AU76">
            <v>2500</v>
          </cell>
          <cell r="CD76" t="str">
            <v>551  DOC. GENERALE</v>
          </cell>
        </row>
        <row r="77">
          <cell r="B77" t="str">
            <v>560  SOTREG</v>
          </cell>
          <cell r="D77">
            <v>0</v>
          </cell>
          <cell r="I77">
            <v>0</v>
          </cell>
          <cell r="K77" t="str">
            <v>560  SOTREG</v>
          </cell>
          <cell r="Q77">
            <v>0</v>
          </cell>
          <cell r="S77" t="str">
            <v>560  SOTREG</v>
          </cell>
          <cell r="Y77">
            <v>0</v>
          </cell>
          <cell r="AA77" t="str">
            <v>560  SOTREG</v>
          </cell>
          <cell r="AI77">
            <v>0</v>
          </cell>
          <cell r="AK77" t="str">
            <v>560  SOTREG</v>
          </cell>
          <cell r="AQ77">
            <v>0</v>
          </cell>
          <cell r="AS77" t="str">
            <v>560  SOTREG</v>
          </cell>
          <cell r="CD77" t="str">
            <v>560  SOTREG</v>
          </cell>
        </row>
        <row r="78">
          <cell r="B78" t="str">
            <v>561  DEPLAC.PERSON.</v>
          </cell>
          <cell r="D78">
            <v>0</v>
          </cell>
          <cell r="F78">
            <v>3000</v>
          </cell>
          <cell r="I78">
            <v>3000</v>
          </cell>
          <cell r="K78" t="str">
            <v>561  DEPLAC.PERSON.</v>
          </cell>
          <cell r="M78">
            <v>1500</v>
          </cell>
          <cell r="O78">
            <v>700</v>
          </cell>
          <cell r="Q78">
            <v>2200</v>
          </cell>
          <cell r="S78" t="str">
            <v>561  DEPLAC.PERSON.</v>
          </cell>
          <cell r="T78">
            <v>100</v>
          </cell>
          <cell r="U78">
            <v>300</v>
          </cell>
          <cell r="X78">
            <v>1600</v>
          </cell>
          <cell r="Y78">
            <v>2000</v>
          </cell>
          <cell r="AA78" t="str">
            <v>561  DEPLAC.PERSON.</v>
          </cell>
          <cell r="AB78">
            <v>1700</v>
          </cell>
          <cell r="AC78">
            <v>3700</v>
          </cell>
          <cell r="AD78">
            <v>9000</v>
          </cell>
          <cell r="AE78">
            <v>3400</v>
          </cell>
          <cell r="AF78">
            <v>1700</v>
          </cell>
          <cell r="AG78">
            <v>2500</v>
          </cell>
          <cell r="AH78">
            <v>9500</v>
          </cell>
          <cell r="AI78">
            <v>31500</v>
          </cell>
          <cell r="AK78" t="str">
            <v>561  DEPLAC.PERSON.</v>
          </cell>
          <cell r="AM78">
            <v>1700</v>
          </cell>
          <cell r="AN78">
            <v>3000</v>
          </cell>
          <cell r="AQ78">
            <v>4700</v>
          </cell>
          <cell r="AS78" t="str">
            <v>561  DEPLAC.PERSON.</v>
          </cell>
          <cell r="AU78">
            <v>29000</v>
          </cell>
          <cell r="CD78" t="str">
            <v>561  DEPLAC.PERSON.</v>
          </cell>
        </row>
        <row r="79">
          <cell r="B79" t="str">
            <v>569  TRANSP. PHOSPHATE</v>
          </cell>
          <cell r="D79">
            <v>0</v>
          </cell>
          <cell r="I79">
            <v>0</v>
          </cell>
          <cell r="K79" t="str">
            <v>569  TRANSP. PHOSPHATE</v>
          </cell>
          <cell r="Q79">
            <v>0</v>
          </cell>
          <cell r="S79" t="str">
            <v>569  TRANSP. PHOSPHATE</v>
          </cell>
          <cell r="Y79">
            <v>0</v>
          </cell>
          <cell r="AA79" t="str">
            <v>569  TRANSP. PHOSPHATE</v>
          </cell>
          <cell r="AI79">
            <v>0</v>
          </cell>
          <cell r="AK79" t="str">
            <v>569  TRANSP. PHOSPHATE</v>
          </cell>
          <cell r="AQ79">
            <v>0</v>
          </cell>
          <cell r="AS79" t="str">
            <v>569  TRANSP. PHOSPHATE</v>
          </cell>
          <cell r="CD79" t="str">
            <v>569  TRANSP. PHOSPHATE</v>
          </cell>
          <cell r="CH79">
            <v>10774935.714285715</v>
          </cell>
        </row>
        <row r="80">
          <cell r="B80" t="str">
            <v>571  MISSIONS &amp; RECEPTIONS</v>
          </cell>
          <cell r="D80">
            <v>0</v>
          </cell>
          <cell r="I80">
            <v>0</v>
          </cell>
          <cell r="K80" t="str">
            <v>571  MISSIONS &amp; RECEPTIONS</v>
          </cell>
          <cell r="Q80">
            <v>0</v>
          </cell>
          <cell r="S80" t="str">
            <v>571  MISSIONS &amp; RECEPTIONS</v>
          </cell>
          <cell r="Y80">
            <v>0</v>
          </cell>
          <cell r="AA80" t="str">
            <v>571  MISSIONS &amp; RECEPTIONS</v>
          </cell>
          <cell r="AI80">
            <v>0</v>
          </cell>
          <cell r="AK80" t="str">
            <v>571  MISSIONS &amp; RECEPTIONS</v>
          </cell>
          <cell r="AQ80">
            <v>0</v>
          </cell>
          <cell r="AS80" t="str">
            <v>571  MISSIONS &amp; RECEPTIONS</v>
          </cell>
          <cell r="AU80">
            <v>5500</v>
          </cell>
          <cell r="CD80" t="str">
            <v>571  MISSIONS &amp; RECEPTIONS</v>
          </cell>
        </row>
        <row r="81">
          <cell r="B81" t="str">
            <v>581  TELEPHONE</v>
          </cell>
          <cell r="D81">
            <v>0</v>
          </cell>
          <cell r="I81">
            <v>0</v>
          </cell>
          <cell r="K81" t="str">
            <v>581  TELEPHONE</v>
          </cell>
          <cell r="Q81">
            <v>0</v>
          </cell>
          <cell r="S81" t="str">
            <v>581  TELEPHONE</v>
          </cell>
          <cell r="Y81">
            <v>0</v>
          </cell>
          <cell r="AA81" t="str">
            <v>581  TELEPHONE</v>
          </cell>
          <cell r="AI81">
            <v>0</v>
          </cell>
          <cell r="AK81" t="str">
            <v>581  TELEPHONE</v>
          </cell>
          <cell r="AQ81">
            <v>0</v>
          </cell>
          <cell r="AS81" t="str">
            <v>581  TELEPHONE</v>
          </cell>
          <cell r="AU81">
            <v>7000</v>
          </cell>
          <cell r="CD81" t="str">
            <v>581  TELEPHONE</v>
          </cell>
        </row>
        <row r="82">
          <cell r="B82" t="str">
            <v>589  AUTRES CHARGES EXT.</v>
          </cell>
          <cell r="D82">
            <v>0</v>
          </cell>
          <cell r="I82">
            <v>0</v>
          </cell>
          <cell r="K82" t="str">
            <v>589  AUTRES CHARGES EXT.</v>
          </cell>
          <cell r="Q82">
            <v>0</v>
          </cell>
          <cell r="S82" t="str">
            <v>589  AUTRES CHARGES EXT.</v>
          </cell>
          <cell r="Y82">
            <v>0</v>
          </cell>
          <cell r="AA82" t="str">
            <v>589  AUTRES CHARGES EXT.</v>
          </cell>
          <cell r="AI82">
            <v>0</v>
          </cell>
          <cell r="AK82" t="str">
            <v>589  AUTRES CHARGES EXT.</v>
          </cell>
          <cell r="AQ82">
            <v>0</v>
          </cell>
          <cell r="AS82" t="str">
            <v>589  AUTRES CHARGES EXT.</v>
          </cell>
          <cell r="CD82" t="str">
            <v>589  AUTRES CHARGES EXT.</v>
          </cell>
        </row>
        <row r="83">
          <cell r="B83" t="str">
            <v xml:space="preserve">5** </v>
          </cell>
          <cell r="C83">
            <v>12000</v>
          </cell>
          <cell r="D83">
            <v>12000</v>
          </cell>
          <cell r="F83">
            <v>3000</v>
          </cell>
          <cell r="G83">
            <v>0</v>
          </cell>
          <cell r="H83">
            <v>0</v>
          </cell>
          <cell r="I83">
            <v>3000</v>
          </cell>
          <cell r="K83" t="str">
            <v xml:space="preserve">5** </v>
          </cell>
          <cell r="L83">
            <v>0</v>
          </cell>
          <cell r="M83">
            <v>1500</v>
          </cell>
          <cell r="N83">
            <v>0</v>
          </cell>
          <cell r="O83">
            <v>700</v>
          </cell>
          <cell r="P83">
            <v>0</v>
          </cell>
          <cell r="Q83">
            <v>2200</v>
          </cell>
          <cell r="S83" t="str">
            <v xml:space="preserve">5** </v>
          </cell>
          <cell r="T83">
            <v>100</v>
          </cell>
          <cell r="U83">
            <v>300</v>
          </cell>
          <cell r="V83">
            <v>0</v>
          </cell>
          <cell r="W83">
            <v>0</v>
          </cell>
          <cell r="X83">
            <v>1600</v>
          </cell>
          <cell r="Y83">
            <v>2000</v>
          </cell>
          <cell r="AA83" t="str">
            <v xml:space="preserve">5** </v>
          </cell>
          <cell r="AB83">
            <v>1700</v>
          </cell>
          <cell r="AC83">
            <v>3700</v>
          </cell>
          <cell r="AD83">
            <v>9000</v>
          </cell>
          <cell r="AE83">
            <v>3400</v>
          </cell>
          <cell r="AF83">
            <v>1700</v>
          </cell>
          <cell r="AG83">
            <v>2500</v>
          </cell>
          <cell r="AH83">
            <v>9500</v>
          </cell>
          <cell r="AI83">
            <v>31500</v>
          </cell>
          <cell r="AK83" t="str">
            <v xml:space="preserve">5** </v>
          </cell>
          <cell r="AL83">
            <v>0</v>
          </cell>
          <cell r="AM83">
            <v>1700</v>
          </cell>
          <cell r="AN83">
            <v>48000</v>
          </cell>
          <cell r="AO83">
            <v>0</v>
          </cell>
          <cell r="AP83">
            <v>0</v>
          </cell>
          <cell r="AQ83">
            <v>49700</v>
          </cell>
          <cell r="AS83" t="str">
            <v xml:space="preserve">5** </v>
          </cell>
          <cell r="AT83">
            <v>3000</v>
          </cell>
          <cell r="AU83">
            <v>44000</v>
          </cell>
          <cell r="AV83">
            <v>1000</v>
          </cell>
          <cell r="AW83">
            <v>0</v>
          </cell>
          <cell r="CD83" t="str">
            <v xml:space="preserve">5** </v>
          </cell>
          <cell r="CE83">
            <v>0</v>
          </cell>
          <cell r="CF83">
            <v>0</v>
          </cell>
          <cell r="CG83">
            <v>0</v>
          </cell>
          <cell r="CH83">
            <v>10774935.714285715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</row>
        <row r="84">
          <cell r="B84" t="str">
            <v>680  LOCATION</v>
          </cell>
          <cell r="C84">
            <v>16301</v>
          </cell>
          <cell r="D84">
            <v>16301</v>
          </cell>
          <cell r="F84">
            <v>14014</v>
          </cell>
          <cell r="G84">
            <v>23978</v>
          </cell>
          <cell r="H84">
            <v>0</v>
          </cell>
          <cell r="I84">
            <v>37992</v>
          </cell>
          <cell r="K84" t="str">
            <v>680  LOCATION</v>
          </cell>
          <cell r="L84">
            <v>19264</v>
          </cell>
          <cell r="M84">
            <v>24779</v>
          </cell>
          <cell r="P84">
            <v>72</v>
          </cell>
          <cell r="Q84">
            <v>44115</v>
          </cell>
          <cell r="S84" t="str">
            <v>680  LOCATION</v>
          </cell>
          <cell r="T84">
            <v>3436</v>
          </cell>
          <cell r="U84">
            <v>6922</v>
          </cell>
          <cell r="V84">
            <v>7534</v>
          </cell>
          <cell r="W84">
            <v>14487</v>
          </cell>
          <cell r="X84">
            <v>6272</v>
          </cell>
          <cell r="Y84">
            <v>38651</v>
          </cell>
          <cell r="AA84" t="str">
            <v>680  LOCATION</v>
          </cell>
          <cell r="AB84">
            <v>16</v>
          </cell>
          <cell r="AC84">
            <v>268</v>
          </cell>
          <cell r="AD84">
            <v>0</v>
          </cell>
          <cell r="AE84">
            <v>5614</v>
          </cell>
          <cell r="AF84">
            <v>1728</v>
          </cell>
          <cell r="AG84">
            <v>8010</v>
          </cell>
          <cell r="AH84">
            <v>36108</v>
          </cell>
          <cell r="AI84">
            <v>51743</v>
          </cell>
          <cell r="AK84" t="str">
            <v>680  LOCATION</v>
          </cell>
          <cell r="AL84">
            <v>11038</v>
          </cell>
          <cell r="AM84">
            <v>4225</v>
          </cell>
          <cell r="AN84">
            <v>59598</v>
          </cell>
          <cell r="AQ84">
            <v>74861</v>
          </cell>
          <cell r="AS84" t="str">
            <v>680  LOCATION</v>
          </cell>
          <cell r="AT84">
            <v>15400</v>
          </cell>
          <cell r="AU84">
            <v>129300</v>
          </cell>
          <cell r="AV84">
            <v>10500</v>
          </cell>
          <cell r="CD84" t="str">
            <v>680  LOCATION</v>
          </cell>
          <cell r="CE84">
            <v>13512</v>
          </cell>
          <cell r="CG84">
            <v>373628</v>
          </cell>
          <cell r="CH84">
            <v>1194</v>
          </cell>
          <cell r="CI84">
            <v>807251</v>
          </cell>
          <cell r="CJ84">
            <v>21273</v>
          </cell>
          <cell r="CK84">
            <v>10455</v>
          </cell>
          <cell r="CL84">
            <v>0</v>
          </cell>
        </row>
        <row r="85">
          <cell r="B85" t="str">
            <v>TOTAL  DEPENSES</v>
          </cell>
          <cell r="C85">
            <v>200407</v>
          </cell>
          <cell r="D85">
            <v>200407</v>
          </cell>
          <cell r="F85">
            <v>516923.85</v>
          </cell>
          <cell r="G85">
            <v>787962.60000000009</v>
          </cell>
          <cell r="H85">
            <v>88305.75</v>
          </cell>
          <cell r="I85">
            <v>1393192.2000000002</v>
          </cell>
          <cell r="K85" t="str">
            <v>TOTAL  DEPENSES</v>
          </cell>
          <cell r="L85">
            <v>710111.8</v>
          </cell>
          <cell r="M85">
            <v>680262.14999999991</v>
          </cell>
          <cell r="N85">
            <v>9709</v>
          </cell>
          <cell r="O85">
            <v>195625.75</v>
          </cell>
          <cell r="P85">
            <v>865369.65</v>
          </cell>
          <cell r="Q85">
            <v>2461078.35</v>
          </cell>
          <cell r="S85" t="str">
            <v>TOTAL  DEPENSES</v>
          </cell>
          <cell r="T85">
            <v>1459042.1</v>
          </cell>
          <cell r="U85">
            <v>2960948.0599999996</v>
          </cell>
          <cell r="V85">
            <v>745994.71000000008</v>
          </cell>
          <cell r="W85">
            <v>131740.13</v>
          </cell>
          <cell r="X85">
            <v>1128999.6000000001</v>
          </cell>
          <cell r="Y85">
            <v>6426724.5999999996</v>
          </cell>
          <cell r="AA85" t="str">
            <v>TOTAL  DEPENSES</v>
          </cell>
          <cell r="AB85">
            <v>751902.2</v>
          </cell>
          <cell r="AC85">
            <v>978607.99999999988</v>
          </cell>
          <cell r="AD85">
            <v>897104</v>
          </cell>
          <cell r="AE85">
            <v>948063.6</v>
          </cell>
          <cell r="AF85">
            <v>1534125.3000000003</v>
          </cell>
          <cell r="AG85">
            <v>871480.70000000007</v>
          </cell>
          <cell r="AH85">
            <v>827685</v>
          </cell>
          <cell r="AI85">
            <v>6808968.7999999998</v>
          </cell>
          <cell r="AK85" t="str">
            <v>TOTAL  DEPENSES</v>
          </cell>
          <cell r="AL85">
            <v>265005</v>
          </cell>
          <cell r="AM85">
            <v>862405</v>
          </cell>
          <cell r="AN85">
            <v>2652194</v>
          </cell>
          <cell r="AO85">
            <v>0</v>
          </cell>
          <cell r="AP85">
            <v>72932</v>
          </cell>
          <cell r="AQ85">
            <v>3852536</v>
          </cell>
          <cell r="AS85" t="str">
            <v>TOTAL  DEPENSES</v>
          </cell>
          <cell r="AT85">
            <v>354400</v>
          </cell>
          <cell r="AU85">
            <v>307100</v>
          </cell>
          <cell r="AV85">
            <v>376440</v>
          </cell>
          <cell r="AW85">
            <v>239960</v>
          </cell>
          <cell r="CD85" t="str">
            <v>TOTAL  DEPENSES</v>
          </cell>
          <cell r="CE85">
            <v>13512</v>
          </cell>
          <cell r="CF85">
            <v>0</v>
          </cell>
          <cell r="CG85">
            <v>373628</v>
          </cell>
          <cell r="CH85">
            <v>11735340.239285715</v>
          </cell>
          <cell r="CI85">
            <v>2510498.3600000003</v>
          </cell>
          <cell r="CJ85">
            <v>2718018.8</v>
          </cell>
          <cell r="CK85">
            <v>1055722.6200000001</v>
          </cell>
          <cell r="CL85">
            <v>310766.12</v>
          </cell>
        </row>
        <row r="86">
          <cell r="S86">
            <v>730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AA86">
            <v>730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K86">
            <v>730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S86">
            <v>730</v>
          </cell>
          <cell r="CD86">
            <v>730</v>
          </cell>
          <cell r="CE86">
            <v>0</v>
          </cell>
          <cell r="CF86">
            <v>0</v>
          </cell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L86">
            <v>0</v>
          </cell>
        </row>
        <row r="87">
          <cell r="S87" t="str">
            <v>820</v>
          </cell>
          <cell r="T87">
            <v>1666812</v>
          </cell>
          <cell r="U87">
            <v>3774912</v>
          </cell>
          <cell r="V87">
            <v>867231</v>
          </cell>
          <cell r="W87">
            <v>117770</v>
          </cell>
          <cell r="X87">
            <v>0</v>
          </cell>
          <cell r="Y87">
            <v>6426725</v>
          </cell>
          <cell r="AA87" t="str">
            <v>820</v>
          </cell>
          <cell r="AB87">
            <v>1109726</v>
          </cell>
          <cell r="AC87">
            <v>937299</v>
          </cell>
          <cell r="AD87">
            <v>836431</v>
          </cell>
          <cell r="AE87">
            <v>836430</v>
          </cell>
          <cell r="AF87">
            <v>1790082</v>
          </cell>
          <cell r="AG87">
            <v>1299001</v>
          </cell>
          <cell r="AH87">
            <v>0</v>
          </cell>
          <cell r="AI87">
            <v>6808969</v>
          </cell>
          <cell r="AK87" t="str">
            <v>820</v>
          </cell>
          <cell r="AL87">
            <v>0</v>
          </cell>
          <cell r="AM87">
            <v>0</v>
          </cell>
          <cell r="AN87">
            <v>2122162</v>
          </cell>
          <cell r="AO87">
            <v>0</v>
          </cell>
          <cell r="AP87">
            <v>0</v>
          </cell>
          <cell r="AQ87">
            <v>2122162</v>
          </cell>
          <cell r="AS87" t="str">
            <v>820</v>
          </cell>
          <cell r="CD87" t="str">
            <v>820</v>
          </cell>
          <cell r="CE87">
            <v>0</v>
          </cell>
          <cell r="CF87">
            <v>0</v>
          </cell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</row>
        <row r="88">
          <cell r="S88" t="str">
            <v>830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AA88" t="str">
            <v>830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K88" t="str">
            <v>830</v>
          </cell>
          <cell r="AL88">
            <v>0</v>
          </cell>
          <cell r="AM88">
            <v>0</v>
          </cell>
          <cell r="AN88">
            <v>530032</v>
          </cell>
          <cell r="AO88">
            <v>0</v>
          </cell>
          <cell r="AP88">
            <v>0</v>
          </cell>
          <cell r="AQ88">
            <v>530032</v>
          </cell>
          <cell r="AS88" t="str">
            <v>830</v>
          </cell>
          <cell r="CD88" t="str">
            <v>830</v>
          </cell>
          <cell r="CE88">
            <v>0</v>
          </cell>
          <cell r="CF88">
            <v>0</v>
          </cell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</row>
        <row r="89">
          <cell r="S89" t="str">
            <v>8**</v>
          </cell>
          <cell r="T89">
            <v>1666812</v>
          </cell>
          <cell r="U89">
            <v>3774912</v>
          </cell>
          <cell r="V89">
            <v>867231</v>
          </cell>
          <cell r="W89">
            <v>117770</v>
          </cell>
          <cell r="X89">
            <v>0</v>
          </cell>
          <cell r="Y89">
            <v>6426725</v>
          </cell>
          <cell r="AA89" t="str">
            <v>8**</v>
          </cell>
          <cell r="AB89">
            <v>1109726</v>
          </cell>
          <cell r="AC89">
            <v>937299</v>
          </cell>
          <cell r="AD89">
            <v>836431</v>
          </cell>
          <cell r="AE89">
            <v>836430</v>
          </cell>
          <cell r="AF89">
            <v>1790082</v>
          </cell>
          <cell r="AG89">
            <v>1299001</v>
          </cell>
          <cell r="AH89">
            <v>0</v>
          </cell>
          <cell r="AI89">
            <v>6808969</v>
          </cell>
          <cell r="AK89" t="str">
            <v>8**</v>
          </cell>
          <cell r="AL89">
            <v>0</v>
          </cell>
          <cell r="AM89">
            <v>0</v>
          </cell>
          <cell r="AN89">
            <v>2652194</v>
          </cell>
          <cell r="AO89">
            <v>0</v>
          </cell>
          <cell r="AP89">
            <v>0</v>
          </cell>
          <cell r="AQ89">
            <v>2652194</v>
          </cell>
          <cell r="AS89" t="str">
            <v>8**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CD89" t="str">
            <v>8**</v>
          </cell>
          <cell r="CE89">
            <v>0</v>
          </cell>
          <cell r="CF89">
            <v>0</v>
          </cell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</row>
        <row r="90">
          <cell r="S90" t="str">
            <v xml:space="preserve">TOTAL </v>
          </cell>
          <cell r="T90">
            <v>-207769.89999999991</v>
          </cell>
          <cell r="U90">
            <v>-813963.94000000041</v>
          </cell>
          <cell r="V90">
            <v>-121236.28999999992</v>
          </cell>
          <cell r="W90">
            <v>13970.130000000005</v>
          </cell>
          <cell r="X90">
            <v>1128999.6000000001</v>
          </cell>
          <cell r="Y90">
            <v>-0.40000000037252903</v>
          </cell>
          <cell r="AA90" t="str">
            <v xml:space="preserve">TOTAL </v>
          </cell>
          <cell r="AB90">
            <v>-357823.80000000005</v>
          </cell>
          <cell r="AC90">
            <v>41308.999999999884</v>
          </cell>
          <cell r="AD90">
            <v>60673</v>
          </cell>
          <cell r="AE90">
            <v>111633.59999999998</v>
          </cell>
          <cell r="AF90">
            <v>-255956.69999999972</v>
          </cell>
          <cell r="AG90">
            <v>-427520.29999999993</v>
          </cell>
          <cell r="AH90">
            <v>827685</v>
          </cell>
          <cell r="AI90">
            <v>-0.19999999983701855</v>
          </cell>
          <cell r="AK90" t="str">
            <v xml:space="preserve">TOTAL </v>
          </cell>
          <cell r="AL90">
            <v>265005</v>
          </cell>
          <cell r="AM90">
            <v>862405</v>
          </cell>
          <cell r="AN90">
            <v>0</v>
          </cell>
          <cell r="AO90">
            <v>0</v>
          </cell>
          <cell r="AP90">
            <v>72932</v>
          </cell>
          <cell r="AQ90">
            <v>1200342</v>
          </cell>
          <cell r="AS90" t="str">
            <v>TOTAL - RECETTES</v>
          </cell>
          <cell r="AT90">
            <v>354400</v>
          </cell>
          <cell r="AU90">
            <v>307100</v>
          </cell>
          <cell r="AV90">
            <v>376440</v>
          </cell>
          <cell r="AW90">
            <v>239960</v>
          </cell>
          <cell r="CD90" t="str">
            <v xml:space="preserve">TOTAL </v>
          </cell>
          <cell r="CE90">
            <v>13512</v>
          </cell>
          <cell r="CF90">
            <v>0</v>
          </cell>
          <cell r="CG90">
            <v>373628</v>
          </cell>
          <cell r="CH90">
            <v>11735340.239285715</v>
          </cell>
          <cell r="CI90">
            <v>2510498.3600000003</v>
          </cell>
          <cell r="CJ90">
            <v>2718018.8</v>
          </cell>
          <cell r="CK90">
            <v>1055722.6200000001</v>
          </cell>
          <cell r="CL90">
            <v>310766.12</v>
          </cell>
        </row>
        <row r="91">
          <cell r="S91" t="str">
            <v>UNITE  D'OEUVRE</v>
          </cell>
          <cell r="T91">
            <v>27000</v>
          </cell>
          <cell r="U91">
            <v>63593</v>
          </cell>
          <cell r="V91">
            <v>16000</v>
          </cell>
          <cell r="W91">
            <v>750</v>
          </cell>
          <cell r="X91">
            <v>0</v>
          </cell>
          <cell r="Y91">
            <v>107343</v>
          </cell>
          <cell r="AA91" t="str">
            <v>UNITE  D'OEUVRE</v>
          </cell>
          <cell r="AB91">
            <v>17318</v>
          </cell>
          <cell r="AC91">
            <v>15868</v>
          </cell>
          <cell r="AD91">
            <v>14101</v>
          </cell>
          <cell r="AE91">
            <v>14101</v>
          </cell>
          <cell r="AF91">
            <v>28491</v>
          </cell>
          <cell r="AG91">
            <v>19909</v>
          </cell>
          <cell r="AH91">
            <v>0</v>
          </cell>
          <cell r="AI91">
            <v>109788</v>
          </cell>
          <cell r="AK91" t="str">
            <v>UNITE  D'OEUVRE</v>
          </cell>
          <cell r="AL91" t="str">
            <v>-</v>
          </cell>
          <cell r="AM91" t="str">
            <v>-</v>
          </cell>
          <cell r="AO91" t="str">
            <v>-</v>
          </cell>
          <cell r="AP91" t="str">
            <v>-</v>
          </cell>
          <cell r="AQ91">
            <v>0</v>
          </cell>
          <cell r="CD91" t="str">
            <v>UNITE  D'ŒUVRE  (t)</v>
          </cell>
          <cell r="CE91">
            <v>0</v>
          </cell>
          <cell r="CF91">
            <v>0</v>
          </cell>
          <cell r="CG91">
            <v>0</v>
          </cell>
          <cell r="CH91">
            <v>435500</v>
          </cell>
          <cell r="CI91">
            <v>1198000</v>
          </cell>
          <cell r="CJ91">
            <v>846000</v>
          </cell>
          <cell r="CK91">
            <v>846000</v>
          </cell>
          <cell r="CL91">
            <v>1198000</v>
          </cell>
        </row>
        <row r="92">
          <cell r="CD92" t="str">
            <v>COUT (DH/t)</v>
          </cell>
          <cell r="CE92" t="e">
            <v>#DIV/0!</v>
          </cell>
          <cell r="CF92" t="e">
            <v>#DIV/0!</v>
          </cell>
          <cell r="CG92" t="e">
            <v>#DIV/0!</v>
          </cell>
          <cell r="CH92">
            <v>26.946820296867312</v>
          </cell>
          <cell r="CI92">
            <v>2.0955745909849752</v>
          </cell>
          <cell r="CJ92">
            <v>3.2127881796690305</v>
          </cell>
          <cell r="CK92">
            <v>1.2478990780141845</v>
          </cell>
          <cell r="CL92">
            <v>0.25940410684474124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.VENDU "/>
      <sheetName val="Tonne par m2"/>
      <sheetName val="P. RECH"/>
      <sheetName val="REND"/>
      <sheetName val="DIST adil"/>
      <sheetName val="RYTHM2"/>
      <sheetName val="RYTHM 1"/>
      <sheetName val="STOCKS N.EPIERRES "/>
      <sheetName val="ENLEVEMENTS"/>
      <sheetName val="H.S"/>
      <sheetName val="ratio de découverture"/>
      <sheetName val="RAP"/>
      <sheetName val="Module1"/>
      <sheetName val="T.VENDU"/>
      <sheetName val="H.S "/>
      <sheetName val="ENLEVEMENTS "/>
      <sheetName val="STOCKS N.EPIERR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2">
          <cell r="J2" t="str">
            <v>ANNEXE: 0</v>
          </cell>
        </row>
        <row r="4">
          <cell r="C4" t="str">
            <v>PRODUCTION DEK/EK</v>
          </cell>
        </row>
        <row r="5">
          <cell r="C5" t="str">
            <v>MOIS DE DECEMBRE 2002</v>
          </cell>
        </row>
        <row r="6">
          <cell r="G6">
            <v>0</v>
          </cell>
        </row>
        <row r="8">
          <cell r="K8" t="str">
            <v>Unité:tonne</v>
          </cell>
        </row>
        <row r="9">
          <cell r="D9" t="str">
            <v>MOIS</v>
          </cell>
          <cell r="G9" t="str">
            <v xml:space="preserve">CUMULE  </v>
          </cell>
          <cell r="J9" t="str">
            <v>INDICES</v>
          </cell>
        </row>
        <row r="10">
          <cell r="C10" t="str">
            <v>SECTEUR</v>
          </cell>
          <cell r="D10" t="str">
            <v xml:space="preserve"> PREVU 2002  </v>
          </cell>
          <cell r="E10" t="str">
            <v>REALISE 2002</v>
          </cell>
          <cell r="F10" t="str">
            <v>REALISE 2001</v>
          </cell>
          <cell r="G10" t="str">
            <v xml:space="preserve"> PREVU 2002  </v>
          </cell>
          <cell r="H10" t="str">
            <v>REALISE 2002</v>
          </cell>
          <cell r="I10" t="str">
            <v>REALISE 2001</v>
          </cell>
          <cell r="J10" t="str">
            <v>R/P MOIS</v>
          </cell>
          <cell r="K10" t="str">
            <v>R/P CUM</v>
          </cell>
          <cell r="L10" t="str">
            <v>A/A-1</v>
          </cell>
        </row>
        <row r="11">
          <cell r="C11" t="str">
            <v>DAOUI</v>
          </cell>
          <cell r="D11">
            <v>316666.66666666669</v>
          </cell>
          <cell r="E11">
            <v>428098</v>
          </cell>
          <cell r="F11">
            <v>390048</v>
          </cell>
          <cell r="G11">
            <v>3800000</v>
          </cell>
          <cell r="H11">
            <v>3519169</v>
          </cell>
          <cell r="I11">
            <v>3466570</v>
          </cell>
          <cell r="J11">
            <v>135.18884210526315</v>
          </cell>
          <cell r="K11">
            <v>92.609710526315794</v>
          </cell>
          <cell r="L11">
            <v>101.51732115607071</v>
          </cell>
        </row>
        <row r="12">
          <cell r="C12" t="str">
            <v>MEA</v>
          </cell>
          <cell r="D12">
            <v>438333.33333333337</v>
          </cell>
          <cell r="E12">
            <v>544001</v>
          </cell>
          <cell r="F12">
            <v>376024</v>
          </cell>
          <cell r="G12">
            <v>5260000</v>
          </cell>
          <cell r="H12">
            <v>4372925</v>
          </cell>
          <cell r="I12">
            <v>4228726</v>
          </cell>
          <cell r="J12">
            <v>124.10669201520912</v>
          </cell>
          <cell r="K12">
            <v>83.135456273764262</v>
          </cell>
          <cell r="L12">
            <v>103.4099868376433</v>
          </cell>
        </row>
        <row r="13">
          <cell r="C13" t="str">
            <v>SIDI CHENNANE</v>
          </cell>
          <cell r="D13">
            <v>442583.33333333337</v>
          </cell>
          <cell r="E13">
            <v>487197</v>
          </cell>
          <cell r="F13">
            <v>436669</v>
          </cell>
          <cell r="G13">
            <v>5311000</v>
          </cell>
          <cell r="H13">
            <v>4686664</v>
          </cell>
          <cell r="I13">
            <v>4275820</v>
          </cell>
          <cell r="J13">
            <v>110.08028619845602</v>
          </cell>
          <cell r="K13">
            <v>88.244473733760117</v>
          </cell>
          <cell r="L13">
            <v>109.608542922761</v>
          </cell>
        </row>
        <row r="14">
          <cell r="C14" t="str">
            <v>TOTAL S/REPRISE</v>
          </cell>
          <cell r="D14">
            <v>1197583.3333333335</v>
          </cell>
          <cell r="E14">
            <v>1459296</v>
          </cell>
          <cell r="F14">
            <v>1202741</v>
          </cell>
          <cell r="G14">
            <v>14371000</v>
          </cell>
          <cell r="H14">
            <v>12578758</v>
          </cell>
          <cell r="I14">
            <v>11971116</v>
          </cell>
          <cell r="J14">
            <v>121.85339920673577</v>
          </cell>
          <cell r="K14">
            <v>87.528759306937587</v>
          </cell>
          <cell r="L14">
            <v>105.07590102710557</v>
          </cell>
        </row>
        <row r="15">
          <cell r="C15" t="str">
            <v>REPRISE</v>
          </cell>
          <cell r="D15">
            <v>83333.333333333343</v>
          </cell>
          <cell r="E15">
            <v>71092</v>
          </cell>
          <cell r="F15">
            <v>337760</v>
          </cell>
          <cell r="G15">
            <v>1000000</v>
          </cell>
          <cell r="H15">
            <v>1144962</v>
          </cell>
          <cell r="I15">
            <v>1152905</v>
          </cell>
          <cell r="J15">
            <v>85.310399999999987</v>
          </cell>
          <cell r="K15">
            <v>114.4962</v>
          </cell>
          <cell r="L15">
            <v>99.311044708800807</v>
          </cell>
        </row>
        <row r="16">
          <cell r="C16" t="str">
            <v>T.AVEC REPRISE</v>
          </cell>
          <cell r="D16">
            <v>1280916.6666666667</v>
          </cell>
          <cell r="E16">
            <v>1530388</v>
          </cell>
          <cell r="F16">
            <v>1540501</v>
          </cell>
          <cell r="G16">
            <v>15371000</v>
          </cell>
          <cell r="H16">
            <v>13723720</v>
          </cell>
          <cell r="I16">
            <v>13124021</v>
          </cell>
          <cell r="J16">
            <v>119.47600026023028</v>
          </cell>
          <cell r="K16">
            <v>89.283195628130898</v>
          </cell>
          <cell r="L16">
            <v>104.56947607749181</v>
          </cell>
        </row>
        <row r="18">
          <cell r="L18">
            <v>0</v>
          </cell>
        </row>
        <row r="19">
          <cell r="K19" t="str">
            <v>ANNEXE :13</v>
          </cell>
        </row>
        <row r="21">
          <cell r="C21" t="str">
            <v xml:space="preserve">CONSOMMATION  A  LA  TONNE  EN  GASOIL ET EN ELECTRICITE  </v>
          </cell>
        </row>
        <row r="22">
          <cell r="B22">
            <v>0</v>
          </cell>
          <cell r="C22" t="str">
            <v>MOIS DE DECEMBRE 2002</v>
          </cell>
        </row>
        <row r="26">
          <cell r="D26" t="str">
            <v>MOIS</v>
          </cell>
          <cell r="G26" t="str">
            <v xml:space="preserve">CUMULE  </v>
          </cell>
          <cell r="J26" t="str">
            <v>INDICES</v>
          </cell>
        </row>
        <row r="27">
          <cell r="B27" t="str">
            <v>ELECTRICITE (kwh/t)</v>
          </cell>
          <cell r="C27" t="str">
            <v>SECTEUR</v>
          </cell>
          <cell r="D27" t="str">
            <v xml:space="preserve"> PREVU 2002  </v>
          </cell>
          <cell r="E27" t="str">
            <v>REALISE 2002</v>
          </cell>
          <cell r="F27" t="str">
            <v>REALISE 2001</v>
          </cell>
          <cell r="G27" t="str">
            <v xml:space="preserve"> PREVU 2002  </v>
          </cell>
          <cell r="H27" t="str">
            <v>REALISE 2002</v>
          </cell>
          <cell r="I27" t="str">
            <v>REALISE 2001</v>
          </cell>
          <cell r="J27" t="str">
            <v>R/P MOIS</v>
          </cell>
          <cell r="K27" t="str">
            <v>R/P CUM</v>
          </cell>
          <cell r="L27" t="str">
            <v>A/A-1</v>
          </cell>
        </row>
        <row r="28">
          <cell r="C28" t="str">
            <v>DAOUI</v>
          </cell>
          <cell r="D28">
            <v>5.0199999999999996</v>
          </cell>
          <cell r="E28">
            <v>4.78</v>
          </cell>
          <cell r="F28">
            <v>7.13</v>
          </cell>
          <cell r="G28">
            <v>5.0199999999999996</v>
          </cell>
          <cell r="H28">
            <v>5.46</v>
          </cell>
          <cell r="I28">
            <v>5.08</v>
          </cell>
          <cell r="J28">
            <v>95.219123505976114</v>
          </cell>
          <cell r="K28">
            <v>108.76494023904384</v>
          </cell>
          <cell r="L28">
            <v>107.48031496062991</v>
          </cell>
        </row>
        <row r="29">
          <cell r="C29" t="str">
            <v>MEA</v>
          </cell>
          <cell r="D29">
            <v>3.96</v>
          </cell>
          <cell r="E29">
            <v>3.75</v>
          </cell>
          <cell r="F29">
            <v>4.8099999999999996</v>
          </cell>
          <cell r="G29">
            <v>3.96</v>
          </cell>
          <cell r="H29">
            <v>4.04</v>
          </cell>
          <cell r="I29">
            <v>4.0999999999999996</v>
          </cell>
          <cell r="J29">
            <v>94.696969696969703</v>
          </cell>
          <cell r="K29">
            <v>102.02020202020201</v>
          </cell>
          <cell r="L29">
            <v>98.536585365853668</v>
          </cell>
        </row>
        <row r="30">
          <cell r="C30" t="str">
            <v>SIDI CHENNANE</v>
          </cell>
          <cell r="D30">
            <v>2.73</v>
          </cell>
          <cell r="E30">
            <v>3.16</v>
          </cell>
          <cell r="F30">
            <v>2.71</v>
          </cell>
          <cell r="G30">
            <v>2.73</v>
          </cell>
          <cell r="H30">
            <v>2.77</v>
          </cell>
          <cell r="I30">
            <v>2.79</v>
          </cell>
          <cell r="J30">
            <v>115.75091575091577</v>
          </cell>
          <cell r="K30">
            <v>101.46520146520146</v>
          </cell>
          <cell r="L30">
            <v>99.283154121863802</v>
          </cell>
        </row>
        <row r="31">
          <cell r="C31" t="str">
            <v xml:space="preserve">AUTRES </v>
          </cell>
          <cell r="D31">
            <v>0</v>
          </cell>
          <cell r="E31" t="str">
            <v>-</v>
          </cell>
          <cell r="F31" t="str">
            <v>-</v>
          </cell>
          <cell r="G31" t="str">
            <v>-</v>
          </cell>
          <cell r="H31" t="str">
            <v>-</v>
          </cell>
          <cell r="I31" t="str">
            <v>-</v>
          </cell>
          <cell r="J31" t="str">
            <v xml:space="preserve"> -</v>
          </cell>
          <cell r="K31" t="str">
            <v xml:space="preserve"> -</v>
          </cell>
          <cell r="L31" t="str">
            <v xml:space="preserve"> -</v>
          </cell>
        </row>
        <row r="32">
          <cell r="C32" t="str">
            <v>TOTAL EK</v>
          </cell>
          <cell r="D32">
            <v>3.79</v>
          </cell>
          <cell r="E32">
            <v>3.89</v>
          </cell>
          <cell r="F32">
            <v>4.6100000000000003</v>
          </cell>
          <cell r="G32">
            <v>3.79</v>
          </cell>
          <cell r="H32">
            <v>3.98</v>
          </cell>
          <cell r="I32">
            <v>3.91</v>
          </cell>
          <cell r="J32">
            <v>102.63852242744062</v>
          </cell>
          <cell r="K32">
            <v>105.0131926121372</v>
          </cell>
          <cell r="L32">
            <v>101.79028132992327</v>
          </cell>
        </row>
        <row r="33">
          <cell r="B33" t="str">
            <v>GASOIL (l/t)</v>
          </cell>
          <cell r="C33" t="str">
            <v>DAOUI</v>
          </cell>
          <cell r="D33">
            <v>0.81</v>
          </cell>
          <cell r="E33">
            <v>0.7</v>
          </cell>
          <cell r="F33">
            <v>1.01</v>
          </cell>
          <cell r="G33">
            <v>0.81</v>
          </cell>
          <cell r="H33">
            <v>0.83</v>
          </cell>
          <cell r="I33">
            <v>0.86</v>
          </cell>
          <cell r="J33">
            <v>86.419753086419732</v>
          </cell>
          <cell r="K33">
            <v>102.46913580246913</v>
          </cell>
          <cell r="L33">
            <v>96.511627906976742</v>
          </cell>
        </row>
        <row r="34">
          <cell r="C34" t="str">
            <v>MEA</v>
          </cell>
          <cell r="D34">
            <v>1.79</v>
          </cell>
          <cell r="E34">
            <v>1.5</v>
          </cell>
          <cell r="F34">
            <v>1.93</v>
          </cell>
          <cell r="G34">
            <v>1.79</v>
          </cell>
          <cell r="H34">
            <v>1.78</v>
          </cell>
          <cell r="I34">
            <v>1.64</v>
          </cell>
          <cell r="J34">
            <v>83.798882681564251</v>
          </cell>
          <cell r="K34">
            <v>99.441340782122893</v>
          </cell>
          <cell r="L34">
            <v>108.53658536585367</v>
          </cell>
        </row>
        <row r="35">
          <cell r="C35" t="str">
            <v>SIDI CHENNANE</v>
          </cell>
          <cell r="D35">
            <v>2.2599999999999998</v>
          </cell>
          <cell r="E35">
            <v>2.61</v>
          </cell>
          <cell r="F35">
            <v>2.0699999999999998</v>
          </cell>
          <cell r="G35">
            <v>2.2599999999999998</v>
          </cell>
          <cell r="H35">
            <v>2.29</v>
          </cell>
          <cell r="I35">
            <v>2.2400000000000002</v>
          </cell>
          <cell r="J35">
            <v>115.48672566371683</v>
          </cell>
          <cell r="K35">
            <v>101.3274336283186</v>
          </cell>
          <cell r="L35">
            <v>102.23214285714283</v>
          </cell>
        </row>
        <row r="36">
          <cell r="C36" t="str">
            <v>AUTRES</v>
          </cell>
          <cell r="D36">
            <v>0.06</v>
          </cell>
          <cell r="E36">
            <v>0.05</v>
          </cell>
          <cell r="F36">
            <v>0.11</v>
          </cell>
          <cell r="G36">
            <v>0.06</v>
          </cell>
          <cell r="H36">
            <v>0.05</v>
          </cell>
          <cell r="I36">
            <v>7.0000000000000007E-2</v>
          </cell>
          <cell r="J36">
            <v>7.0000000000000007E-2</v>
          </cell>
          <cell r="K36">
            <v>83.333333333333343</v>
          </cell>
          <cell r="L36">
            <v>71.428571428571431</v>
          </cell>
        </row>
        <row r="37">
          <cell r="C37" t="str">
            <v>TOTAL EK</v>
          </cell>
          <cell r="D37">
            <v>1.76</v>
          </cell>
          <cell r="E37">
            <v>1.64</v>
          </cell>
          <cell r="F37">
            <v>1.84</v>
          </cell>
          <cell r="G37">
            <v>1.76</v>
          </cell>
          <cell r="H37">
            <v>1.75</v>
          </cell>
          <cell r="I37">
            <v>1.7</v>
          </cell>
          <cell r="J37">
            <v>93.181818181818173</v>
          </cell>
          <cell r="K37">
            <v>99.431818181818173</v>
          </cell>
          <cell r="L37">
            <v>102.94117647058825</v>
          </cell>
        </row>
        <row r="39">
          <cell r="C39">
            <v>0</v>
          </cell>
          <cell r="K39" t="str">
            <v>ANNEXE :12</v>
          </cell>
        </row>
        <row r="40">
          <cell r="B40">
            <v>0</v>
          </cell>
        </row>
        <row r="41">
          <cell r="C41" t="str">
            <v>DOSAGE ET CONSOMMATION EN EXPLOSIF</v>
          </cell>
        </row>
        <row r="42">
          <cell r="C42" t="str">
            <v>MOIS DE DECEMBRE 2002</v>
          </cell>
        </row>
        <row r="45">
          <cell r="D45" t="str">
            <v>MOIS</v>
          </cell>
          <cell r="G45" t="str">
            <v xml:space="preserve">CUMULE  </v>
          </cell>
          <cell r="J45" t="str">
            <v>INDICES</v>
          </cell>
        </row>
        <row r="46">
          <cell r="B46" t="str">
            <v>CONS. EN EXPLOSIF (kg/t)</v>
          </cell>
          <cell r="C46" t="str">
            <v>SECTEUR</v>
          </cell>
          <cell r="D46" t="str">
            <v xml:space="preserve"> PREVU 2002  </v>
          </cell>
          <cell r="E46" t="str">
            <v>REALISE 2002</v>
          </cell>
          <cell r="F46" t="str">
            <v>REALISE 2001</v>
          </cell>
          <cell r="G46" t="str">
            <v xml:space="preserve"> PREVU 2002  </v>
          </cell>
          <cell r="H46" t="str">
            <v>REALISE 2002</v>
          </cell>
          <cell r="I46" t="str">
            <v>REALISE 2001</v>
          </cell>
          <cell r="J46" t="str">
            <v>R/P MOIS</v>
          </cell>
          <cell r="K46" t="str">
            <v>R/P CUM</v>
          </cell>
          <cell r="L46" t="str">
            <v>A/A-1</v>
          </cell>
        </row>
        <row r="47">
          <cell r="C47" t="str">
            <v>DAOUI</v>
          </cell>
          <cell r="D47">
            <v>0.42</v>
          </cell>
          <cell r="E47" t="str">
            <v>-</v>
          </cell>
          <cell r="F47">
            <v>0.23</v>
          </cell>
          <cell r="G47">
            <v>0.42</v>
          </cell>
          <cell r="H47">
            <v>0.35</v>
          </cell>
          <cell r="I47">
            <v>0.22</v>
          </cell>
          <cell r="J47">
            <v>0</v>
          </cell>
          <cell r="K47">
            <v>83.333333333333329</v>
          </cell>
          <cell r="L47">
            <v>159.09090909090909</v>
          </cell>
        </row>
        <row r="48">
          <cell r="C48" t="str">
            <v>MEA</v>
          </cell>
          <cell r="D48">
            <v>0.88</v>
          </cell>
          <cell r="E48">
            <v>0.71</v>
          </cell>
          <cell r="F48">
            <v>0.67</v>
          </cell>
          <cell r="G48">
            <v>0.88</v>
          </cell>
          <cell r="H48">
            <v>0.99</v>
          </cell>
          <cell r="I48">
            <v>0.73</v>
          </cell>
          <cell r="J48">
            <v>80.681818181818173</v>
          </cell>
          <cell r="K48">
            <v>112.5</v>
          </cell>
          <cell r="L48">
            <v>135.61643835616439</v>
          </cell>
        </row>
        <row r="49">
          <cell r="C49" t="str">
            <v>SIDI CHENNANE</v>
          </cell>
          <cell r="D49">
            <v>1.04</v>
          </cell>
          <cell r="E49">
            <v>0.86</v>
          </cell>
          <cell r="F49">
            <v>0.82</v>
          </cell>
          <cell r="G49">
            <v>1.04</v>
          </cell>
          <cell r="H49">
            <v>0.98</v>
          </cell>
          <cell r="I49">
            <v>0.81</v>
          </cell>
          <cell r="J49">
            <v>82.692307692307693</v>
          </cell>
          <cell r="K49">
            <v>94.230769230769226</v>
          </cell>
          <cell r="L49">
            <v>120.98765432098763</v>
          </cell>
        </row>
        <row r="50">
          <cell r="C50" t="str">
            <v>AUTRES</v>
          </cell>
          <cell r="D50" t="str">
            <v>-</v>
          </cell>
          <cell r="E50" t="str">
            <v>-</v>
          </cell>
          <cell r="F50" t="str">
            <v>-</v>
          </cell>
          <cell r="G50" t="str">
            <v>-</v>
          </cell>
          <cell r="H50" t="str">
            <v>-</v>
          </cell>
          <cell r="I50">
            <v>0.02</v>
          </cell>
          <cell r="J50" t="str">
            <v>-</v>
          </cell>
          <cell r="K50" t="str">
            <v>-</v>
          </cell>
          <cell r="L50" t="str">
            <v>-</v>
          </cell>
        </row>
        <row r="51">
          <cell r="C51" t="str">
            <v>TOTAL</v>
          </cell>
          <cell r="D51">
            <v>0.81</v>
          </cell>
          <cell r="E51">
            <v>0.54</v>
          </cell>
          <cell r="F51">
            <v>0.61</v>
          </cell>
          <cell r="G51">
            <v>0.81</v>
          </cell>
          <cell r="H51">
            <v>0.8</v>
          </cell>
          <cell r="I51">
            <v>0.62</v>
          </cell>
          <cell r="J51">
            <v>66.666666666666657</v>
          </cell>
          <cell r="K51">
            <v>98.76543209876543</v>
          </cell>
          <cell r="L51">
            <v>129.03225806451616</v>
          </cell>
        </row>
        <row r="52">
          <cell r="B52" t="str">
            <v>DOSAGE  (g / m3)</v>
          </cell>
          <cell r="C52" t="str">
            <v>DAOUI</v>
          </cell>
          <cell r="D52">
            <v>244</v>
          </cell>
          <cell r="E52" t="str">
            <v>-</v>
          </cell>
          <cell r="F52">
            <v>231</v>
          </cell>
          <cell r="G52">
            <v>244</v>
          </cell>
          <cell r="H52">
            <v>204</v>
          </cell>
          <cell r="I52">
            <v>198</v>
          </cell>
          <cell r="J52">
            <v>0</v>
          </cell>
          <cell r="K52">
            <v>83.606557377049185</v>
          </cell>
          <cell r="L52">
            <v>103.03030303030303</v>
          </cell>
        </row>
        <row r="53">
          <cell r="C53" t="str">
            <v>MEA</v>
          </cell>
          <cell r="D53">
            <v>213</v>
          </cell>
          <cell r="E53">
            <v>206</v>
          </cell>
          <cell r="F53">
            <v>208</v>
          </cell>
          <cell r="G53">
            <v>213</v>
          </cell>
          <cell r="H53">
            <v>221</v>
          </cell>
          <cell r="I53">
            <v>216</v>
          </cell>
          <cell r="J53">
            <v>96.713615023474176</v>
          </cell>
          <cell r="K53">
            <v>103.75586854460094</v>
          </cell>
          <cell r="L53">
            <v>102.31481481481481</v>
          </cell>
        </row>
        <row r="54">
          <cell r="C54" t="str">
            <v>SIDI CHENNANE</v>
          </cell>
          <cell r="D54">
            <v>241</v>
          </cell>
          <cell r="E54">
            <v>296</v>
          </cell>
          <cell r="F54">
            <v>233</v>
          </cell>
          <cell r="G54">
            <v>241</v>
          </cell>
          <cell r="H54">
            <v>252</v>
          </cell>
          <cell r="I54">
            <v>246</v>
          </cell>
          <cell r="J54">
            <v>122.82157676348548</v>
          </cell>
          <cell r="K54">
            <v>104.56431535269711</v>
          </cell>
          <cell r="L54">
            <v>102.4390243902439</v>
          </cell>
        </row>
        <row r="55">
          <cell r="C55" t="str">
            <v>TOTAL</v>
          </cell>
          <cell r="D55">
            <v>229</v>
          </cell>
          <cell r="E55">
            <v>241</v>
          </cell>
          <cell r="F55">
            <v>224</v>
          </cell>
          <cell r="G55">
            <v>229</v>
          </cell>
          <cell r="H55">
            <v>232</v>
          </cell>
          <cell r="I55">
            <v>227</v>
          </cell>
          <cell r="J55">
            <v>105.24017467248908</v>
          </cell>
          <cell r="K55">
            <v>101.31004366812226</v>
          </cell>
          <cell r="L55">
            <v>102.20264317180616</v>
          </cell>
        </row>
        <row r="57">
          <cell r="K57" t="str">
            <v>ANNEXE : 14</v>
          </cell>
        </row>
        <row r="59">
          <cell r="C59" t="str">
            <v>CONSOMMATION DE LA MARCHANDISE</v>
          </cell>
        </row>
        <row r="60">
          <cell r="C60" t="str">
            <v>MOIS DE DECEMBRE 2002</v>
          </cell>
        </row>
        <row r="61">
          <cell r="C61">
            <v>0</v>
          </cell>
        </row>
        <row r="63">
          <cell r="C63">
            <v>0</v>
          </cell>
          <cell r="G63">
            <v>0</v>
          </cell>
          <cell r="K63">
            <v>0</v>
          </cell>
        </row>
        <row r="64">
          <cell r="K64" t="str">
            <v>UNITE : DH/t</v>
          </cell>
        </row>
        <row r="65">
          <cell r="D65" t="str">
            <v>MOIS</v>
          </cell>
          <cell r="G65" t="str">
            <v xml:space="preserve">CUMULE  </v>
          </cell>
          <cell r="J65" t="str">
            <v>INDICES</v>
          </cell>
        </row>
        <row r="66">
          <cell r="C66" t="str">
            <v>SECTEUR</v>
          </cell>
          <cell r="D66" t="str">
            <v xml:space="preserve"> PREVU 2002  </v>
          </cell>
          <cell r="E66" t="str">
            <v>REALISE 2002</v>
          </cell>
          <cell r="F66" t="str">
            <v>REALISE 2001</v>
          </cell>
          <cell r="G66" t="str">
            <v xml:space="preserve"> PREVU 2002  </v>
          </cell>
          <cell r="H66" t="str">
            <v>REALISE 2002</v>
          </cell>
          <cell r="I66" t="str">
            <v>REALISE 2001</v>
          </cell>
          <cell r="J66" t="str">
            <v>R/P MOIS</v>
          </cell>
          <cell r="K66" t="str">
            <v>R/P CUM</v>
          </cell>
          <cell r="L66" t="str">
            <v>A/A-1</v>
          </cell>
        </row>
        <row r="67">
          <cell r="C67" t="str">
            <v>DAOUI</v>
          </cell>
          <cell r="D67">
            <v>9.7899252631578939</v>
          </cell>
          <cell r="E67">
            <v>6.3285252442197812</v>
          </cell>
          <cell r="F67">
            <v>7.1350346624005248</v>
          </cell>
          <cell r="G67">
            <v>9.7899252631578939</v>
          </cell>
          <cell r="H67">
            <v>7.9927477197031456</v>
          </cell>
          <cell r="I67">
            <v>7.002040345355784</v>
          </cell>
          <cell r="J67">
            <v>64.643243682724659</v>
          </cell>
          <cell r="K67">
            <v>81.642581581107592</v>
          </cell>
          <cell r="L67">
            <v>114.14883841685466</v>
          </cell>
          <cell r="M67">
            <v>0</v>
          </cell>
        </row>
        <row r="68">
          <cell r="C68" t="str">
            <v>MEA</v>
          </cell>
          <cell r="D68">
            <v>13.748858555133079</v>
          </cell>
          <cell r="E68">
            <v>9.9974117694636586</v>
          </cell>
          <cell r="F68">
            <v>13.707008063315108</v>
          </cell>
          <cell r="G68">
            <v>13.748858555133079</v>
          </cell>
          <cell r="H68">
            <v>10.624765117169858</v>
          </cell>
          <cell r="I68">
            <v>9.4472777380232245</v>
          </cell>
          <cell r="J68">
            <v>72.714485565284733</v>
          </cell>
          <cell r="K68">
            <v>77.277434156184157</v>
          </cell>
          <cell r="L68">
            <v>112.46377434641839</v>
          </cell>
        </row>
        <row r="69">
          <cell r="C69" t="str">
            <v>SIDI CHENNANE</v>
          </cell>
          <cell r="D69">
            <v>11.068984372057992</v>
          </cell>
          <cell r="E69">
            <v>11.198465918304095</v>
          </cell>
          <cell r="F69">
            <v>11.478293627438632</v>
          </cell>
          <cell r="G69">
            <v>11.068984372057994</v>
          </cell>
          <cell r="H69">
            <v>10.917813608997786</v>
          </cell>
          <cell r="I69">
            <v>9.2176207136876673</v>
          </cell>
          <cell r="J69">
            <v>101.16976898596913</v>
          </cell>
          <cell r="K69">
            <v>98.634285152287177</v>
          </cell>
          <cell r="L69">
            <v>118.44502988483161</v>
          </cell>
        </row>
        <row r="70">
          <cell r="C70" t="str">
            <v>ATELIERS COMMUNS</v>
          </cell>
          <cell r="D70">
            <v>2.0571303319184464</v>
          </cell>
          <cell r="E70">
            <v>1.4155099445211938</v>
          </cell>
          <cell r="F70">
            <v>1.5693021190763432</v>
          </cell>
          <cell r="G70">
            <v>2.0571303319184469</v>
          </cell>
          <cell r="H70">
            <v>1.5363563715908994</v>
          </cell>
          <cell r="I70">
            <v>1.5746394905871766</v>
          </cell>
          <cell r="J70">
            <v>68.809930151635669</v>
          </cell>
          <cell r="K70">
            <v>74.684445013171242</v>
          </cell>
          <cell r="L70">
            <v>97.56876928178643</v>
          </cell>
        </row>
        <row r="71">
          <cell r="C71" t="str">
            <v>AUTRE</v>
          </cell>
          <cell r="D71">
            <v>5.8459397397536701E-2</v>
          </cell>
          <cell r="E71">
            <v>6.2911157160713105E-2</v>
          </cell>
          <cell r="F71">
            <v>6.1586825426255529E-2</v>
          </cell>
          <cell r="G71">
            <v>5.8459397397536708E-2</v>
          </cell>
          <cell r="H71">
            <v>8.6408610452637688E-2</v>
          </cell>
          <cell r="I71">
            <v>5.825513678089829E-2</v>
          </cell>
          <cell r="J71">
            <v>107.61513111896015</v>
          </cell>
          <cell r="K71">
            <v>147.80961539004619</v>
          </cell>
          <cell r="L71">
            <v>148.3278818443541</v>
          </cell>
        </row>
        <row r="72">
          <cell r="C72" t="str">
            <v>TOTAL</v>
          </cell>
          <cell r="D72">
            <v>13.827237353002573</v>
          </cell>
          <cell r="E72">
            <v>10.800512027717474</v>
          </cell>
          <cell r="F72">
            <v>12.397450490172032</v>
          </cell>
          <cell r="G72">
            <v>13.827237353002575</v>
          </cell>
          <cell r="H72">
            <v>11.620354171691673</v>
          </cell>
          <cell r="I72">
            <v>10.29005733467122</v>
          </cell>
          <cell r="J72">
            <v>78.110411732913164</v>
          </cell>
          <cell r="K72">
            <v>84.0395942806921</v>
          </cell>
          <cell r="L72">
            <v>112.92798274833866</v>
          </cell>
        </row>
        <row r="76">
          <cell r="C76" t="str">
            <v>DEPENSES  EK  PAR  NATURE  DE  CHARGES</v>
          </cell>
        </row>
        <row r="77">
          <cell r="C77" t="str">
            <v>MOIS DE DECEMBRE 2002</v>
          </cell>
        </row>
        <row r="78">
          <cell r="C78">
            <v>0</v>
          </cell>
          <cell r="G78">
            <v>0</v>
          </cell>
        </row>
        <row r="79">
          <cell r="K79" t="str">
            <v>UNITE:1000 DH</v>
          </cell>
        </row>
        <row r="80">
          <cell r="D80" t="str">
            <v>MOIS</v>
          </cell>
          <cell r="G80" t="str">
            <v xml:space="preserve">CUMULE  </v>
          </cell>
          <cell r="J80" t="str">
            <v>INDICES</v>
          </cell>
        </row>
        <row r="81">
          <cell r="C81" t="str">
            <v>LIBELLES</v>
          </cell>
          <cell r="D81" t="str">
            <v xml:space="preserve"> PREVU 2002  </v>
          </cell>
          <cell r="E81" t="str">
            <v>REALISE 2002</v>
          </cell>
          <cell r="F81" t="str">
            <v>REALISE 2001</v>
          </cell>
          <cell r="G81" t="str">
            <v xml:space="preserve"> PREVU 2002  </v>
          </cell>
          <cell r="H81" t="str">
            <v>REALISE 2002</v>
          </cell>
          <cell r="I81" t="str">
            <v>REALISE 2001</v>
          </cell>
          <cell r="J81" t="str">
            <v>R/P MOIS</v>
          </cell>
          <cell r="K81" t="str">
            <v>R/P CUM</v>
          </cell>
          <cell r="L81" t="str">
            <v>A/A-1</v>
          </cell>
        </row>
        <row r="82">
          <cell r="C82" t="str">
            <v>CHARGES FIXES</v>
          </cell>
        </row>
        <row r="83">
          <cell r="C83" t="str">
            <v>SAL S.HS</v>
          </cell>
          <cell r="D83">
            <v>19881.666666666668</v>
          </cell>
          <cell r="E83">
            <v>18037</v>
          </cell>
          <cell r="F83">
            <v>18883</v>
          </cell>
          <cell r="G83">
            <v>238580</v>
          </cell>
          <cell r="H83">
            <v>187347</v>
          </cell>
          <cell r="I83">
            <v>197413</v>
          </cell>
          <cell r="J83">
            <v>90.721770475312255</v>
          </cell>
          <cell r="K83">
            <v>78.525861346298925</v>
          </cell>
          <cell r="L83">
            <v>94.901045017298756</v>
          </cell>
        </row>
        <row r="84">
          <cell r="C84" t="str">
            <v>H. SUPPL</v>
          </cell>
          <cell r="D84">
            <v>2809.4166666666665</v>
          </cell>
          <cell r="E84">
            <v>3039</v>
          </cell>
          <cell r="F84">
            <v>2673</v>
          </cell>
          <cell r="G84">
            <v>33713</v>
          </cell>
          <cell r="H84">
            <v>32435</v>
          </cell>
          <cell r="I84">
            <v>28463</v>
          </cell>
          <cell r="J84">
            <v>108.17192181057753</v>
          </cell>
          <cell r="K84">
            <v>96.209177468632276</v>
          </cell>
          <cell r="L84">
            <v>113.9549590696694</v>
          </cell>
        </row>
        <row r="85">
          <cell r="C85" t="str">
            <v>LOCAT</v>
          </cell>
          <cell r="D85">
            <v>7473</v>
          </cell>
          <cell r="E85">
            <v>7654</v>
          </cell>
          <cell r="F85">
            <v>7620</v>
          </cell>
          <cell r="G85">
            <v>89676</v>
          </cell>
          <cell r="H85">
            <v>75254</v>
          </cell>
          <cell r="I85">
            <v>76702</v>
          </cell>
          <cell r="J85">
            <v>102.42205272313663</v>
          </cell>
          <cell r="K85">
            <v>83.917659128417867</v>
          </cell>
          <cell r="L85">
            <v>98.112174389194536</v>
          </cell>
        </row>
        <row r="86">
          <cell r="C86" t="str">
            <v>A.CHAR.FIXES</v>
          </cell>
          <cell r="D86">
            <v>4108</v>
          </cell>
          <cell r="E86">
            <v>7873</v>
          </cell>
          <cell r="F86">
            <v>4452</v>
          </cell>
          <cell r="G86">
            <v>49296</v>
          </cell>
          <cell r="H86">
            <v>51575</v>
          </cell>
          <cell r="I86">
            <v>43410</v>
          </cell>
          <cell r="J86">
            <v>191.65043816942551</v>
          </cell>
          <cell r="K86">
            <v>104.62309315157417</v>
          </cell>
          <cell r="L86">
            <v>118.80903017737849</v>
          </cell>
        </row>
        <row r="87">
          <cell r="C87" t="str">
            <v>PRODUITS</v>
          </cell>
          <cell r="D87">
            <v>-627.41666666666663</v>
          </cell>
          <cell r="E87">
            <v>-616</v>
          </cell>
          <cell r="F87">
            <v>-300</v>
          </cell>
          <cell r="G87">
            <v>-7529</v>
          </cell>
          <cell r="H87">
            <v>-12400</v>
          </cell>
          <cell r="I87">
            <v>-17843</v>
          </cell>
          <cell r="J87">
            <v>98.18036923894276</v>
          </cell>
          <cell r="K87">
            <v>164.69650684021781</v>
          </cell>
          <cell r="L87">
            <v>69.49504007173681</v>
          </cell>
        </row>
        <row r="88">
          <cell r="C88" t="str">
            <v>TOTAL FIXES</v>
          </cell>
          <cell r="D88">
            <v>33644.666666666672</v>
          </cell>
          <cell r="E88">
            <v>35987</v>
          </cell>
          <cell r="F88">
            <v>33328</v>
          </cell>
          <cell r="G88">
            <v>403736.00000000006</v>
          </cell>
          <cell r="H88">
            <v>334211</v>
          </cell>
          <cell r="I88">
            <v>328145</v>
          </cell>
          <cell r="J88">
            <v>106.96197515207957</v>
          </cell>
          <cell r="K88">
            <v>82.779588642082942</v>
          </cell>
          <cell r="L88">
            <v>101.84857303935759</v>
          </cell>
        </row>
        <row r="89">
          <cell r="C89" t="str">
            <v xml:space="preserve">   CHARGES VARIABLES</v>
          </cell>
          <cell r="G89">
            <v>0</v>
          </cell>
          <cell r="K89">
            <v>0</v>
          </cell>
          <cell r="L89">
            <v>0</v>
          </cell>
        </row>
        <row r="90">
          <cell r="C90" t="str">
            <v>P.RECHANGE</v>
          </cell>
          <cell r="D90">
            <v>10837.333333333334</v>
          </cell>
          <cell r="E90">
            <v>7789</v>
          </cell>
          <cell r="F90">
            <v>8584</v>
          </cell>
          <cell r="G90">
            <v>130048</v>
          </cell>
          <cell r="H90">
            <v>78908</v>
          </cell>
          <cell r="I90">
            <v>71368</v>
          </cell>
          <cell r="J90">
            <v>71.871924212598429</v>
          </cell>
          <cell r="K90">
            <v>60.676058070866148</v>
          </cell>
          <cell r="L90">
            <v>110.56495908530435</v>
          </cell>
        </row>
        <row r="91">
          <cell r="C91" t="str">
            <v>A. MARCHAN.</v>
          </cell>
          <cell r="D91">
            <v>5721.916666666667</v>
          </cell>
          <cell r="E91">
            <v>7972</v>
          </cell>
          <cell r="F91">
            <v>6327</v>
          </cell>
          <cell r="G91">
            <v>83144</v>
          </cell>
          <cell r="H91">
            <v>67262</v>
          </cell>
          <cell r="I91">
            <v>51815</v>
          </cell>
          <cell r="J91">
            <v>139.32394448247237</v>
          </cell>
          <cell r="K91">
            <v>80.898200712017712</v>
          </cell>
          <cell r="L91">
            <v>129.81183055099874</v>
          </cell>
        </row>
        <row r="92">
          <cell r="C92" t="str">
            <v>ELECTRICITE</v>
          </cell>
          <cell r="D92">
            <v>3713.75</v>
          </cell>
          <cell r="E92">
            <v>4710</v>
          </cell>
          <cell r="F92">
            <v>4049</v>
          </cell>
          <cell r="G92">
            <v>44565</v>
          </cell>
          <cell r="H92">
            <v>35464</v>
          </cell>
          <cell r="I92">
            <v>32234</v>
          </cell>
          <cell r="J92">
            <v>126.82598451699765</v>
          </cell>
          <cell r="K92">
            <v>79.57814428363065</v>
          </cell>
          <cell r="L92">
            <v>110.02047527455481</v>
          </cell>
        </row>
        <row r="93">
          <cell r="C93" t="str">
            <v>GASOIL</v>
          </cell>
          <cell r="D93">
            <v>10627.916666666666</v>
          </cell>
          <cell r="E93">
            <v>12631</v>
          </cell>
          <cell r="F93">
            <v>11821</v>
          </cell>
          <cell r="G93">
            <v>127535</v>
          </cell>
          <cell r="H93">
            <v>112327</v>
          </cell>
          <cell r="I93">
            <v>101572</v>
          </cell>
          <cell r="J93">
            <v>118.84737523032894</v>
          </cell>
          <cell r="K93">
            <v>88.075430274042418</v>
          </cell>
          <cell r="L93">
            <v>110.58854802504628</v>
          </cell>
        </row>
        <row r="94">
          <cell r="C94" t="str">
            <v>EXPLOSIF</v>
          </cell>
          <cell r="D94">
            <v>3366.8333333333335</v>
          </cell>
          <cell r="E94">
            <v>4277</v>
          </cell>
          <cell r="F94">
            <v>2945</v>
          </cell>
          <cell r="G94">
            <v>40402</v>
          </cell>
          <cell r="H94">
            <v>40432</v>
          </cell>
          <cell r="I94">
            <v>33429</v>
          </cell>
          <cell r="J94">
            <v>127.03331518241671</v>
          </cell>
          <cell r="K94">
            <v>100.07425374981436</v>
          </cell>
          <cell r="L94">
            <v>120.94887672380268</v>
          </cell>
        </row>
        <row r="95">
          <cell r="C95" t="str">
            <v>TOTAL VAR</v>
          </cell>
          <cell r="D95">
            <v>34267.75</v>
          </cell>
          <cell r="E95">
            <v>37379</v>
          </cell>
          <cell r="F95">
            <v>33726</v>
          </cell>
          <cell r="G95">
            <v>425694</v>
          </cell>
          <cell r="H95">
            <v>334393</v>
          </cell>
          <cell r="I95">
            <v>290418</v>
          </cell>
          <cell r="J95">
            <v>109.07923630819066</v>
          </cell>
          <cell r="K95">
            <v>78.552434377745513</v>
          </cell>
          <cell r="L95">
            <v>115.14196778436599</v>
          </cell>
        </row>
        <row r="96">
          <cell r="G96">
            <v>0</v>
          </cell>
          <cell r="J96">
            <v>0</v>
          </cell>
          <cell r="K96">
            <v>0</v>
          </cell>
          <cell r="L96">
            <v>0</v>
          </cell>
        </row>
        <row r="97">
          <cell r="C97" t="str">
            <v>TOTAL</v>
          </cell>
          <cell r="D97">
            <v>67912.416666666672</v>
          </cell>
          <cell r="E97">
            <v>73366</v>
          </cell>
          <cell r="F97">
            <v>67054</v>
          </cell>
          <cell r="G97">
            <v>829430</v>
          </cell>
          <cell r="H97">
            <v>668604</v>
          </cell>
          <cell r="I97">
            <v>618563</v>
          </cell>
          <cell r="J97">
            <v>108.03031846164606</v>
          </cell>
          <cell r="K97">
            <v>80.610057509373917</v>
          </cell>
          <cell r="L97">
            <v>108.08987928472928</v>
          </cell>
        </row>
        <row r="99">
          <cell r="K99" t="str">
            <v>ANNEXE : 18</v>
          </cell>
        </row>
        <row r="101">
          <cell r="C101" t="str">
            <v>PRIX DE REVIENT DEK/EK</v>
          </cell>
        </row>
        <row r="102">
          <cell r="C102" t="str">
            <v>MOIS DE DECEMBRE 2002</v>
          </cell>
        </row>
        <row r="103">
          <cell r="B103">
            <v>0</v>
          </cell>
        </row>
        <row r="105">
          <cell r="C105">
            <v>0</v>
          </cell>
          <cell r="G105">
            <v>0</v>
          </cell>
          <cell r="K105" t="str">
            <v>UNITE : DH/t</v>
          </cell>
        </row>
        <row r="106">
          <cell r="B106" t="str">
            <v>LIBELLES</v>
          </cell>
          <cell r="D106" t="str">
            <v>MOIS</v>
          </cell>
          <cell r="G106" t="str">
            <v xml:space="preserve">CUMULE  </v>
          </cell>
          <cell r="J106" t="str">
            <v>INDICES</v>
          </cell>
        </row>
        <row r="107">
          <cell r="D107" t="str">
            <v xml:space="preserve"> PREVU 2002  </v>
          </cell>
          <cell r="E107" t="str">
            <v>REALISE 2002</v>
          </cell>
          <cell r="F107" t="str">
            <v>REALISE 2001</v>
          </cell>
          <cell r="G107" t="str">
            <v xml:space="preserve"> PREVU 2002  </v>
          </cell>
          <cell r="H107" t="str">
            <v>REALISE 2002</v>
          </cell>
          <cell r="I107" t="str">
            <v>REALISE 2001</v>
          </cell>
          <cell r="J107" t="str">
            <v>R/P MOIS</v>
          </cell>
          <cell r="K107" t="str">
            <v>R/P CUM</v>
          </cell>
          <cell r="L107" t="str">
            <v>A/A-1</v>
          </cell>
        </row>
        <row r="109">
          <cell r="B109" t="str">
            <v>CHARGES FIXES</v>
          </cell>
          <cell r="C109" t="str">
            <v>SALAIRE  S/H.S</v>
          </cell>
          <cell r="D109">
            <v>16.601489110013222</v>
          </cell>
          <cell r="E109">
            <v>12.360069512970638</v>
          </cell>
          <cell r="F109">
            <v>15.699971980667492</v>
          </cell>
          <cell r="G109">
            <v>16.601489110013222</v>
          </cell>
          <cell r="H109">
            <v>14.893918779580623</v>
          </cell>
          <cell r="I109">
            <v>16.490776632688213</v>
          </cell>
          <cell r="J109">
            <v>74.451571368472216</v>
          </cell>
          <cell r="K109">
            <v>89.714354422563972</v>
          </cell>
          <cell r="L109">
            <v>90.316660708736549</v>
          </cell>
        </row>
        <row r="110">
          <cell r="C110" t="str">
            <v>HEURES  SUPPL.</v>
          </cell>
          <cell r="D110">
            <v>2.3459049474636418</v>
          </cell>
          <cell r="E110">
            <v>2.0825110190119069</v>
          </cell>
          <cell r="F110">
            <v>2.2224236140615479</v>
          </cell>
          <cell r="G110">
            <v>2.3459049474636418</v>
          </cell>
          <cell r="H110">
            <v>2.5785534629094542</v>
          </cell>
          <cell r="I110">
            <v>2.377639645292887</v>
          </cell>
          <cell r="J110">
            <v>88.772182405066644</v>
          </cell>
          <cell r="K110">
            <v>109.9172183296407</v>
          </cell>
          <cell r="L110">
            <v>108.45013742996441</v>
          </cell>
        </row>
        <row r="111">
          <cell r="C111" t="str">
            <v>LOCATION</v>
          </cell>
          <cell r="D111">
            <v>6.2400668011968543</v>
          </cell>
          <cell r="E111">
            <v>5.2449948468302523</v>
          </cell>
          <cell r="F111">
            <v>6.3355285967635595</v>
          </cell>
          <cell r="G111">
            <v>6.2400668011968543</v>
          </cell>
          <cell r="H111">
            <v>5.9826256296527847</v>
          </cell>
          <cell r="I111">
            <v>6.4072555975566523</v>
          </cell>
          <cell r="J111">
            <v>84.053504776972161</v>
          </cell>
          <cell r="K111">
            <v>95.874384365649874</v>
          </cell>
          <cell r="L111">
            <v>93.372670070071877</v>
          </cell>
        </row>
        <row r="112">
          <cell r="C112" t="str">
            <v>AUTRES CHA. F.</v>
          </cell>
          <cell r="D112">
            <v>3.4302414584927976</v>
          </cell>
          <cell r="E112">
            <v>5.3950672104905379</v>
          </cell>
          <cell r="F112">
            <v>3.7015450541720951</v>
          </cell>
          <cell r="G112">
            <v>3.4302414584927976</v>
          </cell>
          <cell r="H112">
            <v>4.1001663280269804</v>
          </cell>
          <cell r="I112">
            <v>3.626228331594147</v>
          </cell>
          <cell r="J112">
            <v>157.27951736846708</v>
          </cell>
          <cell r="K112">
            <v>119.52996247175378</v>
          </cell>
          <cell r="L112">
            <v>113.0697229488713</v>
          </cell>
        </row>
        <row r="113">
          <cell r="C113" t="str">
            <v>PRODUITS</v>
          </cell>
          <cell r="D113">
            <v>-0.52390230324959985</v>
          </cell>
          <cell r="E113">
            <v>-0.42212135166546061</v>
          </cell>
          <cell r="F113">
            <v>-0.24943025971510074</v>
          </cell>
          <cell r="G113">
            <v>-0.52390230324959985</v>
          </cell>
          <cell r="H113">
            <v>-0.98578889903120803</v>
          </cell>
          <cell r="I113">
            <v>-1.4905043105421416</v>
          </cell>
          <cell r="J113">
            <v>80.57253213951833</v>
          </cell>
          <cell r="K113">
            <v>188.16273433360993</v>
          </cell>
          <cell r="L113">
            <v>66.137943517429122</v>
          </cell>
        </row>
        <row r="114">
          <cell r="C114" t="str">
            <v>TOTAL FIXES</v>
          </cell>
          <cell r="D114">
            <v>28.093800013916916</v>
          </cell>
          <cell r="E114">
            <v>24.660521237637873</v>
          </cell>
          <cell r="F114">
            <v>27.710038985949591</v>
          </cell>
          <cell r="G114">
            <v>28.093800013916916</v>
          </cell>
          <cell r="H114">
            <v>26.569475301138631</v>
          </cell>
          <cell r="I114">
            <v>27.41139589658976</v>
          </cell>
          <cell r="J114">
            <v>87.77922967139267</v>
          </cell>
          <cell r="K114">
            <v>94.574159736229433</v>
          </cell>
          <cell r="L114">
            <v>96.928574529267692</v>
          </cell>
        </row>
        <row r="115">
          <cell r="K115">
            <v>0</v>
          </cell>
          <cell r="L115">
            <v>0</v>
          </cell>
        </row>
        <row r="116">
          <cell r="B116" t="str">
            <v xml:space="preserve"> CHARGES VARIABLES</v>
          </cell>
          <cell r="C116" t="str">
            <v>PIECES DE RECH</v>
          </cell>
          <cell r="D116">
            <v>9.0493354672604553</v>
          </cell>
          <cell r="E116">
            <v>5.3375052079907022</v>
          </cell>
          <cell r="F116">
            <v>7.1370311646480831</v>
          </cell>
          <cell r="G116">
            <v>9.0493354672604553</v>
          </cell>
          <cell r="H116">
            <v>6.2731153584479484</v>
          </cell>
          <cell r="I116">
            <v>5.9616831045660241</v>
          </cell>
          <cell r="J116">
            <v>58.982289111739036</v>
          </cell>
          <cell r="K116">
            <v>69.321282000688569</v>
          </cell>
          <cell r="L116">
            <v>105.22389815794469</v>
          </cell>
        </row>
        <row r="117">
          <cell r="C117" t="str">
            <v>AUTRES MARCH.</v>
          </cell>
          <cell r="D117">
            <v>4.777886020457867</v>
          </cell>
          <cell r="E117">
            <v>5.4629081420082013</v>
          </cell>
          <cell r="F117">
            <v>5.2604841773914748</v>
          </cell>
          <cell r="G117">
            <v>4.777886020457867</v>
          </cell>
          <cell r="H117">
            <v>5.3472687844062188</v>
          </cell>
          <cell r="I117">
            <v>4.3283349689368977</v>
          </cell>
          <cell r="J117">
            <v>114.33734749253578</v>
          </cell>
          <cell r="K117">
            <v>111.9170436781116</v>
          </cell>
          <cell r="L117">
            <v>123.54101109969282</v>
          </cell>
        </row>
        <row r="118">
          <cell r="C118" t="str">
            <v>ELECTRICITE</v>
          </cell>
          <cell r="D118">
            <v>3.1010368102428498</v>
          </cell>
          <cell r="E118">
            <v>3.2275837115979211</v>
          </cell>
          <cell r="F118">
            <v>3.3664770719548098</v>
          </cell>
          <cell r="G118">
            <v>3.1010368102428498</v>
          </cell>
          <cell r="H118">
            <v>2.8193562512292547</v>
          </cell>
          <cell r="I118">
            <v>2.6926478700899734</v>
          </cell>
          <cell r="J118">
            <v>104.08079326685456</v>
          </cell>
          <cell r="K118">
            <v>90.916568352778242</v>
          </cell>
          <cell r="L118">
            <v>104.70571672392674</v>
          </cell>
        </row>
        <row r="119">
          <cell r="C119" t="str">
            <v>GASOIL</v>
          </cell>
          <cell r="D119">
            <v>8.8744694175770622</v>
          </cell>
          <cell r="E119">
            <v>8.6555434949455083</v>
          </cell>
          <cell r="F119">
            <v>9.8283836669740197</v>
          </cell>
          <cell r="G119">
            <v>8.8744694175770622</v>
          </cell>
          <cell r="H119">
            <v>8.9298959404418152</v>
          </cell>
          <cell r="I119">
            <v>8.484756141365601</v>
          </cell>
          <cell r="J119">
            <v>97.533081558679541</v>
          </cell>
          <cell r="K119">
            <v>100.62456154003949</v>
          </cell>
          <cell r="L119">
            <v>105.24634758689211</v>
          </cell>
        </row>
        <row r="120">
          <cell r="C120" t="str">
            <v>EXPLOSIF</v>
          </cell>
          <cell r="D120">
            <v>2.8113562034653121</v>
          </cell>
          <cell r="E120">
            <v>2.9308652939499593</v>
          </cell>
          <cell r="F120">
            <v>2.448573716203239</v>
          </cell>
          <cell r="G120">
            <v>2.8113562034653121</v>
          </cell>
          <cell r="H120">
            <v>3.2143078036798229</v>
          </cell>
          <cell r="I120">
            <v>2.792471478849591</v>
          </cell>
          <cell r="J120">
            <v>104.25094089241836</v>
          </cell>
          <cell r="K120">
            <v>114.3329969968881</v>
          </cell>
          <cell r="L120">
            <v>115.10619993884468</v>
          </cell>
        </row>
        <row r="121">
          <cell r="C121" t="str">
            <v>TOTAL VARIA.</v>
          </cell>
          <cell r="D121">
            <v>28.614083919003544</v>
          </cell>
          <cell r="E121">
            <v>25.614405850492293</v>
          </cell>
          <cell r="F121">
            <v>28.040949797171624</v>
          </cell>
          <cell r="G121">
            <v>28.614083919003544</v>
          </cell>
          <cell r="H121">
            <v>26.583944138205062</v>
          </cell>
          <cell r="I121">
            <v>24.259893563808085</v>
          </cell>
          <cell r="J121">
            <v>89.516777552612595</v>
          </cell>
          <cell r="K121">
            <v>92.905103002615434</v>
          </cell>
          <cell r="L121">
            <v>109.5798053205975</v>
          </cell>
        </row>
        <row r="122">
          <cell r="G122">
            <v>0</v>
          </cell>
          <cell r="J122">
            <v>0</v>
          </cell>
          <cell r="K122">
            <v>0</v>
          </cell>
          <cell r="L122">
            <v>0</v>
          </cell>
        </row>
        <row r="123">
          <cell r="B123" t="str">
            <v>TOTAL</v>
          </cell>
          <cell r="D123">
            <v>56.70788393292046</v>
          </cell>
          <cell r="E123">
            <v>50.27492708813017</v>
          </cell>
          <cell r="F123">
            <v>55.750988783121215</v>
          </cell>
          <cell r="G123">
            <v>56.70788393292046</v>
          </cell>
          <cell r="H123">
            <v>53.153419439343693</v>
          </cell>
          <cell r="I123">
            <v>51.671289460397844</v>
          </cell>
          <cell r="J123">
            <v>88.655974445458398</v>
          </cell>
          <cell r="K123">
            <v>93.731974732505748</v>
          </cell>
          <cell r="L123">
            <v>102.86838202495758</v>
          </cell>
        </row>
        <row r="128">
          <cell r="C128" t="str">
            <v>STRUCTURE PRIX DE REVIENT DEK/EK</v>
          </cell>
        </row>
        <row r="129">
          <cell r="C129" t="str">
            <v>TOTAL EK</v>
          </cell>
        </row>
        <row r="132">
          <cell r="C132">
            <v>0</v>
          </cell>
          <cell r="G132">
            <v>0</v>
          </cell>
        </row>
        <row r="133">
          <cell r="D133" t="str">
            <v>MOIS</v>
          </cell>
          <cell r="G133" t="str">
            <v xml:space="preserve">CUMULE  </v>
          </cell>
          <cell r="J133" t="str">
            <v>INDICES</v>
          </cell>
        </row>
        <row r="134">
          <cell r="C134" t="str">
            <v>LIBELLES</v>
          </cell>
          <cell r="D134" t="str">
            <v xml:space="preserve"> PREVU 2002  </v>
          </cell>
          <cell r="E134" t="str">
            <v>REALISE 2002</v>
          </cell>
          <cell r="F134" t="str">
            <v>REALISE 2001</v>
          </cell>
          <cell r="G134" t="str">
            <v xml:space="preserve"> PREVU 2002  </v>
          </cell>
          <cell r="H134" t="str">
            <v>REALISE 2002</v>
          </cell>
          <cell r="I134" t="str">
            <v>REALISE 2001</v>
          </cell>
          <cell r="J134" t="str">
            <v>R/P MOIS</v>
          </cell>
          <cell r="K134" t="str">
            <v>R/P CUM</v>
          </cell>
          <cell r="L134" t="str">
            <v>A/A-1</v>
          </cell>
        </row>
        <row r="135">
          <cell r="C135" t="str">
            <v>CHARGES FIXES</v>
          </cell>
        </row>
        <row r="136">
          <cell r="C136" t="str">
            <v>SALAIRE  S/H.S</v>
          </cell>
          <cell r="D136">
            <v>29.275451592676355</v>
          </cell>
          <cell r="E136">
            <v>24.584957609791999</v>
          </cell>
          <cell r="F136">
            <v>28.160885256658812</v>
          </cell>
          <cell r="G136">
            <v>29.275451592676355</v>
          </cell>
          <cell r="H136">
            <v>28.020622072258018</v>
          </cell>
          <cell r="I136">
            <v>31.914776667857598</v>
          </cell>
          <cell r="J136">
            <v>83.978064461155071</v>
          </cell>
          <cell r="K136">
            <v>95.713714213951704</v>
          </cell>
          <cell r="L136">
            <v>87.79827088835151</v>
          </cell>
        </row>
        <row r="137">
          <cell r="C137" t="str">
            <v>HEURES  SUPPL.</v>
          </cell>
          <cell r="D137">
            <v>4.1368232858743301</v>
          </cell>
          <cell r="E137">
            <v>4.1422457269034698</v>
          </cell>
          <cell r="F137">
            <v>3.9863393682703503</v>
          </cell>
          <cell r="G137">
            <v>4.1368232858743301</v>
          </cell>
          <cell r="H137">
            <v>4.8511525506877016</v>
          </cell>
          <cell r="I137">
            <v>4.6014714750154795</v>
          </cell>
          <cell r="J137">
            <v>100.13107741507004</v>
          </cell>
          <cell r="K137">
            <v>117.26757986623535</v>
          </cell>
          <cell r="L137">
            <v>105.42611373400683</v>
          </cell>
        </row>
        <row r="138">
          <cell r="C138" t="str">
            <v>LOCATION</v>
          </cell>
          <cell r="D138">
            <v>11.003878770327958</v>
          </cell>
          <cell r="E138">
            <v>10.432625466837498</v>
          </cell>
          <cell r="F138">
            <v>11.363975303486743</v>
          </cell>
          <cell r="G138">
            <v>11.003878770327958</v>
          </cell>
          <cell r="H138">
            <v>11.255391831338132</v>
          </cell>
          <cell r="I138">
            <v>12.400030393023831</v>
          </cell>
          <cell r="J138">
            <v>94.808618711514271</v>
          </cell>
          <cell r="K138">
            <v>102.28567640792609</v>
          </cell>
          <cell r="L138">
            <v>90.769066482855848</v>
          </cell>
        </row>
        <row r="139">
          <cell r="C139" t="str">
            <v>AUTRES CHA. F.</v>
          </cell>
          <cell r="D139">
            <v>6.0489674814006769</v>
          </cell>
          <cell r="E139">
            <v>10.731128860780197</v>
          </cell>
          <cell r="F139">
            <v>6.6394249410922548</v>
          </cell>
          <cell r="G139">
            <v>6.0489674814006769</v>
          </cell>
          <cell r="H139">
            <v>7.7138335995596803</v>
          </cell>
          <cell r="I139">
            <v>7.0178785346035886</v>
          </cell>
          <cell r="J139">
            <v>177.40430732643543</v>
          </cell>
          <cell r="K139">
            <v>127.52314545049418</v>
          </cell>
          <cell r="L139">
            <v>109.91688672758431</v>
          </cell>
        </row>
        <row r="140">
          <cell r="C140" t="str">
            <v>PRODUITS</v>
          </cell>
          <cell r="D140">
            <v>-0.92386149317319255</v>
          </cell>
          <cell r="E140">
            <v>-0.83962598478859418</v>
          </cell>
          <cell r="F140">
            <v>-0.44740060249947805</v>
          </cell>
          <cell r="G140">
            <v>-0.92386149317319255</v>
          </cell>
          <cell r="H140">
            <v>-1.8546105018815324</v>
          </cell>
          <cell r="I140">
            <v>-2.8845889586024382</v>
          </cell>
          <cell r="J140">
            <v>90.882236243522371</v>
          </cell>
          <cell r="K140">
            <v>200.74551386609812</v>
          </cell>
          <cell r="L140">
            <v>64.293753061444065</v>
          </cell>
        </row>
        <row r="141">
          <cell r="C141" t="str">
            <v>TOTAL FIXES</v>
          </cell>
          <cell r="D141">
            <v>49.54125963710613</v>
          </cell>
          <cell r="E141">
            <v>49.051331679524566</v>
          </cell>
          <cell r="F141">
            <v>49.703224267008679</v>
          </cell>
          <cell r="G141">
            <v>49.54125963710613</v>
          </cell>
          <cell r="H141">
            <v>49.986389551961999</v>
          </cell>
          <cell r="I141">
            <v>53.049568111898061</v>
          </cell>
          <cell r="J141">
            <v>99.011070850498498</v>
          </cell>
          <cell r="K141">
            <v>100.89850342546089</v>
          </cell>
          <cell r="L141">
            <v>94.225818100017577</v>
          </cell>
        </row>
        <row r="142">
          <cell r="C142" t="str">
            <v xml:space="preserve"> CHARGES VARIABLES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K142">
            <v>0</v>
          </cell>
          <cell r="L142">
            <v>0</v>
          </cell>
        </row>
        <row r="143">
          <cell r="C143" t="str">
            <v>PIECES DE RECH</v>
          </cell>
          <cell r="D143">
            <v>15.957808402734406</v>
          </cell>
          <cell r="E143">
            <v>10.616634408309025</v>
          </cell>
          <cell r="F143">
            <v>12.801622572851734</v>
          </cell>
          <cell r="G143">
            <v>15.957808402734406</v>
          </cell>
          <cell r="H143">
            <v>11.801903667940964</v>
          </cell>
          <cell r="I143">
            <v>11.537709174328242</v>
          </cell>
          <cell r="J143">
            <v>66.529401408841593</v>
          </cell>
          <cell r="K143">
            <v>73.956920462327915</v>
          </cell>
          <cell r="L143">
            <v>102.28983491974788</v>
          </cell>
        </row>
        <row r="144">
          <cell r="C144" t="str">
            <v>AUTRES MARCH.</v>
          </cell>
          <cell r="D144">
            <v>8.4254352112831619</v>
          </cell>
          <cell r="E144">
            <v>10.866068751192651</v>
          </cell>
          <cell r="F144">
            <v>9.4356787067139916</v>
          </cell>
          <cell r="G144">
            <v>8.4254352112831619</v>
          </cell>
          <cell r="H144">
            <v>10.060065449802872</v>
          </cell>
          <cell r="I144">
            <v>8.3766730308796369</v>
          </cell>
          <cell r="J144">
            <v>128.96744771879611</v>
          </cell>
          <cell r="K144">
            <v>119.40113712263371</v>
          </cell>
          <cell r="L144">
            <v>120.09619347344231</v>
          </cell>
        </row>
        <row r="145">
          <cell r="C145" t="str">
            <v>ELECTRICITE</v>
          </cell>
          <cell r="D145">
            <v>5.4684403563904</v>
          </cell>
          <cell r="E145">
            <v>6.4198675135621404</v>
          </cell>
          <cell r="F145">
            <v>6.0384167984012889</v>
          </cell>
          <cell r="G145">
            <v>5.4684403563904</v>
          </cell>
          <cell r="H145">
            <v>5.3041860353811821</v>
          </cell>
          <cell r="I145">
            <v>5.2111102668604499</v>
          </cell>
          <cell r="J145">
            <v>117.39851027285881</v>
          </cell>
          <cell r="K145">
            <v>96.996322345963392</v>
          </cell>
          <cell r="L145">
            <v>101.78610245714121</v>
          </cell>
        </row>
        <row r="146">
          <cell r="C146" t="str">
            <v>GASOIL</v>
          </cell>
          <cell r="D146">
            <v>15.649445548126319</v>
          </cell>
          <cell r="E146">
            <v>17.216421775754437</v>
          </cell>
          <cell r="F146">
            <v>17.629075073821099</v>
          </cell>
          <cell r="G146">
            <v>15.649445548126319</v>
          </cell>
          <cell r="H146">
            <v>16.800228535874748</v>
          </cell>
          <cell r="I146">
            <v>16.420639449821604</v>
          </cell>
          <cell r="J146">
            <v>110.01298239486657</v>
          </cell>
          <cell r="K146">
            <v>107.35350644985763</v>
          </cell>
          <cell r="L146">
            <v>102.3116583688053</v>
          </cell>
        </row>
        <row r="147">
          <cell r="C147" t="str">
            <v>EXPLOSIF</v>
          </cell>
          <cell r="D147">
            <v>4.9576108443595865</v>
          </cell>
          <cell r="E147">
            <v>5.8296758716571704</v>
          </cell>
          <cell r="F147">
            <v>4.3919825812032096</v>
          </cell>
          <cell r="G147">
            <v>4.9576108443595865</v>
          </cell>
          <cell r="H147">
            <v>6.0472267590382351</v>
          </cell>
          <cell r="I147">
            <v>5.4042999662120108</v>
          </cell>
          <cell r="J147">
            <v>117.59042923447203</v>
          </cell>
          <cell r="K147">
            <v>121.97864957307682</v>
          </cell>
          <cell r="L147">
            <v>111.89657859197008</v>
          </cell>
        </row>
        <row r="148">
          <cell r="C148" t="str">
            <v>TOTAL VARIA.</v>
          </cell>
          <cell r="D148">
            <v>50.45874036289387</v>
          </cell>
          <cell r="E148">
            <v>50.94866832047542</v>
          </cell>
          <cell r="F148">
            <v>50.296775732991314</v>
          </cell>
          <cell r="G148">
            <v>50.45874036289387</v>
          </cell>
          <cell r="H148">
            <v>50.013610448038001</v>
          </cell>
          <cell r="I148">
            <v>46.950431888101932</v>
          </cell>
          <cell r="J148">
            <v>100.97094765754761</v>
          </cell>
          <cell r="K148">
            <v>99.117833874459521</v>
          </cell>
          <cell r="L148">
            <v>106.52428196451231</v>
          </cell>
        </row>
        <row r="150">
          <cell r="C150" t="str">
            <v>TOTAL</v>
          </cell>
          <cell r="D150">
            <v>100</v>
          </cell>
          <cell r="E150">
            <v>100</v>
          </cell>
          <cell r="F150">
            <v>100</v>
          </cell>
          <cell r="G150">
            <v>100</v>
          </cell>
          <cell r="H150">
            <v>100</v>
          </cell>
          <cell r="I150">
            <v>100</v>
          </cell>
          <cell r="J150">
            <v>100</v>
          </cell>
          <cell r="K150">
            <v>100</v>
          </cell>
          <cell r="L150">
            <v>100</v>
          </cell>
        </row>
        <row r="154">
          <cell r="B154">
            <v>0</v>
          </cell>
          <cell r="D154">
            <v>0</v>
          </cell>
        </row>
        <row r="158">
          <cell r="K158" t="str">
            <v>UNITE : m3</v>
          </cell>
        </row>
        <row r="159">
          <cell r="D159" t="str">
            <v>MOIS</v>
          </cell>
          <cell r="G159" t="str">
            <v xml:space="preserve">CUMULE  </v>
          </cell>
          <cell r="J159" t="str">
            <v>INDICES</v>
          </cell>
          <cell r="M159">
            <v>0</v>
          </cell>
        </row>
        <row r="160">
          <cell r="B160" t="str">
            <v xml:space="preserve"> ZONE</v>
          </cell>
          <cell r="C160" t="str">
            <v>NIVEAUX</v>
          </cell>
          <cell r="D160" t="str">
            <v xml:space="preserve"> PREVU 2002  </v>
          </cell>
          <cell r="E160" t="str">
            <v>REALISE 2002</v>
          </cell>
          <cell r="F160" t="str">
            <v>REALISE 2001</v>
          </cell>
          <cell r="G160" t="str">
            <v xml:space="preserve"> PREVU 2002  </v>
          </cell>
          <cell r="H160" t="str">
            <v>REALISE 2002</v>
          </cell>
          <cell r="I160" t="str">
            <v>REALISE 2001</v>
          </cell>
          <cell r="J160" t="str">
            <v>R/P MOIS</v>
          </cell>
          <cell r="K160" t="str">
            <v>R/P CUM</v>
          </cell>
          <cell r="L160" t="str">
            <v>A/A-1</v>
          </cell>
        </row>
        <row r="161">
          <cell r="C161" t="str">
            <v xml:space="preserve"> HT        </v>
          </cell>
          <cell r="E161" t="str">
            <v>Mois</v>
          </cell>
          <cell r="F161">
            <v>0</v>
          </cell>
          <cell r="G161">
            <v>0</v>
          </cell>
          <cell r="H161" t="str">
            <v>Cumulé</v>
          </cell>
          <cell r="I161">
            <v>3030</v>
          </cell>
          <cell r="J161" t="str">
            <v xml:space="preserve"> -</v>
          </cell>
          <cell r="K161" t="str">
            <v xml:space="preserve"> -</v>
          </cell>
          <cell r="L161">
            <v>0</v>
          </cell>
        </row>
        <row r="162">
          <cell r="B162">
            <v>0</v>
          </cell>
          <cell r="C162" t="str">
            <v xml:space="preserve"> MT        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8010</v>
          </cell>
          <cell r="J162" t="str">
            <v xml:space="preserve"> -</v>
          </cell>
          <cell r="K162" t="str">
            <v xml:space="preserve"> -</v>
          </cell>
          <cell r="L162">
            <v>0</v>
          </cell>
        </row>
        <row r="163">
          <cell r="B163">
            <v>0</v>
          </cell>
          <cell r="C163" t="str">
            <v xml:space="preserve"> BT        </v>
          </cell>
          <cell r="E163">
            <v>0</v>
          </cell>
          <cell r="F163">
            <v>94570</v>
          </cell>
          <cell r="G163">
            <v>0</v>
          </cell>
          <cell r="H163">
            <v>0</v>
          </cell>
          <cell r="I163">
            <v>765060</v>
          </cell>
          <cell r="J163" t="str">
            <v xml:space="preserve"> -</v>
          </cell>
          <cell r="K163" t="str">
            <v xml:space="preserve"> -</v>
          </cell>
          <cell r="L163">
            <v>0</v>
          </cell>
        </row>
        <row r="164">
          <cell r="B164" t="str">
            <v>ZONE</v>
          </cell>
          <cell r="C164" t="str">
            <v>STERILE PHOS.</v>
          </cell>
          <cell r="E164">
            <v>0</v>
          </cell>
          <cell r="F164">
            <v>0</v>
          </cell>
          <cell r="H164">
            <v>0</v>
          </cell>
          <cell r="I164">
            <v>0</v>
          </cell>
          <cell r="L164" t="str">
            <v xml:space="preserve"> -</v>
          </cell>
        </row>
        <row r="165">
          <cell r="B165" t="str">
            <v>C</v>
          </cell>
          <cell r="C165" t="str">
            <v xml:space="preserve"> PRIMAIRE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 t="str">
            <v xml:space="preserve"> -</v>
          </cell>
          <cell r="K165" t="str">
            <v xml:space="preserve"> -</v>
          </cell>
          <cell r="L165" t="str">
            <v xml:space="preserve"> -</v>
          </cell>
        </row>
        <row r="166">
          <cell r="C166" t="str">
            <v xml:space="preserve">INTERCAL.  </v>
          </cell>
          <cell r="E166">
            <v>0</v>
          </cell>
          <cell r="F166">
            <v>18490</v>
          </cell>
          <cell r="G166">
            <v>0</v>
          </cell>
          <cell r="H166">
            <v>0</v>
          </cell>
          <cell r="I166">
            <v>432640</v>
          </cell>
          <cell r="J166" t="str">
            <v xml:space="preserve"> -</v>
          </cell>
          <cell r="K166" t="str">
            <v xml:space="preserve"> -</v>
          </cell>
          <cell r="L166">
            <v>0</v>
          </cell>
        </row>
        <row r="167">
          <cell r="B167">
            <v>0</v>
          </cell>
          <cell r="C167" t="str">
            <v xml:space="preserve"> DEBLAIS         </v>
          </cell>
          <cell r="D167">
            <v>0</v>
          </cell>
          <cell r="E167">
            <v>0</v>
          </cell>
          <cell r="G167" t="b">
            <v>0</v>
          </cell>
          <cell r="H167">
            <v>0</v>
          </cell>
          <cell r="I167">
            <v>9040</v>
          </cell>
          <cell r="J167" t="str">
            <v xml:space="preserve"> -</v>
          </cell>
          <cell r="K167" t="str">
            <v xml:space="preserve"> -</v>
          </cell>
          <cell r="L167">
            <v>0</v>
          </cell>
        </row>
        <row r="168">
          <cell r="B168">
            <v>0</v>
          </cell>
          <cell r="C168" t="str">
            <v xml:space="preserve"> TOTAL  </v>
          </cell>
          <cell r="D168">
            <v>0</v>
          </cell>
          <cell r="E168">
            <v>0</v>
          </cell>
          <cell r="F168">
            <v>113060</v>
          </cell>
          <cell r="G168">
            <v>0</v>
          </cell>
          <cell r="H168">
            <v>0</v>
          </cell>
          <cell r="I168">
            <v>1217780</v>
          </cell>
          <cell r="J168" t="str">
            <v xml:space="preserve"> -</v>
          </cell>
          <cell r="K168" t="str">
            <v xml:space="preserve"> -</v>
          </cell>
          <cell r="L168">
            <v>0</v>
          </cell>
        </row>
        <row r="169">
          <cell r="C169" t="str">
            <v xml:space="preserve"> HT        </v>
          </cell>
          <cell r="D169">
            <v>45778.5</v>
          </cell>
          <cell r="E169" t="str">
            <v>Mois</v>
          </cell>
          <cell r="F169">
            <v>26940</v>
          </cell>
          <cell r="G169">
            <v>549342</v>
          </cell>
          <cell r="H169" t="str">
            <v>Cumulé</v>
          </cell>
          <cell r="I169">
            <v>298060</v>
          </cell>
          <cell r="J169">
            <v>0</v>
          </cell>
          <cell r="K169">
            <v>0</v>
          </cell>
          <cell r="L169">
            <v>0</v>
          </cell>
        </row>
        <row r="170">
          <cell r="C170" t="str">
            <v xml:space="preserve"> MT        </v>
          </cell>
          <cell r="D170">
            <v>16617</v>
          </cell>
          <cell r="E170">
            <v>86580</v>
          </cell>
          <cell r="F170">
            <v>26250</v>
          </cell>
          <cell r="G170">
            <v>199404</v>
          </cell>
          <cell r="H170">
            <v>741330</v>
          </cell>
          <cell r="I170">
            <v>354865</v>
          </cell>
          <cell r="J170">
            <v>521.03267737858823</v>
          </cell>
          <cell r="K170">
            <v>371.77288319191189</v>
          </cell>
          <cell r="L170">
            <v>208.90479478111394</v>
          </cell>
        </row>
        <row r="171">
          <cell r="B171" t="str">
            <v>RECETTE</v>
          </cell>
          <cell r="C171" t="str">
            <v xml:space="preserve"> BT        </v>
          </cell>
          <cell r="D171">
            <v>49207.5</v>
          </cell>
          <cell r="E171">
            <v>51120</v>
          </cell>
          <cell r="F171">
            <v>25680</v>
          </cell>
          <cell r="G171">
            <v>590490</v>
          </cell>
          <cell r="H171">
            <v>280610</v>
          </cell>
          <cell r="I171">
            <v>531550</v>
          </cell>
          <cell r="J171">
            <v>103.88660265203475</v>
          </cell>
          <cell r="K171">
            <v>47.521549899236227</v>
          </cell>
          <cell r="L171">
            <v>52.790894553663811</v>
          </cell>
        </row>
        <row r="172">
          <cell r="B172" t="str">
            <v>VII</v>
          </cell>
          <cell r="C172" t="str">
            <v>STERILE PHOS.</v>
          </cell>
          <cell r="E172">
            <v>259880</v>
          </cell>
          <cell r="G172">
            <v>0</v>
          </cell>
          <cell r="H172">
            <v>3191370</v>
          </cell>
          <cell r="J172" t="str">
            <v xml:space="preserve"> -</v>
          </cell>
          <cell r="K172" t="str">
            <v xml:space="preserve"> -</v>
          </cell>
          <cell r="L172" t="str">
            <v xml:space="preserve"> -</v>
          </cell>
        </row>
        <row r="173">
          <cell r="C173" t="str">
            <v xml:space="preserve"> PRIMAIRE</v>
          </cell>
          <cell r="D173">
            <v>418650</v>
          </cell>
          <cell r="E173">
            <v>10780</v>
          </cell>
          <cell r="F173">
            <v>659680</v>
          </cell>
          <cell r="G173">
            <v>5023800</v>
          </cell>
          <cell r="H173">
            <v>55340</v>
          </cell>
          <cell r="I173">
            <v>5594140</v>
          </cell>
          <cell r="J173">
            <v>2.5749432700346353</v>
          </cell>
          <cell r="K173">
            <v>1.1015565906286078</v>
          </cell>
          <cell r="L173">
            <v>0.98924946461833274</v>
          </cell>
        </row>
        <row r="174">
          <cell r="C174" t="str">
            <v xml:space="preserve">INTERCAL.  </v>
          </cell>
          <cell r="D174">
            <v>155947.66666666666</v>
          </cell>
          <cell r="E174">
            <v>8230</v>
          </cell>
          <cell r="F174">
            <v>235180</v>
          </cell>
          <cell r="G174">
            <v>1871372</v>
          </cell>
          <cell r="H174">
            <v>490560</v>
          </cell>
          <cell r="I174">
            <v>1800380</v>
          </cell>
          <cell r="J174">
            <v>5.277411439307631</v>
          </cell>
          <cell r="K174">
            <v>26.213922191846411</v>
          </cell>
          <cell r="L174">
            <v>27.247581066219357</v>
          </cell>
        </row>
        <row r="175">
          <cell r="C175" t="str">
            <v xml:space="preserve"> DEBLAIS         </v>
          </cell>
          <cell r="D175">
            <v>0</v>
          </cell>
          <cell r="E175">
            <v>0</v>
          </cell>
          <cell r="F175">
            <v>59920</v>
          </cell>
          <cell r="G175">
            <v>0</v>
          </cell>
          <cell r="H175">
            <v>4140</v>
          </cell>
          <cell r="I175">
            <v>605340</v>
          </cell>
          <cell r="J175" t="str">
            <v xml:space="preserve"> -</v>
          </cell>
          <cell r="K175" t="str">
            <v xml:space="preserve"> -</v>
          </cell>
          <cell r="L175">
            <v>0.68391317276241448</v>
          </cell>
        </row>
        <row r="176">
          <cell r="C176" t="str">
            <v xml:space="preserve"> TOTAL  </v>
          </cell>
          <cell r="D176">
            <v>686200.66666666663</v>
          </cell>
          <cell r="E176">
            <v>416590</v>
          </cell>
          <cell r="F176">
            <v>1033650</v>
          </cell>
          <cell r="G176">
            <v>8234408</v>
          </cell>
          <cell r="H176">
            <v>4763350</v>
          </cell>
          <cell r="I176">
            <v>9184335</v>
          </cell>
          <cell r="J176">
            <v>60.709646643693148</v>
          </cell>
          <cell r="K176">
            <v>57.846902898180417</v>
          </cell>
          <cell r="L176">
            <v>51.863852962680483</v>
          </cell>
        </row>
        <row r="177">
          <cell r="B177">
            <v>0</v>
          </cell>
          <cell r="C177" t="str">
            <v xml:space="preserve"> HT        </v>
          </cell>
          <cell r="D177">
            <v>10186.5</v>
          </cell>
          <cell r="E177" t="str">
            <v>Mois</v>
          </cell>
          <cell r="G177">
            <v>122238</v>
          </cell>
          <cell r="H177" t="str">
            <v>Cumulé</v>
          </cell>
          <cell r="I177">
            <v>66510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0</v>
          </cell>
          <cell r="C178" t="str">
            <v xml:space="preserve"> MT        </v>
          </cell>
          <cell r="D178">
            <v>11474.25</v>
          </cell>
          <cell r="E178">
            <v>7880</v>
          </cell>
          <cell r="F178">
            <v>0</v>
          </cell>
          <cell r="G178">
            <v>137691</v>
          </cell>
          <cell r="H178">
            <v>240480</v>
          </cell>
          <cell r="I178">
            <v>5650</v>
          </cell>
          <cell r="J178">
            <v>68.675512560733821</v>
          </cell>
          <cell r="K178">
            <v>174.6519380351657</v>
          </cell>
          <cell r="L178">
            <v>4256.283185840708</v>
          </cell>
        </row>
        <row r="179">
          <cell r="B179">
            <v>0</v>
          </cell>
          <cell r="C179" t="str">
            <v xml:space="preserve"> BT        </v>
          </cell>
          <cell r="D179">
            <v>31293</v>
          </cell>
          <cell r="E179">
            <v>14320</v>
          </cell>
          <cell r="F179">
            <v>5400</v>
          </cell>
          <cell r="G179">
            <v>375516</v>
          </cell>
          <cell r="H179">
            <v>178160</v>
          </cell>
          <cell r="I179">
            <v>27290</v>
          </cell>
          <cell r="J179">
            <v>45.761032818841272</v>
          </cell>
          <cell r="K179">
            <v>47.444050320092884</v>
          </cell>
          <cell r="L179">
            <v>652.83986808354712</v>
          </cell>
        </row>
        <row r="180">
          <cell r="C180" t="str">
            <v>STERILE PHOS.</v>
          </cell>
        </row>
        <row r="181">
          <cell r="B181" t="str">
            <v>GHAR</v>
          </cell>
          <cell r="C181" t="str">
            <v xml:space="preserve"> PRIMAIRE</v>
          </cell>
          <cell r="D181">
            <v>104100</v>
          </cell>
          <cell r="E181">
            <v>0</v>
          </cell>
          <cell r="G181">
            <v>1249200</v>
          </cell>
          <cell r="H181">
            <v>659960</v>
          </cell>
          <cell r="I181">
            <v>0</v>
          </cell>
          <cell r="J181">
            <v>0</v>
          </cell>
          <cell r="K181">
            <v>52.83061159141851</v>
          </cell>
          <cell r="L181" t="str">
            <v xml:space="preserve"> -</v>
          </cell>
        </row>
        <row r="182">
          <cell r="B182" t="str">
            <v>MAATI</v>
          </cell>
          <cell r="C182" t="str">
            <v xml:space="preserve">INTERCAL.  </v>
          </cell>
          <cell r="D182">
            <v>54895.25</v>
          </cell>
          <cell r="E182">
            <v>0</v>
          </cell>
          <cell r="F182">
            <v>60700</v>
          </cell>
          <cell r="G182">
            <v>658743</v>
          </cell>
          <cell r="H182">
            <v>121590</v>
          </cell>
          <cell r="I182">
            <v>486810</v>
          </cell>
          <cell r="J182">
            <v>0</v>
          </cell>
          <cell r="K182">
            <v>18.457881146365125</v>
          </cell>
          <cell r="L182">
            <v>24.976890367905344</v>
          </cell>
        </row>
        <row r="183">
          <cell r="B183">
            <v>0</v>
          </cell>
          <cell r="C183" t="str">
            <v xml:space="preserve"> DEBLAIS         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 t="str">
            <v xml:space="preserve"> -</v>
          </cell>
          <cell r="K183" t="str">
            <v xml:space="preserve"> -</v>
          </cell>
          <cell r="L183" t="str">
            <v xml:space="preserve"> -</v>
          </cell>
        </row>
        <row r="184">
          <cell r="B184">
            <v>0</v>
          </cell>
          <cell r="C184" t="str">
            <v xml:space="preserve"> TOTAL  </v>
          </cell>
          <cell r="D184">
            <v>211949</v>
          </cell>
          <cell r="E184">
            <v>22200</v>
          </cell>
          <cell r="F184">
            <v>66100</v>
          </cell>
          <cell r="G184">
            <v>2543388</v>
          </cell>
          <cell r="H184">
            <v>1200190</v>
          </cell>
          <cell r="I184">
            <v>586260</v>
          </cell>
          <cell r="J184">
            <v>10.474217854295137</v>
          </cell>
          <cell r="K184">
            <v>47.188631856405706</v>
          </cell>
          <cell r="L184">
            <v>204.71974891686284</v>
          </cell>
        </row>
        <row r="185">
          <cell r="C185" t="str">
            <v xml:space="preserve"> HT        </v>
          </cell>
          <cell r="D185">
            <v>87549</v>
          </cell>
          <cell r="E185" t="str">
            <v>Mois</v>
          </cell>
          <cell r="F185">
            <v>24740</v>
          </cell>
          <cell r="G185">
            <v>1050588</v>
          </cell>
          <cell r="H185" t="str">
            <v>Cumulé</v>
          </cell>
          <cell r="I185">
            <v>427560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0</v>
          </cell>
          <cell r="C186" t="str">
            <v xml:space="preserve"> MT        </v>
          </cell>
          <cell r="D186">
            <v>45595.166666666664</v>
          </cell>
          <cell r="E186">
            <v>77850</v>
          </cell>
          <cell r="F186">
            <v>58070</v>
          </cell>
          <cell r="G186">
            <v>547142</v>
          </cell>
          <cell r="H186">
            <v>585050</v>
          </cell>
          <cell r="I186">
            <v>402650</v>
          </cell>
          <cell r="J186">
            <v>170.7417818409115</v>
          </cell>
          <cell r="K186">
            <v>106.92836594522079</v>
          </cell>
          <cell r="L186">
            <v>145.29988824040728</v>
          </cell>
        </row>
        <row r="187">
          <cell r="B187">
            <v>0</v>
          </cell>
          <cell r="C187" t="str">
            <v xml:space="preserve"> BT        </v>
          </cell>
          <cell r="D187">
            <v>141252</v>
          </cell>
          <cell r="E187">
            <v>101590</v>
          </cell>
          <cell r="F187">
            <v>72410</v>
          </cell>
          <cell r="G187">
            <v>1695024</v>
          </cell>
          <cell r="H187">
            <v>608610</v>
          </cell>
          <cell r="I187">
            <v>978000</v>
          </cell>
          <cell r="J187">
            <v>71.921105541868428</v>
          </cell>
          <cell r="K187">
            <v>35.905686291167562</v>
          </cell>
          <cell r="L187">
            <v>62.230061349693258</v>
          </cell>
        </row>
        <row r="188">
          <cell r="C188" t="str">
            <v>STERILE PHOS.</v>
          </cell>
          <cell r="D188">
            <v>27612.5</v>
          </cell>
          <cell r="E188">
            <v>386742</v>
          </cell>
          <cell r="F188">
            <v>2880</v>
          </cell>
          <cell r="G188">
            <v>331350</v>
          </cell>
          <cell r="H188">
            <v>3003312</v>
          </cell>
          <cell r="I188">
            <v>21490</v>
          </cell>
          <cell r="J188">
            <v>1400.6047985513808</v>
          </cell>
          <cell r="K188">
            <v>906.38660027161609</v>
          </cell>
          <cell r="L188">
            <v>13975.393206142391</v>
          </cell>
        </row>
        <row r="189">
          <cell r="B189" t="str">
            <v>EXT. Z.C</v>
          </cell>
          <cell r="C189" t="str">
            <v xml:space="preserve"> PRIMAIRE</v>
          </cell>
          <cell r="D189">
            <v>474178.33333333331</v>
          </cell>
          <cell r="E189">
            <v>225480</v>
          </cell>
          <cell r="F189">
            <v>7820</v>
          </cell>
          <cell r="G189">
            <v>5690140</v>
          </cell>
          <cell r="H189">
            <v>2833500</v>
          </cell>
          <cell r="I189">
            <v>1642740</v>
          </cell>
          <cell r="J189">
            <v>47.551729834415326</v>
          </cell>
          <cell r="K189">
            <v>49.796665811386006</v>
          </cell>
          <cell r="L189">
            <v>172.4862120603382</v>
          </cell>
        </row>
        <row r="190">
          <cell r="B190" t="str">
            <v>NORD</v>
          </cell>
          <cell r="C190" t="str">
            <v xml:space="preserve">INTERCALAIRES   </v>
          </cell>
          <cell r="D190">
            <v>383691.91666666669</v>
          </cell>
          <cell r="E190">
            <v>164962</v>
          </cell>
          <cell r="F190">
            <v>387670</v>
          </cell>
          <cell r="G190">
            <v>4604303</v>
          </cell>
          <cell r="H190">
            <v>763312</v>
          </cell>
          <cell r="I190">
            <v>2470190</v>
          </cell>
          <cell r="J190">
            <v>42.993347744490315</v>
          </cell>
          <cell r="K190">
            <v>16.57823127626483</v>
          </cell>
          <cell r="L190">
            <v>30.900942842453418</v>
          </cell>
        </row>
        <row r="191">
          <cell r="B191">
            <v>0</v>
          </cell>
          <cell r="C191" t="str">
            <v xml:space="preserve"> DEBLAIS         </v>
          </cell>
          <cell r="D191" t="str">
            <v>-</v>
          </cell>
          <cell r="E191">
            <v>0</v>
          </cell>
          <cell r="F191">
            <v>20000</v>
          </cell>
          <cell r="G191" t="str">
            <v>-</v>
          </cell>
          <cell r="H191">
            <v>58650</v>
          </cell>
          <cell r="I191">
            <v>173150</v>
          </cell>
          <cell r="J191" t="str">
            <v xml:space="preserve"> -</v>
          </cell>
          <cell r="K191" t="str">
            <v xml:space="preserve"> -</v>
          </cell>
          <cell r="L191">
            <v>33.872365001443832</v>
          </cell>
        </row>
        <row r="192">
          <cell r="C192" t="str">
            <v xml:space="preserve"> TOTAL  </v>
          </cell>
          <cell r="D192">
            <v>1159878.9166666667</v>
          </cell>
          <cell r="E192">
            <v>956624</v>
          </cell>
          <cell r="F192">
            <v>573590</v>
          </cell>
          <cell r="G192">
            <v>13918547</v>
          </cell>
          <cell r="H192">
            <v>7852434</v>
          </cell>
          <cell r="I192">
            <v>6115780</v>
          </cell>
          <cell r="J192">
            <v>82.476195252277407</v>
          </cell>
          <cell r="K192">
            <v>56.417052728276886</v>
          </cell>
          <cell r="L192">
            <v>128.39627978769676</v>
          </cell>
        </row>
        <row r="193">
          <cell r="C193" t="str">
            <v xml:space="preserve"> HT        </v>
          </cell>
          <cell r="E193" t="str">
            <v>Mois</v>
          </cell>
          <cell r="H193" t="str">
            <v>Cumulé</v>
          </cell>
        </row>
        <row r="194">
          <cell r="C194" t="str">
            <v xml:space="preserve"> MT        </v>
          </cell>
          <cell r="E194">
            <v>0</v>
          </cell>
          <cell r="H194">
            <v>23420</v>
          </cell>
        </row>
        <row r="195">
          <cell r="B195" t="str">
            <v>ZONE</v>
          </cell>
          <cell r="C195" t="str">
            <v xml:space="preserve"> BT        </v>
          </cell>
          <cell r="E195">
            <v>0</v>
          </cell>
          <cell r="H195">
            <v>0</v>
          </cell>
        </row>
        <row r="196">
          <cell r="B196" t="str">
            <v>CENTRALE</v>
          </cell>
          <cell r="C196" t="str">
            <v>STERILE PHOS.</v>
          </cell>
          <cell r="E196">
            <v>0</v>
          </cell>
          <cell r="H196">
            <v>0</v>
          </cell>
        </row>
        <row r="197">
          <cell r="B197" t="str">
            <v>SUD</v>
          </cell>
          <cell r="C197" t="str">
            <v xml:space="preserve"> PRIMAIRE</v>
          </cell>
          <cell r="E197">
            <v>0</v>
          </cell>
          <cell r="H197">
            <v>0</v>
          </cell>
        </row>
        <row r="198">
          <cell r="C198" t="str">
            <v xml:space="preserve">INTERCALAIRES   </v>
          </cell>
          <cell r="E198">
            <v>0</v>
          </cell>
          <cell r="H198">
            <v>0</v>
          </cell>
        </row>
        <row r="199">
          <cell r="C199" t="str">
            <v xml:space="preserve"> DEBLAIS         </v>
          </cell>
          <cell r="E199">
            <v>0</v>
          </cell>
          <cell r="H199">
            <v>0</v>
          </cell>
        </row>
        <row r="200">
          <cell r="C200" t="str">
            <v xml:space="preserve"> TOTAL  </v>
          </cell>
          <cell r="E200">
            <v>0</v>
          </cell>
          <cell r="F200">
            <v>0</v>
          </cell>
          <cell r="G200">
            <v>0</v>
          </cell>
          <cell r="H200">
            <v>23420</v>
          </cell>
        </row>
        <row r="201">
          <cell r="B201" t="str">
            <v>TOTAL</v>
          </cell>
          <cell r="D201">
            <v>2058028.5833333335</v>
          </cell>
          <cell r="E201">
            <v>1395414</v>
          </cell>
          <cell r="F201">
            <v>1786400</v>
          </cell>
          <cell r="G201">
            <v>24696343</v>
          </cell>
          <cell r="H201">
            <v>13839394</v>
          </cell>
          <cell r="I201">
            <v>17104155</v>
          </cell>
          <cell r="J201">
            <v>67.803431463516688</v>
          </cell>
          <cell r="K201">
            <v>56.038232057272609</v>
          </cell>
          <cell r="L201">
            <v>80.912468344679993</v>
          </cell>
        </row>
        <row r="202">
          <cell r="K202" t="str">
            <v>ANNEXE : 8</v>
          </cell>
        </row>
        <row r="203">
          <cell r="B203" t="str">
            <v>VOLUMES REPRIS PAR SECTEUR</v>
          </cell>
        </row>
        <row r="204">
          <cell r="B204" t="str">
            <v>MOIS DE DECEMBRE 2002</v>
          </cell>
        </row>
        <row r="206">
          <cell r="K206" t="str">
            <v>UNITE : m3</v>
          </cell>
        </row>
        <row r="207">
          <cell r="D207" t="str">
            <v>MOIS</v>
          </cell>
          <cell r="G207" t="str">
            <v xml:space="preserve">CUMULE  </v>
          </cell>
          <cell r="J207" t="str">
            <v>INDICES</v>
          </cell>
        </row>
        <row r="208">
          <cell r="B208" t="str">
            <v xml:space="preserve"> ZONE</v>
          </cell>
          <cell r="C208" t="str">
            <v>NIVEAUX</v>
          </cell>
          <cell r="D208" t="str">
            <v xml:space="preserve"> PREVU 2002  </v>
          </cell>
          <cell r="E208" t="str">
            <v>REALISE 2002</v>
          </cell>
          <cell r="F208" t="str">
            <v>REALISE 2001</v>
          </cell>
          <cell r="G208" t="str">
            <v xml:space="preserve"> PREVU 2002  </v>
          </cell>
          <cell r="H208" t="str">
            <v>REALISE 2002</v>
          </cell>
          <cell r="I208" t="str">
            <v>REALISE 2001</v>
          </cell>
          <cell r="J208" t="str">
            <v>R/P MOIS</v>
          </cell>
          <cell r="K208" t="str">
            <v>R/P CUM</v>
          </cell>
          <cell r="L208" t="str">
            <v>A/A-1</v>
          </cell>
        </row>
        <row r="209">
          <cell r="C209" t="str">
            <v xml:space="preserve"> HT        </v>
          </cell>
          <cell r="D209" t="str">
            <v>-</v>
          </cell>
          <cell r="E209">
            <v>19380</v>
          </cell>
          <cell r="F209" t="str">
            <v>-</v>
          </cell>
          <cell r="G209">
            <v>0</v>
          </cell>
          <cell r="H209">
            <v>80130</v>
          </cell>
          <cell r="I209">
            <v>26270</v>
          </cell>
          <cell r="J209" t="str">
            <v xml:space="preserve"> -</v>
          </cell>
          <cell r="K209" t="str">
            <v xml:space="preserve">    -</v>
          </cell>
          <cell r="L209">
            <v>305.02474305291207</v>
          </cell>
        </row>
        <row r="210">
          <cell r="B210" t="str">
            <v>DAOUI</v>
          </cell>
          <cell r="C210" t="str">
            <v xml:space="preserve"> MT      </v>
          </cell>
          <cell r="D210" t="str">
            <v>-</v>
          </cell>
          <cell r="E210" t="str">
            <v>-</v>
          </cell>
          <cell r="F210" t="str">
            <v>-</v>
          </cell>
          <cell r="G210">
            <v>0</v>
          </cell>
          <cell r="H210">
            <v>43590</v>
          </cell>
          <cell r="I210" t="str">
            <v>-</v>
          </cell>
          <cell r="J210" t="str">
            <v xml:space="preserve"> -</v>
          </cell>
          <cell r="K210" t="str">
            <v xml:space="preserve">    -</v>
          </cell>
          <cell r="L210" t="str">
            <v xml:space="preserve"> -</v>
          </cell>
        </row>
        <row r="211">
          <cell r="B211">
            <v>0</v>
          </cell>
          <cell r="C211" t="str">
            <v>BT</v>
          </cell>
          <cell r="D211" t="str">
            <v>-</v>
          </cell>
          <cell r="E211" t="str">
            <v>-</v>
          </cell>
          <cell r="F211" t="str">
            <v>-</v>
          </cell>
          <cell r="G211">
            <v>0</v>
          </cell>
          <cell r="H211">
            <v>33200</v>
          </cell>
          <cell r="I211">
            <v>223920</v>
          </cell>
          <cell r="J211" t="str">
            <v xml:space="preserve"> -</v>
          </cell>
          <cell r="K211" t="str">
            <v xml:space="preserve"> -</v>
          </cell>
          <cell r="L211">
            <v>14.826723829939265</v>
          </cell>
        </row>
        <row r="212">
          <cell r="C212" t="str">
            <v>TOTAL</v>
          </cell>
          <cell r="D212" t="str">
            <v>-</v>
          </cell>
          <cell r="E212">
            <v>19380</v>
          </cell>
          <cell r="F212" t="str">
            <v>-</v>
          </cell>
          <cell r="G212">
            <v>0</v>
          </cell>
          <cell r="H212">
            <v>156920</v>
          </cell>
          <cell r="I212">
            <v>250190</v>
          </cell>
          <cell r="J212" t="str">
            <v xml:space="preserve"> -</v>
          </cell>
          <cell r="K212" t="str">
            <v xml:space="preserve"> -</v>
          </cell>
          <cell r="L212">
            <v>62.720332547264078</v>
          </cell>
        </row>
        <row r="213">
          <cell r="C213" t="str">
            <v xml:space="preserve"> HT        </v>
          </cell>
          <cell r="D213" t="str">
            <v xml:space="preserve">            -</v>
          </cell>
          <cell r="E213" t="str">
            <v>-</v>
          </cell>
          <cell r="F213" t="str">
            <v>-</v>
          </cell>
          <cell r="G213">
            <v>0</v>
          </cell>
          <cell r="H213">
            <v>90720</v>
          </cell>
          <cell r="I213">
            <v>150280</v>
          </cell>
          <cell r="J213" t="str">
            <v xml:space="preserve"> -</v>
          </cell>
          <cell r="K213" t="str">
            <v xml:space="preserve"> -</v>
          </cell>
          <cell r="L213">
            <v>60.367314346553101</v>
          </cell>
        </row>
        <row r="214">
          <cell r="B214" t="str">
            <v>MEA</v>
          </cell>
          <cell r="C214" t="str">
            <v xml:space="preserve"> MT      </v>
          </cell>
          <cell r="D214" t="str">
            <v xml:space="preserve">            -</v>
          </cell>
          <cell r="E214" t="str">
            <v>-</v>
          </cell>
          <cell r="F214">
            <v>6000</v>
          </cell>
          <cell r="G214">
            <v>0</v>
          </cell>
          <cell r="H214">
            <v>29200</v>
          </cell>
          <cell r="I214">
            <v>9500</v>
          </cell>
          <cell r="J214" t="str">
            <v xml:space="preserve"> -</v>
          </cell>
          <cell r="K214" t="str">
            <v xml:space="preserve"> -</v>
          </cell>
          <cell r="L214">
            <v>307.36842105263156</v>
          </cell>
        </row>
        <row r="215">
          <cell r="B215">
            <v>0</v>
          </cell>
          <cell r="C215" t="str">
            <v>BT</v>
          </cell>
          <cell r="D215">
            <v>71416.666666666672</v>
          </cell>
          <cell r="E215" t="str">
            <v>-</v>
          </cell>
          <cell r="F215">
            <v>86000</v>
          </cell>
          <cell r="G215">
            <v>857000</v>
          </cell>
          <cell r="H215">
            <v>734670</v>
          </cell>
          <cell r="I215">
            <v>807610</v>
          </cell>
          <cell r="J215">
            <v>0</v>
          </cell>
          <cell r="K215">
            <v>85.725787631271871</v>
          </cell>
          <cell r="L215">
            <v>90.968412971607577</v>
          </cell>
        </row>
        <row r="216">
          <cell r="C216" t="str">
            <v>TOTAL</v>
          </cell>
          <cell r="D216">
            <v>71416.666666666672</v>
          </cell>
          <cell r="E216" t="str">
            <v>-</v>
          </cell>
          <cell r="F216">
            <v>92000</v>
          </cell>
          <cell r="G216">
            <v>857000</v>
          </cell>
          <cell r="H216">
            <v>854590</v>
          </cell>
          <cell r="I216">
            <v>967390</v>
          </cell>
          <cell r="J216">
            <v>0</v>
          </cell>
          <cell r="K216">
            <v>99.718786464410741</v>
          </cell>
          <cell r="L216">
            <v>88.339759559226366</v>
          </cell>
        </row>
        <row r="217">
          <cell r="C217" t="str">
            <v xml:space="preserve"> HT        </v>
          </cell>
          <cell r="D217" t="str">
            <v xml:space="preserve">            -</v>
          </cell>
          <cell r="E217" t="str">
            <v>-</v>
          </cell>
          <cell r="F217" t="str">
            <v>-</v>
          </cell>
          <cell r="G217" t="str">
            <v>-</v>
          </cell>
          <cell r="H217">
            <v>239000</v>
          </cell>
          <cell r="I217" t="str">
            <v>-</v>
          </cell>
          <cell r="J217" t="str">
            <v xml:space="preserve"> -</v>
          </cell>
          <cell r="K217" t="str">
            <v xml:space="preserve"> -</v>
          </cell>
          <cell r="L217" t="str">
            <v xml:space="preserve"> -</v>
          </cell>
        </row>
        <row r="218">
          <cell r="C218" t="str">
            <v xml:space="preserve"> MT        </v>
          </cell>
          <cell r="D218">
            <v>0</v>
          </cell>
          <cell r="E218" t="str">
            <v>-</v>
          </cell>
          <cell r="F218" t="str">
            <v>-</v>
          </cell>
          <cell r="G218">
            <v>0</v>
          </cell>
          <cell r="H218" t="str">
            <v>-</v>
          </cell>
          <cell r="I218" t="str">
            <v>-</v>
          </cell>
          <cell r="J218" t="str">
            <v xml:space="preserve"> -</v>
          </cell>
          <cell r="K218" t="str">
            <v xml:space="preserve"> -</v>
          </cell>
          <cell r="L218" t="str">
            <v xml:space="preserve"> -</v>
          </cell>
        </row>
        <row r="219">
          <cell r="B219" t="str">
            <v>SC</v>
          </cell>
          <cell r="C219" t="str">
            <v xml:space="preserve"> BT   </v>
          </cell>
          <cell r="D219">
            <v>49750</v>
          </cell>
          <cell r="E219" t="str">
            <v>-</v>
          </cell>
          <cell r="F219">
            <v>30000</v>
          </cell>
          <cell r="G219">
            <v>597000</v>
          </cell>
          <cell r="H219">
            <v>462000</v>
          </cell>
          <cell r="I219">
            <v>735100</v>
          </cell>
          <cell r="J219">
            <v>0</v>
          </cell>
          <cell r="K219">
            <v>77.386934673366838</v>
          </cell>
          <cell r="L219">
            <v>62.848592028295471</v>
          </cell>
        </row>
        <row r="220">
          <cell r="C220" t="str">
            <v xml:space="preserve"> TOTAL  </v>
          </cell>
          <cell r="D220">
            <v>49750</v>
          </cell>
          <cell r="E220" t="str">
            <v>-</v>
          </cell>
          <cell r="F220">
            <v>30000</v>
          </cell>
          <cell r="G220">
            <v>597000</v>
          </cell>
          <cell r="H220">
            <v>701000</v>
          </cell>
          <cell r="I220">
            <v>735100</v>
          </cell>
          <cell r="J220">
            <v>0</v>
          </cell>
          <cell r="K220">
            <v>117.42043551088777</v>
          </cell>
          <cell r="L220">
            <v>95.361175350292484</v>
          </cell>
        </row>
        <row r="221">
          <cell r="C221" t="str">
            <v xml:space="preserve"> HT        </v>
          </cell>
          <cell r="D221" t="str">
            <v>-</v>
          </cell>
          <cell r="E221">
            <v>19380</v>
          </cell>
          <cell r="F221" t="str">
            <v>-</v>
          </cell>
          <cell r="G221">
            <v>0</v>
          </cell>
          <cell r="H221">
            <v>409850</v>
          </cell>
          <cell r="I221">
            <v>176550</v>
          </cell>
          <cell r="J221" t="str">
            <v xml:space="preserve"> -</v>
          </cell>
          <cell r="K221" t="str">
            <v xml:space="preserve"> -</v>
          </cell>
          <cell r="L221">
            <v>232.14386859246673</v>
          </cell>
        </row>
        <row r="222">
          <cell r="B222" t="str">
            <v>EK</v>
          </cell>
          <cell r="C222" t="str">
            <v xml:space="preserve"> MT        </v>
          </cell>
          <cell r="D222" t="str">
            <v>-</v>
          </cell>
          <cell r="E222">
            <v>0</v>
          </cell>
          <cell r="F222">
            <v>6000</v>
          </cell>
          <cell r="G222">
            <v>0</v>
          </cell>
          <cell r="H222">
            <v>72790</v>
          </cell>
          <cell r="I222">
            <v>9500</v>
          </cell>
          <cell r="J222" t="str">
            <v xml:space="preserve"> -</v>
          </cell>
          <cell r="K222" t="str">
            <v xml:space="preserve"> -</v>
          </cell>
          <cell r="L222">
            <v>766.21052631578948</v>
          </cell>
        </row>
        <row r="223">
          <cell r="B223">
            <v>0</v>
          </cell>
          <cell r="C223" t="str">
            <v xml:space="preserve"> BT   </v>
          </cell>
          <cell r="D223">
            <v>121166.66666666667</v>
          </cell>
          <cell r="E223">
            <v>0</v>
          </cell>
          <cell r="F223">
            <v>116000</v>
          </cell>
          <cell r="G223">
            <v>1454000</v>
          </cell>
          <cell r="H223">
            <v>1229870</v>
          </cell>
          <cell r="I223">
            <v>1766630</v>
          </cell>
          <cell r="J223">
            <v>0</v>
          </cell>
          <cell r="K223">
            <v>84.585281980742778</v>
          </cell>
          <cell r="L223">
            <v>69.616727894352522</v>
          </cell>
        </row>
        <row r="224">
          <cell r="C224" t="str">
            <v xml:space="preserve"> TOTAL  </v>
          </cell>
          <cell r="D224">
            <v>121166.66666666667</v>
          </cell>
          <cell r="E224">
            <v>19380</v>
          </cell>
          <cell r="F224">
            <v>122000</v>
          </cell>
          <cell r="G224">
            <v>1454000</v>
          </cell>
          <cell r="H224">
            <v>1712510</v>
          </cell>
          <cell r="I224">
            <v>1952680</v>
          </cell>
          <cell r="J224">
            <v>15.994497936726271</v>
          </cell>
          <cell r="K224">
            <v>117.77922971114168</v>
          </cell>
          <cell r="L224">
            <v>87.700493680480164</v>
          </cell>
        </row>
        <row r="226">
          <cell r="K226" t="str">
            <v>ANNEXE : 7</v>
          </cell>
        </row>
        <row r="227">
          <cell r="B227" t="str">
            <v xml:space="preserve">VOLUMES REMUES </v>
          </cell>
        </row>
        <row r="228">
          <cell r="B228" t="str">
            <v>MOIS DE DECEMBRE 2002</v>
          </cell>
        </row>
        <row r="229">
          <cell r="K229" t="str">
            <v>UNITE : m3</v>
          </cell>
        </row>
        <row r="230">
          <cell r="D230" t="str">
            <v>MOIS</v>
          </cell>
          <cell r="G230" t="str">
            <v xml:space="preserve">CUMULE  </v>
          </cell>
          <cell r="J230" t="str">
            <v>INDICES</v>
          </cell>
        </row>
        <row r="231">
          <cell r="B231" t="str">
            <v xml:space="preserve"> ZONE</v>
          </cell>
          <cell r="C231" t="str">
            <v>NIVEAUX</v>
          </cell>
          <cell r="D231" t="str">
            <v xml:space="preserve"> PREVU 2002  </v>
          </cell>
          <cell r="E231" t="str">
            <v>REALISE 2002</v>
          </cell>
          <cell r="F231" t="str">
            <v>REALISE 2001</v>
          </cell>
          <cell r="G231" t="str">
            <v xml:space="preserve"> PREVU 2002  </v>
          </cell>
          <cell r="H231" t="str">
            <v>REALISE 2002</v>
          </cell>
          <cell r="I231" t="str">
            <v>REALISE 2001</v>
          </cell>
          <cell r="J231" t="str">
            <v>R/P MOIS</v>
          </cell>
          <cell r="K231" t="str">
            <v>R/P CUM</v>
          </cell>
          <cell r="L231" t="str">
            <v>A/A-1</v>
          </cell>
        </row>
        <row r="232">
          <cell r="C232" t="str">
            <v xml:space="preserve"> HT        </v>
          </cell>
          <cell r="D232">
            <v>30797.083333333332</v>
          </cell>
          <cell r="E232">
            <v>27200</v>
          </cell>
          <cell r="F232">
            <v>46260</v>
          </cell>
          <cell r="G232">
            <v>369565</v>
          </cell>
          <cell r="H232">
            <v>354760</v>
          </cell>
          <cell r="I232">
            <v>380100</v>
          </cell>
          <cell r="J232">
            <v>88.320051952971738</v>
          </cell>
          <cell r="K232">
            <v>95.993938819964015</v>
          </cell>
          <cell r="L232">
            <v>93.333333333333329</v>
          </cell>
        </row>
        <row r="233">
          <cell r="B233">
            <v>0</v>
          </cell>
          <cell r="C233" t="str">
            <v xml:space="preserve"> MT        </v>
          </cell>
          <cell r="D233">
            <v>54347.833333333336</v>
          </cell>
          <cell r="E233">
            <v>129330</v>
          </cell>
          <cell r="F233">
            <v>108460</v>
          </cell>
          <cell r="G233">
            <v>652174</v>
          </cell>
          <cell r="H233">
            <v>802410</v>
          </cell>
          <cell r="I233">
            <v>1359640</v>
          </cell>
          <cell r="J233">
            <v>237.96716827104422</v>
          </cell>
          <cell r="K233">
            <v>123.03618359517552</v>
          </cell>
          <cell r="L233">
            <v>59.016357271042331</v>
          </cell>
        </row>
        <row r="234">
          <cell r="B234">
            <v>0</v>
          </cell>
          <cell r="C234" t="str">
            <v xml:space="preserve"> BT     </v>
          </cell>
          <cell r="D234">
            <v>276557.91666666669</v>
          </cell>
          <cell r="E234">
            <v>211980</v>
          </cell>
          <cell r="F234">
            <v>102500</v>
          </cell>
          <cell r="G234">
            <v>3318695</v>
          </cell>
          <cell r="H234">
            <v>2898820</v>
          </cell>
          <cell r="I234">
            <v>2387830</v>
          </cell>
          <cell r="J234">
            <v>76.649405865859919</v>
          </cell>
          <cell r="K234">
            <v>87.348189574516482</v>
          </cell>
          <cell r="L234">
            <v>121.3997646398613</v>
          </cell>
        </row>
        <row r="235">
          <cell r="C235" t="str">
            <v>Podzolizé</v>
          </cell>
          <cell r="D235">
            <v>0</v>
          </cell>
          <cell r="E235">
            <v>0</v>
          </cell>
          <cell r="F235">
            <v>57880</v>
          </cell>
          <cell r="G235" t="str">
            <v>-</v>
          </cell>
          <cell r="H235">
            <v>430950</v>
          </cell>
          <cell r="I235">
            <v>382060</v>
          </cell>
          <cell r="J235" t="str">
            <v xml:space="preserve"> -</v>
          </cell>
          <cell r="K235" t="str">
            <v xml:space="preserve"> -</v>
          </cell>
          <cell r="L235">
            <v>112.79641941056377</v>
          </cell>
        </row>
        <row r="236">
          <cell r="B236" t="str">
            <v>DAOUI</v>
          </cell>
          <cell r="C236" t="str">
            <v xml:space="preserve"> PRIMAIRE</v>
          </cell>
          <cell r="D236" t="str">
            <v>-</v>
          </cell>
          <cell r="E236" t="str">
            <v>-</v>
          </cell>
          <cell r="F236" t="str">
            <v>-</v>
          </cell>
          <cell r="G236" t="str">
            <v>-</v>
          </cell>
          <cell r="H236" t="str">
            <v>-</v>
          </cell>
          <cell r="I236" t="str">
            <v>-</v>
          </cell>
          <cell r="J236" t="str">
            <v xml:space="preserve"> -</v>
          </cell>
          <cell r="K236" t="str">
            <v xml:space="preserve"> -</v>
          </cell>
          <cell r="L236" t="str">
            <v xml:space="preserve"> -</v>
          </cell>
        </row>
        <row r="237">
          <cell r="B237">
            <v>0</v>
          </cell>
          <cell r="C237" t="str">
            <v xml:space="preserve">INTERCALAIRES   </v>
          </cell>
          <cell r="D237" t="str">
            <v>-</v>
          </cell>
          <cell r="E237">
            <v>32820</v>
          </cell>
          <cell r="F237">
            <v>19660</v>
          </cell>
          <cell r="G237" t="str">
            <v>-</v>
          </cell>
          <cell r="H237">
            <v>257390</v>
          </cell>
          <cell r="I237">
            <v>417340</v>
          </cell>
          <cell r="J237" t="str">
            <v xml:space="preserve"> -</v>
          </cell>
          <cell r="K237" t="str">
            <v xml:space="preserve"> -</v>
          </cell>
          <cell r="L237">
            <v>61.673934921167394</v>
          </cell>
        </row>
        <row r="238">
          <cell r="B238">
            <v>0</v>
          </cell>
          <cell r="C238" t="str">
            <v xml:space="preserve"> DEBLAIS         </v>
          </cell>
          <cell r="D238">
            <v>825000</v>
          </cell>
          <cell r="E238">
            <v>837120</v>
          </cell>
          <cell r="F238">
            <v>1120750</v>
          </cell>
          <cell r="G238">
            <v>9900000</v>
          </cell>
          <cell r="H238">
            <v>13187440</v>
          </cell>
          <cell r="I238">
            <v>10955920</v>
          </cell>
          <cell r="J238">
            <v>101.46909090909091</v>
          </cell>
          <cell r="K238">
            <v>133.20646464646464</v>
          </cell>
          <cell r="L238">
            <v>120.36816625167033</v>
          </cell>
        </row>
        <row r="239">
          <cell r="C239" t="str">
            <v xml:space="preserve"> TOTAL  </v>
          </cell>
          <cell r="D239">
            <v>1186702.8333333335</v>
          </cell>
          <cell r="E239">
            <v>1238450</v>
          </cell>
          <cell r="F239">
            <v>1455510</v>
          </cell>
          <cell r="G239">
            <v>14240434</v>
          </cell>
          <cell r="H239">
            <v>17931770</v>
          </cell>
          <cell r="I239">
            <v>15882890</v>
          </cell>
          <cell r="J239">
            <v>104.36058339233199</v>
          </cell>
          <cell r="K239">
            <v>125.92151334713535</v>
          </cell>
          <cell r="L239">
            <v>112.89991934717169</v>
          </cell>
        </row>
        <row r="240">
          <cell r="C240" t="str">
            <v xml:space="preserve"> HT        </v>
          </cell>
          <cell r="D240">
            <v>143514</v>
          </cell>
          <cell r="E240">
            <v>172310</v>
          </cell>
          <cell r="F240">
            <v>150880</v>
          </cell>
          <cell r="G240">
            <v>1722168</v>
          </cell>
          <cell r="H240">
            <v>1590280</v>
          </cell>
          <cell r="I240">
            <v>1085570</v>
          </cell>
          <cell r="J240">
            <v>120.06494139944535</v>
          </cell>
          <cell r="K240">
            <v>92.34174598529296</v>
          </cell>
          <cell r="L240">
            <v>146.49262599371758</v>
          </cell>
        </row>
        <row r="241">
          <cell r="C241" t="str">
            <v xml:space="preserve"> MT      </v>
          </cell>
          <cell r="D241">
            <v>73686.416666666657</v>
          </cell>
          <cell r="E241">
            <v>167030</v>
          </cell>
          <cell r="F241">
            <v>53370</v>
          </cell>
          <cell r="G241">
            <v>884236.99999999988</v>
          </cell>
          <cell r="H241">
            <v>1067380</v>
          </cell>
          <cell r="I241">
            <v>834935</v>
          </cell>
          <cell r="J241">
            <v>226.6767846176987</v>
          </cell>
          <cell r="K241">
            <v>120.71198106390031</v>
          </cell>
          <cell r="L241">
            <v>127.83989172809859</v>
          </cell>
        </row>
        <row r="242">
          <cell r="B242" t="str">
            <v>MEA</v>
          </cell>
          <cell r="C242" t="str">
            <v xml:space="preserve"> BT         </v>
          </cell>
          <cell r="D242">
            <v>221752.5</v>
          </cell>
          <cell r="E242">
            <v>68350</v>
          </cell>
          <cell r="F242">
            <v>137960</v>
          </cell>
          <cell r="G242">
            <v>2661030</v>
          </cell>
          <cell r="H242">
            <v>2135410</v>
          </cell>
          <cell r="I242">
            <v>2658670</v>
          </cell>
          <cell r="J242">
            <v>30.822651379353104</v>
          </cell>
          <cell r="K242">
            <v>80.247498149212902</v>
          </cell>
          <cell r="L242">
            <v>80.318730793968413</v>
          </cell>
        </row>
        <row r="243">
          <cell r="C243" t="str">
            <v>STERILE PHOS.</v>
          </cell>
          <cell r="D243">
            <v>27612.5</v>
          </cell>
          <cell r="F243">
            <v>7260</v>
          </cell>
          <cell r="G243">
            <v>331350</v>
          </cell>
          <cell r="H243">
            <v>62790</v>
          </cell>
          <cell r="I243">
            <v>35050</v>
          </cell>
          <cell r="J243">
            <v>0</v>
          </cell>
          <cell r="K243">
            <v>18.949751018560434</v>
          </cell>
          <cell r="L243">
            <v>179.14407988587732</v>
          </cell>
        </row>
        <row r="244">
          <cell r="C244" t="str">
            <v xml:space="preserve"> PRIMAIRE</v>
          </cell>
          <cell r="D244">
            <v>996928.33333333326</v>
          </cell>
          <cell r="E244">
            <v>691400</v>
          </cell>
          <cell r="F244">
            <v>861260</v>
          </cell>
          <cell r="G244">
            <v>11963140</v>
          </cell>
          <cell r="H244">
            <v>8304860</v>
          </cell>
          <cell r="I244">
            <v>8680380</v>
          </cell>
          <cell r="J244">
            <v>69.353029388605336</v>
          </cell>
          <cell r="K244">
            <v>69.420403004562345</v>
          </cell>
          <cell r="L244">
            <v>95.673922109400749</v>
          </cell>
        </row>
        <row r="245">
          <cell r="B245">
            <v>0</v>
          </cell>
          <cell r="C245" t="str">
            <v xml:space="preserve">INTERCALAIRES   </v>
          </cell>
          <cell r="D245">
            <v>594534.83333333337</v>
          </cell>
          <cell r="E245">
            <v>755672</v>
          </cell>
          <cell r="F245">
            <v>336900</v>
          </cell>
          <cell r="G245">
            <v>7134418</v>
          </cell>
          <cell r="H245">
            <v>7559772</v>
          </cell>
          <cell r="I245">
            <v>6372130</v>
          </cell>
          <cell r="J245">
            <v>127.10306573009879</v>
          </cell>
          <cell r="K245">
            <v>105.96199998374078</v>
          </cell>
          <cell r="L245">
            <v>118.63806921704358</v>
          </cell>
        </row>
        <row r="246">
          <cell r="C246" t="str">
            <v xml:space="preserve"> DEBLAIS         </v>
          </cell>
          <cell r="D246" t="str">
            <v>-</v>
          </cell>
          <cell r="E246">
            <v>92350</v>
          </cell>
          <cell r="F246">
            <v>1800</v>
          </cell>
          <cell r="G246">
            <v>0</v>
          </cell>
          <cell r="H246">
            <v>1815470</v>
          </cell>
          <cell r="I246">
            <v>896870</v>
          </cell>
          <cell r="J246" t="str">
            <v xml:space="preserve"> -</v>
          </cell>
          <cell r="K246" t="str">
            <v xml:space="preserve"> -</v>
          </cell>
          <cell r="L246">
            <v>202.42287065014995</v>
          </cell>
        </row>
        <row r="247">
          <cell r="C247" t="str">
            <v xml:space="preserve"> TOTAL  </v>
          </cell>
          <cell r="D247">
            <v>2058028.5833333335</v>
          </cell>
          <cell r="E247">
            <v>1947112</v>
          </cell>
          <cell r="F247">
            <v>1549430</v>
          </cell>
          <cell r="G247">
            <v>24696343</v>
          </cell>
          <cell r="H247">
            <v>22535962</v>
          </cell>
          <cell r="I247">
            <v>20563605</v>
          </cell>
          <cell r="J247">
            <v>94.610542135732402</v>
          </cell>
          <cell r="K247">
            <v>91.252223051809736</v>
          </cell>
          <cell r="L247">
            <v>109.59149429295107</v>
          </cell>
        </row>
        <row r="248">
          <cell r="B248">
            <v>0</v>
          </cell>
          <cell r="C248" t="str">
            <v xml:space="preserve"> HT        </v>
          </cell>
          <cell r="D248">
            <v>200733.33333333334</v>
          </cell>
          <cell r="E248">
            <v>187270</v>
          </cell>
          <cell r="F248">
            <v>203060</v>
          </cell>
          <cell r="G248">
            <v>2408800</v>
          </cell>
          <cell r="H248">
            <v>2575280</v>
          </cell>
          <cell r="I248">
            <v>2690185</v>
          </cell>
          <cell r="J248">
            <v>93.292925938226503</v>
          </cell>
          <cell r="K248">
            <v>106.91132514114912</v>
          </cell>
          <cell r="L248">
            <v>95.728732410596294</v>
          </cell>
        </row>
        <row r="249">
          <cell r="B249">
            <v>0</v>
          </cell>
          <cell r="C249" t="str">
            <v xml:space="preserve"> MT        </v>
          </cell>
          <cell r="D249">
            <v>28985.5</v>
          </cell>
          <cell r="E249">
            <v>36850</v>
          </cell>
          <cell r="F249">
            <v>4000</v>
          </cell>
          <cell r="G249">
            <v>347826</v>
          </cell>
          <cell r="H249">
            <v>310569</v>
          </cell>
          <cell r="I249">
            <v>172445</v>
          </cell>
          <cell r="J249">
            <v>127.13253178313295</v>
          </cell>
          <cell r="K249">
            <v>89.288609822152452</v>
          </cell>
          <cell r="L249">
            <v>180.09742236655165</v>
          </cell>
        </row>
        <row r="250">
          <cell r="B250">
            <v>0</v>
          </cell>
          <cell r="C250" t="str">
            <v xml:space="preserve"> BT        </v>
          </cell>
          <cell r="D250">
            <v>190763.08333333334</v>
          </cell>
          <cell r="E250">
            <v>128600</v>
          </cell>
          <cell r="F250">
            <v>167350</v>
          </cell>
          <cell r="G250">
            <v>2289157</v>
          </cell>
          <cell r="H250">
            <v>2187280</v>
          </cell>
          <cell r="I250">
            <v>2055545</v>
          </cell>
          <cell r="J250">
            <v>67.413462685171879</v>
          </cell>
          <cell r="K250">
            <v>95.549584410330965</v>
          </cell>
          <cell r="L250">
            <v>106.40876263959194</v>
          </cell>
        </row>
        <row r="251">
          <cell r="C251" t="str">
            <v>STERILE PHOS.</v>
          </cell>
          <cell r="D251">
            <v>71129.916666666672</v>
          </cell>
          <cell r="E251">
            <v>85450</v>
          </cell>
          <cell r="F251">
            <v>0</v>
          </cell>
          <cell r="G251">
            <v>853559</v>
          </cell>
          <cell r="H251">
            <v>741570</v>
          </cell>
          <cell r="I251">
            <v>61170</v>
          </cell>
          <cell r="J251">
            <v>120.13229313966578</v>
          </cell>
          <cell r="K251">
            <v>86.879758751298979</v>
          </cell>
          <cell r="L251">
            <v>1212.3099558607159</v>
          </cell>
        </row>
        <row r="252">
          <cell r="B252" t="str">
            <v>S.CH</v>
          </cell>
          <cell r="C252" t="str">
            <v xml:space="preserve"> PRIMAIRE</v>
          </cell>
          <cell r="D252">
            <v>763508.75</v>
          </cell>
          <cell r="E252">
            <v>767730</v>
          </cell>
          <cell r="F252">
            <v>652010</v>
          </cell>
          <cell r="G252">
            <v>9162105</v>
          </cell>
          <cell r="H252">
            <v>10498440</v>
          </cell>
          <cell r="I252">
            <v>9977670</v>
          </cell>
          <cell r="J252">
            <v>100.55287513076962</v>
          </cell>
          <cell r="K252">
            <v>114.58545825440768</v>
          </cell>
          <cell r="L252">
            <v>105.21935481931153</v>
          </cell>
        </row>
        <row r="253">
          <cell r="B253">
            <v>0</v>
          </cell>
          <cell r="C253" t="str">
            <v xml:space="preserve">INTERCALAIRES   </v>
          </cell>
          <cell r="D253">
            <v>982246.91666666663</v>
          </cell>
          <cell r="E253">
            <v>673994</v>
          </cell>
          <cell r="F253">
            <v>352090</v>
          </cell>
          <cell r="G253">
            <v>11786963</v>
          </cell>
          <cell r="H253">
            <v>8148959</v>
          </cell>
          <cell r="I253">
            <v>6685396</v>
          </cell>
          <cell r="J253">
            <v>68.617573500485236</v>
          </cell>
          <cell r="K253">
            <v>69.135357428372345</v>
          </cell>
          <cell r="L253">
            <v>121.89194177876675</v>
          </cell>
        </row>
        <row r="254">
          <cell r="B254">
            <v>0</v>
          </cell>
          <cell r="C254" t="str">
            <v xml:space="preserve"> DEBLAIS         </v>
          </cell>
          <cell r="D254" t="str">
            <v>-</v>
          </cell>
          <cell r="E254">
            <v>161090</v>
          </cell>
          <cell r="F254">
            <v>118040</v>
          </cell>
          <cell r="G254" t="str">
            <v xml:space="preserve">   -</v>
          </cell>
          <cell r="H254">
            <v>1813860</v>
          </cell>
          <cell r="I254">
            <v>2568094</v>
          </cell>
          <cell r="J254" t="str">
            <v xml:space="preserve"> -</v>
          </cell>
          <cell r="K254" t="str">
            <v xml:space="preserve"> -</v>
          </cell>
          <cell r="L254">
            <v>70.630592182373391</v>
          </cell>
        </row>
        <row r="255">
          <cell r="C255" t="str">
            <v xml:space="preserve"> TOTAL  </v>
          </cell>
          <cell r="D255">
            <v>2237367.5</v>
          </cell>
          <cell r="E255">
            <v>2040984</v>
          </cell>
          <cell r="F255">
            <v>1496550</v>
          </cell>
          <cell r="G255">
            <v>26848410</v>
          </cell>
          <cell r="H255">
            <v>26275958</v>
          </cell>
          <cell r="I255">
            <v>24210505</v>
          </cell>
          <cell r="J255">
            <v>91.222564017757477</v>
          </cell>
          <cell r="K255">
            <v>97.867836493855691</v>
          </cell>
          <cell r="L255">
            <v>108.53122642423196</v>
          </cell>
        </row>
        <row r="256">
          <cell r="C256" t="str">
            <v xml:space="preserve"> HT        </v>
          </cell>
          <cell r="D256">
            <v>375044.41666666669</v>
          </cell>
          <cell r="E256">
            <v>386780</v>
          </cell>
          <cell r="F256">
            <v>400200</v>
          </cell>
          <cell r="G256">
            <v>4500533</v>
          </cell>
          <cell r="H256">
            <v>4520320</v>
          </cell>
          <cell r="I256">
            <v>4155855</v>
          </cell>
          <cell r="J256">
            <v>103.12911826221472</v>
          </cell>
          <cell r="K256">
            <v>100.43965903594085</v>
          </cell>
          <cell r="L256">
            <v>108.76991617849998</v>
          </cell>
        </row>
        <row r="257">
          <cell r="C257" t="str">
            <v xml:space="preserve"> MT        </v>
          </cell>
          <cell r="D257">
            <v>157019.75</v>
          </cell>
          <cell r="E257">
            <v>333210</v>
          </cell>
          <cell r="F257">
            <v>165830</v>
          </cell>
          <cell r="G257">
            <v>1884237</v>
          </cell>
          <cell r="H257">
            <v>2180359</v>
          </cell>
          <cell r="I257">
            <v>2367020</v>
          </cell>
          <cell r="J257">
            <v>212.20897371190568</v>
          </cell>
          <cell r="K257">
            <v>115.71575125634408</v>
          </cell>
          <cell r="L257">
            <v>92.114092825578155</v>
          </cell>
        </row>
        <row r="258">
          <cell r="B258" t="str">
            <v>TOTAL</v>
          </cell>
          <cell r="C258" t="str">
            <v xml:space="preserve"> BT    </v>
          </cell>
          <cell r="D258">
            <v>689073.5</v>
          </cell>
          <cell r="E258">
            <v>408930</v>
          </cell>
          <cell r="F258">
            <v>407810</v>
          </cell>
          <cell r="G258">
            <v>8268882</v>
          </cell>
          <cell r="H258">
            <v>7221510</v>
          </cell>
          <cell r="I258">
            <v>7102045</v>
          </cell>
          <cell r="J258">
            <v>59.344902974791516</v>
          </cell>
          <cell r="K258">
            <v>87.333571817810437</v>
          </cell>
          <cell r="L258">
            <v>101.6821211355321</v>
          </cell>
        </row>
        <row r="259">
          <cell r="C259" t="str">
            <v>Podzolizé</v>
          </cell>
          <cell r="D259">
            <v>71130</v>
          </cell>
          <cell r="E259">
            <v>0</v>
          </cell>
          <cell r="F259">
            <v>57880</v>
          </cell>
          <cell r="G259">
            <v>426780</v>
          </cell>
          <cell r="H259">
            <v>430950</v>
          </cell>
          <cell r="I259">
            <v>382060</v>
          </cell>
          <cell r="J259">
            <v>0</v>
          </cell>
          <cell r="K259">
            <v>100.97708421200619</v>
          </cell>
          <cell r="L259">
            <v>112.79641941056377</v>
          </cell>
        </row>
        <row r="260">
          <cell r="C260" t="str">
            <v>TOTAL PHOS.</v>
          </cell>
          <cell r="D260">
            <v>1221137.6666666667</v>
          </cell>
          <cell r="E260">
            <v>1128920</v>
          </cell>
          <cell r="F260">
            <v>1031720</v>
          </cell>
          <cell r="G260">
            <v>14653652</v>
          </cell>
          <cell r="H260">
            <v>14353139</v>
          </cell>
          <cell r="I260">
            <v>14006980</v>
          </cell>
          <cell r="J260">
            <v>92.448217004198</v>
          </cell>
          <cell r="K260">
            <v>97.949227946726182</v>
          </cell>
          <cell r="L260">
            <v>102.47133215011372</v>
          </cell>
        </row>
        <row r="261">
          <cell r="C261" t="str">
            <v>STERILE PHOS.</v>
          </cell>
          <cell r="D261">
            <v>98742.416666666672</v>
          </cell>
          <cell r="E261">
            <v>85450</v>
          </cell>
          <cell r="F261">
            <v>7260</v>
          </cell>
          <cell r="G261">
            <v>1184909</v>
          </cell>
          <cell r="H261">
            <v>804360</v>
          </cell>
          <cell r="I261">
            <v>96220</v>
          </cell>
          <cell r="J261">
            <v>86.538291126153993</v>
          </cell>
          <cell r="K261">
            <v>67.883694022072589</v>
          </cell>
          <cell r="L261">
            <v>835.95926002910005</v>
          </cell>
        </row>
        <row r="262">
          <cell r="B262">
            <v>0</v>
          </cell>
          <cell r="C262" t="str">
            <v xml:space="preserve"> PRIMAIRE</v>
          </cell>
          <cell r="D262">
            <v>1760437.0833333333</v>
          </cell>
          <cell r="E262">
            <v>1459130</v>
          </cell>
          <cell r="F262">
            <v>1513270</v>
          </cell>
          <cell r="G262">
            <v>21125245</v>
          </cell>
          <cell r="H262">
            <v>18803300</v>
          </cell>
          <cell r="I262">
            <v>18658050</v>
          </cell>
          <cell r="J262">
            <v>82.884529859890392</v>
          </cell>
          <cell r="K262">
            <v>89.008671852089762</v>
          </cell>
          <cell r="L262">
            <v>100.7784843539384</v>
          </cell>
        </row>
        <row r="263">
          <cell r="C263" t="str">
            <v xml:space="preserve">INTERCALAIRES   </v>
          </cell>
          <cell r="D263">
            <v>1576781.75</v>
          </cell>
          <cell r="E263">
            <v>1462486</v>
          </cell>
          <cell r="F263">
            <v>708650</v>
          </cell>
          <cell r="G263">
            <v>18921381</v>
          </cell>
          <cell r="H263">
            <v>15966121</v>
          </cell>
          <cell r="I263">
            <v>13474866</v>
          </cell>
          <cell r="J263">
            <v>92.751327189067226</v>
          </cell>
          <cell r="K263">
            <v>84.381372585859353</v>
          </cell>
          <cell r="L263">
            <v>118.48816158913937</v>
          </cell>
        </row>
        <row r="264">
          <cell r="C264" t="str">
            <v xml:space="preserve"> DEBLAIS         </v>
          </cell>
          <cell r="D264">
            <v>825000</v>
          </cell>
          <cell r="E264">
            <v>1090560</v>
          </cell>
          <cell r="F264">
            <v>1240590</v>
          </cell>
          <cell r="G264">
            <v>9900000</v>
          </cell>
          <cell r="H264">
            <v>16816770</v>
          </cell>
          <cell r="I264">
            <v>14420884</v>
          </cell>
          <cell r="J264">
            <v>132.18909090909091</v>
          </cell>
          <cell r="K264">
            <v>169.86636363636362</v>
          </cell>
          <cell r="L264">
            <v>116.61400230388095</v>
          </cell>
        </row>
        <row r="265">
          <cell r="C265" t="str">
            <v>TOTAL STERILE</v>
          </cell>
          <cell r="D265">
            <v>4260961.25</v>
          </cell>
          <cell r="E265">
            <v>4097626</v>
          </cell>
          <cell r="F265">
            <v>3469770</v>
          </cell>
          <cell r="G265">
            <v>51131535</v>
          </cell>
          <cell r="H265">
            <v>52390551</v>
          </cell>
          <cell r="I265">
            <v>46650020</v>
          </cell>
          <cell r="J265">
            <v>96.166704167985571</v>
          </cell>
          <cell r="K265">
            <v>102.46230824089282</v>
          </cell>
          <cell r="L265">
            <v>112.30552741456488</v>
          </cell>
        </row>
        <row r="266">
          <cell r="C266" t="str">
            <v xml:space="preserve"> TOTAL  REMUE</v>
          </cell>
          <cell r="D266">
            <v>5482098.916666667</v>
          </cell>
          <cell r="E266">
            <v>5226546</v>
          </cell>
          <cell r="F266">
            <v>4501490</v>
          </cell>
          <cell r="G266">
            <v>65785187</v>
          </cell>
          <cell r="H266">
            <v>66743690</v>
          </cell>
          <cell r="I266">
            <v>60657000</v>
          </cell>
          <cell r="J266">
            <v>95.338411062052614</v>
          </cell>
          <cell r="K266">
            <v>101.45701949589349</v>
          </cell>
          <cell r="L266">
            <v>110.0346044149892</v>
          </cell>
        </row>
        <row r="267">
          <cell r="B267">
            <v>0</v>
          </cell>
        </row>
        <row r="269">
          <cell r="C269">
            <v>0</v>
          </cell>
          <cell r="K269" t="str">
            <v>ANNEXE : 10</v>
          </cell>
        </row>
        <row r="270">
          <cell r="C270" t="str">
            <v xml:space="preserve">METRAGE FORE ET VOLUME SAUTE  </v>
          </cell>
        </row>
        <row r="271">
          <cell r="C271" t="str">
            <v>MOIS DE DECEMBRE 2002</v>
          </cell>
        </row>
        <row r="275">
          <cell r="D275" t="str">
            <v>MOIS</v>
          </cell>
          <cell r="G275" t="str">
            <v xml:space="preserve">CUMULE  </v>
          </cell>
          <cell r="J275" t="str">
            <v>INDICES</v>
          </cell>
        </row>
        <row r="276">
          <cell r="B276" t="str">
            <v>STADE</v>
          </cell>
          <cell r="C276" t="str">
            <v>SECTEUR</v>
          </cell>
          <cell r="D276" t="str">
            <v xml:space="preserve"> PREVU 2002  </v>
          </cell>
          <cell r="E276" t="str">
            <v>REALISE 2002</v>
          </cell>
          <cell r="F276" t="str">
            <v>REALISE 2001</v>
          </cell>
          <cell r="G276" t="str">
            <v xml:space="preserve"> PREVU 2002  </v>
          </cell>
          <cell r="H276" t="str">
            <v>REALISE 2002</v>
          </cell>
          <cell r="I276" t="str">
            <v>REALISE 2001</v>
          </cell>
          <cell r="J276" t="str">
            <v>R/P MOIS</v>
          </cell>
          <cell r="K276" t="str">
            <v>R/P CUM</v>
          </cell>
          <cell r="L276" t="str">
            <v>A/A-1</v>
          </cell>
        </row>
        <row r="277">
          <cell r="B277" t="str">
            <v>FORATION (m.l)</v>
          </cell>
          <cell r="C277" t="str">
            <v xml:space="preserve"> DAOUI      </v>
          </cell>
          <cell r="D277">
            <v>9484.25</v>
          </cell>
          <cell r="E277">
            <v>12047</v>
          </cell>
          <cell r="F277">
            <v>11821</v>
          </cell>
          <cell r="G277">
            <v>113811</v>
          </cell>
          <cell r="H277">
            <v>164200</v>
          </cell>
          <cell r="I277">
            <v>107417</v>
          </cell>
          <cell r="J277">
            <v>127.02111395207845</v>
          </cell>
          <cell r="K277">
            <v>144.27427928759082</v>
          </cell>
          <cell r="L277">
            <v>152.86220989228894</v>
          </cell>
        </row>
        <row r="278">
          <cell r="C278" t="str">
            <v xml:space="preserve"> MEA</v>
          </cell>
          <cell r="D278">
            <v>33180.666666666664</v>
          </cell>
          <cell r="E278">
            <v>25317</v>
          </cell>
          <cell r="F278">
            <v>15500</v>
          </cell>
          <cell r="G278">
            <v>398168</v>
          </cell>
          <cell r="H278">
            <v>475274</v>
          </cell>
          <cell r="I278">
            <v>394496</v>
          </cell>
          <cell r="J278">
            <v>76.300456088887103</v>
          </cell>
          <cell r="K278">
            <v>119.36519258202567</v>
          </cell>
          <cell r="L278">
            <v>120.47625324464633</v>
          </cell>
        </row>
        <row r="279">
          <cell r="C279" t="str">
            <v xml:space="preserve"> SIDI CHEN.      </v>
          </cell>
          <cell r="D279">
            <v>42258.833333333336</v>
          </cell>
          <cell r="E279">
            <v>44955</v>
          </cell>
          <cell r="F279">
            <v>32180</v>
          </cell>
          <cell r="G279">
            <v>507106</v>
          </cell>
          <cell r="H279">
            <v>576474</v>
          </cell>
          <cell r="I279">
            <v>520787</v>
          </cell>
          <cell r="J279">
            <v>106.38012565420247</v>
          </cell>
          <cell r="K279">
            <v>113.67919133277854</v>
          </cell>
          <cell r="L279">
            <v>110.69285523640183</v>
          </cell>
        </row>
        <row r="280">
          <cell r="C280" t="str">
            <v>TOTAL</v>
          </cell>
          <cell r="D280">
            <v>84923.75</v>
          </cell>
          <cell r="E280">
            <v>82319</v>
          </cell>
          <cell r="F280">
            <v>59501</v>
          </cell>
          <cell r="G280">
            <v>1019085</v>
          </cell>
          <cell r="H280">
            <v>1215948</v>
          </cell>
          <cell r="I280">
            <v>1022700</v>
          </cell>
          <cell r="J280">
            <v>96.932836809490865</v>
          </cell>
          <cell r="K280">
            <v>119.31762316195412</v>
          </cell>
          <cell r="L280">
            <v>118.89586388970372</v>
          </cell>
        </row>
        <row r="281">
          <cell r="B281" t="str">
            <v>SAUTAGE (m3)</v>
          </cell>
          <cell r="C281" t="str">
            <v xml:space="preserve">DAOUI      </v>
          </cell>
          <cell r="D281">
            <v>543389</v>
          </cell>
          <cell r="E281">
            <v>0</v>
          </cell>
          <cell r="F281">
            <v>260490</v>
          </cell>
          <cell r="G281">
            <v>6520668</v>
          </cell>
          <cell r="H281">
            <v>7052760</v>
          </cell>
          <cell r="I281">
            <v>4537940</v>
          </cell>
          <cell r="J281" t="str">
            <v xml:space="preserve"> -</v>
          </cell>
          <cell r="K281">
            <v>108.16008421223103</v>
          </cell>
          <cell r="L281">
            <v>155.41765646967568</v>
          </cell>
        </row>
        <row r="282">
          <cell r="C282" t="str">
            <v xml:space="preserve">MEA      </v>
          </cell>
          <cell r="D282">
            <v>1808905</v>
          </cell>
          <cell r="E282">
            <v>1685480</v>
          </cell>
          <cell r="F282">
            <v>947920</v>
          </cell>
          <cell r="G282">
            <v>21706860</v>
          </cell>
          <cell r="H282">
            <v>23130392</v>
          </cell>
          <cell r="I282">
            <v>16607930</v>
          </cell>
          <cell r="J282">
            <v>93.176811385893672</v>
          </cell>
          <cell r="K282">
            <v>106.55798213099455</v>
          </cell>
          <cell r="L282">
            <v>139.27317853579586</v>
          </cell>
        </row>
        <row r="283">
          <cell r="C283" t="str">
            <v xml:space="preserve">SIDI CHEN.      </v>
          </cell>
          <cell r="D283">
            <v>1903070.6666666667</v>
          </cell>
          <cell r="E283">
            <v>1055700</v>
          </cell>
          <cell r="F283">
            <v>1358390</v>
          </cell>
          <cell r="G283">
            <v>22836848</v>
          </cell>
          <cell r="H283">
            <v>20891735</v>
          </cell>
          <cell r="I283">
            <v>16824500</v>
          </cell>
          <cell r="J283">
            <v>55.473504925022922</v>
          </cell>
          <cell r="K283">
            <v>91.482567997124647</v>
          </cell>
          <cell r="L283">
            <v>124.17447769621684</v>
          </cell>
        </row>
        <row r="284">
          <cell r="C284" t="str">
            <v>TOTAL</v>
          </cell>
          <cell r="D284">
            <v>4255364.666666667</v>
          </cell>
          <cell r="E284">
            <v>2741180</v>
          </cell>
          <cell r="F284">
            <v>2566800</v>
          </cell>
          <cell r="G284">
            <v>51064376</v>
          </cell>
          <cell r="H284">
            <v>51074887</v>
          </cell>
          <cell r="I284">
            <v>37970370</v>
          </cell>
          <cell r="J284">
            <v>64.417040952385278</v>
          </cell>
          <cell r="K284">
            <v>100.0205838214884</v>
          </cell>
          <cell r="L284">
            <v>134.51248170613033</v>
          </cell>
        </row>
        <row r="288">
          <cell r="C288" t="str">
            <v>RATIOS VOLUMIQUES</v>
          </cell>
        </row>
        <row r="289">
          <cell r="C289" t="str">
            <v>MOIS DE DECEMBRE 2002</v>
          </cell>
        </row>
        <row r="290">
          <cell r="F290">
            <v>0</v>
          </cell>
        </row>
        <row r="292">
          <cell r="D292" t="str">
            <v>RATIO VOLUMIQUE</v>
          </cell>
          <cell r="M292" t="str">
            <v>RATIO DE GISEMENT</v>
          </cell>
        </row>
        <row r="293">
          <cell r="D293" t="str">
            <v>MOIS</v>
          </cell>
          <cell r="G293" t="str">
            <v xml:space="preserve">CUMULE  </v>
          </cell>
          <cell r="J293" t="str">
            <v>INDICES</v>
          </cell>
          <cell r="M293" t="str">
            <v>MOYENNE 2001</v>
          </cell>
        </row>
        <row r="294">
          <cell r="C294" t="str">
            <v>SECTEUR</v>
          </cell>
          <cell r="D294" t="str">
            <v xml:space="preserve"> PREVU 2002  </v>
          </cell>
          <cell r="E294" t="str">
            <v>REALISE 2002</v>
          </cell>
          <cell r="F294" t="str">
            <v>REALISE 2001</v>
          </cell>
          <cell r="G294" t="str">
            <v xml:space="preserve"> PREVU 2002  </v>
          </cell>
          <cell r="H294" t="str">
            <v>REALISE 2002</v>
          </cell>
          <cell r="I294" t="str">
            <v>REALISE 2001</v>
          </cell>
          <cell r="J294" t="str">
            <v>R/P MOIS</v>
          </cell>
          <cell r="K294" t="str">
            <v>R/P CUM</v>
          </cell>
          <cell r="L294" t="str">
            <v>A/A-1</v>
          </cell>
        </row>
        <row r="295">
          <cell r="C295" t="str">
            <v>DAOUI</v>
          </cell>
          <cell r="D295">
            <v>2.2808779029931108</v>
          </cell>
          <cell r="E295">
            <v>2.36</v>
          </cell>
          <cell r="F295">
            <v>3.6192002538876547</v>
          </cell>
          <cell r="G295">
            <v>2.2808779029931108</v>
          </cell>
          <cell r="H295">
            <v>3</v>
          </cell>
          <cell r="I295">
            <v>2.5219940438572568</v>
          </cell>
          <cell r="J295">
            <v>103.46893171717171</v>
          </cell>
          <cell r="K295">
            <v>131.52830303030302</v>
          </cell>
          <cell r="L295">
            <v>118.95349266613088</v>
          </cell>
          <cell r="M295">
            <v>2.85</v>
          </cell>
        </row>
        <row r="296">
          <cell r="C296" t="str">
            <v>SIDI CHENN.</v>
          </cell>
          <cell r="D296">
            <v>4.3209600967778439</v>
          </cell>
          <cell r="E296">
            <v>4.79</v>
          </cell>
          <cell r="F296">
            <v>2.9970887529713415</v>
          </cell>
          <cell r="G296">
            <v>4.3209600967778439</v>
          </cell>
          <cell r="H296">
            <v>4.18</v>
          </cell>
          <cell r="I296">
            <v>3.9226603364052721</v>
          </cell>
          <cell r="J296">
            <v>110.85499270340222</v>
          </cell>
          <cell r="K296">
            <v>96.737759812154749</v>
          </cell>
          <cell r="L296">
            <v>106.56033511763484</v>
          </cell>
          <cell r="M296">
            <v>3.89</v>
          </cell>
        </row>
        <row r="297">
          <cell r="C297" t="str">
            <v>RECETTE VII</v>
          </cell>
          <cell r="D297">
            <v>5.1485862088534056</v>
          </cell>
          <cell r="E297">
            <v>1.69</v>
          </cell>
          <cell r="F297">
            <v>2.5099999999999998</v>
          </cell>
          <cell r="G297">
            <v>5.1485862088534056</v>
          </cell>
          <cell r="H297">
            <v>3.65</v>
          </cell>
          <cell r="I297">
            <v>6.24</v>
          </cell>
          <cell r="J297">
            <v>32.824545058484404</v>
          </cell>
          <cell r="K297">
            <v>70.893248203235544</v>
          </cell>
          <cell r="L297">
            <v>58.493589743589737</v>
          </cell>
          <cell r="M297" t="str">
            <v>-</v>
          </cell>
        </row>
        <row r="298">
          <cell r="C298" t="str">
            <v>G.MAATI</v>
          </cell>
          <cell r="D298">
            <v>3.0025305101149589</v>
          </cell>
          <cell r="E298">
            <v>4.1399999999999997</v>
          </cell>
          <cell r="F298" t="str">
            <v>-</v>
          </cell>
          <cell r="G298">
            <v>3.0025305101149589</v>
          </cell>
          <cell r="H298">
            <v>3.59</v>
          </cell>
          <cell r="I298">
            <v>9.06</v>
          </cell>
          <cell r="J298">
            <v>137.8836946386763</v>
          </cell>
          <cell r="K298">
            <v>119.5658125006879</v>
          </cell>
          <cell r="L298">
            <v>39.624724061810149</v>
          </cell>
          <cell r="M298" t="str">
            <v>-</v>
          </cell>
        </row>
        <row r="299">
          <cell r="C299" t="str">
            <v>EXT.Z.C. NORD</v>
          </cell>
          <cell r="D299">
            <v>3.2270230329991252</v>
          </cell>
          <cell r="E299">
            <v>3.23</v>
          </cell>
          <cell r="F299">
            <v>4.21</v>
          </cell>
          <cell r="G299">
            <v>3.2270230329991247</v>
          </cell>
          <cell r="H299">
            <v>3.05</v>
          </cell>
          <cell r="I299">
            <v>2.4700000000000002</v>
          </cell>
          <cell r="J299">
            <v>100.09225118539386</v>
          </cell>
          <cell r="K299">
            <v>94.514354834505056</v>
          </cell>
          <cell r="L299">
            <v>123.4817813765182</v>
          </cell>
          <cell r="M299" t="str">
            <v>-</v>
          </cell>
        </row>
        <row r="300">
          <cell r="C300" t="str">
            <v>TOTAL  M.E.A</v>
          </cell>
          <cell r="D300">
            <v>3.6884950644858456</v>
          </cell>
          <cell r="E300">
            <v>3.78</v>
          </cell>
          <cell r="F300">
            <v>3.51</v>
          </cell>
          <cell r="G300">
            <v>3.6884950644858456</v>
          </cell>
          <cell r="H300">
            <v>3.7</v>
          </cell>
          <cell r="I300">
            <v>3.48</v>
          </cell>
          <cell r="J300">
            <v>102.48082033225954</v>
          </cell>
          <cell r="K300">
            <v>100.31191408184135</v>
          </cell>
          <cell r="L300">
            <v>106.32183908045978</v>
          </cell>
          <cell r="M300">
            <v>3.55</v>
          </cell>
        </row>
        <row r="301">
          <cell r="C301" t="str">
            <v xml:space="preserve"> TOTAL EK</v>
          </cell>
          <cell r="D301">
            <v>3.4893373337922857</v>
          </cell>
          <cell r="E301">
            <v>3.6296867802855828</v>
          </cell>
          <cell r="F301">
            <v>3.3630926995696506</v>
          </cell>
          <cell r="G301">
            <v>3.4893373337922862</v>
          </cell>
          <cell r="H301">
            <v>3.6501110314614804</v>
          </cell>
          <cell r="I301">
            <v>3.3304838016474645</v>
          </cell>
          <cell r="J301">
            <v>104.02223783679759</v>
          </cell>
          <cell r="K301">
            <v>104.60757107408878</v>
          </cell>
          <cell r="L301">
            <v>109.59702099904848</v>
          </cell>
          <cell r="M301">
            <v>3.46</v>
          </cell>
        </row>
        <row r="304">
          <cell r="G304">
            <v>0</v>
          </cell>
        </row>
        <row r="306">
          <cell r="C306" t="str">
            <v>VOLUME ET DISTANCE DE TRANSPORT</v>
          </cell>
        </row>
        <row r="307">
          <cell r="C307" t="str">
            <v>MOIS DE DECEMBRE 2002</v>
          </cell>
        </row>
        <row r="309">
          <cell r="C309">
            <v>0</v>
          </cell>
          <cell r="G309">
            <v>0</v>
          </cell>
        </row>
        <row r="310">
          <cell r="D310" t="str">
            <v>VOLUME TRANSPORTE (m3)</v>
          </cell>
          <cell r="M310" t="str">
            <v>DISTANCE DE TRANSPORT (m)</v>
          </cell>
        </row>
        <row r="311">
          <cell r="D311" t="str">
            <v>MOIS</v>
          </cell>
          <cell r="G311" t="str">
            <v xml:space="preserve">CUMULE  </v>
          </cell>
          <cell r="J311" t="str">
            <v>INDICES</v>
          </cell>
          <cell r="M311" t="str">
            <v>MOIS 2002</v>
          </cell>
        </row>
        <row r="312">
          <cell r="B312" t="str">
            <v>SECTEUR</v>
          </cell>
          <cell r="C312" t="str">
            <v>LIBELLE</v>
          </cell>
          <cell r="D312" t="str">
            <v xml:space="preserve"> PREVU 2002  </v>
          </cell>
          <cell r="E312" t="str">
            <v>REALISE 2002</v>
          </cell>
          <cell r="F312" t="str">
            <v>REALISE 2001</v>
          </cell>
          <cell r="G312" t="str">
            <v xml:space="preserve"> PREVU 2002  </v>
          </cell>
          <cell r="H312" t="str">
            <v>REALISE 2002</v>
          </cell>
          <cell r="I312" t="str">
            <v>REALISE 2001</v>
          </cell>
          <cell r="J312" t="str">
            <v>R/P MOIS</v>
          </cell>
          <cell r="K312" t="str">
            <v>R/P CUM</v>
          </cell>
          <cell r="L312" t="str">
            <v>A/A-1</v>
          </cell>
        </row>
        <row r="313">
          <cell r="B313" t="str">
            <v>DAOUI</v>
          </cell>
          <cell r="C313" t="str">
            <v>PHOSPHATE</v>
          </cell>
          <cell r="D313">
            <v>361702.83333333331</v>
          </cell>
          <cell r="E313">
            <v>387890</v>
          </cell>
          <cell r="F313">
            <v>315100</v>
          </cell>
          <cell r="G313">
            <v>4340434</v>
          </cell>
          <cell r="H313">
            <v>4643860</v>
          </cell>
          <cell r="I313">
            <v>4759820</v>
          </cell>
          <cell r="J313">
            <v>107.23996724751488</v>
          </cell>
          <cell r="K313">
            <v>106.99068342013724</v>
          </cell>
          <cell r="L313">
            <v>97.563773420003272</v>
          </cell>
          <cell r="M313">
            <v>2887</v>
          </cell>
        </row>
        <row r="314">
          <cell r="C314" t="str">
            <v>STERILE</v>
          </cell>
          <cell r="D314" t="str">
            <v>-</v>
          </cell>
          <cell r="E314">
            <v>29540</v>
          </cell>
          <cell r="F314">
            <v>12540</v>
          </cell>
          <cell r="G314" t="str">
            <v>-</v>
          </cell>
          <cell r="H314">
            <v>399810</v>
          </cell>
          <cell r="I314">
            <v>246150</v>
          </cell>
          <cell r="J314" t="str">
            <v>-</v>
          </cell>
          <cell r="K314" t="str">
            <v>-</v>
          </cell>
          <cell r="L314">
            <v>162.42535039609993</v>
          </cell>
          <cell r="M314">
            <v>310</v>
          </cell>
        </row>
        <row r="315">
          <cell r="C315" t="str">
            <v>TOTAL</v>
          </cell>
          <cell r="D315">
            <v>361702.83333333331</v>
          </cell>
          <cell r="E315">
            <v>417430</v>
          </cell>
          <cell r="F315">
            <v>327640</v>
          </cell>
          <cell r="G315">
            <v>4340434</v>
          </cell>
          <cell r="H315">
            <v>5043670</v>
          </cell>
          <cell r="I315">
            <v>5005970</v>
          </cell>
          <cell r="J315">
            <v>115.40689249047446</v>
          </cell>
          <cell r="K315">
            <v>116.20197427261883</v>
          </cell>
          <cell r="L315">
            <v>100.7531007976476</v>
          </cell>
          <cell r="M315">
            <v>2705</v>
          </cell>
        </row>
        <row r="316">
          <cell r="B316" t="str">
            <v>MEA</v>
          </cell>
          <cell r="C316" t="str">
            <v>PHOSPHATE</v>
          </cell>
          <cell r="D316">
            <v>510369.58333333331</v>
          </cell>
          <cell r="E316">
            <v>407690</v>
          </cell>
          <cell r="F316">
            <v>434210</v>
          </cell>
          <cell r="G316">
            <v>6124435</v>
          </cell>
          <cell r="H316">
            <v>5647660</v>
          </cell>
          <cell r="I316">
            <v>5546565</v>
          </cell>
          <cell r="J316">
            <v>79.881327828607866</v>
          </cell>
          <cell r="K316">
            <v>92.215200259289219</v>
          </cell>
          <cell r="L316">
            <v>101.82265961004693</v>
          </cell>
          <cell r="M316">
            <v>3640</v>
          </cell>
        </row>
        <row r="317">
          <cell r="C317" t="str">
            <v>STERILE</v>
          </cell>
          <cell r="D317">
            <v>345740.83333333331</v>
          </cell>
          <cell r="E317">
            <v>332740</v>
          </cell>
          <cell r="F317">
            <v>134940</v>
          </cell>
          <cell r="G317">
            <v>4148890</v>
          </cell>
          <cell r="H317">
            <v>3744570</v>
          </cell>
          <cell r="I317">
            <v>2572530</v>
          </cell>
          <cell r="J317">
            <v>96.239717129159857</v>
          </cell>
          <cell r="K317">
            <v>90.254742834830523</v>
          </cell>
          <cell r="L317">
            <v>145.55981854439014</v>
          </cell>
          <cell r="M317">
            <v>610</v>
          </cell>
        </row>
        <row r="318">
          <cell r="C318" t="str">
            <v>TOTAL</v>
          </cell>
          <cell r="D318">
            <v>856110.41666666663</v>
          </cell>
          <cell r="E318">
            <v>740430</v>
          </cell>
          <cell r="F318">
            <v>569150</v>
          </cell>
          <cell r="G318">
            <v>10273325</v>
          </cell>
          <cell r="H318">
            <v>9392230</v>
          </cell>
          <cell r="I318">
            <v>8119095</v>
          </cell>
          <cell r="J318">
            <v>86.487675606485737</v>
          </cell>
          <cell r="K318">
            <v>91.423468059270007</v>
          </cell>
          <cell r="L318">
            <v>115.68075013286578</v>
          </cell>
          <cell r="M318">
            <v>2290</v>
          </cell>
        </row>
        <row r="319">
          <cell r="B319" t="str">
            <v>SC</v>
          </cell>
          <cell r="C319" t="str">
            <v>PHOSPHATE</v>
          </cell>
          <cell r="D319">
            <v>470231.91666666669</v>
          </cell>
          <cell r="E319">
            <v>352720</v>
          </cell>
          <cell r="F319">
            <v>404410</v>
          </cell>
          <cell r="G319">
            <v>5642783</v>
          </cell>
          <cell r="H319">
            <v>5774129</v>
          </cell>
          <cell r="I319">
            <v>5653275</v>
          </cell>
          <cell r="J319">
            <v>75.00979569832829</v>
          </cell>
          <cell r="K319">
            <v>102.32768121687472</v>
          </cell>
          <cell r="L319">
            <v>102.13776969986424</v>
          </cell>
          <cell r="M319">
            <v>3069</v>
          </cell>
        </row>
        <row r="320">
          <cell r="C320" t="str">
            <v>STERILE</v>
          </cell>
          <cell r="D320">
            <v>620726.75</v>
          </cell>
          <cell r="E320">
            <v>612352</v>
          </cell>
          <cell r="F320">
            <v>271900</v>
          </cell>
          <cell r="G320">
            <v>7448721</v>
          </cell>
          <cell r="H320">
            <v>6714199</v>
          </cell>
          <cell r="I320">
            <v>7466030</v>
          </cell>
          <cell r="J320">
            <v>98.650815354743443</v>
          </cell>
          <cell r="K320">
            <v>90.138951371651586</v>
          </cell>
          <cell r="L320">
            <v>89.929976172075385</v>
          </cell>
          <cell r="M320">
            <v>483</v>
          </cell>
        </row>
        <row r="321">
          <cell r="C321" t="str">
            <v>TOTAL</v>
          </cell>
          <cell r="D321">
            <v>1090958.6666666667</v>
          </cell>
          <cell r="E321">
            <v>965072</v>
          </cell>
          <cell r="F321">
            <v>676310</v>
          </cell>
          <cell r="G321">
            <v>13091504</v>
          </cell>
          <cell r="H321">
            <v>12488328</v>
          </cell>
          <cell r="I321">
            <v>13119305</v>
          </cell>
          <cell r="J321">
            <v>88.460913276274439</v>
          </cell>
          <cell r="K321">
            <v>95.392614935610155</v>
          </cell>
          <cell r="L321">
            <v>95.190469312208222</v>
          </cell>
          <cell r="M321">
            <v>1428</v>
          </cell>
        </row>
        <row r="322">
          <cell r="B322" t="str">
            <v>TOTAL EK</v>
          </cell>
          <cell r="C322" t="str">
            <v>PHOSPHATE</v>
          </cell>
          <cell r="D322">
            <v>1342304.3333333333</v>
          </cell>
          <cell r="E322">
            <v>1148300</v>
          </cell>
          <cell r="F322">
            <v>1153720</v>
          </cell>
          <cell r="G322">
            <v>16107652</v>
          </cell>
          <cell r="H322">
            <v>16065649</v>
          </cell>
          <cell r="I322">
            <v>15959660</v>
          </cell>
          <cell r="J322">
            <v>85.546918942624302</v>
          </cell>
          <cell r="K322">
            <v>99.739235737151517</v>
          </cell>
          <cell r="L322">
            <v>100.66410562631035</v>
          </cell>
          <cell r="M322">
            <v>3210.2479404336846</v>
          </cell>
        </row>
        <row r="323">
          <cell r="C323" t="str">
            <v>STERILE</v>
          </cell>
          <cell r="D323">
            <v>966467.58333333326</v>
          </cell>
          <cell r="E323">
            <v>974632</v>
          </cell>
          <cell r="F323">
            <v>419380</v>
          </cell>
          <cell r="G323">
            <v>11597611</v>
          </cell>
          <cell r="H323">
            <v>10858579</v>
          </cell>
          <cell r="I323">
            <v>10284710</v>
          </cell>
          <cell r="J323">
            <v>100.84476880626536</v>
          </cell>
          <cell r="K323">
            <v>93.62772212311657</v>
          </cell>
          <cell r="L323">
            <v>105.57982675252875</v>
          </cell>
          <cell r="M323">
            <v>521.11444729908317</v>
          </cell>
        </row>
        <row r="324">
          <cell r="C324" t="str">
            <v>TOTAL</v>
          </cell>
          <cell r="D324">
            <v>2308771.9166666665</v>
          </cell>
          <cell r="E324">
            <v>2122932</v>
          </cell>
          <cell r="F324">
            <v>1573100</v>
          </cell>
          <cell r="G324">
            <v>27705263</v>
          </cell>
          <cell r="H324">
            <v>26924228</v>
          </cell>
          <cell r="I324">
            <v>26244370</v>
          </cell>
          <cell r="J324">
            <v>91.950702651694741</v>
          </cell>
          <cell r="K324">
            <v>97.180914687581193</v>
          </cell>
          <cell r="L324">
            <v>102.59049083670135</v>
          </cell>
          <cell r="M324">
            <v>1975.6744568361116</v>
          </cell>
        </row>
        <row r="326">
          <cell r="K326" t="str">
            <v>ANNEXE  : 4</v>
          </cell>
        </row>
        <row r="328">
          <cell r="C328" t="str">
            <v xml:space="preserve">EPIERRAGE PAR SECTEUR      </v>
          </cell>
        </row>
        <row r="329">
          <cell r="C329" t="str">
            <v>MOIS DE DECEMBRE 2002</v>
          </cell>
        </row>
        <row r="332">
          <cell r="C332">
            <v>0</v>
          </cell>
        </row>
        <row r="333">
          <cell r="K333" t="str">
            <v>UNITE : Tonne</v>
          </cell>
        </row>
        <row r="334">
          <cell r="D334" t="str">
            <v>MOIS</v>
          </cell>
          <cell r="G334" t="str">
            <v xml:space="preserve">CUMULE  </v>
          </cell>
          <cell r="J334" t="str">
            <v>INDICES</v>
          </cell>
        </row>
        <row r="335">
          <cell r="C335" t="str">
            <v>SECTEUR</v>
          </cell>
          <cell r="D335" t="str">
            <v xml:space="preserve"> PREVU 2002  </v>
          </cell>
          <cell r="E335" t="str">
            <v>REALISE 2002</v>
          </cell>
          <cell r="F335" t="str">
            <v>REALISE 2001</v>
          </cell>
          <cell r="G335" t="str">
            <v xml:space="preserve"> PREVU 2002  </v>
          </cell>
          <cell r="H335" t="str">
            <v>REALISE 2002</v>
          </cell>
          <cell r="I335" t="str">
            <v>REALISE 2001</v>
          </cell>
          <cell r="J335" t="str">
            <v>R/P MOIS</v>
          </cell>
          <cell r="K335" t="str">
            <v>R/P CUM</v>
          </cell>
          <cell r="L335" t="str">
            <v>A/A-1</v>
          </cell>
        </row>
        <row r="336">
          <cell r="C336" t="str">
            <v xml:space="preserve">      DAOUI      </v>
          </cell>
          <cell r="D336">
            <v>305833.33333333331</v>
          </cell>
          <cell r="E336">
            <v>428098</v>
          </cell>
          <cell r="F336">
            <v>382140</v>
          </cell>
          <cell r="G336">
            <v>3670000</v>
          </cell>
          <cell r="H336">
            <v>3461226</v>
          </cell>
          <cell r="I336">
            <v>3519657</v>
          </cell>
          <cell r="J336">
            <v>139.97754768392372</v>
          </cell>
          <cell r="K336">
            <v>94.311335149863766</v>
          </cell>
          <cell r="L336">
            <v>98.339866640414115</v>
          </cell>
        </row>
        <row r="337">
          <cell r="C337" t="str">
            <v xml:space="preserve">      MEA      </v>
          </cell>
          <cell r="D337">
            <v>488333.33333333331</v>
          </cell>
          <cell r="E337">
            <v>523253</v>
          </cell>
          <cell r="F337">
            <v>672726</v>
          </cell>
          <cell r="G337">
            <v>5860000</v>
          </cell>
          <cell r="H337">
            <v>5150908</v>
          </cell>
          <cell r="I337">
            <v>4526969</v>
          </cell>
          <cell r="J337">
            <v>107.15078498293515</v>
          </cell>
          <cell r="K337">
            <v>87.899453924914667</v>
          </cell>
          <cell r="L337">
            <v>113.78270979986831</v>
          </cell>
        </row>
        <row r="338">
          <cell r="C338" t="str">
            <v xml:space="preserve">SIDI CHEN.      </v>
          </cell>
          <cell r="D338">
            <v>475916.66666666669</v>
          </cell>
          <cell r="E338">
            <v>554197</v>
          </cell>
          <cell r="F338">
            <v>460120</v>
          </cell>
          <cell r="G338">
            <v>5711000</v>
          </cell>
          <cell r="H338">
            <v>5130929</v>
          </cell>
          <cell r="I338">
            <v>4421208</v>
          </cell>
          <cell r="J338">
            <v>116.44832778847838</v>
          </cell>
          <cell r="K338">
            <v>89.842917177376989</v>
          </cell>
          <cell r="L338">
            <v>116.05264895928894</v>
          </cell>
        </row>
        <row r="339">
          <cell r="C339" t="str">
            <v xml:space="preserve">    TOTAL</v>
          </cell>
          <cell r="D339">
            <v>1270083.3333333333</v>
          </cell>
          <cell r="E339">
            <v>1505548</v>
          </cell>
          <cell r="F339">
            <v>1514986</v>
          </cell>
          <cell r="G339">
            <v>15241000</v>
          </cell>
          <cell r="H339">
            <v>13743063</v>
          </cell>
          <cell r="I339">
            <v>12467834</v>
          </cell>
          <cell r="J339">
            <v>118.5393084443278</v>
          </cell>
          <cell r="K339">
            <v>90.17166196443803</v>
          </cell>
          <cell r="L339">
            <v>110.22815189871793</v>
          </cell>
        </row>
        <row r="341">
          <cell r="K341" t="str">
            <v>ANNEXE : 2</v>
          </cell>
        </row>
        <row r="343">
          <cell r="B343" t="str">
            <v>REPARTITION DE LA PRODUCTION PAR SECTEUR ET PAR QUALITE</v>
          </cell>
        </row>
        <row r="344">
          <cell r="B344" t="str">
            <v>MOIS DE DECEMBRE 2002</v>
          </cell>
        </row>
        <row r="345">
          <cell r="B345">
            <v>0</v>
          </cell>
        </row>
        <row r="346">
          <cell r="K346" t="str">
            <v>UNITE : TONNE</v>
          </cell>
        </row>
        <row r="347">
          <cell r="B347" t="str">
            <v>SECTEUR</v>
          </cell>
          <cell r="C347" t="str">
            <v>QUALITE</v>
          </cell>
          <cell r="D347" t="str">
            <v>MOIS</v>
          </cell>
          <cell r="G347" t="str">
            <v xml:space="preserve">CUMULE  </v>
          </cell>
          <cell r="J347" t="str">
            <v>INDICES</v>
          </cell>
        </row>
        <row r="348">
          <cell r="D348" t="str">
            <v xml:space="preserve"> PREVU 2002  </v>
          </cell>
          <cell r="E348" t="str">
            <v>REALISE 2002</v>
          </cell>
          <cell r="F348" t="str">
            <v>REALISE 2001</v>
          </cell>
          <cell r="G348" t="str">
            <v xml:space="preserve"> PREVU 2002  </v>
          </cell>
          <cell r="H348" t="str">
            <v>REALISE 2002</v>
          </cell>
          <cell r="I348" t="str">
            <v>REALISE 2001</v>
          </cell>
          <cell r="J348" t="str">
            <v>R/P MOIS</v>
          </cell>
          <cell r="K348" t="str">
            <v>R/P CUM</v>
          </cell>
          <cell r="L348" t="str">
            <v>A/A-1</v>
          </cell>
        </row>
        <row r="349">
          <cell r="C349" t="str">
            <v>HT</v>
          </cell>
          <cell r="D349">
            <v>28333.333333333332</v>
          </cell>
          <cell r="E349">
            <v>14983</v>
          </cell>
          <cell r="F349">
            <v>183812</v>
          </cell>
          <cell r="G349">
            <v>340000</v>
          </cell>
          <cell r="H349">
            <v>317324</v>
          </cell>
          <cell r="I349">
            <v>333935</v>
          </cell>
          <cell r="J349">
            <v>52.881176470588244</v>
          </cell>
          <cell r="K349">
            <v>93.330588235294115</v>
          </cell>
          <cell r="L349">
            <v>95.025678650036681</v>
          </cell>
        </row>
        <row r="350">
          <cell r="C350" t="str">
            <v>MT</v>
          </cell>
          <cell r="D350">
            <v>50000</v>
          </cell>
          <cell r="E350">
            <v>118345</v>
          </cell>
          <cell r="F350">
            <v>146859</v>
          </cell>
          <cell r="G350">
            <v>600000</v>
          </cell>
          <cell r="H350">
            <v>540162</v>
          </cell>
          <cell r="I350">
            <v>1147784</v>
          </cell>
          <cell r="J350">
            <v>236.68999999999997</v>
          </cell>
          <cell r="K350">
            <v>90.027000000000001</v>
          </cell>
          <cell r="L350">
            <v>47.061293762589479</v>
          </cell>
        </row>
        <row r="351">
          <cell r="B351" t="str">
            <v>DAOUI</v>
          </cell>
          <cell r="C351" t="str">
            <v>BT</v>
          </cell>
          <cell r="D351">
            <v>219166.66666666666</v>
          </cell>
          <cell r="E351">
            <v>284826</v>
          </cell>
          <cell r="F351">
            <v>36854</v>
          </cell>
          <cell r="G351">
            <v>2630000</v>
          </cell>
          <cell r="H351">
            <v>2439965</v>
          </cell>
          <cell r="I351">
            <v>1791507</v>
          </cell>
          <cell r="J351">
            <v>129.95863117870724</v>
          </cell>
          <cell r="K351">
            <v>92.774334600760454</v>
          </cell>
          <cell r="L351">
            <v>136.19623032452566</v>
          </cell>
        </row>
        <row r="352">
          <cell r="C352" t="str">
            <v>PODZOLISE</v>
          </cell>
          <cell r="D352">
            <v>19166.666666666668</v>
          </cell>
          <cell r="E352">
            <v>9944</v>
          </cell>
          <cell r="F352">
            <v>22523</v>
          </cell>
          <cell r="G352">
            <v>230000</v>
          </cell>
          <cell r="H352">
            <v>221718</v>
          </cell>
          <cell r="I352">
            <v>193344</v>
          </cell>
          <cell r="J352">
            <v>51.881739130434781</v>
          </cell>
          <cell r="K352">
            <v>96.399130434782606</v>
          </cell>
          <cell r="L352">
            <v>114.67539721946376</v>
          </cell>
        </row>
        <row r="353">
          <cell r="C353" t="str">
            <v>TOTAL S/REPRISE</v>
          </cell>
          <cell r="D353">
            <v>316666.66666666669</v>
          </cell>
          <cell r="E353">
            <v>428098</v>
          </cell>
          <cell r="F353">
            <v>390048</v>
          </cell>
          <cell r="G353">
            <v>3800000</v>
          </cell>
          <cell r="H353">
            <v>3519169</v>
          </cell>
          <cell r="I353">
            <v>3466570</v>
          </cell>
          <cell r="J353">
            <v>135.18884210526315</v>
          </cell>
          <cell r="K353">
            <v>92.609710526315794</v>
          </cell>
          <cell r="L353">
            <v>101.51732115607071</v>
          </cell>
        </row>
        <row r="354">
          <cell r="C354" t="str">
            <v>REPRISE</v>
          </cell>
          <cell r="D354">
            <v>0</v>
          </cell>
          <cell r="E354">
            <v>0</v>
          </cell>
          <cell r="F354">
            <v>7740</v>
          </cell>
          <cell r="G354">
            <v>0</v>
          </cell>
          <cell r="H354">
            <v>90691</v>
          </cell>
          <cell r="I354">
            <v>154918</v>
          </cell>
          <cell r="J354" t="str">
            <v xml:space="preserve">    -</v>
          </cell>
          <cell r="K354" t="str">
            <v xml:space="preserve">         -</v>
          </cell>
          <cell r="L354">
            <v>58.541292812972024</v>
          </cell>
        </row>
        <row r="355">
          <cell r="C355" t="str">
            <v>T0TAL A/REPRISE</v>
          </cell>
          <cell r="D355">
            <v>316666.66666666669</v>
          </cell>
          <cell r="E355">
            <v>428098</v>
          </cell>
          <cell r="F355">
            <v>397788</v>
          </cell>
          <cell r="G355">
            <v>3800000</v>
          </cell>
          <cell r="H355">
            <v>3609860</v>
          </cell>
          <cell r="I355">
            <v>3621488</v>
          </cell>
          <cell r="J355">
            <v>135.18884210526315</v>
          </cell>
          <cell r="K355">
            <v>94.996315789473684</v>
          </cell>
          <cell r="L355">
            <v>99.678916511665932</v>
          </cell>
        </row>
        <row r="356">
          <cell r="C356" t="str">
            <v>HT</v>
          </cell>
          <cell r="D356">
            <v>162170.83333333334</v>
          </cell>
          <cell r="E356">
            <v>94186</v>
          </cell>
          <cell r="F356">
            <v>48696</v>
          </cell>
          <cell r="G356">
            <v>1946050</v>
          </cell>
          <cell r="H356">
            <v>1450887</v>
          </cell>
          <cell r="I356">
            <v>900804</v>
          </cell>
          <cell r="J356">
            <v>58.078261092983219</v>
          </cell>
          <cell r="K356">
            <v>74.555484185915049</v>
          </cell>
          <cell r="L356">
            <v>161.06578123542968</v>
          </cell>
        </row>
        <row r="357">
          <cell r="C357" t="str">
            <v>MT</v>
          </cell>
          <cell r="D357">
            <v>92108</v>
          </cell>
          <cell r="E357">
            <v>181912</v>
          </cell>
          <cell r="F357">
            <v>95055</v>
          </cell>
          <cell r="G357">
            <v>1105296</v>
          </cell>
          <cell r="H357">
            <v>882653</v>
          </cell>
          <cell r="I357">
            <v>814570</v>
          </cell>
          <cell r="J357">
            <v>197.49858861336691</v>
          </cell>
          <cell r="K357">
            <v>79.856708067341245</v>
          </cell>
          <cell r="L357">
            <v>108.35815215389715</v>
          </cell>
        </row>
        <row r="358">
          <cell r="B358" t="str">
            <v>M.E.A</v>
          </cell>
          <cell r="C358" t="str">
            <v>BT</v>
          </cell>
          <cell r="D358">
            <v>184054.5</v>
          </cell>
          <cell r="E358">
            <v>267903</v>
          </cell>
          <cell r="F358">
            <v>232273</v>
          </cell>
          <cell r="G358">
            <v>2208654</v>
          </cell>
          <cell r="H358">
            <v>2039385</v>
          </cell>
          <cell r="I358">
            <v>2513352</v>
          </cell>
          <cell r="J358">
            <v>145.55634336568787</v>
          </cell>
          <cell r="K358">
            <v>92.336101535143129</v>
          </cell>
          <cell r="L358">
            <v>81.142036610868672</v>
          </cell>
        </row>
        <row r="359">
          <cell r="C359" t="str">
            <v>TOTAL S/REPRISE</v>
          </cell>
          <cell r="D359">
            <v>438333.33333333337</v>
          </cell>
          <cell r="E359">
            <v>544001</v>
          </cell>
          <cell r="F359">
            <v>376024</v>
          </cell>
          <cell r="G359">
            <v>5260000</v>
          </cell>
          <cell r="H359">
            <v>4372925</v>
          </cell>
          <cell r="I359">
            <v>4228726</v>
          </cell>
          <cell r="J359">
            <v>124.10669201520912</v>
          </cell>
          <cell r="K359">
            <v>83.135456273764262</v>
          </cell>
          <cell r="L359">
            <v>103.4099868376433</v>
          </cell>
        </row>
        <row r="360">
          <cell r="C360" t="str">
            <v>REPRISE</v>
          </cell>
          <cell r="D360">
            <v>50000</v>
          </cell>
          <cell r="E360">
            <v>4092</v>
          </cell>
          <cell r="F360">
            <v>306570</v>
          </cell>
          <cell r="G360">
            <v>600000</v>
          </cell>
          <cell r="H360">
            <v>599808</v>
          </cell>
          <cell r="I360">
            <v>561080</v>
          </cell>
          <cell r="J360">
            <v>8.1839999999999993</v>
          </cell>
          <cell r="K360">
            <v>99.968000000000004</v>
          </cell>
          <cell r="L360">
            <v>106.90240250944608</v>
          </cell>
        </row>
        <row r="361">
          <cell r="C361" t="str">
            <v>T0TAL A/REPRISE</v>
          </cell>
          <cell r="D361">
            <v>488333.33333333337</v>
          </cell>
          <cell r="E361">
            <v>548093</v>
          </cell>
          <cell r="F361">
            <v>682594</v>
          </cell>
          <cell r="G361">
            <v>5860000</v>
          </cell>
          <cell r="H361">
            <v>4972733</v>
          </cell>
          <cell r="I361">
            <v>4789806</v>
          </cell>
          <cell r="J361">
            <v>112.23747440273037</v>
          </cell>
          <cell r="K361">
            <v>84.858924914675768</v>
          </cell>
          <cell r="L361">
            <v>103.81908995896703</v>
          </cell>
        </row>
        <row r="362">
          <cell r="C362" t="str">
            <v>HT</v>
          </cell>
          <cell r="D362">
            <v>250916.66666666666</v>
          </cell>
          <cell r="E362">
            <v>279285</v>
          </cell>
          <cell r="F362">
            <v>255340</v>
          </cell>
          <cell r="G362">
            <v>3011000</v>
          </cell>
          <cell r="H362">
            <v>2674797</v>
          </cell>
          <cell r="I362">
            <v>2784942</v>
          </cell>
          <cell r="J362">
            <v>111.30587844569911</v>
          </cell>
          <cell r="K362">
            <v>88.834174692793084</v>
          </cell>
          <cell r="L362">
            <v>96.044980469970284</v>
          </cell>
        </row>
        <row r="363">
          <cell r="C363" t="str">
            <v>MT</v>
          </cell>
          <cell r="D363">
            <v>33333.333333333336</v>
          </cell>
          <cell r="E363">
            <v>57484</v>
          </cell>
          <cell r="F363">
            <v>17414</v>
          </cell>
          <cell r="G363">
            <v>400000</v>
          </cell>
          <cell r="H363">
            <v>310081</v>
          </cell>
          <cell r="I363">
            <v>142688</v>
          </cell>
          <cell r="J363">
            <v>172.45199999999997</v>
          </cell>
          <cell r="K363">
            <v>77.520250000000004</v>
          </cell>
          <cell r="L363">
            <v>217.31399977573446</v>
          </cell>
        </row>
        <row r="364">
          <cell r="B364" t="str">
            <v>EK/S</v>
          </cell>
          <cell r="C364" t="str">
            <v>BT</v>
          </cell>
          <cell r="D364">
            <v>158333.33333333334</v>
          </cell>
          <cell r="E364">
            <v>150428</v>
          </cell>
          <cell r="F364">
            <v>163915</v>
          </cell>
          <cell r="G364">
            <v>1900000</v>
          </cell>
          <cell r="H364">
            <v>1701786</v>
          </cell>
          <cell r="I364">
            <v>1348190</v>
          </cell>
          <cell r="J364">
            <v>95.007157894736835</v>
          </cell>
          <cell r="K364">
            <v>89.567684210526309</v>
          </cell>
          <cell r="L364">
            <v>126.22746052114316</v>
          </cell>
        </row>
        <row r="365">
          <cell r="C365" t="str">
            <v>TOTAL S/REPRISE</v>
          </cell>
          <cell r="D365">
            <v>442583.33333333337</v>
          </cell>
          <cell r="E365">
            <v>487197</v>
          </cell>
          <cell r="F365">
            <v>436669</v>
          </cell>
          <cell r="G365">
            <v>5311000</v>
          </cell>
          <cell r="H365">
            <v>4686664</v>
          </cell>
          <cell r="I365">
            <v>4275820</v>
          </cell>
          <cell r="J365">
            <v>110.08028619845602</v>
          </cell>
          <cell r="K365">
            <v>88.244473733760117</v>
          </cell>
          <cell r="L365">
            <v>109.608542922761</v>
          </cell>
        </row>
        <row r="366">
          <cell r="C366" t="str">
            <v>REPRISE</v>
          </cell>
          <cell r="D366">
            <v>33333.333333333336</v>
          </cell>
          <cell r="E366">
            <v>67000</v>
          </cell>
          <cell r="F366">
            <v>23450</v>
          </cell>
          <cell r="G366">
            <v>400000</v>
          </cell>
          <cell r="H366">
            <v>454463</v>
          </cell>
          <cell r="I366">
            <v>436907</v>
          </cell>
          <cell r="J366">
            <v>200.99999999999997</v>
          </cell>
          <cell r="K366">
            <v>113.61574999999999</v>
          </cell>
          <cell r="L366">
            <v>104.01824644604001</v>
          </cell>
        </row>
        <row r="367">
          <cell r="C367" t="str">
            <v>T0TAL A/REPRISE</v>
          </cell>
          <cell r="D367">
            <v>475916.66666666669</v>
          </cell>
          <cell r="E367">
            <v>554197</v>
          </cell>
          <cell r="F367">
            <v>460119</v>
          </cell>
          <cell r="G367">
            <v>5711000</v>
          </cell>
          <cell r="H367">
            <v>5141127</v>
          </cell>
          <cell r="I367">
            <v>4712727</v>
          </cell>
          <cell r="J367">
            <v>116.44832778847838</v>
          </cell>
          <cell r="K367">
            <v>90.021484853790938</v>
          </cell>
          <cell r="L367">
            <v>109.09027830383555</v>
          </cell>
        </row>
        <row r="368">
          <cell r="B368" t="str">
            <v>DEK/EK</v>
          </cell>
          <cell r="C368" t="str">
            <v>HT</v>
          </cell>
          <cell r="D368">
            <v>441420.83333333337</v>
          </cell>
          <cell r="E368">
            <v>388454</v>
          </cell>
          <cell r="F368">
            <v>487848</v>
          </cell>
          <cell r="G368">
            <v>5297050</v>
          </cell>
          <cell r="H368">
            <v>4443008</v>
          </cell>
          <cell r="I368">
            <v>4019681</v>
          </cell>
          <cell r="J368">
            <v>88.000830651022738</v>
          </cell>
          <cell r="K368">
            <v>83.877025891769946</v>
          </cell>
          <cell r="L368">
            <v>110.53135808538042</v>
          </cell>
        </row>
        <row r="369">
          <cell r="C369" t="str">
            <v>MT</v>
          </cell>
          <cell r="D369">
            <v>175441.33333333334</v>
          </cell>
          <cell r="E369">
            <v>357741</v>
          </cell>
          <cell r="F369">
            <v>259328</v>
          </cell>
          <cell r="G369">
            <v>2105296</v>
          </cell>
          <cell r="H369">
            <v>1732896</v>
          </cell>
          <cell r="I369">
            <v>2105042</v>
          </cell>
          <cell r="J369">
            <v>203.90918901665134</v>
          </cell>
          <cell r="K369">
            <v>82.311275944095271</v>
          </cell>
          <cell r="L369">
            <v>82.321207842883894</v>
          </cell>
        </row>
        <row r="370">
          <cell r="C370" t="str">
            <v>BT</v>
          </cell>
          <cell r="D370">
            <v>561554.5</v>
          </cell>
          <cell r="E370">
            <v>703157</v>
          </cell>
          <cell r="F370">
            <v>433042</v>
          </cell>
          <cell r="G370">
            <v>6738654</v>
          </cell>
          <cell r="H370">
            <v>6181136</v>
          </cell>
          <cell r="I370">
            <v>5653049</v>
          </cell>
          <cell r="J370">
            <v>125.21616334656743</v>
          </cell>
          <cell r="K370">
            <v>91.726567353064866</v>
          </cell>
          <cell r="L370">
            <v>109.34163139219206</v>
          </cell>
        </row>
        <row r="371">
          <cell r="C371" t="str">
            <v>PODZOLISE</v>
          </cell>
          <cell r="D371">
            <v>19166.666666666668</v>
          </cell>
          <cell r="E371">
            <v>9944</v>
          </cell>
          <cell r="F371">
            <v>22523</v>
          </cell>
          <cell r="G371">
            <v>230000</v>
          </cell>
          <cell r="H371">
            <v>221718</v>
          </cell>
          <cell r="I371">
            <v>193344</v>
          </cell>
          <cell r="J371">
            <v>51.881739130434781</v>
          </cell>
          <cell r="K371">
            <v>96.399130434782606</v>
          </cell>
          <cell r="L371">
            <v>114.67539721946376</v>
          </cell>
        </row>
        <row r="372">
          <cell r="C372" t="str">
            <v>TOTAL S/REPRISE</v>
          </cell>
          <cell r="D372">
            <v>1197583.3333333335</v>
          </cell>
          <cell r="E372">
            <v>1459296</v>
          </cell>
          <cell r="F372">
            <v>1202741</v>
          </cell>
          <cell r="G372">
            <v>14371000</v>
          </cell>
          <cell r="H372">
            <v>12578758</v>
          </cell>
          <cell r="I372">
            <v>11971116</v>
          </cell>
          <cell r="J372">
            <v>121.85339920673577</v>
          </cell>
          <cell r="K372">
            <v>87.528759306937587</v>
          </cell>
          <cell r="L372">
            <v>105.07590102710557</v>
          </cell>
        </row>
        <row r="373">
          <cell r="C373" t="str">
            <v>TOTAL REPRISE</v>
          </cell>
          <cell r="D373">
            <v>83333.333333333343</v>
          </cell>
          <cell r="E373">
            <v>71092</v>
          </cell>
          <cell r="F373">
            <v>337760</v>
          </cell>
          <cell r="G373">
            <v>1000000</v>
          </cell>
          <cell r="H373">
            <v>1144962</v>
          </cell>
          <cell r="I373">
            <v>1152905</v>
          </cell>
          <cell r="J373">
            <v>85.310399999999987</v>
          </cell>
          <cell r="K373">
            <v>114.4962</v>
          </cell>
          <cell r="L373">
            <v>99.311044708800807</v>
          </cell>
        </row>
        <row r="374">
          <cell r="C374" t="str">
            <v>T0TAL A/REPRISE</v>
          </cell>
          <cell r="D374">
            <v>1280916.6666666667</v>
          </cell>
          <cell r="E374">
            <v>1530388</v>
          </cell>
          <cell r="F374">
            <v>1540501</v>
          </cell>
          <cell r="G374">
            <v>15371000</v>
          </cell>
          <cell r="H374">
            <v>13723720</v>
          </cell>
          <cell r="I374">
            <v>13124021</v>
          </cell>
          <cell r="J374">
            <v>119.47600026023028</v>
          </cell>
          <cell r="K374">
            <v>89.283195628130898</v>
          </cell>
          <cell r="L374">
            <v>104.56947607749181</v>
          </cell>
        </row>
        <row r="377">
          <cell r="K377" t="str">
            <v>ANNEXE : 3</v>
          </cell>
        </row>
        <row r="379">
          <cell r="B379" t="str">
            <v>TONNAGE REPRIS DEK/EK</v>
          </cell>
        </row>
        <row r="380">
          <cell r="B380" t="str">
            <v>MOIS DE DECEMBRE 2002</v>
          </cell>
        </row>
        <row r="381">
          <cell r="B381">
            <v>0</v>
          </cell>
        </row>
        <row r="383">
          <cell r="K383" t="str">
            <v>UNITE : TONNE</v>
          </cell>
        </row>
        <row r="384">
          <cell r="B384" t="str">
            <v>SECTEUR</v>
          </cell>
          <cell r="C384" t="str">
            <v>QUALITE</v>
          </cell>
          <cell r="D384" t="str">
            <v>MOIS</v>
          </cell>
          <cell r="G384" t="str">
            <v xml:space="preserve">CUMULE  </v>
          </cell>
          <cell r="J384" t="str">
            <v>INDICES</v>
          </cell>
        </row>
        <row r="385">
          <cell r="D385" t="str">
            <v xml:space="preserve"> PREVU 2002  </v>
          </cell>
          <cell r="E385" t="str">
            <v>REALISE 2002</v>
          </cell>
          <cell r="F385" t="str">
            <v>REALISE 2001</v>
          </cell>
          <cell r="G385" t="str">
            <v xml:space="preserve"> PREVU 2002  </v>
          </cell>
          <cell r="H385" t="str">
            <v>REALISE 2002</v>
          </cell>
          <cell r="I385" t="str">
            <v>REALISE 2001</v>
          </cell>
          <cell r="J385" t="str">
            <v>R/P MOIS</v>
          </cell>
          <cell r="K385" t="str">
            <v>R/P CUM</v>
          </cell>
          <cell r="L385" t="str">
            <v>A/A-1</v>
          </cell>
        </row>
        <row r="386">
          <cell r="C386" t="str">
            <v>HT</v>
          </cell>
          <cell r="D386" t="str">
            <v>-</v>
          </cell>
          <cell r="E386">
            <v>0</v>
          </cell>
          <cell r="F386">
            <v>7740</v>
          </cell>
          <cell r="H386">
            <v>26650</v>
          </cell>
          <cell r="I386">
            <v>7740</v>
          </cell>
          <cell r="J386" t="str">
            <v xml:space="preserve">    -</v>
          </cell>
          <cell r="K386" t="str">
            <v xml:space="preserve">         -</v>
          </cell>
          <cell r="L386">
            <v>344.31524547803616</v>
          </cell>
        </row>
        <row r="387">
          <cell r="C387" t="str">
            <v>MT</v>
          </cell>
          <cell r="D387" t="str">
            <v>-</v>
          </cell>
          <cell r="E387">
            <v>0</v>
          </cell>
          <cell r="F387" t="str">
            <v>-</v>
          </cell>
          <cell r="H387">
            <v>43590</v>
          </cell>
          <cell r="I387" t="str">
            <v>-</v>
          </cell>
          <cell r="J387" t="str">
            <v>-</v>
          </cell>
          <cell r="K387" t="str">
            <v xml:space="preserve">         -</v>
          </cell>
          <cell r="L387" t="str">
            <v xml:space="preserve"> -</v>
          </cell>
        </row>
        <row r="388">
          <cell r="B388" t="str">
            <v>DAOUI</v>
          </cell>
          <cell r="C388" t="str">
            <v>BT</v>
          </cell>
          <cell r="D388" t="str">
            <v>-</v>
          </cell>
          <cell r="E388">
            <v>0</v>
          </cell>
          <cell r="F388" t="str">
            <v>-</v>
          </cell>
          <cell r="H388">
            <v>20451</v>
          </cell>
          <cell r="I388">
            <v>147178</v>
          </cell>
          <cell r="J388" t="str">
            <v>-</v>
          </cell>
          <cell r="K388" t="str">
            <v xml:space="preserve">         -</v>
          </cell>
          <cell r="L388">
            <v>13.895419152318961</v>
          </cell>
        </row>
        <row r="389">
          <cell r="C389" t="str">
            <v>TOTAL</v>
          </cell>
          <cell r="D389" t="str">
            <v>-</v>
          </cell>
          <cell r="E389">
            <v>0</v>
          </cell>
          <cell r="F389">
            <v>7740</v>
          </cell>
          <cell r="H389">
            <v>90691</v>
          </cell>
          <cell r="I389">
            <v>154918</v>
          </cell>
          <cell r="J389" t="str">
            <v>-</v>
          </cell>
          <cell r="K389" t="str">
            <v xml:space="preserve">         -</v>
          </cell>
          <cell r="L389">
            <v>58.541292812972024</v>
          </cell>
        </row>
        <row r="390">
          <cell r="C390" t="str">
            <v>HT</v>
          </cell>
          <cell r="D390" t="str">
            <v>-</v>
          </cell>
          <cell r="E390">
            <v>487332</v>
          </cell>
          <cell r="F390">
            <v>0</v>
          </cell>
          <cell r="H390">
            <v>5186502.2824010914</v>
          </cell>
          <cell r="I390">
            <v>133720</v>
          </cell>
          <cell r="J390" t="str">
            <v>-</v>
          </cell>
          <cell r="K390" t="str">
            <v xml:space="preserve">         -</v>
          </cell>
          <cell r="L390">
            <v>3878.6286886038674</v>
          </cell>
        </row>
        <row r="391">
          <cell r="C391" t="str">
            <v>MT</v>
          </cell>
          <cell r="D391" t="str">
            <v>-</v>
          </cell>
          <cell r="E391">
            <v>0</v>
          </cell>
          <cell r="F391">
            <v>0</v>
          </cell>
          <cell r="H391">
            <v>125270.2180908116</v>
          </cell>
          <cell r="I391">
            <v>2940</v>
          </cell>
          <cell r="J391" t="str">
            <v>-</v>
          </cell>
          <cell r="K391" t="str">
            <v xml:space="preserve">         -</v>
          </cell>
          <cell r="L391">
            <v>4260.8917717963132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titled"/>
    </sheetNames>
    <sheetDataSet>
      <sheetData sheetId="0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gage.au 31-10-04"/>
      <sheetName val="ENGAG. AU 31-08-04"/>
      <sheetName val="AE au 31-08-2004"/>
      <sheetName val="RECAP.DSD  au 3-11-2004"/>
      <sheetName val="RECAP. ENTITES"/>
      <sheetName val="AUTORISE AU 10 NOV 2004"/>
      <sheetName val="RECAP. RUBRIQUES"/>
      <sheetName val="AE Fin 02-2004"/>
      <sheetName val="ENGAG. Fin 02-2004"/>
      <sheetName val="Suivi global"/>
      <sheetName val="Acivité 01et0204"/>
      <sheetName val="AE Fin 03-2004"/>
      <sheetName val="ENGAG. Fin 03-2004"/>
      <sheetName val="DAL 2004"/>
      <sheetName val="DAC 2004"/>
      <sheetName val="Crédits antérieurs à 2004"/>
      <sheetName val="DIB reclassées de L2 à L1"/>
      <sheetName val="DIB-C 2004"/>
      <sheetName val="DIB-N 2004"/>
      <sheetName val="Base 2004"/>
      <sheetName val="B.E"/>
      <sheetName val="Formulation "/>
      <sheetName val="Doc."/>
      <sheetName val="Feuil3"/>
      <sheetName val="Feuil1"/>
      <sheetName val="SIT. BUDG. au 09-11-04"/>
      <sheetName val="23-04-04"/>
      <sheetName val="13-04-04"/>
      <sheetName val="Synthè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MENU"/>
      <sheetName val="Tables"/>
      <sheetName val="R1"/>
      <sheetName val="R2"/>
      <sheetName val="R3"/>
      <sheetName val="R4"/>
      <sheetName val="R5"/>
      <sheetName val="R6"/>
      <sheetName val="Vendeur"/>
      <sheetName val="Copie de Gestion_HorairesVB"/>
    </sheetNames>
    <sheetDataSet>
      <sheetData sheetId="0" refreshError="1"/>
      <sheetData sheetId="1">
        <row r="38">
          <cell r="A38" t="str">
            <v>Gestion des horaires VB - Version 2 - ©Humansoft Systems 2005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DECIDE"/>
    </sheetNames>
    <sheetDataSet>
      <sheetData sheetId="0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blage"/>
      <sheetName val="les arrets"/>
      <sheetName val="chargement"/>
      <sheetName val="arrets Chargement"/>
      <sheetName val="Etat parc"/>
      <sheetName val="Feuil10"/>
      <sheetName val="Feuil16"/>
      <sheetName val="Feuil9"/>
      <sheetName val="Feuil17"/>
      <sheetName val="Feuil11"/>
      <sheetName val="Feuil12"/>
      <sheetName val="Feuil13"/>
      <sheetName val="Feuil14"/>
      <sheetName val="Feuil20"/>
      <sheetName val="Feuil18"/>
      <sheetName val="Feuil19"/>
      <sheetName val="Feuil15"/>
      <sheetName val="Feuil8"/>
      <sheetName val="Feuil3"/>
      <sheetName val="Feuil5"/>
      <sheetName val="Feuil6"/>
      <sheetName val="Feuil4"/>
      <sheetName val="Feuil7"/>
      <sheetName val="Feuil2"/>
      <sheetName val="synthèse 312"/>
      <sheetName val="I FILM"/>
      <sheetName val="KPI"/>
      <sheetName val="Feuil26"/>
      <sheetName val="Feuil24"/>
      <sheetName val="Feuil25"/>
      <sheetName val="Feuil1"/>
      <sheetName val="Feuil22"/>
      <sheetName val="Feuil21"/>
      <sheetName val="Feuil2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blage"/>
      <sheetName val="les arrets"/>
      <sheetName val="chargement"/>
      <sheetName val="arrets Chargement"/>
      <sheetName val="Etat parc"/>
      <sheetName val="Feuil10"/>
      <sheetName val="Feuil16"/>
      <sheetName val="Feuil9"/>
      <sheetName val="Feuil17"/>
      <sheetName val="Feuil11"/>
      <sheetName val="Feuil12"/>
      <sheetName val="Feuil13"/>
      <sheetName val="Feuil14"/>
      <sheetName val="Feuil20"/>
      <sheetName val="Feuil18"/>
      <sheetName val="Feuil19"/>
      <sheetName val="Feuil15"/>
      <sheetName val="Feuil8"/>
      <sheetName val="Feuil3"/>
      <sheetName val="Feuil5"/>
      <sheetName val="Feuil6"/>
      <sheetName val="Feuil4"/>
      <sheetName val="Feuil7"/>
      <sheetName val="Feuil2"/>
      <sheetName val="synthèse 312"/>
      <sheetName val="I FILM"/>
      <sheetName val="KPI"/>
      <sheetName val="Feuil26"/>
      <sheetName val="Feuil24"/>
      <sheetName val="Feuil25"/>
      <sheetName val="Feuil1"/>
      <sheetName val="Feuil22"/>
      <sheetName val="Feuil21"/>
      <sheetName val="Feuil23"/>
      <sheetName val="arrets criblage"/>
      <sheetName val="synthese 312"/>
      <sheetName val="synthese 123"/>
      <sheetName val="R0 Criblage-Chargement 2020 (En"/>
    </sheetNames>
    <definedNames>
      <definedName name="taux" refersTo="='Feuil1'!$Q$4:$R$5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>
        <row r="4">
          <cell r="P4" t="str">
            <v>taoos</v>
          </cell>
          <cell r="Q4">
            <v>62</v>
          </cell>
          <cell r="R4">
            <v>62</v>
          </cell>
        </row>
        <row r="5">
          <cell r="Q5">
            <v>64</v>
          </cell>
          <cell r="R5">
            <v>62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5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rgb="FFFF0000"/>
  </sheetPr>
  <dimension ref="A1:AI827"/>
  <sheetViews>
    <sheetView zoomScaleNormal="100" workbookViewId="0">
      <pane xSplit="2" ySplit="1" topLeftCell="C811" activePane="bottomRight" state="frozen"/>
      <selection activeCell="C1030" sqref="C1030"/>
      <selection pane="topRight" activeCell="C1030" sqref="C1030"/>
      <selection pane="bottomLeft" activeCell="C1030" sqref="C1030"/>
      <selection pane="bottomRight" activeCell="D826" sqref="D826:E826"/>
    </sheetView>
  </sheetViews>
  <sheetFormatPr defaultColWidth="11.42578125" defaultRowHeight="15" x14ac:dyDescent="0.25"/>
  <cols>
    <col min="1" max="1" width="3.7109375" style="3" hidden="1" customWidth="1"/>
    <col min="2" max="2" width="16.140625" style="196" customWidth="1"/>
    <col min="3" max="3" width="11.7109375" style="3" customWidth="1"/>
    <col min="4" max="4" width="13.7109375" style="3" customWidth="1"/>
    <col min="5" max="5" width="20" style="3" customWidth="1"/>
    <col min="6" max="6" width="25" style="3" customWidth="1"/>
    <col min="7" max="7" width="9.5703125" style="3" customWidth="1"/>
    <col min="8" max="8" width="12.7109375" style="3" customWidth="1"/>
    <col min="9" max="9" width="12.85546875" style="3" customWidth="1"/>
    <col min="10" max="10" width="11.85546875" style="3" customWidth="1"/>
    <col min="11" max="11" width="16.42578125" style="3" bestFit="1" customWidth="1"/>
    <col min="12" max="12" width="11.85546875" style="3" customWidth="1"/>
    <col min="13" max="13" width="9.28515625" style="3" customWidth="1"/>
    <col min="14" max="14" width="10.140625" style="3" customWidth="1"/>
    <col min="15" max="15" width="11.140625" style="196" customWidth="1"/>
    <col min="16" max="16" width="11" style="3" customWidth="1"/>
    <col min="17" max="17" width="9.28515625" style="3" customWidth="1"/>
    <col min="18" max="18" width="15" style="205" customWidth="1"/>
    <col min="19" max="19" width="8" style="168" customWidth="1"/>
    <col min="20" max="20" width="6.42578125" style="168" customWidth="1"/>
    <col min="21" max="21" width="9.5703125" style="168" customWidth="1"/>
    <col min="22" max="22" width="8.5703125" style="168" customWidth="1"/>
    <col min="23" max="23" width="10.85546875" style="3" bestFit="1" customWidth="1"/>
    <col min="24" max="24" width="6.7109375" style="3" customWidth="1"/>
    <col min="25" max="25" width="5.5703125" style="3" customWidth="1"/>
    <col min="26" max="26" width="6.85546875" style="3" customWidth="1"/>
    <col min="27" max="27" width="68.140625" style="3" customWidth="1"/>
    <col min="28" max="28" width="11.42578125" style="147"/>
    <col min="29" max="16384" width="11.42578125" style="3"/>
  </cols>
  <sheetData>
    <row r="1" spans="2:35" s="169" customFormat="1" ht="42.75" customHeight="1" x14ac:dyDescent="0.25">
      <c r="B1" s="179" t="s">
        <v>241</v>
      </c>
      <c r="C1" s="179" t="s">
        <v>242</v>
      </c>
      <c r="D1" s="179" t="s">
        <v>243</v>
      </c>
      <c r="E1" s="179" t="s">
        <v>244</v>
      </c>
      <c r="F1" s="179" t="s">
        <v>245</v>
      </c>
      <c r="G1" s="179" t="s">
        <v>246</v>
      </c>
      <c r="H1" s="179" t="s">
        <v>247</v>
      </c>
      <c r="I1" s="179" t="s">
        <v>841</v>
      </c>
      <c r="J1" s="179" t="s">
        <v>248</v>
      </c>
      <c r="K1" s="179" t="s">
        <v>249</v>
      </c>
      <c r="L1" s="179" t="s">
        <v>442</v>
      </c>
      <c r="M1" s="180" t="s">
        <v>250</v>
      </c>
      <c r="N1" s="180" t="s">
        <v>251</v>
      </c>
      <c r="O1" s="179" t="s">
        <v>252</v>
      </c>
      <c r="P1" s="179" t="s">
        <v>253</v>
      </c>
      <c r="Q1" s="181" t="s">
        <v>254</v>
      </c>
      <c r="R1" s="181" t="s">
        <v>255</v>
      </c>
      <c r="S1" s="182" t="s">
        <v>256</v>
      </c>
      <c r="T1" s="182" t="s">
        <v>257</v>
      </c>
      <c r="U1" s="182" t="s">
        <v>258</v>
      </c>
      <c r="V1" s="183" t="s">
        <v>259</v>
      </c>
      <c r="W1" s="179" t="s">
        <v>260</v>
      </c>
      <c r="X1" s="179" t="s">
        <v>261</v>
      </c>
      <c r="Y1" s="179" t="s">
        <v>262</v>
      </c>
      <c r="Z1" s="179" t="s">
        <v>263</v>
      </c>
      <c r="AA1" s="179" t="s">
        <v>264</v>
      </c>
      <c r="AB1" s="138" t="s">
        <v>265</v>
      </c>
      <c r="AC1" s="138"/>
      <c r="AD1" s="138"/>
      <c r="AE1" s="138"/>
      <c r="AF1" s="138"/>
      <c r="AG1" s="138"/>
      <c r="AH1" s="138"/>
      <c r="AI1" s="138"/>
    </row>
    <row r="2" spans="2:35" x14ac:dyDescent="0.25">
      <c r="B2" s="199">
        <v>44926</v>
      </c>
      <c r="C2" s="3">
        <v>3</v>
      </c>
      <c r="D2" s="3" t="s">
        <v>465</v>
      </c>
      <c r="E2" s="3" t="s">
        <v>360</v>
      </c>
      <c r="F2" s="3" t="s">
        <v>630</v>
      </c>
      <c r="G2" s="3">
        <v>8900</v>
      </c>
      <c r="H2" s="3">
        <v>21000</v>
      </c>
      <c r="I2" s="3" t="s">
        <v>502</v>
      </c>
      <c r="J2" s="3" t="s">
        <v>638</v>
      </c>
      <c r="K2" s="3" t="s">
        <v>22</v>
      </c>
      <c r="L2" s="233" t="s">
        <v>497</v>
      </c>
      <c r="M2" s="238">
        <v>0.95833333333333337</v>
      </c>
      <c r="N2" s="238">
        <v>0.29166666666666669</v>
      </c>
      <c r="O2" s="196">
        <v>5424</v>
      </c>
      <c r="P2" s="233" t="s">
        <v>492</v>
      </c>
      <c r="Q2" s="3">
        <v>6.96</v>
      </c>
      <c r="R2" s="205">
        <v>7.26</v>
      </c>
      <c r="S2" s="168">
        <f t="shared" ref="S2:S43" si="0">O2/Q2</f>
        <v>779.31034482758616</v>
      </c>
      <c r="T2" s="168">
        <f t="shared" ref="T2:T43" si="1">IFERROR(O2/R2,"")</f>
        <v>747.10743801652893</v>
      </c>
    </row>
    <row r="3" spans="2:35" x14ac:dyDescent="0.25">
      <c r="B3" s="199">
        <v>44927</v>
      </c>
      <c r="C3" s="3">
        <v>1</v>
      </c>
      <c r="D3" s="3" t="s">
        <v>177</v>
      </c>
      <c r="E3" s="3" t="s">
        <v>634</v>
      </c>
      <c r="F3" s="3" t="s">
        <v>11</v>
      </c>
      <c r="G3" s="233">
        <v>8901</v>
      </c>
      <c r="H3" s="233">
        <v>21000</v>
      </c>
      <c r="I3" s="233" t="s">
        <v>502</v>
      </c>
      <c r="J3" s="233" t="s">
        <v>638</v>
      </c>
      <c r="K3" s="233" t="s">
        <v>22</v>
      </c>
      <c r="L3" s="233" t="s">
        <v>497</v>
      </c>
      <c r="M3" s="238">
        <v>0.29166666666666669</v>
      </c>
      <c r="N3" s="238">
        <v>0.625</v>
      </c>
      <c r="O3" s="196">
        <v>4554</v>
      </c>
      <c r="P3" s="233" t="s">
        <v>492</v>
      </c>
      <c r="Q3" s="3">
        <v>5.96</v>
      </c>
      <c r="R3" s="205">
        <v>6.05</v>
      </c>
      <c r="S3" s="168">
        <f t="shared" si="0"/>
        <v>764.09395973154358</v>
      </c>
      <c r="T3" s="168">
        <f t="shared" si="1"/>
        <v>752.72727272727275</v>
      </c>
      <c r="AA3" s="3" t="s">
        <v>641</v>
      </c>
    </row>
    <row r="4" spans="2:35" x14ac:dyDescent="0.25">
      <c r="B4" s="199">
        <v>44927</v>
      </c>
      <c r="C4" s="3">
        <v>2</v>
      </c>
      <c r="D4" s="3" t="s">
        <v>5</v>
      </c>
      <c r="E4" s="233" t="s">
        <v>151</v>
      </c>
      <c r="F4" s="233" t="s">
        <v>637</v>
      </c>
      <c r="G4" s="3">
        <v>8902</v>
      </c>
      <c r="H4" s="3">
        <v>21000</v>
      </c>
      <c r="I4" s="233" t="s">
        <v>502</v>
      </c>
      <c r="J4" s="233" t="s">
        <v>638</v>
      </c>
      <c r="K4" s="233" t="s">
        <v>22</v>
      </c>
      <c r="L4" s="233" t="s">
        <v>497</v>
      </c>
      <c r="M4" s="238">
        <v>0.625</v>
      </c>
      <c r="N4" s="238">
        <v>0.95833333333333337</v>
      </c>
      <c r="O4" s="196">
        <v>5301</v>
      </c>
      <c r="P4" s="3" t="s">
        <v>492</v>
      </c>
      <c r="Q4" s="3">
        <v>7.76</v>
      </c>
      <c r="R4" s="205">
        <v>7.77</v>
      </c>
      <c r="S4" s="168">
        <f t="shared" si="0"/>
        <v>683.11855670103091</v>
      </c>
      <c r="T4" s="168">
        <f t="shared" si="1"/>
        <v>682.23938223938228</v>
      </c>
    </row>
    <row r="5" spans="2:35" x14ac:dyDescent="0.25">
      <c r="B5" s="199">
        <v>44927</v>
      </c>
      <c r="C5" s="3">
        <v>3</v>
      </c>
      <c r="D5" s="3" t="s">
        <v>465</v>
      </c>
      <c r="E5" s="233" t="s">
        <v>3</v>
      </c>
      <c r="F5" s="233" t="s">
        <v>647</v>
      </c>
      <c r="G5" s="3">
        <v>8903</v>
      </c>
      <c r="H5" s="3">
        <v>21000</v>
      </c>
      <c r="I5" s="3" t="s">
        <v>22</v>
      </c>
      <c r="J5" s="3" t="s">
        <v>638</v>
      </c>
      <c r="K5" s="3" t="s">
        <v>22</v>
      </c>
      <c r="L5" s="233" t="s">
        <v>497</v>
      </c>
      <c r="M5" s="238">
        <v>0.95833333333333337</v>
      </c>
      <c r="N5" s="238">
        <v>1.3888888888888888E-2</v>
      </c>
      <c r="O5" s="196">
        <v>810</v>
      </c>
      <c r="P5" s="233" t="s">
        <v>492</v>
      </c>
      <c r="Q5" s="3">
        <v>1.35</v>
      </c>
      <c r="R5" s="205">
        <v>1.32</v>
      </c>
      <c r="S5" s="168">
        <f t="shared" si="0"/>
        <v>600</v>
      </c>
      <c r="T5" s="168">
        <f t="shared" si="1"/>
        <v>613.63636363636363</v>
      </c>
    </row>
    <row r="6" spans="2:35" x14ac:dyDescent="0.25">
      <c r="B6" s="199">
        <v>44927</v>
      </c>
      <c r="C6" s="233">
        <v>3</v>
      </c>
      <c r="D6" s="233" t="s">
        <v>465</v>
      </c>
      <c r="E6" s="233" t="s">
        <v>3</v>
      </c>
      <c r="F6" s="233" t="s">
        <v>647</v>
      </c>
      <c r="G6" s="3">
        <v>8904</v>
      </c>
      <c r="H6" s="3">
        <v>5300</v>
      </c>
      <c r="I6" s="233" t="s">
        <v>489</v>
      </c>
      <c r="J6" s="3" t="s">
        <v>632</v>
      </c>
      <c r="K6" s="233" t="s">
        <v>57</v>
      </c>
      <c r="L6" s="233" t="s">
        <v>24</v>
      </c>
      <c r="M6" s="238">
        <v>1.3888888888888888E-2</v>
      </c>
      <c r="N6" s="238">
        <v>0.29166666666666669</v>
      </c>
      <c r="O6" s="196">
        <v>4196</v>
      </c>
      <c r="P6" s="3" t="s">
        <v>492</v>
      </c>
      <c r="Q6" s="3">
        <v>5.57</v>
      </c>
      <c r="R6" s="205">
        <v>5.54</v>
      </c>
      <c r="S6" s="202">
        <f t="shared" si="0"/>
        <v>753.32136445242361</v>
      </c>
      <c r="T6" s="202">
        <f t="shared" si="1"/>
        <v>757.40072202166061</v>
      </c>
    </row>
    <row r="7" spans="2:35" x14ac:dyDescent="0.25">
      <c r="B7" s="199">
        <v>44928</v>
      </c>
      <c r="C7" s="3">
        <v>1</v>
      </c>
      <c r="D7" s="3" t="s">
        <v>1</v>
      </c>
      <c r="E7" s="3" t="s">
        <v>173</v>
      </c>
      <c r="F7" s="3" t="s">
        <v>45</v>
      </c>
      <c r="G7" s="233">
        <v>8905</v>
      </c>
      <c r="H7" s="233">
        <v>5300</v>
      </c>
      <c r="I7" s="233" t="s">
        <v>489</v>
      </c>
      <c r="J7" s="233" t="s">
        <v>632</v>
      </c>
      <c r="K7" s="233" t="s">
        <v>57</v>
      </c>
      <c r="L7" s="196" t="s">
        <v>24</v>
      </c>
      <c r="M7" s="277">
        <v>0.29166666666666669</v>
      </c>
      <c r="N7" s="277">
        <v>0.35416666666666669</v>
      </c>
      <c r="O7" s="196">
        <v>737</v>
      </c>
      <c r="P7" s="3" t="s">
        <v>492</v>
      </c>
      <c r="Q7" s="3">
        <v>1.25</v>
      </c>
      <c r="R7" s="205">
        <v>1.33</v>
      </c>
      <c r="S7" s="202">
        <f t="shared" si="0"/>
        <v>589.6</v>
      </c>
      <c r="T7" s="202">
        <f t="shared" si="1"/>
        <v>554.13533834586462</v>
      </c>
    </row>
    <row r="8" spans="2:35" x14ac:dyDescent="0.25">
      <c r="B8" s="199">
        <v>44928</v>
      </c>
      <c r="C8" s="3">
        <v>1</v>
      </c>
      <c r="D8" s="3" t="s">
        <v>1</v>
      </c>
      <c r="E8" s="3" t="s">
        <v>173</v>
      </c>
      <c r="F8" s="233" t="s">
        <v>650</v>
      </c>
      <c r="G8" s="196">
        <v>1</v>
      </c>
      <c r="H8" s="3">
        <v>5000</v>
      </c>
      <c r="I8" s="233" t="s">
        <v>489</v>
      </c>
      <c r="J8" s="3" t="s">
        <v>648</v>
      </c>
      <c r="K8" s="233" t="s">
        <v>57</v>
      </c>
      <c r="L8" s="196" t="s">
        <v>24</v>
      </c>
      <c r="M8" s="277">
        <v>0.35416666666666669</v>
      </c>
      <c r="N8" s="277">
        <v>0.625</v>
      </c>
      <c r="O8" s="196">
        <v>3042</v>
      </c>
      <c r="P8" s="233" t="s">
        <v>492</v>
      </c>
      <c r="Q8" s="3">
        <v>4.5999999999999996</v>
      </c>
      <c r="R8" s="205">
        <v>5.12</v>
      </c>
      <c r="S8" s="202">
        <f t="shared" si="0"/>
        <v>661.304347826087</v>
      </c>
      <c r="T8" s="202">
        <f t="shared" si="1"/>
        <v>594.140625</v>
      </c>
    </row>
    <row r="9" spans="2:35" s="196" customFormat="1" x14ac:dyDescent="0.25">
      <c r="B9" s="199">
        <v>44928</v>
      </c>
      <c r="C9" s="196">
        <v>2</v>
      </c>
      <c r="D9" s="196" t="s">
        <v>464</v>
      </c>
      <c r="E9" s="196" t="s">
        <v>151</v>
      </c>
      <c r="F9" s="196" t="s">
        <v>652</v>
      </c>
      <c r="G9" s="196">
        <v>2</v>
      </c>
      <c r="H9" s="196">
        <v>5000</v>
      </c>
      <c r="I9" s="196" t="s">
        <v>489</v>
      </c>
      <c r="J9" s="196" t="s">
        <v>648</v>
      </c>
      <c r="K9" s="196" t="s">
        <v>57</v>
      </c>
      <c r="L9" s="196" t="s">
        <v>24</v>
      </c>
      <c r="M9" s="277">
        <v>0.625</v>
      </c>
      <c r="N9" s="277">
        <v>0.75</v>
      </c>
      <c r="O9" s="196">
        <v>1823</v>
      </c>
      <c r="P9" s="196" t="s">
        <v>492</v>
      </c>
      <c r="Q9" s="196">
        <v>2.19</v>
      </c>
      <c r="R9" s="278">
        <v>2.2000000000000002</v>
      </c>
      <c r="S9" s="198">
        <f t="shared" si="0"/>
        <v>832.42009132420094</v>
      </c>
      <c r="T9" s="198">
        <f t="shared" si="1"/>
        <v>828.63636363636363</v>
      </c>
      <c r="U9" s="198"/>
      <c r="V9" s="198"/>
    </row>
    <row r="10" spans="2:35" x14ac:dyDescent="0.25">
      <c r="B10" s="199">
        <v>44928</v>
      </c>
      <c r="C10" s="233">
        <v>2</v>
      </c>
      <c r="D10" s="233" t="s">
        <v>464</v>
      </c>
      <c r="E10" s="233" t="s">
        <v>151</v>
      </c>
      <c r="F10" s="233" t="s">
        <v>652</v>
      </c>
      <c r="G10" s="3">
        <v>3</v>
      </c>
      <c r="H10" s="3">
        <v>3300</v>
      </c>
      <c r="I10" s="3" t="s">
        <v>489</v>
      </c>
      <c r="J10" s="3" t="s">
        <v>653</v>
      </c>
      <c r="K10" s="233" t="s">
        <v>57</v>
      </c>
      <c r="L10" s="196" t="s">
        <v>24</v>
      </c>
      <c r="M10" s="277">
        <v>0.75</v>
      </c>
      <c r="N10" s="277">
        <v>0.90833333333333333</v>
      </c>
      <c r="O10" s="196">
        <v>2852</v>
      </c>
      <c r="P10" s="233" t="s">
        <v>492</v>
      </c>
      <c r="Q10" s="3">
        <v>3.88</v>
      </c>
      <c r="R10" s="205">
        <v>3.93</v>
      </c>
      <c r="S10" s="202">
        <f t="shared" si="0"/>
        <v>735.05154639175259</v>
      </c>
      <c r="T10" s="202">
        <f t="shared" si="1"/>
        <v>725.6997455470738</v>
      </c>
    </row>
    <row r="11" spans="2:35" x14ac:dyDescent="0.25">
      <c r="B11" s="199">
        <v>44928</v>
      </c>
      <c r="C11" s="233">
        <v>2</v>
      </c>
      <c r="D11" s="233" t="s">
        <v>464</v>
      </c>
      <c r="E11" s="233" t="s">
        <v>151</v>
      </c>
      <c r="F11" s="233" t="s">
        <v>652</v>
      </c>
      <c r="G11" s="3">
        <v>4</v>
      </c>
      <c r="H11" s="3">
        <v>3000</v>
      </c>
      <c r="I11" s="3" t="s">
        <v>489</v>
      </c>
      <c r="J11" s="3" t="s">
        <v>657</v>
      </c>
      <c r="K11" s="3" t="s">
        <v>57</v>
      </c>
      <c r="L11" s="196" t="s">
        <v>21</v>
      </c>
      <c r="M11" s="277">
        <v>0.90833333333333333</v>
      </c>
      <c r="N11" s="277">
        <v>0.95833333333333337</v>
      </c>
      <c r="O11" s="196">
        <v>112</v>
      </c>
      <c r="P11" s="233" t="s">
        <v>492</v>
      </c>
      <c r="Q11" s="3">
        <f>6.52-6.07</f>
        <v>0.44999999999999929</v>
      </c>
      <c r="R11" s="205">
        <f>6.52-6.13</f>
        <v>0.38999999999999968</v>
      </c>
      <c r="S11" s="202">
        <f t="shared" si="0"/>
        <v>248.88888888888928</v>
      </c>
      <c r="T11" s="202">
        <f t="shared" si="1"/>
        <v>287.17948717948741</v>
      </c>
    </row>
    <row r="12" spans="2:35" x14ac:dyDescent="0.25">
      <c r="B12" s="199">
        <v>44928</v>
      </c>
      <c r="C12" s="3">
        <v>3</v>
      </c>
      <c r="D12" s="233" t="s">
        <v>182</v>
      </c>
      <c r="E12" s="3" t="s">
        <v>658</v>
      </c>
      <c r="F12" s="3" t="s">
        <v>661</v>
      </c>
      <c r="G12" s="3">
        <v>4</v>
      </c>
      <c r="H12" s="233">
        <v>3000</v>
      </c>
      <c r="I12" s="233" t="s">
        <v>489</v>
      </c>
      <c r="J12" s="233" t="s">
        <v>657</v>
      </c>
      <c r="K12" s="233" t="s">
        <v>57</v>
      </c>
      <c r="L12" s="233" t="s">
        <v>21</v>
      </c>
      <c r="M12" s="238">
        <v>0.95833333333333337</v>
      </c>
      <c r="N12" s="238">
        <v>7.4999999999999997E-2</v>
      </c>
      <c r="O12" s="196">
        <v>2029</v>
      </c>
      <c r="P12" s="233" t="s">
        <v>492</v>
      </c>
      <c r="Q12" s="3">
        <v>2.61</v>
      </c>
      <c r="R12" s="205">
        <v>2.88</v>
      </c>
      <c r="S12" s="202">
        <f t="shared" si="0"/>
        <v>777.39463601532566</v>
      </c>
      <c r="T12" s="202">
        <f t="shared" si="1"/>
        <v>704.51388888888891</v>
      </c>
    </row>
    <row r="13" spans="2:35" x14ac:dyDescent="0.25">
      <c r="B13" s="199">
        <v>44928</v>
      </c>
      <c r="C13" s="233">
        <v>3</v>
      </c>
      <c r="D13" s="233" t="s">
        <v>182</v>
      </c>
      <c r="E13" s="233" t="s">
        <v>658</v>
      </c>
      <c r="F13" s="233" t="s">
        <v>661</v>
      </c>
      <c r="G13" s="233">
        <v>4</v>
      </c>
      <c r="H13" s="233">
        <v>3000</v>
      </c>
      <c r="I13" s="233" t="s">
        <v>489</v>
      </c>
      <c r="J13" s="233" t="s">
        <v>657</v>
      </c>
      <c r="K13" s="233" t="s">
        <v>57</v>
      </c>
      <c r="L13" s="196" t="s">
        <v>24</v>
      </c>
      <c r="M13" s="238">
        <v>7.4999999999999997E-2</v>
      </c>
      <c r="N13" s="238">
        <v>0.19305555555555554</v>
      </c>
      <c r="O13" s="196">
        <v>2000</v>
      </c>
      <c r="P13" s="233" t="s">
        <v>492</v>
      </c>
      <c r="Q13" s="3">
        <v>2.84</v>
      </c>
      <c r="R13" s="205">
        <f>5.71-2.88</f>
        <v>2.83</v>
      </c>
      <c r="S13" s="202">
        <f t="shared" si="0"/>
        <v>704.22535211267609</v>
      </c>
      <c r="T13" s="202">
        <f t="shared" si="1"/>
        <v>706.71378091872793</v>
      </c>
    </row>
    <row r="14" spans="2:35" x14ac:dyDescent="0.25">
      <c r="B14" s="199">
        <v>44928</v>
      </c>
      <c r="C14" s="233">
        <v>3</v>
      </c>
      <c r="D14" s="233" t="s">
        <v>182</v>
      </c>
      <c r="E14" s="233" t="s">
        <v>658</v>
      </c>
      <c r="F14" s="233" t="s">
        <v>661</v>
      </c>
      <c r="G14" s="233">
        <v>5</v>
      </c>
      <c r="H14" s="233">
        <v>3000</v>
      </c>
      <c r="I14" s="233" t="s">
        <v>489</v>
      </c>
      <c r="J14" s="233" t="s">
        <v>659</v>
      </c>
      <c r="K14" s="233" t="s">
        <v>57</v>
      </c>
      <c r="L14" s="196" t="s">
        <v>24</v>
      </c>
      <c r="M14" s="238">
        <v>0.19305555555555554</v>
      </c>
      <c r="N14" s="238">
        <v>0.29166666666666669</v>
      </c>
      <c r="O14" s="196">
        <v>1171</v>
      </c>
      <c r="P14" s="233" t="s">
        <v>492</v>
      </c>
      <c r="Q14" s="3">
        <v>2.04</v>
      </c>
      <c r="R14" s="205">
        <v>4.97</v>
      </c>
      <c r="S14" s="202">
        <f t="shared" si="0"/>
        <v>574.01960784313724</v>
      </c>
      <c r="T14" s="202">
        <f t="shared" si="1"/>
        <v>235.61368209255534</v>
      </c>
    </row>
    <row r="15" spans="2:35" x14ac:dyDescent="0.25">
      <c r="B15" s="199">
        <v>44929</v>
      </c>
      <c r="C15" s="3">
        <v>1</v>
      </c>
      <c r="D15" s="3" t="s">
        <v>1</v>
      </c>
      <c r="E15" s="3" t="s">
        <v>173</v>
      </c>
      <c r="F15" s="3" t="s">
        <v>665</v>
      </c>
      <c r="G15" s="3">
        <v>6</v>
      </c>
      <c r="H15" s="233">
        <v>3000</v>
      </c>
      <c r="I15" s="233" t="s">
        <v>489</v>
      </c>
      <c r="J15" s="233" t="s">
        <v>659</v>
      </c>
      <c r="K15" s="233" t="s">
        <v>57</v>
      </c>
      <c r="L15" s="196" t="s">
        <v>24</v>
      </c>
      <c r="M15" s="238">
        <v>0.29166666666666669</v>
      </c>
      <c r="N15" s="238">
        <v>0.54791666666666672</v>
      </c>
      <c r="O15" s="196">
        <v>2909</v>
      </c>
      <c r="P15" s="3" t="s">
        <v>492</v>
      </c>
      <c r="Q15" s="3">
        <v>4.45</v>
      </c>
      <c r="R15" s="205">
        <v>5.38</v>
      </c>
      <c r="S15" s="202">
        <f t="shared" si="0"/>
        <v>653.70786516853934</v>
      </c>
      <c r="T15" s="202">
        <f t="shared" si="1"/>
        <v>540.70631970260229</v>
      </c>
    </row>
    <row r="16" spans="2:35" x14ac:dyDescent="0.25">
      <c r="B16" s="199">
        <v>44929</v>
      </c>
      <c r="C16" s="3">
        <v>1</v>
      </c>
      <c r="D16" s="3" t="s">
        <v>1</v>
      </c>
      <c r="E16" s="3" t="s">
        <v>173</v>
      </c>
      <c r="F16" s="233" t="s">
        <v>650</v>
      </c>
      <c r="G16" s="3">
        <v>7</v>
      </c>
      <c r="H16" s="3">
        <v>9300</v>
      </c>
      <c r="I16" s="233" t="s">
        <v>489</v>
      </c>
      <c r="J16" s="233" t="s">
        <v>657</v>
      </c>
      <c r="K16" s="233" t="s">
        <v>57</v>
      </c>
      <c r="L16" s="196" t="s">
        <v>24</v>
      </c>
      <c r="M16" s="238">
        <v>0.55555555555555558</v>
      </c>
      <c r="N16" s="238">
        <v>0.625</v>
      </c>
      <c r="O16" s="196">
        <v>846</v>
      </c>
      <c r="P16" s="3" t="s">
        <v>492</v>
      </c>
      <c r="Q16" s="3">
        <v>1.48</v>
      </c>
      <c r="S16" s="202">
        <f t="shared" si="0"/>
        <v>571.62162162162167</v>
      </c>
      <c r="T16" s="202" t="str">
        <f t="shared" si="1"/>
        <v/>
      </c>
    </row>
    <row r="17" spans="2:20" x14ac:dyDescent="0.25">
      <c r="B17" s="199">
        <v>44929</v>
      </c>
      <c r="C17" s="3">
        <v>2</v>
      </c>
      <c r="D17" s="3" t="s">
        <v>464</v>
      </c>
      <c r="E17" s="3" t="s">
        <v>360</v>
      </c>
      <c r="F17" s="3" t="s">
        <v>39</v>
      </c>
      <c r="G17" s="3">
        <v>8</v>
      </c>
      <c r="H17" s="3">
        <v>9300</v>
      </c>
      <c r="I17" s="233" t="s">
        <v>489</v>
      </c>
      <c r="J17" s="3" t="s">
        <v>657</v>
      </c>
      <c r="K17" s="3" t="s">
        <v>57</v>
      </c>
      <c r="L17" s="3" t="s">
        <v>24</v>
      </c>
      <c r="M17" s="238">
        <v>0.625</v>
      </c>
      <c r="N17" s="238">
        <v>0.95833333333333337</v>
      </c>
      <c r="O17" s="196">
        <v>4481</v>
      </c>
      <c r="P17" s="233" t="s">
        <v>492</v>
      </c>
      <c r="Q17" s="3">
        <v>6.23</v>
      </c>
      <c r="R17" s="205">
        <v>7.42</v>
      </c>
      <c r="S17" s="202">
        <f t="shared" si="0"/>
        <v>719.26163723916522</v>
      </c>
      <c r="T17" s="202">
        <f t="shared" si="1"/>
        <v>603.90835579514828</v>
      </c>
    </row>
    <row r="18" spans="2:20" x14ac:dyDescent="0.25">
      <c r="B18" s="199">
        <v>44929</v>
      </c>
      <c r="C18" s="3">
        <v>3</v>
      </c>
      <c r="D18" s="233" t="s">
        <v>182</v>
      </c>
      <c r="E18" s="233" t="s">
        <v>658</v>
      </c>
      <c r="F18" s="233" t="s">
        <v>661</v>
      </c>
      <c r="G18" s="3">
        <v>9</v>
      </c>
      <c r="H18" s="3">
        <v>4000</v>
      </c>
      <c r="I18" s="3" t="s">
        <v>671</v>
      </c>
      <c r="J18" s="3" t="s">
        <v>672</v>
      </c>
      <c r="K18" s="3" t="s">
        <v>72</v>
      </c>
      <c r="L18" s="3" t="s">
        <v>168</v>
      </c>
      <c r="M18" s="238">
        <v>0.95833333333333337</v>
      </c>
      <c r="N18" s="238">
        <v>0.29166666666666669</v>
      </c>
      <c r="O18" s="196">
        <v>4789</v>
      </c>
      <c r="P18" s="233" t="s">
        <v>492</v>
      </c>
      <c r="Q18" s="3">
        <v>7.26</v>
      </c>
      <c r="R18" s="205">
        <v>7.58</v>
      </c>
      <c r="S18" s="202">
        <f t="shared" si="0"/>
        <v>659.64187327823697</v>
      </c>
      <c r="T18" s="202">
        <f t="shared" si="1"/>
        <v>631.79419525065964</v>
      </c>
    </row>
    <row r="19" spans="2:20" x14ac:dyDescent="0.25">
      <c r="B19" s="199">
        <v>44930</v>
      </c>
      <c r="C19" s="233">
        <v>1</v>
      </c>
      <c r="D19" s="233" t="s">
        <v>1</v>
      </c>
      <c r="E19" s="233" t="s">
        <v>173</v>
      </c>
      <c r="F19" s="3" t="s">
        <v>45</v>
      </c>
      <c r="G19" s="3">
        <v>10</v>
      </c>
      <c r="H19" s="233">
        <v>4000</v>
      </c>
      <c r="I19" s="233" t="s">
        <v>671</v>
      </c>
      <c r="J19" s="233" t="s">
        <v>672</v>
      </c>
      <c r="K19" s="233" t="s">
        <v>72</v>
      </c>
      <c r="L19" s="233" t="s">
        <v>168</v>
      </c>
      <c r="M19" s="238">
        <v>0.29166666666666669</v>
      </c>
      <c r="N19" s="238">
        <v>0.625</v>
      </c>
      <c r="O19" s="196">
        <v>83</v>
      </c>
      <c r="P19" s="233" t="s">
        <v>492</v>
      </c>
      <c r="Q19" s="3">
        <v>0.2</v>
      </c>
      <c r="R19" s="205">
        <v>0.22</v>
      </c>
      <c r="S19" s="202">
        <f t="shared" si="0"/>
        <v>415</v>
      </c>
      <c r="T19" s="202">
        <f t="shared" si="1"/>
        <v>377.27272727272725</v>
      </c>
    </row>
    <row r="20" spans="2:20" x14ac:dyDescent="0.25">
      <c r="B20" s="199">
        <v>44930</v>
      </c>
      <c r="C20" s="3">
        <v>2</v>
      </c>
      <c r="D20" s="233" t="s">
        <v>3</v>
      </c>
      <c r="E20" s="233" t="s">
        <v>3</v>
      </c>
      <c r="F20" s="196"/>
      <c r="G20" s="196"/>
      <c r="H20" s="196"/>
      <c r="I20" s="196"/>
      <c r="J20" s="196"/>
      <c r="K20" s="196"/>
      <c r="L20" s="196"/>
      <c r="M20" s="238">
        <v>0.625</v>
      </c>
      <c r="N20" s="238">
        <v>0.95833333333333337</v>
      </c>
      <c r="O20" s="196">
        <v>0</v>
      </c>
      <c r="P20" s="233" t="s">
        <v>492</v>
      </c>
      <c r="Q20" s="3">
        <v>0</v>
      </c>
      <c r="R20" s="205">
        <v>0</v>
      </c>
      <c r="S20" s="202" t="e">
        <f t="shared" si="0"/>
        <v>#DIV/0!</v>
      </c>
      <c r="T20" s="202" t="str">
        <f t="shared" si="1"/>
        <v/>
      </c>
    </row>
    <row r="21" spans="2:20" x14ac:dyDescent="0.25">
      <c r="B21" s="199">
        <v>44930</v>
      </c>
      <c r="C21" s="233">
        <v>3</v>
      </c>
      <c r="D21" s="233" t="s">
        <v>182</v>
      </c>
      <c r="E21" s="233" t="s">
        <v>658</v>
      </c>
      <c r="F21" s="196"/>
      <c r="G21" s="196"/>
      <c r="H21" s="196"/>
      <c r="I21" s="196"/>
      <c r="J21" s="196"/>
      <c r="K21" s="196"/>
      <c r="L21" s="196"/>
      <c r="M21" s="238">
        <v>0.95833333333333337</v>
      </c>
      <c r="N21" s="238">
        <v>0.29166666666666669</v>
      </c>
      <c r="O21" s="196">
        <v>0</v>
      </c>
      <c r="P21" s="233" t="s">
        <v>492</v>
      </c>
      <c r="Q21" s="233">
        <v>0</v>
      </c>
      <c r="R21" s="205">
        <v>0</v>
      </c>
      <c r="S21" s="202" t="e">
        <f>O21/Q21</f>
        <v>#DIV/0!</v>
      </c>
      <c r="T21" s="202" t="str">
        <f t="shared" si="1"/>
        <v/>
      </c>
    </row>
    <row r="22" spans="2:20" x14ac:dyDescent="0.25">
      <c r="B22" s="199">
        <v>44931</v>
      </c>
      <c r="C22" s="3">
        <v>1</v>
      </c>
      <c r="D22" s="233" t="s">
        <v>465</v>
      </c>
      <c r="E22" s="233" t="s">
        <v>188</v>
      </c>
      <c r="F22" s="196"/>
      <c r="G22" s="196"/>
      <c r="H22" s="196"/>
      <c r="I22" s="196"/>
      <c r="J22" s="196"/>
      <c r="K22" s="196"/>
      <c r="L22" s="196"/>
      <c r="M22" s="238">
        <v>0.29166666666666669</v>
      </c>
      <c r="N22" s="238">
        <v>0.625</v>
      </c>
      <c r="O22" s="196">
        <v>0</v>
      </c>
      <c r="P22" s="233" t="s">
        <v>492</v>
      </c>
      <c r="Q22" s="233">
        <v>0</v>
      </c>
      <c r="R22" s="205">
        <v>0</v>
      </c>
      <c r="S22" s="202" t="e">
        <f>O22/Q22</f>
        <v>#DIV/0!</v>
      </c>
      <c r="T22" s="202" t="str">
        <f t="shared" si="1"/>
        <v/>
      </c>
    </row>
    <row r="23" spans="2:20" x14ac:dyDescent="0.25">
      <c r="B23" s="199">
        <v>44931</v>
      </c>
      <c r="C23" s="3">
        <v>2</v>
      </c>
      <c r="D23" s="233" t="s">
        <v>464</v>
      </c>
      <c r="E23" s="233" t="s">
        <v>3</v>
      </c>
      <c r="F23" s="196"/>
      <c r="G23" s="196"/>
      <c r="H23" s="196"/>
      <c r="I23" s="196"/>
      <c r="J23" s="196"/>
      <c r="K23" s="196"/>
      <c r="L23" s="196"/>
      <c r="M23" s="238">
        <v>0.625</v>
      </c>
      <c r="N23" s="238">
        <v>0.95833333333333337</v>
      </c>
      <c r="O23" s="196">
        <v>0</v>
      </c>
      <c r="P23" s="233" t="s">
        <v>492</v>
      </c>
      <c r="Q23" s="233">
        <v>0</v>
      </c>
      <c r="R23" s="205">
        <v>0</v>
      </c>
      <c r="S23" s="202" t="e">
        <f>O23/Q23</f>
        <v>#DIV/0!</v>
      </c>
      <c r="T23" s="202" t="str">
        <f t="shared" si="1"/>
        <v/>
      </c>
    </row>
    <row r="24" spans="2:20" x14ac:dyDescent="0.25">
      <c r="B24" s="199">
        <v>44931</v>
      </c>
      <c r="C24" s="3">
        <v>3</v>
      </c>
      <c r="D24" s="233" t="s">
        <v>182</v>
      </c>
      <c r="E24" s="233" t="s">
        <v>658</v>
      </c>
      <c r="M24" s="238">
        <v>0.95833333333333337</v>
      </c>
      <c r="N24" s="238">
        <v>0.29166666666666669</v>
      </c>
      <c r="O24" s="196">
        <v>0</v>
      </c>
      <c r="P24" s="233" t="s">
        <v>492</v>
      </c>
      <c r="Q24" s="233">
        <v>0</v>
      </c>
      <c r="R24" s="205">
        <v>0</v>
      </c>
      <c r="S24" s="202" t="e">
        <f t="shared" si="0"/>
        <v>#DIV/0!</v>
      </c>
      <c r="T24" s="202" t="str">
        <f t="shared" si="1"/>
        <v/>
      </c>
    </row>
    <row r="25" spans="2:20" x14ac:dyDescent="0.25">
      <c r="B25" s="199">
        <v>44932</v>
      </c>
      <c r="C25" s="233">
        <v>1</v>
      </c>
      <c r="D25" s="233" t="s">
        <v>465</v>
      </c>
      <c r="E25" s="233" t="s">
        <v>188</v>
      </c>
      <c r="G25" s="3">
        <v>11</v>
      </c>
      <c r="H25" s="3">
        <v>3926</v>
      </c>
      <c r="I25" s="3" t="s">
        <v>678</v>
      </c>
      <c r="J25" s="3" t="s">
        <v>677</v>
      </c>
      <c r="K25" s="3" t="s">
        <v>57</v>
      </c>
      <c r="L25" s="3" t="s">
        <v>40</v>
      </c>
      <c r="M25" s="238">
        <v>0.29166666666666669</v>
      </c>
      <c r="N25" s="238">
        <v>0.625</v>
      </c>
      <c r="O25" s="196">
        <v>2740</v>
      </c>
      <c r="P25" s="233" t="s">
        <v>492</v>
      </c>
      <c r="Q25" s="3">
        <v>4.5</v>
      </c>
      <c r="R25" s="205">
        <v>4.41</v>
      </c>
      <c r="S25" s="202">
        <f t="shared" si="0"/>
        <v>608.88888888888891</v>
      </c>
      <c r="T25" s="202">
        <f t="shared" si="1"/>
        <v>621.3151927437641</v>
      </c>
    </row>
    <row r="26" spans="2:20" x14ac:dyDescent="0.25">
      <c r="B26" s="199">
        <v>44932</v>
      </c>
      <c r="C26" s="3">
        <v>2</v>
      </c>
      <c r="D26" s="233" t="s">
        <v>464</v>
      </c>
      <c r="E26" s="233" t="s">
        <v>3</v>
      </c>
      <c r="F26" s="233" t="s">
        <v>680</v>
      </c>
      <c r="G26" s="3">
        <v>12</v>
      </c>
      <c r="H26" s="233">
        <v>3927</v>
      </c>
      <c r="I26" s="233" t="s">
        <v>678</v>
      </c>
      <c r="J26" s="233" t="s">
        <v>677</v>
      </c>
      <c r="K26" s="233" t="s">
        <v>57</v>
      </c>
      <c r="L26" s="233" t="s">
        <v>40</v>
      </c>
      <c r="M26" s="238">
        <v>0.625</v>
      </c>
      <c r="N26" s="238">
        <v>0.67361111111111116</v>
      </c>
      <c r="O26" s="196">
        <v>400</v>
      </c>
      <c r="P26" s="233" t="s">
        <v>492</v>
      </c>
      <c r="Q26" s="3">
        <v>0.59</v>
      </c>
      <c r="R26" s="205">
        <v>0.67</v>
      </c>
      <c r="S26" s="202">
        <f t="shared" si="0"/>
        <v>677.96610169491532</v>
      </c>
      <c r="T26" s="202">
        <f t="shared" si="1"/>
        <v>597.01492537313425</v>
      </c>
    </row>
    <row r="27" spans="2:20" x14ac:dyDescent="0.25">
      <c r="B27" s="199">
        <v>44932</v>
      </c>
      <c r="C27" s="233">
        <v>2</v>
      </c>
      <c r="D27" s="233" t="s">
        <v>464</v>
      </c>
      <c r="E27" s="233" t="s">
        <v>3</v>
      </c>
      <c r="F27" s="233" t="s">
        <v>680</v>
      </c>
      <c r="G27" s="3">
        <v>13</v>
      </c>
      <c r="H27" s="3">
        <v>3000</v>
      </c>
      <c r="I27" s="233" t="s">
        <v>683</v>
      </c>
      <c r="J27" s="3" t="s">
        <v>681</v>
      </c>
      <c r="K27" s="233" t="s">
        <v>57</v>
      </c>
      <c r="L27" s="233" t="s">
        <v>40</v>
      </c>
      <c r="M27" s="238">
        <v>0.67361111111111116</v>
      </c>
      <c r="N27" s="238">
        <v>0.95833333333333337</v>
      </c>
      <c r="O27" s="196" t="e">
        <f>12524+ch</f>
        <v>#NAME?</v>
      </c>
      <c r="P27" s="233" t="s">
        <v>492</v>
      </c>
      <c r="Q27" s="3">
        <v>4.78</v>
      </c>
      <c r="R27" s="205">
        <v>5.72</v>
      </c>
      <c r="S27" s="168" t="e">
        <f t="shared" si="0"/>
        <v>#NAME?</v>
      </c>
      <c r="T27" s="202" t="str">
        <f t="shared" si="1"/>
        <v/>
      </c>
    </row>
    <row r="28" spans="2:20" x14ac:dyDescent="0.25">
      <c r="B28" s="199">
        <v>44932</v>
      </c>
      <c r="C28" s="233">
        <v>3</v>
      </c>
      <c r="D28" s="233" t="s">
        <v>182</v>
      </c>
      <c r="E28" s="233" t="s">
        <v>3</v>
      </c>
      <c r="F28" s="233" t="s">
        <v>661</v>
      </c>
      <c r="G28" s="3">
        <v>14</v>
      </c>
      <c r="H28" s="3">
        <v>5800</v>
      </c>
      <c r="I28" s="233" t="s">
        <v>678</v>
      </c>
      <c r="J28" s="3" t="s">
        <v>682</v>
      </c>
      <c r="K28" s="233" t="s">
        <v>57</v>
      </c>
      <c r="L28" s="233" t="s">
        <v>40</v>
      </c>
      <c r="M28" s="238">
        <v>0.95833333333333337</v>
      </c>
      <c r="N28" s="238">
        <v>0.29166666666666669</v>
      </c>
      <c r="O28" s="196">
        <v>3472</v>
      </c>
      <c r="P28" s="3" t="s">
        <v>492</v>
      </c>
      <c r="Q28" s="3">
        <v>7.12</v>
      </c>
      <c r="R28" s="205">
        <v>7.4</v>
      </c>
      <c r="S28" s="168">
        <f t="shared" si="0"/>
        <v>487.64044943820227</v>
      </c>
      <c r="T28" s="202">
        <f t="shared" si="1"/>
        <v>469.18918918918916</v>
      </c>
    </row>
    <row r="29" spans="2:20" x14ac:dyDescent="0.25">
      <c r="B29" s="199">
        <v>44933</v>
      </c>
      <c r="C29" s="3">
        <v>1</v>
      </c>
      <c r="D29" s="3" t="s">
        <v>5</v>
      </c>
      <c r="E29" s="3" t="s">
        <v>173</v>
      </c>
      <c r="F29" s="3" t="s">
        <v>31</v>
      </c>
      <c r="G29" s="233">
        <v>15</v>
      </c>
      <c r="H29" s="233">
        <v>5800</v>
      </c>
      <c r="I29" s="233" t="s">
        <v>678</v>
      </c>
      <c r="J29" s="233" t="s">
        <v>682</v>
      </c>
      <c r="K29" s="233" t="s">
        <v>57</v>
      </c>
      <c r="L29" s="233" t="s">
        <v>40</v>
      </c>
      <c r="M29" s="238">
        <v>0.29166666666666669</v>
      </c>
      <c r="N29" s="238">
        <v>0.4548611111111111</v>
      </c>
      <c r="O29" s="196">
        <v>1149</v>
      </c>
      <c r="P29" s="3" t="s">
        <v>492</v>
      </c>
      <c r="Q29" s="3">
        <v>2.96</v>
      </c>
      <c r="R29" s="205">
        <v>3.01</v>
      </c>
      <c r="S29" s="168">
        <f t="shared" si="0"/>
        <v>388.17567567567568</v>
      </c>
      <c r="T29" s="202">
        <f t="shared" si="1"/>
        <v>381.72757475083057</v>
      </c>
    </row>
    <row r="30" spans="2:20" x14ac:dyDescent="0.25">
      <c r="B30" s="199">
        <v>44933</v>
      </c>
      <c r="C30" s="233">
        <v>1</v>
      </c>
      <c r="D30" s="233" t="s">
        <v>5</v>
      </c>
      <c r="E30" s="233" t="s">
        <v>173</v>
      </c>
      <c r="F30" s="233" t="s">
        <v>31</v>
      </c>
      <c r="G30" s="233">
        <v>16</v>
      </c>
      <c r="H30" s="3">
        <v>10000</v>
      </c>
      <c r="I30" s="3" t="s">
        <v>686</v>
      </c>
      <c r="J30" s="3" t="s">
        <v>657</v>
      </c>
      <c r="K30" s="233" t="s">
        <v>57</v>
      </c>
      <c r="L30" s="233" t="s">
        <v>40</v>
      </c>
      <c r="M30" s="238">
        <v>0.4548611111111111</v>
      </c>
      <c r="N30" s="238">
        <v>0.625</v>
      </c>
      <c r="O30" s="196">
        <v>1164</v>
      </c>
      <c r="P30" s="3" t="s">
        <v>492</v>
      </c>
      <c r="Q30" s="3">
        <v>2.98</v>
      </c>
      <c r="R30" s="205">
        <v>2.86</v>
      </c>
      <c r="S30" s="168">
        <f t="shared" si="0"/>
        <v>390.60402684563758</v>
      </c>
      <c r="T30" s="168">
        <f t="shared" si="1"/>
        <v>406.99300699300699</v>
      </c>
    </row>
    <row r="31" spans="2:20" x14ac:dyDescent="0.25">
      <c r="B31" s="199">
        <v>44933</v>
      </c>
      <c r="C31" s="3">
        <v>2</v>
      </c>
      <c r="D31" s="3" t="s">
        <v>465</v>
      </c>
      <c r="E31" s="3" t="s">
        <v>3</v>
      </c>
      <c r="F31" s="3" t="s">
        <v>691</v>
      </c>
      <c r="G31" s="3">
        <v>17</v>
      </c>
      <c r="H31" s="3">
        <v>10000</v>
      </c>
      <c r="I31" s="3" t="s">
        <v>686</v>
      </c>
      <c r="J31" s="3" t="s">
        <v>657</v>
      </c>
      <c r="K31" s="3" t="s">
        <v>57</v>
      </c>
      <c r="L31" s="3" t="s">
        <v>40</v>
      </c>
      <c r="M31" s="238">
        <v>0.625</v>
      </c>
      <c r="N31" s="238">
        <v>0.78125</v>
      </c>
      <c r="O31" s="196">
        <v>715</v>
      </c>
      <c r="P31" s="233" t="s">
        <v>492</v>
      </c>
      <c r="Q31" s="3">
        <v>1.97</v>
      </c>
      <c r="R31" s="205">
        <v>1.86</v>
      </c>
      <c r="S31" s="168">
        <f t="shared" si="0"/>
        <v>362.94416243654825</v>
      </c>
      <c r="T31" s="168">
        <f t="shared" si="1"/>
        <v>384.4086021505376</v>
      </c>
    </row>
    <row r="32" spans="2:20" x14ac:dyDescent="0.25">
      <c r="B32" s="199">
        <v>44933</v>
      </c>
      <c r="C32" s="233">
        <v>2</v>
      </c>
      <c r="D32" s="233" t="s">
        <v>465</v>
      </c>
      <c r="E32" s="233" t="s">
        <v>3</v>
      </c>
      <c r="F32" s="233" t="s">
        <v>691</v>
      </c>
      <c r="G32" s="233">
        <v>18</v>
      </c>
      <c r="H32" s="233">
        <v>3000</v>
      </c>
      <c r="I32" s="233" t="s">
        <v>489</v>
      </c>
      <c r="J32" s="233" t="s">
        <v>693</v>
      </c>
      <c r="K32" s="233" t="s">
        <v>57</v>
      </c>
      <c r="L32" s="233" t="s">
        <v>40</v>
      </c>
      <c r="M32" s="238">
        <v>0.78125</v>
      </c>
      <c r="N32" s="238">
        <v>0.95833333333333337</v>
      </c>
      <c r="O32" s="196">
        <v>2366</v>
      </c>
      <c r="P32" s="233" t="s">
        <v>492</v>
      </c>
      <c r="Q32" s="3">
        <v>3.64</v>
      </c>
      <c r="R32" s="205">
        <v>3.8</v>
      </c>
      <c r="S32" s="168">
        <f t="shared" si="0"/>
        <v>650</v>
      </c>
      <c r="T32" s="168">
        <f t="shared" si="1"/>
        <v>622.63157894736844</v>
      </c>
    </row>
    <row r="33" spans="2:28" x14ac:dyDescent="0.25">
      <c r="B33" s="199">
        <v>44933</v>
      </c>
      <c r="C33" s="3">
        <v>3</v>
      </c>
      <c r="D33" s="233" t="s">
        <v>182</v>
      </c>
      <c r="E33" s="233" t="s">
        <v>3</v>
      </c>
      <c r="F33" s="233" t="s">
        <v>661</v>
      </c>
      <c r="G33" s="3">
        <v>19</v>
      </c>
      <c r="H33" s="233">
        <v>3000</v>
      </c>
      <c r="I33" s="233" t="s">
        <v>489</v>
      </c>
      <c r="J33" s="233" t="s">
        <v>693</v>
      </c>
      <c r="K33" s="233" t="s">
        <v>57</v>
      </c>
      <c r="L33" s="233" t="s">
        <v>40</v>
      </c>
      <c r="M33" s="238">
        <v>0.95833333333333337</v>
      </c>
      <c r="N33" s="238">
        <v>3.4722222222222224E-2</v>
      </c>
      <c r="O33" s="196">
        <v>671</v>
      </c>
      <c r="P33" s="233" t="s">
        <v>492</v>
      </c>
      <c r="Q33" s="3">
        <v>1.1100000000000001</v>
      </c>
      <c r="R33" s="205">
        <v>1.27</v>
      </c>
      <c r="S33" s="168">
        <f t="shared" si="0"/>
        <v>604.50450450450444</v>
      </c>
      <c r="T33" s="168">
        <f t="shared" si="1"/>
        <v>528.34645669291342</v>
      </c>
    </row>
    <row r="34" spans="2:28" x14ac:dyDescent="0.25">
      <c r="B34" s="199">
        <v>44933</v>
      </c>
      <c r="C34" s="233">
        <v>3</v>
      </c>
      <c r="D34" s="233" t="s">
        <v>182</v>
      </c>
      <c r="E34" s="233" t="s">
        <v>3</v>
      </c>
      <c r="F34" s="233" t="s">
        <v>661</v>
      </c>
      <c r="G34" s="233">
        <v>20</v>
      </c>
      <c r="H34" s="233">
        <v>3000</v>
      </c>
      <c r="I34" s="233" t="s">
        <v>489</v>
      </c>
      <c r="J34" s="233" t="s">
        <v>694</v>
      </c>
      <c r="K34" s="233" t="s">
        <v>57</v>
      </c>
      <c r="L34" s="233" t="s">
        <v>40</v>
      </c>
      <c r="M34" s="238">
        <v>3.4722222222222224E-2</v>
      </c>
      <c r="N34" s="238">
        <v>0.29166666666666669</v>
      </c>
      <c r="O34" s="196">
        <v>2402</v>
      </c>
      <c r="P34" s="3" t="s">
        <v>492</v>
      </c>
      <c r="Q34" s="3">
        <v>5.13</v>
      </c>
      <c r="R34" s="205">
        <v>5.46</v>
      </c>
      <c r="S34" s="202">
        <f t="shared" si="0"/>
        <v>468.22612085769981</v>
      </c>
      <c r="T34" s="202">
        <f t="shared" si="1"/>
        <v>439.92673992673991</v>
      </c>
    </row>
    <row r="35" spans="2:28" x14ac:dyDescent="0.25">
      <c r="B35" s="199">
        <v>44934</v>
      </c>
      <c r="C35" s="233">
        <v>1</v>
      </c>
      <c r="D35" s="233" t="s">
        <v>5</v>
      </c>
      <c r="E35" s="233" t="s">
        <v>173</v>
      </c>
      <c r="F35" s="233" t="s">
        <v>695</v>
      </c>
      <c r="G35" s="233">
        <v>21</v>
      </c>
      <c r="H35" s="233">
        <v>3000</v>
      </c>
      <c r="I35" s="233" t="s">
        <v>489</v>
      </c>
      <c r="J35" s="233" t="s">
        <v>694</v>
      </c>
      <c r="K35" s="233" t="s">
        <v>57</v>
      </c>
      <c r="L35" s="233" t="s">
        <v>40</v>
      </c>
      <c r="M35" s="238">
        <v>0.29166666666666669</v>
      </c>
      <c r="N35" s="238">
        <v>0.42569444444444443</v>
      </c>
      <c r="O35" s="196">
        <v>982</v>
      </c>
      <c r="P35" s="233" t="s">
        <v>492</v>
      </c>
      <c r="Q35" s="3">
        <v>1.62</v>
      </c>
      <c r="R35" s="205">
        <v>1.92</v>
      </c>
      <c r="S35" s="202">
        <f t="shared" si="0"/>
        <v>606.17283950617275</v>
      </c>
      <c r="T35" s="202">
        <f t="shared" si="1"/>
        <v>511.45833333333337</v>
      </c>
      <c r="X35" s="3">
        <v>2.31</v>
      </c>
    </row>
    <row r="36" spans="2:28" x14ac:dyDescent="0.25">
      <c r="B36" s="199">
        <v>44934</v>
      </c>
      <c r="C36" s="233">
        <v>1</v>
      </c>
      <c r="D36" s="233" t="s">
        <v>5</v>
      </c>
      <c r="E36" s="233" t="s">
        <v>173</v>
      </c>
      <c r="F36" s="233" t="s">
        <v>695</v>
      </c>
      <c r="G36" s="233">
        <v>22</v>
      </c>
      <c r="H36" s="233">
        <v>3000</v>
      </c>
      <c r="I36" s="233" t="s">
        <v>489</v>
      </c>
      <c r="J36" s="233" t="s">
        <v>694</v>
      </c>
      <c r="K36" s="233" t="s">
        <v>57</v>
      </c>
      <c r="L36" s="3" t="s">
        <v>696</v>
      </c>
      <c r="M36" s="238">
        <v>0.42569444444444443</v>
      </c>
      <c r="N36" s="238">
        <v>0.48819444444444443</v>
      </c>
      <c r="O36" s="196">
        <v>512</v>
      </c>
      <c r="P36" s="233" t="s">
        <v>492</v>
      </c>
      <c r="Q36" s="3">
        <v>0.99</v>
      </c>
      <c r="R36" s="205">
        <v>1.04</v>
      </c>
      <c r="S36" s="202">
        <f t="shared" si="0"/>
        <v>517.17171717171721</v>
      </c>
      <c r="T36" s="202">
        <f t="shared" si="1"/>
        <v>492.30769230769226</v>
      </c>
    </row>
    <row r="37" spans="2:28" x14ac:dyDescent="0.25">
      <c r="B37" s="199">
        <v>44934</v>
      </c>
      <c r="C37" s="233">
        <v>1</v>
      </c>
      <c r="D37" s="233" t="s">
        <v>5</v>
      </c>
      <c r="E37" s="233" t="s">
        <v>173</v>
      </c>
      <c r="F37" s="233" t="s">
        <v>697</v>
      </c>
      <c r="G37" s="233">
        <v>23</v>
      </c>
      <c r="H37" s="233">
        <v>3000</v>
      </c>
      <c r="I37" s="233" t="s">
        <v>489</v>
      </c>
      <c r="J37" s="233" t="s">
        <v>694</v>
      </c>
      <c r="K37" s="233" t="s">
        <v>57</v>
      </c>
      <c r="L37" s="233" t="s">
        <v>40</v>
      </c>
      <c r="M37" s="238">
        <v>0.48819444444444443</v>
      </c>
      <c r="N37" s="238">
        <v>0.625</v>
      </c>
      <c r="O37" s="196">
        <v>1476</v>
      </c>
      <c r="P37" s="233" t="s">
        <v>492</v>
      </c>
      <c r="Q37" s="3">
        <v>3.1</v>
      </c>
      <c r="R37" s="205">
        <v>3.48</v>
      </c>
      <c r="S37" s="202">
        <f t="shared" si="0"/>
        <v>476.12903225806451</v>
      </c>
      <c r="T37" s="202">
        <f t="shared" si="1"/>
        <v>424.13793103448273</v>
      </c>
    </row>
    <row r="38" spans="2:28" x14ac:dyDescent="0.25">
      <c r="B38" s="199">
        <v>44934</v>
      </c>
      <c r="C38" s="3">
        <v>2</v>
      </c>
      <c r="D38" s="3" t="s">
        <v>465</v>
      </c>
      <c r="E38" s="3" t="s">
        <v>3</v>
      </c>
      <c r="F38" s="233" t="s">
        <v>691</v>
      </c>
      <c r="G38" s="3">
        <v>24</v>
      </c>
      <c r="H38" s="233">
        <v>3000</v>
      </c>
      <c r="I38" s="233" t="s">
        <v>489</v>
      </c>
      <c r="J38" s="233" t="s">
        <v>694</v>
      </c>
      <c r="K38" s="233" t="s">
        <v>57</v>
      </c>
      <c r="L38" s="233" t="s">
        <v>40</v>
      </c>
      <c r="M38" s="238">
        <v>0.625</v>
      </c>
      <c r="N38" s="238">
        <v>0.75</v>
      </c>
      <c r="O38" s="196">
        <v>1090</v>
      </c>
      <c r="P38" s="233" t="s">
        <v>492</v>
      </c>
      <c r="Q38" s="3">
        <v>2.44</v>
      </c>
      <c r="R38" s="205">
        <v>2.5</v>
      </c>
      <c r="S38" s="202">
        <f t="shared" si="0"/>
        <v>446.72131147540983</v>
      </c>
      <c r="T38" s="168">
        <f t="shared" si="1"/>
        <v>436</v>
      </c>
    </row>
    <row r="39" spans="2:28" x14ac:dyDescent="0.25">
      <c r="B39" s="199">
        <v>44934</v>
      </c>
      <c r="C39" s="233">
        <v>2</v>
      </c>
      <c r="D39" s="233" t="s">
        <v>465</v>
      </c>
      <c r="E39" s="233" t="s">
        <v>3</v>
      </c>
      <c r="F39" s="233" t="s">
        <v>691</v>
      </c>
      <c r="G39" s="233">
        <v>25</v>
      </c>
      <c r="H39" s="233">
        <v>7000</v>
      </c>
      <c r="I39" s="233" t="s">
        <v>489</v>
      </c>
      <c r="J39" s="233" t="s">
        <v>698</v>
      </c>
      <c r="K39" s="233" t="s">
        <v>57</v>
      </c>
      <c r="L39" s="233" t="s">
        <v>40</v>
      </c>
      <c r="M39" s="238">
        <v>0.75</v>
      </c>
      <c r="N39" s="238">
        <v>0.88194444444444453</v>
      </c>
      <c r="O39" s="196">
        <v>1130</v>
      </c>
      <c r="P39" s="233" t="s">
        <v>492</v>
      </c>
      <c r="Q39" s="3">
        <v>2.44</v>
      </c>
      <c r="R39" s="205">
        <v>2.4300000000000002</v>
      </c>
      <c r="S39" s="202">
        <f t="shared" si="0"/>
        <v>463.11475409836066</v>
      </c>
      <c r="T39" s="168">
        <f t="shared" si="1"/>
        <v>465.02057613168722</v>
      </c>
    </row>
    <row r="40" spans="2:28" x14ac:dyDescent="0.25">
      <c r="B40" s="199">
        <v>44934</v>
      </c>
      <c r="C40" s="233">
        <v>2</v>
      </c>
      <c r="D40" s="233" t="s">
        <v>465</v>
      </c>
      <c r="E40" s="233" t="s">
        <v>3</v>
      </c>
      <c r="F40" s="233" t="s">
        <v>691</v>
      </c>
      <c r="G40" s="233">
        <v>26</v>
      </c>
      <c r="H40" s="233">
        <v>7000</v>
      </c>
      <c r="I40" s="233" t="s">
        <v>489</v>
      </c>
      <c r="J40" s="233" t="s">
        <v>698</v>
      </c>
      <c r="K40" s="233" t="s">
        <v>57</v>
      </c>
      <c r="L40" s="233" t="s">
        <v>696</v>
      </c>
      <c r="M40" s="238">
        <v>0.88194444444444453</v>
      </c>
      <c r="N40" s="238">
        <v>0.94444444444444453</v>
      </c>
      <c r="O40" s="196">
        <v>675</v>
      </c>
      <c r="P40" s="233" t="s">
        <v>492</v>
      </c>
      <c r="Q40" s="3">
        <v>1.37</v>
      </c>
      <c r="R40" s="205">
        <v>1.1299999999999999</v>
      </c>
      <c r="S40" s="168">
        <f t="shared" si="0"/>
        <v>492.70072992700727</v>
      </c>
      <c r="T40" s="168">
        <f t="shared" si="1"/>
        <v>597.34513274336291</v>
      </c>
    </row>
    <row r="41" spans="2:28" x14ac:dyDescent="0.25">
      <c r="B41" s="199">
        <v>44934</v>
      </c>
      <c r="C41" s="3">
        <v>3</v>
      </c>
      <c r="D41" s="3" t="s">
        <v>182</v>
      </c>
      <c r="E41" s="3" t="s">
        <v>188</v>
      </c>
      <c r="F41" s="3" t="s">
        <v>17</v>
      </c>
      <c r="G41" s="3">
        <v>27</v>
      </c>
      <c r="H41" s="233">
        <v>7000</v>
      </c>
      <c r="I41" s="233" t="s">
        <v>489</v>
      </c>
      <c r="J41" s="233" t="s">
        <v>698</v>
      </c>
      <c r="K41" s="233" t="s">
        <v>57</v>
      </c>
      <c r="L41" s="233" t="s">
        <v>40</v>
      </c>
      <c r="M41" s="238">
        <v>0.95833333333333337</v>
      </c>
      <c r="N41" s="238">
        <v>0.17152777777777775</v>
      </c>
      <c r="O41" s="196">
        <v>2396</v>
      </c>
      <c r="P41" s="3" t="s">
        <v>492</v>
      </c>
      <c r="Q41" s="3">
        <v>4.66</v>
      </c>
      <c r="R41" s="205">
        <v>4.5199999999999996</v>
      </c>
      <c r="S41" s="168">
        <f t="shared" si="0"/>
        <v>514.16309012875536</v>
      </c>
      <c r="T41" s="168">
        <f t="shared" si="1"/>
        <v>530.08849557522126</v>
      </c>
    </row>
    <row r="42" spans="2:28" x14ac:dyDescent="0.25">
      <c r="B42" s="199">
        <v>44934</v>
      </c>
      <c r="C42" s="233">
        <v>3</v>
      </c>
      <c r="D42" s="233" t="s">
        <v>182</v>
      </c>
      <c r="E42" s="233" t="s">
        <v>188</v>
      </c>
      <c r="F42" s="3" t="s">
        <v>39</v>
      </c>
      <c r="G42" s="3">
        <v>28</v>
      </c>
      <c r="H42" s="233">
        <v>7000</v>
      </c>
      <c r="I42" s="233" t="s">
        <v>489</v>
      </c>
      <c r="J42" s="233" t="s">
        <v>698</v>
      </c>
      <c r="K42" s="233" t="s">
        <v>57</v>
      </c>
      <c r="L42" s="233" t="s">
        <v>473</v>
      </c>
      <c r="M42" s="238">
        <v>0.17152777777777775</v>
      </c>
      <c r="N42" s="238">
        <v>0.23611111111111113</v>
      </c>
      <c r="O42" s="196">
        <v>804</v>
      </c>
      <c r="P42" s="3" t="s">
        <v>699</v>
      </c>
      <c r="Q42" s="3">
        <v>1.33</v>
      </c>
      <c r="R42" s="205">
        <v>1.48</v>
      </c>
      <c r="S42" s="202">
        <f t="shared" si="0"/>
        <v>604.51127819548867</v>
      </c>
      <c r="T42" s="202">
        <f t="shared" si="1"/>
        <v>543.24324324324323</v>
      </c>
    </row>
    <row r="43" spans="2:28" x14ac:dyDescent="0.25">
      <c r="B43" s="199">
        <v>44934</v>
      </c>
      <c r="C43" s="233">
        <v>3</v>
      </c>
      <c r="D43" s="233" t="s">
        <v>182</v>
      </c>
      <c r="E43" s="233" t="s">
        <v>188</v>
      </c>
      <c r="F43" s="233" t="s">
        <v>39</v>
      </c>
      <c r="G43" s="233">
        <v>29</v>
      </c>
      <c r="H43" s="233">
        <v>7000</v>
      </c>
      <c r="I43" s="233" t="s">
        <v>489</v>
      </c>
      <c r="J43" s="233" t="s">
        <v>698</v>
      </c>
      <c r="K43" s="233" t="s">
        <v>57</v>
      </c>
      <c r="L43" s="233" t="s">
        <v>40</v>
      </c>
      <c r="M43" s="238">
        <v>0.23611111111111113</v>
      </c>
      <c r="N43" s="238">
        <v>0.29166666666666669</v>
      </c>
      <c r="O43" s="196">
        <v>714</v>
      </c>
      <c r="P43" s="3" t="s">
        <v>492</v>
      </c>
      <c r="Q43" s="3">
        <v>1.36</v>
      </c>
      <c r="R43" s="205">
        <v>1.34</v>
      </c>
      <c r="S43" s="202">
        <f t="shared" si="0"/>
        <v>525</v>
      </c>
      <c r="T43" s="202">
        <f t="shared" si="1"/>
        <v>532.83582089552237</v>
      </c>
    </row>
    <row r="44" spans="2:28" s="233" customFormat="1" x14ac:dyDescent="0.25">
      <c r="B44" s="199"/>
      <c r="M44" s="238"/>
      <c r="N44" s="238"/>
      <c r="O44" s="196"/>
      <c r="Q44" s="233">
        <v>0.37</v>
      </c>
      <c r="R44" s="398" t="s">
        <v>702</v>
      </c>
      <c r="S44" s="399"/>
      <c r="T44" s="399"/>
      <c r="U44" s="399"/>
      <c r="V44" s="400"/>
      <c r="AB44" s="196"/>
    </row>
    <row r="45" spans="2:28" x14ac:dyDescent="0.25">
      <c r="B45" s="199">
        <v>44935</v>
      </c>
      <c r="C45" s="233">
        <v>1</v>
      </c>
      <c r="D45" s="233" t="s">
        <v>465</v>
      </c>
      <c r="E45" s="233" t="s">
        <v>173</v>
      </c>
      <c r="F45" s="3" t="s">
        <v>700</v>
      </c>
      <c r="G45" s="233">
        <v>30</v>
      </c>
      <c r="H45" s="233">
        <v>7000</v>
      </c>
      <c r="I45" s="233" t="s">
        <v>489</v>
      </c>
      <c r="J45" s="233" t="s">
        <v>698</v>
      </c>
      <c r="K45" s="233" t="s">
        <v>57</v>
      </c>
      <c r="L45" s="233" t="s">
        <v>40</v>
      </c>
      <c r="M45" s="238">
        <v>0.29166666666666669</v>
      </c>
      <c r="N45" s="238">
        <v>0.625</v>
      </c>
      <c r="O45" s="196">
        <v>2898</v>
      </c>
      <c r="P45" s="233" t="s">
        <v>492</v>
      </c>
      <c r="Q45" s="3">
        <f>5.81-0.37</f>
        <v>5.4399999999999995</v>
      </c>
      <c r="R45" s="205">
        <v>1.48</v>
      </c>
      <c r="S45" s="202">
        <f t="shared" ref="S45:S51" si="2">O45/Q45</f>
        <v>532.72058823529414</v>
      </c>
      <c r="T45" s="202">
        <f t="shared" ref="T45:T74" si="3">IFERROR(O45/R45,"")</f>
        <v>1958.1081081081081</v>
      </c>
    </row>
    <row r="46" spans="2:28" x14ac:dyDescent="0.25">
      <c r="B46" s="199">
        <v>44935</v>
      </c>
      <c r="C46" s="3">
        <v>2</v>
      </c>
      <c r="D46" s="3" t="s">
        <v>7</v>
      </c>
      <c r="E46" s="233" t="s">
        <v>658</v>
      </c>
      <c r="F46" s="3" t="s">
        <v>706</v>
      </c>
      <c r="G46" s="3">
        <v>31</v>
      </c>
      <c r="H46" s="233">
        <v>7000</v>
      </c>
      <c r="I46" s="233" t="s">
        <v>489</v>
      </c>
      <c r="J46" s="233" t="s">
        <v>698</v>
      </c>
      <c r="K46" s="233" t="s">
        <v>57</v>
      </c>
      <c r="L46" s="233" t="s">
        <v>40</v>
      </c>
      <c r="M46" s="238">
        <v>0.625</v>
      </c>
      <c r="N46" s="238">
        <v>0.66666666666666663</v>
      </c>
      <c r="O46" s="196">
        <v>433</v>
      </c>
      <c r="P46" s="233" t="s">
        <v>492</v>
      </c>
      <c r="Q46" s="3">
        <v>0.78</v>
      </c>
      <c r="R46" s="205">
        <v>1.48</v>
      </c>
      <c r="S46" s="202">
        <f t="shared" si="2"/>
        <v>555.12820512820508</v>
      </c>
      <c r="T46" s="202">
        <f t="shared" si="3"/>
        <v>292.56756756756755</v>
      </c>
    </row>
    <row r="47" spans="2:28" x14ac:dyDescent="0.25">
      <c r="B47" s="199">
        <v>44935</v>
      </c>
      <c r="C47" s="233">
        <v>2</v>
      </c>
      <c r="D47" s="233" t="s">
        <v>7</v>
      </c>
      <c r="E47" s="233" t="s">
        <v>658</v>
      </c>
      <c r="F47" s="233" t="s">
        <v>706</v>
      </c>
      <c r="G47" s="233">
        <v>32</v>
      </c>
      <c r="H47" s="233">
        <v>6800</v>
      </c>
      <c r="I47" s="233" t="s">
        <v>683</v>
      </c>
      <c r="J47" s="233" t="s">
        <v>681</v>
      </c>
      <c r="K47" s="233" t="s">
        <v>57</v>
      </c>
      <c r="L47" s="233" t="s">
        <v>40</v>
      </c>
      <c r="M47" s="238">
        <v>0.66666666666666663</v>
      </c>
      <c r="N47" s="238">
        <v>0.79027777777777775</v>
      </c>
      <c r="O47" s="196">
        <v>1367</v>
      </c>
      <c r="P47" s="233" t="s">
        <v>492</v>
      </c>
      <c r="Q47" s="3">
        <f>3.62-0.78</f>
        <v>2.84</v>
      </c>
      <c r="R47" s="205">
        <v>1.48</v>
      </c>
      <c r="S47" s="202">
        <f t="shared" si="2"/>
        <v>481.33802816901408</v>
      </c>
      <c r="T47" s="202">
        <f t="shared" si="3"/>
        <v>923.64864864864865</v>
      </c>
    </row>
    <row r="48" spans="2:28" x14ac:dyDescent="0.25">
      <c r="B48" s="199">
        <v>44935</v>
      </c>
      <c r="C48" s="233">
        <v>2</v>
      </c>
      <c r="D48" s="233" t="s">
        <v>7</v>
      </c>
      <c r="E48" s="233" t="s">
        <v>658</v>
      </c>
      <c r="F48" s="233" t="s">
        <v>706</v>
      </c>
      <c r="G48" s="233">
        <v>32</v>
      </c>
      <c r="H48" s="233">
        <v>813</v>
      </c>
      <c r="I48" s="233" t="s">
        <v>683</v>
      </c>
      <c r="J48" s="233" t="s">
        <v>681</v>
      </c>
      <c r="K48" s="233" t="s">
        <v>57</v>
      </c>
      <c r="L48" s="233" t="s">
        <v>696</v>
      </c>
      <c r="M48" s="238">
        <v>0.79027777777777775</v>
      </c>
      <c r="N48" s="238">
        <v>0.86111111111111116</v>
      </c>
      <c r="O48" s="196">
        <v>813</v>
      </c>
      <c r="P48" s="233" t="s">
        <v>492</v>
      </c>
      <c r="Q48" s="3">
        <f>4.8-3.62</f>
        <v>1.1799999999999997</v>
      </c>
      <c r="R48" s="205">
        <v>1.48</v>
      </c>
      <c r="S48" s="202">
        <f t="shared" si="2"/>
        <v>688.98305084745778</v>
      </c>
      <c r="T48" s="202">
        <f t="shared" si="3"/>
        <v>549.32432432432438</v>
      </c>
    </row>
    <row r="49" spans="2:20" x14ac:dyDescent="0.25">
      <c r="B49" s="199">
        <v>44935</v>
      </c>
      <c r="C49" s="233">
        <v>2</v>
      </c>
      <c r="D49" s="233" t="s">
        <v>7</v>
      </c>
      <c r="E49" s="233" t="s">
        <v>658</v>
      </c>
      <c r="F49" s="233" t="s">
        <v>706</v>
      </c>
      <c r="G49" s="3">
        <v>32</v>
      </c>
      <c r="H49" s="233">
        <v>6800</v>
      </c>
      <c r="I49" s="233" t="s">
        <v>683</v>
      </c>
      <c r="J49" s="233" t="s">
        <v>681</v>
      </c>
      <c r="K49" s="233" t="s">
        <v>57</v>
      </c>
      <c r="L49" s="3" t="s">
        <v>32</v>
      </c>
      <c r="M49" s="238">
        <v>0.86111111111111116</v>
      </c>
      <c r="N49" s="238">
        <v>0.88402777777777775</v>
      </c>
      <c r="O49" s="196">
        <v>200</v>
      </c>
      <c r="P49" s="233" t="s">
        <v>492</v>
      </c>
      <c r="Q49" s="3">
        <f>5.1-4.8</f>
        <v>0.29999999999999982</v>
      </c>
      <c r="R49" s="205">
        <v>1.48</v>
      </c>
      <c r="S49" s="202">
        <f t="shared" si="2"/>
        <v>666.66666666666708</v>
      </c>
      <c r="T49" s="202">
        <f t="shared" si="3"/>
        <v>135.13513513513513</v>
      </c>
    </row>
    <row r="50" spans="2:20" x14ac:dyDescent="0.25">
      <c r="B50" s="199">
        <v>44935</v>
      </c>
      <c r="C50" s="233">
        <v>2</v>
      </c>
      <c r="D50" s="233" t="s">
        <v>7</v>
      </c>
      <c r="E50" s="233" t="s">
        <v>658</v>
      </c>
      <c r="F50" s="233" t="s">
        <v>706</v>
      </c>
      <c r="G50" s="3">
        <v>33</v>
      </c>
      <c r="H50" s="3">
        <v>6900</v>
      </c>
      <c r="I50" s="3" t="s">
        <v>707</v>
      </c>
      <c r="J50" s="3" t="s">
        <v>713</v>
      </c>
      <c r="K50" s="233" t="s">
        <v>57</v>
      </c>
      <c r="L50" s="233" t="s">
        <v>32</v>
      </c>
      <c r="M50" s="238">
        <v>0.88402777777777775</v>
      </c>
      <c r="N50" s="238">
        <v>0.95833333333333337</v>
      </c>
      <c r="O50" s="196">
        <v>535</v>
      </c>
      <c r="P50" s="233" t="s">
        <v>492</v>
      </c>
      <c r="Q50" s="3">
        <f>6.04-Q49-Q48-Q47-Q46</f>
        <v>0.94000000000000061</v>
      </c>
      <c r="R50" s="205">
        <v>1.48</v>
      </c>
      <c r="S50" s="202">
        <f t="shared" si="2"/>
        <v>569.14893617021244</v>
      </c>
      <c r="T50" s="202">
        <f t="shared" si="3"/>
        <v>361.48648648648651</v>
      </c>
    </row>
    <row r="51" spans="2:20" x14ac:dyDescent="0.25">
      <c r="B51" s="199">
        <v>44935</v>
      </c>
      <c r="C51" s="233">
        <v>3</v>
      </c>
      <c r="D51" s="3" t="s">
        <v>182</v>
      </c>
      <c r="E51" s="3" t="s">
        <v>188</v>
      </c>
      <c r="F51" s="3" t="s">
        <v>11</v>
      </c>
      <c r="G51" s="3">
        <v>33</v>
      </c>
      <c r="H51" s="233">
        <v>6900</v>
      </c>
      <c r="I51" s="233" t="s">
        <v>707</v>
      </c>
      <c r="J51" s="233" t="s">
        <v>713</v>
      </c>
      <c r="K51" s="233" t="s">
        <v>57</v>
      </c>
      <c r="L51" s="233" t="s">
        <v>32</v>
      </c>
      <c r="M51" s="238">
        <v>0.95833333333333337</v>
      </c>
      <c r="N51" s="238">
        <v>0.29166666666666669</v>
      </c>
      <c r="O51" s="196">
        <v>2091</v>
      </c>
      <c r="P51" s="3" t="s">
        <v>492</v>
      </c>
      <c r="Q51" s="3">
        <v>4</v>
      </c>
      <c r="R51" s="205">
        <v>1.48</v>
      </c>
      <c r="S51" s="202">
        <f t="shared" si="2"/>
        <v>522.75</v>
      </c>
      <c r="T51" s="202">
        <f t="shared" si="3"/>
        <v>1412.8378378378379</v>
      </c>
    </row>
    <row r="52" spans="2:20" x14ac:dyDescent="0.25">
      <c r="B52" s="199">
        <v>44936</v>
      </c>
      <c r="C52" s="3">
        <v>1</v>
      </c>
      <c r="D52" s="233" t="s">
        <v>465</v>
      </c>
      <c r="E52" s="233" t="s">
        <v>3</v>
      </c>
      <c r="F52" s="233" t="s">
        <v>700</v>
      </c>
      <c r="G52" s="3">
        <v>34</v>
      </c>
      <c r="H52" s="233">
        <v>6900</v>
      </c>
      <c r="I52" s="233" t="s">
        <v>707</v>
      </c>
      <c r="J52" s="233" t="s">
        <v>713</v>
      </c>
      <c r="K52" s="233" t="s">
        <v>57</v>
      </c>
      <c r="L52" s="233" t="s">
        <v>32</v>
      </c>
      <c r="M52" s="238">
        <v>0.29166666666666669</v>
      </c>
      <c r="N52" s="238">
        <v>0.57638888888888895</v>
      </c>
      <c r="O52" s="196">
        <v>1990</v>
      </c>
      <c r="P52" s="233" t="s">
        <v>492</v>
      </c>
      <c r="Q52" s="3">
        <v>4.5199999999999996</v>
      </c>
      <c r="R52" s="205">
        <v>5</v>
      </c>
      <c r="S52" s="202">
        <f t="shared" ref="S52:S74" si="4">O52/Q52</f>
        <v>440.26548672566378</v>
      </c>
      <c r="T52" s="202">
        <f t="shared" si="3"/>
        <v>398</v>
      </c>
    </row>
    <row r="53" spans="2:20" x14ac:dyDescent="0.25">
      <c r="B53" s="199">
        <v>44936</v>
      </c>
      <c r="C53" s="233">
        <v>1</v>
      </c>
      <c r="D53" s="233" t="s">
        <v>465</v>
      </c>
      <c r="E53" s="233" t="s">
        <v>3</v>
      </c>
      <c r="F53" s="233" t="s">
        <v>700</v>
      </c>
      <c r="G53" s="233">
        <v>35</v>
      </c>
      <c r="H53" s="233">
        <v>584</v>
      </c>
      <c r="I53" s="233" t="s">
        <v>707</v>
      </c>
      <c r="J53" s="233" t="s">
        <v>713</v>
      </c>
      <c r="K53" s="233" t="s">
        <v>57</v>
      </c>
      <c r="L53" s="233" t="s">
        <v>696</v>
      </c>
      <c r="M53" s="238">
        <v>0.57638888888888895</v>
      </c>
      <c r="N53" s="238">
        <v>0.625</v>
      </c>
      <c r="O53" s="196">
        <v>584</v>
      </c>
      <c r="P53" s="233" t="s">
        <v>492</v>
      </c>
      <c r="Q53" s="3">
        <f>5.69-4.52</f>
        <v>1.1700000000000008</v>
      </c>
      <c r="R53" s="205">
        <f>6.17-5</f>
        <v>1.17</v>
      </c>
      <c r="S53" s="202">
        <f t="shared" si="4"/>
        <v>499.14529914529879</v>
      </c>
      <c r="T53" s="202">
        <f t="shared" si="3"/>
        <v>499.14529914529919</v>
      </c>
    </row>
    <row r="54" spans="2:20" x14ac:dyDescent="0.25">
      <c r="B54" s="199">
        <v>44936</v>
      </c>
      <c r="C54" s="3">
        <v>2</v>
      </c>
      <c r="D54" s="233" t="s">
        <v>182</v>
      </c>
      <c r="E54" s="233" t="s">
        <v>658</v>
      </c>
      <c r="F54" s="3" t="s">
        <v>724</v>
      </c>
      <c r="G54" s="233">
        <v>35</v>
      </c>
      <c r="H54" s="233">
        <v>850</v>
      </c>
      <c r="I54" s="233" t="s">
        <v>707</v>
      </c>
      <c r="J54" s="233" t="s">
        <v>713</v>
      </c>
      <c r="K54" s="233" t="s">
        <v>57</v>
      </c>
      <c r="L54" s="233" t="s">
        <v>696</v>
      </c>
      <c r="M54" s="238">
        <v>0.625</v>
      </c>
      <c r="N54" s="238">
        <v>0.66666666666666663</v>
      </c>
      <c r="O54" s="196">
        <v>850</v>
      </c>
      <c r="P54" s="233" t="s">
        <v>492</v>
      </c>
      <c r="Q54" s="3">
        <v>1.55</v>
      </c>
      <c r="R54" s="205">
        <v>1.54</v>
      </c>
      <c r="S54" s="202">
        <f t="shared" si="4"/>
        <v>548.38709677419354</v>
      </c>
      <c r="T54" s="202">
        <f t="shared" si="3"/>
        <v>551.9480519480519</v>
      </c>
    </row>
    <row r="55" spans="2:20" x14ac:dyDescent="0.25">
      <c r="B55" s="199">
        <v>44936</v>
      </c>
      <c r="C55" s="233">
        <v>2</v>
      </c>
      <c r="D55" s="233" t="s">
        <v>182</v>
      </c>
      <c r="E55" s="233" t="s">
        <v>658</v>
      </c>
      <c r="F55" s="233" t="s">
        <v>724</v>
      </c>
      <c r="G55" s="233">
        <v>35</v>
      </c>
      <c r="H55" s="233">
        <v>6900</v>
      </c>
      <c r="I55" s="233" t="s">
        <v>707</v>
      </c>
      <c r="J55" s="233" t="s">
        <v>713</v>
      </c>
      <c r="K55" s="233" t="s">
        <v>57</v>
      </c>
      <c r="L55" s="233" t="s">
        <v>32</v>
      </c>
      <c r="M55" s="238">
        <v>0.66666666666666663</v>
      </c>
      <c r="N55" s="238">
        <v>0.81805555555555554</v>
      </c>
      <c r="O55" s="196">
        <v>1561</v>
      </c>
      <c r="P55" s="233" t="s">
        <v>492</v>
      </c>
      <c r="Q55" s="3">
        <f>4.29-1.55</f>
        <v>2.74</v>
      </c>
      <c r="R55" s="205">
        <f>4.33-1.54</f>
        <v>2.79</v>
      </c>
      <c r="S55" s="202">
        <f t="shared" si="4"/>
        <v>569.70802919708024</v>
      </c>
      <c r="T55" s="202">
        <f t="shared" si="3"/>
        <v>559.49820788530462</v>
      </c>
    </row>
    <row r="56" spans="2:20" x14ac:dyDescent="0.25">
      <c r="B56" s="199">
        <v>44936</v>
      </c>
      <c r="C56" s="233">
        <v>2</v>
      </c>
      <c r="D56" s="233" t="s">
        <v>182</v>
      </c>
      <c r="E56" s="233" t="s">
        <v>658</v>
      </c>
      <c r="F56" s="233" t="s">
        <v>724</v>
      </c>
      <c r="G56" s="3">
        <v>36</v>
      </c>
      <c r="H56" s="3">
        <v>4800</v>
      </c>
      <c r="I56" s="233" t="s">
        <v>489</v>
      </c>
      <c r="J56" s="3" t="s">
        <v>725</v>
      </c>
      <c r="K56" s="233" t="s">
        <v>57</v>
      </c>
      <c r="L56" s="233" t="s">
        <v>32</v>
      </c>
      <c r="M56" s="238">
        <v>0.81805555555555554</v>
      </c>
      <c r="N56" s="238">
        <v>0.95833333333333337</v>
      </c>
      <c r="O56" s="196">
        <v>1546</v>
      </c>
      <c r="P56" s="233" t="s">
        <v>492</v>
      </c>
      <c r="Q56" s="3">
        <f>6.78-Q55-Q54</f>
        <v>2.4900000000000002</v>
      </c>
      <c r="R56" s="205">
        <f>7.29-R55-R54</f>
        <v>2.96</v>
      </c>
      <c r="S56" s="202">
        <f t="shared" si="4"/>
        <v>620.88353413654613</v>
      </c>
      <c r="T56" s="202">
        <f t="shared" si="3"/>
        <v>522.29729729729729</v>
      </c>
    </row>
    <row r="57" spans="2:20" x14ac:dyDescent="0.25">
      <c r="B57" s="199">
        <v>44936</v>
      </c>
      <c r="C57" s="3">
        <v>3</v>
      </c>
      <c r="D57" s="3" t="s">
        <v>466</v>
      </c>
      <c r="E57" s="3" t="s">
        <v>188</v>
      </c>
      <c r="F57" s="3" t="s">
        <v>53</v>
      </c>
      <c r="G57" s="3">
        <v>36</v>
      </c>
      <c r="H57" s="233">
        <v>4800</v>
      </c>
      <c r="I57" s="233" t="s">
        <v>489</v>
      </c>
      <c r="J57" s="233" t="s">
        <v>725</v>
      </c>
      <c r="K57" s="233" t="s">
        <v>57</v>
      </c>
      <c r="L57" s="233" t="s">
        <v>32</v>
      </c>
      <c r="M57" s="238">
        <v>0.95833333333333337</v>
      </c>
      <c r="N57" s="238">
        <v>5.2083333333333336E-2</v>
      </c>
      <c r="O57" s="196">
        <v>950</v>
      </c>
      <c r="P57" s="233" t="s">
        <v>492</v>
      </c>
      <c r="Q57" s="3">
        <v>1.95</v>
      </c>
      <c r="R57" s="205">
        <v>1.96</v>
      </c>
      <c r="S57" s="202">
        <f t="shared" si="4"/>
        <v>487.17948717948718</v>
      </c>
      <c r="T57" s="202">
        <f t="shared" si="3"/>
        <v>484.69387755102042</v>
      </c>
    </row>
    <row r="58" spans="2:20" x14ac:dyDescent="0.25">
      <c r="B58" s="199">
        <v>44936</v>
      </c>
      <c r="C58" s="233">
        <v>3</v>
      </c>
      <c r="D58" s="233" t="s">
        <v>466</v>
      </c>
      <c r="E58" s="233" t="s">
        <v>188</v>
      </c>
      <c r="F58" s="233" t="s">
        <v>53</v>
      </c>
      <c r="G58" s="3">
        <v>36</v>
      </c>
      <c r="H58" s="233">
        <v>4800</v>
      </c>
      <c r="I58" s="233" t="s">
        <v>489</v>
      </c>
      <c r="J58" s="233" t="s">
        <v>725</v>
      </c>
      <c r="K58" s="233" t="s">
        <v>57</v>
      </c>
      <c r="L58" s="233" t="s">
        <v>473</v>
      </c>
      <c r="M58" s="238">
        <v>5.2083333333333336E-2</v>
      </c>
      <c r="N58" s="238">
        <v>0.1111111111111111</v>
      </c>
      <c r="O58" s="196">
        <v>792</v>
      </c>
      <c r="P58" s="233" t="s">
        <v>492</v>
      </c>
      <c r="Q58" s="3">
        <f>3.37-Q57</f>
        <v>1.4200000000000002</v>
      </c>
      <c r="R58" s="205">
        <f>3.29-R57</f>
        <v>1.33</v>
      </c>
      <c r="S58" s="202">
        <f t="shared" si="4"/>
        <v>557.74647887323943</v>
      </c>
      <c r="T58" s="202">
        <f t="shared" si="3"/>
        <v>595.48872180451121</v>
      </c>
    </row>
    <row r="59" spans="2:20" x14ac:dyDescent="0.25">
      <c r="B59" s="199">
        <v>44936</v>
      </c>
      <c r="C59" s="233">
        <v>3</v>
      </c>
      <c r="D59" s="233" t="s">
        <v>466</v>
      </c>
      <c r="E59" s="233" t="s">
        <v>188</v>
      </c>
      <c r="F59" s="233" t="s">
        <v>11</v>
      </c>
      <c r="G59" s="233">
        <v>37</v>
      </c>
      <c r="H59" s="233">
        <v>5600</v>
      </c>
      <c r="I59" s="233" t="s">
        <v>635</v>
      </c>
      <c r="J59" s="233" t="s">
        <v>726</v>
      </c>
      <c r="K59" s="233" t="s">
        <v>728</v>
      </c>
      <c r="L59" s="233" t="s">
        <v>358</v>
      </c>
      <c r="M59" s="238">
        <v>0.1111111111111111</v>
      </c>
      <c r="N59" s="238">
        <v>0.29166666666666669</v>
      </c>
      <c r="O59" s="196">
        <v>2261</v>
      </c>
      <c r="P59" s="233" t="s">
        <v>492</v>
      </c>
      <c r="Q59" s="3">
        <v>3.38</v>
      </c>
      <c r="R59" s="205">
        <v>3.45</v>
      </c>
      <c r="S59" s="202">
        <f t="shared" si="4"/>
        <v>668.93491124260356</v>
      </c>
      <c r="T59" s="202">
        <f t="shared" si="3"/>
        <v>655.36231884057963</v>
      </c>
    </row>
    <row r="60" spans="2:20" x14ac:dyDescent="0.25">
      <c r="B60" s="199">
        <v>44937</v>
      </c>
      <c r="C60" s="3">
        <v>1</v>
      </c>
      <c r="D60" s="233" t="s">
        <v>465</v>
      </c>
      <c r="E60" s="233" t="s">
        <v>3</v>
      </c>
      <c r="F60" s="233" t="s">
        <v>729</v>
      </c>
      <c r="G60" s="3">
        <v>38</v>
      </c>
      <c r="H60" s="233">
        <v>5600</v>
      </c>
      <c r="I60" s="233" t="s">
        <v>635</v>
      </c>
      <c r="J60" s="233" t="s">
        <v>726</v>
      </c>
      <c r="K60" s="233" t="s">
        <v>728</v>
      </c>
      <c r="L60" s="233" t="s">
        <v>358</v>
      </c>
      <c r="M60" s="238">
        <v>0.29166666666666669</v>
      </c>
      <c r="N60" s="238">
        <v>0.44444444444444442</v>
      </c>
      <c r="O60" s="196">
        <v>2240</v>
      </c>
      <c r="P60" s="233" t="s">
        <v>492</v>
      </c>
      <c r="Q60" s="3">
        <v>3.46</v>
      </c>
      <c r="R60" s="205">
        <v>3.6</v>
      </c>
      <c r="S60" s="202">
        <f t="shared" si="4"/>
        <v>647.39884393063585</v>
      </c>
      <c r="T60" s="202">
        <f t="shared" si="3"/>
        <v>622.22222222222217</v>
      </c>
    </row>
    <row r="61" spans="2:20" x14ac:dyDescent="0.25">
      <c r="B61" s="199">
        <v>44937</v>
      </c>
      <c r="C61" s="3">
        <v>1</v>
      </c>
      <c r="D61" s="233" t="s">
        <v>465</v>
      </c>
      <c r="E61" s="233" t="s">
        <v>3</v>
      </c>
      <c r="F61" s="233" t="s">
        <v>729</v>
      </c>
      <c r="G61" s="3">
        <v>39</v>
      </c>
      <c r="H61" s="3">
        <v>3000</v>
      </c>
      <c r="I61" s="233" t="s">
        <v>489</v>
      </c>
      <c r="J61" s="3" t="s">
        <v>730</v>
      </c>
      <c r="K61" s="233" t="s">
        <v>57</v>
      </c>
      <c r="L61" s="233" t="s">
        <v>32</v>
      </c>
      <c r="M61" s="238">
        <v>0.44444444444444442</v>
      </c>
      <c r="N61" s="238">
        <v>0.57638888888888895</v>
      </c>
      <c r="O61" s="196">
        <v>760</v>
      </c>
      <c r="P61" s="233" t="s">
        <v>492</v>
      </c>
      <c r="Q61" s="3">
        <v>1.69</v>
      </c>
      <c r="R61" s="205">
        <v>1.84</v>
      </c>
      <c r="S61" s="168">
        <f t="shared" si="4"/>
        <v>449.70414201183434</v>
      </c>
      <c r="T61" s="168">
        <f t="shared" si="3"/>
        <v>413.04347826086956</v>
      </c>
    </row>
    <row r="62" spans="2:20" x14ac:dyDescent="0.25">
      <c r="B62" s="199">
        <v>44937</v>
      </c>
      <c r="C62" s="233">
        <v>1</v>
      </c>
      <c r="D62" s="233" t="s">
        <v>465</v>
      </c>
      <c r="E62" s="233" t="s">
        <v>3</v>
      </c>
      <c r="F62" s="233" t="s">
        <v>729</v>
      </c>
      <c r="G62" s="3">
        <v>40</v>
      </c>
      <c r="H62" s="3">
        <v>1500</v>
      </c>
      <c r="I62" s="233" t="s">
        <v>489</v>
      </c>
      <c r="J62" s="233" t="s">
        <v>730</v>
      </c>
      <c r="K62" s="233" t="s">
        <v>57</v>
      </c>
      <c r="L62" s="233" t="s">
        <v>473</v>
      </c>
      <c r="M62" s="238">
        <v>0.57638888888888895</v>
      </c>
      <c r="N62" s="238">
        <v>0.625</v>
      </c>
      <c r="O62" s="196">
        <v>253</v>
      </c>
      <c r="Q62" s="3">
        <v>0.45</v>
      </c>
      <c r="R62" s="205">
        <v>0.62</v>
      </c>
      <c r="S62" s="168">
        <f t="shared" si="4"/>
        <v>562.22222222222217</v>
      </c>
      <c r="T62" s="168">
        <f t="shared" si="3"/>
        <v>408.06451612903226</v>
      </c>
    </row>
    <row r="63" spans="2:20" x14ac:dyDescent="0.25">
      <c r="B63" s="199">
        <v>44937</v>
      </c>
      <c r="C63" s="3">
        <v>2</v>
      </c>
      <c r="D63" s="3" t="s">
        <v>199</v>
      </c>
      <c r="E63" s="3" t="s">
        <v>205</v>
      </c>
      <c r="F63" s="3" t="s">
        <v>47</v>
      </c>
      <c r="G63" s="3">
        <v>41</v>
      </c>
      <c r="H63" s="3">
        <v>4000</v>
      </c>
      <c r="I63" s="233" t="s">
        <v>489</v>
      </c>
      <c r="J63" s="3" t="s">
        <v>731</v>
      </c>
      <c r="K63" s="3" t="s">
        <v>57</v>
      </c>
      <c r="L63" s="3" t="s">
        <v>32</v>
      </c>
      <c r="M63" s="238">
        <v>0.625</v>
      </c>
      <c r="N63" s="238">
        <v>0.95833333333333337</v>
      </c>
      <c r="O63" s="196">
        <v>3796</v>
      </c>
      <c r="P63" s="3" t="s">
        <v>492</v>
      </c>
      <c r="Q63" s="3">
        <v>6.48</v>
      </c>
      <c r="R63" s="205">
        <v>6.55</v>
      </c>
      <c r="S63" s="168">
        <f t="shared" si="4"/>
        <v>585.80246913580243</v>
      </c>
      <c r="T63" s="168">
        <f t="shared" si="3"/>
        <v>579.5419847328244</v>
      </c>
    </row>
    <row r="64" spans="2:20" x14ac:dyDescent="0.25">
      <c r="B64" s="199">
        <v>44937</v>
      </c>
      <c r="C64" s="233">
        <v>3</v>
      </c>
      <c r="D64" s="233" t="s">
        <v>188</v>
      </c>
      <c r="E64" s="233" t="s">
        <v>188</v>
      </c>
      <c r="F64" s="233" t="s">
        <v>53</v>
      </c>
      <c r="G64" s="3">
        <v>42</v>
      </c>
      <c r="H64" s="3">
        <v>4530</v>
      </c>
      <c r="I64" s="233" t="s">
        <v>489</v>
      </c>
      <c r="J64" s="3" t="s">
        <v>732</v>
      </c>
      <c r="K64" s="3" t="s">
        <v>57</v>
      </c>
      <c r="L64" s="3" t="s">
        <v>34</v>
      </c>
      <c r="M64" s="238">
        <v>0.95833333333333337</v>
      </c>
      <c r="N64" s="238">
        <v>2.4305555555555556E-2</v>
      </c>
      <c r="O64" s="196">
        <v>623</v>
      </c>
      <c r="P64" s="3" t="s">
        <v>492</v>
      </c>
      <c r="Q64" s="3">
        <v>1.37</v>
      </c>
      <c r="R64" s="205">
        <v>1.2</v>
      </c>
      <c r="S64" s="168">
        <f t="shared" si="4"/>
        <v>454.74452554744522</v>
      </c>
      <c r="T64" s="168">
        <f t="shared" si="3"/>
        <v>519.16666666666674</v>
      </c>
    </row>
    <row r="65" spans="2:20" x14ac:dyDescent="0.25">
      <c r="B65" s="199">
        <v>44937</v>
      </c>
      <c r="C65" s="233">
        <v>3</v>
      </c>
      <c r="D65" s="233" t="s">
        <v>188</v>
      </c>
      <c r="E65" s="233" t="s">
        <v>188</v>
      </c>
      <c r="F65" s="233" t="s">
        <v>53</v>
      </c>
      <c r="G65" s="233">
        <v>42</v>
      </c>
      <c r="H65" s="233">
        <v>4530</v>
      </c>
      <c r="I65" s="233" t="s">
        <v>489</v>
      </c>
      <c r="J65" s="233" t="s">
        <v>732</v>
      </c>
      <c r="K65" s="233" t="s">
        <v>57</v>
      </c>
      <c r="L65" s="233" t="s">
        <v>473</v>
      </c>
      <c r="M65" s="238">
        <v>2.4305555555555556E-2</v>
      </c>
      <c r="N65" s="238">
        <v>9.375E-2</v>
      </c>
      <c r="O65" s="196">
        <v>534</v>
      </c>
      <c r="P65" s="3" t="s">
        <v>492</v>
      </c>
      <c r="Q65" s="3">
        <f>2.44-Q64</f>
        <v>1.0699999999999998</v>
      </c>
      <c r="R65" s="205">
        <f>2.27-R64</f>
        <v>1.07</v>
      </c>
      <c r="S65" s="202">
        <f t="shared" si="4"/>
        <v>499.06542056074773</v>
      </c>
      <c r="T65" s="202">
        <f t="shared" si="3"/>
        <v>499.06542056074761</v>
      </c>
    </row>
    <row r="66" spans="2:20" x14ac:dyDescent="0.25">
      <c r="B66" s="199">
        <v>44937</v>
      </c>
      <c r="C66" s="233">
        <v>3</v>
      </c>
      <c r="D66" s="233" t="s">
        <v>188</v>
      </c>
      <c r="E66" s="233" t="s">
        <v>188</v>
      </c>
      <c r="F66" s="233" t="s">
        <v>53</v>
      </c>
      <c r="G66" s="233">
        <v>42</v>
      </c>
      <c r="H66" s="233">
        <v>4530</v>
      </c>
      <c r="I66" s="233" t="s">
        <v>489</v>
      </c>
      <c r="J66" s="233" t="s">
        <v>732</v>
      </c>
      <c r="K66" s="233" t="s">
        <v>57</v>
      </c>
      <c r="L66" s="233" t="s">
        <v>34</v>
      </c>
      <c r="M66" s="238">
        <v>9.375E-2</v>
      </c>
      <c r="N66" s="238">
        <v>0.29166666666666669</v>
      </c>
      <c r="O66" s="196">
        <v>2285</v>
      </c>
      <c r="P66" s="233" t="s">
        <v>492</v>
      </c>
      <c r="Q66" s="3">
        <f>6.59-Q65-Q64</f>
        <v>4.1499999999999995</v>
      </c>
      <c r="R66" s="205">
        <f>6.63-R65-R64</f>
        <v>4.3599999999999994</v>
      </c>
      <c r="S66" s="202">
        <f t="shared" si="4"/>
        <v>550.60240963855426</v>
      </c>
      <c r="T66" s="202">
        <f t="shared" si="3"/>
        <v>524.0825688073395</v>
      </c>
    </row>
    <row r="67" spans="2:20" x14ac:dyDescent="0.25">
      <c r="B67" s="199">
        <v>44938</v>
      </c>
      <c r="C67" s="3">
        <v>1</v>
      </c>
      <c r="D67" s="3" t="s">
        <v>465</v>
      </c>
      <c r="E67" s="233" t="s">
        <v>205</v>
      </c>
      <c r="F67" s="3" t="s">
        <v>475</v>
      </c>
      <c r="G67" s="3">
        <v>43</v>
      </c>
      <c r="H67" s="233">
        <v>4530</v>
      </c>
      <c r="I67" s="233" t="s">
        <v>489</v>
      </c>
      <c r="J67" s="233" t="s">
        <v>732</v>
      </c>
      <c r="K67" s="233" t="s">
        <v>733</v>
      </c>
      <c r="L67" s="233" t="s">
        <v>34</v>
      </c>
      <c r="M67" s="238">
        <v>0.29166666666666669</v>
      </c>
      <c r="N67" s="238">
        <v>0.625</v>
      </c>
      <c r="O67" s="196">
        <v>438</v>
      </c>
      <c r="P67" s="233" t="s">
        <v>492</v>
      </c>
      <c r="Q67" s="3">
        <v>0.99</v>
      </c>
      <c r="R67" s="205">
        <v>1.05</v>
      </c>
      <c r="S67" s="202">
        <f t="shared" si="4"/>
        <v>442.42424242424244</v>
      </c>
      <c r="T67" s="202">
        <f t="shared" si="3"/>
        <v>417.14285714285711</v>
      </c>
    </row>
    <row r="68" spans="2:20" x14ac:dyDescent="0.25">
      <c r="B68" s="199">
        <v>44938</v>
      </c>
      <c r="C68" s="3">
        <v>2</v>
      </c>
      <c r="D68" s="233" t="s">
        <v>199</v>
      </c>
      <c r="E68" s="233" t="s">
        <v>3</v>
      </c>
      <c r="F68" s="233" t="s">
        <v>743</v>
      </c>
      <c r="G68" s="3">
        <v>44</v>
      </c>
      <c r="H68" s="233">
        <v>6000</v>
      </c>
      <c r="I68" s="233" t="s">
        <v>741</v>
      </c>
      <c r="J68" s="233" t="s">
        <v>742</v>
      </c>
      <c r="K68" s="3" t="s">
        <v>733</v>
      </c>
      <c r="L68" s="233" t="s">
        <v>32</v>
      </c>
      <c r="M68" s="238">
        <v>0.625</v>
      </c>
      <c r="N68" s="238">
        <v>0.95833333333333337</v>
      </c>
      <c r="O68" s="196">
        <v>2164</v>
      </c>
      <c r="P68" s="233" t="s">
        <v>492</v>
      </c>
      <c r="Q68" s="3">
        <v>3.89</v>
      </c>
      <c r="R68" s="205">
        <v>4.41</v>
      </c>
      <c r="S68" s="168">
        <f t="shared" si="4"/>
        <v>556.29820051413878</v>
      </c>
      <c r="T68" s="202">
        <f t="shared" si="3"/>
        <v>490.702947845805</v>
      </c>
    </row>
    <row r="69" spans="2:20" x14ac:dyDescent="0.25">
      <c r="B69" s="199">
        <v>44938</v>
      </c>
      <c r="C69" s="3">
        <v>3</v>
      </c>
      <c r="D69" s="3" t="s">
        <v>188</v>
      </c>
      <c r="E69" s="3" t="s">
        <v>188</v>
      </c>
      <c r="F69" s="3" t="s">
        <v>53</v>
      </c>
      <c r="G69" s="3">
        <v>45</v>
      </c>
      <c r="H69" s="233">
        <v>6000</v>
      </c>
      <c r="I69" s="233" t="s">
        <v>741</v>
      </c>
      <c r="J69" s="233" t="s">
        <v>742</v>
      </c>
      <c r="K69" s="233" t="s">
        <v>733</v>
      </c>
      <c r="L69" s="233" t="s">
        <v>32</v>
      </c>
      <c r="M69" s="238">
        <v>0.95833333333333337</v>
      </c>
      <c r="N69" s="238">
        <v>0.29166666666666669</v>
      </c>
      <c r="O69" s="196">
        <v>3564</v>
      </c>
      <c r="P69" s="233" t="s">
        <v>492</v>
      </c>
      <c r="Q69" s="3">
        <v>6.76</v>
      </c>
      <c r="R69" s="205">
        <v>6.79</v>
      </c>
      <c r="S69" s="168">
        <f t="shared" si="4"/>
        <v>527.21893491124263</v>
      </c>
      <c r="T69" s="168">
        <f t="shared" si="3"/>
        <v>524.88954344624449</v>
      </c>
    </row>
    <row r="70" spans="2:20" x14ac:dyDescent="0.25">
      <c r="B70" s="199">
        <v>44939</v>
      </c>
      <c r="C70" s="3">
        <v>1</v>
      </c>
      <c r="D70" s="233" t="s">
        <v>465</v>
      </c>
      <c r="E70" s="233" t="s">
        <v>3</v>
      </c>
      <c r="F70" s="233" t="s">
        <v>475</v>
      </c>
      <c r="G70" s="3">
        <v>46</v>
      </c>
      <c r="H70" s="233">
        <v>6000</v>
      </c>
      <c r="I70" s="233" t="s">
        <v>741</v>
      </c>
      <c r="J70" s="233" t="s">
        <v>742</v>
      </c>
      <c r="K70" s="233" t="s">
        <v>733</v>
      </c>
      <c r="L70" s="233" t="s">
        <v>32</v>
      </c>
      <c r="M70" s="238">
        <v>0.29166666666666669</v>
      </c>
      <c r="N70" s="238">
        <v>0.38194444444444442</v>
      </c>
      <c r="O70" s="196">
        <v>1060</v>
      </c>
      <c r="P70" s="233" t="s">
        <v>492</v>
      </c>
      <c r="Q70" s="3">
        <v>1.7</v>
      </c>
      <c r="R70" s="205">
        <v>1.71</v>
      </c>
      <c r="S70" s="168">
        <f t="shared" si="4"/>
        <v>623.52941176470586</v>
      </c>
      <c r="T70" s="168">
        <f t="shared" si="3"/>
        <v>619.88304093567251</v>
      </c>
    </row>
    <row r="71" spans="2:20" x14ac:dyDescent="0.25">
      <c r="B71" s="199">
        <v>44939</v>
      </c>
      <c r="C71" s="233">
        <v>1</v>
      </c>
      <c r="D71" s="233" t="s">
        <v>465</v>
      </c>
      <c r="E71" s="233" t="s">
        <v>3</v>
      </c>
      <c r="F71" s="233" t="s">
        <v>475</v>
      </c>
      <c r="G71" s="3">
        <v>47</v>
      </c>
      <c r="H71" s="3">
        <v>3281</v>
      </c>
      <c r="I71" s="3" t="s">
        <v>745</v>
      </c>
      <c r="J71" s="233" t="s">
        <v>744</v>
      </c>
      <c r="K71" s="233" t="s">
        <v>733</v>
      </c>
      <c r="L71" s="233" t="s">
        <v>32</v>
      </c>
      <c r="M71" s="238">
        <v>0.38194444444444442</v>
      </c>
      <c r="N71" s="238">
        <v>0.52083333333333337</v>
      </c>
      <c r="O71" s="196">
        <v>2110</v>
      </c>
      <c r="P71" s="233" t="s">
        <v>492</v>
      </c>
      <c r="Q71" s="3">
        <v>2.85</v>
      </c>
      <c r="R71" s="205">
        <v>3.03</v>
      </c>
      <c r="S71" s="168">
        <f t="shared" si="4"/>
        <v>740.35087719298247</v>
      </c>
      <c r="T71" s="168">
        <f t="shared" si="3"/>
        <v>696.36963696369639</v>
      </c>
    </row>
    <row r="72" spans="2:20" x14ac:dyDescent="0.25">
      <c r="B72" s="199">
        <v>44939</v>
      </c>
      <c r="C72" s="233">
        <v>1</v>
      </c>
      <c r="D72" s="233" t="s">
        <v>465</v>
      </c>
      <c r="E72" s="233" t="s">
        <v>3</v>
      </c>
      <c r="F72" s="233" t="s">
        <v>39</v>
      </c>
      <c r="G72" s="233">
        <v>48</v>
      </c>
      <c r="H72" s="233">
        <v>1400</v>
      </c>
      <c r="I72" s="233" t="s">
        <v>745</v>
      </c>
      <c r="J72" s="233" t="s">
        <v>744</v>
      </c>
      <c r="K72" s="233" t="s">
        <v>733</v>
      </c>
      <c r="L72" s="233" t="s">
        <v>473</v>
      </c>
      <c r="M72" s="238">
        <v>0.52083333333333337</v>
      </c>
      <c r="N72" s="238">
        <v>0.5625</v>
      </c>
      <c r="O72" s="196">
        <v>1077</v>
      </c>
      <c r="P72" s="233" t="s">
        <v>492</v>
      </c>
      <c r="Q72" s="3">
        <v>1.52</v>
      </c>
      <c r="R72" s="205">
        <v>1.57</v>
      </c>
      <c r="S72" s="168">
        <f t="shared" si="4"/>
        <v>708.5526315789474</v>
      </c>
      <c r="T72" s="168">
        <f t="shared" si="3"/>
        <v>685.98726114649673</v>
      </c>
    </row>
    <row r="73" spans="2:20" x14ac:dyDescent="0.25">
      <c r="B73" s="199">
        <v>44939</v>
      </c>
      <c r="C73" s="233">
        <v>1</v>
      </c>
      <c r="D73" s="233" t="s">
        <v>465</v>
      </c>
      <c r="E73" s="233" t="s">
        <v>3</v>
      </c>
      <c r="F73" s="233" t="s">
        <v>475</v>
      </c>
      <c r="G73" s="233">
        <v>49</v>
      </c>
      <c r="H73" s="233">
        <v>3281</v>
      </c>
      <c r="I73" s="233" t="s">
        <v>745</v>
      </c>
      <c r="J73" s="233" t="s">
        <v>744</v>
      </c>
      <c r="K73" s="233" t="s">
        <v>733</v>
      </c>
      <c r="L73" s="233" t="s">
        <v>32</v>
      </c>
      <c r="M73" s="238">
        <v>0.5625</v>
      </c>
      <c r="N73" s="238">
        <v>0.625</v>
      </c>
      <c r="O73" s="196">
        <v>113</v>
      </c>
      <c r="P73" s="233" t="s">
        <v>492</v>
      </c>
      <c r="Q73" s="3">
        <v>0.2</v>
      </c>
      <c r="R73" s="205">
        <v>0.21</v>
      </c>
      <c r="S73" s="168">
        <f t="shared" si="4"/>
        <v>565</v>
      </c>
      <c r="T73" s="168">
        <f t="shared" si="3"/>
        <v>538.09523809523807</v>
      </c>
    </row>
    <row r="74" spans="2:20" x14ac:dyDescent="0.25">
      <c r="B74" s="199">
        <v>44939</v>
      </c>
      <c r="C74" s="233">
        <v>2</v>
      </c>
      <c r="D74" s="233" t="s">
        <v>747</v>
      </c>
      <c r="E74" s="233" t="s">
        <v>747</v>
      </c>
      <c r="F74" s="233" t="s">
        <v>743</v>
      </c>
      <c r="G74" s="233">
        <v>50</v>
      </c>
      <c r="H74" s="233">
        <v>2000</v>
      </c>
      <c r="I74" s="233" t="s">
        <v>686</v>
      </c>
      <c r="J74" s="233" t="s">
        <v>746</v>
      </c>
      <c r="K74" s="233" t="s">
        <v>733</v>
      </c>
      <c r="L74" s="233" t="s">
        <v>32</v>
      </c>
      <c r="M74" s="238">
        <v>0.625</v>
      </c>
      <c r="N74" s="238">
        <v>0.79861111111111116</v>
      </c>
      <c r="O74" s="196">
        <v>2021</v>
      </c>
      <c r="Q74" s="3">
        <v>3.21</v>
      </c>
      <c r="R74" s="205">
        <v>3.22</v>
      </c>
      <c r="S74" s="168">
        <f t="shared" si="4"/>
        <v>629.59501557632404</v>
      </c>
      <c r="T74" s="168">
        <f t="shared" si="3"/>
        <v>627.63975155279502</v>
      </c>
    </row>
    <row r="75" spans="2:20" x14ac:dyDescent="0.25">
      <c r="B75" s="199">
        <v>44939</v>
      </c>
      <c r="C75" s="3">
        <v>2</v>
      </c>
      <c r="D75" s="233" t="s">
        <v>747</v>
      </c>
      <c r="E75" s="233" t="s">
        <v>747</v>
      </c>
      <c r="F75" s="233" t="s">
        <v>743</v>
      </c>
      <c r="G75" s="3">
        <v>51</v>
      </c>
      <c r="H75" s="3">
        <v>5300</v>
      </c>
      <c r="I75" s="233" t="s">
        <v>745</v>
      </c>
      <c r="J75" s="3" t="s">
        <v>732</v>
      </c>
      <c r="K75" s="233" t="s">
        <v>733</v>
      </c>
      <c r="L75" s="233" t="s">
        <v>32</v>
      </c>
      <c r="M75" s="238">
        <v>0.79861111111111116</v>
      </c>
      <c r="N75" s="238">
        <v>0.95833333333333337</v>
      </c>
      <c r="O75" s="196">
        <v>2136</v>
      </c>
      <c r="P75" s="3" t="s">
        <v>492</v>
      </c>
      <c r="Q75" s="3">
        <v>3.06</v>
      </c>
      <c r="R75" s="205">
        <v>3.08</v>
      </c>
      <c r="S75" s="202">
        <f t="shared" ref="S75:S90" si="5">O75/Q75</f>
        <v>698.03921568627447</v>
      </c>
      <c r="T75" s="202">
        <f t="shared" ref="T75:T90" si="6">IFERROR(O75/R75,"")</f>
        <v>693.50649350649348</v>
      </c>
    </row>
    <row r="76" spans="2:20" x14ac:dyDescent="0.25">
      <c r="B76" s="199">
        <v>44939</v>
      </c>
      <c r="C76" s="3">
        <v>3</v>
      </c>
      <c r="D76" s="3" t="s">
        <v>182</v>
      </c>
      <c r="E76" s="3" t="s">
        <v>188</v>
      </c>
      <c r="F76" s="3" t="s">
        <v>53</v>
      </c>
      <c r="G76" s="3">
        <v>52</v>
      </c>
      <c r="H76" s="233">
        <v>5300</v>
      </c>
      <c r="I76" s="233" t="s">
        <v>745</v>
      </c>
      <c r="J76" s="233" t="s">
        <v>732</v>
      </c>
      <c r="K76" s="233" t="s">
        <v>733</v>
      </c>
      <c r="L76" s="233" t="s">
        <v>32</v>
      </c>
      <c r="M76" s="238">
        <v>0.95833333333333337</v>
      </c>
      <c r="N76" s="238">
        <v>9.375E-2</v>
      </c>
      <c r="O76" s="196">
        <v>1880</v>
      </c>
      <c r="P76" s="3" t="s">
        <v>492</v>
      </c>
      <c r="Q76" s="3">
        <v>2.96</v>
      </c>
      <c r="R76" s="205">
        <v>2.95</v>
      </c>
      <c r="S76" s="202">
        <f t="shared" si="5"/>
        <v>635.1351351351351</v>
      </c>
      <c r="T76" s="202">
        <f t="shared" si="6"/>
        <v>637.28813559322032</v>
      </c>
    </row>
    <row r="77" spans="2:20" x14ac:dyDescent="0.25">
      <c r="B77" s="199">
        <v>44939</v>
      </c>
      <c r="C77" s="233">
        <v>3</v>
      </c>
      <c r="D77" s="233" t="s">
        <v>182</v>
      </c>
      <c r="E77" s="233" t="s">
        <v>188</v>
      </c>
      <c r="F77" s="233" t="s">
        <v>53</v>
      </c>
      <c r="G77" s="233">
        <v>52</v>
      </c>
      <c r="H77" s="233">
        <v>5300</v>
      </c>
      <c r="I77" s="233" t="s">
        <v>745</v>
      </c>
      <c r="J77" s="233" t="s">
        <v>732</v>
      </c>
      <c r="K77" s="233" t="s">
        <v>733</v>
      </c>
      <c r="L77" s="3" t="s">
        <v>473</v>
      </c>
      <c r="M77" s="238">
        <v>9.375E-2</v>
      </c>
      <c r="N77" s="238">
        <v>0.16319444444444445</v>
      </c>
      <c r="O77" s="196">
        <v>790</v>
      </c>
      <c r="P77" s="3" t="s">
        <v>748</v>
      </c>
      <c r="Q77" s="3">
        <v>1.36</v>
      </c>
      <c r="R77" s="205">
        <v>1.43</v>
      </c>
      <c r="S77" s="202">
        <f t="shared" si="5"/>
        <v>580.88235294117646</v>
      </c>
      <c r="T77" s="202">
        <f t="shared" si="6"/>
        <v>552.44755244755243</v>
      </c>
    </row>
    <row r="78" spans="2:20" x14ac:dyDescent="0.25">
      <c r="B78" s="199">
        <v>44939</v>
      </c>
      <c r="C78" s="233">
        <v>3</v>
      </c>
      <c r="D78" s="233" t="s">
        <v>182</v>
      </c>
      <c r="E78" s="233" t="s">
        <v>188</v>
      </c>
      <c r="F78" s="233" t="s">
        <v>53</v>
      </c>
      <c r="G78" s="233">
        <v>52</v>
      </c>
      <c r="H78" s="233">
        <v>5300</v>
      </c>
      <c r="I78" s="233" t="s">
        <v>745</v>
      </c>
      <c r="J78" s="233" t="s">
        <v>732</v>
      </c>
      <c r="K78" s="233" t="s">
        <v>733</v>
      </c>
      <c r="L78" s="3" t="s">
        <v>32</v>
      </c>
      <c r="M78" s="238">
        <v>0.16319444444444445</v>
      </c>
      <c r="N78" s="238">
        <v>0.19444444444444445</v>
      </c>
      <c r="O78" s="196">
        <v>470</v>
      </c>
      <c r="P78" s="233" t="s">
        <v>748</v>
      </c>
      <c r="Q78" s="3">
        <v>0.76</v>
      </c>
      <c r="R78" s="205">
        <v>0.71</v>
      </c>
      <c r="S78" s="202">
        <f t="shared" si="5"/>
        <v>618.42105263157896</v>
      </c>
      <c r="T78" s="202">
        <f t="shared" si="6"/>
        <v>661.97183098591552</v>
      </c>
    </row>
    <row r="79" spans="2:20" x14ac:dyDescent="0.25">
      <c r="B79" s="199">
        <v>44939</v>
      </c>
      <c r="C79" s="233">
        <v>3</v>
      </c>
      <c r="D79" s="233" t="s">
        <v>182</v>
      </c>
      <c r="E79" s="233" t="s">
        <v>188</v>
      </c>
      <c r="F79" s="233" t="s">
        <v>53</v>
      </c>
      <c r="G79" s="233">
        <v>53</v>
      </c>
      <c r="H79" s="233">
        <v>6400</v>
      </c>
      <c r="I79" s="233" t="s">
        <v>722</v>
      </c>
      <c r="J79" s="233" t="s">
        <v>749</v>
      </c>
      <c r="K79" s="233" t="s">
        <v>733</v>
      </c>
      <c r="L79" s="233" t="s">
        <v>32</v>
      </c>
      <c r="M79" s="238">
        <v>0.19444444444444445</v>
      </c>
      <c r="N79" s="238">
        <v>0.29166666666666669</v>
      </c>
      <c r="O79" s="196">
        <v>818</v>
      </c>
      <c r="P79" s="233" t="s">
        <v>492</v>
      </c>
      <c r="Q79" s="3">
        <v>1.66</v>
      </c>
      <c r="R79" s="205">
        <v>1.21</v>
      </c>
      <c r="S79" s="202">
        <f t="shared" si="5"/>
        <v>492.77108433734941</v>
      </c>
      <c r="T79" s="202">
        <f t="shared" si="6"/>
        <v>676.03305785123973</v>
      </c>
    </row>
    <row r="80" spans="2:20" x14ac:dyDescent="0.25">
      <c r="B80" s="199">
        <v>44940</v>
      </c>
      <c r="C80" s="3">
        <v>1</v>
      </c>
      <c r="D80" s="233" t="s">
        <v>465</v>
      </c>
      <c r="E80" s="233" t="s">
        <v>205</v>
      </c>
      <c r="G80" s="3">
        <v>54</v>
      </c>
      <c r="H80" s="3">
        <v>5582</v>
      </c>
      <c r="I80" s="233" t="s">
        <v>722</v>
      </c>
      <c r="J80" s="233" t="s">
        <v>749</v>
      </c>
      <c r="K80" s="233" t="s">
        <v>733</v>
      </c>
      <c r="L80" s="233" t="s">
        <v>32</v>
      </c>
      <c r="M80" s="238">
        <v>0.29166666666666669</v>
      </c>
      <c r="N80" s="238">
        <v>0.3611111111111111</v>
      </c>
      <c r="O80" s="196">
        <v>217</v>
      </c>
      <c r="P80" s="233" t="s">
        <v>492</v>
      </c>
      <c r="Q80" s="3">
        <v>0.86</v>
      </c>
      <c r="R80" s="205">
        <v>0.52</v>
      </c>
      <c r="S80" s="202">
        <f t="shared" si="5"/>
        <v>252.32558139534885</v>
      </c>
      <c r="T80" s="202">
        <f t="shared" si="6"/>
        <v>417.30769230769232</v>
      </c>
    </row>
    <row r="81" spans="2:20" x14ac:dyDescent="0.25">
      <c r="B81" s="199">
        <v>44940</v>
      </c>
      <c r="C81" s="233">
        <v>1</v>
      </c>
      <c r="D81" s="233" t="s">
        <v>465</v>
      </c>
      <c r="E81" s="233" t="s">
        <v>205</v>
      </c>
      <c r="F81" s="233"/>
      <c r="G81" s="3">
        <v>55</v>
      </c>
      <c r="H81" s="3">
        <v>5582</v>
      </c>
      <c r="I81" s="233" t="s">
        <v>722</v>
      </c>
      <c r="J81" s="233" t="s">
        <v>749</v>
      </c>
      <c r="K81" s="233" t="s">
        <v>733</v>
      </c>
      <c r="L81" s="3" t="s">
        <v>34</v>
      </c>
      <c r="M81" s="238">
        <v>0.3611111111111111</v>
      </c>
      <c r="N81" s="238">
        <v>0.625</v>
      </c>
      <c r="O81" s="196">
        <v>1882</v>
      </c>
      <c r="P81" s="233" t="s">
        <v>492</v>
      </c>
      <c r="Q81" s="3">
        <v>3.98</v>
      </c>
      <c r="R81" s="205">
        <v>4.01</v>
      </c>
      <c r="S81" s="202">
        <f t="shared" si="5"/>
        <v>472.8643216080402</v>
      </c>
      <c r="T81" s="202">
        <f t="shared" si="6"/>
        <v>469.32668329177062</v>
      </c>
    </row>
    <row r="82" spans="2:20" x14ac:dyDescent="0.25">
      <c r="B82" s="199">
        <v>44940</v>
      </c>
      <c r="C82" s="3">
        <v>2</v>
      </c>
      <c r="D82" s="233" t="s">
        <v>747</v>
      </c>
      <c r="E82" s="233" t="s">
        <v>3</v>
      </c>
      <c r="F82" s="3" t="s">
        <v>37</v>
      </c>
      <c r="G82" s="3">
        <v>56</v>
      </c>
      <c r="H82" s="3">
        <v>3900</v>
      </c>
      <c r="I82" s="3" t="s">
        <v>683</v>
      </c>
      <c r="J82" s="3" t="s">
        <v>751</v>
      </c>
      <c r="K82" s="3" t="s">
        <v>733</v>
      </c>
      <c r="L82" s="233" t="s">
        <v>473</v>
      </c>
      <c r="M82" s="238">
        <v>0.625</v>
      </c>
      <c r="N82" s="238">
        <v>0.77430555555555547</v>
      </c>
      <c r="O82" s="196">
        <v>830</v>
      </c>
      <c r="P82" s="233" t="s">
        <v>492</v>
      </c>
      <c r="Q82" s="3">
        <v>1.24</v>
      </c>
      <c r="R82" s="205">
        <v>1.38</v>
      </c>
      <c r="S82" s="202">
        <f t="shared" si="5"/>
        <v>669.35483870967744</v>
      </c>
      <c r="T82" s="202">
        <f t="shared" si="6"/>
        <v>601.44927536231887</v>
      </c>
    </row>
    <row r="83" spans="2:20" x14ac:dyDescent="0.25">
      <c r="B83" s="199">
        <v>44940</v>
      </c>
      <c r="C83" s="233">
        <v>2</v>
      </c>
      <c r="D83" s="233" t="s">
        <v>747</v>
      </c>
      <c r="E83" s="233" t="s">
        <v>3</v>
      </c>
      <c r="F83" s="233" t="s">
        <v>37</v>
      </c>
      <c r="G83" s="233">
        <v>57</v>
      </c>
      <c r="H83" s="233">
        <v>3900</v>
      </c>
      <c r="I83" s="233" t="s">
        <v>683</v>
      </c>
      <c r="J83" s="233" t="s">
        <v>751</v>
      </c>
      <c r="K83" s="233" t="s">
        <v>733</v>
      </c>
      <c r="L83" s="233" t="s">
        <v>34</v>
      </c>
      <c r="M83" s="238">
        <v>0.77430555555555547</v>
      </c>
      <c r="N83" s="238">
        <v>0.95833333333333337</v>
      </c>
      <c r="O83" s="196">
        <v>2498</v>
      </c>
      <c r="P83" s="233" t="s">
        <v>492</v>
      </c>
      <c r="Q83" s="3">
        <v>3.98</v>
      </c>
      <c r="R83" s="205">
        <v>4.04</v>
      </c>
      <c r="S83" s="202">
        <f t="shared" si="5"/>
        <v>627.6381909547739</v>
      </c>
      <c r="T83" s="202">
        <f t="shared" si="6"/>
        <v>618.31683168316829</v>
      </c>
    </row>
    <row r="84" spans="2:20" x14ac:dyDescent="0.25">
      <c r="B84" s="199">
        <v>44940</v>
      </c>
      <c r="C84" s="3">
        <v>3</v>
      </c>
      <c r="D84" s="233" t="s">
        <v>182</v>
      </c>
      <c r="E84" s="233" t="s">
        <v>188</v>
      </c>
      <c r="F84" s="233" t="s">
        <v>53</v>
      </c>
      <c r="G84" s="3">
        <v>58</v>
      </c>
      <c r="H84" s="233"/>
      <c r="I84" s="3" t="s">
        <v>722</v>
      </c>
      <c r="J84" s="3" t="s">
        <v>752</v>
      </c>
      <c r="K84" s="233" t="s">
        <v>733</v>
      </c>
      <c r="L84" s="233" t="s">
        <v>696</v>
      </c>
      <c r="M84" s="238">
        <v>0.95833333333333337</v>
      </c>
      <c r="N84" s="238">
        <v>6.6666666666666666E-2</v>
      </c>
      <c r="O84" s="196">
        <v>616</v>
      </c>
      <c r="P84" s="3" t="s">
        <v>492</v>
      </c>
      <c r="Q84" s="3">
        <v>1.48</v>
      </c>
      <c r="R84" s="205">
        <v>1.4</v>
      </c>
      <c r="S84" s="202">
        <f t="shared" si="5"/>
        <v>416.2162162162162</v>
      </c>
      <c r="T84" s="202">
        <f t="shared" si="6"/>
        <v>440</v>
      </c>
    </row>
    <row r="85" spans="2:20" x14ac:dyDescent="0.25">
      <c r="B85" s="199">
        <v>44940</v>
      </c>
      <c r="C85" s="233">
        <v>3</v>
      </c>
      <c r="D85" s="233" t="s">
        <v>182</v>
      </c>
      <c r="E85" s="233" t="s">
        <v>188</v>
      </c>
      <c r="F85" s="233" t="s">
        <v>53</v>
      </c>
      <c r="G85" s="233">
        <v>58</v>
      </c>
      <c r="H85" s="233"/>
      <c r="I85" s="233" t="s">
        <v>722</v>
      </c>
      <c r="J85" s="233" t="s">
        <v>752</v>
      </c>
      <c r="K85" s="233" t="s">
        <v>733</v>
      </c>
      <c r="L85" s="233" t="s">
        <v>34</v>
      </c>
      <c r="M85" s="238">
        <v>6.6666666666666666E-2</v>
      </c>
      <c r="N85" s="238">
        <v>0.29166666666666669</v>
      </c>
      <c r="O85" s="196">
        <v>2413</v>
      </c>
      <c r="P85" s="233" t="s">
        <v>492</v>
      </c>
      <c r="Q85" s="3">
        <v>5.09</v>
      </c>
      <c r="R85" s="205">
        <v>5.0999999999999996</v>
      </c>
      <c r="S85" s="168">
        <f t="shared" si="5"/>
        <v>474.06679764243614</v>
      </c>
      <c r="T85" s="168">
        <f t="shared" si="6"/>
        <v>473.13725490196083</v>
      </c>
    </row>
    <row r="86" spans="2:20" x14ac:dyDescent="0.25">
      <c r="B86" s="199">
        <v>44941</v>
      </c>
      <c r="C86" s="3">
        <v>1</v>
      </c>
      <c r="D86" s="233" t="s">
        <v>465</v>
      </c>
      <c r="E86" s="233" t="s">
        <v>205</v>
      </c>
      <c r="F86" s="233"/>
      <c r="G86" s="233">
        <v>59</v>
      </c>
      <c r="H86" s="233"/>
      <c r="I86" s="233" t="s">
        <v>722</v>
      </c>
      <c r="J86" s="233" t="s">
        <v>752</v>
      </c>
      <c r="K86" s="233" t="s">
        <v>733</v>
      </c>
      <c r="L86" s="233" t="s">
        <v>34</v>
      </c>
      <c r="M86" s="238">
        <v>0.29166666666666669</v>
      </c>
      <c r="N86" s="238">
        <v>0.34722222222222227</v>
      </c>
      <c r="O86" s="196">
        <v>374</v>
      </c>
      <c r="P86" s="233" t="s">
        <v>492</v>
      </c>
      <c r="Q86" s="233">
        <v>1.1299999999999999</v>
      </c>
      <c r="R86" s="205">
        <v>0.81</v>
      </c>
      <c r="S86" s="202">
        <f t="shared" si="5"/>
        <v>330.97345132743368</v>
      </c>
      <c r="T86" s="168">
        <f t="shared" si="6"/>
        <v>461.72839506172835</v>
      </c>
    </row>
    <row r="87" spans="2:20" x14ac:dyDescent="0.25">
      <c r="B87" s="199">
        <v>44941</v>
      </c>
      <c r="C87" s="233">
        <v>1</v>
      </c>
      <c r="D87" s="233" t="s">
        <v>465</v>
      </c>
      <c r="E87" s="233" t="s">
        <v>205</v>
      </c>
      <c r="F87" s="233" t="s">
        <v>754</v>
      </c>
      <c r="G87" s="3">
        <v>60</v>
      </c>
      <c r="H87" s="3">
        <v>5574</v>
      </c>
      <c r="I87" s="233" t="s">
        <v>707</v>
      </c>
      <c r="J87" s="233" t="s">
        <v>753</v>
      </c>
      <c r="K87" s="3" t="s">
        <v>736</v>
      </c>
      <c r="L87" s="233" t="s">
        <v>696</v>
      </c>
      <c r="M87" s="238">
        <v>0.34722222222222227</v>
      </c>
      <c r="N87" s="238">
        <v>0.46527777777777773</v>
      </c>
      <c r="O87" s="196">
        <v>1080</v>
      </c>
      <c r="P87" s="233" t="s">
        <v>492</v>
      </c>
      <c r="Q87" s="233">
        <v>2.2999999999999998</v>
      </c>
      <c r="R87" s="205">
        <v>2.0299999999999998</v>
      </c>
      <c r="S87" s="202">
        <f t="shared" si="5"/>
        <v>469.56521739130437</v>
      </c>
      <c r="T87" s="202">
        <f t="shared" si="6"/>
        <v>532.01970443349762</v>
      </c>
    </row>
    <row r="88" spans="2:20" x14ac:dyDescent="0.25">
      <c r="B88" s="199">
        <v>44941</v>
      </c>
      <c r="C88" s="233">
        <v>1</v>
      </c>
      <c r="D88" s="233" t="s">
        <v>465</v>
      </c>
      <c r="E88" s="233" t="s">
        <v>205</v>
      </c>
      <c r="F88" s="3" t="s">
        <v>754</v>
      </c>
      <c r="G88" s="3">
        <v>61</v>
      </c>
      <c r="H88" s="3">
        <v>9538</v>
      </c>
      <c r="I88" s="3" t="s">
        <v>722</v>
      </c>
      <c r="J88" s="3" t="s">
        <v>749</v>
      </c>
      <c r="K88" s="3" t="s">
        <v>733</v>
      </c>
      <c r="L88" s="3" t="s">
        <v>34</v>
      </c>
      <c r="M88" s="238">
        <v>0.46527777777777773</v>
      </c>
      <c r="N88" s="238">
        <v>0.625</v>
      </c>
      <c r="O88" s="196">
        <v>1448</v>
      </c>
      <c r="P88" s="233" t="s">
        <v>492</v>
      </c>
      <c r="Q88" s="3">
        <v>3.26</v>
      </c>
      <c r="R88" s="205">
        <v>3.23</v>
      </c>
      <c r="S88" s="202">
        <f t="shared" si="5"/>
        <v>444.17177914110431</v>
      </c>
      <c r="T88" s="202">
        <f t="shared" si="6"/>
        <v>448.297213622291</v>
      </c>
    </row>
    <row r="89" spans="2:20" x14ac:dyDescent="0.25">
      <c r="B89" s="199">
        <v>44941</v>
      </c>
      <c r="C89" s="233">
        <v>2</v>
      </c>
      <c r="D89" s="233" t="s">
        <v>747</v>
      </c>
      <c r="E89" s="233" t="s">
        <v>3</v>
      </c>
      <c r="F89" s="233" t="s">
        <v>37</v>
      </c>
      <c r="G89" s="233">
        <v>62</v>
      </c>
      <c r="H89" s="233">
        <v>9538</v>
      </c>
      <c r="I89" s="233" t="s">
        <v>722</v>
      </c>
      <c r="J89" s="233" t="s">
        <v>749</v>
      </c>
      <c r="K89" s="233" t="s">
        <v>733</v>
      </c>
      <c r="L89" s="233" t="s">
        <v>34</v>
      </c>
      <c r="M89" s="238">
        <v>0.625</v>
      </c>
      <c r="N89" s="238">
        <v>0.78472222222222221</v>
      </c>
      <c r="O89" s="196">
        <v>1070</v>
      </c>
      <c r="P89" s="233" t="s">
        <v>492</v>
      </c>
      <c r="Q89" s="3">
        <v>2.74</v>
      </c>
      <c r="R89" s="205">
        <v>3.26</v>
      </c>
      <c r="S89" s="202">
        <f t="shared" si="5"/>
        <v>390.51094890510944</v>
      </c>
      <c r="T89" s="202">
        <f t="shared" si="6"/>
        <v>328.22085889570553</v>
      </c>
    </row>
    <row r="90" spans="2:20" x14ac:dyDescent="0.25">
      <c r="B90" s="199">
        <v>44941</v>
      </c>
      <c r="C90" s="233">
        <v>2</v>
      </c>
      <c r="D90" s="233" t="s">
        <v>747</v>
      </c>
      <c r="E90" s="233" t="s">
        <v>3</v>
      </c>
      <c r="F90" s="233" t="s">
        <v>37</v>
      </c>
      <c r="G90" s="233">
        <v>63</v>
      </c>
      <c r="H90" s="233">
        <v>9538</v>
      </c>
      <c r="I90" s="233" t="s">
        <v>722</v>
      </c>
      <c r="J90" s="233" t="s">
        <v>749</v>
      </c>
      <c r="K90" s="233" t="s">
        <v>733</v>
      </c>
      <c r="L90" s="233" t="s">
        <v>696</v>
      </c>
      <c r="M90" s="238">
        <v>0.78472222222222221</v>
      </c>
      <c r="N90" s="238">
        <v>0.86111111111111116</v>
      </c>
      <c r="O90" s="196">
        <v>360</v>
      </c>
      <c r="P90" s="233" t="s">
        <v>492</v>
      </c>
      <c r="Q90" s="3">
        <v>0.95</v>
      </c>
      <c r="R90" s="205">
        <v>1.43</v>
      </c>
      <c r="S90" s="168">
        <f t="shared" si="5"/>
        <v>378.94736842105266</v>
      </c>
      <c r="T90" s="168">
        <f t="shared" si="6"/>
        <v>251.74825174825176</v>
      </c>
    </row>
    <row r="91" spans="2:20" x14ac:dyDescent="0.25">
      <c r="B91" s="199">
        <v>44941</v>
      </c>
      <c r="C91" s="233">
        <v>2</v>
      </c>
      <c r="D91" s="233" t="s">
        <v>747</v>
      </c>
      <c r="E91" s="233" t="s">
        <v>3</v>
      </c>
      <c r="F91" s="233" t="s">
        <v>37</v>
      </c>
      <c r="G91" s="233">
        <v>64</v>
      </c>
      <c r="H91" s="233">
        <v>9538</v>
      </c>
      <c r="I91" s="233" t="s">
        <v>722</v>
      </c>
      <c r="J91" s="233" t="s">
        <v>749</v>
      </c>
      <c r="K91" s="233" t="s">
        <v>733</v>
      </c>
      <c r="L91" s="233" t="s">
        <v>34</v>
      </c>
      <c r="M91" s="238">
        <v>0.86111111111111116</v>
      </c>
      <c r="N91" s="238">
        <v>0.95833333333333337</v>
      </c>
      <c r="O91" s="196">
        <v>818</v>
      </c>
      <c r="P91" s="3" t="s">
        <v>492</v>
      </c>
      <c r="Q91" s="3">
        <v>1.4</v>
      </c>
      <c r="R91" s="205">
        <v>1.85</v>
      </c>
      <c r="S91" s="202">
        <f t="shared" ref="S91:S103" si="7">O91/Q91</f>
        <v>584.28571428571433</v>
      </c>
      <c r="T91" s="202">
        <f t="shared" ref="T91:T103" si="8">IFERROR(O91/R91,"")</f>
        <v>442.16216216216213</v>
      </c>
    </row>
    <row r="92" spans="2:20" x14ac:dyDescent="0.25">
      <c r="B92" s="199">
        <v>44941</v>
      </c>
      <c r="C92" s="3">
        <v>3</v>
      </c>
      <c r="D92" s="233" t="s">
        <v>182</v>
      </c>
      <c r="E92" s="233" t="s">
        <v>188</v>
      </c>
      <c r="F92" s="3" t="s">
        <v>53</v>
      </c>
      <c r="G92" s="233">
        <v>65</v>
      </c>
      <c r="H92" s="233">
        <v>4600</v>
      </c>
      <c r="I92" s="233" t="s">
        <v>686</v>
      </c>
      <c r="J92" s="233" t="s">
        <v>755</v>
      </c>
      <c r="K92" s="233" t="s">
        <v>733</v>
      </c>
      <c r="L92" s="233" t="s">
        <v>34</v>
      </c>
      <c r="M92" s="238">
        <v>0.95833333333333337</v>
      </c>
      <c r="N92" s="238">
        <v>0.10902777777777778</v>
      </c>
      <c r="O92" s="196">
        <v>1443</v>
      </c>
      <c r="P92" s="3" t="s">
        <v>492</v>
      </c>
      <c r="Q92" s="3">
        <v>2.2999999999999998</v>
      </c>
      <c r="R92" s="205">
        <v>3</v>
      </c>
      <c r="S92" s="202">
        <f t="shared" si="7"/>
        <v>627.39130434782612</v>
      </c>
      <c r="T92" s="202">
        <f t="shared" si="8"/>
        <v>481</v>
      </c>
    </row>
    <row r="93" spans="2:20" x14ac:dyDescent="0.25">
      <c r="B93" s="199">
        <v>44941</v>
      </c>
      <c r="C93" s="233">
        <v>3</v>
      </c>
      <c r="D93" s="233" t="s">
        <v>182</v>
      </c>
      <c r="E93" s="233" t="s">
        <v>188</v>
      </c>
      <c r="F93" s="233" t="s">
        <v>53</v>
      </c>
      <c r="G93" s="233">
        <v>66</v>
      </c>
      <c r="H93" s="233">
        <v>4600</v>
      </c>
      <c r="I93" s="233" t="s">
        <v>686</v>
      </c>
      <c r="J93" s="233" t="s">
        <v>755</v>
      </c>
      <c r="K93" s="233" t="s">
        <v>736</v>
      </c>
      <c r="L93" s="233" t="s">
        <v>473</v>
      </c>
      <c r="M93" s="238">
        <v>0.10902777777777778</v>
      </c>
      <c r="N93" s="238">
        <v>0.1875</v>
      </c>
      <c r="O93" s="196">
        <v>827</v>
      </c>
      <c r="P93" s="3" t="s">
        <v>492</v>
      </c>
      <c r="Q93" s="3">
        <v>1.68</v>
      </c>
      <c r="R93" s="205">
        <v>1.77</v>
      </c>
      <c r="S93" s="202">
        <f t="shared" si="7"/>
        <v>492.26190476190476</v>
      </c>
      <c r="T93" s="202">
        <f t="shared" si="8"/>
        <v>467.23163841807911</v>
      </c>
    </row>
    <row r="94" spans="2:20" ht="14.25" customHeight="1" x14ac:dyDescent="0.25">
      <c r="B94" s="199">
        <v>44941</v>
      </c>
      <c r="C94" s="233">
        <v>3</v>
      </c>
      <c r="D94" s="233" t="s">
        <v>182</v>
      </c>
      <c r="E94" s="233" t="s">
        <v>188</v>
      </c>
      <c r="F94" s="233" t="s">
        <v>53</v>
      </c>
      <c r="G94" s="233">
        <v>67</v>
      </c>
      <c r="H94" s="233">
        <v>4600</v>
      </c>
      <c r="I94" s="233" t="s">
        <v>686</v>
      </c>
      <c r="J94" s="233" t="s">
        <v>755</v>
      </c>
      <c r="K94" s="233" t="s">
        <v>733</v>
      </c>
      <c r="L94" s="233" t="s">
        <v>34</v>
      </c>
      <c r="M94" s="238">
        <v>0.1875</v>
      </c>
      <c r="N94" s="238">
        <v>0.29166666666666669</v>
      </c>
      <c r="O94" s="196">
        <v>839</v>
      </c>
      <c r="P94" s="3" t="s">
        <v>492</v>
      </c>
      <c r="Q94" s="3">
        <v>1.38</v>
      </c>
      <c r="R94" s="205">
        <v>1.83</v>
      </c>
      <c r="S94" s="168">
        <f t="shared" si="7"/>
        <v>607.97101449275362</v>
      </c>
      <c r="T94" s="168">
        <f t="shared" si="8"/>
        <v>458.46994535519121</v>
      </c>
    </row>
    <row r="95" spans="2:20" x14ac:dyDescent="0.25">
      <c r="B95" s="199">
        <v>44942</v>
      </c>
      <c r="C95" s="233">
        <v>1</v>
      </c>
      <c r="D95" s="3" t="s">
        <v>4</v>
      </c>
      <c r="E95" s="3" t="s">
        <v>173</v>
      </c>
      <c r="F95" s="3" t="s">
        <v>17</v>
      </c>
      <c r="G95" s="233">
        <v>68</v>
      </c>
      <c r="H95" s="233">
        <v>4600</v>
      </c>
      <c r="I95" s="233" t="s">
        <v>686</v>
      </c>
      <c r="J95" s="233" t="s">
        <v>755</v>
      </c>
      <c r="K95" s="233" t="s">
        <v>733</v>
      </c>
      <c r="L95" s="233" t="s">
        <v>34</v>
      </c>
      <c r="M95" s="238">
        <v>0.29166666666666669</v>
      </c>
      <c r="N95" s="238">
        <v>0.40625</v>
      </c>
      <c r="O95" s="196">
        <v>1400</v>
      </c>
      <c r="P95" s="233" t="s">
        <v>492</v>
      </c>
      <c r="Q95" s="3">
        <v>2.08</v>
      </c>
      <c r="R95" s="205">
        <v>2.33</v>
      </c>
      <c r="S95" s="202">
        <f t="shared" si="7"/>
        <v>673.07692307692309</v>
      </c>
      <c r="T95" s="202">
        <f t="shared" si="8"/>
        <v>600.85836909871239</v>
      </c>
    </row>
    <row r="96" spans="2:20" x14ac:dyDescent="0.25">
      <c r="B96" s="199">
        <v>44942</v>
      </c>
      <c r="C96" s="233">
        <v>1</v>
      </c>
      <c r="D96" s="233" t="s">
        <v>4</v>
      </c>
      <c r="E96" s="233" t="s">
        <v>173</v>
      </c>
      <c r="F96" s="233" t="s">
        <v>17</v>
      </c>
      <c r="G96" s="233">
        <v>69</v>
      </c>
      <c r="H96" s="3">
        <v>4000</v>
      </c>
      <c r="I96" s="3" t="s">
        <v>722</v>
      </c>
      <c r="J96" s="3" t="s">
        <v>749</v>
      </c>
      <c r="K96" s="3" t="s">
        <v>733</v>
      </c>
      <c r="L96" s="3" t="s">
        <v>34</v>
      </c>
      <c r="M96" s="238">
        <v>0.40625</v>
      </c>
      <c r="N96" s="238">
        <v>0.47916666666666669</v>
      </c>
      <c r="O96" s="196">
        <v>436</v>
      </c>
      <c r="P96" s="233" t="s">
        <v>492</v>
      </c>
      <c r="Q96" s="3">
        <v>0.94</v>
      </c>
      <c r="R96" s="205">
        <v>0.78</v>
      </c>
      <c r="S96" s="202">
        <f t="shared" si="7"/>
        <v>463.82978723404256</v>
      </c>
      <c r="T96" s="202">
        <f t="shared" si="8"/>
        <v>558.97435897435901</v>
      </c>
    </row>
    <row r="97" spans="2:20" x14ac:dyDescent="0.25">
      <c r="B97" s="199">
        <v>44942</v>
      </c>
      <c r="C97" s="233">
        <v>1</v>
      </c>
      <c r="D97" s="233" t="s">
        <v>4</v>
      </c>
      <c r="E97" s="233" t="s">
        <v>173</v>
      </c>
      <c r="F97" s="3" t="s">
        <v>39</v>
      </c>
      <c r="G97" s="233">
        <v>70</v>
      </c>
      <c r="H97" s="233">
        <v>4000</v>
      </c>
      <c r="I97" s="233" t="s">
        <v>722</v>
      </c>
      <c r="J97" s="233" t="s">
        <v>749</v>
      </c>
      <c r="K97" s="233" t="s">
        <v>734</v>
      </c>
      <c r="L97" s="233" t="s">
        <v>696</v>
      </c>
      <c r="M97" s="238">
        <v>0.47916666666666669</v>
      </c>
      <c r="N97" s="238">
        <v>0.52430555555555558</v>
      </c>
      <c r="O97" s="196">
        <v>764</v>
      </c>
      <c r="P97" s="233" t="s">
        <v>492</v>
      </c>
      <c r="Q97" s="3">
        <v>1.0900000000000001</v>
      </c>
      <c r="R97" s="205">
        <v>1.1499999999999999</v>
      </c>
      <c r="S97" s="202">
        <f t="shared" si="7"/>
        <v>700.9174311926605</v>
      </c>
      <c r="T97" s="202">
        <f t="shared" si="8"/>
        <v>664.34782608695662</v>
      </c>
    </row>
    <row r="98" spans="2:20" x14ac:dyDescent="0.25">
      <c r="B98" s="199">
        <v>44942</v>
      </c>
      <c r="C98" s="233">
        <v>1</v>
      </c>
      <c r="D98" s="233" t="s">
        <v>4</v>
      </c>
      <c r="E98" s="233" t="s">
        <v>173</v>
      </c>
      <c r="F98" s="233" t="s">
        <v>39</v>
      </c>
      <c r="G98" s="233">
        <v>71</v>
      </c>
      <c r="H98" s="233">
        <v>4000</v>
      </c>
      <c r="I98" s="233" t="s">
        <v>722</v>
      </c>
      <c r="J98" s="233" t="s">
        <v>749</v>
      </c>
      <c r="K98" s="233" t="s">
        <v>733</v>
      </c>
      <c r="L98" s="233" t="s">
        <v>34</v>
      </c>
      <c r="M98" s="238">
        <v>0.52430555555555558</v>
      </c>
      <c r="N98" s="238">
        <v>0.625</v>
      </c>
      <c r="O98" s="196">
        <v>1016</v>
      </c>
      <c r="P98" s="3" t="s">
        <v>492</v>
      </c>
      <c r="Q98" s="3">
        <v>1.52</v>
      </c>
      <c r="R98" s="205">
        <v>1.47</v>
      </c>
      <c r="S98" s="202">
        <f t="shared" si="7"/>
        <v>668.42105263157896</v>
      </c>
      <c r="T98" s="202">
        <f t="shared" si="8"/>
        <v>691.15646258503398</v>
      </c>
    </row>
    <row r="99" spans="2:20" x14ac:dyDescent="0.25">
      <c r="B99" s="199">
        <v>44942</v>
      </c>
      <c r="C99" s="3">
        <v>2</v>
      </c>
      <c r="D99" s="3" t="s">
        <v>199</v>
      </c>
      <c r="E99" s="233" t="s">
        <v>1</v>
      </c>
      <c r="F99" s="3" t="s">
        <v>761</v>
      </c>
      <c r="G99" s="3">
        <v>72</v>
      </c>
      <c r="H99" s="3">
        <v>5000</v>
      </c>
      <c r="I99" s="233" t="s">
        <v>686</v>
      </c>
      <c r="J99" s="3" t="s">
        <v>760</v>
      </c>
      <c r="K99" s="3" t="s">
        <v>733</v>
      </c>
      <c r="L99" s="3" t="s">
        <v>34</v>
      </c>
      <c r="M99" s="238">
        <v>0.625</v>
      </c>
      <c r="N99" s="238">
        <v>0.95833333333333337</v>
      </c>
      <c r="O99" s="196">
        <v>4033</v>
      </c>
      <c r="P99" s="233" t="s">
        <v>492</v>
      </c>
      <c r="Q99" s="3">
        <v>6.46</v>
      </c>
      <c r="R99" s="205">
        <v>6.68</v>
      </c>
      <c r="S99" s="168">
        <f t="shared" si="7"/>
        <v>624.30340557275542</v>
      </c>
      <c r="T99" s="168">
        <f t="shared" si="8"/>
        <v>603.74251497005991</v>
      </c>
    </row>
    <row r="100" spans="2:20" x14ac:dyDescent="0.25">
      <c r="B100" s="199">
        <v>44942</v>
      </c>
      <c r="C100" s="3">
        <v>3</v>
      </c>
      <c r="D100" s="3" t="s">
        <v>7</v>
      </c>
      <c r="E100" s="233" t="s">
        <v>3</v>
      </c>
      <c r="F100" s="233" t="s">
        <v>762</v>
      </c>
      <c r="G100" s="233">
        <v>72</v>
      </c>
      <c r="H100" s="233">
        <v>5000</v>
      </c>
      <c r="I100" s="233" t="s">
        <v>686</v>
      </c>
      <c r="J100" s="233" t="s">
        <v>760</v>
      </c>
      <c r="K100" s="233" t="s">
        <v>733</v>
      </c>
      <c r="L100" s="233" t="s">
        <v>34</v>
      </c>
      <c r="M100" s="238">
        <v>0.95833333333333337</v>
      </c>
      <c r="N100" s="238">
        <v>4.8611111111111112E-2</v>
      </c>
      <c r="O100" s="196">
        <v>1110</v>
      </c>
      <c r="P100" s="233" t="s">
        <v>492</v>
      </c>
      <c r="Q100" s="3">
        <v>1.71</v>
      </c>
      <c r="R100" s="205">
        <v>2.17</v>
      </c>
      <c r="S100" s="168">
        <f t="shared" si="7"/>
        <v>649.12280701754389</v>
      </c>
      <c r="T100" s="168">
        <f t="shared" si="8"/>
        <v>511.52073732718895</v>
      </c>
    </row>
    <row r="101" spans="2:20" x14ac:dyDescent="0.25">
      <c r="B101" s="199">
        <v>44942</v>
      </c>
      <c r="C101" s="233">
        <v>3</v>
      </c>
      <c r="D101" s="233" t="s">
        <v>7</v>
      </c>
      <c r="E101" s="233" t="s">
        <v>3</v>
      </c>
      <c r="F101" s="233" t="s">
        <v>762</v>
      </c>
      <c r="G101" s="233">
        <v>73</v>
      </c>
      <c r="H101" s="233">
        <v>2500</v>
      </c>
      <c r="I101" s="233" t="s">
        <v>765</v>
      </c>
      <c r="J101" s="233" t="s">
        <v>766</v>
      </c>
      <c r="K101" s="233" t="s">
        <v>733</v>
      </c>
      <c r="L101" s="233" t="s">
        <v>34</v>
      </c>
      <c r="M101" s="238">
        <v>4.8611111111111112E-2</v>
      </c>
      <c r="N101" s="238">
        <v>9.7222222222222224E-2</v>
      </c>
      <c r="O101" s="196">
        <v>170</v>
      </c>
      <c r="P101" s="233" t="s">
        <v>492</v>
      </c>
      <c r="Q101" s="3">
        <v>0.52</v>
      </c>
      <c r="R101" s="205">
        <v>0.82</v>
      </c>
      <c r="S101" s="168">
        <f t="shared" si="7"/>
        <v>326.92307692307691</v>
      </c>
      <c r="T101" s="168">
        <f t="shared" si="8"/>
        <v>207.31707317073173</v>
      </c>
    </row>
    <row r="102" spans="2:20" x14ac:dyDescent="0.25">
      <c r="B102" s="199">
        <v>44942</v>
      </c>
      <c r="C102" s="233">
        <v>3</v>
      </c>
      <c r="D102" s="233" t="s">
        <v>7</v>
      </c>
      <c r="E102" s="233" t="s">
        <v>3</v>
      </c>
      <c r="F102" s="233" t="s">
        <v>762</v>
      </c>
      <c r="G102" s="233">
        <v>74</v>
      </c>
      <c r="H102" s="233">
        <v>2500</v>
      </c>
      <c r="I102" s="233" t="s">
        <v>765</v>
      </c>
      <c r="J102" s="233" t="s">
        <v>766</v>
      </c>
      <c r="K102" s="233" t="s">
        <v>733</v>
      </c>
      <c r="L102" s="233" t="s">
        <v>696</v>
      </c>
      <c r="M102" s="238">
        <v>9.7222222222222224E-2</v>
      </c>
      <c r="N102" s="238">
        <v>0.17708333333333334</v>
      </c>
      <c r="O102" s="196">
        <v>1020</v>
      </c>
      <c r="P102" s="233" t="s">
        <v>492</v>
      </c>
      <c r="Q102" s="3">
        <v>1.44</v>
      </c>
      <c r="R102" s="205">
        <v>1.41</v>
      </c>
      <c r="S102" s="168">
        <f t="shared" si="7"/>
        <v>708.33333333333337</v>
      </c>
      <c r="T102" s="168">
        <f t="shared" si="8"/>
        <v>723.404255319149</v>
      </c>
    </row>
    <row r="103" spans="2:20" x14ac:dyDescent="0.25">
      <c r="B103" s="199">
        <v>44942</v>
      </c>
      <c r="C103" s="233">
        <v>3</v>
      </c>
      <c r="D103" s="233" t="s">
        <v>7</v>
      </c>
      <c r="E103" s="233" t="s">
        <v>3</v>
      </c>
      <c r="F103" s="233" t="s">
        <v>762</v>
      </c>
      <c r="G103" s="233">
        <v>75</v>
      </c>
      <c r="H103" s="233">
        <v>2500</v>
      </c>
      <c r="I103" s="233" t="s">
        <v>765</v>
      </c>
      <c r="J103" s="233" t="s">
        <v>766</v>
      </c>
      <c r="K103" s="233" t="s">
        <v>733</v>
      </c>
      <c r="L103" s="233" t="s">
        <v>34</v>
      </c>
      <c r="M103" s="238">
        <v>0.17708333333333334</v>
      </c>
      <c r="N103" s="238">
        <v>0.2638888888888889</v>
      </c>
      <c r="O103" s="196">
        <v>1142</v>
      </c>
      <c r="P103" s="233" t="s">
        <v>492</v>
      </c>
      <c r="Q103" s="3">
        <v>1.28</v>
      </c>
      <c r="R103" s="205">
        <v>1.63</v>
      </c>
      <c r="S103" s="168">
        <f t="shared" si="7"/>
        <v>892.1875</v>
      </c>
      <c r="T103" s="168">
        <f t="shared" si="8"/>
        <v>700.61349693251543</v>
      </c>
    </row>
    <row r="104" spans="2:20" x14ac:dyDescent="0.25">
      <c r="B104" s="199">
        <v>44942</v>
      </c>
      <c r="C104" s="233">
        <v>3</v>
      </c>
      <c r="D104" s="233" t="s">
        <v>7</v>
      </c>
      <c r="E104" s="233" t="s">
        <v>3</v>
      </c>
      <c r="F104" s="233" t="s">
        <v>762</v>
      </c>
      <c r="G104" s="233">
        <v>76</v>
      </c>
      <c r="H104" s="233">
        <v>3000</v>
      </c>
      <c r="I104" s="233" t="s">
        <v>686</v>
      </c>
      <c r="J104" s="233" t="s">
        <v>657</v>
      </c>
      <c r="K104" s="233" t="s">
        <v>733</v>
      </c>
      <c r="L104" s="233" t="s">
        <v>34</v>
      </c>
      <c r="M104" s="238">
        <v>0.2638888888888889</v>
      </c>
      <c r="N104" s="238">
        <v>0.29166666666666669</v>
      </c>
      <c r="O104" s="196">
        <v>122</v>
      </c>
      <c r="P104" s="233" t="s">
        <v>492</v>
      </c>
      <c r="Q104" s="3">
        <v>0.23</v>
      </c>
      <c r="R104" s="205">
        <v>0.22</v>
      </c>
      <c r="S104" s="202">
        <f t="shared" ref="S104:S109" si="9">O104/Q104</f>
        <v>530.43478260869563</v>
      </c>
      <c r="T104" s="202">
        <f t="shared" ref="T104:T109" si="10">IFERROR(O104/R104,"")</f>
        <v>554.5454545454545</v>
      </c>
    </row>
    <row r="105" spans="2:20" x14ac:dyDescent="0.25">
      <c r="B105" s="199">
        <v>44943</v>
      </c>
      <c r="C105" s="233">
        <v>1</v>
      </c>
      <c r="D105" s="233" t="s">
        <v>4</v>
      </c>
      <c r="E105" s="233" t="s">
        <v>173</v>
      </c>
      <c r="F105" s="3" t="s">
        <v>17</v>
      </c>
      <c r="G105" s="233">
        <v>77</v>
      </c>
      <c r="H105" s="233">
        <v>3000</v>
      </c>
      <c r="I105" s="233" t="s">
        <v>686</v>
      </c>
      <c r="J105" s="233" t="s">
        <v>657</v>
      </c>
      <c r="K105" s="233" t="s">
        <v>733</v>
      </c>
      <c r="L105" s="233" t="s">
        <v>34</v>
      </c>
      <c r="M105" s="238">
        <v>0.29166666666666669</v>
      </c>
      <c r="N105" s="238">
        <v>0.32083333333333336</v>
      </c>
      <c r="O105" s="196">
        <v>325</v>
      </c>
      <c r="P105" s="233" t="s">
        <v>492</v>
      </c>
      <c r="Q105" s="3">
        <v>0.64</v>
      </c>
      <c r="R105" s="205">
        <v>0.64</v>
      </c>
      <c r="S105" s="202">
        <f t="shared" si="9"/>
        <v>507.8125</v>
      </c>
      <c r="T105" s="202">
        <f t="shared" si="10"/>
        <v>507.8125</v>
      </c>
    </row>
    <row r="106" spans="2:20" x14ac:dyDescent="0.25">
      <c r="B106" s="199">
        <v>44943</v>
      </c>
      <c r="C106" s="233">
        <v>1</v>
      </c>
      <c r="D106" s="233" t="s">
        <v>4</v>
      </c>
      <c r="E106" s="233" t="s">
        <v>173</v>
      </c>
      <c r="F106" s="233" t="s">
        <v>768</v>
      </c>
      <c r="G106" s="233">
        <v>78</v>
      </c>
      <c r="H106" s="233">
        <v>3000</v>
      </c>
      <c r="I106" s="233" t="s">
        <v>686</v>
      </c>
      <c r="J106" s="233" t="s">
        <v>657</v>
      </c>
      <c r="K106" s="233" t="s">
        <v>735</v>
      </c>
      <c r="L106" s="233" t="s">
        <v>767</v>
      </c>
      <c r="M106" s="238">
        <v>0.32083333333333336</v>
      </c>
      <c r="N106" s="238">
        <v>0.625</v>
      </c>
      <c r="O106" s="196">
        <v>3415</v>
      </c>
      <c r="P106" s="3" t="s">
        <v>492</v>
      </c>
      <c r="Q106" s="3">
        <f>7.67-Q105</f>
        <v>7.03</v>
      </c>
      <c r="R106" s="205">
        <f>5.87-R105</f>
        <v>5.23</v>
      </c>
      <c r="S106" s="202">
        <f t="shared" si="9"/>
        <v>485.77524893314364</v>
      </c>
      <c r="T106" s="202">
        <f t="shared" si="10"/>
        <v>652.96367112810697</v>
      </c>
    </row>
    <row r="107" spans="2:20" x14ac:dyDescent="0.25">
      <c r="B107" s="199">
        <v>44943</v>
      </c>
      <c r="C107" s="233">
        <v>2</v>
      </c>
      <c r="D107" s="233" t="s">
        <v>747</v>
      </c>
      <c r="E107" s="233" t="s">
        <v>188</v>
      </c>
      <c r="F107" s="233" t="s">
        <v>53</v>
      </c>
      <c r="G107" s="233">
        <v>79</v>
      </c>
      <c r="H107" s="233">
        <v>5600</v>
      </c>
      <c r="I107" s="233" t="s">
        <v>769</v>
      </c>
      <c r="J107" s="233" t="s">
        <v>749</v>
      </c>
      <c r="K107" s="233" t="s">
        <v>733</v>
      </c>
      <c r="L107" s="233" t="s">
        <v>473</v>
      </c>
      <c r="M107" s="238">
        <v>0.625</v>
      </c>
      <c r="N107" s="238">
        <v>0.75416666666666676</v>
      </c>
      <c r="O107" s="196">
        <v>964</v>
      </c>
      <c r="P107" s="3" t="s">
        <v>492</v>
      </c>
      <c r="Q107" s="3">
        <v>1.79</v>
      </c>
      <c r="R107" s="205">
        <v>2.52</v>
      </c>
      <c r="S107" s="202">
        <f t="shared" si="9"/>
        <v>538.54748603351959</v>
      </c>
      <c r="T107" s="202">
        <f t="shared" si="10"/>
        <v>382.53968253968253</v>
      </c>
    </row>
    <row r="108" spans="2:20" x14ac:dyDescent="0.25">
      <c r="B108" s="199">
        <v>44943</v>
      </c>
      <c r="C108" s="233">
        <v>2</v>
      </c>
      <c r="D108" s="233" t="s">
        <v>747</v>
      </c>
      <c r="E108" s="233" t="s">
        <v>188</v>
      </c>
      <c r="F108" s="233" t="s">
        <v>53</v>
      </c>
      <c r="G108" s="233">
        <v>80</v>
      </c>
      <c r="H108" s="233">
        <v>5600</v>
      </c>
      <c r="I108" s="233" t="s">
        <v>769</v>
      </c>
      <c r="J108" s="233" t="s">
        <v>749</v>
      </c>
      <c r="K108" s="233" t="s">
        <v>735</v>
      </c>
      <c r="L108" s="233" t="s">
        <v>767</v>
      </c>
      <c r="M108" s="238">
        <v>0.75416666666666676</v>
      </c>
      <c r="N108" s="238">
        <v>0.95833333333333337</v>
      </c>
      <c r="O108" s="196">
        <v>2558</v>
      </c>
      <c r="P108" s="233" t="s">
        <v>492</v>
      </c>
      <c r="Q108" s="3">
        <v>3.73</v>
      </c>
      <c r="R108" s="205">
        <v>4.54</v>
      </c>
      <c r="S108" s="202">
        <f t="shared" si="9"/>
        <v>685.79088471849866</v>
      </c>
      <c r="T108" s="202">
        <f t="shared" si="10"/>
        <v>563.43612334801765</v>
      </c>
    </row>
    <row r="109" spans="2:20" x14ac:dyDescent="0.25">
      <c r="B109" s="199">
        <v>44943</v>
      </c>
      <c r="C109" s="3">
        <v>3</v>
      </c>
      <c r="D109" s="233" t="s">
        <v>703</v>
      </c>
      <c r="E109" s="233" t="s">
        <v>3</v>
      </c>
      <c r="F109" s="233" t="s">
        <v>762</v>
      </c>
      <c r="G109" s="3">
        <v>81</v>
      </c>
      <c r="H109" s="233">
        <v>5600</v>
      </c>
      <c r="I109" s="233" t="s">
        <v>769</v>
      </c>
      <c r="J109" s="233" t="s">
        <v>749</v>
      </c>
      <c r="K109" s="233" t="s">
        <v>735</v>
      </c>
      <c r="L109" s="233" t="s">
        <v>767</v>
      </c>
      <c r="M109" s="238">
        <v>0.95833333333333337</v>
      </c>
      <c r="N109" s="238">
        <v>0.1875</v>
      </c>
      <c r="O109" s="196">
        <v>2950</v>
      </c>
      <c r="P109" s="233" t="s">
        <v>492</v>
      </c>
      <c r="Q109" s="3">
        <v>4.1500000000000004</v>
      </c>
      <c r="R109" s="205">
        <v>5.33</v>
      </c>
      <c r="S109" s="168">
        <f t="shared" si="9"/>
        <v>710.84337349397583</v>
      </c>
      <c r="T109" s="168">
        <f t="shared" si="10"/>
        <v>553.47091932457784</v>
      </c>
    </row>
    <row r="110" spans="2:20" x14ac:dyDescent="0.25">
      <c r="B110" s="199">
        <v>44943</v>
      </c>
      <c r="C110" s="233">
        <v>3</v>
      </c>
      <c r="D110" s="233" t="s">
        <v>703</v>
      </c>
      <c r="E110" s="233" t="s">
        <v>3</v>
      </c>
      <c r="F110" s="233" t="s">
        <v>762</v>
      </c>
      <c r="G110" s="233">
        <v>82</v>
      </c>
      <c r="H110" s="233">
        <v>3400</v>
      </c>
      <c r="I110" s="233" t="s">
        <v>741</v>
      </c>
      <c r="J110" s="233" t="s">
        <v>773</v>
      </c>
      <c r="K110" s="233" t="s">
        <v>735</v>
      </c>
      <c r="L110" s="233" t="s">
        <v>767</v>
      </c>
      <c r="M110" s="238">
        <v>0.1875</v>
      </c>
      <c r="N110" s="238">
        <v>0.29166666666666669</v>
      </c>
      <c r="O110" s="196">
        <v>971</v>
      </c>
      <c r="P110" s="233" t="s">
        <v>492</v>
      </c>
      <c r="Q110" s="3">
        <v>1.49</v>
      </c>
      <c r="R110" s="205">
        <v>1.81</v>
      </c>
      <c r="S110" s="202">
        <f t="shared" ref="S110:S115" si="11">O110/Q110</f>
        <v>651.67785234899327</v>
      </c>
      <c r="T110" s="202">
        <f t="shared" ref="T110:T115" si="12">IFERROR(O110/R110,"")</f>
        <v>536.46408839779008</v>
      </c>
    </row>
    <row r="111" spans="2:20" x14ac:dyDescent="0.25">
      <c r="B111" s="199">
        <v>44944</v>
      </c>
      <c r="C111" s="233">
        <v>1</v>
      </c>
      <c r="D111" s="233" t="s">
        <v>4</v>
      </c>
      <c r="E111" s="233" t="s">
        <v>173</v>
      </c>
      <c r="F111" s="3" t="s">
        <v>23</v>
      </c>
      <c r="G111" s="233">
        <v>83</v>
      </c>
      <c r="H111" s="233">
        <v>3400</v>
      </c>
      <c r="I111" s="233" t="s">
        <v>741</v>
      </c>
      <c r="J111" s="233" t="s">
        <v>773</v>
      </c>
      <c r="K111" s="233" t="s">
        <v>735</v>
      </c>
      <c r="L111" s="233" t="s">
        <v>767</v>
      </c>
      <c r="M111" s="238">
        <v>0.29166666666666669</v>
      </c>
      <c r="N111" s="238">
        <v>0.34236111111111112</v>
      </c>
      <c r="O111" s="196">
        <v>660</v>
      </c>
      <c r="P111" s="3" t="s">
        <v>492</v>
      </c>
      <c r="Q111" s="3">
        <v>0.97</v>
      </c>
      <c r="R111" s="205">
        <v>0.98</v>
      </c>
      <c r="S111" s="202">
        <f t="shared" si="11"/>
        <v>680.41237113402065</v>
      </c>
      <c r="T111" s="202">
        <f t="shared" si="12"/>
        <v>673.46938775510205</v>
      </c>
    </row>
    <row r="112" spans="2:20" x14ac:dyDescent="0.25">
      <c r="B112" s="199">
        <v>44944</v>
      </c>
      <c r="C112" s="233">
        <v>1</v>
      </c>
      <c r="D112" s="233" t="s">
        <v>4</v>
      </c>
      <c r="E112" s="233" t="s">
        <v>173</v>
      </c>
      <c r="F112" s="233" t="s">
        <v>776</v>
      </c>
      <c r="G112" s="233">
        <v>84</v>
      </c>
      <c r="H112" s="3">
        <v>4000</v>
      </c>
      <c r="I112" s="3" t="s">
        <v>707</v>
      </c>
      <c r="J112" s="3" t="s">
        <v>774</v>
      </c>
      <c r="K112" s="233" t="s">
        <v>735</v>
      </c>
      <c r="L112" s="233" t="s">
        <v>767</v>
      </c>
      <c r="M112" s="238">
        <v>0.34236111111111112</v>
      </c>
      <c r="N112" s="238">
        <v>0.53541666666666665</v>
      </c>
      <c r="O112" s="196">
        <v>3370</v>
      </c>
      <c r="P112" s="3" t="s">
        <v>492</v>
      </c>
      <c r="Q112" s="3">
        <v>4.41</v>
      </c>
      <c r="R112" s="205">
        <v>4.5</v>
      </c>
      <c r="S112" s="202">
        <f t="shared" si="11"/>
        <v>764.17233560090699</v>
      </c>
      <c r="T112" s="202">
        <f t="shared" si="12"/>
        <v>748.88888888888891</v>
      </c>
    </row>
    <row r="113" spans="2:20" x14ac:dyDescent="0.25">
      <c r="B113" s="199">
        <v>44944</v>
      </c>
      <c r="C113" s="233">
        <v>1</v>
      </c>
      <c r="D113" s="233" t="s">
        <v>4</v>
      </c>
      <c r="E113" s="233" t="s">
        <v>173</v>
      </c>
      <c r="F113" s="3" t="s">
        <v>39</v>
      </c>
      <c r="G113" s="233">
        <v>85</v>
      </c>
      <c r="H113" s="3">
        <v>7000</v>
      </c>
      <c r="I113" s="3" t="s">
        <v>678</v>
      </c>
      <c r="J113" s="3" t="s">
        <v>777</v>
      </c>
      <c r="K113" s="233" t="s">
        <v>735</v>
      </c>
      <c r="L113" s="233" t="s">
        <v>767</v>
      </c>
      <c r="M113" s="238">
        <v>0.53541666666666665</v>
      </c>
      <c r="N113" s="238">
        <v>0.625</v>
      </c>
      <c r="O113" s="196">
        <f>4979-O112-O111</f>
        <v>949</v>
      </c>
      <c r="P113" s="3" t="s">
        <v>492</v>
      </c>
      <c r="Q113" s="3">
        <f>6.85-Q112-Q111</f>
        <v>1.4699999999999995</v>
      </c>
      <c r="R113" s="205">
        <f>6.89-R112-R111</f>
        <v>1.4099999999999997</v>
      </c>
      <c r="S113" s="202">
        <f t="shared" si="11"/>
        <v>645.57823129251722</v>
      </c>
      <c r="T113" s="202">
        <f t="shared" si="12"/>
        <v>673.04964539007108</v>
      </c>
    </row>
    <row r="114" spans="2:20" x14ac:dyDescent="0.25">
      <c r="B114" s="199">
        <v>44944</v>
      </c>
      <c r="C114" s="3">
        <v>2</v>
      </c>
      <c r="D114" s="233" t="s">
        <v>199</v>
      </c>
      <c r="E114" s="3" t="s">
        <v>188</v>
      </c>
      <c r="F114" s="233" t="s">
        <v>53</v>
      </c>
      <c r="G114" s="3">
        <v>86</v>
      </c>
      <c r="H114" s="233">
        <v>7000</v>
      </c>
      <c r="I114" s="233" t="s">
        <v>678</v>
      </c>
      <c r="J114" s="233" t="s">
        <v>777</v>
      </c>
      <c r="K114" s="233" t="s">
        <v>735</v>
      </c>
      <c r="L114" s="233" t="s">
        <v>767</v>
      </c>
      <c r="M114" s="238">
        <v>0.625</v>
      </c>
      <c r="N114" s="238">
        <v>0.95833333333333337</v>
      </c>
      <c r="O114" s="196">
        <v>4818</v>
      </c>
      <c r="P114" s="233" t="s">
        <v>492</v>
      </c>
      <c r="Q114" s="3">
        <v>6.62</v>
      </c>
      <c r="R114" s="205">
        <v>6.96</v>
      </c>
      <c r="S114" s="202">
        <f t="shared" si="11"/>
        <v>727.79456193353474</v>
      </c>
      <c r="T114" s="202">
        <f t="shared" si="12"/>
        <v>692.24137931034488</v>
      </c>
    </row>
    <row r="115" spans="2:20" x14ac:dyDescent="0.25">
      <c r="B115" s="199">
        <v>44944</v>
      </c>
      <c r="C115" s="3">
        <v>3</v>
      </c>
      <c r="D115" s="233" t="s">
        <v>7</v>
      </c>
      <c r="E115" s="233" t="s">
        <v>3</v>
      </c>
      <c r="F115" s="233" t="s">
        <v>762</v>
      </c>
      <c r="G115" s="3">
        <v>87</v>
      </c>
      <c r="H115" s="233">
        <v>7000</v>
      </c>
      <c r="I115" s="233" t="s">
        <v>678</v>
      </c>
      <c r="J115" s="233" t="s">
        <v>777</v>
      </c>
      <c r="K115" s="233" t="s">
        <v>735</v>
      </c>
      <c r="L115" s="233" t="s">
        <v>767</v>
      </c>
      <c r="M115" s="238">
        <v>0.95833333333333337</v>
      </c>
      <c r="N115" s="238">
        <v>1.3888888888888888E-2</v>
      </c>
      <c r="O115" s="196">
        <v>370</v>
      </c>
      <c r="P115" s="233" t="s">
        <v>492</v>
      </c>
      <c r="Q115" s="3">
        <v>0.5</v>
      </c>
      <c r="R115" s="205">
        <v>1.03</v>
      </c>
      <c r="S115" s="168">
        <f t="shared" si="11"/>
        <v>740</v>
      </c>
      <c r="T115" s="168">
        <f t="shared" si="12"/>
        <v>359.22330097087377</v>
      </c>
    </row>
    <row r="116" spans="2:20" x14ac:dyDescent="0.25">
      <c r="B116" s="199">
        <v>44944</v>
      </c>
      <c r="C116" s="233">
        <v>3</v>
      </c>
      <c r="D116" s="233" t="s">
        <v>7</v>
      </c>
      <c r="E116" s="233" t="s">
        <v>3</v>
      </c>
      <c r="F116" s="233" t="s">
        <v>762</v>
      </c>
      <c r="G116" s="3">
        <v>88</v>
      </c>
      <c r="H116" s="3">
        <v>5000</v>
      </c>
      <c r="I116" s="3" t="s">
        <v>741</v>
      </c>
      <c r="J116" s="3" t="s">
        <v>778</v>
      </c>
      <c r="K116" s="233" t="s">
        <v>735</v>
      </c>
      <c r="L116" s="233" t="s">
        <v>767</v>
      </c>
      <c r="M116" s="238">
        <v>1.3888888888888888E-2</v>
      </c>
      <c r="N116" s="238">
        <v>0.29166666666666669</v>
      </c>
      <c r="O116" s="196">
        <v>4263</v>
      </c>
      <c r="P116" s="233" t="s">
        <v>492</v>
      </c>
      <c r="Q116" s="3">
        <v>5.89</v>
      </c>
      <c r="R116" s="205">
        <v>6.28</v>
      </c>
      <c r="S116" s="202">
        <f t="shared" ref="S116:S121" si="13">O116/Q116</f>
        <v>723.76910016977934</v>
      </c>
      <c r="T116" s="202">
        <f t="shared" ref="T116:T121" si="14">IFERROR(O116/R116,"")</f>
        <v>678.82165605095543</v>
      </c>
    </row>
    <row r="117" spans="2:20" x14ac:dyDescent="0.25">
      <c r="B117" s="199">
        <v>44945</v>
      </c>
      <c r="C117" s="233">
        <v>1</v>
      </c>
      <c r="D117" s="233" t="s">
        <v>4</v>
      </c>
      <c r="E117" s="233" t="s">
        <v>173</v>
      </c>
      <c r="F117" s="3" t="s">
        <v>11</v>
      </c>
      <c r="G117" s="233">
        <v>89</v>
      </c>
      <c r="H117" s="233">
        <v>5000</v>
      </c>
      <c r="I117" s="233" t="s">
        <v>741</v>
      </c>
      <c r="J117" s="233" t="s">
        <v>778</v>
      </c>
      <c r="K117" s="233" t="s">
        <v>735</v>
      </c>
      <c r="L117" s="233" t="s">
        <v>767</v>
      </c>
      <c r="M117" s="238">
        <v>0.29166666666666669</v>
      </c>
      <c r="N117" s="238">
        <v>0.4861111111111111</v>
      </c>
      <c r="O117" s="196">
        <v>2393</v>
      </c>
      <c r="P117" s="3" t="s">
        <v>492</v>
      </c>
      <c r="Q117" s="3">
        <v>3.53</v>
      </c>
      <c r="R117" s="205">
        <v>3.86</v>
      </c>
      <c r="S117" s="202">
        <f t="shared" si="13"/>
        <v>677.90368271954674</v>
      </c>
      <c r="T117" s="202">
        <f t="shared" si="14"/>
        <v>619.94818652849744</v>
      </c>
    </row>
    <row r="118" spans="2:20" x14ac:dyDescent="0.25">
      <c r="B118" s="199">
        <v>44945</v>
      </c>
      <c r="C118" s="233">
        <v>1</v>
      </c>
      <c r="D118" s="233" t="s">
        <v>4</v>
      </c>
      <c r="E118" s="233" t="s">
        <v>173</v>
      </c>
      <c r="F118" s="3" t="s">
        <v>23</v>
      </c>
      <c r="G118" s="233">
        <v>90</v>
      </c>
      <c r="H118" s="3">
        <v>5000</v>
      </c>
      <c r="I118" s="3" t="s">
        <v>779</v>
      </c>
      <c r="J118" s="3" t="s">
        <v>657</v>
      </c>
      <c r="K118" s="233" t="s">
        <v>733</v>
      </c>
      <c r="L118" s="3" t="s">
        <v>34</v>
      </c>
      <c r="M118" s="238">
        <v>0.4861111111111111</v>
      </c>
      <c r="N118" s="238">
        <v>0.625</v>
      </c>
      <c r="O118" s="196">
        <v>870</v>
      </c>
      <c r="P118" s="3" t="s">
        <v>492</v>
      </c>
      <c r="Q118" s="3">
        <v>1.83</v>
      </c>
      <c r="R118" s="205">
        <v>1.94</v>
      </c>
      <c r="S118" s="202">
        <f t="shared" si="13"/>
        <v>475.40983606557376</v>
      </c>
      <c r="T118" s="202">
        <f t="shared" si="14"/>
        <v>448.45360824742266</v>
      </c>
    </row>
    <row r="119" spans="2:20" x14ac:dyDescent="0.25">
      <c r="B119" s="199">
        <v>44945</v>
      </c>
      <c r="C119" s="3">
        <v>2</v>
      </c>
      <c r="D119" s="3" t="s">
        <v>199</v>
      </c>
      <c r="E119" s="3" t="s">
        <v>188</v>
      </c>
      <c r="F119" s="233" t="s">
        <v>37</v>
      </c>
      <c r="G119" s="3">
        <v>91</v>
      </c>
      <c r="H119" s="3">
        <v>2000</v>
      </c>
      <c r="I119" s="3" t="s">
        <v>781</v>
      </c>
      <c r="J119" s="3" t="s">
        <v>682</v>
      </c>
      <c r="K119" s="3" t="s">
        <v>737</v>
      </c>
      <c r="L119" s="3" t="s">
        <v>696</v>
      </c>
      <c r="M119" s="238">
        <v>0.625</v>
      </c>
      <c r="N119" s="238">
        <v>0.72569444444444453</v>
      </c>
      <c r="O119" s="196">
        <v>817</v>
      </c>
      <c r="P119" s="3" t="s">
        <v>492</v>
      </c>
      <c r="Q119" s="3">
        <v>1.36</v>
      </c>
      <c r="R119" s="205">
        <v>1.2</v>
      </c>
      <c r="S119" s="202">
        <f t="shared" si="13"/>
        <v>600.73529411764707</v>
      </c>
      <c r="T119" s="202">
        <f t="shared" si="14"/>
        <v>680.83333333333337</v>
      </c>
    </row>
    <row r="120" spans="2:20" x14ac:dyDescent="0.25">
      <c r="B120" s="199">
        <v>44945</v>
      </c>
      <c r="C120" s="3">
        <v>2</v>
      </c>
      <c r="D120" s="3" t="s">
        <v>199</v>
      </c>
      <c r="E120" s="3" t="s">
        <v>188</v>
      </c>
      <c r="F120" s="3" t="s">
        <v>37</v>
      </c>
      <c r="G120" s="3">
        <v>92</v>
      </c>
      <c r="H120" s="3">
        <v>5600</v>
      </c>
      <c r="I120" s="3" t="s">
        <v>769</v>
      </c>
      <c r="J120" s="3" t="s">
        <v>657</v>
      </c>
      <c r="K120" s="233" t="s">
        <v>733</v>
      </c>
      <c r="L120" s="3" t="s">
        <v>40</v>
      </c>
      <c r="M120" s="238">
        <v>0.72569444444444453</v>
      </c>
      <c r="N120" s="238">
        <v>0.95833333333333337</v>
      </c>
      <c r="O120" s="196">
        <v>2691</v>
      </c>
      <c r="P120" s="233" t="s">
        <v>492</v>
      </c>
      <c r="Q120" s="3">
        <v>4.59</v>
      </c>
      <c r="R120" s="205">
        <v>4.63</v>
      </c>
      <c r="S120" s="202">
        <f t="shared" si="13"/>
        <v>586.27450980392155</v>
      </c>
      <c r="T120" s="202">
        <f t="shared" si="14"/>
        <v>581.2095032397408</v>
      </c>
    </row>
    <row r="121" spans="2:20" x14ac:dyDescent="0.25">
      <c r="B121" s="199">
        <v>44945</v>
      </c>
      <c r="C121" s="3">
        <v>3</v>
      </c>
      <c r="D121" s="233" t="s">
        <v>7</v>
      </c>
      <c r="E121" s="233" t="s">
        <v>3</v>
      </c>
      <c r="F121" s="233" t="s">
        <v>762</v>
      </c>
      <c r="G121" s="3">
        <v>93</v>
      </c>
      <c r="H121" s="3">
        <v>4000</v>
      </c>
      <c r="I121" s="3" t="s">
        <v>722</v>
      </c>
      <c r="J121" s="3" t="s">
        <v>783</v>
      </c>
      <c r="K121" s="233" t="s">
        <v>733</v>
      </c>
      <c r="L121" s="233" t="s">
        <v>40</v>
      </c>
      <c r="M121" s="238">
        <v>0.95833333333333337</v>
      </c>
      <c r="N121" s="238">
        <v>0.25694444444444448</v>
      </c>
      <c r="O121" s="196">
        <v>4030</v>
      </c>
      <c r="P121" s="233" t="s">
        <v>492</v>
      </c>
      <c r="Q121" s="3">
        <v>5.79</v>
      </c>
      <c r="R121" s="205">
        <v>6.88</v>
      </c>
      <c r="S121" s="168">
        <f t="shared" si="13"/>
        <v>696.02763385146807</v>
      </c>
      <c r="T121" s="168">
        <f t="shared" si="14"/>
        <v>585.75581395348843</v>
      </c>
    </row>
    <row r="122" spans="2:20" x14ac:dyDescent="0.25">
      <c r="B122" s="199">
        <v>44945</v>
      </c>
      <c r="C122" s="233">
        <v>3</v>
      </c>
      <c r="D122" s="233" t="s">
        <v>7</v>
      </c>
      <c r="E122" s="233" t="s">
        <v>3</v>
      </c>
      <c r="F122" s="233" t="s">
        <v>762</v>
      </c>
      <c r="G122" s="3">
        <v>94</v>
      </c>
      <c r="H122" s="3">
        <v>1500</v>
      </c>
      <c r="I122" s="3" t="s">
        <v>707</v>
      </c>
      <c r="J122" s="3" t="s">
        <v>774</v>
      </c>
      <c r="K122" s="233" t="s">
        <v>733</v>
      </c>
      <c r="L122" s="233" t="s">
        <v>40</v>
      </c>
      <c r="M122" s="238">
        <v>0.25694444444444448</v>
      </c>
      <c r="N122" s="238">
        <v>0.29166666666666669</v>
      </c>
      <c r="O122" s="196">
        <v>285</v>
      </c>
      <c r="P122" s="233" t="s">
        <v>492</v>
      </c>
      <c r="Q122" s="3">
        <v>0.38</v>
      </c>
      <c r="R122" s="205">
        <v>0.37</v>
      </c>
      <c r="S122" s="202">
        <f t="shared" ref="S122:S142" si="15">O122/Q122</f>
        <v>750</v>
      </c>
      <c r="T122" s="202">
        <f t="shared" ref="T122:T142" si="16">IFERROR(O122/R122,"")</f>
        <v>770.27027027027032</v>
      </c>
    </row>
    <row r="123" spans="2:20" x14ac:dyDescent="0.25">
      <c r="B123" s="199">
        <v>44946</v>
      </c>
      <c r="C123" s="233">
        <v>1</v>
      </c>
      <c r="D123" s="233" t="s">
        <v>786</v>
      </c>
      <c r="E123" s="233" t="s">
        <v>173</v>
      </c>
      <c r="F123" s="233" t="s">
        <v>23</v>
      </c>
      <c r="G123" s="233">
        <v>95</v>
      </c>
      <c r="H123" s="233">
        <v>1500</v>
      </c>
      <c r="I123" s="233" t="s">
        <v>707</v>
      </c>
      <c r="J123" s="233" t="s">
        <v>774</v>
      </c>
      <c r="K123" s="233" t="s">
        <v>733</v>
      </c>
      <c r="L123" s="233" t="s">
        <v>40</v>
      </c>
      <c r="M123" s="238">
        <v>0.29166666666666669</v>
      </c>
      <c r="N123" s="238">
        <v>0.38194444444444442</v>
      </c>
      <c r="O123" s="196">
        <v>710</v>
      </c>
      <c r="P123" s="233" t="s">
        <v>492</v>
      </c>
      <c r="Q123" s="3">
        <v>1.1499999999999999</v>
      </c>
      <c r="R123" s="205">
        <v>1.26</v>
      </c>
      <c r="S123" s="202">
        <f t="shared" si="15"/>
        <v>617.39130434782612</v>
      </c>
      <c r="T123" s="202">
        <f t="shared" si="16"/>
        <v>563.49206349206349</v>
      </c>
    </row>
    <row r="124" spans="2:20" x14ac:dyDescent="0.25">
      <c r="B124" s="199">
        <v>44946</v>
      </c>
      <c r="C124" s="233">
        <v>1</v>
      </c>
      <c r="D124" s="233" t="s">
        <v>786</v>
      </c>
      <c r="E124" s="233" t="s">
        <v>173</v>
      </c>
      <c r="F124" s="233" t="s">
        <v>23</v>
      </c>
      <c r="G124" s="233">
        <v>96</v>
      </c>
      <c r="H124" s="3">
        <v>2000</v>
      </c>
      <c r="I124" s="233" t="s">
        <v>781</v>
      </c>
      <c r="J124" s="233" t="s">
        <v>682</v>
      </c>
      <c r="K124" s="233" t="s">
        <v>737</v>
      </c>
      <c r="L124" s="233" t="s">
        <v>696</v>
      </c>
      <c r="M124" s="238">
        <v>0.38194444444444442</v>
      </c>
      <c r="N124" s="238">
        <v>0.4826388888888889</v>
      </c>
      <c r="O124" s="196">
        <v>644</v>
      </c>
      <c r="P124" s="233" t="s">
        <v>492</v>
      </c>
      <c r="Q124" s="3">
        <v>1.32</v>
      </c>
      <c r="R124" s="205">
        <v>1.46</v>
      </c>
      <c r="S124" s="202">
        <f t="shared" si="15"/>
        <v>487.87878787878788</v>
      </c>
      <c r="T124" s="202">
        <f t="shared" si="16"/>
        <v>441.09589041095893</v>
      </c>
    </row>
    <row r="125" spans="2:20" x14ac:dyDescent="0.25">
      <c r="B125" s="199">
        <v>44946</v>
      </c>
      <c r="C125" s="233">
        <v>1</v>
      </c>
      <c r="D125" s="233" t="s">
        <v>786</v>
      </c>
      <c r="E125" s="233" t="s">
        <v>173</v>
      </c>
      <c r="F125" s="3" t="s">
        <v>17</v>
      </c>
      <c r="G125" s="233">
        <v>97</v>
      </c>
      <c r="H125" s="3">
        <v>6747</v>
      </c>
      <c r="I125" s="3" t="s">
        <v>678</v>
      </c>
      <c r="J125" s="3" t="s">
        <v>787</v>
      </c>
      <c r="K125" s="233" t="s">
        <v>733</v>
      </c>
      <c r="L125" s="233" t="s">
        <v>40</v>
      </c>
      <c r="M125" s="238">
        <v>0.4826388888888889</v>
      </c>
      <c r="N125" s="238">
        <v>0.625</v>
      </c>
      <c r="O125" s="196">
        <v>1860</v>
      </c>
      <c r="P125" s="3" t="s">
        <v>492</v>
      </c>
      <c r="Q125" s="3">
        <v>2.63</v>
      </c>
      <c r="R125" s="205">
        <v>2.7</v>
      </c>
      <c r="S125" s="202">
        <f t="shared" si="15"/>
        <v>707.22433460076047</v>
      </c>
      <c r="T125" s="202">
        <f t="shared" si="16"/>
        <v>688.8888888888888</v>
      </c>
    </row>
    <row r="126" spans="2:20" x14ac:dyDescent="0.25">
      <c r="B126" s="199">
        <v>44946</v>
      </c>
      <c r="C126" s="3">
        <v>2</v>
      </c>
      <c r="D126" s="3" t="s">
        <v>199</v>
      </c>
      <c r="E126" s="3" t="s">
        <v>188</v>
      </c>
      <c r="F126" s="3" t="s">
        <v>37</v>
      </c>
      <c r="G126" s="3">
        <v>98</v>
      </c>
      <c r="H126" s="233">
        <v>6747</v>
      </c>
      <c r="I126" s="233" t="s">
        <v>678</v>
      </c>
      <c r="J126" s="233" t="s">
        <v>787</v>
      </c>
      <c r="K126" s="233" t="s">
        <v>733</v>
      </c>
      <c r="L126" s="233" t="s">
        <v>40</v>
      </c>
      <c r="M126" s="238">
        <v>0.625</v>
      </c>
      <c r="N126" s="238">
        <v>0.76388888888888884</v>
      </c>
      <c r="O126" s="196">
        <v>1800</v>
      </c>
      <c r="P126" s="3" t="s">
        <v>492</v>
      </c>
      <c r="Q126" s="3">
        <v>2.8</v>
      </c>
      <c r="R126" s="205">
        <v>2.76</v>
      </c>
      <c r="S126" s="202">
        <f t="shared" si="15"/>
        <v>642.85714285714289</v>
      </c>
      <c r="T126" s="202">
        <f t="shared" si="16"/>
        <v>652.17391304347836</v>
      </c>
    </row>
    <row r="127" spans="2:20" x14ac:dyDescent="0.25">
      <c r="B127" s="199">
        <v>44946</v>
      </c>
      <c r="C127" s="3">
        <v>2</v>
      </c>
      <c r="D127" s="3" t="s">
        <v>199</v>
      </c>
      <c r="E127" s="3" t="s">
        <v>188</v>
      </c>
      <c r="F127" s="3" t="s">
        <v>37</v>
      </c>
      <c r="G127" s="233">
        <v>99</v>
      </c>
      <c r="H127" s="233">
        <v>6747</v>
      </c>
      <c r="I127" s="233" t="s">
        <v>678</v>
      </c>
      <c r="J127" s="233" t="s">
        <v>787</v>
      </c>
      <c r="K127" s="233" t="s">
        <v>733</v>
      </c>
      <c r="L127" s="233" t="s">
        <v>696</v>
      </c>
      <c r="M127" s="238">
        <v>0.76388888888888884</v>
      </c>
      <c r="N127" s="238">
        <v>0.82291666666666663</v>
      </c>
      <c r="O127" s="196">
        <v>500</v>
      </c>
      <c r="P127" s="3" t="s">
        <v>492</v>
      </c>
      <c r="Q127" s="3">
        <f>3.72-Q126</f>
        <v>0.92000000000000037</v>
      </c>
      <c r="R127" s="205">
        <f>3.58-R126</f>
        <v>0.82000000000000028</v>
      </c>
      <c r="S127" s="202">
        <f t="shared" si="15"/>
        <v>543.47826086956502</v>
      </c>
      <c r="T127" s="202">
        <f t="shared" si="16"/>
        <v>609.75609756097538</v>
      </c>
    </row>
    <row r="128" spans="2:20" x14ac:dyDescent="0.25">
      <c r="B128" s="199">
        <v>44946</v>
      </c>
      <c r="C128" s="233">
        <v>2</v>
      </c>
      <c r="D128" s="233" t="s">
        <v>199</v>
      </c>
      <c r="E128" s="233" t="s">
        <v>188</v>
      </c>
      <c r="F128" s="233" t="s">
        <v>37</v>
      </c>
      <c r="G128" s="233">
        <v>100</v>
      </c>
      <c r="H128" s="233">
        <v>6747</v>
      </c>
      <c r="I128" s="233" t="s">
        <v>678</v>
      </c>
      <c r="J128" s="233" t="s">
        <v>787</v>
      </c>
      <c r="K128" s="233" t="s">
        <v>733</v>
      </c>
      <c r="L128" s="233" t="s">
        <v>40</v>
      </c>
      <c r="M128" s="238">
        <v>0.82291666666666663</v>
      </c>
      <c r="N128" s="238">
        <v>0.95833333333333337</v>
      </c>
      <c r="O128" s="196">
        <v>1739</v>
      </c>
      <c r="P128" s="233" t="s">
        <v>492</v>
      </c>
      <c r="Q128" s="3">
        <v>2.09</v>
      </c>
      <c r="R128" s="205">
        <v>2.4500000000000002</v>
      </c>
      <c r="S128" s="202">
        <f t="shared" si="15"/>
        <v>832.05741626794259</v>
      </c>
      <c r="T128" s="202">
        <f t="shared" si="16"/>
        <v>709.79591836734687</v>
      </c>
    </row>
    <row r="129" spans="2:20" x14ac:dyDescent="0.25">
      <c r="B129" s="199">
        <v>44946</v>
      </c>
      <c r="C129" s="233">
        <v>3</v>
      </c>
      <c r="D129" s="233" t="s">
        <v>7</v>
      </c>
      <c r="E129" s="233" t="s">
        <v>3</v>
      </c>
      <c r="F129" s="233" t="s">
        <v>762</v>
      </c>
      <c r="G129" s="3">
        <v>101</v>
      </c>
      <c r="H129" s="3">
        <v>6748</v>
      </c>
      <c r="I129" s="233" t="s">
        <v>678</v>
      </c>
      <c r="J129" s="233" t="s">
        <v>787</v>
      </c>
      <c r="K129" s="233" t="s">
        <v>733</v>
      </c>
      <c r="L129" s="233" t="s">
        <v>40</v>
      </c>
      <c r="M129" s="238">
        <v>0.95833333333333337</v>
      </c>
      <c r="N129" s="238">
        <v>5.2083333333333336E-2</v>
      </c>
      <c r="O129" s="196">
        <v>800</v>
      </c>
      <c r="P129" s="233" t="s">
        <v>492</v>
      </c>
      <c r="Q129" s="3">
        <v>1.26</v>
      </c>
      <c r="R129" s="205">
        <v>1.56</v>
      </c>
      <c r="S129" s="168">
        <f t="shared" si="15"/>
        <v>634.92063492063494</v>
      </c>
      <c r="T129" s="168">
        <f t="shared" si="16"/>
        <v>512.82051282051282</v>
      </c>
    </row>
    <row r="130" spans="2:20" x14ac:dyDescent="0.25">
      <c r="B130" s="199">
        <v>44946</v>
      </c>
      <c r="C130" s="233">
        <v>3</v>
      </c>
      <c r="D130" s="233" t="s">
        <v>7</v>
      </c>
      <c r="E130" s="233" t="s">
        <v>3</v>
      </c>
      <c r="F130" s="233" t="s">
        <v>762</v>
      </c>
      <c r="G130" s="233">
        <v>102</v>
      </c>
      <c r="H130" s="233">
        <v>1500</v>
      </c>
      <c r="I130" s="233" t="s">
        <v>741</v>
      </c>
      <c r="J130" s="233" t="s">
        <v>788</v>
      </c>
      <c r="K130" s="233" t="s">
        <v>733</v>
      </c>
      <c r="L130" s="233" t="s">
        <v>40</v>
      </c>
      <c r="M130" s="238">
        <v>5.2083333333333336E-2</v>
      </c>
      <c r="N130" s="238">
        <v>0.1875</v>
      </c>
      <c r="O130" s="196">
        <v>1450</v>
      </c>
      <c r="P130" s="233" t="s">
        <v>492</v>
      </c>
      <c r="Q130" s="3">
        <v>1.96</v>
      </c>
      <c r="R130" s="205">
        <v>2.92</v>
      </c>
      <c r="S130" s="168">
        <f t="shared" si="15"/>
        <v>739.79591836734699</v>
      </c>
      <c r="T130" s="168">
        <f t="shared" si="16"/>
        <v>496.57534246575347</v>
      </c>
    </row>
    <row r="131" spans="2:20" x14ac:dyDescent="0.25">
      <c r="B131" s="199">
        <v>44946</v>
      </c>
      <c r="C131" s="233">
        <v>3</v>
      </c>
      <c r="D131" s="233" t="s">
        <v>7</v>
      </c>
      <c r="E131" s="233" t="s">
        <v>3</v>
      </c>
      <c r="F131" s="233" t="s">
        <v>762</v>
      </c>
      <c r="G131" s="233">
        <v>103</v>
      </c>
      <c r="H131" s="233">
        <v>3000</v>
      </c>
      <c r="I131" s="3" t="s">
        <v>64</v>
      </c>
      <c r="J131" s="3" t="s">
        <v>789</v>
      </c>
      <c r="K131" s="3" t="s">
        <v>736</v>
      </c>
      <c r="L131" s="3" t="s">
        <v>445</v>
      </c>
      <c r="M131" s="238">
        <v>0.1875</v>
      </c>
      <c r="N131" s="238">
        <v>0.29166666666666669</v>
      </c>
      <c r="O131" s="196">
        <v>1077</v>
      </c>
      <c r="P131" s="3" t="s">
        <v>492</v>
      </c>
      <c r="Q131" s="3">
        <v>1.46</v>
      </c>
      <c r="R131" s="205">
        <v>1.74</v>
      </c>
      <c r="S131" s="202">
        <f t="shared" si="15"/>
        <v>737.67123287671234</v>
      </c>
      <c r="T131" s="202">
        <f t="shared" si="16"/>
        <v>618.9655172413793</v>
      </c>
    </row>
    <row r="132" spans="2:20" x14ac:dyDescent="0.25">
      <c r="B132" s="199">
        <v>44947</v>
      </c>
      <c r="C132" s="3">
        <v>1</v>
      </c>
      <c r="D132" s="3" t="s">
        <v>182</v>
      </c>
      <c r="E132" s="3" t="s">
        <v>173</v>
      </c>
      <c r="F132" s="3" t="s">
        <v>47</v>
      </c>
      <c r="G132" s="3">
        <v>104</v>
      </c>
      <c r="H132" s="3">
        <v>2000</v>
      </c>
      <c r="I132" s="3" t="s">
        <v>64</v>
      </c>
      <c r="J132" s="3" t="s">
        <v>790</v>
      </c>
      <c r="K132" s="3" t="s">
        <v>736</v>
      </c>
      <c r="L132" s="3" t="s">
        <v>445</v>
      </c>
      <c r="M132" s="238">
        <v>0.29166666666666669</v>
      </c>
      <c r="N132" s="238">
        <v>0.46875</v>
      </c>
      <c r="O132" s="196">
        <v>1816</v>
      </c>
      <c r="P132" s="233" t="s">
        <v>492</v>
      </c>
      <c r="Q132" s="3">
        <v>2.5499999999999998</v>
      </c>
      <c r="R132" s="205">
        <v>2.89</v>
      </c>
      <c r="S132" s="168">
        <f t="shared" si="15"/>
        <v>712.15686274509812</v>
      </c>
      <c r="T132" s="202">
        <f t="shared" si="16"/>
        <v>628.37370242214536</v>
      </c>
    </row>
    <row r="133" spans="2:20" x14ac:dyDescent="0.25">
      <c r="B133" s="199">
        <v>44947</v>
      </c>
      <c r="C133" s="233">
        <v>1</v>
      </c>
      <c r="D133" s="233" t="s">
        <v>182</v>
      </c>
      <c r="E133" s="233" t="s">
        <v>173</v>
      </c>
      <c r="F133" s="3" t="s">
        <v>17</v>
      </c>
      <c r="G133" s="233">
        <v>105</v>
      </c>
      <c r="H133" s="3">
        <v>2750</v>
      </c>
      <c r="I133" s="3" t="s">
        <v>707</v>
      </c>
      <c r="J133" s="3" t="s">
        <v>791</v>
      </c>
      <c r="K133" s="3" t="s">
        <v>733</v>
      </c>
      <c r="L133" s="233" t="s">
        <v>40</v>
      </c>
      <c r="M133" s="238">
        <v>0.46875</v>
      </c>
      <c r="N133" s="238">
        <v>0.625</v>
      </c>
      <c r="O133" s="196">
        <v>1937</v>
      </c>
      <c r="P133" s="233" t="s">
        <v>492</v>
      </c>
      <c r="Q133" s="3">
        <v>2.79</v>
      </c>
      <c r="R133" s="205">
        <v>2.85</v>
      </c>
      <c r="S133" s="168">
        <f t="shared" si="15"/>
        <v>694.26523297491042</v>
      </c>
      <c r="T133" s="202"/>
    </row>
    <row r="134" spans="2:20" x14ac:dyDescent="0.25">
      <c r="B134" s="199">
        <v>44947</v>
      </c>
      <c r="C134" s="3">
        <v>2</v>
      </c>
      <c r="D134" s="3" t="s">
        <v>466</v>
      </c>
      <c r="E134" s="233" t="s">
        <v>199</v>
      </c>
      <c r="F134" s="3" t="s">
        <v>51</v>
      </c>
      <c r="G134" s="3">
        <v>106</v>
      </c>
      <c r="H134" s="233">
        <v>2750</v>
      </c>
      <c r="I134" s="233" t="s">
        <v>707</v>
      </c>
      <c r="J134" s="233" t="s">
        <v>791</v>
      </c>
      <c r="K134" s="233" t="s">
        <v>733</v>
      </c>
      <c r="L134" s="233" t="s">
        <v>40</v>
      </c>
      <c r="M134" s="238">
        <v>0.625</v>
      </c>
      <c r="N134" s="238">
        <v>0.72222222222222221</v>
      </c>
      <c r="O134" s="196">
        <v>1000</v>
      </c>
      <c r="P134" s="233" t="s">
        <v>492</v>
      </c>
      <c r="Q134" s="3">
        <v>1.8</v>
      </c>
      <c r="R134" s="205">
        <v>1.82</v>
      </c>
      <c r="S134" s="168">
        <f t="shared" si="15"/>
        <v>555.55555555555554</v>
      </c>
      <c r="T134" s="202">
        <f t="shared" si="16"/>
        <v>549.45054945054949</v>
      </c>
    </row>
    <row r="135" spans="2:20" x14ac:dyDescent="0.25">
      <c r="B135" s="199">
        <v>44947</v>
      </c>
      <c r="C135" s="3">
        <v>2</v>
      </c>
      <c r="D135" s="233" t="s">
        <v>466</v>
      </c>
      <c r="E135" s="233" t="s">
        <v>199</v>
      </c>
      <c r="F135" s="233" t="s">
        <v>51</v>
      </c>
      <c r="G135" s="3">
        <v>107</v>
      </c>
      <c r="H135" s="3">
        <v>2000</v>
      </c>
      <c r="I135" s="3" t="s">
        <v>792</v>
      </c>
      <c r="J135" s="3" t="s">
        <v>793</v>
      </c>
      <c r="K135" s="233" t="s">
        <v>733</v>
      </c>
      <c r="L135" s="233" t="s">
        <v>40</v>
      </c>
      <c r="M135" s="238">
        <v>0.72222222222222221</v>
      </c>
      <c r="N135" s="238">
        <v>0.89236111111111116</v>
      </c>
      <c r="O135" s="196">
        <v>1985</v>
      </c>
      <c r="P135" s="233" t="s">
        <v>492</v>
      </c>
      <c r="Q135" s="3">
        <v>4.0999999999999996</v>
      </c>
      <c r="R135" s="205">
        <v>4.12</v>
      </c>
      <c r="S135" s="168">
        <f t="shared" si="15"/>
        <v>484.14634146341467</v>
      </c>
      <c r="T135" s="202">
        <f t="shared" si="16"/>
        <v>481.79611650485435</v>
      </c>
    </row>
    <row r="136" spans="2:20" x14ac:dyDescent="0.25">
      <c r="B136" s="199">
        <v>44947</v>
      </c>
      <c r="C136" s="233">
        <v>2</v>
      </c>
      <c r="D136" s="233" t="s">
        <v>466</v>
      </c>
      <c r="E136" s="233" t="s">
        <v>199</v>
      </c>
      <c r="F136" s="3" t="s">
        <v>11</v>
      </c>
      <c r="G136" s="3">
        <v>108</v>
      </c>
      <c r="H136" s="3">
        <v>2000</v>
      </c>
      <c r="I136" s="3" t="s">
        <v>794</v>
      </c>
      <c r="J136" s="3" t="s">
        <v>795</v>
      </c>
      <c r="K136" s="233" t="s">
        <v>733</v>
      </c>
      <c r="L136" s="233" t="s">
        <v>40</v>
      </c>
      <c r="M136" s="238">
        <v>0.89236111111111116</v>
      </c>
      <c r="N136" s="238">
        <v>0.95833333333333337</v>
      </c>
      <c r="O136" s="196">
        <v>275</v>
      </c>
      <c r="P136" s="233" t="s">
        <v>492</v>
      </c>
      <c r="Q136" s="3">
        <v>0.78</v>
      </c>
      <c r="R136" s="205">
        <v>0.81</v>
      </c>
      <c r="S136" s="168">
        <f t="shared" si="15"/>
        <v>352.56410256410254</v>
      </c>
      <c r="T136" s="202">
        <f t="shared" si="16"/>
        <v>339.50617283950618</v>
      </c>
    </row>
    <row r="137" spans="2:20" x14ac:dyDescent="0.25">
      <c r="B137" s="199">
        <v>44947</v>
      </c>
      <c r="C137" s="233">
        <v>3</v>
      </c>
      <c r="D137" s="233" t="s">
        <v>7</v>
      </c>
      <c r="E137" s="233" t="s">
        <v>3</v>
      </c>
      <c r="F137" s="233" t="s">
        <v>762</v>
      </c>
      <c r="G137" s="233">
        <v>109</v>
      </c>
      <c r="H137" s="233">
        <v>1500</v>
      </c>
      <c r="I137" s="233" t="s">
        <v>794</v>
      </c>
      <c r="J137" s="233" t="s">
        <v>795</v>
      </c>
      <c r="K137" s="233" t="s">
        <v>733</v>
      </c>
      <c r="L137" s="233" t="s">
        <v>40</v>
      </c>
      <c r="M137" s="238">
        <v>0.95833333333333337</v>
      </c>
      <c r="N137" s="238">
        <v>0.1111111111111111</v>
      </c>
      <c r="O137" s="196">
        <v>1500</v>
      </c>
      <c r="P137" s="233" t="s">
        <v>492</v>
      </c>
      <c r="Q137" s="3">
        <v>2.74</v>
      </c>
      <c r="R137" s="205">
        <v>2.83</v>
      </c>
      <c r="S137" s="202">
        <f t="shared" si="15"/>
        <v>547.44525547445255</v>
      </c>
      <c r="T137" s="202">
        <f t="shared" si="16"/>
        <v>530.03533568904595</v>
      </c>
    </row>
    <row r="138" spans="2:20" x14ac:dyDescent="0.25">
      <c r="B138" s="199">
        <v>44947</v>
      </c>
      <c r="C138" s="233">
        <v>3</v>
      </c>
      <c r="D138" s="233" t="s">
        <v>7</v>
      </c>
      <c r="E138" s="233" t="s">
        <v>3</v>
      </c>
      <c r="F138" s="233" t="s">
        <v>762</v>
      </c>
      <c r="G138" s="3">
        <v>110</v>
      </c>
      <c r="H138" s="3">
        <v>2500</v>
      </c>
      <c r="I138" s="3" t="s">
        <v>797</v>
      </c>
      <c r="J138" s="3" t="s">
        <v>796</v>
      </c>
      <c r="K138" s="233" t="s">
        <v>733</v>
      </c>
      <c r="L138" s="233" t="s">
        <v>40</v>
      </c>
      <c r="M138" s="238">
        <v>0.1111111111111111</v>
      </c>
      <c r="N138" s="238">
        <v>0.29166666666666669</v>
      </c>
      <c r="O138" s="196">
        <v>1603</v>
      </c>
      <c r="P138" s="233" t="s">
        <v>492</v>
      </c>
      <c r="Q138" s="3">
        <v>3.32</v>
      </c>
      <c r="R138" s="205">
        <v>3.56</v>
      </c>
      <c r="S138" s="202">
        <f t="shared" si="15"/>
        <v>482.83132530120486</v>
      </c>
      <c r="T138" s="202">
        <f t="shared" si="16"/>
        <v>450.28089887640448</v>
      </c>
    </row>
    <row r="139" spans="2:20" x14ac:dyDescent="0.25">
      <c r="B139" s="199">
        <v>44948</v>
      </c>
      <c r="C139" s="233">
        <v>1</v>
      </c>
      <c r="D139" s="3" t="s">
        <v>5</v>
      </c>
      <c r="E139" s="3" t="s">
        <v>173</v>
      </c>
      <c r="F139" s="3" t="s">
        <v>52</v>
      </c>
      <c r="G139" s="233">
        <v>111</v>
      </c>
      <c r="H139" s="233">
        <v>2500</v>
      </c>
      <c r="I139" s="3" t="s">
        <v>686</v>
      </c>
      <c r="J139" s="233" t="s">
        <v>796</v>
      </c>
      <c r="K139" s="233" t="s">
        <v>733</v>
      </c>
      <c r="L139" s="233" t="s">
        <v>40</v>
      </c>
      <c r="M139" s="238">
        <v>0.29166666666666669</v>
      </c>
      <c r="N139" s="238">
        <v>0.4826388888888889</v>
      </c>
      <c r="O139" s="196">
        <v>1166</v>
      </c>
      <c r="P139" s="233" t="s">
        <v>492</v>
      </c>
      <c r="Q139" s="3">
        <v>2.08</v>
      </c>
      <c r="R139" s="205">
        <v>2.17</v>
      </c>
      <c r="S139" s="202">
        <f t="shared" si="15"/>
        <v>560.57692307692309</v>
      </c>
      <c r="T139" s="202">
        <f t="shared" si="16"/>
        <v>537.32718894009213</v>
      </c>
    </row>
    <row r="140" spans="2:20" x14ac:dyDescent="0.25">
      <c r="B140" s="199">
        <v>44948</v>
      </c>
      <c r="C140" s="233">
        <v>1</v>
      </c>
      <c r="D140" s="233" t="s">
        <v>5</v>
      </c>
      <c r="E140" s="233" t="s">
        <v>173</v>
      </c>
      <c r="F140" s="233" t="s">
        <v>31</v>
      </c>
      <c r="G140" s="233">
        <v>112</v>
      </c>
      <c r="H140" s="3">
        <v>3156</v>
      </c>
      <c r="I140" s="233" t="s">
        <v>798</v>
      </c>
      <c r="J140" s="233" t="s">
        <v>799</v>
      </c>
      <c r="K140" s="233" t="s">
        <v>733</v>
      </c>
      <c r="L140" s="233" t="s">
        <v>40</v>
      </c>
      <c r="M140" s="238">
        <v>0.4826388888888889</v>
      </c>
      <c r="N140" s="238">
        <v>0.54166666666666663</v>
      </c>
      <c r="O140" s="196">
        <v>769</v>
      </c>
      <c r="P140" s="233" t="s">
        <v>492</v>
      </c>
      <c r="Q140" s="3">
        <v>1.44</v>
      </c>
      <c r="R140" s="205">
        <v>1.1499999999999999</v>
      </c>
      <c r="S140" s="202">
        <f t="shared" si="15"/>
        <v>534.02777777777783</v>
      </c>
      <c r="T140" s="202">
        <f t="shared" si="16"/>
        <v>668.69565217391312</v>
      </c>
    </row>
    <row r="141" spans="2:20" x14ac:dyDescent="0.25">
      <c r="B141" s="199">
        <v>44948</v>
      </c>
      <c r="C141" s="233">
        <v>1</v>
      </c>
      <c r="D141" s="233" t="s">
        <v>5</v>
      </c>
      <c r="E141" s="233" t="s">
        <v>173</v>
      </c>
      <c r="F141" s="233" t="s">
        <v>31</v>
      </c>
      <c r="G141" s="233">
        <v>113</v>
      </c>
      <c r="H141" s="233">
        <v>3156</v>
      </c>
      <c r="I141" s="233" t="s">
        <v>798</v>
      </c>
      <c r="J141" s="233" t="s">
        <v>799</v>
      </c>
      <c r="K141" s="233" t="s">
        <v>733</v>
      </c>
      <c r="L141" s="233" t="s">
        <v>42</v>
      </c>
      <c r="M141" s="238">
        <v>0.54166666666666663</v>
      </c>
      <c r="N141" s="238">
        <v>0.625</v>
      </c>
      <c r="O141" s="196">
        <v>1014</v>
      </c>
      <c r="P141" s="233" t="s">
        <v>492</v>
      </c>
      <c r="Q141" s="3">
        <v>1.1399999999999999</v>
      </c>
      <c r="R141" s="205">
        <v>1.28</v>
      </c>
      <c r="S141" s="202">
        <f t="shared" si="15"/>
        <v>889.47368421052636</v>
      </c>
      <c r="T141" s="168">
        <f t="shared" si="16"/>
        <v>792.1875</v>
      </c>
    </row>
    <row r="142" spans="2:20" x14ac:dyDescent="0.25">
      <c r="B142" s="199">
        <v>44948</v>
      </c>
      <c r="C142" s="3">
        <v>2</v>
      </c>
      <c r="D142" s="3" t="s">
        <v>182</v>
      </c>
      <c r="E142" s="3" t="s">
        <v>182</v>
      </c>
      <c r="F142" s="3" t="s">
        <v>37</v>
      </c>
      <c r="G142" s="3">
        <v>114</v>
      </c>
      <c r="H142" s="3">
        <v>3156</v>
      </c>
      <c r="I142" s="233" t="s">
        <v>798</v>
      </c>
      <c r="J142" s="233" t="s">
        <v>799</v>
      </c>
      <c r="K142" s="233" t="s">
        <v>733</v>
      </c>
      <c r="L142" s="233" t="s">
        <v>42</v>
      </c>
      <c r="M142" s="238">
        <v>0.625</v>
      </c>
      <c r="N142" s="238">
        <v>0.69791666666666663</v>
      </c>
      <c r="O142" s="196">
        <v>1161</v>
      </c>
      <c r="P142" s="233" t="s">
        <v>492</v>
      </c>
      <c r="Q142" s="3">
        <v>1.5</v>
      </c>
      <c r="R142" s="205">
        <v>1.59</v>
      </c>
      <c r="S142" s="202">
        <f t="shared" si="15"/>
        <v>774</v>
      </c>
      <c r="T142" s="168">
        <f t="shared" si="16"/>
        <v>730.18867924528297</v>
      </c>
    </row>
    <row r="143" spans="2:20" x14ac:dyDescent="0.25">
      <c r="B143" s="199">
        <v>44948</v>
      </c>
      <c r="C143" s="3">
        <v>2</v>
      </c>
      <c r="D143" s="3" t="s">
        <v>182</v>
      </c>
      <c r="E143" s="3" t="s">
        <v>182</v>
      </c>
      <c r="F143" s="3" t="s">
        <v>805</v>
      </c>
      <c r="G143" s="3">
        <v>115</v>
      </c>
      <c r="H143" s="3">
        <v>3000</v>
      </c>
      <c r="I143" s="3" t="s">
        <v>707</v>
      </c>
      <c r="J143" s="3" t="s">
        <v>803</v>
      </c>
      <c r="K143" s="3" t="s">
        <v>733</v>
      </c>
      <c r="L143" s="233" t="s">
        <v>42</v>
      </c>
      <c r="M143" s="238">
        <v>0.69791666666666663</v>
      </c>
      <c r="N143" s="238">
        <v>0.95833333333333337</v>
      </c>
      <c r="O143" s="196">
        <v>3403</v>
      </c>
      <c r="P143" s="233" t="s">
        <v>492</v>
      </c>
      <c r="Q143" s="3">
        <v>4.55</v>
      </c>
      <c r="R143" s="205">
        <v>6.78</v>
      </c>
      <c r="S143" s="202">
        <f t="shared" ref="S143:S154" si="17">O143/Q143</f>
        <v>747.91208791208794</v>
      </c>
      <c r="T143" s="202">
        <f t="shared" ref="T143:T154" si="18">IFERROR(O143/R143,"")</f>
        <v>501.91740412979351</v>
      </c>
    </row>
    <row r="144" spans="2:20" x14ac:dyDescent="0.25">
      <c r="B144" s="199">
        <v>44948</v>
      </c>
      <c r="C144" s="3">
        <v>3</v>
      </c>
      <c r="D144" s="233" t="s">
        <v>7</v>
      </c>
      <c r="E144" s="233" t="s">
        <v>3</v>
      </c>
      <c r="F144" s="233" t="s">
        <v>807</v>
      </c>
      <c r="G144" s="3">
        <v>116</v>
      </c>
      <c r="H144" s="3">
        <v>1800</v>
      </c>
      <c r="I144" s="3" t="s">
        <v>741</v>
      </c>
      <c r="J144" s="3" t="s">
        <v>806</v>
      </c>
      <c r="K144" s="233" t="s">
        <v>733</v>
      </c>
      <c r="L144" s="233" t="s">
        <v>42</v>
      </c>
      <c r="M144" s="238">
        <v>0.95833333333333337</v>
      </c>
      <c r="N144" s="238">
        <v>0.1111111111111111</v>
      </c>
      <c r="O144" s="196">
        <v>1940</v>
      </c>
      <c r="P144" s="233" t="s">
        <v>492</v>
      </c>
      <c r="Q144" s="3">
        <v>3.05</v>
      </c>
      <c r="R144" s="205">
        <v>3.37</v>
      </c>
      <c r="S144" s="202">
        <f t="shared" si="17"/>
        <v>636.06557377049182</v>
      </c>
      <c r="T144" s="202">
        <f t="shared" si="18"/>
        <v>575.66765578635011</v>
      </c>
    </row>
    <row r="145" spans="2:20" x14ac:dyDescent="0.25">
      <c r="B145" s="199">
        <v>44948</v>
      </c>
      <c r="C145" s="233">
        <v>3</v>
      </c>
      <c r="D145" s="233" t="s">
        <v>7</v>
      </c>
      <c r="E145" s="233" t="s">
        <v>3</v>
      </c>
      <c r="F145" s="233" t="s">
        <v>807</v>
      </c>
      <c r="G145" s="3">
        <v>117</v>
      </c>
      <c r="H145" s="3">
        <v>4000</v>
      </c>
      <c r="I145" s="3" t="s">
        <v>769</v>
      </c>
      <c r="J145" s="3" t="s">
        <v>730</v>
      </c>
      <c r="K145" s="233" t="s">
        <v>733</v>
      </c>
      <c r="L145" s="233" t="s">
        <v>42</v>
      </c>
      <c r="M145" s="238">
        <v>0.1111111111111111</v>
      </c>
      <c r="N145" s="238">
        <v>0.29166666666666669</v>
      </c>
      <c r="O145" s="196">
        <f>4119-O144</f>
        <v>2179</v>
      </c>
      <c r="P145" s="3" t="s">
        <v>492</v>
      </c>
      <c r="Q145" s="3">
        <f>6.51-Q144</f>
        <v>3.46</v>
      </c>
      <c r="R145" s="205">
        <f>7.16-R144</f>
        <v>3.79</v>
      </c>
      <c r="S145" s="202">
        <f t="shared" si="17"/>
        <v>629.76878612716769</v>
      </c>
      <c r="T145" s="202">
        <f t="shared" si="18"/>
        <v>574.93403693931396</v>
      </c>
    </row>
    <row r="146" spans="2:20" x14ac:dyDescent="0.25">
      <c r="B146" s="199">
        <v>44949</v>
      </c>
      <c r="C146" s="3">
        <v>1</v>
      </c>
      <c r="D146" s="233" t="s">
        <v>786</v>
      </c>
      <c r="E146" s="3" t="s">
        <v>188</v>
      </c>
      <c r="F146" s="3" t="s">
        <v>11</v>
      </c>
      <c r="G146" s="3">
        <v>118</v>
      </c>
      <c r="H146" s="3">
        <v>5000</v>
      </c>
      <c r="I146" s="3" t="s">
        <v>765</v>
      </c>
      <c r="J146" s="3" t="s">
        <v>808</v>
      </c>
      <c r="K146" s="233" t="s">
        <v>733</v>
      </c>
      <c r="L146" s="233" t="s">
        <v>42</v>
      </c>
      <c r="M146" s="238">
        <v>0.29166666666666669</v>
      </c>
      <c r="N146" s="238">
        <v>0.375</v>
      </c>
      <c r="O146" s="196">
        <v>1015</v>
      </c>
      <c r="P146" s="3" t="s">
        <v>492</v>
      </c>
      <c r="Q146" s="3">
        <v>1.7</v>
      </c>
      <c r="R146" s="205">
        <v>1.6</v>
      </c>
      <c r="S146" s="202">
        <f t="shared" si="17"/>
        <v>597.05882352941182</v>
      </c>
      <c r="T146" s="202">
        <f t="shared" si="18"/>
        <v>634.375</v>
      </c>
    </row>
    <row r="147" spans="2:20" x14ac:dyDescent="0.25">
      <c r="B147" s="199">
        <v>44949</v>
      </c>
      <c r="C147" s="233">
        <v>1</v>
      </c>
      <c r="D147" s="233" t="s">
        <v>786</v>
      </c>
      <c r="E147" s="233" t="s">
        <v>188</v>
      </c>
      <c r="F147" s="233" t="s">
        <v>11</v>
      </c>
      <c r="G147" s="233">
        <v>119</v>
      </c>
      <c r="H147" s="233">
        <v>5000</v>
      </c>
      <c r="I147" s="233" t="s">
        <v>765</v>
      </c>
      <c r="J147" s="233" t="s">
        <v>808</v>
      </c>
      <c r="K147" s="233" t="s">
        <v>733</v>
      </c>
      <c r="L147" s="3" t="s">
        <v>696</v>
      </c>
      <c r="M147" s="238">
        <v>0.375</v>
      </c>
      <c r="N147" s="238">
        <v>0.4236111111111111</v>
      </c>
      <c r="O147" s="196">
        <f>1500-O146</f>
        <v>485</v>
      </c>
      <c r="P147" s="3" t="s">
        <v>492</v>
      </c>
      <c r="Q147" s="3">
        <f>2.35-Q146</f>
        <v>0.65000000000000013</v>
      </c>
      <c r="R147" s="205">
        <f>2.57-R146</f>
        <v>0.96999999999999975</v>
      </c>
      <c r="S147" s="202">
        <f t="shared" si="17"/>
        <v>746.15384615384596</v>
      </c>
      <c r="T147" s="202">
        <f t="shared" si="18"/>
        <v>500.00000000000011</v>
      </c>
    </row>
    <row r="148" spans="2:20" x14ac:dyDescent="0.25">
      <c r="B148" s="199">
        <v>44949</v>
      </c>
      <c r="C148" s="233">
        <v>1</v>
      </c>
      <c r="D148" s="233" t="s">
        <v>786</v>
      </c>
      <c r="E148" s="233" t="s">
        <v>188</v>
      </c>
      <c r="F148" s="233" t="s">
        <v>11</v>
      </c>
      <c r="G148" s="233">
        <v>120</v>
      </c>
      <c r="H148" s="233">
        <v>5000</v>
      </c>
      <c r="I148" s="233" t="s">
        <v>765</v>
      </c>
      <c r="J148" s="233" t="s">
        <v>808</v>
      </c>
      <c r="K148" s="233" t="s">
        <v>733</v>
      </c>
      <c r="L148" s="233" t="s">
        <v>42</v>
      </c>
      <c r="M148" s="238">
        <v>0.4236111111111111</v>
      </c>
      <c r="N148" s="238">
        <v>0.625</v>
      </c>
      <c r="O148" s="196">
        <v>2846</v>
      </c>
      <c r="P148" s="233" t="s">
        <v>492</v>
      </c>
      <c r="Q148" s="3">
        <v>3.91</v>
      </c>
      <c r="R148" s="205">
        <v>3.93</v>
      </c>
      <c r="S148" s="202">
        <f t="shared" si="17"/>
        <v>727.87723785166236</v>
      </c>
      <c r="T148" s="202">
        <f t="shared" si="18"/>
        <v>724.17302798982189</v>
      </c>
    </row>
    <row r="149" spans="2:20" x14ac:dyDescent="0.25">
      <c r="B149" s="199">
        <v>44949</v>
      </c>
      <c r="C149" s="233">
        <v>2</v>
      </c>
      <c r="D149" s="3" t="s">
        <v>466</v>
      </c>
      <c r="E149" s="3" t="s">
        <v>3</v>
      </c>
      <c r="F149" s="233" t="s">
        <v>811</v>
      </c>
      <c r="G149" s="3">
        <v>121</v>
      </c>
      <c r="H149" s="233">
        <v>5000</v>
      </c>
      <c r="I149" s="233" t="s">
        <v>765</v>
      </c>
      <c r="J149" s="233" t="s">
        <v>808</v>
      </c>
      <c r="K149" s="233" t="s">
        <v>733</v>
      </c>
      <c r="L149" s="233" t="s">
        <v>42</v>
      </c>
      <c r="M149" s="238">
        <v>0.625</v>
      </c>
      <c r="N149" s="238">
        <v>0.69444444444444453</v>
      </c>
      <c r="O149" s="196">
        <v>810</v>
      </c>
      <c r="P149" s="233" t="s">
        <v>492</v>
      </c>
      <c r="Q149" s="3">
        <v>1.19</v>
      </c>
      <c r="R149" s="205">
        <v>1.27</v>
      </c>
      <c r="S149" s="202">
        <f t="shared" si="17"/>
        <v>680.67226890756308</v>
      </c>
      <c r="T149" s="202">
        <f t="shared" si="18"/>
        <v>637.79527559055123</v>
      </c>
    </row>
    <row r="150" spans="2:20" x14ac:dyDescent="0.25">
      <c r="B150" s="199">
        <v>44949</v>
      </c>
      <c r="C150" s="233">
        <v>2</v>
      </c>
      <c r="D150" s="233" t="s">
        <v>466</v>
      </c>
      <c r="E150" s="233" t="s">
        <v>3</v>
      </c>
      <c r="F150" s="233" t="s">
        <v>811</v>
      </c>
      <c r="G150" s="3">
        <v>122</v>
      </c>
      <c r="H150" s="3">
        <v>2500</v>
      </c>
      <c r="I150" s="3" t="s">
        <v>707</v>
      </c>
      <c r="J150" s="3" t="s">
        <v>812</v>
      </c>
      <c r="K150" s="233" t="s">
        <v>733</v>
      </c>
      <c r="L150" s="233" t="s">
        <v>42</v>
      </c>
      <c r="M150" s="238">
        <v>0.69444444444444453</v>
      </c>
      <c r="N150" s="238">
        <v>0.88888888888888884</v>
      </c>
      <c r="O150" s="196">
        <v>2690</v>
      </c>
      <c r="P150" s="233" t="s">
        <v>492</v>
      </c>
      <c r="Q150" s="3">
        <v>4.5599999999999996</v>
      </c>
      <c r="R150" s="205">
        <v>4.66</v>
      </c>
      <c r="S150" s="202">
        <f t="shared" si="17"/>
        <v>589.91228070175441</v>
      </c>
      <c r="T150" s="202">
        <f t="shared" si="18"/>
        <v>577.2532188841202</v>
      </c>
    </row>
    <row r="151" spans="2:20" x14ac:dyDescent="0.25">
      <c r="B151" s="199">
        <v>44949</v>
      </c>
      <c r="C151" s="233">
        <v>2</v>
      </c>
      <c r="D151" s="233" t="s">
        <v>466</v>
      </c>
      <c r="E151" s="233" t="s">
        <v>3</v>
      </c>
      <c r="F151" s="233" t="s">
        <v>811</v>
      </c>
      <c r="G151" s="3">
        <v>123</v>
      </c>
      <c r="H151" s="3">
        <v>4700</v>
      </c>
      <c r="I151" s="233" t="s">
        <v>769</v>
      </c>
      <c r="J151" s="3" t="s">
        <v>813</v>
      </c>
      <c r="K151" s="233" t="s">
        <v>733</v>
      </c>
      <c r="L151" s="233" t="s">
        <v>42</v>
      </c>
      <c r="M151" s="238">
        <v>0.88888888888888884</v>
      </c>
      <c r="N151" s="238">
        <v>0.95833333333333337</v>
      </c>
      <c r="O151" s="196">
        <f>3829-2690-810</f>
        <v>329</v>
      </c>
      <c r="P151" s="3" t="s">
        <v>492</v>
      </c>
      <c r="Q151" s="3">
        <f>6.46-4.56-1.19</f>
        <v>0.71000000000000041</v>
      </c>
      <c r="R151" s="205">
        <f>7.05-4.66-1.27</f>
        <v>1.1199999999999997</v>
      </c>
      <c r="S151" s="202">
        <f t="shared" si="17"/>
        <v>463.38028169014058</v>
      </c>
      <c r="T151" s="202">
        <f t="shared" si="18"/>
        <v>293.75000000000011</v>
      </c>
    </row>
    <row r="152" spans="2:20" x14ac:dyDescent="0.25">
      <c r="B152" s="199">
        <v>44949</v>
      </c>
      <c r="C152" s="3">
        <v>3</v>
      </c>
      <c r="D152" s="3" t="s">
        <v>7</v>
      </c>
      <c r="E152" s="3" t="s">
        <v>190</v>
      </c>
      <c r="F152" s="3" t="s">
        <v>817</v>
      </c>
      <c r="G152" s="3">
        <v>124</v>
      </c>
      <c r="H152" s="3">
        <v>4700</v>
      </c>
      <c r="I152" s="233" t="s">
        <v>769</v>
      </c>
      <c r="J152" s="233" t="s">
        <v>813</v>
      </c>
      <c r="K152" s="233" t="s">
        <v>733</v>
      </c>
      <c r="L152" s="233" t="s">
        <v>42</v>
      </c>
      <c r="M152" s="238">
        <v>0.95833333333333337</v>
      </c>
      <c r="N152" s="238">
        <v>0.29166666666666669</v>
      </c>
      <c r="O152" s="196">
        <v>4432</v>
      </c>
      <c r="P152" s="3" t="s">
        <v>492</v>
      </c>
      <c r="Q152" s="3">
        <v>6.67</v>
      </c>
      <c r="R152" s="205">
        <v>7.62</v>
      </c>
      <c r="S152" s="202">
        <f t="shared" si="17"/>
        <v>664.46776611694156</v>
      </c>
      <c r="T152" s="202">
        <f t="shared" si="18"/>
        <v>581.62729658792648</v>
      </c>
    </row>
    <row r="153" spans="2:20" x14ac:dyDescent="0.25">
      <c r="B153" s="199">
        <v>44950</v>
      </c>
      <c r="C153" s="233">
        <v>1</v>
      </c>
      <c r="D153" s="233" t="s">
        <v>1</v>
      </c>
      <c r="E153" s="233" t="s">
        <v>188</v>
      </c>
      <c r="F153" s="233" t="s">
        <v>11</v>
      </c>
      <c r="G153" s="233">
        <v>125</v>
      </c>
      <c r="H153" s="233">
        <v>4700</v>
      </c>
      <c r="I153" s="233" t="s">
        <v>769</v>
      </c>
      <c r="J153" s="233" t="s">
        <v>813</v>
      </c>
      <c r="K153" s="233" t="s">
        <v>733</v>
      </c>
      <c r="L153" s="233" t="s">
        <v>42</v>
      </c>
      <c r="M153" s="238">
        <v>0.29166666666666669</v>
      </c>
      <c r="N153" s="238">
        <v>0.53472222222222221</v>
      </c>
      <c r="O153" s="196">
        <v>3052</v>
      </c>
      <c r="P153" s="3" t="s">
        <v>492</v>
      </c>
      <c r="Q153" s="3">
        <v>4.9000000000000004</v>
      </c>
      <c r="R153" s="205">
        <v>4.7300000000000004</v>
      </c>
      <c r="S153" s="168">
        <f t="shared" si="17"/>
        <v>622.85714285714278</v>
      </c>
      <c r="T153" s="168">
        <f t="shared" si="18"/>
        <v>645.24312896405911</v>
      </c>
    </row>
    <row r="154" spans="2:20" x14ac:dyDescent="0.25">
      <c r="B154" s="199">
        <v>44950</v>
      </c>
      <c r="C154" s="233">
        <v>1</v>
      </c>
      <c r="D154" s="233" t="s">
        <v>1</v>
      </c>
      <c r="E154" s="233" t="s">
        <v>188</v>
      </c>
      <c r="F154" s="3" t="s">
        <v>11</v>
      </c>
      <c r="G154" s="3">
        <v>126</v>
      </c>
      <c r="H154" s="3">
        <v>7700</v>
      </c>
      <c r="I154" s="3" t="s">
        <v>769</v>
      </c>
      <c r="J154" s="3" t="s">
        <v>818</v>
      </c>
      <c r="K154" s="3" t="s">
        <v>733</v>
      </c>
      <c r="L154" s="3" t="s">
        <v>767</v>
      </c>
      <c r="M154" s="238">
        <v>0.53472222222222221</v>
      </c>
      <c r="N154" s="238">
        <v>0.625</v>
      </c>
      <c r="O154" s="196">
        <v>1047</v>
      </c>
      <c r="P154" s="233" t="s">
        <v>492</v>
      </c>
      <c r="Q154" s="3">
        <v>1.61</v>
      </c>
      <c r="R154" s="205">
        <v>1.8</v>
      </c>
      <c r="S154" s="168">
        <f t="shared" si="17"/>
        <v>650.31055900621118</v>
      </c>
      <c r="T154" s="168">
        <f t="shared" si="18"/>
        <v>581.66666666666663</v>
      </c>
    </row>
    <row r="155" spans="2:20" x14ac:dyDescent="0.25">
      <c r="B155" s="199">
        <v>44950</v>
      </c>
      <c r="C155" s="233">
        <v>2</v>
      </c>
      <c r="D155" s="233" t="s">
        <v>466</v>
      </c>
      <c r="E155" s="233" t="s">
        <v>3</v>
      </c>
      <c r="F155" s="233" t="s">
        <v>811</v>
      </c>
      <c r="G155" s="233">
        <v>127</v>
      </c>
      <c r="H155" s="233">
        <v>600</v>
      </c>
      <c r="I155" s="233" t="s">
        <v>769</v>
      </c>
      <c r="J155" s="233" t="s">
        <v>818</v>
      </c>
      <c r="K155" s="233" t="s">
        <v>733</v>
      </c>
      <c r="L155" s="233" t="s">
        <v>696</v>
      </c>
      <c r="M155" s="238">
        <v>0.625</v>
      </c>
      <c r="N155" s="238">
        <v>0.77777777777777779</v>
      </c>
      <c r="O155" s="196">
        <v>500</v>
      </c>
      <c r="P155" s="233" t="s">
        <v>492</v>
      </c>
      <c r="Q155" s="3">
        <v>1.17</v>
      </c>
      <c r="R155" s="205">
        <v>1.21</v>
      </c>
      <c r="S155" s="202">
        <f t="shared" ref="S155:S163" si="19">O155/Q155</f>
        <v>427.35042735042737</v>
      </c>
      <c r="T155" s="202">
        <f t="shared" ref="T155:T163" si="20">IFERROR(O155/R155,"")</f>
        <v>413.22314049586777</v>
      </c>
    </row>
    <row r="156" spans="2:20" x14ac:dyDescent="0.25">
      <c r="B156" s="199">
        <v>44950</v>
      </c>
      <c r="C156" s="233">
        <v>2</v>
      </c>
      <c r="D156" s="233" t="s">
        <v>466</v>
      </c>
      <c r="E156" s="233" t="s">
        <v>3</v>
      </c>
      <c r="F156" s="233" t="s">
        <v>811</v>
      </c>
      <c r="G156" s="233">
        <v>128</v>
      </c>
      <c r="H156" s="233">
        <v>2500</v>
      </c>
      <c r="I156" s="233" t="s">
        <v>739</v>
      </c>
      <c r="J156" s="233" t="s">
        <v>819</v>
      </c>
      <c r="K156" s="233" t="s">
        <v>739</v>
      </c>
      <c r="L156" s="233" t="s">
        <v>168</v>
      </c>
      <c r="M156" s="238">
        <v>0.77777777777777779</v>
      </c>
      <c r="N156" s="238">
        <v>0.95833333333333337</v>
      </c>
      <c r="O156" s="196">
        <f>2744-500</f>
        <v>2244</v>
      </c>
      <c r="P156" s="3" t="s">
        <v>492</v>
      </c>
      <c r="Q156" s="3">
        <f>4.35-1.17</f>
        <v>3.1799999999999997</v>
      </c>
      <c r="R156" s="205">
        <f>4.98-1.21</f>
        <v>3.7700000000000005</v>
      </c>
      <c r="S156" s="202">
        <f t="shared" si="19"/>
        <v>705.66037735849068</v>
      </c>
      <c r="T156" s="202">
        <f t="shared" si="20"/>
        <v>595.22546419098137</v>
      </c>
    </row>
    <row r="157" spans="2:20" x14ac:dyDescent="0.25">
      <c r="B157" s="199">
        <v>44950</v>
      </c>
      <c r="C157" s="233">
        <v>3</v>
      </c>
      <c r="D157" s="233" t="s">
        <v>7</v>
      </c>
      <c r="E157" s="233" t="s">
        <v>190</v>
      </c>
      <c r="F157" s="233" t="s">
        <v>817</v>
      </c>
      <c r="G157" s="233">
        <v>129</v>
      </c>
      <c r="H157" s="233">
        <v>5008</v>
      </c>
      <c r="I157" s="233" t="s">
        <v>741</v>
      </c>
      <c r="J157" s="233" t="s">
        <v>821</v>
      </c>
      <c r="K157" s="233" t="s">
        <v>733</v>
      </c>
      <c r="L157" s="233" t="s">
        <v>21</v>
      </c>
      <c r="M157" s="238">
        <v>0.95833333333333337</v>
      </c>
      <c r="N157" s="238">
        <v>0.29166666666666669</v>
      </c>
      <c r="O157" s="196">
        <v>4801</v>
      </c>
      <c r="P157" s="3" t="s">
        <v>492</v>
      </c>
      <c r="Q157" s="3">
        <v>6.07</v>
      </c>
      <c r="R157" s="205">
        <v>6.2</v>
      </c>
      <c r="S157" s="202">
        <f t="shared" si="19"/>
        <v>790.93904448105434</v>
      </c>
      <c r="T157" s="202">
        <f t="shared" si="20"/>
        <v>774.35483870967744</v>
      </c>
    </row>
    <row r="158" spans="2:20" x14ac:dyDescent="0.25">
      <c r="B158" s="199">
        <v>44951</v>
      </c>
      <c r="C158" s="3">
        <v>1</v>
      </c>
      <c r="D158" s="3" t="s">
        <v>1</v>
      </c>
      <c r="E158" s="3" t="s">
        <v>188</v>
      </c>
      <c r="F158" s="3" t="s">
        <v>11</v>
      </c>
      <c r="G158" s="3">
        <v>130</v>
      </c>
      <c r="H158" s="233">
        <v>5008</v>
      </c>
      <c r="I158" s="233" t="s">
        <v>741</v>
      </c>
      <c r="J158" s="233" t="s">
        <v>821</v>
      </c>
      <c r="K158" s="233" t="s">
        <v>733</v>
      </c>
      <c r="L158" s="233" t="s">
        <v>21</v>
      </c>
      <c r="M158" s="238">
        <v>0.29166666666666669</v>
      </c>
      <c r="N158" s="238">
        <v>0.33333333333333331</v>
      </c>
      <c r="O158" s="196">
        <v>610</v>
      </c>
      <c r="P158" s="3" t="s">
        <v>492</v>
      </c>
      <c r="Q158" s="3">
        <v>0.88</v>
      </c>
      <c r="R158" s="205">
        <v>0.87</v>
      </c>
      <c r="S158" s="168">
        <f t="shared" si="19"/>
        <v>693.18181818181813</v>
      </c>
      <c r="T158" s="168">
        <f t="shared" si="20"/>
        <v>701.14942528735628</v>
      </c>
    </row>
    <row r="159" spans="2:20" x14ac:dyDescent="0.25">
      <c r="B159" s="199">
        <v>44951</v>
      </c>
      <c r="C159" s="233">
        <v>1</v>
      </c>
      <c r="D159" s="233" t="s">
        <v>1</v>
      </c>
      <c r="E159" s="233" t="s">
        <v>188</v>
      </c>
      <c r="F159" s="233" t="s">
        <v>11</v>
      </c>
      <c r="G159" s="233">
        <v>131</v>
      </c>
      <c r="H159" s="233">
        <v>3297</v>
      </c>
      <c r="I159" s="233" t="s">
        <v>741</v>
      </c>
      <c r="J159" s="233" t="s">
        <v>823</v>
      </c>
      <c r="K159" s="233" t="s">
        <v>733</v>
      </c>
      <c r="L159" s="233" t="s">
        <v>21</v>
      </c>
      <c r="M159" s="238">
        <v>0.33333333333333331</v>
      </c>
      <c r="N159" s="238">
        <v>0.625</v>
      </c>
      <c r="O159" s="196">
        <v>2454</v>
      </c>
      <c r="P159" s="233" t="s">
        <v>492</v>
      </c>
      <c r="Q159" s="3">
        <v>3.99</v>
      </c>
      <c r="R159" s="205">
        <v>3.89</v>
      </c>
      <c r="S159" s="168">
        <f t="shared" si="19"/>
        <v>615.03759398496243</v>
      </c>
      <c r="T159" s="168">
        <f t="shared" si="20"/>
        <v>630.8483290488432</v>
      </c>
    </row>
    <row r="160" spans="2:20" x14ac:dyDescent="0.25">
      <c r="B160" s="199">
        <v>44951</v>
      </c>
      <c r="C160" s="3">
        <v>2</v>
      </c>
      <c r="D160" s="3" t="s">
        <v>466</v>
      </c>
      <c r="E160" s="3" t="s">
        <v>205</v>
      </c>
      <c r="F160" s="3" t="s">
        <v>827</v>
      </c>
      <c r="G160" s="3">
        <v>132</v>
      </c>
      <c r="H160" s="233">
        <v>3297</v>
      </c>
      <c r="I160" s="233" t="s">
        <v>741</v>
      </c>
      <c r="J160" s="233" t="s">
        <v>823</v>
      </c>
      <c r="K160" s="233" t="s">
        <v>733</v>
      </c>
      <c r="L160" s="233" t="s">
        <v>21</v>
      </c>
      <c r="M160" s="238">
        <v>0.625</v>
      </c>
      <c r="N160" s="238">
        <v>0.66041666666666665</v>
      </c>
      <c r="O160" s="196">
        <v>530</v>
      </c>
      <c r="P160" s="233" t="s">
        <v>492</v>
      </c>
      <c r="Q160" s="3">
        <v>0.85</v>
      </c>
      <c r="R160" s="205">
        <v>0.8</v>
      </c>
      <c r="S160" s="168">
        <f t="shared" si="19"/>
        <v>623.52941176470586</v>
      </c>
      <c r="T160" s="168">
        <f t="shared" si="20"/>
        <v>662.5</v>
      </c>
    </row>
    <row r="161" spans="2:28" x14ac:dyDescent="0.25">
      <c r="B161" s="199">
        <v>44951</v>
      </c>
      <c r="C161" s="233">
        <v>2</v>
      </c>
      <c r="D161" s="233" t="s">
        <v>466</v>
      </c>
      <c r="E161" s="233" t="s">
        <v>205</v>
      </c>
      <c r="F161" s="233" t="s">
        <v>827</v>
      </c>
      <c r="G161" s="3">
        <v>133</v>
      </c>
      <c r="H161" s="3">
        <v>1500</v>
      </c>
      <c r="I161" s="3" t="s">
        <v>741</v>
      </c>
      <c r="J161" s="3" t="s">
        <v>828</v>
      </c>
      <c r="K161" s="233" t="s">
        <v>733</v>
      </c>
      <c r="L161" s="233" t="s">
        <v>21</v>
      </c>
      <c r="M161" s="238">
        <v>0.66041666666666665</v>
      </c>
      <c r="N161" s="238">
        <v>0.77777777777777779</v>
      </c>
      <c r="O161" s="196">
        <f>2049-O160</f>
        <v>1519</v>
      </c>
      <c r="P161" s="233" t="s">
        <v>492</v>
      </c>
      <c r="Q161" s="3">
        <f>3.09-Q160</f>
        <v>2.2399999999999998</v>
      </c>
      <c r="R161" s="205">
        <f>3.1-R160</f>
        <v>2.2999999999999998</v>
      </c>
      <c r="S161" s="202">
        <f t="shared" si="19"/>
        <v>678.12500000000011</v>
      </c>
      <c r="T161" s="202">
        <f t="shared" si="20"/>
        <v>660.43478260869574</v>
      </c>
    </row>
    <row r="162" spans="2:28" x14ac:dyDescent="0.25">
      <c r="B162" s="199">
        <v>44951</v>
      </c>
      <c r="C162" s="233">
        <v>2</v>
      </c>
      <c r="D162" s="233" t="s">
        <v>466</v>
      </c>
      <c r="E162" s="233" t="s">
        <v>205</v>
      </c>
      <c r="F162" s="233" t="s">
        <v>827</v>
      </c>
      <c r="G162" s="3">
        <v>134</v>
      </c>
      <c r="H162" s="3">
        <v>8545</v>
      </c>
      <c r="I162" s="3" t="s">
        <v>707</v>
      </c>
      <c r="J162" s="3" t="s">
        <v>753</v>
      </c>
      <c r="K162" s="3" t="s">
        <v>737</v>
      </c>
      <c r="L162" s="3" t="s">
        <v>21</v>
      </c>
      <c r="M162" s="238">
        <v>0.77777777777777779</v>
      </c>
      <c r="N162" s="238">
        <v>0.95833333333333337</v>
      </c>
      <c r="O162" s="196">
        <v>2053</v>
      </c>
      <c r="P162" s="233" t="s">
        <v>492</v>
      </c>
      <c r="Q162" s="3">
        <v>2.66</v>
      </c>
      <c r="R162" s="205">
        <v>3.3</v>
      </c>
      <c r="S162" s="202">
        <f t="shared" si="19"/>
        <v>771.80451127819549</v>
      </c>
      <c r="T162" s="202">
        <f t="shared" si="20"/>
        <v>622.12121212121212</v>
      </c>
    </row>
    <row r="163" spans="2:28" x14ac:dyDescent="0.25">
      <c r="B163" s="199">
        <v>44951</v>
      </c>
      <c r="C163" s="3">
        <v>3</v>
      </c>
      <c r="D163" s="3" t="s">
        <v>7</v>
      </c>
      <c r="E163" s="233" t="s">
        <v>7</v>
      </c>
      <c r="F163" s="3" t="s">
        <v>47</v>
      </c>
      <c r="G163" s="233">
        <v>134</v>
      </c>
      <c r="H163" s="233">
        <v>8545</v>
      </c>
      <c r="I163" s="233" t="s">
        <v>707</v>
      </c>
      <c r="J163" s="233" t="s">
        <v>753</v>
      </c>
      <c r="K163" s="233" t="s">
        <v>737</v>
      </c>
      <c r="L163" s="233" t="s">
        <v>21</v>
      </c>
      <c r="M163" s="238">
        <v>0.95833333333333337</v>
      </c>
      <c r="N163" s="238">
        <v>3.4722222222222224E-2</v>
      </c>
      <c r="O163" s="196">
        <v>1159</v>
      </c>
      <c r="P163" s="233" t="s">
        <v>492</v>
      </c>
      <c r="Q163" s="3">
        <v>1.29</v>
      </c>
      <c r="R163" s="205">
        <v>1.56</v>
      </c>
      <c r="S163" s="168">
        <f t="shared" si="19"/>
        <v>898.44961240310079</v>
      </c>
      <c r="T163" s="168">
        <f t="shared" si="20"/>
        <v>742.9487179487179</v>
      </c>
    </row>
    <row r="164" spans="2:28" x14ac:dyDescent="0.25">
      <c r="B164" s="199">
        <v>44951</v>
      </c>
      <c r="C164" s="233">
        <v>3</v>
      </c>
      <c r="D164" s="233" t="s">
        <v>7</v>
      </c>
      <c r="E164" s="233" t="s">
        <v>7</v>
      </c>
      <c r="F164" s="3" t="s">
        <v>47</v>
      </c>
      <c r="G164" s="233">
        <v>134</v>
      </c>
      <c r="H164" s="233">
        <v>8545</v>
      </c>
      <c r="I164" s="233" t="s">
        <v>707</v>
      </c>
      <c r="J164" s="233" t="s">
        <v>753</v>
      </c>
      <c r="K164" s="233" t="s">
        <v>737</v>
      </c>
      <c r="L164" s="3" t="s">
        <v>24</v>
      </c>
      <c r="M164" s="238">
        <v>3.4722222222222224E-2</v>
      </c>
      <c r="N164" s="238">
        <v>0.12847222222222224</v>
      </c>
      <c r="O164" s="196">
        <v>1296</v>
      </c>
      <c r="P164" s="233" t="s">
        <v>492</v>
      </c>
      <c r="Q164" s="3">
        <v>2.16</v>
      </c>
      <c r="R164" s="205">
        <v>2.15</v>
      </c>
      <c r="S164" s="202">
        <f>O164/Q164</f>
        <v>600</v>
      </c>
      <c r="T164" s="202">
        <f>IFERROR(O164/R164,"")</f>
        <v>602.79069767441865</v>
      </c>
    </row>
    <row r="165" spans="2:28" x14ac:dyDescent="0.25">
      <c r="B165" s="199">
        <v>44951</v>
      </c>
      <c r="C165" s="233">
        <v>3</v>
      </c>
      <c r="D165" s="233" t="s">
        <v>7</v>
      </c>
      <c r="E165" s="233" t="s">
        <v>7</v>
      </c>
      <c r="F165" s="3" t="s">
        <v>17</v>
      </c>
      <c r="G165" s="233">
        <v>134</v>
      </c>
      <c r="H165" s="233">
        <v>8545</v>
      </c>
      <c r="I165" s="233" t="s">
        <v>707</v>
      </c>
      <c r="J165" s="233" t="s">
        <v>753</v>
      </c>
      <c r="K165" s="233" t="s">
        <v>737</v>
      </c>
      <c r="L165" s="233" t="s">
        <v>21</v>
      </c>
      <c r="M165" s="238">
        <v>0.12847222222222224</v>
      </c>
      <c r="N165" s="238">
        <v>0.18402777777777779</v>
      </c>
      <c r="O165" s="196">
        <v>1050</v>
      </c>
      <c r="P165" s="233" t="s">
        <v>492</v>
      </c>
      <c r="Q165" s="3">
        <v>1.23</v>
      </c>
      <c r="R165" s="205">
        <v>1.26</v>
      </c>
      <c r="S165" s="202">
        <f>O165/Q165</f>
        <v>853.65853658536582</v>
      </c>
      <c r="T165" s="202">
        <f>IFERROR(O165/R165,"")</f>
        <v>833.33333333333337</v>
      </c>
    </row>
    <row r="166" spans="2:28" x14ac:dyDescent="0.25">
      <c r="B166" s="199">
        <v>44951</v>
      </c>
      <c r="C166" s="3">
        <v>3</v>
      </c>
      <c r="D166" s="233" t="s">
        <v>7</v>
      </c>
      <c r="E166" s="233" t="s">
        <v>7</v>
      </c>
      <c r="F166" s="233" t="s">
        <v>17</v>
      </c>
      <c r="G166" s="3">
        <v>135</v>
      </c>
      <c r="H166" s="3">
        <v>2600</v>
      </c>
      <c r="I166" s="233" t="s">
        <v>765</v>
      </c>
      <c r="J166" s="233" t="s">
        <v>831</v>
      </c>
      <c r="K166" s="233" t="s">
        <v>733</v>
      </c>
      <c r="L166" s="233" t="s">
        <v>21</v>
      </c>
      <c r="M166" s="238">
        <v>0.18402777777777779</v>
      </c>
      <c r="N166" s="238">
        <v>0.29166666666666669</v>
      </c>
      <c r="O166" s="196">
        <f>4509-O165-O164-O163</f>
        <v>1004</v>
      </c>
      <c r="P166" s="233" t="s">
        <v>492</v>
      </c>
      <c r="Q166" s="3">
        <f>5.64-Q165-Q164-Q163</f>
        <v>0.96</v>
      </c>
      <c r="R166" s="205">
        <f>6.25-R165-R164-R163</f>
        <v>1.2800000000000002</v>
      </c>
      <c r="S166" s="202">
        <f>O166/Q166</f>
        <v>1045.8333333333335</v>
      </c>
      <c r="T166" s="202">
        <f>IFERROR(O166/R166,"")</f>
        <v>784.37499999999989</v>
      </c>
    </row>
    <row r="167" spans="2:28" ht="16.5" customHeight="1" x14ac:dyDescent="0.25">
      <c r="B167" s="199">
        <v>44952</v>
      </c>
      <c r="C167" s="233">
        <v>1</v>
      </c>
      <c r="D167" s="233" t="s">
        <v>1</v>
      </c>
      <c r="E167" s="233" t="s">
        <v>188</v>
      </c>
      <c r="F167" s="233" t="s">
        <v>11</v>
      </c>
      <c r="G167" s="233">
        <v>136</v>
      </c>
      <c r="H167" s="233">
        <v>2600</v>
      </c>
      <c r="I167" s="233" t="s">
        <v>765</v>
      </c>
      <c r="J167" s="233" t="s">
        <v>831</v>
      </c>
      <c r="K167" s="233" t="s">
        <v>733</v>
      </c>
      <c r="L167" s="233" t="s">
        <v>21</v>
      </c>
      <c r="M167" s="238">
        <v>0.29166666666666669</v>
      </c>
      <c r="N167" s="238">
        <v>0.41666666666666669</v>
      </c>
      <c r="O167" s="196">
        <v>1760</v>
      </c>
      <c r="P167" s="3" t="s">
        <v>492</v>
      </c>
      <c r="Q167" s="3">
        <v>2.4900000000000002</v>
      </c>
      <c r="R167" s="205">
        <v>2.5499999999999998</v>
      </c>
      <c r="S167" s="202">
        <f t="shared" ref="S167:S172" si="21">O167/Q167</f>
        <v>706.82730923694771</v>
      </c>
      <c r="T167" s="202">
        <f t="shared" ref="T167:T172" si="22">IFERROR(O167/R167,"")</f>
        <v>690.1960784313726</v>
      </c>
    </row>
    <row r="168" spans="2:28" ht="12.75" customHeight="1" x14ac:dyDescent="0.25">
      <c r="B168" s="199">
        <v>44952</v>
      </c>
      <c r="C168" s="233">
        <v>1</v>
      </c>
      <c r="D168" s="233" t="s">
        <v>1</v>
      </c>
      <c r="E168" s="233" t="s">
        <v>188</v>
      </c>
      <c r="F168" s="233" t="s">
        <v>11</v>
      </c>
      <c r="G168" s="3">
        <v>137</v>
      </c>
      <c r="H168" s="3">
        <v>2500</v>
      </c>
      <c r="I168" s="3" t="s">
        <v>769</v>
      </c>
      <c r="J168" s="233" t="s">
        <v>833</v>
      </c>
      <c r="K168" s="233" t="s">
        <v>733</v>
      </c>
      <c r="L168" s="233" t="s">
        <v>21</v>
      </c>
      <c r="M168" s="238">
        <v>0.41666666666666669</v>
      </c>
      <c r="N168" s="238">
        <v>0.625</v>
      </c>
      <c r="O168" s="196">
        <v>1183</v>
      </c>
      <c r="P168" s="233" t="s">
        <v>492</v>
      </c>
      <c r="Q168" s="3">
        <v>1.85</v>
      </c>
      <c r="R168" s="205">
        <v>2.08</v>
      </c>
      <c r="S168" s="202">
        <f t="shared" si="21"/>
        <v>639.45945945945948</v>
      </c>
      <c r="T168" s="202">
        <f t="shared" si="22"/>
        <v>568.75</v>
      </c>
    </row>
    <row r="169" spans="2:28" ht="13.5" customHeight="1" x14ac:dyDescent="0.25">
      <c r="B169" s="199">
        <v>44952</v>
      </c>
      <c r="C169" s="233">
        <v>2</v>
      </c>
      <c r="D169" s="3" t="s">
        <v>466</v>
      </c>
      <c r="E169" s="233" t="s">
        <v>466</v>
      </c>
      <c r="F169" s="3" t="s">
        <v>23</v>
      </c>
      <c r="G169" s="3">
        <v>138</v>
      </c>
      <c r="H169" s="233">
        <v>7750</v>
      </c>
      <c r="I169" s="233" t="s">
        <v>769</v>
      </c>
      <c r="J169" s="233" t="s">
        <v>833</v>
      </c>
      <c r="K169" s="233" t="s">
        <v>733</v>
      </c>
      <c r="L169" s="233" t="s">
        <v>21</v>
      </c>
      <c r="M169" s="238">
        <v>0.625</v>
      </c>
      <c r="N169" s="238">
        <v>0.74305555555555547</v>
      </c>
      <c r="O169" s="196">
        <v>724</v>
      </c>
      <c r="P169" s="3" t="s">
        <v>492</v>
      </c>
      <c r="Q169" s="3">
        <v>0.9</v>
      </c>
      <c r="R169" s="205">
        <v>0.9</v>
      </c>
      <c r="S169" s="202">
        <f t="shared" si="21"/>
        <v>804.44444444444446</v>
      </c>
      <c r="T169" s="202">
        <f t="shared" si="22"/>
        <v>804.44444444444446</v>
      </c>
    </row>
    <row r="170" spans="2:28" s="233" customFormat="1" ht="13.5" customHeight="1" x14ac:dyDescent="0.25">
      <c r="B170" s="199">
        <v>44952</v>
      </c>
      <c r="C170" s="233">
        <v>2</v>
      </c>
      <c r="D170" s="233" t="s">
        <v>466</v>
      </c>
      <c r="E170" s="233" t="s">
        <v>466</v>
      </c>
      <c r="F170" s="233" t="s">
        <v>23</v>
      </c>
      <c r="G170" s="233">
        <v>139</v>
      </c>
      <c r="H170" s="233">
        <v>7750</v>
      </c>
      <c r="I170" s="233" t="s">
        <v>769</v>
      </c>
      <c r="J170" s="233" t="s">
        <v>818</v>
      </c>
      <c r="K170" s="233" t="s">
        <v>733</v>
      </c>
      <c r="L170" s="233" t="s">
        <v>21</v>
      </c>
      <c r="M170" s="238">
        <v>0.74305555555555547</v>
      </c>
      <c r="N170" s="238">
        <v>0.95833333333333337</v>
      </c>
      <c r="O170" s="196">
        <v>2800</v>
      </c>
      <c r="P170" s="233" t="s">
        <v>492</v>
      </c>
      <c r="Q170" s="233">
        <f>6.4-Q169</f>
        <v>5.5</v>
      </c>
      <c r="R170" s="205">
        <f>6.25-R169</f>
        <v>5.35</v>
      </c>
      <c r="S170" s="202">
        <f>O170/Q170</f>
        <v>509.09090909090907</v>
      </c>
      <c r="T170" s="202">
        <f>IFERROR(O170/R170,"")</f>
        <v>523.36448598130846</v>
      </c>
      <c r="U170" s="202"/>
      <c r="V170" s="202"/>
      <c r="AB170" s="196"/>
    </row>
    <row r="171" spans="2:28" x14ac:dyDescent="0.25">
      <c r="B171" s="199">
        <v>44952</v>
      </c>
      <c r="C171" s="233">
        <v>3</v>
      </c>
      <c r="D171" s="233" t="s">
        <v>7</v>
      </c>
      <c r="E171" s="233" t="s">
        <v>190</v>
      </c>
      <c r="F171" s="233" t="s">
        <v>817</v>
      </c>
      <c r="G171" s="3">
        <v>140</v>
      </c>
      <c r="H171" s="3">
        <v>7750</v>
      </c>
      <c r="I171" s="233" t="s">
        <v>769</v>
      </c>
      <c r="J171" s="233" t="s">
        <v>818</v>
      </c>
      <c r="K171" s="233" t="s">
        <v>733</v>
      </c>
      <c r="L171" s="233" t="s">
        <v>21</v>
      </c>
      <c r="M171" s="238">
        <v>0.95833333333333337</v>
      </c>
      <c r="N171" s="238">
        <v>0.24652777777777779</v>
      </c>
      <c r="O171" s="196">
        <v>4200</v>
      </c>
      <c r="P171" s="3" t="s">
        <v>492</v>
      </c>
      <c r="Q171" s="3">
        <v>6.45</v>
      </c>
      <c r="R171" s="205">
        <v>6.54</v>
      </c>
      <c r="S171" s="202">
        <f t="shared" si="21"/>
        <v>651.16279069767438</v>
      </c>
      <c r="T171" s="202">
        <f t="shared" si="22"/>
        <v>642.20183486238534</v>
      </c>
    </row>
    <row r="172" spans="2:28" x14ac:dyDescent="0.25">
      <c r="B172" s="199">
        <v>44952</v>
      </c>
      <c r="C172" s="3">
        <v>3</v>
      </c>
      <c r="D172" s="233" t="s">
        <v>7</v>
      </c>
      <c r="E172" s="233" t="s">
        <v>190</v>
      </c>
      <c r="F172" s="233" t="s">
        <v>817</v>
      </c>
      <c r="G172" s="233">
        <v>141</v>
      </c>
      <c r="H172" s="3">
        <v>3458</v>
      </c>
      <c r="I172" s="3" t="s">
        <v>741</v>
      </c>
      <c r="J172" s="233" t="s">
        <v>835</v>
      </c>
      <c r="K172" s="3" t="s">
        <v>733</v>
      </c>
      <c r="L172" s="3" t="s">
        <v>21</v>
      </c>
      <c r="M172" s="238">
        <v>0.24652777777777779</v>
      </c>
      <c r="N172" s="238">
        <v>0.29166666666666669</v>
      </c>
      <c r="O172" s="196">
        <f>4306-O171</f>
        <v>106</v>
      </c>
      <c r="P172" s="3" t="s">
        <v>492</v>
      </c>
      <c r="Q172" s="3">
        <f>6.47-Q171</f>
        <v>1.9999999999999574E-2</v>
      </c>
      <c r="R172" s="205">
        <f>6.82-R171</f>
        <v>0.28000000000000025</v>
      </c>
      <c r="S172" s="202">
        <f t="shared" si="21"/>
        <v>5300.0000000001128</v>
      </c>
      <c r="T172" s="202">
        <f t="shared" si="22"/>
        <v>378.57142857142821</v>
      </c>
    </row>
    <row r="173" spans="2:28" x14ac:dyDescent="0.25">
      <c r="B173" s="199">
        <v>44953</v>
      </c>
      <c r="C173" s="233">
        <v>1</v>
      </c>
      <c r="D173" s="233" t="s">
        <v>4</v>
      </c>
      <c r="E173" s="233" t="s">
        <v>188</v>
      </c>
      <c r="F173" s="233"/>
      <c r="G173" s="233">
        <v>142</v>
      </c>
      <c r="H173" s="233">
        <v>3458</v>
      </c>
      <c r="I173" s="233" t="s">
        <v>741</v>
      </c>
      <c r="J173" s="233" t="s">
        <v>835</v>
      </c>
      <c r="K173" s="233" t="s">
        <v>733</v>
      </c>
      <c r="L173" s="233" t="s">
        <v>21</v>
      </c>
      <c r="M173" s="238">
        <v>0.29166666666666669</v>
      </c>
      <c r="N173" s="238">
        <v>0.58333333333333337</v>
      </c>
      <c r="O173" s="196">
        <v>3356</v>
      </c>
      <c r="P173" s="3" t="s">
        <v>492</v>
      </c>
      <c r="Q173" s="3">
        <v>5.05</v>
      </c>
      <c r="R173" s="205">
        <v>5.54</v>
      </c>
      <c r="S173" s="202">
        <f t="shared" ref="S173:S187" si="23">O173/Q173</f>
        <v>664.55445544554459</v>
      </c>
      <c r="T173" s="202">
        <f t="shared" ref="T173:T188" si="24">IFERROR(O173/R173,"")</f>
        <v>605.77617328519852</v>
      </c>
    </row>
    <row r="174" spans="2:28" x14ac:dyDescent="0.25">
      <c r="B174" s="199">
        <v>44953</v>
      </c>
      <c r="C174" s="3">
        <v>2</v>
      </c>
      <c r="D174" s="3" t="s">
        <v>1</v>
      </c>
      <c r="E174" s="3" t="s">
        <v>466</v>
      </c>
      <c r="F174" s="3" t="s">
        <v>11</v>
      </c>
      <c r="G174" s="3">
        <v>143</v>
      </c>
      <c r="H174" s="3">
        <v>7000</v>
      </c>
      <c r="I174" s="3" t="s">
        <v>836</v>
      </c>
      <c r="J174" s="3" t="s">
        <v>682</v>
      </c>
      <c r="K174" s="233" t="s">
        <v>737</v>
      </c>
      <c r="L174" s="233" t="s">
        <v>168</v>
      </c>
      <c r="M174" s="238">
        <v>0.58333333333333337</v>
      </c>
      <c r="N174" s="238">
        <v>0.78680555555555554</v>
      </c>
      <c r="O174" s="196">
        <v>2590</v>
      </c>
      <c r="P174" s="233" t="s">
        <v>492</v>
      </c>
      <c r="Q174" s="3">
        <v>3.21</v>
      </c>
      <c r="R174" s="205">
        <v>3.88</v>
      </c>
      <c r="S174" s="202">
        <f t="shared" si="23"/>
        <v>806.85358255451717</v>
      </c>
      <c r="T174" s="202">
        <f t="shared" si="24"/>
        <v>667.52577319587635</v>
      </c>
    </row>
    <row r="175" spans="2:28" x14ac:dyDescent="0.25">
      <c r="B175" s="199">
        <v>44953</v>
      </c>
      <c r="C175" s="233">
        <v>2</v>
      </c>
      <c r="D175" s="233" t="s">
        <v>1</v>
      </c>
      <c r="E175" s="233" t="s">
        <v>466</v>
      </c>
      <c r="F175" s="3" t="s">
        <v>838</v>
      </c>
      <c r="G175" s="3">
        <v>144</v>
      </c>
      <c r="H175" s="3">
        <v>5900</v>
      </c>
      <c r="I175" s="3" t="s">
        <v>22</v>
      </c>
      <c r="J175" s="3" t="s">
        <v>837</v>
      </c>
      <c r="K175" s="3" t="s">
        <v>22</v>
      </c>
      <c r="L175" s="3" t="s">
        <v>497</v>
      </c>
      <c r="M175" s="238">
        <v>0.78680555555555554</v>
      </c>
      <c r="N175" s="238">
        <v>0.95833333333333337</v>
      </c>
      <c r="O175" s="196">
        <f>4686-2590</f>
        <v>2096</v>
      </c>
      <c r="P175" s="3" t="s">
        <v>492</v>
      </c>
      <c r="Q175" s="3">
        <f>6.86-3.21</f>
        <v>3.6500000000000004</v>
      </c>
      <c r="R175" s="205">
        <f>7.63-3.88</f>
        <v>3.75</v>
      </c>
      <c r="S175" s="202">
        <f t="shared" si="23"/>
        <v>574.24657534246569</v>
      </c>
      <c r="T175" s="202">
        <f t="shared" si="24"/>
        <v>558.93333333333328</v>
      </c>
    </row>
    <row r="176" spans="2:28" x14ac:dyDescent="0.25">
      <c r="B176" s="199">
        <v>44953</v>
      </c>
      <c r="C176" s="3">
        <v>3</v>
      </c>
      <c r="D176" s="233" t="s">
        <v>7</v>
      </c>
      <c r="E176" s="233" t="s">
        <v>190</v>
      </c>
      <c r="F176" s="233" t="s">
        <v>817</v>
      </c>
      <c r="G176" s="233">
        <v>144</v>
      </c>
      <c r="H176" s="233">
        <v>5900</v>
      </c>
      <c r="I176" s="233" t="s">
        <v>22</v>
      </c>
      <c r="J176" s="233" t="s">
        <v>837</v>
      </c>
      <c r="K176" s="233" t="s">
        <v>22</v>
      </c>
      <c r="L176" s="233" t="s">
        <v>497</v>
      </c>
      <c r="M176" s="238">
        <v>0.95833333333333337</v>
      </c>
      <c r="N176" s="238">
        <v>0.97222222222222221</v>
      </c>
      <c r="O176" s="196">
        <v>100</v>
      </c>
      <c r="S176" s="202" t="e">
        <f t="shared" si="23"/>
        <v>#DIV/0!</v>
      </c>
      <c r="T176" s="202" t="str">
        <f t="shared" si="24"/>
        <v/>
      </c>
    </row>
    <row r="177" spans="1:20" x14ac:dyDescent="0.25">
      <c r="B177" s="199">
        <v>44953</v>
      </c>
      <c r="C177" s="3">
        <v>3</v>
      </c>
      <c r="D177" s="233" t="s">
        <v>7</v>
      </c>
      <c r="E177" s="233" t="s">
        <v>190</v>
      </c>
      <c r="F177" s="233" t="s">
        <v>817</v>
      </c>
      <c r="G177" s="3">
        <v>145</v>
      </c>
      <c r="H177" s="3">
        <v>2500</v>
      </c>
      <c r="I177" s="3" t="s">
        <v>741</v>
      </c>
      <c r="J177" s="3" t="s">
        <v>839</v>
      </c>
      <c r="K177" s="3" t="s">
        <v>733</v>
      </c>
      <c r="L177" s="3" t="s">
        <v>21</v>
      </c>
      <c r="M177" s="238">
        <v>0.97222222222222221</v>
      </c>
      <c r="N177" s="238">
        <v>0.1875</v>
      </c>
      <c r="O177" s="196">
        <v>2900</v>
      </c>
      <c r="P177" s="3" t="s">
        <v>492</v>
      </c>
      <c r="Q177" s="3">
        <v>4.5599999999999996</v>
      </c>
      <c r="R177" s="205">
        <v>5.42</v>
      </c>
      <c r="S177" s="202">
        <f t="shared" si="23"/>
        <v>635.96491228070181</v>
      </c>
      <c r="T177" s="202">
        <f t="shared" si="24"/>
        <v>535.05535055350549</v>
      </c>
    </row>
    <row r="178" spans="1:20" x14ac:dyDescent="0.25">
      <c r="B178" s="199">
        <v>44953</v>
      </c>
      <c r="C178" s="3">
        <v>3</v>
      </c>
      <c r="D178" s="233" t="s">
        <v>7</v>
      </c>
      <c r="E178" s="233" t="s">
        <v>190</v>
      </c>
      <c r="F178" s="233" t="s">
        <v>817</v>
      </c>
      <c r="G178" s="3">
        <v>146</v>
      </c>
      <c r="H178" s="3">
        <v>7000</v>
      </c>
      <c r="I178" s="233" t="s">
        <v>836</v>
      </c>
      <c r="J178" s="3" t="s">
        <v>682</v>
      </c>
      <c r="K178" s="233" t="s">
        <v>733</v>
      </c>
      <c r="L178" s="233" t="s">
        <v>21</v>
      </c>
      <c r="M178" s="238">
        <v>0.1875</v>
      </c>
      <c r="N178" s="238">
        <v>0.29166666666666669</v>
      </c>
      <c r="O178" s="196">
        <f>4153-2900-100</f>
        <v>1153</v>
      </c>
      <c r="P178" s="3" t="s">
        <v>492</v>
      </c>
      <c r="Q178" s="3">
        <f>6.28-4.56</f>
        <v>1.7200000000000006</v>
      </c>
      <c r="R178" s="205">
        <f>7.21-5.42</f>
        <v>1.79</v>
      </c>
      <c r="S178" s="202">
        <f t="shared" si="23"/>
        <v>670.34883720930213</v>
      </c>
      <c r="T178" s="202">
        <f t="shared" si="24"/>
        <v>644.13407821229055</v>
      </c>
    </row>
    <row r="179" spans="1:20" x14ac:dyDescent="0.25">
      <c r="B179" s="199">
        <v>44954</v>
      </c>
      <c r="C179" s="3">
        <v>1</v>
      </c>
      <c r="D179" s="3" t="s">
        <v>4</v>
      </c>
      <c r="E179" s="233" t="s">
        <v>4</v>
      </c>
      <c r="F179" s="3" t="s">
        <v>43</v>
      </c>
      <c r="G179" s="3">
        <v>147</v>
      </c>
      <c r="H179" s="233">
        <v>7000</v>
      </c>
      <c r="I179" s="233" t="s">
        <v>836</v>
      </c>
      <c r="J179" s="233" t="s">
        <v>682</v>
      </c>
      <c r="K179" s="233" t="s">
        <v>735</v>
      </c>
      <c r="L179" s="233" t="s">
        <v>21</v>
      </c>
      <c r="M179" s="238">
        <v>0.29166666666666669</v>
      </c>
      <c r="N179" s="238">
        <v>0.375</v>
      </c>
      <c r="O179" s="196">
        <v>900</v>
      </c>
      <c r="P179" s="3" t="s">
        <v>492</v>
      </c>
      <c r="Q179" s="3">
        <v>1.46</v>
      </c>
      <c r="R179" s="205">
        <v>1.75</v>
      </c>
      <c r="S179" s="202">
        <f t="shared" si="23"/>
        <v>616.43835616438355</v>
      </c>
      <c r="T179" s="202">
        <f t="shared" si="24"/>
        <v>514.28571428571433</v>
      </c>
    </row>
    <row r="180" spans="1:20" x14ac:dyDescent="0.25">
      <c r="B180" s="199">
        <v>44954</v>
      </c>
      <c r="C180" s="233">
        <v>1</v>
      </c>
      <c r="D180" s="233" t="s">
        <v>4</v>
      </c>
      <c r="E180" s="233" t="s">
        <v>4</v>
      </c>
      <c r="F180" s="233" t="s">
        <v>43</v>
      </c>
      <c r="G180" s="3">
        <v>148</v>
      </c>
      <c r="H180" s="233">
        <v>7000</v>
      </c>
      <c r="I180" s="233" t="s">
        <v>836</v>
      </c>
      <c r="J180" s="233" t="s">
        <v>682</v>
      </c>
      <c r="K180" s="233" t="s">
        <v>735</v>
      </c>
      <c r="L180" s="233" t="s">
        <v>843</v>
      </c>
      <c r="M180" s="238">
        <v>0.375</v>
      </c>
      <c r="N180" s="238">
        <v>0.625</v>
      </c>
      <c r="O180" s="196">
        <f>2307-900</f>
        <v>1407</v>
      </c>
      <c r="P180" s="3" t="s">
        <v>492</v>
      </c>
      <c r="Q180" s="3">
        <f>6.28-Q179</f>
        <v>4.82</v>
      </c>
      <c r="R180" s="205">
        <f>7.21-R179</f>
        <v>5.46</v>
      </c>
      <c r="S180" s="202">
        <f t="shared" si="23"/>
        <v>291.90871369294604</v>
      </c>
      <c r="T180" s="202">
        <f t="shared" si="24"/>
        <v>257.69230769230768</v>
      </c>
    </row>
    <row r="181" spans="1:20" x14ac:dyDescent="0.25">
      <c r="B181" s="199">
        <v>44954</v>
      </c>
      <c r="C181" s="233">
        <v>2</v>
      </c>
      <c r="D181" s="233" t="s">
        <v>466</v>
      </c>
      <c r="E181" s="233" t="s">
        <v>3</v>
      </c>
      <c r="F181" s="233" t="s">
        <v>827</v>
      </c>
      <c r="G181" s="233">
        <v>149</v>
      </c>
      <c r="H181" s="233">
        <v>7000</v>
      </c>
      <c r="I181" s="233" t="s">
        <v>836</v>
      </c>
      <c r="J181" s="233" t="s">
        <v>682</v>
      </c>
      <c r="K181" s="233" t="s">
        <v>735</v>
      </c>
      <c r="L181" s="233" t="s">
        <v>843</v>
      </c>
      <c r="M181" s="238">
        <v>0.625</v>
      </c>
      <c r="N181" s="238">
        <v>0.77777777777777779</v>
      </c>
      <c r="O181" s="196">
        <v>1510</v>
      </c>
      <c r="P181" s="233" t="s">
        <v>492</v>
      </c>
      <c r="Q181" s="3">
        <v>2.61</v>
      </c>
      <c r="R181" s="205">
        <v>3.24</v>
      </c>
      <c r="S181" s="202">
        <f t="shared" si="23"/>
        <v>578.54406130268205</v>
      </c>
      <c r="T181" s="202">
        <f t="shared" si="24"/>
        <v>466.04938271604937</v>
      </c>
    </row>
    <row r="182" spans="1:20" x14ac:dyDescent="0.25">
      <c r="B182" s="199">
        <v>44954</v>
      </c>
      <c r="C182" s="233">
        <v>2</v>
      </c>
      <c r="D182" s="233" t="s">
        <v>466</v>
      </c>
      <c r="E182" s="233" t="s">
        <v>3</v>
      </c>
      <c r="F182" s="233" t="s">
        <v>827</v>
      </c>
      <c r="G182" s="233">
        <v>150</v>
      </c>
      <c r="H182" s="233">
        <v>6000</v>
      </c>
      <c r="I182" s="233" t="s">
        <v>840</v>
      </c>
      <c r="J182" s="233" t="s">
        <v>842</v>
      </c>
      <c r="K182" s="3" t="s">
        <v>735</v>
      </c>
      <c r="L182" s="233" t="s">
        <v>843</v>
      </c>
      <c r="M182" s="238">
        <v>0.77777777777777779</v>
      </c>
      <c r="N182" s="238">
        <v>0.95833333333333337</v>
      </c>
      <c r="O182" s="196">
        <f>4004-1510</f>
        <v>2494</v>
      </c>
      <c r="P182" s="3" t="s">
        <v>492</v>
      </c>
      <c r="Q182" s="3">
        <f>6.25-2.61</f>
        <v>3.64</v>
      </c>
      <c r="R182" s="205">
        <f>7.3-3.24</f>
        <v>4.0599999999999996</v>
      </c>
      <c r="S182" s="202">
        <f t="shared" si="23"/>
        <v>685.16483516483515</v>
      </c>
      <c r="T182" s="202">
        <f t="shared" si="24"/>
        <v>614.28571428571433</v>
      </c>
    </row>
    <row r="183" spans="1:20" x14ac:dyDescent="0.25">
      <c r="B183" s="199">
        <v>44954</v>
      </c>
      <c r="C183" s="3">
        <v>3</v>
      </c>
      <c r="D183" s="233" t="s">
        <v>7</v>
      </c>
      <c r="E183" s="233" t="s">
        <v>190</v>
      </c>
      <c r="F183" s="233" t="s">
        <v>817</v>
      </c>
      <c r="G183" s="233">
        <v>151</v>
      </c>
      <c r="H183" s="233">
        <v>6000</v>
      </c>
      <c r="I183" s="233" t="s">
        <v>840</v>
      </c>
      <c r="J183" s="233" t="s">
        <v>842</v>
      </c>
      <c r="K183" s="233" t="s">
        <v>735</v>
      </c>
      <c r="L183" s="233" t="s">
        <v>843</v>
      </c>
      <c r="M183" s="238">
        <v>0.95833333333333337</v>
      </c>
      <c r="N183" s="238">
        <v>0.29166666666666669</v>
      </c>
      <c r="O183" s="196">
        <v>4070</v>
      </c>
      <c r="P183" s="3" t="s">
        <v>492</v>
      </c>
      <c r="Q183" s="3">
        <v>6.74</v>
      </c>
      <c r="R183" s="205">
        <v>7.43</v>
      </c>
      <c r="S183" s="202">
        <f t="shared" si="23"/>
        <v>603.85756676557867</v>
      </c>
      <c r="T183" s="202">
        <f t="shared" si="24"/>
        <v>547.77927321668915</v>
      </c>
    </row>
    <row r="184" spans="1:20" x14ac:dyDescent="0.25">
      <c r="B184" s="199">
        <v>44955</v>
      </c>
      <c r="C184" s="3">
        <v>1</v>
      </c>
      <c r="D184" s="233" t="s">
        <v>360</v>
      </c>
      <c r="E184" s="3" t="s">
        <v>360</v>
      </c>
      <c r="F184" s="233" t="s">
        <v>43</v>
      </c>
      <c r="G184" s="3">
        <v>152</v>
      </c>
      <c r="H184" s="3">
        <v>6000</v>
      </c>
      <c r="I184" s="3" t="s">
        <v>840</v>
      </c>
      <c r="J184" s="3" t="s">
        <v>842</v>
      </c>
      <c r="K184" s="3" t="s">
        <v>735</v>
      </c>
      <c r="L184" s="3" t="s">
        <v>843</v>
      </c>
      <c r="M184" s="238">
        <v>0.29166666666666669</v>
      </c>
      <c r="N184" s="238">
        <v>0.58333333333333337</v>
      </c>
      <c r="O184" s="196">
        <v>2005</v>
      </c>
      <c r="P184" s="3" t="s">
        <v>492</v>
      </c>
      <c r="Q184" s="3">
        <v>3.68</v>
      </c>
      <c r="R184" s="205">
        <v>3.86</v>
      </c>
      <c r="S184" s="168">
        <f t="shared" si="23"/>
        <v>544.83695652173913</v>
      </c>
      <c r="T184" s="168">
        <f t="shared" si="24"/>
        <v>519.43005181347155</v>
      </c>
    </row>
    <row r="185" spans="1:20" x14ac:dyDescent="0.25">
      <c r="B185" s="199">
        <v>44955</v>
      </c>
      <c r="C185" s="3">
        <v>1</v>
      </c>
      <c r="D185" s="233" t="s">
        <v>360</v>
      </c>
      <c r="E185" s="3" t="s">
        <v>360</v>
      </c>
      <c r="F185" s="233" t="s">
        <v>43</v>
      </c>
      <c r="G185" s="3">
        <v>153</v>
      </c>
      <c r="H185" s="3">
        <v>3500</v>
      </c>
      <c r="I185" s="3" t="s">
        <v>845</v>
      </c>
      <c r="J185" s="3" t="s">
        <v>844</v>
      </c>
      <c r="K185" s="3" t="s">
        <v>735</v>
      </c>
      <c r="L185" s="3" t="s">
        <v>843</v>
      </c>
      <c r="M185" s="238">
        <v>0.58333333333333337</v>
      </c>
      <c r="N185" s="238">
        <v>0.625</v>
      </c>
      <c r="O185" s="196">
        <v>284</v>
      </c>
      <c r="P185" s="3" t="s">
        <v>492</v>
      </c>
      <c r="Q185" s="3">
        <v>0.6</v>
      </c>
      <c r="R185" s="205">
        <v>0.7</v>
      </c>
      <c r="S185" s="168">
        <f t="shared" si="23"/>
        <v>473.33333333333337</v>
      </c>
      <c r="T185" s="168">
        <f t="shared" si="24"/>
        <v>405.71428571428572</v>
      </c>
    </row>
    <row r="186" spans="1:20" x14ac:dyDescent="0.25">
      <c r="B186" s="199">
        <v>44955</v>
      </c>
      <c r="C186" s="3">
        <v>2</v>
      </c>
      <c r="D186" s="233" t="s">
        <v>3</v>
      </c>
      <c r="E186" s="233" t="s">
        <v>3</v>
      </c>
      <c r="F186" s="233" t="s">
        <v>827</v>
      </c>
      <c r="G186" s="3">
        <v>154</v>
      </c>
      <c r="H186" s="3">
        <v>3500</v>
      </c>
      <c r="I186" s="3" t="s">
        <v>845</v>
      </c>
      <c r="J186" s="3" t="s">
        <v>844</v>
      </c>
      <c r="K186" s="3" t="s">
        <v>735</v>
      </c>
      <c r="L186" s="3" t="s">
        <v>843</v>
      </c>
      <c r="M186" s="238">
        <v>0.625</v>
      </c>
      <c r="N186" s="238">
        <v>0.95833333333333337</v>
      </c>
      <c r="O186" s="196">
        <v>3658</v>
      </c>
      <c r="P186" s="3" t="s">
        <v>492</v>
      </c>
      <c r="Q186" s="3">
        <v>6.49</v>
      </c>
      <c r="R186" s="205">
        <v>7.11</v>
      </c>
      <c r="S186" s="168">
        <f t="shared" si="23"/>
        <v>563.63636363636363</v>
      </c>
      <c r="T186" s="168">
        <f t="shared" si="24"/>
        <v>514.48663853727146</v>
      </c>
    </row>
    <row r="187" spans="1:20" x14ac:dyDescent="0.25">
      <c r="A187" s="3">
        <v>2461</v>
      </c>
      <c r="B187" s="199">
        <v>44955</v>
      </c>
      <c r="C187" s="3">
        <v>3</v>
      </c>
      <c r="D187" s="233" t="s">
        <v>7</v>
      </c>
      <c r="E187" s="233" t="s">
        <v>190</v>
      </c>
      <c r="F187" s="233" t="s">
        <v>29</v>
      </c>
      <c r="G187" s="3">
        <v>155</v>
      </c>
      <c r="I187" s="3" t="s">
        <v>707</v>
      </c>
      <c r="J187" s="3" t="s">
        <v>848</v>
      </c>
      <c r="K187" s="233" t="s">
        <v>735</v>
      </c>
      <c r="L187" s="233" t="s">
        <v>843</v>
      </c>
      <c r="M187" s="238">
        <v>0.95833333333333337</v>
      </c>
      <c r="N187" s="238">
        <v>0.29166666666666669</v>
      </c>
      <c r="O187" s="196">
        <v>2461</v>
      </c>
      <c r="P187" s="233" t="s">
        <v>492</v>
      </c>
      <c r="Q187" s="3">
        <v>6.68</v>
      </c>
      <c r="R187" s="205">
        <v>6.8</v>
      </c>
      <c r="S187" s="168">
        <f t="shared" si="23"/>
        <v>368.41317365269464</v>
      </c>
      <c r="T187" s="168">
        <f t="shared" si="24"/>
        <v>361.91176470588238</v>
      </c>
    </row>
    <row r="188" spans="1:20" x14ac:dyDescent="0.25">
      <c r="B188" s="199">
        <v>44956</v>
      </c>
      <c r="C188" s="3">
        <v>1</v>
      </c>
      <c r="D188" s="3" t="s">
        <v>466</v>
      </c>
      <c r="E188" s="233" t="s">
        <v>466</v>
      </c>
      <c r="G188" s="3">
        <v>156</v>
      </c>
      <c r="I188" s="3" t="s">
        <v>683</v>
      </c>
      <c r="J188" s="3" t="s">
        <v>819</v>
      </c>
      <c r="K188" s="233" t="s">
        <v>739</v>
      </c>
      <c r="L188" s="233" t="s">
        <v>696</v>
      </c>
      <c r="M188" s="238">
        <v>0.29166666666666669</v>
      </c>
      <c r="N188" s="238">
        <v>0.47916666666666669</v>
      </c>
      <c r="O188" s="196">
        <v>608</v>
      </c>
      <c r="P188" s="233" t="s">
        <v>492</v>
      </c>
      <c r="Q188" s="3">
        <v>1.06</v>
      </c>
      <c r="R188" s="205">
        <v>1.1100000000000001</v>
      </c>
      <c r="S188" s="168">
        <f>O188/Q188</f>
        <v>573.58490566037733</v>
      </c>
      <c r="T188" s="168">
        <f t="shared" si="24"/>
        <v>547.74774774774767</v>
      </c>
    </row>
    <row r="189" spans="1:20" x14ac:dyDescent="0.25">
      <c r="B189" s="199">
        <v>44956</v>
      </c>
      <c r="C189" s="3">
        <v>2</v>
      </c>
      <c r="D189" s="233" t="s">
        <v>7</v>
      </c>
      <c r="E189" s="233" t="s">
        <v>190</v>
      </c>
      <c r="M189" s="238">
        <v>0.625</v>
      </c>
      <c r="N189" s="238">
        <v>0.95833333333333337</v>
      </c>
      <c r="O189" s="196">
        <v>0</v>
      </c>
      <c r="P189" s="3">
        <v>0</v>
      </c>
      <c r="Q189" s="233">
        <v>0</v>
      </c>
      <c r="R189" s="205">
        <v>0</v>
      </c>
      <c r="S189" s="202" t="e">
        <f t="shared" ref="S189:S208" si="25">O189/Q189</f>
        <v>#DIV/0!</v>
      </c>
      <c r="T189" s="202" t="str">
        <f t="shared" ref="T189:T205" si="26">IFERROR(O189/R189,"")</f>
        <v/>
      </c>
    </row>
    <row r="190" spans="1:20" x14ac:dyDescent="0.25">
      <c r="B190" s="199">
        <v>44956</v>
      </c>
      <c r="C190" s="3">
        <v>3</v>
      </c>
      <c r="D190" s="3" t="s">
        <v>1</v>
      </c>
      <c r="E190" s="3" t="s">
        <v>188</v>
      </c>
      <c r="M190" s="238">
        <v>0.95833333333333337</v>
      </c>
      <c r="N190" s="238">
        <v>0.29166666666666669</v>
      </c>
      <c r="O190" s="196">
        <v>0</v>
      </c>
      <c r="P190" s="3">
        <v>0</v>
      </c>
      <c r="Q190" s="233">
        <v>0</v>
      </c>
      <c r="R190" s="205">
        <v>0</v>
      </c>
      <c r="S190" s="202" t="e">
        <f t="shared" si="25"/>
        <v>#DIV/0!</v>
      </c>
      <c r="T190" s="202" t="str">
        <f t="shared" si="26"/>
        <v/>
      </c>
    </row>
    <row r="191" spans="1:20" x14ac:dyDescent="0.25">
      <c r="B191" s="199">
        <v>44957</v>
      </c>
      <c r="C191" s="3">
        <v>2</v>
      </c>
      <c r="D191" s="233" t="s">
        <v>7</v>
      </c>
      <c r="E191" s="233" t="s">
        <v>190</v>
      </c>
      <c r="M191" s="238">
        <v>0.625</v>
      </c>
      <c r="N191" s="238">
        <v>0.95833333333333337</v>
      </c>
      <c r="O191" s="196">
        <v>0</v>
      </c>
      <c r="P191" s="3">
        <v>0</v>
      </c>
      <c r="Q191" s="233">
        <v>0</v>
      </c>
      <c r="R191" s="205">
        <v>0</v>
      </c>
      <c r="S191" s="202" t="e">
        <f t="shared" si="25"/>
        <v>#DIV/0!</v>
      </c>
      <c r="T191" s="202" t="str">
        <f t="shared" si="26"/>
        <v/>
      </c>
    </row>
    <row r="192" spans="1:20" x14ac:dyDescent="0.25">
      <c r="B192" s="199">
        <v>44957</v>
      </c>
      <c r="C192" s="3">
        <v>3</v>
      </c>
      <c r="D192" s="3" t="s">
        <v>1</v>
      </c>
      <c r="E192" s="233" t="s">
        <v>1</v>
      </c>
      <c r="F192" s="3" t="s">
        <v>852</v>
      </c>
      <c r="G192" s="3">
        <v>157</v>
      </c>
      <c r="H192" s="3">
        <v>5700</v>
      </c>
      <c r="I192" s="3" t="s">
        <v>845</v>
      </c>
      <c r="J192" s="3" t="s">
        <v>851</v>
      </c>
      <c r="K192" s="233" t="s">
        <v>735</v>
      </c>
      <c r="L192" s="3" t="s">
        <v>843</v>
      </c>
      <c r="M192" s="238">
        <v>0.95833333333333337</v>
      </c>
      <c r="N192" s="238">
        <v>0.29166666666666669</v>
      </c>
      <c r="O192" s="196">
        <v>3634</v>
      </c>
      <c r="P192" s="233" t="s">
        <v>492</v>
      </c>
      <c r="Q192" s="233">
        <v>5.9</v>
      </c>
      <c r="R192" s="205">
        <v>6.5</v>
      </c>
      <c r="S192" s="202">
        <f t="shared" si="25"/>
        <v>615.93220338983042</v>
      </c>
      <c r="T192" s="202">
        <f t="shared" si="26"/>
        <v>559.07692307692309</v>
      </c>
    </row>
    <row r="193" spans="2:28" x14ac:dyDescent="0.25">
      <c r="B193" s="199">
        <v>44958</v>
      </c>
      <c r="C193" s="3">
        <v>1</v>
      </c>
      <c r="D193" s="3" t="s">
        <v>223</v>
      </c>
      <c r="E193" s="233" t="s">
        <v>3</v>
      </c>
      <c r="F193" s="233" t="s">
        <v>43</v>
      </c>
      <c r="G193" s="3">
        <v>158</v>
      </c>
      <c r="H193" s="233">
        <v>5700</v>
      </c>
      <c r="I193" s="233" t="s">
        <v>845</v>
      </c>
      <c r="J193" s="233" t="s">
        <v>851</v>
      </c>
      <c r="K193" s="233" t="s">
        <v>735</v>
      </c>
      <c r="L193" s="233" t="s">
        <v>843</v>
      </c>
      <c r="M193" s="238">
        <v>0.29166666666666669</v>
      </c>
      <c r="N193" s="238">
        <v>0.625</v>
      </c>
      <c r="O193" s="196">
        <v>147</v>
      </c>
      <c r="P193" s="233" t="s">
        <v>492</v>
      </c>
      <c r="Q193" s="3">
        <v>0.28999999999999998</v>
      </c>
      <c r="R193" s="205">
        <v>0.43</v>
      </c>
      <c r="S193" s="202">
        <f t="shared" si="25"/>
        <v>506.89655172413796</v>
      </c>
      <c r="T193" s="202">
        <f t="shared" si="26"/>
        <v>341.8604651162791</v>
      </c>
    </row>
    <row r="194" spans="2:28" x14ac:dyDescent="0.25">
      <c r="B194" s="199">
        <v>44958</v>
      </c>
      <c r="C194" s="3">
        <v>2</v>
      </c>
      <c r="D194" s="3" t="s">
        <v>7</v>
      </c>
      <c r="E194" s="3" t="s">
        <v>190</v>
      </c>
      <c r="M194" s="238">
        <v>0.625</v>
      </c>
      <c r="N194" s="238">
        <v>0.95833333333333337</v>
      </c>
      <c r="O194" s="196">
        <v>0</v>
      </c>
      <c r="P194" s="3">
        <v>0</v>
      </c>
      <c r="Q194" s="233">
        <v>0</v>
      </c>
      <c r="R194" s="205">
        <v>0</v>
      </c>
      <c r="S194" s="202" t="e">
        <f t="shared" si="25"/>
        <v>#DIV/0!</v>
      </c>
      <c r="T194" s="202" t="str">
        <f t="shared" si="26"/>
        <v/>
      </c>
    </row>
    <row r="195" spans="2:28" x14ac:dyDescent="0.25">
      <c r="B195" s="199">
        <v>44958</v>
      </c>
      <c r="C195" s="3">
        <v>3</v>
      </c>
      <c r="D195" s="3" t="s">
        <v>1</v>
      </c>
      <c r="E195" s="3" t="s">
        <v>188</v>
      </c>
      <c r="M195" s="238">
        <v>0.95833333333333337</v>
      </c>
      <c r="N195" s="238">
        <v>0.29166666666666669</v>
      </c>
      <c r="O195" s="196">
        <v>0</v>
      </c>
      <c r="P195" s="3">
        <v>0</v>
      </c>
      <c r="Q195" s="233">
        <v>0</v>
      </c>
      <c r="R195" s="205">
        <v>0</v>
      </c>
      <c r="S195" s="202" t="e">
        <f t="shared" si="25"/>
        <v>#DIV/0!</v>
      </c>
      <c r="T195" s="202" t="str">
        <f t="shared" si="26"/>
        <v/>
      </c>
    </row>
    <row r="196" spans="2:28" s="233" customFormat="1" x14ac:dyDescent="0.25">
      <c r="B196" s="199">
        <v>44959</v>
      </c>
      <c r="C196" s="233">
        <v>1</v>
      </c>
      <c r="M196" s="238">
        <v>0.29166666666666669</v>
      </c>
      <c r="N196" s="238">
        <v>0.625</v>
      </c>
      <c r="O196" s="196">
        <v>0</v>
      </c>
      <c r="P196" s="233">
        <v>0</v>
      </c>
      <c r="Q196" s="233">
        <v>0</v>
      </c>
      <c r="R196" s="205">
        <v>0</v>
      </c>
      <c r="S196" s="202" t="e">
        <f t="shared" si="25"/>
        <v>#DIV/0!</v>
      </c>
      <c r="T196" s="202" t="str">
        <f t="shared" si="26"/>
        <v/>
      </c>
      <c r="U196" s="202"/>
      <c r="V196" s="202"/>
      <c r="AB196" s="196"/>
    </row>
    <row r="197" spans="2:28" s="233" customFormat="1" x14ac:dyDescent="0.25">
      <c r="B197" s="199">
        <v>44959</v>
      </c>
      <c r="C197" s="233">
        <v>2</v>
      </c>
      <c r="M197" s="238">
        <v>0.625</v>
      </c>
      <c r="N197" s="238">
        <v>0.95833333333333337</v>
      </c>
      <c r="O197" s="196">
        <v>0</v>
      </c>
      <c r="P197" s="233">
        <v>0</v>
      </c>
      <c r="Q197" s="233">
        <v>0</v>
      </c>
      <c r="R197" s="205">
        <v>0</v>
      </c>
      <c r="S197" s="202" t="e">
        <f t="shared" si="25"/>
        <v>#DIV/0!</v>
      </c>
      <c r="T197" s="202" t="str">
        <f t="shared" si="26"/>
        <v/>
      </c>
      <c r="U197" s="202"/>
      <c r="V197" s="202"/>
      <c r="AB197" s="196"/>
    </row>
    <row r="198" spans="2:28" x14ac:dyDescent="0.25">
      <c r="B198" s="199">
        <v>44959</v>
      </c>
      <c r="C198" s="3">
        <v>3</v>
      </c>
      <c r="D198" s="233" t="s">
        <v>1</v>
      </c>
      <c r="E198" s="233" t="s">
        <v>188</v>
      </c>
      <c r="M198" s="238">
        <v>0.95833333333333337</v>
      </c>
      <c r="N198" s="238">
        <v>0.29166666666666669</v>
      </c>
      <c r="O198" s="196">
        <v>0</v>
      </c>
      <c r="P198" s="3">
        <v>0</v>
      </c>
      <c r="Q198" s="233">
        <v>0</v>
      </c>
      <c r="R198" s="205">
        <v>0</v>
      </c>
      <c r="S198" s="202" t="e">
        <f t="shared" si="25"/>
        <v>#DIV/0!</v>
      </c>
      <c r="T198" s="202" t="str">
        <f t="shared" si="26"/>
        <v/>
      </c>
    </row>
    <row r="199" spans="2:28" x14ac:dyDescent="0.25">
      <c r="B199" s="199">
        <v>44960</v>
      </c>
      <c r="C199" s="3">
        <v>1</v>
      </c>
      <c r="D199" s="3" t="s">
        <v>466</v>
      </c>
      <c r="E199" s="233" t="s">
        <v>3</v>
      </c>
      <c r="M199" s="238">
        <v>0.29166666666666669</v>
      </c>
      <c r="N199" s="238">
        <v>0.625</v>
      </c>
      <c r="O199" s="196">
        <v>0</v>
      </c>
      <c r="P199" s="3">
        <v>0</v>
      </c>
      <c r="Q199" s="233">
        <v>0</v>
      </c>
      <c r="R199" s="205">
        <v>0</v>
      </c>
      <c r="S199" s="202" t="e">
        <f t="shared" si="25"/>
        <v>#DIV/0!</v>
      </c>
      <c r="T199" s="202" t="str">
        <f t="shared" si="26"/>
        <v/>
      </c>
    </row>
    <row r="200" spans="2:28" x14ac:dyDescent="0.25">
      <c r="B200" s="199">
        <v>44960</v>
      </c>
      <c r="C200" s="3">
        <v>2</v>
      </c>
      <c r="D200" s="233" t="s">
        <v>7</v>
      </c>
      <c r="E200" s="233" t="s">
        <v>190</v>
      </c>
      <c r="M200" s="238">
        <v>0.625</v>
      </c>
      <c r="N200" s="238">
        <v>0.95833333333333337</v>
      </c>
      <c r="O200" s="196">
        <v>0</v>
      </c>
      <c r="P200" s="233">
        <v>0</v>
      </c>
      <c r="Q200" s="233">
        <v>0</v>
      </c>
      <c r="R200" s="205">
        <v>0</v>
      </c>
      <c r="S200" s="202" t="e">
        <f t="shared" si="25"/>
        <v>#DIV/0!</v>
      </c>
      <c r="T200" s="202" t="str">
        <f t="shared" si="26"/>
        <v/>
      </c>
    </row>
    <row r="201" spans="2:28" x14ac:dyDescent="0.25">
      <c r="B201" s="199">
        <v>44960</v>
      </c>
      <c r="C201" s="3">
        <v>3</v>
      </c>
      <c r="D201" s="3" t="s">
        <v>1</v>
      </c>
      <c r="E201" s="3" t="s">
        <v>188</v>
      </c>
      <c r="M201" s="238">
        <v>0.95833333333333337</v>
      </c>
      <c r="N201" s="238">
        <v>0.29166666666666669</v>
      </c>
      <c r="O201" s="196">
        <v>0</v>
      </c>
      <c r="P201" s="233">
        <v>0</v>
      </c>
      <c r="Q201" s="233">
        <v>0</v>
      </c>
      <c r="R201" s="205">
        <v>0</v>
      </c>
      <c r="S201" s="202" t="e">
        <f t="shared" si="25"/>
        <v>#DIV/0!</v>
      </c>
      <c r="T201" s="202" t="str">
        <f t="shared" si="26"/>
        <v/>
      </c>
    </row>
    <row r="202" spans="2:28" x14ac:dyDescent="0.25">
      <c r="B202" s="199">
        <v>44961</v>
      </c>
      <c r="C202" s="3">
        <v>1</v>
      </c>
      <c r="D202" s="3" t="s">
        <v>4</v>
      </c>
      <c r="E202" s="233" t="s">
        <v>3</v>
      </c>
      <c r="M202" s="238">
        <v>0.29166666666666669</v>
      </c>
      <c r="N202" s="238">
        <v>0.625</v>
      </c>
      <c r="O202" s="196">
        <v>0</v>
      </c>
      <c r="P202" s="233">
        <v>0</v>
      </c>
      <c r="Q202" s="233">
        <v>0</v>
      </c>
      <c r="R202" s="205">
        <v>0</v>
      </c>
      <c r="S202" s="202" t="e">
        <f t="shared" si="25"/>
        <v>#DIV/0!</v>
      </c>
      <c r="T202" s="202" t="str">
        <f t="shared" si="26"/>
        <v/>
      </c>
    </row>
    <row r="203" spans="2:28" x14ac:dyDescent="0.25">
      <c r="B203" s="199">
        <v>44961</v>
      </c>
      <c r="C203" s="3">
        <v>2</v>
      </c>
      <c r="D203" s="233" t="s">
        <v>7</v>
      </c>
      <c r="E203" s="233" t="s">
        <v>190</v>
      </c>
      <c r="M203" s="238">
        <v>0.625</v>
      </c>
      <c r="N203" s="238">
        <v>0.95833333333333337</v>
      </c>
      <c r="O203" s="196">
        <v>0</v>
      </c>
      <c r="P203" s="233">
        <v>0</v>
      </c>
      <c r="Q203" s="233">
        <v>0</v>
      </c>
      <c r="R203" s="205">
        <v>0</v>
      </c>
      <c r="S203" s="202" t="e">
        <f t="shared" si="25"/>
        <v>#DIV/0!</v>
      </c>
      <c r="T203" s="202" t="str">
        <f t="shared" si="26"/>
        <v/>
      </c>
    </row>
    <row r="204" spans="2:28" x14ac:dyDescent="0.25">
      <c r="B204" s="199">
        <v>44961</v>
      </c>
      <c r="C204" s="3">
        <v>3</v>
      </c>
      <c r="D204" s="3" t="s">
        <v>1</v>
      </c>
      <c r="E204" s="3" t="s">
        <v>188</v>
      </c>
      <c r="M204" s="238">
        <v>0.95833333333333337</v>
      </c>
      <c r="N204" s="238">
        <v>0.29166666666666669</v>
      </c>
      <c r="O204" s="196">
        <v>0</v>
      </c>
      <c r="P204" s="3">
        <v>0</v>
      </c>
      <c r="Q204" s="3">
        <v>0</v>
      </c>
      <c r="R204" s="205">
        <v>0</v>
      </c>
      <c r="S204" s="202" t="e">
        <f t="shared" si="25"/>
        <v>#DIV/0!</v>
      </c>
      <c r="T204" s="202" t="str">
        <f t="shared" si="26"/>
        <v/>
      </c>
    </row>
    <row r="205" spans="2:28" x14ac:dyDescent="0.25">
      <c r="B205" s="199">
        <v>44962</v>
      </c>
      <c r="C205" s="3">
        <v>1</v>
      </c>
      <c r="D205" s="233" t="s">
        <v>4</v>
      </c>
      <c r="E205" s="233" t="s">
        <v>3</v>
      </c>
      <c r="M205" s="238">
        <v>0.29166666666666669</v>
      </c>
      <c r="N205" s="238">
        <v>0.625</v>
      </c>
      <c r="O205" s="196">
        <v>0</v>
      </c>
      <c r="P205" s="233">
        <v>0</v>
      </c>
      <c r="Q205" s="233">
        <v>0</v>
      </c>
      <c r="R205" s="205">
        <v>0</v>
      </c>
      <c r="S205" s="202" t="e">
        <f t="shared" si="25"/>
        <v>#DIV/0!</v>
      </c>
      <c r="T205" s="202" t="str">
        <f t="shared" si="26"/>
        <v/>
      </c>
    </row>
    <row r="206" spans="2:28" x14ac:dyDescent="0.25">
      <c r="B206" s="199">
        <v>44962</v>
      </c>
      <c r="C206" s="3">
        <v>2</v>
      </c>
      <c r="D206" s="233" t="s">
        <v>7</v>
      </c>
      <c r="E206" s="233" t="s">
        <v>190</v>
      </c>
      <c r="M206" s="238">
        <v>0.625</v>
      </c>
      <c r="N206" s="238">
        <v>0.95833333333333337</v>
      </c>
      <c r="O206" s="196">
        <v>0</v>
      </c>
      <c r="P206" s="3">
        <v>0</v>
      </c>
      <c r="Q206" s="3">
        <v>0</v>
      </c>
      <c r="R206" s="205">
        <v>0</v>
      </c>
      <c r="S206" s="202" t="e">
        <f t="shared" si="25"/>
        <v>#DIV/0!</v>
      </c>
    </row>
    <row r="207" spans="2:28" x14ac:dyDescent="0.25">
      <c r="B207" s="199">
        <v>44962</v>
      </c>
      <c r="C207" s="3">
        <v>3</v>
      </c>
      <c r="D207" s="3" t="s">
        <v>1</v>
      </c>
      <c r="E207" s="3" t="s">
        <v>188</v>
      </c>
      <c r="M207" s="238">
        <v>0.95833333333333337</v>
      </c>
      <c r="N207" s="238">
        <v>0.29166666666666669</v>
      </c>
      <c r="O207" s="196">
        <v>0</v>
      </c>
      <c r="P207" s="3">
        <v>0</v>
      </c>
      <c r="Q207" s="3">
        <v>0</v>
      </c>
      <c r="R207" s="205">
        <v>0</v>
      </c>
      <c r="S207" s="202" t="e">
        <f t="shared" si="25"/>
        <v>#DIV/0!</v>
      </c>
    </row>
    <row r="208" spans="2:28" x14ac:dyDescent="0.25">
      <c r="B208" s="199">
        <v>44963</v>
      </c>
      <c r="C208" s="3">
        <v>1</v>
      </c>
      <c r="D208" s="3" t="s">
        <v>7</v>
      </c>
      <c r="E208" s="233" t="s">
        <v>7</v>
      </c>
      <c r="M208" s="238">
        <v>0.29166666666666669</v>
      </c>
      <c r="N208" s="238">
        <v>0.625</v>
      </c>
      <c r="O208" s="196">
        <v>0</v>
      </c>
      <c r="P208" s="233">
        <v>0</v>
      </c>
      <c r="Q208" s="233">
        <v>0</v>
      </c>
      <c r="R208" s="205">
        <v>0</v>
      </c>
      <c r="S208" s="202" t="e">
        <f t="shared" si="25"/>
        <v>#DIV/0!</v>
      </c>
    </row>
    <row r="209" spans="2:20" x14ac:dyDescent="0.25">
      <c r="B209" s="199">
        <v>44963</v>
      </c>
      <c r="C209" s="3">
        <v>2</v>
      </c>
      <c r="D209" s="3" t="s">
        <v>459</v>
      </c>
      <c r="E209" s="3" t="s">
        <v>188</v>
      </c>
      <c r="M209" s="238">
        <v>0.625</v>
      </c>
      <c r="N209" s="238">
        <v>0.95833333333333337</v>
      </c>
      <c r="O209" s="196">
        <v>0</v>
      </c>
      <c r="P209" s="3">
        <v>0</v>
      </c>
      <c r="Q209" s="3">
        <v>0</v>
      </c>
      <c r="R209" s="205">
        <v>0</v>
      </c>
      <c r="S209" s="202" t="e">
        <f>O209/Q209</f>
        <v>#DIV/0!</v>
      </c>
    </row>
    <row r="210" spans="2:20" x14ac:dyDescent="0.25">
      <c r="B210" s="199">
        <v>44963</v>
      </c>
      <c r="C210" s="3">
        <v>3</v>
      </c>
      <c r="D210" s="233" t="s">
        <v>466</v>
      </c>
      <c r="E210" s="233" t="s">
        <v>3</v>
      </c>
      <c r="M210" s="238">
        <v>0.95833333333333337</v>
      </c>
      <c r="N210" s="238">
        <v>0.29166666666666669</v>
      </c>
      <c r="O210" s="196">
        <v>0</v>
      </c>
      <c r="P210" s="233">
        <v>0</v>
      </c>
      <c r="Q210" s="233">
        <v>0</v>
      </c>
      <c r="R210" s="205">
        <v>0</v>
      </c>
      <c r="S210" s="202" t="e">
        <f>O210/Q210</f>
        <v>#DIV/0!</v>
      </c>
    </row>
    <row r="211" spans="2:20" x14ac:dyDescent="0.25">
      <c r="B211" s="199">
        <v>44964</v>
      </c>
      <c r="C211" s="3">
        <v>1</v>
      </c>
      <c r="D211" s="233" t="s">
        <v>7</v>
      </c>
      <c r="E211" s="233" t="s">
        <v>7</v>
      </c>
      <c r="M211" s="238">
        <v>0.29166666666666669</v>
      </c>
      <c r="N211" s="238">
        <v>0.625</v>
      </c>
      <c r="O211" s="196">
        <v>0</v>
      </c>
      <c r="P211" s="233">
        <v>0</v>
      </c>
      <c r="Q211" s="233">
        <v>0</v>
      </c>
      <c r="R211" s="205">
        <v>0</v>
      </c>
      <c r="S211" s="202" t="e">
        <f>O211/Q211</f>
        <v>#DIV/0!</v>
      </c>
    </row>
    <row r="212" spans="2:20" x14ac:dyDescent="0.25">
      <c r="B212" s="199">
        <v>44964</v>
      </c>
      <c r="C212" s="3">
        <v>2</v>
      </c>
      <c r="D212" s="3" t="s">
        <v>459</v>
      </c>
      <c r="E212" s="233" t="s">
        <v>205</v>
      </c>
      <c r="M212" s="238">
        <v>0.625</v>
      </c>
      <c r="N212" s="238">
        <v>0.95833333333333337</v>
      </c>
      <c r="O212" s="196">
        <v>0</v>
      </c>
      <c r="P212" s="233">
        <v>0</v>
      </c>
      <c r="Q212" s="233">
        <v>0</v>
      </c>
      <c r="R212" s="205">
        <v>0</v>
      </c>
      <c r="S212" s="202" t="e">
        <f>O212/Q212</f>
        <v>#DIV/0!</v>
      </c>
    </row>
    <row r="213" spans="2:20" x14ac:dyDescent="0.25">
      <c r="B213" s="199">
        <v>44964</v>
      </c>
      <c r="C213" s="233">
        <v>3</v>
      </c>
      <c r="D213" s="233" t="s">
        <v>466</v>
      </c>
      <c r="E213" s="233" t="s">
        <v>3</v>
      </c>
      <c r="M213" s="238">
        <v>0.95833333333333337</v>
      </c>
      <c r="N213" s="238">
        <v>0.29166666666666669</v>
      </c>
      <c r="O213" s="196">
        <v>0</v>
      </c>
      <c r="P213" s="233">
        <v>0</v>
      </c>
      <c r="Q213" s="233">
        <v>0</v>
      </c>
      <c r="R213" s="205">
        <v>0</v>
      </c>
      <c r="S213" s="202" t="e">
        <f>O213/Q213</f>
        <v>#DIV/0!</v>
      </c>
    </row>
    <row r="214" spans="2:20" x14ac:dyDescent="0.25">
      <c r="B214" s="199">
        <v>44965</v>
      </c>
      <c r="C214" s="3">
        <v>1</v>
      </c>
      <c r="D214" s="233" t="s">
        <v>7</v>
      </c>
      <c r="E214" s="233" t="s">
        <v>190</v>
      </c>
      <c r="M214" s="238">
        <v>0.29166666666666669</v>
      </c>
      <c r="N214" s="238">
        <v>0.625</v>
      </c>
      <c r="O214" s="196">
        <v>0</v>
      </c>
      <c r="P214" s="233">
        <v>0</v>
      </c>
      <c r="Q214" s="233">
        <v>0</v>
      </c>
      <c r="R214" s="205">
        <v>0</v>
      </c>
      <c r="S214" s="202" t="e">
        <f t="shared" ref="S214:S227" si="27">O214/Q214</f>
        <v>#DIV/0!</v>
      </c>
    </row>
    <row r="215" spans="2:20" x14ac:dyDescent="0.25">
      <c r="B215" s="199">
        <v>44965</v>
      </c>
      <c r="C215" s="3">
        <v>2</v>
      </c>
      <c r="D215" s="3" t="s">
        <v>182</v>
      </c>
      <c r="E215" s="3" t="s">
        <v>188</v>
      </c>
      <c r="M215" s="238">
        <v>0.625</v>
      </c>
      <c r="N215" s="238">
        <v>0.95833333333333337</v>
      </c>
      <c r="O215" s="196">
        <v>0</v>
      </c>
      <c r="P215" s="3">
        <v>0</v>
      </c>
      <c r="Q215" s="233">
        <v>0</v>
      </c>
      <c r="R215" s="205">
        <v>0</v>
      </c>
      <c r="S215" s="202" t="e">
        <f t="shared" si="27"/>
        <v>#DIV/0!</v>
      </c>
    </row>
    <row r="216" spans="2:20" x14ac:dyDescent="0.25">
      <c r="B216" s="199">
        <v>44965</v>
      </c>
      <c r="C216" s="3">
        <v>3</v>
      </c>
      <c r="D216" s="233" t="s">
        <v>466</v>
      </c>
      <c r="E216" s="233" t="s">
        <v>3</v>
      </c>
      <c r="F216" s="233"/>
      <c r="G216" s="233"/>
      <c r="H216" s="233"/>
      <c r="I216" s="233"/>
      <c r="J216" s="233"/>
      <c r="K216" s="233"/>
      <c r="L216" s="233"/>
      <c r="M216" s="238">
        <v>0.95833333333333337</v>
      </c>
      <c r="N216" s="238">
        <v>0.29166666666666669</v>
      </c>
      <c r="O216" s="196">
        <v>0</v>
      </c>
      <c r="P216" s="233">
        <v>0</v>
      </c>
      <c r="Q216" s="233">
        <v>0</v>
      </c>
      <c r="R216" s="205">
        <v>0</v>
      </c>
      <c r="S216" s="202" t="e">
        <f t="shared" si="27"/>
        <v>#DIV/0!</v>
      </c>
    </row>
    <row r="217" spans="2:20" x14ac:dyDescent="0.25">
      <c r="B217" s="199">
        <v>44966</v>
      </c>
      <c r="C217" s="3">
        <v>1</v>
      </c>
      <c r="D217" s="233" t="s">
        <v>7</v>
      </c>
      <c r="E217" s="233" t="s">
        <v>7</v>
      </c>
      <c r="M217" s="238">
        <v>0.29166666666666669</v>
      </c>
      <c r="N217" s="238">
        <v>0.625</v>
      </c>
      <c r="O217" s="196">
        <v>0</v>
      </c>
      <c r="P217" s="233">
        <v>0</v>
      </c>
      <c r="Q217" s="233">
        <v>0</v>
      </c>
      <c r="R217" s="205">
        <v>0</v>
      </c>
      <c r="S217" s="202" t="e">
        <f t="shared" si="27"/>
        <v>#DIV/0!</v>
      </c>
    </row>
    <row r="218" spans="2:20" x14ac:dyDescent="0.25">
      <c r="B218" s="199">
        <v>44966</v>
      </c>
      <c r="C218" s="3">
        <v>2</v>
      </c>
      <c r="D218" s="3" t="s">
        <v>459</v>
      </c>
      <c r="E218" s="3" t="s">
        <v>188</v>
      </c>
      <c r="F218" s="3" t="s">
        <v>23</v>
      </c>
      <c r="G218" s="3">
        <v>159</v>
      </c>
      <c r="H218" s="3">
        <v>9900</v>
      </c>
      <c r="I218" s="3" t="s">
        <v>840</v>
      </c>
      <c r="J218" s="3" t="s">
        <v>908</v>
      </c>
      <c r="K218" s="3" t="s">
        <v>734</v>
      </c>
      <c r="L218" s="3" t="s">
        <v>358</v>
      </c>
      <c r="M218" s="238">
        <v>0.625</v>
      </c>
      <c r="N218" s="238">
        <v>0.95833333333333337</v>
      </c>
      <c r="O218" s="196">
        <v>2565</v>
      </c>
      <c r="P218" s="3" t="s">
        <v>911</v>
      </c>
      <c r="Q218" s="233">
        <v>4.97</v>
      </c>
      <c r="R218" s="205">
        <v>6.55</v>
      </c>
      <c r="S218" s="202">
        <f t="shared" si="27"/>
        <v>516.09657947686117</v>
      </c>
      <c r="T218" s="202">
        <f t="shared" ref="T218:T227" si="28">IFERROR(O218/R218,"")</f>
        <v>391.60305343511453</v>
      </c>
    </row>
    <row r="219" spans="2:20" x14ac:dyDescent="0.25">
      <c r="B219" s="199">
        <v>44966</v>
      </c>
      <c r="C219" s="233">
        <v>3</v>
      </c>
      <c r="D219" s="233" t="s">
        <v>466</v>
      </c>
      <c r="E219" s="233" t="s">
        <v>3</v>
      </c>
      <c r="F219" s="233" t="s">
        <v>912</v>
      </c>
      <c r="G219" s="233">
        <v>160</v>
      </c>
      <c r="H219" s="233">
        <v>9900</v>
      </c>
      <c r="I219" s="233" t="s">
        <v>840</v>
      </c>
      <c r="J219" s="233" t="s">
        <v>908</v>
      </c>
      <c r="K219" s="233" t="s">
        <v>734</v>
      </c>
      <c r="L219" s="233" t="s">
        <v>358</v>
      </c>
      <c r="M219" s="238">
        <v>0.95833333333333337</v>
      </c>
      <c r="N219" s="238">
        <v>0.29166666666666669</v>
      </c>
      <c r="O219" s="196">
        <v>3262</v>
      </c>
      <c r="P219" s="3" t="s">
        <v>492</v>
      </c>
      <c r="Q219" s="3">
        <v>4.6900000000000004</v>
      </c>
      <c r="R219" s="205">
        <v>7.37</v>
      </c>
      <c r="S219" s="168">
        <f t="shared" si="27"/>
        <v>695.52238805970148</v>
      </c>
      <c r="T219" s="202">
        <f t="shared" si="28"/>
        <v>442.60515603799183</v>
      </c>
    </row>
    <row r="220" spans="2:20" x14ac:dyDescent="0.25">
      <c r="B220" s="199">
        <v>44967</v>
      </c>
      <c r="C220" s="3">
        <v>1</v>
      </c>
      <c r="D220" s="233" t="s">
        <v>7</v>
      </c>
      <c r="E220" s="233" t="s">
        <v>190</v>
      </c>
      <c r="G220" s="233">
        <v>160</v>
      </c>
      <c r="H220" s="233">
        <v>9900</v>
      </c>
      <c r="I220" s="233" t="s">
        <v>840</v>
      </c>
      <c r="J220" s="233" t="s">
        <v>908</v>
      </c>
      <c r="K220" s="233" t="s">
        <v>734</v>
      </c>
      <c r="L220" s="233" t="s">
        <v>358</v>
      </c>
      <c r="M220" s="238">
        <v>0.29166666666666669</v>
      </c>
      <c r="N220" s="238">
        <v>0.625</v>
      </c>
      <c r="O220" s="196">
        <v>1895</v>
      </c>
      <c r="P220" s="233" t="s">
        <v>492</v>
      </c>
      <c r="Q220" s="3">
        <v>2.73</v>
      </c>
      <c r="R220" s="205">
        <v>4.76</v>
      </c>
      <c r="S220" s="168">
        <f t="shared" si="27"/>
        <v>694.13919413919416</v>
      </c>
      <c r="T220" s="202">
        <f t="shared" si="28"/>
        <v>398.10924369747903</v>
      </c>
    </row>
    <row r="221" spans="2:20" x14ac:dyDescent="0.25">
      <c r="B221" s="199">
        <v>44967</v>
      </c>
      <c r="C221" s="233">
        <v>2</v>
      </c>
      <c r="D221" s="233" t="s">
        <v>459</v>
      </c>
      <c r="E221" s="233" t="s">
        <v>205</v>
      </c>
      <c r="G221" s="3">
        <v>161</v>
      </c>
      <c r="H221" s="233">
        <v>9900</v>
      </c>
      <c r="I221" s="233" t="s">
        <v>840</v>
      </c>
      <c r="J221" s="233" t="s">
        <v>908</v>
      </c>
      <c r="K221" s="233" t="s">
        <v>734</v>
      </c>
      <c r="L221" s="233" t="s">
        <v>358</v>
      </c>
      <c r="M221" s="238">
        <v>0.625</v>
      </c>
      <c r="N221" s="238">
        <v>0.63888888888888895</v>
      </c>
      <c r="O221" s="196">
        <v>183</v>
      </c>
      <c r="P221" s="233" t="s">
        <v>492</v>
      </c>
      <c r="Q221" s="3">
        <v>0.34</v>
      </c>
      <c r="R221" s="205">
        <v>0.65</v>
      </c>
      <c r="S221" s="168">
        <f t="shared" si="27"/>
        <v>538.23529411764707</v>
      </c>
      <c r="T221" s="202">
        <f t="shared" si="28"/>
        <v>281.53846153846155</v>
      </c>
    </row>
    <row r="222" spans="2:20" x14ac:dyDescent="0.25">
      <c r="B222" s="199">
        <v>44967</v>
      </c>
      <c r="C222" s="233">
        <v>2</v>
      </c>
      <c r="D222" s="233" t="s">
        <v>459</v>
      </c>
      <c r="E222" s="233" t="s">
        <v>205</v>
      </c>
      <c r="F222" s="3" t="s">
        <v>45</v>
      </c>
      <c r="G222" s="3">
        <v>162</v>
      </c>
      <c r="H222" s="3">
        <v>10094</v>
      </c>
      <c r="I222" s="3" t="s">
        <v>678</v>
      </c>
      <c r="J222" s="3" t="s">
        <v>914</v>
      </c>
      <c r="K222" s="3" t="s">
        <v>734</v>
      </c>
      <c r="L222" s="233" t="s">
        <v>696</v>
      </c>
      <c r="M222" s="238">
        <v>0.63888888888888895</v>
      </c>
      <c r="N222" s="238">
        <v>0.73125000000000007</v>
      </c>
      <c r="O222" s="196">
        <v>725</v>
      </c>
      <c r="P222" s="233" t="s">
        <v>492</v>
      </c>
      <c r="Q222" s="3">
        <f>1.7-Q221</f>
        <v>1.3599999999999999</v>
      </c>
      <c r="R222" s="205">
        <f>1.82-R221</f>
        <v>1.17</v>
      </c>
      <c r="S222" s="202">
        <f t="shared" si="27"/>
        <v>533.08823529411768</v>
      </c>
      <c r="T222" s="202">
        <f t="shared" si="28"/>
        <v>619.65811965811974</v>
      </c>
    </row>
    <row r="223" spans="2:20" x14ac:dyDescent="0.25">
      <c r="B223" s="199">
        <v>44967</v>
      </c>
      <c r="C223" s="233">
        <v>2</v>
      </c>
      <c r="D223" s="233" t="s">
        <v>459</v>
      </c>
      <c r="E223" s="233" t="s">
        <v>205</v>
      </c>
      <c r="F223" s="233" t="s">
        <v>45</v>
      </c>
      <c r="G223" s="233">
        <v>163</v>
      </c>
      <c r="H223" s="233">
        <v>10094</v>
      </c>
      <c r="I223" s="233" t="s">
        <v>678</v>
      </c>
      <c r="J223" s="233" t="s">
        <v>914</v>
      </c>
      <c r="K223" s="3" t="s">
        <v>734</v>
      </c>
      <c r="L223" s="3" t="s">
        <v>358</v>
      </c>
      <c r="M223" s="238">
        <v>0.73125000000000007</v>
      </c>
      <c r="N223" s="238">
        <v>0.95833333333333337</v>
      </c>
      <c r="O223" s="196">
        <v>3635</v>
      </c>
      <c r="P223" s="233" t="s">
        <v>492</v>
      </c>
      <c r="Q223" s="3">
        <v>4.8099999999999996</v>
      </c>
      <c r="R223" s="205">
        <v>4.9800000000000004</v>
      </c>
      <c r="S223" s="202">
        <f t="shared" si="27"/>
        <v>755.71725571725574</v>
      </c>
      <c r="T223" s="202">
        <f t="shared" si="28"/>
        <v>729.9196787148594</v>
      </c>
    </row>
    <row r="224" spans="2:20" x14ac:dyDescent="0.25">
      <c r="B224" s="199">
        <v>44967</v>
      </c>
      <c r="C224" s="3">
        <v>3</v>
      </c>
      <c r="D224" s="3" t="s">
        <v>466</v>
      </c>
      <c r="E224" s="3" t="s">
        <v>3</v>
      </c>
      <c r="F224" s="233" t="s">
        <v>912</v>
      </c>
      <c r="G224" s="3">
        <v>164</v>
      </c>
      <c r="H224" s="233">
        <v>10094</v>
      </c>
      <c r="I224" s="233" t="s">
        <v>678</v>
      </c>
      <c r="J224" s="233" t="s">
        <v>914</v>
      </c>
      <c r="K224" s="233" t="s">
        <v>734</v>
      </c>
      <c r="L224" s="233" t="s">
        <v>358</v>
      </c>
      <c r="M224" s="238">
        <v>0.95833333333333337</v>
      </c>
      <c r="N224" s="238">
        <v>0.97916666666666663</v>
      </c>
      <c r="O224" s="196">
        <v>160</v>
      </c>
      <c r="P224" s="233" t="s">
        <v>492</v>
      </c>
      <c r="Q224" s="3">
        <v>0.33</v>
      </c>
      <c r="R224" s="205">
        <v>0.33</v>
      </c>
      <c r="S224" s="202">
        <f t="shared" si="27"/>
        <v>484.84848484848482</v>
      </c>
      <c r="T224" s="202">
        <f t="shared" si="28"/>
        <v>484.84848484848482</v>
      </c>
    </row>
    <row r="225" spans="2:20" x14ac:dyDescent="0.25">
      <c r="B225" s="199">
        <v>44967</v>
      </c>
      <c r="C225" s="233">
        <v>3</v>
      </c>
      <c r="D225" s="233" t="s">
        <v>466</v>
      </c>
      <c r="E225" s="233" t="s">
        <v>3</v>
      </c>
      <c r="F225" s="233" t="s">
        <v>912</v>
      </c>
      <c r="G225" s="233">
        <v>165</v>
      </c>
      <c r="H225" s="233">
        <v>10094</v>
      </c>
      <c r="I225" s="233" t="s">
        <v>678</v>
      </c>
      <c r="J225" s="233" t="s">
        <v>914</v>
      </c>
      <c r="K225" s="233" t="s">
        <v>734</v>
      </c>
      <c r="L225" s="233" t="s">
        <v>32</v>
      </c>
      <c r="M225" s="238">
        <v>0.97916666666666663</v>
      </c>
      <c r="N225" s="238">
        <v>0.14930555555555555</v>
      </c>
      <c r="O225" s="196">
        <v>2630</v>
      </c>
      <c r="P225" s="233" t="s">
        <v>492</v>
      </c>
      <c r="Q225" s="3">
        <v>3.9</v>
      </c>
      <c r="R225" s="205">
        <v>4.16</v>
      </c>
      <c r="S225" s="202">
        <f t="shared" si="27"/>
        <v>674.35897435897436</v>
      </c>
      <c r="T225" s="168">
        <f t="shared" si="28"/>
        <v>632.21153846153845</v>
      </c>
    </row>
    <row r="226" spans="2:20" x14ac:dyDescent="0.25">
      <c r="B226" s="199">
        <v>44967</v>
      </c>
      <c r="C226" s="233">
        <v>3</v>
      </c>
      <c r="D226" s="233" t="s">
        <v>466</v>
      </c>
      <c r="E226" s="233" t="s">
        <v>3</v>
      </c>
      <c r="F226" s="233" t="s">
        <v>912</v>
      </c>
      <c r="G226" s="233">
        <v>166</v>
      </c>
      <c r="H226" s="233">
        <v>10094</v>
      </c>
      <c r="I226" s="233" t="s">
        <v>678</v>
      </c>
      <c r="J226" s="233" t="s">
        <v>914</v>
      </c>
      <c r="K226" s="233" t="s">
        <v>734</v>
      </c>
      <c r="L226" s="233" t="s">
        <v>696</v>
      </c>
      <c r="M226" s="238">
        <v>0.16319444444444445</v>
      </c>
      <c r="N226" s="238">
        <v>0.29166666666666669</v>
      </c>
      <c r="O226" s="196">
        <v>257</v>
      </c>
      <c r="P226" s="233" t="s">
        <v>492</v>
      </c>
      <c r="Q226" s="3">
        <v>0.55000000000000004</v>
      </c>
      <c r="R226" s="205">
        <v>0.56000000000000005</v>
      </c>
      <c r="S226" s="168">
        <f t="shared" si="27"/>
        <v>467.27272727272725</v>
      </c>
      <c r="T226" s="168">
        <f t="shared" si="28"/>
        <v>458.92857142857139</v>
      </c>
    </row>
    <row r="227" spans="2:20" x14ac:dyDescent="0.25">
      <c r="B227" s="199">
        <v>44968</v>
      </c>
      <c r="C227" s="233">
        <v>1</v>
      </c>
      <c r="D227" s="233" t="s">
        <v>7</v>
      </c>
      <c r="E227" s="233" t="s">
        <v>190</v>
      </c>
      <c r="F227" s="233" t="s">
        <v>916</v>
      </c>
      <c r="G227" s="233">
        <v>167</v>
      </c>
      <c r="H227" s="233">
        <v>2500</v>
      </c>
      <c r="I227" s="233" t="s">
        <v>678</v>
      </c>
      <c r="J227" s="233" t="s">
        <v>914</v>
      </c>
      <c r="K227" s="233" t="s">
        <v>734</v>
      </c>
      <c r="L227" s="233" t="s">
        <v>696</v>
      </c>
      <c r="M227" s="238">
        <v>0.29166666666666669</v>
      </c>
      <c r="N227" s="238">
        <v>0.47222222222222227</v>
      </c>
      <c r="O227" s="196">
        <v>650</v>
      </c>
      <c r="P227" s="233" t="s">
        <v>492</v>
      </c>
      <c r="Q227" s="3">
        <v>0.9</v>
      </c>
      <c r="R227" s="205">
        <v>0.91</v>
      </c>
      <c r="S227" s="168">
        <f t="shared" si="27"/>
        <v>722.22222222222217</v>
      </c>
      <c r="T227" s="168">
        <f t="shared" si="28"/>
        <v>714.28571428571422</v>
      </c>
    </row>
    <row r="228" spans="2:20" x14ac:dyDescent="0.25">
      <c r="B228" s="199">
        <v>44968</v>
      </c>
      <c r="C228" s="3">
        <v>1</v>
      </c>
      <c r="D228" s="233" t="s">
        <v>7</v>
      </c>
      <c r="E228" s="233" t="s">
        <v>7</v>
      </c>
      <c r="G228" s="3">
        <v>168</v>
      </c>
      <c r="H228" s="233">
        <v>2500</v>
      </c>
      <c r="I228" s="233" t="s">
        <v>678</v>
      </c>
      <c r="J228" s="233" t="s">
        <v>914</v>
      </c>
      <c r="K228" s="233" t="s">
        <v>734</v>
      </c>
      <c r="L228" s="233" t="s">
        <v>32</v>
      </c>
      <c r="M228" s="238">
        <v>0.47222222222222227</v>
      </c>
      <c r="N228" s="238">
        <v>0.625</v>
      </c>
      <c r="O228" s="196">
        <v>2359</v>
      </c>
      <c r="P228" s="233" t="s">
        <v>492</v>
      </c>
      <c r="Q228" s="3">
        <v>3.01</v>
      </c>
      <c r="R228" s="205">
        <v>3.96</v>
      </c>
      <c r="S228" s="202">
        <f t="shared" ref="S228:S237" si="29">O228/Q228</f>
        <v>783.7209302325582</v>
      </c>
      <c r="T228" s="202">
        <f t="shared" ref="T228:T237" si="30">IFERROR(O228/R228,"")</f>
        <v>595.70707070707067</v>
      </c>
    </row>
    <row r="229" spans="2:20" x14ac:dyDescent="0.25">
      <c r="B229" s="199">
        <v>44968</v>
      </c>
      <c r="C229" s="233">
        <v>2</v>
      </c>
      <c r="D229" s="233" t="s">
        <v>459</v>
      </c>
      <c r="E229" s="233" t="s">
        <v>188</v>
      </c>
      <c r="G229" s="233">
        <v>169</v>
      </c>
      <c r="H229" s="233">
        <v>7000</v>
      </c>
      <c r="I229" s="233" t="s">
        <v>707</v>
      </c>
      <c r="J229" s="233" t="s">
        <v>753</v>
      </c>
      <c r="K229" s="233" t="s">
        <v>734</v>
      </c>
      <c r="L229" s="233" t="s">
        <v>32</v>
      </c>
      <c r="M229" s="238">
        <v>0.625</v>
      </c>
      <c r="N229" s="238">
        <v>0.95833333333333337</v>
      </c>
      <c r="O229" s="196">
        <v>4890</v>
      </c>
      <c r="P229" s="233" t="s">
        <v>492</v>
      </c>
      <c r="Q229" s="3">
        <v>7.19</v>
      </c>
      <c r="R229" s="205">
        <v>7.75</v>
      </c>
      <c r="S229" s="202">
        <f t="shared" si="29"/>
        <v>680.11126564673157</v>
      </c>
      <c r="T229" s="202">
        <f t="shared" si="30"/>
        <v>630.9677419354839</v>
      </c>
    </row>
    <row r="230" spans="2:20" x14ac:dyDescent="0.25">
      <c r="B230" s="199">
        <v>44968</v>
      </c>
      <c r="C230" s="3">
        <v>3</v>
      </c>
      <c r="D230" s="3" t="s">
        <v>466</v>
      </c>
      <c r="E230" s="3" t="s">
        <v>3</v>
      </c>
      <c r="F230" s="233" t="s">
        <v>912</v>
      </c>
      <c r="G230" s="3">
        <v>170</v>
      </c>
      <c r="H230" s="233">
        <v>7000</v>
      </c>
      <c r="I230" s="233" t="s">
        <v>707</v>
      </c>
      <c r="J230" s="233" t="s">
        <v>753</v>
      </c>
      <c r="K230" s="233" t="s">
        <v>734</v>
      </c>
      <c r="L230" s="233" t="s">
        <v>32</v>
      </c>
      <c r="M230" s="238">
        <v>0.95833333333333337</v>
      </c>
      <c r="N230" s="238">
        <v>2.4305555555555556E-2</v>
      </c>
      <c r="O230" s="196">
        <v>920</v>
      </c>
      <c r="P230" s="233" t="s">
        <v>492</v>
      </c>
      <c r="Q230" s="3">
        <v>1.26</v>
      </c>
      <c r="R230" s="205">
        <v>1.43</v>
      </c>
      <c r="S230" s="202">
        <f t="shared" si="29"/>
        <v>730.15873015873012</v>
      </c>
      <c r="T230" s="202">
        <f t="shared" si="30"/>
        <v>643.35664335664342</v>
      </c>
    </row>
    <row r="231" spans="2:20" x14ac:dyDescent="0.25">
      <c r="B231" s="199">
        <v>44968</v>
      </c>
      <c r="C231" s="233">
        <v>3</v>
      </c>
      <c r="D231" s="233" t="s">
        <v>466</v>
      </c>
      <c r="E231" s="233" t="s">
        <v>3</v>
      </c>
      <c r="F231" s="233" t="s">
        <v>912</v>
      </c>
      <c r="G231" s="233">
        <v>171</v>
      </c>
      <c r="H231" s="3">
        <v>9500</v>
      </c>
      <c r="I231" s="3" t="s">
        <v>683</v>
      </c>
      <c r="J231" s="3" t="s">
        <v>920</v>
      </c>
      <c r="K231" s="233" t="s">
        <v>734</v>
      </c>
      <c r="L231" s="233" t="s">
        <v>32</v>
      </c>
      <c r="M231" s="238">
        <v>2.4305555555555556E-2</v>
      </c>
      <c r="N231" s="238">
        <v>0.29166666666666669</v>
      </c>
      <c r="O231" s="196">
        <v>2894</v>
      </c>
      <c r="P231" s="233" t="s">
        <v>492</v>
      </c>
      <c r="Q231" s="3">
        <v>5.0999999999999996</v>
      </c>
      <c r="R231" s="205">
        <v>5.28</v>
      </c>
      <c r="S231" s="168">
        <f t="shared" si="29"/>
        <v>567.45098039215691</v>
      </c>
      <c r="T231" s="168">
        <f t="shared" si="30"/>
        <v>548.10606060606062</v>
      </c>
    </row>
    <row r="232" spans="2:20" x14ac:dyDescent="0.25">
      <c r="B232" s="199">
        <v>44969</v>
      </c>
      <c r="C232" s="233">
        <v>1</v>
      </c>
      <c r="D232" s="233" t="s">
        <v>7</v>
      </c>
      <c r="E232" s="233" t="s">
        <v>7</v>
      </c>
      <c r="G232" s="233">
        <v>172</v>
      </c>
      <c r="H232" s="233">
        <v>9500</v>
      </c>
      <c r="I232" s="233" t="s">
        <v>683</v>
      </c>
      <c r="J232" s="233" t="s">
        <v>920</v>
      </c>
      <c r="K232" s="233" t="s">
        <v>734</v>
      </c>
      <c r="L232" s="233" t="s">
        <v>32</v>
      </c>
      <c r="M232" s="238">
        <v>0.29166666666666669</v>
      </c>
      <c r="N232" s="238">
        <v>0.625</v>
      </c>
      <c r="O232" s="196">
        <v>3805</v>
      </c>
      <c r="P232" s="233" t="s">
        <v>492</v>
      </c>
      <c r="Q232" s="3">
        <v>6.22</v>
      </c>
      <c r="R232" s="205">
        <v>6.47</v>
      </c>
      <c r="S232" s="168">
        <f t="shared" si="29"/>
        <v>611.7363344051447</v>
      </c>
      <c r="T232" s="168">
        <f t="shared" si="30"/>
        <v>588.09891808346219</v>
      </c>
    </row>
    <row r="233" spans="2:20" x14ac:dyDescent="0.25">
      <c r="B233" s="199">
        <v>44969</v>
      </c>
      <c r="C233" s="3">
        <v>2</v>
      </c>
      <c r="D233" s="3" t="s">
        <v>459</v>
      </c>
      <c r="E233" s="3" t="s">
        <v>188</v>
      </c>
      <c r="G233" s="3">
        <v>173</v>
      </c>
      <c r="H233" s="233">
        <v>9500</v>
      </c>
      <c r="I233" s="233" t="s">
        <v>683</v>
      </c>
      <c r="J233" s="233" t="s">
        <v>920</v>
      </c>
      <c r="K233" s="233" t="s">
        <v>734</v>
      </c>
      <c r="L233" s="233" t="s">
        <v>32</v>
      </c>
      <c r="M233" s="238">
        <v>0.625</v>
      </c>
      <c r="N233" s="238">
        <v>0.90277777777777779</v>
      </c>
      <c r="O233" s="196">
        <v>3600</v>
      </c>
      <c r="P233" s="3" t="s">
        <v>492</v>
      </c>
      <c r="Q233" s="3">
        <v>5.8</v>
      </c>
      <c r="R233" s="205">
        <v>5.95</v>
      </c>
      <c r="S233" s="168">
        <f t="shared" si="29"/>
        <v>620.68965517241384</v>
      </c>
      <c r="T233" s="168">
        <f t="shared" si="30"/>
        <v>605.0420168067227</v>
      </c>
    </row>
    <row r="234" spans="2:20" x14ac:dyDescent="0.25">
      <c r="B234" s="199">
        <v>44969</v>
      </c>
      <c r="C234" s="233">
        <v>2</v>
      </c>
      <c r="D234" s="233" t="s">
        <v>459</v>
      </c>
      <c r="E234" s="233" t="s">
        <v>188</v>
      </c>
      <c r="F234" s="233"/>
      <c r="G234" s="233">
        <v>174</v>
      </c>
      <c r="H234" s="233">
        <v>14700</v>
      </c>
      <c r="I234" s="233" t="s">
        <v>924</v>
      </c>
      <c r="J234" s="233" t="s">
        <v>923</v>
      </c>
      <c r="K234" s="233" t="s">
        <v>734</v>
      </c>
      <c r="L234" s="3" t="s">
        <v>32</v>
      </c>
      <c r="M234" s="238">
        <v>0.90277777777777779</v>
      </c>
      <c r="N234" s="238">
        <v>0.95833333333333337</v>
      </c>
      <c r="O234" s="196">
        <v>946</v>
      </c>
      <c r="P234" s="233" t="s">
        <v>492</v>
      </c>
      <c r="Q234" s="3">
        <v>1.37</v>
      </c>
      <c r="R234" s="205">
        <v>1.4</v>
      </c>
      <c r="S234" s="168">
        <f t="shared" si="29"/>
        <v>690.51094890510944</v>
      </c>
      <c r="T234" s="168">
        <f t="shared" si="30"/>
        <v>675.71428571428578</v>
      </c>
    </row>
    <row r="235" spans="2:20" x14ac:dyDescent="0.25">
      <c r="B235" s="199">
        <v>44969</v>
      </c>
      <c r="C235" s="3">
        <v>3</v>
      </c>
      <c r="D235" s="3" t="s">
        <v>466</v>
      </c>
      <c r="E235" s="3" t="s">
        <v>3</v>
      </c>
      <c r="F235" s="233" t="s">
        <v>912</v>
      </c>
      <c r="G235" s="233">
        <v>175</v>
      </c>
      <c r="H235" s="233">
        <v>14700</v>
      </c>
      <c r="I235" s="233" t="s">
        <v>924</v>
      </c>
      <c r="J235" s="233" t="s">
        <v>923</v>
      </c>
      <c r="K235" s="233" t="s">
        <v>734</v>
      </c>
      <c r="L235" s="233" t="s">
        <v>32</v>
      </c>
      <c r="M235" s="238">
        <v>0.95833333333333337</v>
      </c>
      <c r="N235" s="238">
        <v>0.29166666666666669</v>
      </c>
      <c r="O235" s="196">
        <v>5681</v>
      </c>
      <c r="P235" s="233" t="s">
        <v>492</v>
      </c>
      <c r="Q235" s="3">
        <v>7.22</v>
      </c>
      <c r="R235" s="205">
        <v>7.16</v>
      </c>
      <c r="S235" s="168">
        <f t="shared" si="29"/>
        <v>786.84210526315792</v>
      </c>
      <c r="T235" s="168">
        <f t="shared" si="30"/>
        <v>793.43575418994408</v>
      </c>
    </row>
    <row r="236" spans="2:20" x14ac:dyDescent="0.25">
      <c r="B236" s="199">
        <v>44970</v>
      </c>
      <c r="C236" s="3">
        <v>1</v>
      </c>
      <c r="D236" s="3" t="s">
        <v>4</v>
      </c>
      <c r="E236" s="3" t="s">
        <v>173</v>
      </c>
      <c r="F236" s="233" t="s">
        <v>928</v>
      </c>
      <c r="G236" s="233">
        <v>176</v>
      </c>
      <c r="H236" s="233">
        <v>14700</v>
      </c>
      <c r="I236" s="233" t="s">
        <v>924</v>
      </c>
      <c r="J236" s="233" t="s">
        <v>923</v>
      </c>
      <c r="K236" s="233" t="s">
        <v>734</v>
      </c>
      <c r="L236" s="233" t="s">
        <v>32</v>
      </c>
      <c r="M236" s="238">
        <v>0.29166666666666669</v>
      </c>
      <c r="N236" s="238">
        <v>0.625</v>
      </c>
      <c r="O236" s="196">
        <v>4634</v>
      </c>
      <c r="P236" s="233" t="s">
        <v>492</v>
      </c>
      <c r="Q236" s="3">
        <v>5.67</v>
      </c>
      <c r="R236" s="205">
        <v>5.68</v>
      </c>
      <c r="S236" s="168">
        <f t="shared" si="29"/>
        <v>817.28395061728395</v>
      </c>
      <c r="T236" s="168">
        <f t="shared" si="30"/>
        <v>815.84507042253529</v>
      </c>
    </row>
    <row r="237" spans="2:20" x14ac:dyDescent="0.25">
      <c r="B237" s="199">
        <v>44970</v>
      </c>
      <c r="C237" s="3">
        <v>2</v>
      </c>
      <c r="D237" s="3" t="s">
        <v>182</v>
      </c>
      <c r="E237" s="3" t="s">
        <v>182</v>
      </c>
      <c r="G237" s="3">
        <v>177</v>
      </c>
      <c r="H237" s="3">
        <v>2000</v>
      </c>
      <c r="I237" s="233" t="s">
        <v>769</v>
      </c>
      <c r="J237" s="3" t="s">
        <v>851</v>
      </c>
      <c r="K237" s="3" t="s">
        <v>734</v>
      </c>
      <c r="L237" s="3" t="s">
        <v>32</v>
      </c>
      <c r="M237" s="238">
        <v>0.625</v>
      </c>
      <c r="N237" s="238">
        <v>0.75</v>
      </c>
      <c r="O237" s="196">
        <v>1408</v>
      </c>
      <c r="P237" s="233" t="s">
        <v>492</v>
      </c>
      <c r="Q237" s="3">
        <v>2.11</v>
      </c>
      <c r="R237" s="205">
        <v>2.5</v>
      </c>
      <c r="S237" s="168">
        <f t="shared" si="29"/>
        <v>667.29857819905214</v>
      </c>
      <c r="T237" s="168">
        <f t="shared" si="30"/>
        <v>563.20000000000005</v>
      </c>
    </row>
    <row r="238" spans="2:20" x14ac:dyDescent="0.25">
      <c r="B238" s="199">
        <v>44970</v>
      </c>
      <c r="C238" s="233">
        <v>2</v>
      </c>
      <c r="D238" s="3" t="s">
        <v>466</v>
      </c>
      <c r="E238" s="233" t="s">
        <v>466</v>
      </c>
      <c r="F238" s="3" t="s">
        <v>930</v>
      </c>
      <c r="G238" s="3">
        <v>178</v>
      </c>
      <c r="H238" s="3">
        <v>11175</v>
      </c>
      <c r="I238" s="3" t="s">
        <v>840</v>
      </c>
      <c r="J238" s="3" t="s">
        <v>929</v>
      </c>
      <c r="K238" s="191" t="s">
        <v>737</v>
      </c>
      <c r="L238" s="3" t="s">
        <v>358</v>
      </c>
      <c r="M238" s="238">
        <v>0.89930555555555547</v>
      </c>
      <c r="N238" s="238">
        <v>0.95833333333333337</v>
      </c>
      <c r="O238" s="196">
        <v>692</v>
      </c>
      <c r="P238" s="3" t="s">
        <v>492</v>
      </c>
      <c r="Q238" s="3">
        <f>3.22-2.11</f>
        <v>1.1100000000000003</v>
      </c>
      <c r="R238" s="205">
        <f>3.48-2.5</f>
        <v>0.98</v>
      </c>
      <c r="S238" s="202">
        <f>O238/Q238</f>
        <v>623.42342342342329</v>
      </c>
      <c r="T238" s="202">
        <f>IFERROR(O238/R238,"")</f>
        <v>706.12244897959181</v>
      </c>
    </row>
    <row r="239" spans="2:20" x14ac:dyDescent="0.25">
      <c r="B239" s="199">
        <v>44970</v>
      </c>
      <c r="C239" s="3">
        <v>3</v>
      </c>
      <c r="D239" s="3" t="s">
        <v>7</v>
      </c>
      <c r="E239" s="3" t="s">
        <v>190</v>
      </c>
      <c r="F239" s="3" t="s">
        <v>39</v>
      </c>
      <c r="G239" s="233">
        <v>179</v>
      </c>
      <c r="H239" s="233">
        <v>11175</v>
      </c>
      <c r="I239" s="233" t="s">
        <v>840</v>
      </c>
      <c r="J239" s="233" t="s">
        <v>929</v>
      </c>
      <c r="K239" s="191" t="s">
        <v>737</v>
      </c>
      <c r="L239" s="233" t="s">
        <v>358</v>
      </c>
      <c r="M239" s="238">
        <v>0.95833333333333337</v>
      </c>
      <c r="N239" s="238">
        <v>0.29166666666666669</v>
      </c>
      <c r="O239" s="196">
        <v>5747</v>
      </c>
      <c r="P239" s="3" t="s">
        <v>492</v>
      </c>
      <c r="Q239" s="3">
        <v>6.84</v>
      </c>
      <c r="R239" s="205">
        <v>6.83</v>
      </c>
      <c r="S239" s="202">
        <f>O239/Q239</f>
        <v>840.20467836257308</v>
      </c>
      <c r="T239" s="202">
        <f>IFERROR(O239/R239,"")</f>
        <v>841.43484626647148</v>
      </c>
    </row>
    <row r="240" spans="2:20" x14ac:dyDescent="0.25">
      <c r="B240" s="199">
        <v>44971</v>
      </c>
      <c r="C240" s="3">
        <v>1</v>
      </c>
      <c r="D240" s="3" t="s">
        <v>223</v>
      </c>
      <c r="E240" s="3" t="s">
        <v>173</v>
      </c>
      <c r="F240" s="3" t="s">
        <v>47</v>
      </c>
      <c r="G240" s="233">
        <v>180</v>
      </c>
      <c r="H240" s="233">
        <v>11175</v>
      </c>
      <c r="I240" s="233" t="s">
        <v>840</v>
      </c>
      <c r="J240" s="233" t="s">
        <v>929</v>
      </c>
      <c r="K240" s="191" t="s">
        <v>737</v>
      </c>
      <c r="L240" s="233" t="s">
        <v>358</v>
      </c>
      <c r="M240" s="238">
        <v>0.29166666666666669</v>
      </c>
      <c r="N240" s="238">
        <v>0.625</v>
      </c>
      <c r="O240" s="196">
        <v>523</v>
      </c>
      <c r="P240" s="233" t="s">
        <v>492</v>
      </c>
      <c r="Q240" s="3">
        <v>0.64</v>
      </c>
      <c r="R240" s="205">
        <v>0.59</v>
      </c>
      <c r="S240" s="202">
        <f>O240/Q240</f>
        <v>817.1875</v>
      </c>
      <c r="T240" s="202">
        <f>IFERROR(O240/R240,"")</f>
        <v>886.4406779661017</v>
      </c>
    </row>
    <row r="241" spans="2:20" x14ac:dyDescent="0.25">
      <c r="B241" s="199">
        <v>44971</v>
      </c>
      <c r="C241" s="3">
        <v>2</v>
      </c>
      <c r="D241" s="3" t="s">
        <v>3</v>
      </c>
      <c r="E241" s="233" t="s">
        <v>3</v>
      </c>
      <c r="M241" s="238">
        <v>0.625</v>
      </c>
      <c r="N241" s="238">
        <v>0.95833333333333337</v>
      </c>
      <c r="O241" s="196">
        <v>0</v>
      </c>
      <c r="P241" s="3">
        <v>0</v>
      </c>
      <c r="Q241" s="3">
        <v>0</v>
      </c>
      <c r="R241" s="205">
        <v>0</v>
      </c>
      <c r="S241" s="202" t="e">
        <f t="shared" ref="S241:S251" si="31">O241/Q241</f>
        <v>#DIV/0!</v>
      </c>
      <c r="T241" s="202" t="str">
        <f t="shared" ref="T241:T251" si="32">IFERROR(O241/R241,"")</f>
        <v/>
      </c>
    </row>
    <row r="242" spans="2:20" x14ac:dyDescent="0.25">
      <c r="B242" s="199">
        <v>44971</v>
      </c>
      <c r="C242" s="3">
        <v>3</v>
      </c>
      <c r="D242" s="233" t="s">
        <v>7</v>
      </c>
      <c r="E242" s="233" t="s">
        <v>190</v>
      </c>
      <c r="M242" s="238">
        <v>0.95833333333333337</v>
      </c>
      <c r="N242" s="238">
        <v>0.29166666666666669</v>
      </c>
      <c r="O242" s="196">
        <v>0</v>
      </c>
      <c r="P242" s="233">
        <v>0</v>
      </c>
      <c r="Q242" s="233">
        <v>0</v>
      </c>
      <c r="R242" s="205">
        <v>0</v>
      </c>
      <c r="S242" s="202" t="e">
        <f t="shared" si="31"/>
        <v>#DIV/0!</v>
      </c>
      <c r="T242" s="202" t="str">
        <f t="shared" si="32"/>
        <v/>
      </c>
    </row>
    <row r="243" spans="2:20" x14ac:dyDescent="0.25">
      <c r="B243" s="199">
        <v>44972</v>
      </c>
      <c r="C243" s="3">
        <v>1</v>
      </c>
      <c r="D243" s="3" t="s">
        <v>4</v>
      </c>
      <c r="E243" s="3" t="s">
        <v>173</v>
      </c>
      <c r="M243" s="238">
        <v>0.29166666666666669</v>
      </c>
      <c r="N243" s="238">
        <v>0.625</v>
      </c>
      <c r="O243" s="196">
        <v>0</v>
      </c>
      <c r="P243" s="233">
        <v>0</v>
      </c>
      <c r="Q243" s="233">
        <v>0</v>
      </c>
      <c r="R243" s="205">
        <v>0</v>
      </c>
      <c r="S243" s="202" t="e">
        <f t="shared" si="31"/>
        <v>#DIV/0!</v>
      </c>
      <c r="T243" s="202" t="str">
        <f t="shared" si="32"/>
        <v/>
      </c>
    </row>
    <row r="244" spans="2:20" x14ac:dyDescent="0.25">
      <c r="B244" s="199">
        <v>44972</v>
      </c>
      <c r="C244" s="3">
        <v>2</v>
      </c>
      <c r="D244" s="3" t="s">
        <v>182</v>
      </c>
      <c r="E244" s="3" t="s">
        <v>3</v>
      </c>
      <c r="M244" s="238">
        <v>0.625</v>
      </c>
      <c r="N244" s="238">
        <v>0.95833333333333337</v>
      </c>
      <c r="O244" s="196">
        <v>0</v>
      </c>
      <c r="P244" s="233">
        <v>0</v>
      </c>
      <c r="Q244" s="233">
        <v>0</v>
      </c>
      <c r="R244" s="205">
        <v>0</v>
      </c>
      <c r="S244" s="202" t="e">
        <f t="shared" si="31"/>
        <v>#DIV/0!</v>
      </c>
      <c r="T244" s="202" t="str">
        <f t="shared" si="32"/>
        <v/>
      </c>
    </row>
    <row r="245" spans="2:20" x14ac:dyDescent="0.25">
      <c r="B245" s="199">
        <v>44972</v>
      </c>
      <c r="C245" s="3">
        <v>3</v>
      </c>
      <c r="D245" s="233" t="s">
        <v>7</v>
      </c>
      <c r="E245" s="233" t="s">
        <v>190</v>
      </c>
      <c r="M245" s="238">
        <v>0.95833333333333337</v>
      </c>
      <c r="N245" s="238">
        <v>0.29166666666666669</v>
      </c>
      <c r="O245" s="196">
        <v>0</v>
      </c>
      <c r="P245" s="3">
        <v>0</v>
      </c>
      <c r="Q245" s="3">
        <v>0</v>
      </c>
      <c r="R245" s="205">
        <v>0</v>
      </c>
      <c r="S245" s="202" t="e">
        <f t="shared" si="31"/>
        <v>#DIV/0!</v>
      </c>
      <c r="T245" s="202" t="str">
        <f t="shared" si="32"/>
        <v/>
      </c>
    </row>
    <row r="246" spans="2:20" x14ac:dyDescent="0.25">
      <c r="B246" s="199">
        <v>44973</v>
      </c>
      <c r="C246" s="3">
        <v>1</v>
      </c>
      <c r="D246" s="3" t="s">
        <v>459</v>
      </c>
      <c r="E246" s="233" t="s">
        <v>205</v>
      </c>
      <c r="M246" s="238">
        <v>0.29166666666666669</v>
      </c>
      <c r="N246" s="238">
        <v>0.625</v>
      </c>
      <c r="O246" s="196">
        <v>0</v>
      </c>
      <c r="P246" s="233">
        <v>0</v>
      </c>
      <c r="Q246" s="233">
        <v>0</v>
      </c>
      <c r="R246" s="205">
        <v>0</v>
      </c>
      <c r="S246" s="202" t="e">
        <f t="shared" si="31"/>
        <v>#DIV/0!</v>
      </c>
      <c r="T246" s="202" t="str">
        <f t="shared" si="32"/>
        <v/>
      </c>
    </row>
    <row r="247" spans="2:20" x14ac:dyDescent="0.25">
      <c r="B247" s="199">
        <v>44973</v>
      </c>
      <c r="C247" s="3">
        <v>2</v>
      </c>
      <c r="D247" s="233" t="s">
        <v>3</v>
      </c>
      <c r="E247" s="233" t="s">
        <v>3</v>
      </c>
      <c r="M247" s="238">
        <v>0.625</v>
      </c>
      <c r="N247" s="238">
        <v>0.95833333333333337</v>
      </c>
      <c r="O247" s="196">
        <v>0</v>
      </c>
      <c r="P247" s="233">
        <v>0</v>
      </c>
      <c r="Q247" s="233">
        <v>0</v>
      </c>
      <c r="R247" s="205">
        <v>0</v>
      </c>
      <c r="S247" s="202" t="e">
        <f t="shared" si="31"/>
        <v>#DIV/0!</v>
      </c>
      <c r="T247" s="202" t="str">
        <f t="shared" si="32"/>
        <v/>
      </c>
    </row>
    <row r="248" spans="2:20" x14ac:dyDescent="0.25">
      <c r="B248" s="199">
        <v>44973</v>
      </c>
      <c r="C248" s="3">
        <v>3</v>
      </c>
      <c r="D248" s="233" t="s">
        <v>7</v>
      </c>
      <c r="E248" s="233" t="s">
        <v>190</v>
      </c>
      <c r="M248" s="238">
        <v>0.95833333333333337</v>
      </c>
      <c r="N248" s="238">
        <v>0.29166666666666669</v>
      </c>
      <c r="O248" s="196">
        <v>0</v>
      </c>
      <c r="P248" s="233">
        <v>0</v>
      </c>
      <c r="Q248" s="233">
        <v>0</v>
      </c>
      <c r="R248" s="205">
        <v>0</v>
      </c>
      <c r="S248" s="202" t="e">
        <f t="shared" si="31"/>
        <v>#DIV/0!</v>
      </c>
      <c r="T248" s="202" t="str">
        <f t="shared" si="32"/>
        <v/>
      </c>
    </row>
    <row r="249" spans="2:20" x14ac:dyDescent="0.25">
      <c r="B249" s="199">
        <v>44974</v>
      </c>
      <c r="C249" s="3">
        <v>1</v>
      </c>
      <c r="D249" s="3" t="s">
        <v>459</v>
      </c>
      <c r="E249" s="3" t="s">
        <v>188</v>
      </c>
      <c r="F249" s="3" t="s">
        <v>47</v>
      </c>
      <c r="G249" s="3">
        <v>181</v>
      </c>
      <c r="H249" s="3">
        <v>13165</v>
      </c>
      <c r="I249" s="3" t="s">
        <v>683</v>
      </c>
      <c r="J249" s="3" t="s">
        <v>908</v>
      </c>
      <c r="K249" s="3" t="s">
        <v>737</v>
      </c>
      <c r="L249" s="3" t="s">
        <v>696</v>
      </c>
      <c r="M249" s="238">
        <v>0.29166666666666669</v>
      </c>
      <c r="N249" s="238">
        <v>0.5083333333333333</v>
      </c>
      <c r="O249" s="196">
        <v>1318</v>
      </c>
      <c r="P249" s="233" t="s">
        <v>492</v>
      </c>
      <c r="Q249" s="3">
        <v>1.68</v>
      </c>
      <c r="R249" s="205">
        <v>1.66</v>
      </c>
      <c r="S249" s="202">
        <f t="shared" si="31"/>
        <v>784.52380952380952</v>
      </c>
      <c r="T249" s="202">
        <f t="shared" si="32"/>
        <v>793.97590361445782</v>
      </c>
    </row>
    <row r="250" spans="2:20" x14ac:dyDescent="0.25">
      <c r="B250" s="199">
        <v>44974</v>
      </c>
      <c r="C250" s="233">
        <v>1</v>
      </c>
      <c r="D250" s="233" t="s">
        <v>459</v>
      </c>
      <c r="E250" s="233" t="s">
        <v>188</v>
      </c>
      <c r="F250" s="233" t="s">
        <v>47</v>
      </c>
      <c r="G250" s="233">
        <v>182</v>
      </c>
      <c r="H250" s="233">
        <v>13165</v>
      </c>
      <c r="I250" s="233" t="s">
        <v>683</v>
      </c>
      <c r="J250" s="233" t="s">
        <v>908</v>
      </c>
      <c r="K250" s="233" t="s">
        <v>733</v>
      </c>
      <c r="L250" s="233" t="s">
        <v>21</v>
      </c>
      <c r="M250" s="238">
        <v>0.5083333333333333</v>
      </c>
      <c r="N250" s="238">
        <v>0.625</v>
      </c>
      <c r="O250" s="196">
        <v>1642</v>
      </c>
      <c r="P250" s="233" t="s">
        <v>492</v>
      </c>
      <c r="Q250" s="3">
        <v>3.01</v>
      </c>
      <c r="R250" s="205">
        <v>2.5299999999999998</v>
      </c>
      <c r="S250" s="202">
        <f t="shared" si="31"/>
        <v>545.51495016611295</v>
      </c>
      <c r="T250" s="202">
        <f t="shared" si="32"/>
        <v>649.01185770750988</v>
      </c>
    </row>
    <row r="251" spans="2:20" x14ac:dyDescent="0.25">
      <c r="B251" s="199">
        <v>44974</v>
      </c>
      <c r="C251" s="3">
        <v>2</v>
      </c>
      <c r="D251" s="3" t="s">
        <v>182</v>
      </c>
      <c r="E251" s="3" t="s">
        <v>3</v>
      </c>
      <c r="F251" s="3" t="s">
        <v>934</v>
      </c>
      <c r="G251" s="3">
        <v>183</v>
      </c>
      <c r="H251" s="233">
        <v>13165</v>
      </c>
      <c r="I251" s="3" t="s">
        <v>683</v>
      </c>
      <c r="J251" s="3" t="s">
        <v>908</v>
      </c>
      <c r="K251" s="233" t="s">
        <v>733</v>
      </c>
      <c r="L251" s="3" t="s">
        <v>21</v>
      </c>
      <c r="M251" s="238">
        <v>0.625</v>
      </c>
      <c r="N251" s="238">
        <v>0.71180555555555547</v>
      </c>
      <c r="O251" s="196">
        <v>1350</v>
      </c>
      <c r="P251" s="233" t="s">
        <v>492</v>
      </c>
      <c r="Q251" s="3">
        <v>1.95</v>
      </c>
      <c r="R251" s="205">
        <v>1.85</v>
      </c>
      <c r="S251" s="168">
        <f t="shared" si="31"/>
        <v>692.30769230769238</v>
      </c>
      <c r="T251" s="168">
        <f t="shared" si="32"/>
        <v>729.72972972972968</v>
      </c>
    </row>
    <row r="252" spans="2:20" x14ac:dyDescent="0.25">
      <c r="B252" s="199">
        <v>44974</v>
      </c>
      <c r="C252" s="233">
        <v>2</v>
      </c>
      <c r="D252" s="233" t="s">
        <v>182</v>
      </c>
      <c r="E252" s="233" t="s">
        <v>3</v>
      </c>
      <c r="F252" s="233" t="s">
        <v>934</v>
      </c>
      <c r="G252" s="233">
        <v>184</v>
      </c>
      <c r="H252" s="233">
        <v>13165</v>
      </c>
      <c r="I252" s="233" t="s">
        <v>683</v>
      </c>
      <c r="J252" s="233" t="s">
        <v>908</v>
      </c>
      <c r="K252" s="191" t="s">
        <v>734</v>
      </c>
      <c r="L252" s="233" t="s">
        <v>696</v>
      </c>
      <c r="M252" s="238">
        <v>0.71180555555555547</v>
      </c>
      <c r="N252" s="238">
        <v>0.77083333333333337</v>
      </c>
      <c r="O252" s="196">
        <v>1200</v>
      </c>
      <c r="P252" s="233" t="s">
        <v>492</v>
      </c>
      <c r="Q252" s="3">
        <v>1.45</v>
      </c>
      <c r="R252" s="205">
        <v>1.37</v>
      </c>
      <c r="S252" s="202">
        <f t="shared" ref="S252:S259" si="33">O252/Q252</f>
        <v>827.58620689655174</v>
      </c>
      <c r="T252" s="202">
        <f t="shared" ref="T252:T259" si="34">IFERROR(O252/R252,"")</f>
        <v>875.91240875912399</v>
      </c>
    </row>
    <row r="253" spans="2:20" x14ac:dyDescent="0.25">
      <c r="B253" s="199">
        <v>44974</v>
      </c>
      <c r="C253" s="233">
        <v>2</v>
      </c>
      <c r="D253" s="233" t="s">
        <v>182</v>
      </c>
      <c r="E253" s="233" t="s">
        <v>3</v>
      </c>
      <c r="F253" s="233" t="s">
        <v>934</v>
      </c>
      <c r="G253" s="233">
        <v>185</v>
      </c>
      <c r="H253" s="233">
        <v>13165</v>
      </c>
      <c r="I253" s="233" t="s">
        <v>683</v>
      </c>
      <c r="J253" s="233" t="s">
        <v>908</v>
      </c>
      <c r="K253" s="233" t="s">
        <v>733</v>
      </c>
      <c r="L253" s="233" t="s">
        <v>21</v>
      </c>
      <c r="M253" s="238">
        <v>0.77083333333333337</v>
      </c>
      <c r="N253" s="238">
        <v>0.95833333333333337</v>
      </c>
      <c r="O253" s="196">
        <v>2811</v>
      </c>
      <c r="P253" s="3" t="s">
        <v>492</v>
      </c>
      <c r="Q253" s="3">
        <f>7.18-1.45-1.95</f>
        <v>3.7799999999999994</v>
      </c>
      <c r="R253" s="205">
        <f>6.83-1.37-1.85</f>
        <v>3.61</v>
      </c>
      <c r="S253" s="202">
        <f t="shared" si="33"/>
        <v>743.65079365079373</v>
      </c>
      <c r="T253" s="202">
        <f t="shared" si="34"/>
        <v>778.67036011080336</v>
      </c>
    </row>
    <row r="254" spans="2:20" x14ac:dyDescent="0.25">
      <c r="B254" s="199">
        <v>44974</v>
      </c>
      <c r="C254" s="3">
        <v>3</v>
      </c>
      <c r="D254" s="233" t="s">
        <v>7</v>
      </c>
      <c r="E254" s="233" t="s">
        <v>190</v>
      </c>
      <c r="F254" s="3" t="s">
        <v>39</v>
      </c>
      <c r="G254" s="233">
        <v>186</v>
      </c>
      <c r="H254" s="233">
        <v>10900</v>
      </c>
      <c r="I254" s="233" t="s">
        <v>683</v>
      </c>
      <c r="J254" s="233" t="s">
        <v>936</v>
      </c>
      <c r="K254" s="191" t="s">
        <v>734</v>
      </c>
      <c r="L254" s="233" t="s">
        <v>696</v>
      </c>
      <c r="M254" s="238">
        <v>0.95833333333333337</v>
      </c>
      <c r="N254" s="238">
        <v>2.0833333333333332E-2</v>
      </c>
      <c r="O254" s="196">
        <v>550</v>
      </c>
      <c r="P254" s="3" t="s">
        <v>492</v>
      </c>
      <c r="Q254" s="3">
        <v>1.5</v>
      </c>
      <c r="R254" s="205">
        <v>1.24</v>
      </c>
      <c r="S254" s="202">
        <f t="shared" si="33"/>
        <v>366.66666666666669</v>
      </c>
      <c r="T254" s="202">
        <f t="shared" si="34"/>
        <v>443.54838709677421</v>
      </c>
    </row>
    <row r="255" spans="2:20" x14ac:dyDescent="0.25">
      <c r="B255" s="199">
        <v>44974</v>
      </c>
      <c r="C255" s="3">
        <v>3</v>
      </c>
      <c r="D255" s="233" t="s">
        <v>7</v>
      </c>
      <c r="E255" s="233" t="s">
        <v>190</v>
      </c>
      <c r="F255" s="233" t="s">
        <v>39</v>
      </c>
      <c r="G255" s="3">
        <v>187</v>
      </c>
      <c r="H255" s="3">
        <v>10900</v>
      </c>
      <c r="I255" s="233" t="s">
        <v>683</v>
      </c>
      <c r="J255" s="233" t="s">
        <v>936</v>
      </c>
      <c r="K255" s="233" t="s">
        <v>733</v>
      </c>
      <c r="L255" s="3" t="s">
        <v>21</v>
      </c>
      <c r="M255" s="238">
        <v>2.0833333333333332E-2</v>
      </c>
      <c r="N255" s="238">
        <v>0.29166666666666669</v>
      </c>
      <c r="O255" s="196">
        <v>3250</v>
      </c>
      <c r="P255" s="3" t="s">
        <v>492</v>
      </c>
      <c r="Q255" s="3">
        <f>5.68-Q254</f>
        <v>4.18</v>
      </c>
      <c r="R255" s="205">
        <f>5.3-R254</f>
        <v>4.0599999999999996</v>
      </c>
      <c r="S255" s="202">
        <f t="shared" si="33"/>
        <v>777.51196172248808</v>
      </c>
      <c r="T255" s="202">
        <f t="shared" si="34"/>
        <v>800.49261083743852</v>
      </c>
    </row>
    <row r="256" spans="2:20" x14ac:dyDescent="0.25">
      <c r="B256" s="199">
        <v>44975</v>
      </c>
      <c r="C256" s="233">
        <v>1</v>
      </c>
      <c r="D256" s="233" t="s">
        <v>1</v>
      </c>
      <c r="E256" s="233" t="s">
        <v>188</v>
      </c>
      <c r="F256" s="233" t="s">
        <v>11</v>
      </c>
      <c r="G256" s="3">
        <v>188</v>
      </c>
      <c r="H256" s="233">
        <v>10900</v>
      </c>
      <c r="I256" s="233" t="s">
        <v>683</v>
      </c>
      <c r="J256" s="233" t="s">
        <v>936</v>
      </c>
      <c r="K256" s="233" t="s">
        <v>733</v>
      </c>
      <c r="L256" s="233" t="s">
        <v>21</v>
      </c>
      <c r="M256" s="238">
        <v>0.29166666666666669</v>
      </c>
      <c r="N256" s="238">
        <v>0.375</v>
      </c>
      <c r="O256" s="196">
        <v>540</v>
      </c>
      <c r="P256" s="3" t="s">
        <v>492</v>
      </c>
      <c r="Q256" s="3">
        <v>0.93</v>
      </c>
      <c r="R256" s="205">
        <v>0.99</v>
      </c>
      <c r="S256" s="202">
        <f t="shared" si="33"/>
        <v>580.64516129032256</v>
      </c>
      <c r="T256" s="202">
        <f t="shared" si="34"/>
        <v>545.4545454545455</v>
      </c>
    </row>
    <row r="257" spans="1:22" x14ac:dyDescent="0.25">
      <c r="B257" s="199">
        <v>44975</v>
      </c>
      <c r="C257" s="233">
        <v>1</v>
      </c>
      <c r="D257" s="233" t="s">
        <v>1</v>
      </c>
      <c r="E257" s="233" t="s">
        <v>188</v>
      </c>
      <c r="F257" s="233" t="s">
        <v>11</v>
      </c>
      <c r="G257" s="233">
        <v>189</v>
      </c>
      <c r="H257" s="233">
        <v>10900</v>
      </c>
      <c r="I257" s="233" t="s">
        <v>683</v>
      </c>
      <c r="J257" s="233" t="s">
        <v>936</v>
      </c>
      <c r="K257" s="191" t="s">
        <v>734</v>
      </c>
      <c r="L257" s="233" t="s">
        <v>473</v>
      </c>
      <c r="M257" s="238">
        <v>0.375</v>
      </c>
      <c r="N257" s="238">
        <v>0.4236111111111111</v>
      </c>
      <c r="O257" s="196">
        <v>215</v>
      </c>
      <c r="P257" s="3" t="s">
        <v>492</v>
      </c>
      <c r="Q257" s="3">
        <f>1.45-Q256</f>
        <v>0.51999999999999991</v>
      </c>
      <c r="R257" s="205">
        <f>1.52-R256</f>
        <v>0.53</v>
      </c>
      <c r="S257" s="202">
        <f t="shared" si="33"/>
        <v>413.46153846153851</v>
      </c>
      <c r="T257" s="202">
        <f t="shared" si="34"/>
        <v>405.66037735849056</v>
      </c>
    </row>
    <row r="258" spans="1:22" x14ac:dyDescent="0.25">
      <c r="B258" s="199">
        <v>44975</v>
      </c>
      <c r="C258" s="233">
        <v>1</v>
      </c>
      <c r="D258" s="233" t="s">
        <v>1</v>
      </c>
      <c r="E258" s="233" t="s">
        <v>188</v>
      </c>
      <c r="F258" s="233" t="s">
        <v>11</v>
      </c>
      <c r="G258" s="233">
        <v>190</v>
      </c>
      <c r="H258" s="233">
        <v>10900</v>
      </c>
      <c r="I258" s="233" t="s">
        <v>683</v>
      </c>
      <c r="J258" s="233" t="s">
        <v>936</v>
      </c>
      <c r="K258" s="233" t="s">
        <v>733</v>
      </c>
      <c r="L258" s="233" t="s">
        <v>21</v>
      </c>
      <c r="M258" s="238">
        <v>0.4236111111111111</v>
      </c>
      <c r="N258" s="238">
        <v>0.625</v>
      </c>
      <c r="O258" s="196">
        <v>2623</v>
      </c>
      <c r="P258" s="233" t="s">
        <v>492</v>
      </c>
      <c r="Q258" s="3">
        <v>4.13</v>
      </c>
      <c r="R258" s="205">
        <v>4.21</v>
      </c>
      <c r="S258" s="202">
        <f t="shared" si="33"/>
        <v>635.10895883777243</v>
      </c>
      <c r="T258" s="202">
        <f t="shared" si="34"/>
        <v>623.04038004750589</v>
      </c>
    </row>
    <row r="259" spans="1:22" x14ac:dyDescent="0.25">
      <c r="B259" s="199">
        <v>44975</v>
      </c>
      <c r="C259" s="3">
        <v>2</v>
      </c>
      <c r="D259" s="3" t="s">
        <v>466</v>
      </c>
      <c r="E259" s="233" t="s">
        <v>3</v>
      </c>
      <c r="F259" s="233" t="s">
        <v>934</v>
      </c>
      <c r="G259" s="233">
        <v>191</v>
      </c>
      <c r="H259" s="233">
        <v>10900</v>
      </c>
      <c r="I259" s="233" t="s">
        <v>683</v>
      </c>
      <c r="J259" s="233" t="s">
        <v>936</v>
      </c>
      <c r="K259" s="233" t="s">
        <v>733</v>
      </c>
      <c r="L259" s="233" t="s">
        <v>21</v>
      </c>
      <c r="M259" s="238">
        <v>0.625</v>
      </c>
      <c r="N259" s="238">
        <v>0.86458333333333337</v>
      </c>
      <c r="O259" s="196">
        <v>2800</v>
      </c>
      <c r="P259" s="233" t="s">
        <v>492</v>
      </c>
      <c r="Q259" s="3">
        <v>3.87</v>
      </c>
      <c r="R259" s="205">
        <v>3.89</v>
      </c>
      <c r="S259" s="168">
        <f t="shared" si="33"/>
        <v>723.51421188630491</v>
      </c>
      <c r="T259" s="168">
        <f t="shared" si="34"/>
        <v>719.79434447300764</v>
      </c>
    </row>
    <row r="260" spans="1:22" x14ac:dyDescent="0.25">
      <c r="B260" s="199">
        <v>44975</v>
      </c>
      <c r="C260" s="233">
        <v>2</v>
      </c>
      <c r="D260" s="233" t="s">
        <v>466</v>
      </c>
      <c r="E260" s="233" t="s">
        <v>3</v>
      </c>
      <c r="F260" s="233" t="s">
        <v>934</v>
      </c>
      <c r="G260" s="3">
        <v>192</v>
      </c>
      <c r="H260" s="3">
        <v>4000</v>
      </c>
      <c r="I260" s="233" t="s">
        <v>683</v>
      </c>
      <c r="J260" s="3" t="s">
        <v>944</v>
      </c>
      <c r="K260" s="233" t="s">
        <v>733</v>
      </c>
      <c r="L260" s="233" t="s">
        <v>21</v>
      </c>
      <c r="M260" s="238">
        <v>0.86458333333333337</v>
      </c>
      <c r="N260" s="238">
        <v>0.95833333333333337</v>
      </c>
      <c r="O260" s="196">
        <v>202</v>
      </c>
      <c r="P260" s="3" t="s">
        <v>492</v>
      </c>
      <c r="Q260" s="3">
        <f>4.12-3.87</f>
        <v>0.25</v>
      </c>
      <c r="R260" s="205">
        <f>4.19-3.89</f>
        <v>0.30000000000000027</v>
      </c>
      <c r="S260" s="202">
        <f t="shared" ref="S260:S272" si="35">O260/Q260</f>
        <v>808</v>
      </c>
      <c r="T260" s="202">
        <f t="shared" ref="T260:T272" si="36">IFERROR(O260/R260,"")</f>
        <v>673.33333333333269</v>
      </c>
    </row>
    <row r="261" spans="1:22" x14ac:dyDescent="0.25">
      <c r="B261" s="199">
        <v>44975</v>
      </c>
      <c r="C261" s="3">
        <v>3</v>
      </c>
      <c r="D261" s="233" t="s">
        <v>7</v>
      </c>
      <c r="E261" s="233" t="s">
        <v>190</v>
      </c>
      <c r="F261" s="233" t="s">
        <v>39</v>
      </c>
      <c r="H261" s="233">
        <v>4000</v>
      </c>
      <c r="I261" s="233" t="s">
        <v>683</v>
      </c>
      <c r="J261" s="233" t="s">
        <v>944</v>
      </c>
      <c r="K261" s="233" t="s">
        <v>733</v>
      </c>
      <c r="L261" s="233" t="s">
        <v>21</v>
      </c>
      <c r="M261" s="238">
        <v>0.95833333333333337</v>
      </c>
      <c r="N261" s="238">
        <v>0.29166666666666669</v>
      </c>
      <c r="O261" s="196">
        <v>0</v>
      </c>
      <c r="P261" s="3">
        <v>0</v>
      </c>
      <c r="S261" s="202" t="e">
        <f t="shared" si="35"/>
        <v>#DIV/0!</v>
      </c>
      <c r="T261" s="202" t="str">
        <f t="shared" si="36"/>
        <v/>
      </c>
    </row>
    <row r="262" spans="1:22" x14ac:dyDescent="0.25">
      <c r="B262" s="199">
        <v>44976</v>
      </c>
      <c r="C262" s="3">
        <v>1</v>
      </c>
      <c r="D262" s="3" t="s">
        <v>1</v>
      </c>
      <c r="E262" s="3" t="s">
        <v>188</v>
      </c>
      <c r="G262" s="3">
        <v>193</v>
      </c>
      <c r="H262" s="233">
        <v>4000</v>
      </c>
      <c r="I262" s="233" t="s">
        <v>683</v>
      </c>
      <c r="J262" s="233" t="s">
        <v>944</v>
      </c>
      <c r="K262" s="233" t="s">
        <v>733</v>
      </c>
      <c r="L262" s="233" t="s">
        <v>21</v>
      </c>
      <c r="M262" s="238">
        <v>0.29166666666666669</v>
      </c>
      <c r="N262" s="238">
        <v>0.625</v>
      </c>
      <c r="O262" s="196">
        <v>2450</v>
      </c>
      <c r="P262" s="233" t="s">
        <v>492</v>
      </c>
      <c r="Q262" s="3">
        <v>3.95</v>
      </c>
      <c r="R262" s="205">
        <v>4.07</v>
      </c>
      <c r="S262" s="202">
        <f t="shared" si="35"/>
        <v>620.25316455696202</v>
      </c>
      <c r="T262" s="202">
        <f t="shared" si="36"/>
        <v>601.96560196560188</v>
      </c>
    </row>
    <row r="263" spans="1:22" x14ac:dyDescent="0.25">
      <c r="B263" s="199">
        <v>44976</v>
      </c>
      <c r="C263" s="3">
        <v>2</v>
      </c>
      <c r="D263" s="3" t="s">
        <v>182</v>
      </c>
      <c r="E263" s="3" t="s">
        <v>3</v>
      </c>
      <c r="F263" s="233" t="s">
        <v>934</v>
      </c>
      <c r="G263" s="3">
        <v>194</v>
      </c>
      <c r="H263" s="3">
        <v>4000</v>
      </c>
      <c r="I263" s="3" t="s">
        <v>683</v>
      </c>
      <c r="J263" s="3" t="s">
        <v>944</v>
      </c>
      <c r="K263" s="233" t="s">
        <v>733</v>
      </c>
      <c r="L263" s="233" t="s">
        <v>21</v>
      </c>
      <c r="M263" s="238">
        <v>0.625</v>
      </c>
      <c r="N263" s="238">
        <v>0.92708333333333337</v>
      </c>
      <c r="O263" s="196">
        <v>3505</v>
      </c>
      <c r="P263" s="233" t="s">
        <v>492</v>
      </c>
      <c r="Q263" s="3">
        <v>4.5999999999999996</v>
      </c>
      <c r="R263" s="205">
        <f>5.71-0.42</f>
        <v>5.29</v>
      </c>
      <c r="S263" s="202">
        <f t="shared" si="35"/>
        <v>761.95652173913049</v>
      </c>
      <c r="T263" s="202">
        <f t="shared" si="36"/>
        <v>662.57088846880902</v>
      </c>
    </row>
    <row r="264" spans="1:22" x14ac:dyDescent="0.25">
      <c r="B264" s="199">
        <v>44976</v>
      </c>
      <c r="C264" s="233">
        <v>2</v>
      </c>
      <c r="D264" s="233" t="s">
        <v>182</v>
      </c>
      <c r="E264" s="233" t="s">
        <v>3</v>
      </c>
      <c r="F264" s="233" t="s">
        <v>934</v>
      </c>
      <c r="G264" s="3">
        <v>195</v>
      </c>
      <c r="H264" s="3">
        <v>6000</v>
      </c>
      <c r="I264" s="3" t="s">
        <v>945</v>
      </c>
      <c r="J264" s="3" t="s">
        <v>946</v>
      </c>
      <c r="K264" s="233" t="s">
        <v>733</v>
      </c>
      <c r="L264" s="233" t="s">
        <v>21</v>
      </c>
      <c r="M264" s="238">
        <v>0.92708333333333337</v>
      </c>
      <c r="N264" s="238">
        <v>0.95833333333333337</v>
      </c>
      <c r="O264" s="196">
        <v>231</v>
      </c>
      <c r="P264" s="3" t="s">
        <v>492</v>
      </c>
      <c r="Q264" s="3">
        <f>4.94-4.6</f>
        <v>0.34000000000000075</v>
      </c>
      <c r="R264" s="205">
        <v>0.42</v>
      </c>
      <c r="S264" s="202">
        <f t="shared" si="35"/>
        <v>679.41176470588084</v>
      </c>
      <c r="T264" s="202">
        <f t="shared" si="36"/>
        <v>550</v>
      </c>
    </row>
    <row r="265" spans="1:22" s="237" customFormat="1" x14ac:dyDescent="0.25">
      <c r="A265" s="237">
        <v>0</v>
      </c>
      <c r="B265" s="290">
        <v>44976</v>
      </c>
      <c r="C265" s="237">
        <v>3</v>
      </c>
      <c r="D265" s="237" t="s">
        <v>7</v>
      </c>
      <c r="E265" s="237" t="s">
        <v>190</v>
      </c>
      <c r="F265" s="237" t="s">
        <v>39</v>
      </c>
      <c r="G265" s="237">
        <v>196</v>
      </c>
      <c r="H265" s="237">
        <v>6000</v>
      </c>
      <c r="I265" s="237" t="s">
        <v>945</v>
      </c>
      <c r="J265" s="237" t="s">
        <v>946</v>
      </c>
      <c r="K265" s="237" t="s">
        <v>733</v>
      </c>
      <c r="L265" s="237" t="s">
        <v>21</v>
      </c>
      <c r="M265" s="291">
        <v>0.95833333333333337</v>
      </c>
      <c r="N265" s="291">
        <v>0.29166666666666669</v>
      </c>
      <c r="O265" s="237">
        <v>4022</v>
      </c>
      <c r="P265" s="237" t="s">
        <v>492</v>
      </c>
      <c r="Q265" s="237">
        <v>5.6</v>
      </c>
      <c r="R265" s="295">
        <v>6.47</v>
      </c>
      <c r="S265" s="296">
        <f t="shared" si="35"/>
        <v>718.21428571428578</v>
      </c>
      <c r="T265" s="296">
        <f t="shared" si="36"/>
        <v>621.63833075734158</v>
      </c>
      <c r="U265" s="296"/>
      <c r="V265" s="296"/>
    </row>
    <row r="266" spans="1:22" s="237" customFormat="1" x14ac:dyDescent="0.25">
      <c r="B266" s="290">
        <v>44977</v>
      </c>
      <c r="C266" s="237">
        <v>1</v>
      </c>
      <c r="D266" s="237" t="s">
        <v>177</v>
      </c>
      <c r="E266" s="237" t="s">
        <v>173</v>
      </c>
      <c r="F266" s="237" t="s">
        <v>948</v>
      </c>
      <c r="G266" s="237">
        <v>197</v>
      </c>
      <c r="H266" s="237">
        <v>6000</v>
      </c>
      <c r="I266" s="237" t="s">
        <v>945</v>
      </c>
      <c r="J266" s="237" t="s">
        <v>946</v>
      </c>
      <c r="K266" s="237" t="s">
        <v>733</v>
      </c>
      <c r="L266" s="237" t="s">
        <v>21</v>
      </c>
      <c r="M266" s="291">
        <v>0.29166666666666669</v>
      </c>
      <c r="N266" s="291">
        <v>0.625</v>
      </c>
      <c r="O266" s="237">
        <v>868</v>
      </c>
      <c r="P266" s="237" t="s">
        <v>492</v>
      </c>
      <c r="Q266" s="237">
        <v>1.45</v>
      </c>
      <c r="R266" s="295">
        <v>1.66</v>
      </c>
      <c r="S266" s="296">
        <f t="shared" si="35"/>
        <v>598.62068965517244</v>
      </c>
      <c r="T266" s="296">
        <f t="shared" si="36"/>
        <v>522.89156626506031</v>
      </c>
      <c r="U266" s="296"/>
      <c r="V266" s="296"/>
    </row>
    <row r="267" spans="1:22" s="237" customFormat="1" x14ac:dyDescent="0.25">
      <c r="B267" s="290">
        <v>44977</v>
      </c>
      <c r="C267" s="237">
        <v>2</v>
      </c>
      <c r="D267" s="237" t="s">
        <v>7</v>
      </c>
      <c r="E267" s="237" t="s">
        <v>7</v>
      </c>
      <c r="G267" s="237">
        <v>198</v>
      </c>
      <c r="H267" s="237">
        <v>3000</v>
      </c>
      <c r="I267" s="237" t="s">
        <v>683</v>
      </c>
      <c r="J267" s="237" t="s">
        <v>848</v>
      </c>
      <c r="K267" s="237" t="s">
        <v>733</v>
      </c>
      <c r="L267" s="237" t="s">
        <v>21</v>
      </c>
      <c r="M267" s="291">
        <v>0.625</v>
      </c>
      <c r="N267" s="291">
        <v>0.95833333333333337</v>
      </c>
      <c r="O267" s="237">
        <v>1752</v>
      </c>
      <c r="P267" s="237" t="s">
        <v>492</v>
      </c>
      <c r="Q267" s="237">
        <v>5.1100000000000003</v>
      </c>
      <c r="R267" s="295">
        <v>5.01</v>
      </c>
      <c r="S267" s="296">
        <f t="shared" si="35"/>
        <v>342.85714285714283</v>
      </c>
      <c r="T267" s="296">
        <f t="shared" si="36"/>
        <v>349.70059880239523</v>
      </c>
      <c r="U267" s="296"/>
      <c r="V267" s="296"/>
    </row>
    <row r="268" spans="1:22" x14ac:dyDescent="0.25">
      <c r="B268" s="199">
        <v>44977</v>
      </c>
      <c r="C268" s="3">
        <v>3</v>
      </c>
      <c r="D268" s="3" t="s">
        <v>459</v>
      </c>
      <c r="E268" s="3" t="s">
        <v>188</v>
      </c>
      <c r="M268" s="238">
        <v>0.95833333333333337</v>
      </c>
      <c r="N268" s="238">
        <v>0.29166666666666669</v>
      </c>
      <c r="O268" s="196">
        <v>0</v>
      </c>
      <c r="P268" s="3">
        <v>0</v>
      </c>
      <c r="Q268" s="3">
        <v>0</v>
      </c>
      <c r="R268" s="205">
        <v>0</v>
      </c>
      <c r="S268" s="168" t="e">
        <f t="shared" si="35"/>
        <v>#DIV/0!</v>
      </c>
      <c r="T268" s="168" t="str">
        <f t="shared" si="36"/>
        <v/>
      </c>
    </row>
    <row r="269" spans="1:22" x14ac:dyDescent="0.25">
      <c r="B269" s="199">
        <v>44978</v>
      </c>
      <c r="C269" s="3">
        <v>1</v>
      </c>
      <c r="D269" s="3" t="s">
        <v>465</v>
      </c>
      <c r="E269" s="3" t="s">
        <v>360</v>
      </c>
      <c r="G269" s="3">
        <v>199</v>
      </c>
      <c r="H269" s="3">
        <v>3000</v>
      </c>
      <c r="I269" s="3" t="s">
        <v>678</v>
      </c>
      <c r="J269" s="3" t="s">
        <v>848</v>
      </c>
      <c r="K269" s="3" t="s">
        <v>733</v>
      </c>
      <c r="L269" s="3" t="s">
        <v>21</v>
      </c>
      <c r="M269" s="238">
        <v>0.29166666666666669</v>
      </c>
      <c r="N269" s="238">
        <v>0.625</v>
      </c>
      <c r="O269" s="196">
        <v>1681</v>
      </c>
      <c r="P269" s="3" t="s">
        <v>492</v>
      </c>
      <c r="Q269" s="3">
        <v>3.15</v>
      </c>
      <c r="R269" s="205">
        <v>3.31</v>
      </c>
      <c r="S269" s="168">
        <f t="shared" si="35"/>
        <v>533.65079365079362</v>
      </c>
      <c r="T269" s="168">
        <f t="shared" si="36"/>
        <v>507.85498489425981</v>
      </c>
    </row>
    <row r="270" spans="1:22" x14ac:dyDescent="0.25">
      <c r="B270" s="199">
        <v>44978</v>
      </c>
      <c r="C270" s="3">
        <v>2</v>
      </c>
      <c r="D270" s="233" t="s">
        <v>7</v>
      </c>
      <c r="E270" s="233" t="s">
        <v>190</v>
      </c>
      <c r="F270" s="3" t="s">
        <v>29</v>
      </c>
      <c r="G270" s="3">
        <v>200</v>
      </c>
      <c r="H270" s="3">
        <v>4000</v>
      </c>
      <c r="I270" s="3" t="s">
        <v>954</v>
      </c>
      <c r="J270" s="233" t="s">
        <v>848</v>
      </c>
      <c r="K270" s="233" t="s">
        <v>733</v>
      </c>
      <c r="L270" s="233" t="s">
        <v>21</v>
      </c>
      <c r="M270" s="238">
        <v>0.625</v>
      </c>
      <c r="N270" s="238">
        <v>0.95833333333333337</v>
      </c>
      <c r="O270" s="196">
        <v>3417</v>
      </c>
      <c r="P270" s="3" t="s">
        <v>492</v>
      </c>
      <c r="Q270" s="3">
        <v>6.37</v>
      </c>
      <c r="R270" s="205">
        <v>6.64</v>
      </c>
      <c r="S270" s="168">
        <f t="shared" si="35"/>
        <v>536.42072213500785</v>
      </c>
      <c r="T270" s="168">
        <f t="shared" si="36"/>
        <v>514.60843373493981</v>
      </c>
    </row>
    <row r="271" spans="1:22" x14ac:dyDescent="0.25">
      <c r="B271" s="199">
        <v>44978</v>
      </c>
      <c r="C271" s="233">
        <v>3</v>
      </c>
      <c r="D271" s="233" t="s">
        <v>459</v>
      </c>
      <c r="E271" s="233" t="s">
        <v>188</v>
      </c>
      <c r="F271" s="233" t="s">
        <v>29</v>
      </c>
      <c r="G271" s="233">
        <v>201</v>
      </c>
      <c r="H271" s="233">
        <v>5000</v>
      </c>
      <c r="I271" s="233" t="s">
        <v>954</v>
      </c>
      <c r="J271" s="233" t="s">
        <v>956</v>
      </c>
      <c r="K271" s="233" t="s">
        <v>733</v>
      </c>
      <c r="L271" s="233" t="s">
        <v>21</v>
      </c>
      <c r="M271" s="238">
        <v>0.95833333333333337</v>
      </c>
      <c r="N271" s="238">
        <v>0.29166666666666669</v>
      </c>
      <c r="O271" s="196">
        <v>4275</v>
      </c>
      <c r="P271" s="233" t="s">
        <v>492</v>
      </c>
      <c r="Q271" s="3">
        <v>6.74</v>
      </c>
      <c r="R271" s="205">
        <v>6.82</v>
      </c>
      <c r="S271" s="168">
        <f t="shared" si="35"/>
        <v>634.27299703264089</v>
      </c>
      <c r="T271" s="168">
        <f t="shared" si="36"/>
        <v>626.83284457477998</v>
      </c>
    </row>
    <row r="272" spans="1:22" x14ac:dyDescent="0.25">
      <c r="B272" s="199">
        <v>44979</v>
      </c>
      <c r="C272" s="3">
        <v>1</v>
      </c>
      <c r="D272" s="233" t="s">
        <v>957</v>
      </c>
      <c r="E272" s="3" t="s">
        <v>3</v>
      </c>
      <c r="F272" s="233" t="s">
        <v>29</v>
      </c>
      <c r="G272" s="3">
        <v>202</v>
      </c>
      <c r="H272" s="3">
        <v>5000</v>
      </c>
      <c r="I272" s="233" t="s">
        <v>741</v>
      </c>
      <c r="J272" s="233" t="s">
        <v>848</v>
      </c>
      <c r="K272" s="233" t="s">
        <v>733</v>
      </c>
      <c r="L272" s="233" t="s">
        <v>21</v>
      </c>
      <c r="M272" s="238">
        <v>0.29166666666666669</v>
      </c>
      <c r="N272" s="238">
        <v>0.57638888888888895</v>
      </c>
      <c r="O272" s="196">
        <v>850</v>
      </c>
      <c r="P272" s="233" t="s">
        <v>492</v>
      </c>
      <c r="Q272" s="233">
        <v>1.32</v>
      </c>
      <c r="R272" s="205">
        <v>1.39</v>
      </c>
      <c r="S272" s="202">
        <f t="shared" si="35"/>
        <v>643.93939393939388</v>
      </c>
      <c r="T272" s="202">
        <f t="shared" si="36"/>
        <v>611.51079136690657</v>
      </c>
    </row>
    <row r="273" spans="2:28" x14ac:dyDescent="0.25">
      <c r="B273" s="199">
        <v>44979</v>
      </c>
      <c r="C273" s="233">
        <v>1</v>
      </c>
      <c r="D273" s="233" t="s">
        <v>957</v>
      </c>
      <c r="E273" s="233" t="s">
        <v>3</v>
      </c>
      <c r="F273" s="233" t="s">
        <v>29</v>
      </c>
      <c r="G273" s="3">
        <v>203</v>
      </c>
      <c r="H273" s="3">
        <v>3000</v>
      </c>
      <c r="I273" s="3" t="s">
        <v>840</v>
      </c>
      <c r="J273" s="233" t="s">
        <v>848</v>
      </c>
      <c r="K273" s="3" t="s">
        <v>737</v>
      </c>
      <c r="L273" s="3" t="s">
        <v>168</v>
      </c>
      <c r="M273" s="238">
        <v>0.57638888888888895</v>
      </c>
      <c r="N273" s="238">
        <v>0.625</v>
      </c>
      <c r="O273" s="196">
        <v>587</v>
      </c>
      <c r="P273" s="3" t="s">
        <v>492</v>
      </c>
      <c r="Q273" s="3">
        <f>2.01-1.32</f>
        <v>0.68999999999999972</v>
      </c>
      <c r="R273" s="205">
        <f>2.13-1.39</f>
        <v>0.74</v>
      </c>
      <c r="S273" s="202">
        <f>O273/Q273</f>
        <v>850.72463768115972</v>
      </c>
      <c r="T273" s="202">
        <f>IFERROR(O273/R273,"")</f>
        <v>793.24324324324323</v>
      </c>
    </row>
    <row r="274" spans="2:28" x14ac:dyDescent="0.25">
      <c r="B274" s="199">
        <v>44979</v>
      </c>
      <c r="C274" s="3">
        <v>2</v>
      </c>
      <c r="D274" s="233" t="s">
        <v>7</v>
      </c>
      <c r="E274" s="233" t="s">
        <v>190</v>
      </c>
      <c r="F274" s="233" t="s">
        <v>959</v>
      </c>
      <c r="G274" s="233">
        <v>204</v>
      </c>
      <c r="H274" s="233">
        <v>3000</v>
      </c>
      <c r="I274" s="233" t="s">
        <v>840</v>
      </c>
      <c r="J274" s="233" t="s">
        <v>958</v>
      </c>
      <c r="K274" s="233" t="s">
        <v>737</v>
      </c>
      <c r="L274" s="233" t="s">
        <v>168</v>
      </c>
      <c r="M274" s="238">
        <v>0.625</v>
      </c>
      <c r="N274" s="238">
        <v>0.875</v>
      </c>
      <c r="O274" s="196">
        <v>2800</v>
      </c>
      <c r="P274" s="3" t="s">
        <v>492</v>
      </c>
      <c r="Q274" s="3">
        <v>4.83</v>
      </c>
      <c r="R274" s="205">
        <v>4.83</v>
      </c>
      <c r="S274" s="202">
        <f>O274/Q274</f>
        <v>579.71014492753625</v>
      </c>
      <c r="T274" s="202">
        <f>IFERROR(O274/R274,"")</f>
        <v>579.71014492753625</v>
      </c>
    </row>
    <row r="275" spans="2:28" x14ac:dyDescent="0.25">
      <c r="B275" s="199">
        <v>44979</v>
      </c>
      <c r="C275" s="233">
        <v>2</v>
      </c>
      <c r="D275" s="233" t="s">
        <v>7</v>
      </c>
      <c r="E275" s="233" t="s">
        <v>190</v>
      </c>
      <c r="F275" s="233" t="s">
        <v>959</v>
      </c>
      <c r="G275" s="3">
        <v>205</v>
      </c>
      <c r="J275" s="233" t="s">
        <v>929</v>
      </c>
      <c r="K275" s="233" t="s">
        <v>737</v>
      </c>
      <c r="L275" s="233" t="s">
        <v>168</v>
      </c>
      <c r="M275" s="238">
        <v>0.875</v>
      </c>
      <c r="N275" s="238">
        <v>0.95833333333333337</v>
      </c>
      <c r="O275" s="196">
        <v>870</v>
      </c>
      <c r="P275" s="3" t="s">
        <v>492</v>
      </c>
      <c r="Q275" s="3">
        <f>6.21-Q274</f>
        <v>1.38</v>
      </c>
      <c r="R275" s="205">
        <f>6.27-R274</f>
        <v>1.4399999999999995</v>
      </c>
      <c r="S275" s="202">
        <f>O275/Q275</f>
        <v>630.43478260869574</v>
      </c>
      <c r="T275" s="202">
        <f>IFERROR(O275/R275,"")</f>
        <v>604.16666666666686</v>
      </c>
    </row>
    <row r="276" spans="2:28" s="233" customFormat="1" x14ac:dyDescent="0.25">
      <c r="B276" s="199">
        <v>44979</v>
      </c>
      <c r="C276" s="233">
        <v>3</v>
      </c>
      <c r="D276" s="233" t="s">
        <v>459</v>
      </c>
      <c r="E276" s="233" t="s">
        <v>188</v>
      </c>
      <c r="F276" s="233" t="s">
        <v>11</v>
      </c>
      <c r="G276" s="233">
        <v>206</v>
      </c>
      <c r="H276" s="233">
        <v>300</v>
      </c>
      <c r="I276" s="233" t="s">
        <v>840</v>
      </c>
      <c r="J276" s="233" t="s">
        <v>929</v>
      </c>
      <c r="K276" s="233" t="s">
        <v>737</v>
      </c>
      <c r="L276" s="233" t="s">
        <v>168</v>
      </c>
      <c r="M276" s="238">
        <v>0.95833333333333337</v>
      </c>
      <c r="N276" s="238">
        <v>6.9444444444444441E-3</v>
      </c>
      <c r="O276" s="196">
        <v>743</v>
      </c>
      <c r="P276" s="233" t="s">
        <v>492</v>
      </c>
      <c r="Q276" s="233">
        <v>1.23</v>
      </c>
      <c r="R276" s="205">
        <v>1.17</v>
      </c>
      <c r="S276" s="202">
        <f>O276/Q276</f>
        <v>604.06504065040656</v>
      </c>
      <c r="T276" s="202">
        <f>IFERROR(O276/R276,"")</f>
        <v>635.0427350427351</v>
      </c>
      <c r="U276" s="202"/>
      <c r="V276" s="202"/>
      <c r="AB276" s="196"/>
    </row>
    <row r="277" spans="2:28" s="233" customFormat="1" x14ac:dyDescent="0.25">
      <c r="B277" s="199">
        <v>44979</v>
      </c>
      <c r="C277" s="233">
        <v>3</v>
      </c>
      <c r="D277" s="233" t="s">
        <v>459</v>
      </c>
      <c r="E277" s="233" t="s">
        <v>188</v>
      </c>
      <c r="F277" s="233" t="s">
        <v>11</v>
      </c>
      <c r="G277" s="233">
        <v>207</v>
      </c>
      <c r="H277" s="233">
        <v>3560</v>
      </c>
      <c r="I277" s="233" t="s">
        <v>960</v>
      </c>
      <c r="J277" s="233" t="s">
        <v>961</v>
      </c>
      <c r="K277" s="233" t="s">
        <v>733</v>
      </c>
      <c r="L277" s="233" t="s">
        <v>21</v>
      </c>
      <c r="M277" s="238">
        <v>6.9444444444444441E-3</v>
      </c>
      <c r="N277" s="238">
        <v>0.25</v>
      </c>
      <c r="O277" s="196">
        <v>3551</v>
      </c>
      <c r="P277" s="233" t="s">
        <v>492</v>
      </c>
      <c r="Q277" s="233">
        <f>6.34-Q276</f>
        <v>5.1099999999999994</v>
      </c>
      <c r="R277" s="205">
        <f>6.37-R276</f>
        <v>5.2</v>
      </c>
      <c r="S277" s="202">
        <f>O277/Q277</f>
        <v>694.91193737769083</v>
      </c>
      <c r="T277" s="202">
        <f>IFERROR(O277/R277,"")</f>
        <v>682.88461538461536</v>
      </c>
      <c r="U277" s="202"/>
      <c r="V277" s="202"/>
      <c r="AB277" s="196"/>
    </row>
    <row r="278" spans="2:28" s="233" customFormat="1" x14ac:dyDescent="0.25">
      <c r="B278" s="199">
        <v>44979</v>
      </c>
      <c r="C278" s="233">
        <v>3</v>
      </c>
      <c r="D278" s="233" t="s">
        <v>459</v>
      </c>
      <c r="E278" s="233" t="s">
        <v>188</v>
      </c>
      <c r="F278" s="233" t="s">
        <v>47</v>
      </c>
      <c r="G278" s="233">
        <v>208</v>
      </c>
      <c r="I278" s="233" t="s">
        <v>960</v>
      </c>
      <c r="J278" s="233" t="s">
        <v>946</v>
      </c>
      <c r="K278" s="233" t="s">
        <v>733</v>
      </c>
      <c r="L278" s="233" t="s">
        <v>21</v>
      </c>
      <c r="M278" s="238">
        <v>0.25</v>
      </c>
      <c r="N278" s="238">
        <v>0.29166666666666669</v>
      </c>
      <c r="O278" s="196">
        <v>209</v>
      </c>
      <c r="P278" s="233" t="s">
        <v>492</v>
      </c>
      <c r="Q278" s="233">
        <v>0.45</v>
      </c>
      <c r="R278" s="205">
        <v>0.37</v>
      </c>
      <c r="S278" s="202">
        <f t="shared" ref="S278:S293" si="37">O278/Q278</f>
        <v>464.44444444444446</v>
      </c>
      <c r="T278" s="202">
        <f t="shared" ref="T278:T293" si="38">IFERROR(O278/R278,"")</f>
        <v>564.8648648648649</v>
      </c>
      <c r="U278" s="202"/>
      <c r="V278" s="202"/>
      <c r="AB278" s="196"/>
    </row>
    <row r="279" spans="2:28" x14ac:dyDescent="0.25">
      <c r="B279" s="199">
        <v>44980</v>
      </c>
      <c r="C279" s="3">
        <v>1</v>
      </c>
      <c r="D279" s="233" t="s">
        <v>963</v>
      </c>
      <c r="E279" s="3" t="s">
        <v>173</v>
      </c>
      <c r="F279" s="3" t="s">
        <v>45</v>
      </c>
      <c r="G279" s="233">
        <v>209</v>
      </c>
      <c r="I279" s="233" t="s">
        <v>960</v>
      </c>
      <c r="J279" s="233" t="s">
        <v>946</v>
      </c>
      <c r="K279" s="233" t="s">
        <v>733</v>
      </c>
      <c r="L279" s="233" t="s">
        <v>21</v>
      </c>
      <c r="M279" s="238">
        <v>0.29166666666666669</v>
      </c>
      <c r="N279" s="238">
        <v>0.3923611111111111</v>
      </c>
      <c r="O279" s="196">
        <v>677</v>
      </c>
      <c r="P279" s="3" t="s">
        <v>492</v>
      </c>
      <c r="Q279" s="3">
        <v>1.1299999999999999</v>
      </c>
      <c r="R279" s="205">
        <v>1.21</v>
      </c>
      <c r="S279" s="202">
        <f t="shared" si="37"/>
        <v>599.11504424778764</v>
      </c>
      <c r="T279" s="202">
        <f t="shared" si="38"/>
        <v>559.50413223140492</v>
      </c>
    </row>
    <row r="280" spans="2:28" x14ac:dyDescent="0.25">
      <c r="B280" s="199">
        <v>44980</v>
      </c>
      <c r="C280" s="233">
        <v>1</v>
      </c>
      <c r="D280" s="233" t="s">
        <v>963</v>
      </c>
      <c r="E280" s="233" t="s">
        <v>173</v>
      </c>
      <c r="F280" s="233" t="s">
        <v>45</v>
      </c>
      <c r="G280" s="3">
        <v>210</v>
      </c>
      <c r="I280" s="3" t="s">
        <v>964</v>
      </c>
      <c r="J280" s="3" t="s">
        <v>962</v>
      </c>
      <c r="K280" s="3" t="s">
        <v>737</v>
      </c>
      <c r="L280" s="3" t="s">
        <v>696</v>
      </c>
      <c r="M280" s="238">
        <v>0.3923611111111111</v>
      </c>
      <c r="N280" s="238">
        <v>0.625</v>
      </c>
      <c r="O280" s="196">
        <v>830</v>
      </c>
      <c r="P280" s="3" t="s">
        <v>492</v>
      </c>
      <c r="Q280" s="3">
        <v>1.1499999999999999</v>
      </c>
      <c r="R280" s="205">
        <v>1.28</v>
      </c>
      <c r="S280" s="202">
        <f t="shared" si="37"/>
        <v>721.73913043478262</v>
      </c>
      <c r="T280" s="202">
        <f t="shared" si="38"/>
        <v>648.4375</v>
      </c>
    </row>
    <row r="281" spans="2:28" x14ac:dyDescent="0.25">
      <c r="B281" s="199">
        <v>44980</v>
      </c>
      <c r="C281" s="233">
        <v>2</v>
      </c>
      <c r="D281" s="233" t="s">
        <v>7</v>
      </c>
      <c r="E281" s="233" t="s">
        <v>7</v>
      </c>
      <c r="F281" s="233"/>
      <c r="G281" s="233">
        <v>211</v>
      </c>
      <c r="H281" s="233"/>
      <c r="I281" s="233" t="s">
        <v>678</v>
      </c>
      <c r="J281" s="233" t="s">
        <v>848</v>
      </c>
      <c r="K281" s="3" t="s">
        <v>737</v>
      </c>
      <c r="L281" s="3" t="s">
        <v>168</v>
      </c>
      <c r="M281" s="238">
        <v>0.625</v>
      </c>
      <c r="N281" s="238">
        <v>0.95833333333333337</v>
      </c>
      <c r="O281" s="196">
        <v>4182</v>
      </c>
      <c r="P281" s="3" t="s">
        <v>492</v>
      </c>
      <c r="Q281" s="3">
        <v>7.24</v>
      </c>
      <c r="R281" s="205">
        <v>6.92</v>
      </c>
      <c r="S281" s="202">
        <f t="shared" si="37"/>
        <v>577.62430939226522</v>
      </c>
      <c r="T281" s="202">
        <f t="shared" si="38"/>
        <v>604.33526011560696</v>
      </c>
    </row>
    <row r="282" spans="2:28" x14ac:dyDescent="0.25">
      <c r="B282" s="199">
        <v>44980</v>
      </c>
      <c r="C282" s="233">
        <v>3</v>
      </c>
      <c r="D282" s="233" t="s">
        <v>459</v>
      </c>
      <c r="E282" s="233" t="s">
        <v>188</v>
      </c>
      <c r="M282" s="238">
        <v>0.95833333333333337</v>
      </c>
      <c r="N282" s="238">
        <v>0.29166666666666669</v>
      </c>
      <c r="O282" s="196">
        <v>0</v>
      </c>
      <c r="P282" s="3">
        <v>0</v>
      </c>
      <c r="Q282" s="3">
        <v>0</v>
      </c>
      <c r="R282" s="205">
        <v>0</v>
      </c>
      <c r="S282" s="168" t="e">
        <f t="shared" si="37"/>
        <v>#DIV/0!</v>
      </c>
      <c r="T282" s="168" t="str">
        <f t="shared" si="38"/>
        <v/>
      </c>
    </row>
    <row r="283" spans="2:28" x14ac:dyDescent="0.25">
      <c r="B283" s="199">
        <v>44981</v>
      </c>
      <c r="C283" s="3">
        <v>1</v>
      </c>
      <c r="D283" s="233" t="s">
        <v>466</v>
      </c>
      <c r="E283" s="233" t="s">
        <v>3</v>
      </c>
      <c r="F283" s="233" t="s">
        <v>29</v>
      </c>
      <c r="G283" s="3">
        <v>212</v>
      </c>
      <c r="H283" s="3">
        <v>3000</v>
      </c>
      <c r="I283" s="233" t="s">
        <v>960</v>
      </c>
      <c r="J283" s="233" t="s">
        <v>848</v>
      </c>
      <c r="K283" s="233" t="s">
        <v>733</v>
      </c>
      <c r="L283" s="233" t="s">
        <v>21</v>
      </c>
      <c r="M283" s="238">
        <v>0.29166666666666669</v>
      </c>
      <c r="N283" s="238">
        <v>0.625</v>
      </c>
      <c r="O283" s="196">
        <v>2917</v>
      </c>
      <c r="P283" s="3" t="s">
        <v>492</v>
      </c>
      <c r="Q283" s="3">
        <v>4.26</v>
      </c>
      <c r="R283" s="205">
        <v>5.53</v>
      </c>
      <c r="S283" s="168">
        <f t="shared" si="37"/>
        <v>684.74178403755877</v>
      </c>
      <c r="T283" s="168">
        <f t="shared" si="38"/>
        <v>527.48643761301992</v>
      </c>
    </row>
    <row r="284" spans="2:28" x14ac:dyDescent="0.25">
      <c r="B284" s="199">
        <v>44981</v>
      </c>
      <c r="C284" s="233">
        <v>2</v>
      </c>
      <c r="D284" s="233" t="s">
        <v>7</v>
      </c>
      <c r="E284" s="233" t="s">
        <v>190</v>
      </c>
      <c r="F284" s="3" t="s">
        <v>29</v>
      </c>
      <c r="G284" s="3">
        <v>213</v>
      </c>
      <c r="I284" s="3" t="s">
        <v>683</v>
      </c>
      <c r="J284" s="3" t="s">
        <v>848</v>
      </c>
      <c r="K284" s="3" t="s">
        <v>737</v>
      </c>
      <c r="L284" s="3" t="s">
        <v>696</v>
      </c>
      <c r="M284" s="238">
        <v>0.625</v>
      </c>
      <c r="N284" s="238">
        <v>0.67361111111111116</v>
      </c>
      <c r="O284" s="196">
        <v>311</v>
      </c>
      <c r="P284" s="3" t="s">
        <v>492</v>
      </c>
      <c r="Q284" s="3">
        <v>1.6</v>
      </c>
      <c r="R284" s="205">
        <v>0.54</v>
      </c>
      <c r="S284" s="168">
        <f t="shared" si="37"/>
        <v>194.375</v>
      </c>
      <c r="T284" s="168">
        <f t="shared" si="38"/>
        <v>575.92592592592587</v>
      </c>
    </row>
    <row r="285" spans="2:28" x14ac:dyDescent="0.25">
      <c r="B285" s="199">
        <v>44981</v>
      </c>
      <c r="C285" s="233">
        <v>2</v>
      </c>
      <c r="D285" s="233" t="s">
        <v>7</v>
      </c>
      <c r="E285" s="233" t="s">
        <v>190</v>
      </c>
      <c r="F285" s="233" t="s">
        <v>29</v>
      </c>
      <c r="G285" s="3">
        <v>214</v>
      </c>
      <c r="I285" s="233" t="s">
        <v>683</v>
      </c>
      <c r="J285" s="233" t="s">
        <v>848</v>
      </c>
      <c r="K285" s="3" t="s">
        <v>733</v>
      </c>
      <c r="L285" s="3" t="s">
        <v>21</v>
      </c>
      <c r="M285" s="238">
        <v>0.67361111111111116</v>
      </c>
      <c r="N285" s="238">
        <v>0.95833333333333337</v>
      </c>
      <c r="O285" s="196">
        <v>3039</v>
      </c>
      <c r="P285" s="3" t="s">
        <v>492</v>
      </c>
      <c r="Q285" s="3">
        <v>5.04</v>
      </c>
      <c r="R285" s="205">
        <v>5.8</v>
      </c>
      <c r="S285" s="168">
        <f t="shared" si="37"/>
        <v>602.97619047619048</v>
      </c>
      <c r="T285" s="168">
        <f t="shared" si="38"/>
        <v>523.9655172413793</v>
      </c>
    </row>
    <row r="286" spans="2:28" x14ac:dyDescent="0.25">
      <c r="B286" s="199">
        <v>44981</v>
      </c>
      <c r="C286" s="3">
        <v>3</v>
      </c>
      <c r="D286" s="3" t="s">
        <v>459</v>
      </c>
      <c r="E286" s="3" t="s">
        <v>188</v>
      </c>
      <c r="F286" s="3" t="s">
        <v>29</v>
      </c>
      <c r="G286" s="3">
        <v>215</v>
      </c>
      <c r="I286" s="3" t="s">
        <v>781</v>
      </c>
      <c r="J286" s="3" t="s">
        <v>848</v>
      </c>
      <c r="K286" s="3" t="s">
        <v>737</v>
      </c>
      <c r="L286" s="3" t="s">
        <v>168</v>
      </c>
      <c r="M286" s="238">
        <v>0.95833333333333337</v>
      </c>
      <c r="N286" s="238">
        <v>0.1388888888888889</v>
      </c>
      <c r="O286" s="196">
        <v>2322</v>
      </c>
      <c r="P286" s="3" t="s">
        <v>492</v>
      </c>
      <c r="Q286" s="3">
        <v>3.53</v>
      </c>
      <c r="R286" s="205">
        <v>3.47</v>
      </c>
      <c r="S286" s="168">
        <f t="shared" si="37"/>
        <v>657.79036827195466</v>
      </c>
      <c r="T286" s="168">
        <f t="shared" si="38"/>
        <v>669.16426512968292</v>
      </c>
    </row>
    <row r="287" spans="2:28" x14ac:dyDescent="0.25">
      <c r="B287" s="199">
        <v>44981</v>
      </c>
      <c r="C287" s="233">
        <v>3</v>
      </c>
      <c r="D287" s="233" t="s">
        <v>459</v>
      </c>
      <c r="E287" s="233" t="s">
        <v>188</v>
      </c>
      <c r="F287" s="233" t="s">
        <v>29</v>
      </c>
      <c r="G287" s="233">
        <v>216</v>
      </c>
      <c r="H287" s="233"/>
      <c r="I287" s="233" t="s">
        <v>960</v>
      </c>
      <c r="J287" s="233" t="s">
        <v>848</v>
      </c>
      <c r="K287" s="233" t="s">
        <v>733</v>
      </c>
      <c r="L287" s="3" t="s">
        <v>21</v>
      </c>
      <c r="M287" s="238">
        <v>0.1388888888888889</v>
      </c>
      <c r="N287" s="238">
        <v>0.29166666666666669</v>
      </c>
      <c r="O287" s="196">
        <v>2327</v>
      </c>
      <c r="P287" s="233" t="s">
        <v>492</v>
      </c>
      <c r="Q287" s="3">
        <v>3.12</v>
      </c>
      <c r="R287" s="205">
        <v>2.87</v>
      </c>
      <c r="S287" s="168">
        <f t="shared" si="37"/>
        <v>745.83333333333326</v>
      </c>
      <c r="T287" s="168">
        <f t="shared" si="38"/>
        <v>810.80139372822293</v>
      </c>
    </row>
    <row r="288" spans="2:28" x14ac:dyDescent="0.25">
      <c r="B288" s="199">
        <v>44982</v>
      </c>
      <c r="C288" s="3">
        <v>1</v>
      </c>
      <c r="D288" s="233" t="s">
        <v>466</v>
      </c>
      <c r="E288" s="233" t="s">
        <v>3</v>
      </c>
      <c r="F288" s="233" t="s">
        <v>29</v>
      </c>
      <c r="G288" s="3">
        <v>217</v>
      </c>
      <c r="H288" s="3">
        <v>3000</v>
      </c>
      <c r="I288" s="3" t="s">
        <v>678</v>
      </c>
      <c r="J288" s="233" t="s">
        <v>848</v>
      </c>
      <c r="K288" s="233" t="s">
        <v>733</v>
      </c>
      <c r="L288" s="233" t="s">
        <v>21</v>
      </c>
      <c r="M288" s="238">
        <v>0.29166666666666669</v>
      </c>
      <c r="N288" s="238">
        <v>0.625</v>
      </c>
      <c r="O288" s="196">
        <v>2081</v>
      </c>
      <c r="P288" s="3" t="s">
        <v>492</v>
      </c>
      <c r="Q288" s="3">
        <v>2.9</v>
      </c>
      <c r="R288" s="205">
        <v>2.65</v>
      </c>
      <c r="S288" s="168">
        <f t="shared" si="37"/>
        <v>717.58620689655174</v>
      </c>
      <c r="T288" s="168">
        <f t="shared" si="38"/>
        <v>785.28301886792451</v>
      </c>
    </row>
    <row r="289" spans="2:27" x14ac:dyDescent="0.25">
      <c r="B289" s="199">
        <v>44982</v>
      </c>
      <c r="C289" s="3">
        <v>2</v>
      </c>
      <c r="D289" s="3" t="s">
        <v>7</v>
      </c>
      <c r="E289" s="3" t="s">
        <v>190</v>
      </c>
      <c r="F289" s="3" t="s">
        <v>29</v>
      </c>
      <c r="G289" s="233">
        <v>218</v>
      </c>
      <c r="H289" s="233">
        <v>3000</v>
      </c>
      <c r="I289" s="233" t="s">
        <v>678</v>
      </c>
      <c r="J289" s="233" t="s">
        <v>848</v>
      </c>
      <c r="K289" s="233" t="s">
        <v>733</v>
      </c>
      <c r="L289" s="233" t="s">
        <v>21</v>
      </c>
      <c r="M289" s="238">
        <v>0.625</v>
      </c>
      <c r="N289" s="238">
        <v>0.76041666666666663</v>
      </c>
      <c r="O289" s="196">
        <v>2086</v>
      </c>
      <c r="P289" s="3" t="s">
        <v>492</v>
      </c>
      <c r="Q289" s="3">
        <v>2.62</v>
      </c>
      <c r="R289" s="205">
        <v>2.5</v>
      </c>
      <c r="S289" s="168">
        <f t="shared" si="37"/>
        <v>796.18320610687022</v>
      </c>
      <c r="T289" s="168">
        <f t="shared" si="38"/>
        <v>834.4</v>
      </c>
    </row>
    <row r="290" spans="2:27" x14ac:dyDescent="0.25">
      <c r="B290" s="199">
        <v>44982</v>
      </c>
      <c r="C290" s="233">
        <v>2</v>
      </c>
      <c r="D290" s="233" t="s">
        <v>7</v>
      </c>
      <c r="E290" s="233" t="s">
        <v>190</v>
      </c>
      <c r="F290" s="233" t="s">
        <v>29</v>
      </c>
      <c r="G290" s="233">
        <v>219</v>
      </c>
      <c r="H290" s="233"/>
      <c r="I290" s="233" t="s">
        <v>954</v>
      </c>
      <c r="J290" s="233" t="s">
        <v>848</v>
      </c>
      <c r="K290" s="233" t="s">
        <v>733</v>
      </c>
      <c r="L290" s="233" t="s">
        <v>21</v>
      </c>
      <c r="M290" s="238">
        <v>0.76041666666666663</v>
      </c>
      <c r="N290" s="238">
        <v>0.95833333333333337</v>
      </c>
      <c r="O290" s="196">
        <v>2672</v>
      </c>
      <c r="P290" s="233" t="s">
        <v>492</v>
      </c>
      <c r="Q290" s="3">
        <f>7.22-Q289</f>
        <v>4.5999999999999996</v>
      </c>
      <c r="R290" s="205">
        <f>7.12-R289</f>
        <v>4.62</v>
      </c>
      <c r="S290" s="202">
        <f t="shared" si="37"/>
        <v>580.86956521739137</v>
      </c>
      <c r="T290" s="202">
        <f t="shared" si="38"/>
        <v>578.35497835497836</v>
      </c>
    </row>
    <row r="291" spans="2:27" x14ac:dyDescent="0.25">
      <c r="B291" s="199">
        <v>44982</v>
      </c>
      <c r="C291" s="3">
        <v>3</v>
      </c>
      <c r="D291" s="3" t="s">
        <v>459</v>
      </c>
      <c r="E291" s="233" t="s">
        <v>205</v>
      </c>
      <c r="F291" s="233" t="s">
        <v>29</v>
      </c>
      <c r="G291" s="3">
        <v>220</v>
      </c>
      <c r="I291" s="3" t="s">
        <v>960</v>
      </c>
      <c r="J291" s="233" t="s">
        <v>848</v>
      </c>
      <c r="K291" s="3" t="s">
        <v>733</v>
      </c>
      <c r="L291" s="233" t="s">
        <v>21</v>
      </c>
      <c r="M291" s="238">
        <v>0.95833333333333337</v>
      </c>
      <c r="N291" s="238">
        <v>0.29166666666666669</v>
      </c>
      <c r="O291" s="196">
        <v>4251</v>
      </c>
      <c r="P291" s="3" t="s">
        <v>748</v>
      </c>
      <c r="Q291" s="3">
        <v>6.92</v>
      </c>
      <c r="R291" s="205">
        <v>6.88</v>
      </c>
      <c r="S291" s="202">
        <f t="shared" si="37"/>
        <v>614.30635838150295</v>
      </c>
      <c r="T291" s="202">
        <f t="shared" si="38"/>
        <v>617.87790697674416</v>
      </c>
    </row>
    <row r="292" spans="2:27" x14ac:dyDescent="0.25">
      <c r="B292" s="199">
        <v>44983</v>
      </c>
      <c r="C292" s="3">
        <v>1</v>
      </c>
      <c r="D292" s="233" t="s">
        <v>1</v>
      </c>
      <c r="E292" s="233" t="s">
        <v>3</v>
      </c>
      <c r="F292" s="233" t="s">
        <v>29</v>
      </c>
      <c r="G292" s="3">
        <v>221</v>
      </c>
      <c r="H292" s="3">
        <v>3000</v>
      </c>
      <c r="I292" s="233" t="s">
        <v>683</v>
      </c>
      <c r="J292" s="233" t="s">
        <v>848</v>
      </c>
      <c r="K292" s="233" t="s">
        <v>733</v>
      </c>
      <c r="L292" s="233" t="s">
        <v>696</v>
      </c>
      <c r="M292" s="238">
        <v>0.29166666666666669</v>
      </c>
      <c r="N292" s="238">
        <v>0.625</v>
      </c>
      <c r="O292" s="196">
        <v>71</v>
      </c>
      <c r="P292" s="233" t="s">
        <v>748</v>
      </c>
      <c r="Q292" s="3">
        <v>0.66</v>
      </c>
      <c r="R292" s="205">
        <v>0.51</v>
      </c>
      <c r="S292" s="168">
        <f t="shared" si="37"/>
        <v>107.57575757575756</v>
      </c>
      <c r="T292" s="168">
        <f t="shared" si="38"/>
        <v>139.21568627450981</v>
      </c>
    </row>
    <row r="293" spans="2:27" x14ac:dyDescent="0.25">
      <c r="B293" s="199">
        <v>44983</v>
      </c>
      <c r="C293" s="233">
        <v>2</v>
      </c>
      <c r="D293" s="3" t="s">
        <v>7</v>
      </c>
      <c r="E293" s="3" t="s">
        <v>634</v>
      </c>
      <c r="F293" s="233" t="s">
        <v>29</v>
      </c>
      <c r="G293" s="233">
        <v>221</v>
      </c>
      <c r="I293" s="233" t="s">
        <v>683</v>
      </c>
      <c r="J293" s="233" t="s">
        <v>848</v>
      </c>
      <c r="K293" s="233" t="s">
        <v>733</v>
      </c>
      <c r="L293" s="233" t="s">
        <v>696</v>
      </c>
      <c r="M293" s="238">
        <v>0.625</v>
      </c>
      <c r="N293" s="238">
        <v>0.64583333333333337</v>
      </c>
      <c r="O293" s="196">
        <v>136</v>
      </c>
      <c r="P293" s="233" t="s">
        <v>748</v>
      </c>
      <c r="Q293" s="3">
        <v>0.35</v>
      </c>
      <c r="R293" s="205">
        <v>0.36</v>
      </c>
      <c r="S293" s="168">
        <f t="shared" si="37"/>
        <v>388.57142857142861</v>
      </c>
      <c r="T293" s="168">
        <f t="shared" si="38"/>
        <v>377.77777777777777</v>
      </c>
    </row>
    <row r="294" spans="2:27" x14ac:dyDescent="0.25">
      <c r="B294" s="199">
        <v>44983</v>
      </c>
      <c r="C294" s="3">
        <v>2</v>
      </c>
      <c r="D294" s="233" t="s">
        <v>7</v>
      </c>
      <c r="E294" s="233" t="s">
        <v>634</v>
      </c>
      <c r="F294" s="233" t="s">
        <v>29</v>
      </c>
      <c r="G294" s="3">
        <v>222</v>
      </c>
      <c r="I294" s="233" t="s">
        <v>683</v>
      </c>
      <c r="J294" s="233" t="s">
        <v>848</v>
      </c>
      <c r="K294" s="233" t="s">
        <v>733</v>
      </c>
      <c r="L294" s="302" t="s">
        <v>32</v>
      </c>
      <c r="M294" s="238">
        <v>0.64583333333333337</v>
      </c>
      <c r="N294" s="238">
        <v>0.72916666666666663</v>
      </c>
      <c r="O294" s="196">
        <v>604</v>
      </c>
      <c r="P294" s="233" t="s">
        <v>748</v>
      </c>
      <c r="Q294" s="3">
        <f>1.55-0.35</f>
        <v>1.2000000000000002</v>
      </c>
      <c r="R294" s="205">
        <f>1.71-0.36</f>
        <v>1.35</v>
      </c>
      <c r="S294" s="202">
        <f t="shared" ref="S294:S304" si="39">O294/Q294</f>
        <v>503.33333333333326</v>
      </c>
      <c r="T294" s="202">
        <f t="shared" ref="T294:T304" si="40">IFERROR(O294/R294,"")</f>
        <v>447.40740740740739</v>
      </c>
      <c r="AA294" s="302" t="s">
        <v>969</v>
      </c>
    </row>
    <row r="295" spans="2:27" x14ac:dyDescent="0.25">
      <c r="B295" s="199">
        <v>44983</v>
      </c>
      <c r="C295" s="233">
        <v>2</v>
      </c>
      <c r="D295" s="233" t="s">
        <v>7</v>
      </c>
      <c r="E295" s="233" t="s">
        <v>634</v>
      </c>
      <c r="F295" s="233" t="s">
        <v>29</v>
      </c>
      <c r="G295" s="233">
        <v>223</v>
      </c>
      <c r="I295" s="3" t="s">
        <v>970</v>
      </c>
      <c r="J295" s="233" t="s">
        <v>848</v>
      </c>
      <c r="K295" s="233" t="s">
        <v>733</v>
      </c>
      <c r="L295" s="3" t="s">
        <v>32</v>
      </c>
      <c r="M295" s="238">
        <v>0.72916666666666663</v>
      </c>
      <c r="N295" s="238">
        <v>0.95833333333333337</v>
      </c>
      <c r="O295" s="196">
        <v>1440</v>
      </c>
      <c r="P295" s="233" t="s">
        <v>748</v>
      </c>
      <c r="Q295" s="3">
        <f>5.51-Q294-Q293</f>
        <v>3.9599999999999995</v>
      </c>
      <c r="R295" s="205">
        <f>5.43-R294-R293</f>
        <v>3.72</v>
      </c>
      <c r="S295" s="202">
        <f t="shared" si="39"/>
        <v>363.63636363636368</v>
      </c>
      <c r="T295" s="202">
        <f t="shared" si="40"/>
        <v>387.09677419354836</v>
      </c>
    </row>
    <row r="296" spans="2:27" x14ac:dyDescent="0.25">
      <c r="B296" s="199">
        <v>44983</v>
      </c>
      <c r="C296" s="233">
        <v>3</v>
      </c>
      <c r="D296" s="233" t="s">
        <v>459</v>
      </c>
      <c r="E296" s="233" t="s">
        <v>205</v>
      </c>
      <c r="F296" s="233" t="s">
        <v>29</v>
      </c>
      <c r="G296" s="3">
        <v>224</v>
      </c>
      <c r="I296" s="233" t="s">
        <v>970</v>
      </c>
      <c r="J296" s="233" t="s">
        <v>848</v>
      </c>
      <c r="K296" s="233" t="s">
        <v>733</v>
      </c>
      <c r="L296" s="233" t="s">
        <v>32</v>
      </c>
      <c r="M296" s="238">
        <v>0.95833333333333337</v>
      </c>
      <c r="N296" s="238">
        <v>5.9027777777777783E-2</v>
      </c>
      <c r="O296" s="196">
        <v>1010</v>
      </c>
      <c r="P296" s="233" t="s">
        <v>748</v>
      </c>
      <c r="Q296" s="3">
        <v>2.08</v>
      </c>
      <c r="R296" s="205">
        <v>2.04</v>
      </c>
      <c r="S296" s="202">
        <f t="shared" si="39"/>
        <v>485.57692307692304</v>
      </c>
      <c r="T296" s="202">
        <f t="shared" si="40"/>
        <v>495.09803921568624</v>
      </c>
    </row>
    <row r="297" spans="2:27" x14ac:dyDescent="0.25">
      <c r="B297" s="199">
        <v>44983</v>
      </c>
      <c r="C297" s="233">
        <v>3</v>
      </c>
      <c r="D297" s="233" t="s">
        <v>459</v>
      </c>
      <c r="E297" s="233" t="s">
        <v>205</v>
      </c>
      <c r="F297" s="233" t="s">
        <v>29</v>
      </c>
      <c r="G297" s="233">
        <v>225</v>
      </c>
      <c r="I297" s="3" t="s">
        <v>840</v>
      </c>
      <c r="J297" s="233" t="s">
        <v>848</v>
      </c>
      <c r="K297" s="3" t="s">
        <v>733</v>
      </c>
      <c r="L297" s="3" t="s">
        <v>32</v>
      </c>
      <c r="M297" s="238">
        <v>5.9027777777777783E-2</v>
      </c>
      <c r="N297" s="238">
        <v>0.29166666666666669</v>
      </c>
      <c r="O297" s="196">
        <v>2081</v>
      </c>
      <c r="P297" s="3" t="s">
        <v>687</v>
      </c>
      <c r="Q297" s="3">
        <v>4.33</v>
      </c>
      <c r="R297" s="205">
        <v>3.28</v>
      </c>
      <c r="S297" s="168">
        <f t="shared" si="39"/>
        <v>480.60046189376442</v>
      </c>
      <c r="T297" s="168">
        <f t="shared" si="40"/>
        <v>634.45121951219517</v>
      </c>
    </row>
    <row r="298" spans="2:27" x14ac:dyDescent="0.25">
      <c r="B298" s="199">
        <v>44984</v>
      </c>
      <c r="C298" s="3">
        <v>1</v>
      </c>
      <c r="D298" s="3" t="s">
        <v>199</v>
      </c>
      <c r="E298" s="233" t="s">
        <v>199</v>
      </c>
      <c r="F298" s="233" t="s">
        <v>29</v>
      </c>
      <c r="G298" s="3">
        <v>226</v>
      </c>
      <c r="I298" s="3" t="s">
        <v>975</v>
      </c>
      <c r="J298" s="233" t="s">
        <v>848</v>
      </c>
      <c r="K298" s="233" t="s">
        <v>733</v>
      </c>
      <c r="L298" s="233" t="s">
        <v>32</v>
      </c>
      <c r="M298" s="238">
        <v>0.29166666666666669</v>
      </c>
      <c r="N298" s="238">
        <v>0.625</v>
      </c>
      <c r="O298" s="196">
        <v>2525</v>
      </c>
      <c r="P298" s="3" t="s">
        <v>492</v>
      </c>
      <c r="Q298" s="3">
        <v>4.46</v>
      </c>
      <c r="R298" s="205">
        <v>4.38</v>
      </c>
      <c r="S298" s="168">
        <f t="shared" si="39"/>
        <v>566.14349775784751</v>
      </c>
      <c r="T298" s="168">
        <f t="shared" si="40"/>
        <v>576.48401826484019</v>
      </c>
    </row>
    <row r="299" spans="2:27" x14ac:dyDescent="0.25">
      <c r="B299" s="199">
        <v>44984</v>
      </c>
      <c r="C299" s="3">
        <v>2</v>
      </c>
      <c r="D299" s="3" t="s">
        <v>7</v>
      </c>
      <c r="E299" s="3" t="s">
        <v>188</v>
      </c>
      <c r="F299" s="233" t="s">
        <v>29</v>
      </c>
      <c r="G299" s="3">
        <v>227</v>
      </c>
      <c r="I299" s="3" t="s">
        <v>977</v>
      </c>
      <c r="J299" s="233" t="s">
        <v>848</v>
      </c>
      <c r="K299" s="233" t="s">
        <v>733</v>
      </c>
      <c r="L299" s="233" t="s">
        <v>32</v>
      </c>
      <c r="M299" s="238">
        <v>0.625</v>
      </c>
      <c r="N299" s="238">
        <v>0.95833333333333337</v>
      </c>
      <c r="O299" s="196">
        <v>3074</v>
      </c>
      <c r="P299" s="233" t="s">
        <v>492</v>
      </c>
      <c r="Q299" s="3">
        <v>6.33</v>
      </c>
      <c r="R299" s="205">
        <v>6.22</v>
      </c>
      <c r="S299" s="168">
        <f t="shared" si="39"/>
        <v>485.62401263823062</v>
      </c>
      <c r="T299" s="168">
        <f t="shared" si="40"/>
        <v>494.21221864951769</v>
      </c>
    </row>
    <row r="300" spans="2:27" x14ac:dyDescent="0.25">
      <c r="B300" s="199">
        <v>44984</v>
      </c>
      <c r="C300" s="3">
        <v>3</v>
      </c>
      <c r="D300" s="3" t="s">
        <v>1</v>
      </c>
      <c r="E300" s="233" t="s">
        <v>3</v>
      </c>
      <c r="F300" s="233" t="s">
        <v>29</v>
      </c>
      <c r="G300" s="3">
        <v>228</v>
      </c>
      <c r="H300" s="3">
        <v>2500</v>
      </c>
      <c r="I300" s="233" t="s">
        <v>977</v>
      </c>
      <c r="J300" s="233" t="s">
        <v>848</v>
      </c>
      <c r="K300" s="233" t="s">
        <v>733</v>
      </c>
      <c r="L300" s="233" t="s">
        <v>32</v>
      </c>
      <c r="M300" s="238">
        <v>0.95833333333333337</v>
      </c>
      <c r="N300" s="238">
        <v>0.12152777777777778</v>
      </c>
      <c r="O300" s="196">
        <v>2070</v>
      </c>
      <c r="P300" s="233" t="s">
        <v>492</v>
      </c>
      <c r="Q300" s="3">
        <v>3.2</v>
      </c>
      <c r="R300" s="205">
        <v>3.14</v>
      </c>
      <c r="S300" s="168">
        <f t="shared" si="39"/>
        <v>646.875</v>
      </c>
      <c r="T300" s="168">
        <f t="shared" si="40"/>
        <v>659.23566878980887</v>
      </c>
    </row>
    <row r="301" spans="2:27" x14ac:dyDescent="0.25">
      <c r="B301" s="199">
        <v>44984</v>
      </c>
      <c r="C301" s="233">
        <v>3</v>
      </c>
      <c r="D301" s="233" t="s">
        <v>1</v>
      </c>
      <c r="E301" s="233" t="s">
        <v>3</v>
      </c>
      <c r="F301" s="233" t="s">
        <v>29</v>
      </c>
      <c r="G301" s="3">
        <v>229</v>
      </c>
      <c r="H301" s="3">
        <v>3000</v>
      </c>
      <c r="I301" s="3" t="s">
        <v>769</v>
      </c>
      <c r="J301" s="233" t="s">
        <v>848</v>
      </c>
      <c r="K301" s="233" t="s">
        <v>733</v>
      </c>
      <c r="L301" s="233" t="s">
        <v>32</v>
      </c>
      <c r="M301" s="238">
        <v>0.12152777777777778</v>
      </c>
      <c r="N301" s="238">
        <v>0.29166666666666669</v>
      </c>
      <c r="O301" s="196">
        <v>885</v>
      </c>
      <c r="P301" s="3" t="s">
        <v>492</v>
      </c>
      <c r="Q301" s="3">
        <v>2.2000000000000002</v>
      </c>
      <c r="R301" s="205">
        <v>2.11</v>
      </c>
      <c r="S301" s="168">
        <f t="shared" si="39"/>
        <v>402.27272727272725</v>
      </c>
      <c r="T301" s="168">
        <f t="shared" si="40"/>
        <v>419.4312796208531</v>
      </c>
    </row>
    <row r="302" spans="2:27" x14ac:dyDescent="0.25">
      <c r="B302" s="199">
        <v>44985</v>
      </c>
      <c r="C302" s="3">
        <v>1</v>
      </c>
      <c r="D302" s="3" t="s">
        <v>459</v>
      </c>
      <c r="E302" s="233" t="s">
        <v>459</v>
      </c>
      <c r="F302" s="233" t="s">
        <v>29</v>
      </c>
      <c r="G302" s="3">
        <v>230</v>
      </c>
      <c r="I302" s="233" t="s">
        <v>769</v>
      </c>
      <c r="J302" s="233" t="s">
        <v>848</v>
      </c>
      <c r="K302" s="233" t="s">
        <v>733</v>
      </c>
      <c r="L302" s="233" t="s">
        <v>32</v>
      </c>
      <c r="M302" s="238">
        <v>0.29166666666666669</v>
      </c>
      <c r="N302" s="238">
        <v>0.625</v>
      </c>
      <c r="O302" s="196">
        <v>611</v>
      </c>
      <c r="P302" s="3" t="s">
        <v>492</v>
      </c>
      <c r="Q302" s="3">
        <v>1.47</v>
      </c>
      <c r="R302" s="205">
        <v>1.4</v>
      </c>
      <c r="S302" s="168">
        <f t="shared" si="39"/>
        <v>415.64625850340138</v>
      </c>
      <c r="T302" s="168">
        <f t="shared" si="40"/>
        <v>436.42857142857144</v>
      </c>
    </row>
    <row r="303" spans="2:27" x14ac:dyDescent="0.25">
      <c r="B303" s="199">
        <v>44985</v>
      </c>
      <c r="C303" s="233">
        <v>2</v>
      </c>
      <c r="D303" s="233" t="s">
        <v>7</v>
      </c>
      <c r="E303" s="233" t="s">
        <v>979</v>
      </c>
      <c r="F303" s="233" t="s">
        <v>29</v>
      </c>
      <c r="G303" s="3">
        <v>231</v>
      </c>
      <c r="I303" s="3" t="s">
        <v>769</v>
      </c>
      <c r="J303" s="233" t="s">
        <v>848</v>
      </c>
      <c r="K303" s="233" t="s">
        <v>733</v>
      </c>
      <c r="L303" s="233" t="s">
        <v>32</v>
      </c>
      <c r="M303" s="238">
        <v>0.625</v>
      </c>
      <c r="N303" s="238">
        <v>0.95833333333333337</v>
      </c>
      <c r="O303" s="196">
        <v>2198</v>
      </c>
      <c r="P303" s="233" t="s">
        <v>492</v>
      </c>
      <c r="Q303" s="3">
        <v>5.1100000000000003</v>
      </c>
      <c r="R303" s="205">
        <v>5.09</v>
      </c>
      <c r="S303" s="168">
        <f t="shared" si="39"/>
        <v>430.13698630136986</v>
      </c>
      <c r="T303" s="168">
        <f t="shared" si="40"/>
        <v>431.82711198428291</v>
      </c>
    </row>
    <row r="304" spans="2:27" x14ac:dyDescent="0.25">
      <c r="B304" s="199">
        <v>44985</v>
      </c>
      <c r="C304" s="3">
        <v>3</v>
      </c>
      <c r="D304" s="3" t="s">
        <v>1</v>
      </c>
      <c r="E304" s="233" t="s">
        <v>980</v>
      </c>
      <c r="F304" s="233" t="s">
        <v>29</v>
      </c>
      <c r="G304" s="3">
        <v>232</v>
      </c>
      <c r="I304" s="233" t="s">
        <v>769</v>
      </c>
      <c r="J304" s="233" t="s">
        <v>848</v>
      </c>
      <c r="K304" s="3" t="s">
        <v>733</v>
      </c>
      <c r="L304" s="3" t="s">
        <v>32</v>
      </c>
      <c r="M304" s="238">
        <v>0.95833333333333337</v>
      </c>
      <c r="N304" s="238">
        <v>0.14930555555555555</v>
      </c>
      <c r="O304" s="196">
        <v>1901</v>
      </c>
      <c r="P304" s="233" t="s">
        <v>492</v>
      </c>
      <c r="Q304" s="3">
        <v>3.86</v>
      </c>
      <c r="R304" s="205">
        <v>3.86</v>
      </c>
      <c r="S304" s="168">
        <f t="shared" si="39"/>
        <v>492.48704663212436</v>
      </c>
      <c r="T304" s="168">
        <f t="shared" si="40"/>
        <v>492.48704663212436</v>
      </c>
    </row>
    <row r="305" spans="2:22" x14ac:dyDescent="0.25">
      <c r="B305" s="199">
        <v>44985</v>
      </c>
      <c r="C305" s="3">
        <v>3</v>
      </c>
      <c r="D305" s="233" t="s">
        <v>1</v>
      </c>
      <c r="E305" s="233" t="s">
        <v>980</v>
      </c>
      <c r="F305" s="233" t="s">
        <v>29</v>
      </c>
      <c r="G305" s="3">
        <v>233</v>
      </c>
      <c r="I305" s="3" t="s">
        <v>981</v>
      </c>
      <c r="J305" s="233" t="s">
        <v>848</v>
      </c>
      <c r="K305" s="3" t="s">
        <v>733</v>
      </c>
      <c r="L305" s="3" t="s">
        <v>32</v>
      </c>
      <c r="M305" s="238">
        <v>0.14930555555555555</v>
      </c>
      <c r="N305" s="238">
        <v>0.29166666666666669</v>
      </c>
      <c r="O305" s="196">
        <v>1382</v>
      </c>
      <c r="P305" s="3" t="s">
        <v>492</v>
      </c>
      <c r="Q305" s="3">
        <f>6.87-3.86</f>
        <v>3.0100000000000002</v>
      </c>
      <c r="R305" s="205">
        <f>6.91-3.86</f>
        <v>3.0500000000000003</v>
      </c>
      <c r="S305" s="202">
        <f t="shared" ref="S305:S315" si="41">O305/Q305</f>
        <v>459.13621262458469</v>
      </c>
      <c r="T305" s="202">
        <f t="shared" ref="T305:T315" si="42">IFERROR(O305/R305,"")</f>
        <v>453.11475409836061</v>
      </c>
    </row>
    <row r="306" spans="2:22" x14ac:dyDescent="0.25">
      <c r="B306" s="199">
        <v>44986</v>
      </c>
      <c r="C306" s="3">
        <v>1</v>
      </c>
      <c r="D306" s="3" t="s">
        <v>459</v>
      </c>
      <c r="E306" s="3" t="s">
        <v>190</v>
      </c>
      <c r="M306" s="238">
        <v>0.29166666666666669</v>
      </c>
      <c r="N306" s="238">
        <v>0.625</v>
      </c>
      <c r="O306" s="196">
        <v>0</v>
      </c>
      <c r="P306" s="3">
        <v>0</v>
      </c>
      <c r="Q306" s="3">
        <v>0</v>
      </c>
      <c r="R306" s="205">
        <v>0</v>
      </c>
      <c r="S306" s="202" t="e">
        <f t="shared" si="41"/>
        <v>#DIV/0!</v>
      </c>
      <c r="T306" s="202" t="str">
        <f t="shared" si="42"/>
        <v/>
      </c>
    </row>
    <row r="307" spans="2:22" x14ac:dyDescent="0.25">
      <c r="B307" s="199">
        <v>44986</v>
      </c>
      <c r="C307" s="3">
        <v>2</v>
      </c>
      <c r="D307" s="3" t="s">
        <v>199</v>
      </c>
      <c r="E307" s="233" t="s">
        <v>979</v>
      </c>
      <c r="F307" s="233" t="s">
        <v>29</v>
      </c>
      <c r="G307" s="3">
        <v>234</v>
      </c>
      <c r="I307" s="3" t="s">
        <v>678</v>
      </c>
      <c r="J307" s="233" t="s">
        <v>848</v>
      </c>
      <c r="K307" s="233" t="s">
        <v>733</v>
      </c>
      <c r="L307" s="233" t="s">
        <v>34</v>
      </c>
      <c r="M307" s="238">
        <v>0.625</v>
      </c>
      <c r="N307" s="238">
        <v>0.95833333333333337</v>
      </c>
      <c r="O307" s="196">
        <v>3040</v>
      </c>
      <c r="P307" s="3" t="s">
        <v>492</v>
      </c>
      <c r="Q307" s="3">
        <v>5.81</v>
      </c>
      <c r="R307" s="205">
        <v>5.68</v>
      </c>
      <c r="S307" s="202">
        <f t="shared" si="41"/>
        <v>523.23580034423412</v>
      </c>
      <c r="T307" s="202">
        <f t="shared" si="42"/>
        <v>535.21126760563379</v>
      </c>
    </row>
    <row r="308" spans="2:22" x14ac:dyDescent="0.25">
      <c r="B308" s="199">
        <v>44986</v>
      </c>
      <c r="C308" s="233">
        <v>3</v>
      </c>
      <c r="D308" s="233" t="s">
        <v>1</v>
      </c>
      <c r="E308" s="233" t="s">
        <v>980</v>
      </c>
      <c r="F308" s="233" t="s">
        <v>29</v>
      </c>
      <c r="G308" s="3">
        <v>235</v>
      </c>
      <c r="H308" s="233" t="s">
        <v>848</v>
      </c>
      <c r="I308" s="3" t="s">
        <v>678</v>
      </c>
      <c r="J308" s="233" t="s">
        <v>848</v>
      </c>
      <c r="K308" s="233" t="s">
        <v>733</v>
      </c>
      <c r="L308" s="233" t="s">
        <v>32</v>
      </c>
      <c r="M308" s="238">
        <v>0.95833333333333337</v>
      </c>
      <c r="N308" s="238">
        <v>8.3333333333333329E-2</v>
      </c>
      <c r="O308" s="196">
        <v>1540</v>
      </c>
      <c r="P308" s="233" t="s">
        <v>492</v>
      </c>
      <c r="Q308" s="3">
        <v>2.1800000000000002</v>
      </c>
      <c r="R308" s="205">
        <v>2.1800000000000002</v>
      </c>
      <c r="S308" s="168">
        <f t="shared" si="41"/>
        <v>706.42201834862385</v>
      </c>
      <c r="T308" s="168">
        <f t="shared" si="42"/>
        <v>706.42201834862385</v>
      </c>
    </row>
    <row r="309" spans="2:22" x14ac:dyDescent="0.25">
      <c r="B309" s="199">
        <v>44986</v>
      </c>
      <c r="C309" s="233">
        <v>3</v>
      </c>
      <c r="D309" s="233" t="s">
        <v>1</v>
      </c>
      <c r="E309" s="233" t="s">
        <v>980</v>
      </c>
      <c r="F309" s="233" t="s">
        <v>29</v>
      </c>
      <c r="G309" s="3">
        <v>236</v>
      </c>
      <c r="H309" s="233" t="s">
        <v>848</v>
      </c>
      <c r="I309" s="3" t="s">
        <v>769</v>
      </c>
      <c r="J309" s="233" t="s">
        <v>848</v>
      </c>
      <c r="K309" s="233" t="s">
        <v>733</v>
      </c>
      <c r="L309" s="233" t="s">
        <v>32</v>
      </c>
      <c r="M309" s="238">
        <v>8.3333333333333329E-2</v>
      </c>
      <c r="N309" s="238">
        <v>0.29166666666666669</v>
      </c>
      <c r="O309" s="196">
        <v>2064</v>
      </c>
      <c r="P309" s="233" t="s">
        <v>492</v>
      </c>
      <c r="Q309" s="3">
        <v>4.33</v>
      </c>
      <c r="R309" s="205">
        <v>4.6399999999999997</v>
      </c>
      <c r="S309" s="202">
        <f t="shared" si="41"/>
        <v>476.67436489607388</v>
      </c>
      <c r="T309" s="202">
        <f t="shared" si="42"/>
        <v>444.82758620689657</v>
      </c>
    </row>
    <row r="310" spans="2:22" x14ac:dyDescent="0.25">
      <c r="B310" s="199">
        <v>44987</v>
      </c>
      <c r="C310" s="3">
        <v>1</v>
      </c>
      <c r="D310" s="3" t="s">
        <v>459</v>
      </c>
      <c r="E310" s="233" t="s">
        <v>173</v>
      </c>
      <c r="F310" s="3" t="s">
        <v>29</v>
      </c>
      <c r="G310" s="3">
        <v>237</v>
      </c>
      <c r="H310" s="3" t="s">
        <v>848</v>
      </c>
      <c r="I310" s="3" t="s">
        <v>769</v>
      </c>
      <c r="J310" s="3" t="s">
        <v>848</v>
      </c>
      <c r="K310" s="3" t="s">
        <v>733</v>
      </c>
      <c r="L310" s="3" t="s">
        <v>34</v>
      </c>
      <c r="M310" s="238">
        <v>0.29166666666666669</v>
      </c>
      <c r="N310" s="238">
        <v>0.4236111111111111</v>
      </c>
      <c r="O310" s="196">
        <v>543</v>
      </c>
      <c r="P310" s="233" t="s">
        <v>492</v>
      </c>
      <c r="Q310" s="3">
        <v>1.05</v>
      </c>
      <c r="R310" s="205">
        <v>0.76</v>
      </c>
      <c r="S310" s="168">
        <f t="shared" si="41"/>
        <v>517.14285714285711</v>
      </c>
      <c r="T310" s="168">
        <f t="shared" si="42"/>
        <v>714.47368421052636</v>
      </c>
    </row>
    <row r="311" spans="2:22" x14ac:dyDescent="0.25">
      <c r="B311" s="199">
        <v>44987</v>
      </c>
      <c r="C311" s="233">
        <v>1</v>
      </c>
      <c r="D311" s="233" t="s">
        <v>459</v>
      </c>
      <c r="E311" s="233" t="s">
        <v>173</v>
      </c>
      <c r="F311" s="233" t="s">
        <v>29</v>
      </c>
      <c r="G311" s="233">
        <v>238</v>
      </c>
      <c r="H311" s="233" t="s">
        <v>848</v>
      </c>
      <c r="I311" s="3" t="s">
        <v>683</v>
      </c>
      <c r="J311" s="233" t="s">
        <v>848</v>
      </c>
      <c r="K311" s="233" t="s">
        <v>733</v>
      </c>
      <c r="L311" s="233" t="s">
        <v>34</v>
      </c>
      <c r="M311" s="238">
        <v>0.4236111111111111</v>
      </c>
      <c r="N311" s="238">
        <v>0.625</v>
      </c>
      <c r="O311" s="196">
        <v>2013</v>
      </c>
      <c r="P311" s="3" t="s">
        <v>492</v>
      </c>
      <c r="Q311" s="3">
        <v>3.72</v>
      </c>
      <c r="R311" s="205">
        <v>3.71</v>
      </c>
      <c r="S311" s="202">
        <f t="shared" si="41"/>
        <v>541.12903225806451</v>
      </c>
      <c r="T311" s="202">
        <f t="shared" si="42"/>
        <v>542.58760107816715</v>
      </c>
    </row>
    <row r="312" spans="2:22" x14ac:dyDescent="0.25">
      <c r="B312" s="199">
        <v>44987</v>
      </c>
      <c r="C312" s="3">
        <v>2</v>
      </c>
      <c r="D312" s="3" t="s">
        <v>199</v>
      </c>
      <c r="E312" s="233" t="s">
        <v>979</v>
      </c>
      <c r="F312" s="3" t="s">
        <v>29</v>
      </c>
      <c r="G312" s="3">
        <v>239</v>
      </c>
      <c r="H312" s="3" t="s">
        <v>848</v>
      </c>
      <c r="I312" s="3" t="s">
        <v>683</v>
      </c>
      <c r="J312" s="3" t="s">
        <v>848</v>
      </c>
      <c r="K312" s="3" t="s">
        <v>733</v>
      </c>
      <c r="L312" s="3" t="s">
        <v>34</v>
      </c>
      <c r="M312" s="238">
        <v>0.625</v>
      </c>
      <c r="N312" s="238">
        <v>0.95833333333333337</v>
      </c>
      <c r="O312" s="196">
        <v>3730</v>
      </c>
      <c r="P312" s="233" t="s">
        <v>492</v>
      </c>
      <c r="Q312" s="3">
        <v>4.92</v>
      </c>
      <c r="R312" s="205">
        <v>4.13</v>
      </c>
      <c r="S312" s="202">
        <f t="shared" si="41"/>
        <v>758.130081300813</v>
      </c>
      <c r="T312" s="202">
        <f t="shared" si="42"/>
        <v>903.1476997578693</v>
      </c>
    </row>
    <row r="313" spans="2:22" s="304" customFormat="1" x14ac:dyDescent="0.25">
      <c r="B313" s="305">
        <v>44987</v>
      </c>
      <c r="C313" s="304">
        <v>3</v>
      </c>
      <c r="D313" s="304" t="s">
        <v>1</v>
      </c>
      <c r="E313" s="304" t="s">
        <v>980</v>
      </c>
      <c r="F313" s="304" t="s">
        <v>29</v>
      </c>
      <c r="G313" s="304">
        <v>240</v>
      </c>
      <c r="H313" s="304" t="s">
        <v>848</v>
      </c>
      <c r="I313" s="304" t="s">
        <v>954</v>
      </c>
      <c r="J313" s="304" t="s">
        <v>848</v>
      </c>
      <c r="K313" s="304" t="s">
        <v>733</v>
      </c>
      <c r="L313" s="304" t="s">
        <v>32</v>
      </c>
      <c r="M313" s="303">
        <v>0.95833333333333337</v>
      </c>
      <c r="N313" s="303">
        <v>0.29166666666666669</v>
      </c>
      <c r="O313" s="304">
        <v>0</v>
      </c>
      <c r="P313" s="304">
        <v>0</v>
      </c>
      <c r="Q313" s="304">
        <v>0</v>
      </c>
      <c r="R313" s="306">
        <v>0</v>
      </c>
      <c r="S313" s="307" t="e">
        <f t="shared" si="41"/>
        <v>#DIV/0!</v>
      </c>
      <c r="T313" s="307" t="str">
        <f t="shared" si="42"/>
        <v/>
      </c>
      <c r="U313" s="307"/>
      <c r="V313" s="307"/>
    </row>
    <row r="314" spans="2:22" s="304" customFormat="1" x14ac:dyDescent="0.25">
      <c r="B314" s="305">
        <v>44988</v>
      </c>
      <c r="C314" s="304">
        <v>1</v>
      </c>
      <c r="D314" s="304" t="s">
        <v>459</v>
      </c>
      <c r="E314" s="304" t="s">
        <v>634</v>
      </c>
      <c r="F314" s="304" t="s">
        <v>29</v>
      </c>
      <c r="G314" s="304">
        <v>241</v>
      </c>
      <c r="H314" s="304" t="s">
        <v>848</v>
      </c>
      <c r="I314" s="304" t="s">
        <v>954</v>
      </c>
      <c r="J314" s="304" t="s">
        <v>848</v>
      </c>
      <c r="K314" s="304" t="s">
        <v>733</v>
      </c>
      <c r="L314" s="304" t="s">
        <v>32</v>
      </c>
      <c r="M314" s="303">
        <v>0.29166666666666669</v>
      </c>
      <c r="N314" s="303">
        <v>0.625</v>
      </c>
      <c r="O314" s="304">
        <v>0</v>
      </c>
      <c r="P314" s="304">
        <v>0</v>
      </c>
      <c r="Q314" s="304">
        <v>0</v>
      </c>
      <c r="R314" s="306">
        <v>0</v>
      </c>
      <c r="S314" s="307" t="e">
        <f t="shared" si="41"/>
        <v>#DIV/0!</v>
      </c>
      <c r="T314" s="307" t="str">
        <f t="shared" si="42"/>
        <v/>
      </c>
      <c r="U314" s="307"/>
      <c r="V314" s="307"/>
    </row>
    <row r="315" spans="2:22" s="304" customFormat="1" x14ac:dyDescent="0.25">
      <c r="B315" s="305">
        <v>44988</v>
      </c>
      <c r="C315" s="304">
        <v>2</v>
      </c>
      <c r="D315" s="304" t="s">
        <v>199</v>
      </c>
      <c r="E315" s="304" t="s">
        <v>979</v>
      </c>
      <c r="M315" s="303">
        <v>0.625</v>
      </c>
      <c r="N315" s="303">
        <v>0.95833333333333337</v>
      </c>
      <c r="O315" s="304">
        <v>0</v>
      </c>
      <c r="P315" s="304">
        <v>0</v>
      </c>
      <c r="Q315" s="304">
        <v>0</v>
      </c>
      <c r="R315" s="306">
        <v>0</v>
      </c>
      <c r="S315" s="307" t="e">
        <f t="shared" si="41"/>
        <v>#DIV/0!</v>
      </c>
      <c r="T315" s="307" t="str">
        <f t="shared" si="42"/>
        <v/>
      </c>
      <c r="U315" s="307"/>
      <c r="V315" s="307"/>
    </row>
    <row r="316" spans="2:22" x14ac:dyDescent="0.25">
      <c r="B316" s="199">
        <v>44988</v>
      </c>
      <c r="C316" s="233">
        <v>3</v>
      </c>
      <c r="D316" s="233" t="s">
        <v>1</v>
      </c>
      <c r="E316" s="233" t="s">
        <v>980</v>
      </c>
      <c r="M316" s="238">
        <v>0.95833333333333337</v>
      </c>
      <c r="N316" s="238">
        <v>0.29166666666666669</v>
      </c>
      <c r="O316" s="196">
        <v>0</v>
      </c>
      <c r="P316" s="3">
        <v>0</v>
      </c>
      <c r="Q316" s="3">
        <v>0</v>
      </c>
      <c r="R316" s="295">
        <v>0</v>
      </c>
      <c r="S316" s="296" t="e">
        <f>O316/Q316</f>
        <v>#DIV/0!</v>
      </c>
      <c r="T316" s="296" t="str">
        <f>IFERROR(O316/R316,"")</f>
        <v/>
      </c>
    </row>
    <row r="317" spans="2:22" x14ac:dyDescent="0.25">
      <c r="B317" s="199">
        <v>44989</v>
      </c>
      <c r="C317" s="3">
        <v>1</v>
      </c>
      <c r="D317" s="3" t="s">
        <v>173</v>
      </c>
      <c r="E317" s="233" t="s">
        <v>173</v>
      </c>
      <c r="M317" s="303">
        <v>0.29166666666666669</v>
      </c>
      <c r="N317" s="303">
        <v>0.625</v>
      </c>
      <c r="O317" s="196">
        <v>0</v>
      </c>
      <c r="P317" s="3">
        <v>0</v>
      </c>
      <c r="Q317" s="3">
        <v>0</v>
      </c>
      <c r="R317" s="295">
        <v>0</v>
      </c>
      <c r="S317" s="296" t="e">
        <f>O317/Q317</f>
        <v>#DIV/0!</v>
      </c>
      <c r="T317" s="296" t="str">
        <f>IFERROR(O317/R317,"")</f>
        <v/>
      </c>
    </row>
    <row r="318" spans="2:22" x14ac:dyDescent="0.25">
      <c r="B318" s="199">
        <v>44989</v>
      </c>
      <c r="C318" s="3">
        <v>2</v>
      </c>
      <c r="D318" s="233" t="s">
        <v>459</v>
      </c>
      <c r="E318" s="233" t="s">
        <v>459</v>
      </c>
      <c r="M318" s="238">
        <v>0.625</v>
      </c>
      <c r="N318" s="238">
        <v>0.95833333333333337</v>
      </c>
      <c r="O318" s="196">
        <v>0</v>
      </c>
      <c r="P318" s="233">
        <v>0</v>
      </c>
      <c r="Q318" s="233">
        <v>0</v>
      </c>
      <c r="R318" s="295">
        <v>0</v>
      </c>
      <c r="S318" s="296" t="e">
        <f>O318/Q318</f>
        <v>#DIV/0!</v>
      </c>
      <c r="T318" s="296" t="str">
        <f>IFERROR(O318/R318,"")</f>
        <v/>
      </c>
    </row>
    <row r="319" spans="2:22" x14ac:dyDescent="0.25">
      <c r="B319" s="199">
        <v>44989</v>
      </c>
      <c r="C319" s="3">
        <v>3</v>
      </c>
      <c r="D319" s="3" t="s">
        <v>466</v>
      </c>
      <c r="E319" s="3" t="s">
        <v>3</v>
      </c>
      <c r="M319" s="238">
        <v>0.95833333333333337</v>
      </c>
      <c r="N319" s="238">
        <v>0.29166666666666669</v>
      </c>
      <c r="O319" s="196">
        <v>0</v>
      </c>
      <c r="P319" s="233">
        <v>0</v>
      </c>
      <c r="Q319" s="233">
        <v>0</v>
      </c>
      <c r="R319" s="295">
        <v>0</v>
      </c>
      <c r="S319" s="296" t="e">
        <f>O319/Q319</f>
        <v>#DIV/0!</v>
      </c>
      <c r="T319" s="296" t="str">
        <f>IFERROR(O319/R319,"")</f>
        <v/>
      </c>
    </row>
    <row r="320" spans="2:22" x14ac:dyDescent="0.25">
      <c r="B320" s="199">
        <v>44990</v>
      </c>
      <c r="C320" s="233">
        <v>1</v>
      </c>
      <c r="M320" s="303">
        <v>0.29166666666666669</v>
      </c>
      <c r="N320" s="303">
        <v>0.625</v>
      </c>
      <c r="O320" s="196">
        <v>0</v>
      </c>
      <c r="P320" s="233">
        <v>0</v>
      </c>
      <c r="Q320" s="233">
        <v>0</v>
      </c>
      <c r="R320" s="295">
        <v>0</v>
      </c>
      <c r="S320" s="296" t="e">
        <f t="shared" ref="S320:S327" si="43">O320/Q320</f>
        <v>#DIV/0!</v>
      </c>
      <c r="T320" s="296" t="str">
        <f t="shared" ref="T320:T327" si="44">IFERROR(O320/R320,"")</f>
        <v/>
      </c>
    </row>
    <row r="321" spans="2:20" x14ac:dyDescent="0.25">
      <c r="B321" s="199">
        <v>44990</v>
      </c>
      <c r="C321" s="233">
        <v>2</v>
      </c>
      <c r="M321" s="238">
        <v>0.625</v>
      </c>
      <c r="N321" s="238">
        <v>0.95833333333333337</v>
      </c>
      <c r="O321" s="196">
        <v>0</v>
      </c>
      <c r="P321" s="233">
        <v>0</v>
      </c>
      <c r="Q321" s="233">
        <v>0</v>
      </c>
      <c r="R321" s="295">
        <v>0</v>
      </c>
      <c r="S321" s="296" t="e">
        <f t="shared" si="43"/>
        <v>#DIV/0!</v>
      </c>
      <c r="T321" s="296" t="str">
        <f t="shared" si="44"/>
        <v/>
      </c>
    </row>
    <row r="322" spans="2:20" x14ac:dyDescent="0.25">
      <c r="B322" s="199">
        <v>44990</v>
      </c>
      <c r="C322" s="233">
        <v>3</v>
      </c>
      <c r="M322" s="238">
        <v>0.95833333333333337</v>
      </c>
      <c r="N322" s="238">
        <v>0.29166666666666669</v>
      </c>
      <c r="O322" s="196">
        <v>0</v>
      </c>
      <c r="P322" s="233">
        <v>0</v>
      </c>
      <c r="Q322" s="233">
        <v>0</v>
      </c>
      <c r="R322" s="295">
        <v>0</v>
      </c>
      <c r="S322" s="296" t="e">
        <f t="shared" si="43"/>
        <v>#DIV/0!</v>
      </c>
      <c r="T322" s="296" t="str">
        <f t="shared" si="44"/>
        <v/>
      </c>
    </row>
    <row r="323" spans="2:20" x14ac:dyDescent="0.25">
      <c r="B323" s="199">
        <v>44991</v>
      </c>
      <c r="C323" s="3">
        <v>1</v>
      </c>
      <c r="D323" s="3" t="s">
        <v>4</v>
      </c>
      <c r="E323" s="3" t="s">
        <v>188</v>
      </c>
      <c r="F323" s="3" t="s">
        <v>29</v>
      </c>
      <c r="H323" s="304" t="s">
        <v>848</v>
      </c>
      <c r="I323" s="304"/>
      <c r="J323" s="304"/>
      <c r="K323" s="304"/>
      <c r="L323" s="304"/>
      <c r="M323" s="238">
        <v>0.29166666666666669</v>
      </c>
      <c r="N323" s="238">
        <v>0.625</v>
      </c>
      <c r="O323" s="196">
        <v>0</v>
      </c>
      <c r="P323" s="3">
        <v>0</v>
      </c>
      <c r="Q323" s="3">
        <v>0</v>
      </c>
      <c r="R323" s="295">
        <v>0</v>
      </c>
      <c r="S323" s="296" t="e">
        <f t="shared" si="43"/>
        <v>#DIV/0!</v>
      </c>
      <c r="T323" s="296" t="str">
        <f t="shared" si="44"/>
        <v/>
      </c>
    </row>
    <row r="324" spans="2:20" x14ac:dyDescent="0.25">
      <c r="B324" s="199">
        <v>44991</v>
      </c>
      <c r="C324" s="3">
        <v>2</v>
      </c>
      <c r="D324" s="3" t="s">
        <v>466</v>
      </c>
      <c r="E324" s="233" t="s">
        <v>466</v>
      </c>
      <c r="H324" s="304"/>
      <c r="I324" s="304"/>
      <c r="J324" s="304"/>
      <c r="K324" s="304"/>
      <c r="L324" s="304"/>
      <c r="M324" s="238">
        <v>0.625</v>
      </c>
      <c r="N324" s="238">
        <v>0.95833333333333337</v>
      </c>
      <c r="O324" s="196">
        <v>0</v>
      </c>
      <c r="P324" s="233">
        <v>0</v>
      </c>
      <c r="Q324" s="233">
        <v>0</v>
      </c>
      <c r="R324" s="295">
        <v>0</v>
      </c>
      <c r="S324" s="296" t="e">
        <f t="shared" si="43"/>
        <v>#DIV/0!</v>
      </c>
      <c r="T324" s="296" t="str">
        <f t="shared" si="44"/>
        <v/>
      </c>
    </row>
    <row r="325" spans="2:20" x14ac:dyDescent="0.25">
      <c r="B325" s="199">
        <v>44991</v>
      </c>
      <c r="C325" s="3">
        <v>3</v>
      </c>
      <c r="D325" s="233" t="s">
        <v>7</v>
      </c>
      <c r="E325" s="233" t="s">
        <v>7</v>
      </c>
      <c r="H325" s="304"/>
      <c r="I325" s="304"/>
      <c r="J325" s="304"/>
      <c r="K325" s="304"/>
      <c r="L325" s="304"/>
      <c r="M325" s="238">
        <v>0.95833333333333337</v>
      </c>
      <c r="N325" s="238">
        <v>0.29166666666666669</v>
      </c>
      <c r="O325" s="196">
        <v>0</v>
      </c>
      <c r="P325" s="233">
        <v>0</v>
      </c>
      <c r="Q325" s="233">
        <v>0</v>
      </c>
      <c r="R325" s="295">
        <v>0</v>
      </c>
      <c r="S325" s="296" t="e">
        <f t="shared" si="43"/>
        <v>#DIV/0!</v>
      </c>
      <c r="T325" s="296" t="str">
        <f t="shared" si="44"/>
        <v/>
      </c>
    </row>
    <row r="326" spans="2:20" x14ac:dyDescent="0.25">
      <c r="B326" s="199">
        <v>44992</v>
      </c>
      <c r="C326" s="3">
        <v>1</v>
      </c>
      <c r="D326" s="3" t="s">
        <v>465</v>
      </c>
      <c r="E326" s="3" t="s">
        <v>173</v>
      </c>
      <c r="H326" s="304"/>
      <c r="I326" s="304"/>
      <c r="J326" s="304"/>
      <c r="K326" s="304"/>
      <c r="L326" s="304"/>
      <c r="M326" s="238">
        <v>0.29166666666666669</v>
      </c>
      <c r="N326" s="238">
        <v>0.625</v>
      </c>
      <c r="O326" s="196">
        <v>0</v>
      </c>
      <c r="P326" s="233">
        <v>0</v>
      </c>
      <c r="Q326" s="233">
        <v>0</v>
      </c>
      <c r="R326" s="295">
        <v>0</v>
      </c>
      <c r="S326" s="296" t="e">
        <f t="shared" si="43"/>
        <v>#DIV/0!</v>
      </c>
      <c r="T326" s="296" t="str">
        <f t="shared" si="44"/>
        <v/>
      </c>
    </row>
    <row r="327" spans="2:20" x14ac:dyDescent="0.25">
      <c r="B327" s="199">
        <v>44992</v>
      </c>
      <c r="C327" s="3">
        <v>2</v>
      </c>
      <c r="D327" s="233" t="s">
        <v>466</v>
      </c>
      <c r="E327" s="233" t="s">
        <v>3</v>
      </c>
      <c r="H327" s="304"/>
      <c r="I327" s="304"/>
      <c r="J327" s="304"/>
      <c r="K327" s="304"/>
      <c r="L327" s="304"/>
      <c r="M327" s="238">
        <v>0.625</v>
      </c>
      <c r="N327" s="238">
        <v>0.95833333333333337</v>
      </c>
      <c r="O327" s="196">
        <v>0</v>
      </c>
      <c r="P327" s="233">
        <v>0</v>
      </c>
      <c r="Q327" s="233">
        <v>0</v>
      </c>
      <c r="R327" s="295">
        <v>0</v>
      </c>
      <c r="S327" s="296" t="e">
        <f t="shared" si="43"/>
        <v>#DIV/0!</v>
      </c>
      <c r="T327" s="296" t="str">
        <f t="shared" si="44"/>
        <v/>
      </c>
    </row>
    <row r="328" spans="2:20" x14ac:dyDescent="0.25">
      <c r="B328" s="199">
        <v>44992</v>
      </c>
      <c r="C328" s="3">
        <v>3</v>
      </c>
      <c r="D328" s="3" t="s">
        <v>7</v>
      </c>
      <c r="E328" s="3" t="s">
        <v>190</v>
      </c>
      <c r="H328" s="304"/>
      <c r="I328" s="304"/>
      <c r="J328" s="304"/>
      <c r="K328" s="304"/>
      <c r="L328" s="304"/>
      <c r="M328" s="238">
        <v>0.95833333333333337</v>
      </c>
      <c r="N328" s="238">
        <v>0.29166666666666669</v>
      </c>
      <c r="O328" s="196">
        <v>0</v>
      </c>
      <c r="P328" s="233">
        <v>0</v>
      </c>
      <c r="Q328" s="233">
        <v>0</v>
      </c>
      <c r="R328" s="295">
        <v>0</v>
      </c>
      <c r="S328" s="296" t="e">
        <f>O328/Q328</f>
        <v>#DIV/0!</v>
      </c>
      <c r="T328" s="296" t="str">
        <f>IFERROR(O328/R328,"")</f>
        <v/>
      </c>
    </row>
    <row r="329" spans="2:20" x14ac:dyDescent="0.25">
      <c r="B329" s="199">
        <v>44993</v>
      </c>
      <c r="C329" s="3">
        <v>1</v>
      </c>
      <c r="D329" s="3" t="s">
        <v>4</v>
      </c>
      <c r="E329" s="3" t="s">
        <v>188</v>
      </c>
      <c r="H329" s="304"/>
      <c r="I329" s="304"/>
      <c r="J329" s="304"/>
      <c r="K329" s="304"/>
      <c r="L329" s="304"/>
      <c r="M329" s="238">
        <v>0.29166666666666669</v>
      </c>
      <c r="N329" s="238">
        <v>0.625</v>
      </c>
      <c r="O329" s="196">
        <v>0</v>
      </c>
      <c r="P329" s="3">
        <v>0</v>
      </c>
      <c r="Q329" s="3">
        <v>0</v>
      </c>
      <c r="R329" s="295">
        <v>0</v>
      </c>
      <c r="S329" s="296" t="e">
        <f>O329/Q329</f>
        <v>#DIV/0!</v>
      </c>
      <c r="T329" s="296" t="str">
        <f>IFERROR(O329/R329,"")</f>
        <v/>
      </c>
    </row>
    <row r="330" spans="2:20" x14ac:dyDescent="0.25">
      <c r="B330" s="199">
        <v>44993</v>
      </c>
      <c r="C330" s="3">
        <v>2</v>
      </c>
      <c r="D330" s="233" t="s">
        <v>466</v>
      </c>
      <c r="E330" s="233" t="s">
        <v>3</v>
      </c>
      <c r="F330" s="233" t="s">
        <v>29</v>
      </c>
      <c r="G330" s="3">
        <v>242</v>
      </c>
      <c r="H330" s="304" t="s">
        <v>848</v>
      </c>
      <c r="I330" s="304" t="s">
        <v>988</v>
      </c>
      <c r="J330" s="304" t="s">
        <v>848</v>
      </c>
      <c r="K330" s="304" t="s">
        <v>733</v>
      </c>
      <c r="L330" s="304" t="s">
        <v>34</v>
      </c>
      <c r="M330" s="238">
        <v>0.625</v>
      </c>
      <c r="N330" s="238">
        <v>0.95833333333333337</v>
      </c>
      <c r="O330" s="196">
        <v>3731</v>
      </c>
      <c r="P330" s="3" t="s">
        <v>492</v>
      </c>
      <c r="Q330" s="3">
        <v>5.97</v>
      </c>
      <c r="R330" s="205">
        <v>5.76</v>
      </c>
      <c r="S330" s="296">
        <f t="shared" ref="S330:S375" si="45">O330/Q330</f>
        <v>624.95812395309883</v>
      </c>
      <c r="T330" s="296">
        <f t="shared" ref="T330:T375" si="46">IFERROR(O330/R330,"")</f>
        <v>647.74305555555554</v>
      </c>
    </row>
    <row r="331" spans="2:20" x14ac:dyDescent="0.25">
      <c r="B331" s="199">
        <v>44993</v>
      </c>
      <c r="C331" s="3">
        <v>3</v>
      </c>
      <c r="D331" s="233" t="s">
        <v>7</v>
      </c>
      <c r="E331" s="233" t="s">
        <v>190</v>
      </c>
      <c r="F331" s="233"/>
      <c r="G331" s="233"/>
      <c r="H331" s="233"/>
      <c r="I331" s="233"/>
      <c r="J331" s="233"/>
      <c r="K331" s="233"/>
      <c r="L331" s="233"/>
      <c r="M331" s="238">
        <v>0.95833333333333337</v>
      </c>
      <c r="N331" s="238">
        <v>0.29166666666666669</v>
      </c>
      <c r="O331" s="196">
        <v>0</v>
      </c>
      <c r="P331" s="3">
        <v>0</v>
      </c>
      <c r="Q331" s="3">
        <v>0</v>
      </c>
      <c r="R331" s="205">
        <v>0</v>
      </c>
      <c r="S331" s="296" t="e">
        <f t="shared" si="45"/>
        <v>#DIV/0!</v>
      </c>
      <c r="T331" s="296" t="str">
        <f t="shared" si="46"/>
        <v/>
      </c>
    </row>
    <row r="332" spans="2:20" x14ac:dyDescent="0.25">
      <c r="B332" s="199">
        <v>44994</v>
      </c>
      <c r="C332" s="3">
        <v>1</v>
      </c>
      <c r="D332" s="3" t="s">
        <v>4</v>
      </c>
      <c r="E332" s="3" t="s">
        <v>173</v>
      </c>
      <c r="F332" s="233" t="s">
        <v>29</v>
      </c>
      <c r="G332" s="3">
        <v>243</v>
      </c>
      <c r="H332" s="304" t="s">
        <v>848</v>
      </c>
      <c r="I332" s="304" t="s">
        <v>988</v>
      </c>
      <c r="J332" s="304" t="s">
        <v>848</v>
      </c>
      <c r="K332" s="304" t="s">
        <v>733</v>
      </c>
      <c r="L332" s="304" t="s">
        <v>34</v>
      </c>
      <c r="M332" s="238">
        <v>0.29166666666666669</v>
      </c>
      <c r="N332" s="238">
        <v>0.625</v>
      </c>
      <c r="O332" s="196">
        <v>4811</v>
      </c>
      <c r="P332" s="233" t="s">
        <v>492</v>
      </c>
      <c r="Q332" s="3">
        <v>6</v>
      </c>
      <c r="R332" s="205">
        <v>5.76</v>
      </c>
      <c r="S332" s="296">
        <f t="shared" si="45"/>
        <v>801.83333333333337</v>
      </c>
      <c r="T332" s="296">
        <f t="shared" si="46"/>
        <v>835.24305555555554</v>
      </c>
    </row>
    <row r="333" spans="2:20" x14ac:dyDescent="0.25">
      <c r="B333" s="199">
        <v>44994</v>
      </c>
      <c r="C333" s="233">
        <v>2</v>
      </c>
      <c r="D333" s="233" t="s">
        <v>466</v>
      </c>
      <c r="E333" s="233" t="s">
        <v>3</v>
      </c>
      <c r="F333" s="233"/>
      <c r="H333" s="233"/>
      <c r="I333" s="233"/>
      <c r="J333" s="233"/>
      <c r="K333" s="233"/>
      <c r="L333" s="233"/>
      <c r="M333" s="238">
        <v>0.625</v>
      </c>
      <c r="N333" s="238">
        <v>0.95833333333333337</v>
      </c>
      <c r="O333" s="196">
        <v>0</v>
      </c>
      <c r="P333" s="3">
        <v>0</v>
      </c>
      <c r="Q333" s="3">
        <v>0</v>
      </c>
      <c r="R333" s="205">
        <v>0</v>
      </c>
      <c r="S333" s="168" t="e">
        <f t="shared" si="45"/>
        <v>#DIV/0!</v>
      </c>
      <c r="T333" s="296" t="str">
        <f t="shared" si="46"/>
        <v/>
      </c>
    </row>
    <row r="334" spans="2:20" x14ac:dyDescent="0.25">
      <c r="B334" s="199">
        <v>44994</v>
      </c>
      <c r="C334" s="233">
        <v>3</v>
      </c>
      <c r="D334" s="233" t="s">
        <v>7</v>
      </c>
      <c r="E334" s="233" t="s">
        <v>190</v>
      </c>
      <c r="F334" s="233"/>
      <c r="G334" s="233"/>
      <c r="H334" s="233"/>
      <c r="I334" s="233"/>
      <c r="J334" s="233"/>
      <c r="K334" s="233"/>
      <c r="L334" s="233"/>
      <c r="M334" s="238">
        <v>0.95833333333333337</v>
      </c>
      <c r="N334" s="238">
        <v>0.29166666666666669</v>
      </c>
      <c r="O334" s="196">
        <v>0</v>
      </c>
      <c r="P334" s="3">
        <v>0</v>
      </c>
      <c r="Q334" s="3">
        <v>0</v>
      </c>
      <c r="R334" s="205">
        <v>0</v>
      </c>
      <c r="S334" s="168" t="e">
        <f t="shared" si="45"/>
        <v>#DIV/0!</v>
      </c>
      <c r="T334" s="296" t="str">
        <f t="shared" si="46"/>
        <v/>
      </c>
    </row>
    <row r="335" spans="2:20" x14ac:dyDescent="0.25">
      <c r="B335" s="199">
        <v>44995</v>
      </c>
      <c r="C335" s="3">
        <v>1</v>
      </c>
      <c r="D335" s="233" t="s">
        <v>4</v>
      </c>
      <c r="E335" s="233" t="s">
        <v>4</v>
      </c>
      <c r="M335" s="238">
        <v>0.29166666666666669</v>
      </c>
      <c r="N335" s="238">
        <v>0.625</v>
      </c>
      <c r="O335" s="196">
        <v>0</v>
      </c>
      <c r="P335" s="233">
        <v>0</v>
      </c>
      <c r="Q335" s="233">
        <v>0</v>
      </c>
      <c r="R335" s="233">
        <v>0</v>
      </c>
      <c r="S335" s="202" t="e">
        <f t="shared" si="45"/>
        <v>#DIV/0!</v>
      </c>
      <c r="T335" s="296" t="str">
        <f t="shared" si="46"/>
        <v/>
      </c>
    </row>
    <row r="336" spans="2:20" x14ac:dyDescent="0.25">
      <c r="B336" s="199">
        <v>44995</v>
      </c>
      <c r="C336" s="233">
        <v>2</v>
      </c>
      <c r="D336" s="233" t="s">
        <v>466</v>
      </c>
      <c r="E336" s="233" t="s">
        <v>3</v>
      </c>
      <c r="F336" s="233" t="s">
        <v>29</v>
      </c>
      <c r="G336" s="233">
        <v>244</v>
      </c>
      <c r="H336" s="304" t="s">
        <v>848</v>
      </c>
      <c r="I336" s="304" t="s">
        <v>988</v>
      </c>
      <c r="J336" s="304" t="s">
        <v>848</v>
      </c>
      <c r="K336" s="304" t="s">
        <v>733</v>
      </c>
      <c r="L336" s="304" t="s">
        <v>34</v>
      </c>
      <c r="M336" s="238">
        <v>0.625</v>
      </c>
      <c r="N336" s="238">
        <v>0.95833333333333337</v>
      </c>
      <c r="O336" s="196">
        <v>1182</v>
      </c>
      <c r="P336" s="233" t="s">
        <v>492</v>
      </c>
      <c r="Q336" s="233">
        <v>1.63</v>
      </c>
      <c r="R336" s="205">
        <v>1.72</v>
      </c>
      <c r="S336" s="202">
        <f t="shared" si="45"/>
        <v>725.15337423312883</v>
      </c>
      <c r="T336" s="296">
        <f t="shared" si="46"/>
        <v>687.20930232558146</v>
      </c>
    </row>
    <row r="337" spans="2:27" x14ac:dyDescent="0.25">
      <c r="B337" s="199">
        <v>44995</v>
      </c>
      <c r="C337" s="233">
        <v>3</v>
      </c>
      <c r="D337" s="233" t="s">
        <v>7</v>
      </c>
      <c r="E337" s="233" t="s">
        <v>190</v>
      </c>
      <c r="F337" s="233" t="s">
        <v>29</v>
      </c>
      <c r="G337" s="233"/>
      <c r="H337" s="304" t="s">
        <v>848</v>
      </c>
      <c r="I337" s="304" t="s">
        <v>988</v>
      </c>
      <c r="J337" s="304" t="s">
        <v>848</v>
      </c>
      <c r="K337" s="304" t="s">
        <v>733</v>
      </c>
      <c r="L337" s="304" t="s">
        <v>34</v>
      </c>
      <c r="M337" s="238">
        <v>0.95833333333333337</v>
      </c>
      <c r="N337" s="238">
        <v>0.29166666666666669</v>
      </c>
      <c r="O337" s="196">
        <v>0</v>
      </c>
      <c r="P337" s="3">
        <v>0</v>
      </c>
      <c r="Q337" s="3">
        <v>0</v>
      </c>
      <c r="R337" s="205">
        <v>0</v>
      </c>
      <c r="S337" s="168" t="e">
        <f t="shared" si="45"/>
        <v>#DIV/0!</v>
      </c>
      <c r="T337" s="296" t="str">
        <f t="shared" si="46"/>
        <v/>
      </c>
    </row>
    <row r="338" spans="2:27" x14ac:dyDescent="0.25">
      <c r="B338" s="199">
        <v>44996</v>
      </c>
      <c r="C338" s="3">
        <v>1</v>
      </c>
      <c r="D338" s="3" t="s">
        <v>173</v>
      </c>
      <c r="E338" s="3" t="s">
        <v>188</v>
      </c>
      <c r="F338" s="233" t="s">
        <v>29</v>
      </c>
      <c r="G338" s="3">
        <v>245</v>
      </c>
      <c r="H338" s="304" t="s">
        <v>848</v>
      </c>
      <c r="I338" s="304" t="s">
        <v>678</v>
      </c>
      <c r="J338" s="304" t="s">
        <v>848</v>
      </c>
      <c r="K338" s="304" t="s">
        <v>733</v>
      </c>
      <c r="L338" s="304" t="s">
        <v>32</v>
      </c>
      <c r="M338" s="238">
        <v>0.29166666666666669</v>
      </c>
      <c r="N338" s="238">
        <v>0.625</v>
      </c>
      <c r="O338" s="196">
        <v>4134</v>
      </c>
      <c r="P338" s="3" t="s">
        <v>492</v>
      </c>
      <c r="Q338" s="3">
        <v>5.19</v>
      </c>
      <c r="R338" s="205">
        <v>5.44</v>
      </c>
      <c r="S338" s="168">
        <f t="shared" si="45"/>
        <v>796.53179190751439</v>
      </c>
      <c r="T338" s="296">
        <f t="shared" si="46"/>
        <v>759.92647058823525</v>
      </c>
    </row>
    <row r="339" spans="2:27" x14ac:dyDescent="0.25">
      <c r="B339" s="199">
        <v>44996</v>
      </c>
      <c r="C339" s="3">
        <v>2</v>
      </c>
      <c r="D339" s="3" t="s">
        <v>466</v>
      </c>
      <c r="E339" s="3" t="s">
        <v>3</v>
      </c>
      <c r="F339" s="233" t="s">
        <v>29</v>
      </c>
      <c r="G339" s="233">
        <v>246</v>
      </c>
      <c r="H339" s="304" t="s">
        <v>848</v>
      </c>
      <c r="I339" s="3" t="s">
        <v>678</v>
      </c>
      <c r="J339" s="304" t="s">
        <v>848</v>
      </c>
      <c r="K339" s="304" t="s">
        <v>733</v>
      </c>
      <c r="L339" s="304" t="s">
        <v>32</v>
      </c>
      <c r="M339" s="238">
        <v>0.625</v>
      </c>
      <c r="N339" s="238">
        <v>0.95833333333333337</v>
      </c>
      <c r="O339" s="196">
        <v>4146</v>
      </c>
      <c r="P339" s="233" t="s">
        <v>492</v>
      </c>
      <c r="Q339" s="3">
        <v>5.08</v>
      </c>
      <c r="R339" s="205">
        <v>5.4</v>
      </c>
      <c r="S339" s="168">
        <f t="shared" si="45"/>
        <v>816.14173228346453</v>
      </c>
      <c r="T339" s="168">
        <f t="shared" si="46"/>
        <v>767.77777777777771</v>
      </c>
    </row>
    <row r="340" spans="2:27" x14ac:dyDescent="0.25">
      <c r="B340" s="199">
        <v>44996</v>
      </c>
      <c r="C340" s="233">
        <v>3</v>
      </c>
      <c r="D340" s="233" t="s">
        <v>7</v>
      </c>
      <c r="E340" s="233" t="s">
        <v>190</v>
      </c>
      <c r="F340" s="233" t="s">
        <v>29</v>
      </c>
      <c r="G340" s="233">
        <v>246</v>
      </c>
      <c r="H340" s="304" t="s">
        <v>848</v>
      </c>
      <c r="I340" s="233" t="s">
        <v>678</v>
      </c>
      <c r="J340" s="304" t="s">
        <v>848</v>
      </c>
      <c r="K340" s="304" t="s">
        <v>733</v>
      </c>
      <c r="L340" s="304" t="s">
        <v>32</v>
      </c>
      <c r="M340" s="238">
        <v>0.95833333333333337</v>
      </c>
      <c r="N340" s="238">
        <v>0.29166666666666669</v>
      </c>
      <c r="O340" s="196">
        <v>0</v>
      </c>
      <c r="P340" s="3">
        <v>0</v>
      </c>
      <c r="Q340" s="3">
        <v>0</v>
      </c>
      <c r="R340" s="205">
        <v>0</v>
      </c>
      <c r="S340" s="202" t="e">
        <f t="shared" si="45"/>
        <v>#DIV/0!</v>
      </c>
      <c r="T340" s="202" t="str">
        <f t="shared" si="46"/>
        <v/>
      </c>
    </row>
    <row r="341" spans="2:27" x14ac:dyDescent="0.25">
      <c r="B341" s="199">
        <v>44997</v>
      </c>
      <c r="C341" s="233">
        <v>1</v>
      </c>
      <c r="D341" s="233" t="s">
        <v>173</v>
      </c>
      <c r="E341" s="233" t="s">
        <v>188</v>
      </c>
      <c r="M341" s="238">
        <v>0.29166666666666669</v>
      </c>
      <c r="N341" s="238">
        <v>0.625</v>
      </c>
      <c r="O341" s="196">
        <v>0</v>
      </c>
      <c r="P341" s="3">
        <v>0</v>
      </c>
      <c r="Q341" s="3">
        <v>0</v>
      </c>
      <c r="R341" s="205">
        <v>0</v>
      </c>
      <c r="S341" s="202" t="e">
        <f t="shared" si="45"/>
        <v>#DIV/0!</v>
      </c>
      <c r="T341" s="202" t="str">
        <f t="shared" si="46"/>
        <v/>
      </c>
    </row>
    <row r="342" spans="2:27" x14ac:dyDescent="0.25">
      <c r="B342" s="199">
        <v>44997</v>
      </c>
      <c r="C342" s="3">
        <v>2</v>
      </c>
      <c r="D342" s="3" t="s">
        <v>466</v>
      </c>
      <c r="E342" s="3" t="s">
        <v>3</v>
      </c>
      <c r="M342" s="238">
        <v>0.625</v>
      </c>
      <c r="N342" s="238">
        <v>0.95833333333333337</v>
      </c>
      <c r="O342" s="196">
        <v>0</v>
      </c>
      <c r="P342" s="233">
        <v>0</v>
      </c>
      <c r="Q342" s="233">
        <v>0</v>
      </c>
      <c r="R342" s="205">
        <v>0</v>
      </c>
      <c r="S342" s="202" t="e">
        <f t="shared" si="45"/>
        <v>#DIV/0!</v>
      </c>
      <c r="T342" s="202" t="str">
        <f t="shared" si="46"/>
        <v/>
      </c>
    </row>
    <row r="343" spans="2:27" x14ac:dyDescent="0.25">
      <c r="B343" s="199">
        <v>44997</v>
      </c>
      <c r="C343" s="233">
        <v>3</v>
      </c>
      <c r="D343" s="233" t="s">
        <v>7</v>
      </c>
      <c r="E343" s="233" t="s">
        <v>190</v>
      </c>
      <c r="M343" s="238">
        <v>0.95833333333333337</v>
      </c>
      <c r="N343" s="238">
        <v>0.29166666666666669</v>
      </c>
      <c r="O343" s="196">
        <v>0</v>
      </c>
      <c r="P343" s="233">
        <v>0</v>
      </c>
      <c r="Q343" s="233">
        <v>0</v>
      </c>
      <c r="R343" s="205">
        <v>0</v>
      </c>
      <c r="S343" s="202" t="e">
        <f t="shared" si="45"/>
        <v>#DIV/0!</v>
      </c>
      <c r="T343" s="202" t="str">
        <f t="shared" si="46"/>
        <v/>
      </c>
    </row>
    <row r="344" spans="2:27" x14ac:dyDescent="0.25">
      <c r="B344" s="199">
        <v>44998</v>
      </c>
      <c r="C344" s="3">
        <v>1</v>
      </c>
      <c r="D344" s="3" t="s">
        <v>1</v>
      </c>
      <c r="E344" s="233" t="s">
        <v>1</v>
      </c>
      <c r="M344" s="238">
        <v>0.29166666666666669</v>
      </c>
      <c r="N344" s="238">
        <v>0.625</v>
      </c>
      <c r="O344" s="196">
        <v>0</v>
      </c>
      <c r="P344" s="233">
        <v>0</v>
      </c>
      <c r="Q344" s="233">
        <v>0</v>
      </c>
      <c r="R344" s="205">
        <v>0</v>
      </c>
      <c r="S344" s="202" t="e">
        <f t="shared" si="45"/>
        <v>#DIV/0!</v>
      </c>
      <c r="T344" s="202" t="str">
        <f t="shared" si="46"/>
        <v/>
      </c>
    </row>
    <row r="345" spans="2:27" x14ac:dyDescent="0.25">
      <c r="B345" s="199">
        <v>44998</v>
      </c>
      <c r="C345" s="233">
        <v>2</v>
      </c>
      <c r="D345" s="233" t="s">
        <v>7</v>
      </c>
      <c r="E345" s="233" t="s">
        <v>190</v>
      </c>
      <c r="F345" s="233" t="s">
        <v>29</v>
      </c>
      <c r="G345" s="3">
        <v>247</v>
      </c>
      <c r="H345" s="304" t="s">
        <v>848</v>
      </c>
      <c r="I345" s="233" t="s">
        <v>678</v>
      </c>
      <c r="J345" s="304" t="s">
        <v>848</v>
      </c>
      <c r="K345" s="304" t="s">
        <v>733</v>
      </c>
      <c r="L345" s="304" t="s">
        <v>32</v>
      </c>
      <c r="M345" s="238">
        <v>0.625</v>
      </c>
      <c r="N345" s="238">
        <v>0.95833333333333337</v>
      </c>
      <c r="O345" s="196">
        <v>2369</v>
      </c>
      <c r="P345" s="3">
        <v>0</v>
      </c>
      <c r="Q345" s="3">
        <v>4.43</v>
      </c>
      <c r="R345" s="205">
        <v>4.24</v>
      </c>
      <c r="S345" s="202">
        <f t="shared" si="45"/>
        <v>534.76297968397296</v>
      </c>
      <c r="T345" s="202">
        <f t="shared" si="46"/>
        <v>558.72641509433959</v>
      </c>
    </row>
    <row r="346" spans="2:27" x14ac:dyDescent="0.25">
      <c r="B346" s="199">
        <v>44998</v>
      </c>
      <c r="C346" s="3">
        <v>3</v>
      </c>
      <c r="D346" s="3" t="s">
        <v>459</v>
      </c>
      <c r="E346" s="233" t="s">
        <v>1007</v>
      </c>
      <c r="H346" s="304" t="s">
        <v>848</v>
      </c>
      <c r="M346" s="238">
        <v>0.95833333333333337</v>
      </c>
      <c r="N346" s="238">
        <v>0.29166666666666669</v>
      </c>
      <c r="O346" s="196">
        <v>0</v>
      </c>
      <c r="P346" s="3">
        <v>0</v>
      </c>
      <c r="Q346" s="3">
        <v>0</v>
      </c>
      <c r="R346" s="205">
        <v>0</v>
      </c>
      <c r="S346" s="202" t="e">
        <f t="shared" si="45"/>
        <v>#DIV/0!</v>
      </c>
      <c r="T346" s="202" t="str">
        <f t="shared" si="46"/>
        <v/>
      </c>
    </row>
    <row r="347" spans="2:27" x14ac:dyDescent="0.25">
      <c r="B347" s="199">
        <v>44999</v>
      </c>
      <c r="H347" s="304" t="s">
        <v>848</v>
      </c>
      <c r="M347" s="238">
        <v>0.29166666666666669</v>
      </c>
      <c r="N347" s="238">
        <v>0.35416666666666669</v>
      </c>
      <c r="O347" s="401" t="s">
        <v>992</v>
      </c>
      <c r="P347" s="402"/>
      <c r="Q347" s="3">
        <v>1.08</v>
      </c>
      <c r="S347" s="202" t="e">
        <f t="shared" si="45"/>
        <v>#VALUE!</v>
      </c>
      <c r="T347" s="202" t="str">
        <f t="shared" si="46"/>
        <v/>
      </c>
      <c r="AA347" s="3" t="s">
        <v>939</v>
      </c>
    </row>
    <row r="348" spans="2:27" x14ac:dyDescent="0.25">
      <c r="B348" s="199">
        <v>44999</v>
      </c>
      <c r="C348" s="3">
        <v>1</v>
      </c>
      <c r="D348" s="3" t="s">
        <v>1</v>
      </c>
      <c r="E348" s="3" t="s">
        <v>173</v>
      </c>
      <c r="F348" s="3" t="s">
        <v>29</v>
      </c>
      <c r="G348" s="3">
        <v>248</v>
      </c>
      <c r="H348" s="304" t="s">
        <v>848</v>
      </c>
      <c r="I348" s="3" t="s">
        <v>678</v>
      </c>
      <c r="J348" s="304" t="s">
        <v>848</v>
      </c>
      <c r="K348" s="304" t="s">
        <v>733</v>
      </c>
      <c r="L348" s="304" t="s">
        <v>32</v>
      </c>
      <c r="M348" s="238">
        <v>0.35416666666666669</v>
      </c>
      <c r="N348" s="238">
        <v>0.625</v>
      </c>
      <c r="O348" s="196">
        <v>2274</v>
      </c>
      <c r="P348" s="233" t="s">
        <v>492</v>
      </c>
      <c r="Q348" s="3">
        <v>3.37</v>
      </c>
      <c r="R348" s="205">
        <v>3.51</v>
      </c>
      <c r="S348" s="202">
        <f t="shared" si="45"/>
        <v>674.77744807121655</v>
      </c>
      <c r="T348" s="202">
        <f t="shared" si="46"/>
        <v>647.86324786324792</v>
      </c>
      <c r="U348" s="398" t="s">
        <v>1008</v>
      </c>
      <c r="V348" s="399"/>
      <c r="W348" s="400"/>
    </row>
    <row r="349" spans="2:27" x14ac:dyDescent="0.25">
      <c r="B349" s="199">
        <v>44999</v>
      </c>
      <c r="C349" s="3">
        <v>2</v>
      </c>
      <c r="D349" s="233" t="s">
        <v>7</v>
      </c>
      <c r="E349" s="233" t="s">
        <v>190</v>
      </c>
      <c r="F349" s="233" t="s">
        <v>29</v>
      </c>
      <c r="G349" s="233">
        <v>249</v>
      </c>
      <c r="H349" s="304" t="s">
        <v>848</v>
      </c>
      <c r="I349" s="233" t="s">
        <v>769</v>
      </c>
      <c r="J349" s="304" t="s">
        <v>848</v>
      </c>
      <c r="K349" s="304" t="s">
        <v>733</v>
      </c>
      <c r="L349" s="304" t="s">
        <v>32</v>
      </c>
      <c r="M349" s="238">
        <v>0.625</v>
      </c>
      <c r="N349" s="238">
        <v>0.95833333333333337</v>
      </c>
      <c r="O349" s="196">
        <v>3176</v>
      </c>
      <c r="P349" s="233" t="s">
        <v>492</v>
      </c>
      <c r="Q349" s="3">
        <v>4.97</v>
      </c>
      <c r="R349" s="205">
        <v>5.05</v>
      </c>
      <c r="S349" s="202">
        <f t="shared" si="45"/>
        <v>639.03420523138834</v>
      </c>
      <c r="T349" s="202">
        <f t="shared" si="46"/>
        <v>628.91089108910899</v>
      </c>
    </row>
    <row r="350" spans="2:27" x14ac:dyDescent="0.25">
      <c r="B350" s="199">
        <v>44999</v>
      </c>
      <c r="C350" s="3">
        <v>3</v>
      </c>
      <c r="D350" s="3" t="s">
        <v>459</v>
      </c>
      <c r="E350" s="233" t="s">
        <v>1007</v>
      </c>
      <c r="H350" s="304" t="s">
        <v>848</v>
      </c>
      <c r="I350" s="233" t="s">
        <v>678</v>
      </c>
      <c r="J350" s="304" t="s">
        <v>848</v>
      </c>
      <c r="K350" s="304" t="s">
        <v>733</v>
      </c>
      <c r="M350" s="238">
        <v>0.95833333333333337</v>
      </c>
      <c r="N350" s="238">
        <v>0.29166666666666669</v>
      </c>
      <c r="O350" s="196">
        <v>0</v>
      </c>
      <c r="P350" s="3">
        <v>0</v>
      </c>
      <c r="Q350" s="3">
        <v>0</v>
      </c>
      <c r="R350" s="205">
        <v>0</v>
      </c>
      <c r="S350" s="202" t="e">
        <f t="shared" si="45"/>
        <v>#DIV/0!</v>
      </c>
      <c r="T350" s="202" t="str">
        <f t="shared" si="46"/>
        <v/>
      </c>
    </row>
    <row r="351" spans="2:27" x14ac:dyDescent="0.25">
      <c r="B351" s="199">
        <v>45000</v>
      </c>
      <c r="C351" s="3">
        <v>1</v>
      </c>
      <c r="D351" s="3" t="s">
        <v>1</v>
      </c>
      <c r="E351" s="3" t="s">
        <v>173</v>
      </c>
      <c r="F351" s="233" t="s">
        <v>29</v>
      </c>
      <c r="G351" s="3">
        <v>250</v>
      </c>
      <c r="H351" s="304" t="s">
        <v>848</v>
      </c>
      <c r="I351" s="233" t="s">
        <v>678</v>
      </c>
      <c r="J351" s="304" t="s">
        <v>848</v>
      </c>
      <c r="K351" s="304" t="s">
        <v>735</v>
      </c>
      <c r="L351" s="3" t="s">
        <v>34</v>
      </c>
      <c r="M351" s="238">
        <v>0.29166666666666669</v>
      </c>
      <c r="N351" s="238">
        <v>0.42708333333333331</v>
      </c>
      <c r="O351" s="196">
        <v>1567</v>
      </c>
      <c r="P351" s="3" t="s">
        <v>492</v>
      </c>
      <c r="Q351" s="3">
        <v>2.0499999999999998</v>
      </c>
      <c r="R351" s="205">
        <v>2.11</v>
      </c>
      <c r="S351" s="202">
        <f t="shared" si="45"/>
        <v>764.39024390243912</v>
      </c>
      <c r="T351" s="202">
        <f t="shared" si="46"/>
        <v>742.65402843601896</v>
      </c>
    </row>
    <row r="352" spans="2:27" x14ac:dyDescent="0.25">
      <c r="B352" s="199">
        <v>45000</v>
      </c>
      <c r="C352" s="233">
        <v>1</v>
      </c>
      <c r="D352" s="233" t="s">
        <v>1</v>
      </c>
      <c r="E352" s="233" t="s">
        <v>173</v>
      </c>
      <c r="F352" s="233" t="s">
        <v>29</v>
      </c>
      <c r="G352" s="233">
        <v>251</v>
      </c>
      <c r="H352" s="304" t="s">
        <v>848</v>
      </c>
      <c r="I352" s="3" t="s">
        <v>707</v>
      </c>
      <c r="J352" s="304" t="s">
        <v>848</v>
      </c>
      <c r="K352" s="304" t="s">
        <v>735</v>
      </c>
      <c r="L352" s="233" t="s">
        <v>34</v>
      </c>
      <c r="M352" s="238">
        <v>0.42708333333333331</v>
      </c>
      <c r="N352" s="238">
        <v>0.625</v>
      </c>
      <c r="O352" s="196">
        <v>688</v>
      </c>
      <c r="P352" s="233" t="s">
        <v>492</v>
      </c>
      <c r="Q352" s="3">
        <v>1.82</v>
      </c>
      <c r="R352" s="205">
        <v>1.21</v>
      </c>
      <c r="S352" s="202">
        <f t="shared" si="45"/>
        <v>378.02197802197799</v>
      </c>
      <c r="T352" s="202">
        <f t="shared" si="46"/>
        <v>568.59504132231405</v>
      </c>
    </row>
    <row r="353" spans="2:22" x14ac:dyDescent="0.25">
      <c r="B353" s="199">
        <v>45000</v>
      </c>
      <c r="C353" s="3">
        <v>2</v>
      </c>
      <c r="D353" s="233" t="s">
        <v>7</v>
      </c>
      <c r="E353" s="233" t="s">
        <v>7</v>
      </c>
      <c r="F353" s="233" t="s">
        <v>29</v>
      </c>
      <c r="G353" s="233">
        <v>252</v>
      </c>
      <c r="H353" s="304" t="s">
        <v>848</v>
      </c>
      <c r="I353" s="233" t="s">
        <v>707</v>
      </c>
      <c r="J353" s="304" t="s">
        <v>848</v>
      </c>
      <c r="K353" s="304" t="s">
        <v>735</v>
      </c>
      <c r="L353" s="233" t="s">
        <v>34</v>
      </c>
      <c r="M353" s="238">
        <v>0.625</v>
      </c>
      <c r="N353" s="238">
        <v>0.95833333333333337</v>
      </c>
      <c r="O353" s="196">
        <v>2400</v>
      </c>
      <c r="P353" s="3" t="s">
        <v>492</v>
      </c>
      <c r="Q353" s="3">
        <v>5.17</v>
      </c>
      <c r="R353" s="205">
        <v>164</v>
      </c>
      <c r="S353" s="202">
        <f t="shared" si="45"/>
        <v>464.21663442940041</v>
      </c>
      <c r="T353" s="202">
        <f t="shared" si="46"/>
        <v>14.634146341463415</v>
      </c>
    </row>
    <row r="354" spans="2:22" x14ac:dyDescent="0.25">
      <c r="B354" s="199">
        <v>45000</v>
      </c>
      <c r="C354" s="3">
        <v>3</v>
      </c>
      <c r="D354" s="3" t="s">
        <v>459</v>
      </c>
      <c r="E354" s="233" t="s">
        <v>1007</v>
      </c>
      <c r="F354" s="233" t="s">
        <v>29</v>
      </c>
      <c r="G354" s="3">
        <v>253</v>
      </c>
      <c r="H354" s="304" t="s">
        <v>848</v>
      </c>
      <c r="I354" s="233" t="s">
        <v>769</v>
      </c>
      <c r="J354" s="304" t="s">
        <v>848</v>
      </c>
      <c r="K354" s="304" t="s">
        <v>735</v>
      </c>
      <c r="L354" s="233" t="s">
        <v>34</v>
      </c>
      <c r="M354" s="238">
        <v>0.95833333333333337</v>
      </c>
      <c r="N354" s="238">
        <v>0.29166666666666669</v>
      </c>
      <c r="O354" s="196">
        <v>2059</v>
      </c>
      <c r="P354" s="3" t="s">
        <v>492</v>
      </c>
      <c r="Q354" s="3">
        <v>4.53</v>
      </c>
      <c r="R354" s="205">
        <v>4.96</v>
      </c>
      <c r="S354" s="202">
        <f t="shared" si="45"/>
        <v>454.52538631346573</v>
      </c>
      <c r="T354" s="202">
        <f t="shared" si="46"/>
        <v>415.12096774193549</v>
      </c>
    </row>
    <row r="355" spans="2:22" x14ac:dyDescent="0.25">
      <c r="B355" s="199">
        <v>45001</v>
      </c>
      <c r="C355" s="3">
        <v>1</v>
      </c>
      <c r="D355" s="233" t="s">
        <v>1</v>
      </c>
      <c r="E355" s="233" t="s">
        <v>1</v>
      </c>
      <c r="F355" s="233" t="s">
        <v>29</v>
      </c>
      <c r="G355" s="233">
        <v>254</v>
      </c>
      <c r="H355" s="304" t="s">
        <v>848</v>
      </c>
      <c r="I355" s="233" t="s">
        <v>769</v>
      </c>
      <c r="J355" s="304" t="s">
        <v>848</v>
      </c>
      <c r="K355" s="304" t="s">
        <v>735</v>
      </c>
      <c r="L355" s="233" t="s">
        <v>34</v>
      </c>
      <c r="M355" s="238">
        <v>0.29166666666666669</v>
      </c>
      <c r="N355" s="238">
        <v>0.625</v>
      </c>
      <c r="O355" s="196">
        <v>1216</v>
      </c>
      <c r="P355" s="233" t="s">
        <v>492</v>
      </c>
      <c r="Q355" s="3">
        <v>2.5499999999999998</v>
      </c>
      <c r="R355" s="205">
        <v>2.2000000000000002</v>
      </c>
      <c r="S355" s="202">
        <f t="shared" si="45"/>
        <v>476.86274509803923</v>
      </c>
      <c r="T355" s="202">
        <f t="shared" si="46"/>
        <v>552.72727272727263</v>
      </c>
    </row>
    <row r="356" spans="2:22" x14ac:dyDescent="0.25">
      <c r="B356" s="199">
        <v>45001</v>
      </c>
      <c r="C356" s="3">
        <v>2</v>
      </c>
      <c r="D356" s="233" t="s">
        <v>7</v>
      </c>
      <c r="E356" s="233" t="s">
        <v>7</v>
      </c>
      <c r="F356" s="233" t="s">
        <v>29</v>
      </c>
      <c r="G356" s="3">
        <v>255</v>
      </c>
      <c r="H356" s="304" t="s">
        <v>848</v>
      </c>
      <c r="I356" s="233" t="s">
        <v>769</v>
      </c>
      <c r="J356" s="304" t="s">
        <v>848</v>
      </c>
      <c r="K356" s="304" t="s">
        <v>735</v>
      </c>
      <c r="L356" s="233" t="s">
        <v>34</v>
      </c>
      <c r="M356" s="238">
        <v>0.625</v>
      </c>
      <c r="N356" s="238">
        <v>0.95833333333333337</v>
      </c>
      <c r="O356" s="196">
        <v>2920</v>
      </c>
      <c r="P356" s="3" t="s">
        <v>492</v>
      </c>
      <c r="Q356" s="3">
        <v>5.4</v>
      </c>
      <c r="R356" s="205">
        <v>5.89</v>
      </c>
      <c r="S356" s="202">
        <f t="shared" si="45"/>
        <v>540.74074074074076</v>
      </c>
      <c r="T356" s="202">
        <f t="shared" si="46"/>
        <v>495.75551782682516</v>
      </c>
    </row>
    <row r="357" spans="2:22" s="196" customFormat="1" x14ac:dyDescent="0.25">
      <c r="B357" s="199">
        <v>45001</v>
      </c>
      <c r="C357" s="196">
        <v>3</v>
      </c>
      <c r="D357" s="196" t="s">
        <v>459</v>
      </c>
      <c r="E357" s="196" t="s">
        <v>1007</v>
      </c>
      <c r="F357" s="196" t="s">
        <v>29</v>
      </c>
      <c r="G357" s="196">
        <v>256</v>
      </c>
      <c r="H357" s="196" t="s">
        <v>848</v>
      </c>
      <c r="I357" s="196" t="s">
        <v>769</v>
      </c>
      <c r="J357" s="196" t="s">
        <v>848</v>
      </c>
      <c r="K357" s="196" t="s">
        <v>735</v>
      </c>
      <c r="L357" s="196" t="s">
        <v>34</v>
      </c>
      <c r="M357" s="277">
        <v>0.95833333333333337</v>
      </c>
      <c r="N357" s="277">
        <v>0.125</v>
      </c>
      <c r="O357" s="196">
        <v>2400</v>
      </c>
      <c r="P357" s="196" t="s">
        <v>492</v>
      </c>
      <c r="Q357" s="196">
        <v>2.8</v>
      </c>
      <c r="R357" s="278">
        <v>2.9</v>
      </c>
      <c r="S357" s="202">
        <f t="shared" si="45"/>
        <v>857.14285714285722</v>
      </c>
      <c r="T357" s="202">
        <f t="shared" si="46"/>
        <v>827.58620689655174</v>
      </c>
      <c r="U357" s="198"/>
      <c r="V357" s="198"/>
    </row>
    <row r="358" spans="2:22" x14ac:dyDescent="0.25">
      <c r="B358" s="199">
        <v>45001</v>
      </c>
      <c r="C358" s="233">
        <v>3</v>
      </c>
      <c r="D358" s="233" t="s">
        <v>459</v>
      </c>
      <c r="E358" s="233" t="s">
        <v>1007</v>
      </c>
      <c r="F358" s="233" t="s">
        <v>29</v>
      </c>
      <c r="G358" s="233">
        <v>257</v>
      </c>
      <c r="H358" s="304" t="s">
        <v>848</v>
      </c>
      <c r="I358" s="233" t="s">
        <v>769</v>
      </c>
      <c r="J358" s="304" t="s">
        <v>848</v>
      </c>
      <c r="K358" s="304" t="s">
        <v>735</v>
      </c>
      <c r="L358" s="233" t="s">
        <v>34</v>
      </c>
      <c r="M358" s="238">
        <v>0.125</v>
      </c>
      <c r="N358" s="238">
        <v>0.29166666666666669</v>
      </c>
      <c r="O358" s="196">
        <v>1155</v>
      </c>
      <c r="P358" s="233" t="s">
        <v>492</v>
      </c>
      <c r="Q358" s="3">
        <v>3.25</v>
      </c>
      <c r="R358" s="205">
        <v>3.39</v>
      </c>
      <c r="S358" s="202">
        <f t="shared" si="45"/>
        <v>355.38461538461536</v>
      </c>
      <c r="T358" s="202">
        <f t="shared" si="46"/>
        <v>340.7079646017699</v>
      </c>
    </row>
    <row r="359" spans="2:22" x14ac:dyDescent="0.25">
      <c r="B359" s="199">
        <v>45002</v>
      </c>
      <c r="C359" s="3">
        <v>1</v>
      </c>
      <c r="D359" s="3" t="s">
        <v>1</v>
      </c>
      <c r="E359" s="3" t="s">
        <v>173</v>
      </c>
      <c r="F359" s="233" t="s">
        <v>29</v>
      </c>
      <c r="G359" s="233">
        <v>258</v>
      </c>
      <c r="H359" s="304" t="s">
        <v>848</v>
      </c>
      <c r="I359" s="233" t="s">
        <v>769</v>
      </c>
      <c r="J359" s="304" t="s">
        <v>848</v>
      </c>
      <c r="K359" s="304" t="s">
        <v>735</v>
      </c>
      <c r="L359" s="233" t="s">
        <v>34</v>
      </c>
      <c r="M359" s="238">
        <v>0.29166666666666669</v>
      </c>
      <c r="N359" s="238">
        <v>0.625</v>
      </c>
      <c r="O359" s="196">
        <v>3034</v>
      </c>
      <c r="P359" s="233" t="s">
        <v>492</v>
      </c>
      <c r="S359" s="202" t="e">
        <f t="shared" si="45"/>
        <v>#DIV/0!</v>
      </c>
      <c r="T359" s="202" t="str">
        <f t="shared" si="46"/>
        <v/>
      </c>
    </row>
    <row r="360" spans="2:22" x14ac:dyDescent="0.25">
      <c r="B360" s="199">
        <v>45002</v>
      </c>
      <c r="C360" s="3">
        <v>2</v>
      </c>
      <c r="D360" s="233" t="s">
        <v>7</v>
      </c>
      <c r="E360" s="233" t="s">
        <v>190</v>
      </c>
      <c r="F360" s="3" t="s">
        <v>29</v>
      </c>
      <c r="G360" s="233">
        <v>259</v>
      </c>
      <c r="H360" s="304" t="s">
        <v>848</v>
      </c>
      <c r="I360" s="233" t="s">
        <v>1020</v>
      </c>
      <c r="J360" s="304" t="s">
        <v>848</v>
      </c>
      <c r="K360" s="304" t="s">
        <v>735</v>
      </c>
      <c r="L360" s="233" t="s">
        <v>34</v>
      </c>
      <c r="M360" s="238">
        <v>0.625</v>
      </c>
      <c r="N360" s="238">
        <v>0.85416666666666663</v>
      </c>
      <c r="O360" s="196">
        <v>1700</v>
      </c>
      <c r="P360" s="233" t="s">
        <v>492</v>
      </c>
      <c r="Q360" s="3">
        <v>4.1399999999999997</v>
      </c>
      <c r="R360" s="205">
        <v>4.51</v>
      </c>
      <c r="S360" s="202">
        <f t="shared" si="45"/>
        <v>410.62801932367154</v>
      </c>
      <c r="T360" s="202">
        <f t="shared" si="46"/>
        <v>376.94013303769401</v>
      </c>
    </row>
    <row r="361" spans="2:22" s="196" customFormat="1" x14ac:dyDescent="0.25">
      <c r="B361" s="199">
        <v>45002</v>
      </c>
      <c r="C361" s="196">
        <v>2</v>
      </c>
      <c r="D361" s="196" t="s">
        <v>7</v>
      </c>
      <c r="E361" s="196" t="s">
        <v>190</v>
      </c>
      <c r="F361" s="196" t="s">
        <v>39</v>
      </c>
      <c r="G361" s="196">
        <v>260</v>
      </c>
      <c r="H361" s="196">
        <v>19594</v>
      </c>
      <c r="I361" s="196" t="s">
        <v>683</v>
      </c>
      <c r="J361" s="196" t="s">
        <v>946</v>
      </c>
      <c r="K361" s="196" t="s">
        <v>735</v>
      </c>
      <c r="L361" s="196" t="s">
        <v>34</v>
      </c>
      <c r="M361" s="277">
        <v>0.85416666666666663</v>
      </c>
      <c r="N361" s="277">
        <v>0.95833333333333337</v>
      </c>
      <c r="O361" s="196">
        <f>2998-1700</f>
        <v>1298</v>
      </c>
      <c r="P361" s="196" t="s">
        <v>492</v>
      </c>
      <c r="Q361" s="196">
        <f>6.37-Q360</f>
        <v>2.2300000000000004</v>
      </c>
      <c r="R361" s="278">
        <f>6.68-R360</f>
        <v>2.17</v>
      </c>
      <c r="S361" s="202">
        <f t="shared" si="45"/>
        <v>582.06278026905818</v>
      </c>
      <c r="T361" s="202">
        <f t="shared" si="46"/>
        <v>598.15668202764982</v>
      </c>
      <c r="U361" s="198"/>
      <c r="V361" s="198"/>
    </row>
    <row r="362" spans="2:22" x14ac:dyDescent="0.25">
      <c r="B362" s="199">
        <v>45002</v>
      </c>
      <c r="C362" s="3">
        <v>3</v>
      </c>
      <c r="D362" s="3" t="s">
        <v>459</v>
      </c>
      <c r="E362" s="233" t="s">
        <v>926</v>
      </c>
      <c r="F362" s="3" t="s">
        <v>47</v>
      </c>
      <c r="G362" s="3">
        <v>261</v>
      </c>
      <c r="H362" s="233">
        <v>19594</v>
      </c>
      <c r="I362" s="3" t="s">
        <v>683</v>
      </c>
      <c r="J362" s="233" t="s">
        <v>946</v>
      </c>
      <c r="K362" s="233" t="s">
        <v>735</v>
      </c>
      <c r="L362" s="233" t="s">
        <v>34</v>
      </c>
      <c r="M362" s="238">
        <v>0.95833333333333337</v>
      </c>
      <c r="N362" s="238">
        <v>0.29166666666666669</v>
      </c>
      <c r="O362" s="196">
        <v>5078</v>
      </c>
      <c r="P362" s="233" t="s">
        <v>492</v>
      </c>
      <c r="Q362" s="3">
        <v>6.78</v>
      </c>
      <c r="R362" s="205">
        <v>6.83</v>
      </c>
      <c r="S362" s="202">
        <f t="shared" si="45"/>
        <v>748.9675516224188</v>
      </c>
      <c r="T362" s="202">
        <f t="shared" si="46"/>
        <v>743.48462664714498</v>
      </c>
    </row>
    <row r="363" spans="2:22" x14ac:dyDescent="0.25">
      <c r="B363" s="199">
        <v>45003</v>
      </c>
      <c r="C363" s="3">
        <v>1</v>
      </c>
      <c r="E363" s="3" t="s">
        <v>362</v>
      </c>
      <c r="G363" s="3">
        <v>262</v>
      </c>
      <c r="H363" s="233">
        <v>19594</v>
      </c>
      <c r="I363" s="233" t="s">
        <v>683</v>
      </c>
      <c r="J363" s="233" t="s">
        <v>946</v>
      </c>
      <c r="K363" s="233" t="s">
        <v>735</v>
      </c>
      <c r="L363" s="233" t="s">
        <v>34</v>
      </c>
      <c r="M363" s="238">
        <v>0.29166666666666669</v>
      </c>
      <c r="N363" s="238">
        <v>0.38125000000000003</v>
      </c>
      <c r="O363" s="196">
        <v>1269</v>
      </c>
      <c r="P363" s="233" t="s">
        <v>492</v>
      </c>
      <c r="Q363" s="3">
        <v>1.82</v>
      </c>
      <c r="R363" s="205">
        <v>2.0699999999999998</v>
      </c>
      <c r="S363" s="202">
        <f t="shared" si="45"/>
        <v>697.25274725274721</v>
      </c>
      <c r="T363" s="202">
        <f t="shared" si="46"/>
        <v>613.04347826086962</v>
      </c>
    </row>
    <row r="364" spans="2:22" x14ac:dyDescent="0.25">
      <c r="B364" s="199">
        <v>45003</v>
      </c>
      <c r="C364" s="233">
        <v>1</v>
      </c>
      <c r="E364" s="233" t="s">
        <v>362</v>
      </c>
      <c r="G364" s="3">
        <v>263</v>
      </c>
      <c r="H364" s="233">
        <v>19594</v>
      </c>
      <c r="I364" s="233" t="s">
        <v>683</v>
      </c>
      <c r="J364" s="233" t="s">
        <v>946</v>
      </c>
      <c r="K364" s="191" t="s">
        <v>733</v>
      </c>
      <c r="L364" s="3" t="s">
        <v>21</v>
      </c>
      <c r="M364" s="238">
        <v>0.38125000000000003</v>
      </c>
      <c r="N364" s="238">
        <v>0.625</v>
      </c>
      <c r="O364" s="196">
        <f>1387-1269</f>
        <v>118</v>
      </c>
      <c r="P364" s="3" t="s">
        <v>492</v>
      </c>
      <c r="Q364" s="3">
        <f>2.44-1.82</f>
        <v>0.61999999999999988</v>
      </c>
      <c r="R364" s="205">
        <f>2.27-2.07</f>
        <v>0.20000000000000018</v>
      </c>
      <c r="S364" s="202">
        <f t="shared" si="45"/>
        <v>190.32258064516134</v>
      </c>
      <c r="T364" s="202">
        <f t="shared" si="46"/>
        <v>589.99999999999943</v>
      </c>
    </row>
    <row r="365" spans="2:22" x14ac:dyDescent="0.25">
      <c r="B365" s="199">
        <v>45003</v>
      </c>
      <c r="C365" s="3">
        <v>2</v>
      </c>
      <c r="D365" s="233" t="s">
        <v>7</v>
      </c>
      <c r="E365" s="233" t="s">
        <v>190</v>
      </c>
      <c r="F365" s="3" t="s">
        <v>39</v>
      </c>
      <c r="G365" s="233">
        <v>264</v>
      </c>
      <c r="H365" s="233">
        <v>19594</v>
      </c>
      <c r="I365" s="233" t="s">
        <v>683</v>
      </c>
      <c r="J365" s="233" t="s">
        <v>946</v>
      </c>
      <c r="K365" s="191" t="s">
        <v>733</v>
      </c>
      <c r="L365" s="233" t="s">
        <v>21</v>
      </c>
      <c r="M365" s="238">
        <v>0.625</v>
      </c>
      <c r="N365" s="238">
        <v>0.95833333333333337</v>
      </c>
      <c r="O365" s="196">
        <v>5223</v>
      </c>
      <c r="P365" s="3" t="s">
        <v>492</v>
      </c>
      <c r="Q365" s="3">
        <v>7.76</v>
      </c>
      <c r="R365" s="205">
        <v>7.74</v>
      </c>
      <c r="S365" s="202">
        <f t="shared" si="45"/>
        <v>673.06701030927832</v>
      </c>
      <c r="T365" s="202">
        <f t="shared" si="46"/>
        <v>674.80620155038753</v>
      </c>
    </row>
    <row r="366" spans="2:22" x14ac:dyDescent="0.25">
      <c r="B366" s="199">
        <v>45003</v>
      </c>
      <c r="C366" s="3">
        <v>3</v>
      </c>
      <c r="D366" s="3" t="s">
        <v>459</v>
      </c>
      <c r="E366" s="3" t="s">
        <v>188</v>
      </c>
      <c r="G366" s="3">
        <v>265</v>
      </c>
      <c r="H366" s="3">
        <v>19594</v>
      </c>
      <c r="I366" s="3" t="s">
        <v>683</v>
      </c>
      <c r="J366" s="233" t="s">
        <v>946</v>
      </c>
      <c r="K366" s="191" t="s">
        <v>733</v>
      </c>
      <c r="L366" s="233" t="s">
        <v>21</v>
      </c>
      <c r="M366" s="238">
        <v>0.95833333333333337</v>
      </c>
      <c r="N366" s="238">
        <v>4.8611111111111112E-2</v>
      </c>
      <c r="O366" s="196">
        <v>765</v>
      </c>
      <c r="P366" s="3" t="s">
        <v>492</v>
      </c>
      <c r="Q366" s="3">
        <v>1.86</v>
      </c>
      <c r="R366" s="205">
        <v>1.7</v>
      </c>
      <c r="S366" s="202">
        <f t="shared" si="45"/>
        <v>411.29032258064512</v>
      </c>
      <c r="T366" s="202">
        <f t="shared" si="46"/>
        <v>450</v>
      </c>
    </row>
    <row r="367" spans="2:22" x14ac:dyDescent="0.25">
      <c r="B367" s="199">
        <v>45003</v>
      </c>
      <c r="C367" s="233">
        <v>3</v>
      </c>
      <c r="D367" s="233" t="s">
        <v>459</v>
      </c>
      <c r="E367" s="233" t="s">
        <v>188</v>
      </c>
      <c r="F367" s="233"/>
      <c r="G367" s="233">
        <v>266</v>
      </c>
      <c r="H367" s="233">
        <v>19594</v>
      </c>
      <c r="I367" s="233" t="s">
        <v>678</v>
      </c>
      <c r="J367" s="233" t="s">
        <v>1028</v>
      </c>
      <c r="K367" s="191" t="s">
        <v>733</v>
      </c>
      <c r="L367" s="233" t="s">
        <v>21</v>
      </c>
      <c r="M367" s="238">
        <v>4.8611111111111112E-2</v>
      </c>
      <c r="N367" s="238">
        <v>0.29166666666666669</v>
      </c>
      <c r="O367" s="196">
        <f>3389-O366</f>
        <v>2624</v>
      </c>
      <c r="P367" s="3" t="s">
        <v>492</v>
      </c>
      <c r="Q367" s="3">
        <f>7.1-Q366</f>
        <v>5.2399999999999993</v>
      </c>
      <c r="R367" s="205">
        <v>5.45</v>
      </c>
      <c r="S367" s="202">
        <f t="shared" si="45"/>
        <v>500.76335877862601</v>
      </c>
      <c r="T367" s="202">
        <f t="shared" si="46"/>
        <v>481.46788990825689</v>
      </c>
    </row>
    <row r="368" spans="2:22" x14ac:dyDescent="0.25">
      <c r="B368" s="199">
        <v>45004</v>
      </c>
      <c r="O368" s="196">
        <v>301</v>
      </c>
      <c r="Q368" s="3">
        <v>0.45</v>
      </c>
      <c r="R368" s="205">
        <v>0.47</v>
      </c>
      <c r="S368" s="202">
        <f t="shared" si="45"/>
        <v>668.88888888888891</v>
      </c>
      <c r="T368" s="202">
        <f t="shared" si="46"/>
        <v>640.42553191489367</v>
      </c>
    </row>
    <row r="369" spans="2:20" x14ac:dyDescent="0.25">
      <c r="B369" s="199">
        <v>45004</v>
      </c>
      <c r="C369" s="3">
        <v>1</v>
      </c>
      <c r="D369" s="3" t="s">
        <v>173</v>
      </c>
      <c r="E369" s="3" t="s">
        <v>173</v>
      </c>
      <c r="F369" s="3" t="s">
        <v>31</v>
      </c>
      <c r="G369" s="3">
        <v>267</v>
      </c>
      <c r="H369" s="233">
        <v>19594</v>
      </c>
      <c r="I369" s="233" t="s">
        <v>678</v>
      </c>
      <c r="J369" s="233" t="s">
        <v>1028</v>
      </c>
      <c r="K369" s="304" t="s">
        <v>733</v>
      </c>
      <c r="L369" s="233" t="s">
        <v>21</v>
      </c>
      <c r="M369" s="238">
        <v>0.29166666666666669</v>
      </c>
      <c r="N369" s="238">
        <v>0.47916666666666669</v>
      </c>
      <c r="O369" s="196">
        <v>2232</v>
      </c>
      <c r="P369" s="3" t="s">
        <v>748</v>
      </c>
      <c r="Q369" s="3">
        <v>3.65</v>
      </c>
      <c r="R369" s="205">
        <v>3.45</v>
      </c>
      <c r="S369" s="202">
        <f t="shared" si="45"/>
        <v>611.50684931506851</v>
      </c>
      <c r="T369" s="202">
        <f t="shared" si="46"/>
        <v>646.95652173913038</v>
      </c>
    </row>
    <row r="370" spans="2:20" x14ac:dyDescent="0.25">
      <c r="B370" s="199">
        <v>45004</v>
      </c>
      <c r="C370" s="233">
        <v>1</v>
      </c>
      <c r="D370" s="233" t="s">
        <v>173</v>
      </c>
      <c r="E370" s="233" t="s">
        <v>173</v>
      </c>
      <c r="F370" s="3" t="s">
        <v>29</v>
      </c>
      <c r="G370" s="233">
        <v>268</v>
      </c>
      <c r="H370" s="304" t="s">
        <v>848</v>
      </c>
      <c r="I370" s="3" t="s">
        <v>1034</v>
      </c>
      <c r="J370" s="304" t="s">
        <v>848</v>
      </c>
      <c r="K370" s="3" t="s">
        <v>733</v>
      </c>
      <c r="L370" s="3" t="s">
        <v>21</v>
      </c>
      <c r="M370" s="238">
        <v>0.47916666666666669</v>
      </c>
      <c r="N370" s="238">
        <v>0.625</v>
      </c>
      <c r="O370" s="196">
        <f>4933-O369-O368</f>
        <v>2400</v>
      </c>
      <c r="P370" s="233" t="s">
        <v>748</v>
      </c>
      <c r="Q370" s="3">
        <f>7.2-Q369-Q368</f>
        <v>3.1</v>
      </c>
      <c r="R370" s="205">
        <f>7-R369-R368</f>
        <v>3.08</v>
      </c>
      <c r="S370" s="202">
        <f t="shared" si="45"/>
        <v>774.19354838709671</v>
      </c>
      <c r="T370" s="202">
        <f t="shared" si="46"/>
        <v>779.22077922077915</v>
      </c>
    </row>
    <row r="371" spans="2:20" x14ac:dyDescent="0.25">
      <c r="B371" s="199">
        <v>45004</v>
      </c>
      <c r="C371" s="3">
        <v>2</v>
      </c>
      <c r="D371" s="3" t="s">
        <v>7</v>
      </c>
      <c r="E371" s="233" t="s">
        <v>205</v>
      </c>
      <c r="F371" s="3" t="s">
        <v>1036</v>
      </c>
      <c r="G371" s="3">
        <v>269</v>
      </c>
      <c r="H371" s="233">
        <v>9594</v>
      </c>
      <c r="I371" s="233" t="s">
        <v>678</v>
      </c>
      <c r="J371" s="233" t="s">
        <v>1028</v>
      </c>
      <c r="K371" s="304" t="s">
        <v>733</v>
      </c>
      <c r="L371" s="233" t="s">
        <v>21</v>
      </c>
      <c r="M371" s="238">
        <v>0.625</v>
      </c>
      <c r="N371" s="238">
        <v>0.95833333333333337</v>
      </c>
      <c r="O371" s="196">
        <v>4075</v>
      </c>
      <c r="P371" s="3" t="s">
        <v>492</v>
      </c>
      <c r="Q371" s="3">
        <v>6.34</v>
      </c>
      <c r="R371" s="205">
        <v>6.68</v>
      </c>
      <c r="S371" s="202">
        <f t="shared" si="45"/>
        <v>642.74447949526814</v>
      </c>
      <c r="T371" s="202">
        <f t="shared" si="46"/>
        <v>610.02994011976045</v>
      </c>
    </row>
    <row r="372" spans="2:20" x14ac:dyDescent="0.25">
      <c r="B372" s="199">
        <v>45004</v>
      </c>
      <c r="C372" s="233">
        <v>3</v>
      </c>
      <c r="D372" s="233" t="s">
        <v>459</v>
      </c>
      <c r="E372" s="233" t="s">
        <v>926</v>
      </c>
      <c r="F372" s="233" t="s">
        <v>1037</v>
      </c>
      <c r="G372" s="3">
        <v>270</v>
      </c>
      <c r="H372" s="233">
        <v>7360</v>
      </c>
      <c r="I372" s="233" t="s">
        <v>1039</v>
      </c>
      <c r="J372" s="233" t="s">
        <v>1038</v>
      </c>
      <c r="K372" s="304" t="s">
        <v>733</v>
      </c>
      <c r="L372" s="233" t="s">
        <v>21</v>
      </c>
      <c r="M372" s="238">
        <v>0.95833333333333337</v>
      </c>
      <c r="N372" s="238">
        <v>0.29166666666666669</v>
      </c>
      <c r="O372" s="196">
        <v>3324</v>
      </c>
      <c r="P372" s="233" t="s">
        <v>492</v>
      </c>
      <c r="Q372" s="3">
        <v>6.69</v>
      </c>
      <c r="R372" s="205">
        <v>6.89</v>
      </c>
      <c r="S372" s="202">
        <f t="shared" si="45"/>
        <v>496.86098654708519</v>
      </c>
      <c r="T372" s="202">
        <f t="shared" si="46"/>
        <v>482.43831640058056</v>
      </c>
    </row>
    <row r="373" spans="2:20" x14ac:dyDescent="0.25">
      <c r="B373" s="199">
        <v>45005</v>
      </c>
      <c r="C373" s="3">
        <v>1</v>
      </c>
      <c r="D373" s="3" t="s">
        <v>7</v>
      </c>
      <c r="E373" s="233" t="s">
        <v>7</v>
      </c>
      <c r="F373" s="233" t="s">
        <v>31</v>
      </c>
      <c r="G373" s="3">
        <v>271</v>
      </c>
      <c r="H373" s="233">
        <v>7361</v>
      </c>
      <c r="I373" s="233" t="s">
        <v>1039</v>
      </c>
      <c r="J373" s="233" t="s">
        <v>1038</v>
      </c>
      <c r="K373" s="304" t="s">
        <v>733</v>
      </c>
      <c r="L373" s="233" t="s">
        <v>21</v>
      </c>
      <c r="M373" s="238">
        <v>0.29166666666666669</v>
      </c>
      <c r="N373" s="238">
        <v>0.625</v>
      </c>
      <c r="O373" s="196">
        <v>3359</v>
      </c>
      <c r="P373" s="3" t="s">
        <v>492</v>
      </c>
      <c r="Q373" s="3">
        <v>5.29</v>
      </c>
      <c r="R373" s="205">
        <v>5.9</v>
      </c>
      <c r="S373" s="202">
        <f t="shared" si="45"/>
        <v>634.97164461247633</v>
      </c>
      <c r="T373" s="202">
        <f t="shared" si="46"/>
        <v>569.32203389830499</v>
      </c>
    </row>
    <row r="374" spans="2:20" x14ac:dyDescent="0.25">
      <c r="B374" s="199">
        <v>45005</v>
      </c>
      <c r="C374" s="3">
        <v>2</v>
      </c>
      <c r="D374" s="3" t="s">
        <v>188</v>
      </c>
      <c r="E374" s="3" t="s">
        <v>188</v>
      </c>
      <c r="F374" s="233" t="s">
        <v>1040</v>
      </c>
      <c r="G374" s="3">
        <v>272</v>
      </c>
      <c r="H374" s="233">
        <v>7361</v>
      </c>
      <c r="I374" s="233" t="s">
        <v>1039</v>
      </c>
      <c r="J374" s="233" t="s">
        <v>1038</v>
      </c>
      <c r="K374" s="304" t="s">
        <v>733</v>
      </c>
      <c r="L374" s="233" t="s">
        <v>21</v>
      </c>
      <c r="M374" s="238">
        <v>0.625</v>
      </c>
      <c r="N374" s="238">
        <v>0.80763888888888891</v>
      </c>
      <c r="O374" s="196">
        <v>1890</v>
      </c>
      <c r="P374" s="3" t="s">
        <v>492</v>
      </c>
      <c r="Q374" s="3">
        <v>3.55</v>
      </c>
      <c r="R374" s="205">
        <v>3.32</v>
      </c>
      <c r="S374" s="202">
        <f t="shared" si="45"/>
        <v>532.3943661971831</v>
      </c>
      <c r="T374" s="202">
        <f t="shared" si="46"/>
        <v>569.27710843373495</v>
      </c>
    </row>
    <row r="375" spans="2:20" x14ac:dyDescent="0.25">
      <c r="B375" s="199">
        <v>45005</v>
      </c>
      <c r="C375" s="233">
        <v>2</v>
      </c>
      <c r="D375" s="233" t="s">
        <v>188</v>
      </c>
      <c r="E375" s="233" t="s">
        <v>188</v>
      </c>
      <c r="F375" s="233" t="s">
        <v>1040</v>
      </c>
      <c r="G375" s="3">
        <v>273</v>
      </c>
      <c r="H375" s="233">
        <v>10400</v>
      </c>
      <c r="I375" s="233" t="s">
        <v>1043</v>
      </c>
      <c r="J375" s="233" t="s">
        <v>946</v>
      </c>
      <c r="K375" s="304" t="s">
        <v>733</v>
      </c>
      <c r="L375" s="233" t="s">
        <v>21</v>
      </c>
      <c r="M375" s="238">
        <v>0.80763888888888891</v>
      </c>
      <c r="N375" s="238">
        <v>0.95833333333333337</v>
      </c>
      <c r="O375" s="196">
        <v>2063</v>
      </c>
      <c r="P375" s="233" t="s">
        <v>492</v>
      </c>
      <c r="Q375" s="3">
        <v>3.26</v>
      </c>
      <c r="R375" s="205">
        <v>3.21</v>
      </c>
      <c r="S375" s="202">
        <f t="shared" si="45"/>
        <v>632.82208588957064</v>
      </c>
      <c r="T375" s="202">
        <f t="shared" si="46"/>
        <v>642.67912772585669</v>
      </c>
    </row>
    <row r="376" spans="2:20" x14ac:dyDescent="0.25">
      <c r="B376" s="199">
        <v>45005</v>
      </c>
      <c r="C376" s="3">
        <v>3</v>
      </c>
      <c r="D376" s="233" t="s">
        <v>466</v>
      </c>
      <c r="E376" s="3" t="s">
        <v>3</v>
      </c>
      <c r="F376" s="233" t="s">
        <v>807</v>
      </c>
      <c r="G376" s="3">
        <v>274</v>
      </c>
      <c r="H376" s="233">
        <v>10400</v>
      </c>
      <c r="I376" s="233" t="s">
        <v>1043</v>
      </c>
      <c r="J376" s="233" t="s">
        <v>946</v>
      </c>
      <c r="K376" s="304" t="s">
        <v>733</v>
      </c>
      <c r="L376" s="233" t="s">
        <v>21</v>
      </c>
      <c r="M376" s="238">
        <v>0.95833333333333337</v>
      </c>
      <c r="N376" s="238">
        <v>0.29166666666666669</v>
      </c>
      <c r="O376" s="196">
        <v>3858</v>
      </c>
      <c r="P376" s="3" t="s">
        <v>492</v>
      </c>
      <c r="Q376" s="3">
        <v>5.8</v>
      </c>
      <c r="R376" s="205">
        <v>7.56</v>
      </c>
      <c r="S376" s="202">
        <f t="shared" ref="S376:S382" si="47">O376/Q376</f>
        <v>665.17241379310349</v>
      </c>
      <c r="T376" s="202">
        <f t="shared" ref="T376:T382" si="48">IFERROR(O376/R376,"")</f>
        <v>510.31746031746036</v>
      </c>
    </row>
    <row r="377" spans="2:20" x14ac:dyDescent="0.25">
      <c r="B377" s="199">
        <v>45006</v>
      </c>
      <c r="C377" s="3">
        <v>1</v>
      </c>
      <c r="D377" s="233" t="s">
        <v>7</v>
      </c>
      <c r="E377" s="233" t="s">
        <v>190</v>
      </c>
      <c r="F377" s="3" t="s">
        <v>17</v>
      </c>
      <c r="G377" s="3">
        <v>275</v>
      </c>
      <c r="H377" s="233">
        <v>10400</v>
      </c>
      <c r="I377" s="233" t="s">
        <v>1043</v>
      </c>
      <c r="J377" s="233" t="s">
        <v>1045</v>
      </c>
      <c r="K377" s="304" t="s">
        <v>733</v>
      </c>
      <c r="L377" s="233" t="s">
        <v>24</v>
      </c>
      <c r="M377" s="238">
        <v>0.29166666666666669</v>
      </c>
      <c r="N377" s="238">
        <v>0.46875</v>
      </c>
      <c r="O377" s="196">
        <v>1400</v>
      </c>
      <c r="P377" s="3" t="s">
        <v>492</v>
      </c>
      <c r="Q377" s="3">
        <v>2.34</v>
      </c>
      <c r="R377" s="205">
        <v>2.74</v>
      </c>
      <c r="S377" s="202">
        <f t="shared" si="47"/>
        <v>598.29059829059838</v>
      </c>
      <c r="T377" s="202">
        <f t="shared" si="48"/>
        <v>510.94890510948903</v>
      </c>
    </row>
    <row r="378" spans="2:20" x14ac:dyDescent="0.25">
      <c r="B378" s="199">
        <v>45006</v>
      </c>
      <c r="C378" s="233">
        <v>1</v>
      </c>
      <c r="D378" s="233" t="s">
        <v>7</v>
      </c>
      <c r="E378" s="233" t="s">
        <v>190</v>
      </c>
      <c r="F378" s="233" t="s">
        <v>31</v>
      </c>
      <c r="G378" s="233">
        <v>275</v>
      </c>
      <c r="H378" s="233">
        <v>10400</v>
      </c>
      <c r="I378" s="233" t="s">
        <v>1043</v>
      </c>
      <c r="J378" s="233" t="s">
        <v>1048</v>
      </c>
      <c r="K378" s="304" t="s">
        <v>733</v>
      </c>
      <c r="L378" s="233" t="s">
        <v>696</v>
      </c>
      <c r="M378" s="238">
        <v>0.46875</v>
      </c>
      <c r="N378" s="238">
        <v>0.50347222222222221</v>
      </c>
      <c r="O378" s="196">
        <f>1877-1400</f>
        <v>477</v>
      </c>
      <c r="P378" s="3" t="s">
        <v>492</v>
      </c>
      <c r="Q378" s="3">
        <f>3.22-2.34</f>
        <v>0.88000000000000034</v>
      </c>
      <c r="R378" s="205">
        <f>3.45-2.74</f>
        <v>0.71</v>
      </c>
      <c r="S378" s="202">
        <f t="shared" si="47"/>
        <v>542.04545454545439</v>
      </c>
      <c r="T378" s="202">
        <f t="shared" si="48"/>
        <v>671.83098591549299</v>
      </c>
    </row>
    <row r="379" spans="2:20" x14ac:dyDescent="0.25">
      <c r="B379" s="199">
        <v>45006</v>
      </c>
      <c r="C379" s="233">
        <v>1</v>
      </c>
      <c r="D379" s="233" t="s">
        <v>7</v>
      </c>
      <c r="E379" s="233" t="s">
        <v>190</v>
      </c>
      <c r="F379" s="233" t="s">
        <v>31</v>
      </c>
      <c r="G379" s="233">
        <v>275</v>
      </c>
      <c r="H379" s="233">
        <v>10400</v>
      </c>
      <c r="I379" s="233" t="s">
        <v>1043</v>
      </c>
      <c r="J379" s="233" t="s">
        <v>946</v>
      </c>
      <c r="K379" s="304" t="s">
        <v>733</v>
      </c>
      <c r="L379" s="233" t="s">
        <v>24</v>
      </c>
      <c r="M379" s="238">
        <v>0.50347222222222221</v>
      </c>
      <c r="N379" s="238">
        <v>0.625</v>
      </c>
      <c r="O379" s="196">
        <f>3129-O378-O377</f>
        <v>1252</v>
      </c>
      <c r="P379" s="3" t="s">
        <v>492</v>
      </c>
      <c r="Q379" s="3">
        <f>5.32-Q378-Q377</f>
        <v>2.0999999999999996</v>
      </c>
      <c r="R379" s="205">
        <f>5.85-R378-R377</f>
        <v>2.3999999999999995</v>
      </c>
      <c r="S379" s="202">
        <f t="shared" si="47"/>
        <v>596.19047619047626</v>
      </c>
      <c r="T379" s="202">
        <f t="shared" si="48"/>
        <v>521.66666666666674</v>
      </c>
    </row>
    <row r="380" spans="2:20" x14ac:dyDescent="0.25">
      <c r="B380" s="199">
        <v>45006</v>
      </c>
      <c r="C380" s="233">
        <v>2</v>
      </c>
      <c r="D380" s="233" t="s">
        <v>188</v>
      </c>
      <c r="E380" s="233" t="s">
        <v>188</v>
      </c>
      <c r="F380" s="3" t="s">
        <v>11</v>
      </c>
      <c r="G380" s="3">
        <v>276</v>
      </c>
      <c r="H380" s="3">
        <v>10400</v>
      </c>
      <c r="I380" s="233" t="s">
        <v>1043</v>
      </c>
      <c r="J380" s="233" t="s">
        <v>946</v>
      </c>
      <c r="K380" s="304" t="s">
        <v>733</v>
      </c>
      <c r="L380" s="233" t="s">
        <v>24</v>
      </c>
      <c r="M380" s="238">
        <v>0.625</v>
      </c>
      <c r="N380" s="238">
        <v>0.95833333333333337</v>
      </c>
      <c r="O380" s="196">
        <v>4185</v>
      </c>
      <c r="P380" s="233" t="s">
        <v>492</v>
      </c>
      <c r="Q380" s="3">
        <v>6.74</v>
      </c>
      <c r="R380" s="205">
        <v>6.65</v>
      </c>
      <c r="S380" s="202">
        <f t="shared" si="47"/>
        <v>620.919881305638</v>
      </c>
      <c r="T380" s="202">
        <f t="shared" si="48"/>
        <v>629.32330827067665</v>
      </c>
    </row>
    <row r="381" spans="2:20" x14ac:dyDescent="0.25">
      <c r="B381" s="199">
        <v>45006</v>
      </c>
      <c r="C381" s="3">
        <v>3</v>
      </c>
      <c r="D381" s="3" t="s">
        <v>466</v>
      </c>
      <c r="E381" s="3" t="s">
        <v>3</v>
      </c>
      <c r="F381" s="304" t="s">
        <v>848</v>
      </c>
      <c r="G381" s="3">
        <v>277</v>
      </c>
      <c r="H381" s="233">
        <v>3000</v>
      </c>
      <c r="I381" s="233" t="s">
        <v>769</v>
      </c>
      <c r="J381" s="304" t="s">
        <v>848</v>
      </c>
      <c r="K381" s="304" t="s">
        <v>733</v>
      </c>
      <c r="L381" s="233" t="s">
        <v>21</v>
      </c>
      <c r="M381" s="238">
        <v>0.95833333333333337</v>
      </c>
      <c r="N381" s="238">
        <v>0.29166666666666669</v>
      </c>
      <c r="O381" s="196">
        <v>1513</v>
      </c>
      <c r="P381" s="233" t="s">
        <v>492</v>
      </c>
      <c r="Q381" s="3">
        <v>3.64</v>
      </c>
      <c r="R381" s="205">
        <v>3.56</v>
      </c>
      <c r="S381" s="168">
        <f t="shared" si="47"/>
        <v>415.65934065934067</v>
      </c>
      <c r="T381" s="168">
        <f t="shared" si="48"/>
        <v>425</v>
      </c>
    </row>
    <row r="382" spans="2:20" x14ac:dyDescent="0.25">
      <c r="B382" s="199">
        <v>45007</v>
      </c>
      <c r="C382" s="3">
        <v>1</v>
      </c>
      <c r="D382" s="3" t="s">
        <v>7</v>
      </c>
      <c r="E382" s="3" t="s">
        <v>173</v>
      </c>
      <c r="F382" s="3" t="s">
        <v>29</v>
      </c>
      <c r="G382" s="233">
        <v>278</v>
      </c>
      <c r="H382" s="233"/>
      <c r="I382" s="233" t="s">
        <v>686</v>
      </c>
      <c r="J382" s="304" t="s">
        <v>848</v>
      </c>
      <c r="K382" s="304" t="s">
        <v>733</v>
      </c>
      <c r="L382" s="233" t="s">
        <v>21</v>
      </c>
      <c r="M382" s="238">
        <v>0.29166666666666669</v>
      </c>
      <c r="N382" s="238">
        <v>0.44027777777777777</v>
      </c>
      <c r="O382" s="196">
        <v>761</v>
      </c>
      <c r="P382" s="233" t="s">
        <v>492</v>
      </c>
      <c r="Q382" s="3">
        <v>1.9</v>
      </c>
      <c r="R382" s="205">
        <v>1.98</v>
      </c>
      <c r="S382" s="168">
        <f t="shared" si="47"/>
        <v>400.5263157894737</v>
      </c>
      <c r="T382" s="168">
        <f t="shared" si="48"/>
        <v>384.34343434343435</v>
      </c>
    </row>
    <row r="383" spans="2:20" x14ac:dyDescent="0.25">
      <c r="B383" s="199">
        <v>45007</v>
      </c>
      <c r="C383" s="233">
        <v>1</v>
      </c>
      <c r="D383" s="233" t="s">
        <v>7</v>
      </c>
      <c r="E383" s="233" t="s">
        <v>173</v>
      </c>
      <c r="F383" s="233" t="s">
        <v>29</v>
      </c>
      <c r="G383" s="233">
        <v>279</v>
      </c>
      <c r="I383" s="3" t="s">
        <v>1051</v>
      </c>
      <c r="J383" s="304" t="s">
        <v>848</v>
      </c>
      <c r="K383" s="304" t="s">
        <v>733</v>
      </c>
      <c r="L383" s="233" t="s">
        <v>21</v>
      </c>
      <c r="M383" s="238">
        <v>0.44027777777777777</v>
      </c>
      <c r="N383" s="238">
        <v>0.625</v>
      </c>
      <c r="O383" s="196">
        <v>1584</v>
      </c>
      <c r="P383" s="233" t="s">
        <v>492</v>
      </c>
      <c r="Q383" s="3">
        <v>3.27</v>
      </c>
      <c r="R383" s="205">
        <f>5.01-R382</f>
        <v>3.03</v>
      </c>
      <c r="S383" s="202">
        <f t="shared" ref="S383:S392" si="49">O383/Q383</f>
        <v>484.40366972477062</v>
      </c>
      <c r="T383" s="202">
        <f t="shared" ref="T383:T392" si="50">IFERROR(O383/R383,"")</f>
        <v>522.77227722772284</v>
      </c>
    </row>
    <row r="384" spans="2:20" x14ac:dyDescent="0.25">
      <c r="B384" s="199">
        <v>45007</v>
      </c>
      <c r="C384" s="233">
        <v>2</v>
      </c>
      <c r="D384" s="233" t="s">
        <v>459</v>
      </c>
      <c r="E384" s="233" t="s">
        <v>188</v>
      </c>
      <c r="G384" s="233">
        <v>280</v>
      </c>
      <c r="H384" s="233">
        <v>10400</v>
      </c>
      <c r="I384" s="233" t="s">
        <v>1043</v>
      </c>
      <c r="J384" s="233" t="s">
        <v>946</v>
      </c>
      <c r="K384" s="304" t="s">
        <v>733</v>
      </c>
      <c r="L384" s="233" t="s">
        <v>21</v>
      </c>
      <c r="M384" s="238">
        <v>0.625</v>
      </c>
      <c r="N384" s="238">
        <v>0.65972222222222221</v>
      </c>
      <c r="O384" s="196">
        <v>420</v>
      </c>
      <c r="P384" s="3" t="s">
        <v>492</v>
      </c>
      <c r="Q384" s="3">
        <v>0.7</v>
      </c>
      <c r="R384" s="205">
        <v>0.72</v>
      </c>
      <c r="S384" s="202">
        <f t="shared" si="49"/>
        <v>600</v>
      </c>
      <c r="T384" s="202">
        <f t="shared" si="50"/>
        <v>583.33333333333337</v>
      </c>
    </row>
    <row r="385" spans="2:20" x14ac:dyDescent="0.25">
      <c r="B385" s="199">
        <v>45007</v>
      </c>
      <c r="C385" s="3">
        <v>2</v>
      </c>
      <c r="D385" s="233" t="s">
        <v>459</v>
      </c>
      <c r="E385" s="233" t="s">
        <v>188</v>
      </c>
      <c r="G385" s="3">
        <v>281</v>
      </c>
      <c r="H385" s="3">
        <v>5674</v>
      </c>
      <c r="I385" s="233" t="s">
        <v>1043</v>
      </c>
      <c r="J385" s="233" t="s">
        <v>1028</v>
      </c>
      <c r="K385" s="304" t="s">
        <v>733</v>
      </c>
      <c r="L385" s="233" t="s">
        <v>24</v>
      </c>
      <c r="M385" s="238">
        <v>0.65972222222222221</v>
      </c>
      <c r="N385" s="238">
        <v>0.85972222222222217</v>
      </c>
      <c r="O385" s="196">
        <v>2670</v>
      </c>
      <c r="P385" s="3" t="s">
        <v>492</v>
      </c>
      <c r="Q385" s="3">
        <v>4.72</v>
      </c>
      <c r="R385" s="205">
        <v>4.67</v>
      </c>
      <c r="S385" s="202">
        <f t="shared" si="49"/>
        <v>565.67796610169489</v>
      </c>
      <c r="T385" s="202">
        <f t="shared" si="50"/>
        <v>571.73447537473237</v>
      </c>
    </row>
    <row r="386" spans="2:20" x14ac:dyDescent="0.25">
      <c r="B386" s="199">
        <v>45007</v>
      </c>
      <c r="C386" s="233">
        <v>3</v>
      </c>
      <c r="D386" s="233" t="s">
        <v>466</v>
      </c>
      <c r="E386" s="233" t="s">
        <v>3</v>
      </c>
      <c r="F386" s="233" t="s">
        <v>29</v>
      </c>
      <c r="G386" s="233">
        <v>282</v>
      </c>
      <c r="H386" s="233">
        <v>5675</v>
      </c>
      <c r="I386" s="233" t="s">
        <v>707</v>
      </c>
      <c r="J386" s="233" t="s">
        <v>848</v>
      </c>
      <c r="K386" s="304" t="s">
        <v>733</v>
      </c>
      <c r="L386" s="233" t="s">
        <v>24</v>
      </c>
      <c r="M386" s="238">
        <v>0.95833333333333337</v>
      </c>
      <c r="N386" s="238">
        <v>0.29166666666666669</v>
      </c>
      <c r="O386" s="196">
        <v>3989</v>
      </c>
      <c r="P386" s="233" t="s">
        <v>492</v>
      </c>
      <c r="Q386" s="233">
        <v>6.9</v>
      </c>
      <c r="R386" s="205">
        <v>6.93</v>
      </c>
      <c r="S386" s="202">
        <f t="shared" si="49"/>
        <v>578.1159420289855</v>
      </c>
      <c r="T386" s="168">
        <f t="shared" si="50"/>
        <v>575.61327561327562</v>
      </c>
    </row>
    <row r="387" spans="2:20" x14ac:dyDescent="0.25">
      <c r="B387" s="199">
        <v>45008</v>
      </c>
      <c r="C387" s="233">
        <v>1</v>
      </c>
      <c r="D387" s="233" t="s">
        <v>459</v>
      </c>
      <c r="E387" s="233" t="s">
        <v>190</v>
      </c>
      <c r="F387" s="233" t="s">
        <v>29</v>
      </c>
      <c r="G387" s="233">
        <v>283</v>
      </c>
      <c r="H387" s="233"/>
      <c r="I387" s="233" t="s">
        <v>769</v>
      </c>
      <c r="J387" s="233" t="s">
        <v>848</v>
      </c>
      <c r="K387" s="304" t="s">
        <v>733</v>
      </c>
      <c r="L387" s="233" t="s">
        <v>24</v>
      </c>
      <c r="M387" s="238">
        <v>0.29166666666666669</v>
      </c>
      <c r="N387" s="238">
        <v>0.625</v>
      </c>
      <c r="O387" s="196">
        <v>1456</v>
      </c>
      <c r="P387" s="3" t="s">
        <v>492</v>
      </c>
      <c r="Q387" s="3">
        <v>2.62</v>
      </c>
      <c r="R387" s="205">
        <v>2.88</v>
      </c>
      <c r="S387" s="168">
        <f t="shared" si="49"/>
        <v>555.72519083969462</v>
      </c>
      <c r="T387" s="168">
        <f t="shared" si="50"/>
        <v>505.5555555555556</v>
      </c>
    </row>
    <row r="388" spans="2:20" x14ac:dyDescent="0.25">
      <c r="B388" s="199">
        <v>45008</v>
      </c>
      <c r="C388" s="3">
        <v>2</v>
      </c>
      <c r="D388" s="3" t="s">
        <v>7</v>
      </c>
      <c r="E388" s="3" t="s">
        <v>188</v>
      </c>
      <c r="F388" s="233" t="s">
        <v>29</v>
      </c>
      <c r="G388" s="3">
        <v>284</v>
      </c>
      <c r="I388" s="233" t="s">
        <v>769</v>
      </c>
      <c r="J388" s="233" t="s">
        <v>848</v>
      </c>
      <c r="K388" s="304" t="s">
        <v>733</v>
      </c>
      <c r="L388" s="233" t="s">
        <v>24</v>
      </c>
      <c r="M388" s="238">
        <v>0.625</v>
      </c>
      <c r="N388" s="238">
        <v>0.95833333333333337</v>
      </c>
      <c r="O388" s="196">
        <v>1714</v>
      </c>
      <c r="P388" s="233" t="s">
        <v>492</v>
      </c>
      <c r="Q388" s="3">
        <v>3.98</v>
      </c>
      <c r="R388" s="205">
        <v>4</v>
      </c>
      <c r="S388" s="168">
        <f t="shared" si="49"/>
        <v>430.6532663316583</v>
      </c>
      <c r="T388" s="168">
        <f t="shared" si="50"/>
        <v>428.5</v>
      </c>
    </row>
    <row r="389" spans="2:20" x14ac:dyDescent="0.25">
      <c r="B389" s="199">
        <v>45008</v>
      </c>
      <c r="C389" s="3">
        <v>3</v>
      </c>
      <c r="D389" s="3" t="s">
        <v>466</v>
      </c>
      <c r="E389" s="3" t="s">
        <v>3</v>
      </c>
      <c r="F389" s="233" t="s">
        <v>29</v>
      </c>
      <c r="G389" s="233">
        <v>285</v>
      </c>
      <c r="H389" s="3">
        <v>2300</v>
      </c>
      <c r="I389" s="233" t="s">
        <v>769</v>
      </c>
      <c r="J389" s="233" t="s">
        <v>848</v>
      </c>
      <c r="K389" s="304" t="s">
        <v>733</v>
      </c>
      <c r="L389" s="233" t="s">
        <v>24</v>
      </c>
      <c r="M389" s="238">
        <v>0.95833333333333337</v>
      </c>
      <c r="N389" s="238">
        <v>0.29166666666666669</v>
      </c>
      <c r="O389" s="196">
        <v>2910</v>
      </c>
      <c r="P389" s="3" t="s">
        <v>492</v>
      </c>
      <c r="Q389" s="3">
        <v>7.3</v>
      </c>
      <c r="R389" s="205">
        <v>7.63</v>
      </c>
      <c r="S389" s="168">
        <f t="shared" si="49"/>
        <v>398.63013698630135</v>
      </c>
      <c r="T389" s="168">
        <f t="shared" si="50"/>
        <v>381.389252948886</v>
      </c>
    </row>
    <row r="390" spans="2:20" x14ac:dyDescent="0.25">
      <c r="B390" s="199">
        <v>45009</v>
      </c>
      <c r="C390" s="3">
        <v>1</v>
      </c>
      <c r="D390" s="3" t="s">
        <v>459</v>
      </c>
      <c r="E390" s="233" t="s">
        <v>459</v>
      </c>
      <c r="F390" s="3" t="s">
        <v>848</v>
      </c>
      <c r="G390" s="3">
        <v>286</v>
      </c>
      <c r="I390" s="233" t="s">
        <v>769</v>
      </c>
      <c r="J390" s="233" t="s">
        <v>848</v>
      </c>
      <c r="K390" s="304" t="s">
        <v>733</v>
      </c>
      <c r="L390" s="233" t="s">
        <v>24</v>
      </c>
      <c r="M390" s="238">
        <v>0.29166666666666669</v>
      </c>
      <c r="N390" s="238">
        <v>0.625</v>
      </c>
      <c r="O390" s="196">
        <v>1299</v>
      </c>
      <c r="P390" s="233" t="s">
        <v>492</v>
      </c>
      <c r="Q390" s="3">
        <v>3.32</v>
      </c>
      <c r="R390" s="205">
        <v>3.36</v>
      </c>
      <c r="S390" s="168">
        <f t="shared" si="49"/>
        <v>391.26506024096386</v>
      </c>
      <c r="T390" s="168">
        <f t="shared" si="50"/>
        <v>386.60714285714289</v>
      </c>
    </row>
    <row r="391" spans="2:20" x14ac:dyDescent="0.25">
      <c r="B391" s="199">
        <v>45009</v>
      </c>
      <c r="C391" s="233">
        <v>2</v>
      </c>
      <c r="D391" s="233" t="s">
        <v>7</v>
      </c>
      <c r="E391" s="233" t="s">
        <v>188</v>
      </c>
      <c r="F391" s="233" t="s">
        <v>848</v>
      </c>
      <c r="G391" s="233"/>
      <c r="H391" s="233"/>
      <c r="I391" s="233"/>
      <c r="J391" s="233"/>
      <c r="K391" s="233"/>
      <c r="L391" s="233"/>
      <c r="M391" s="238">
        <v>0.625</v>
      </c>
      <c r="N391" s="238">
        <v>0.95833333333333337</v>
      </c>
      <c r="O391" s="196">
        <v>0</v>
      </c>
      <c r="P391" s="3" t="s">
        <v>492</v>
      </c>
      <c r="Q391" s="3">
        <v>0</v>
      </c>
      <c r="R391" s="205">
        <v>0</v>
      </c>
      <c r="S391" s="168" t="e">
        <f t="shared" si="49"/>
        <v>#DIV/0!</v>
      </c>
      <c r="T391" s="168" t="str">
        <f t="shared" si="50"/>
        <v/>
      </c>
    </row>
    <row r="392" spans="2:20" x14ac:dyDescent="0.25">
      <c r="B392" s="199">
        <v>45009</v>
      </c>
      <c r="C392" s="3">
        <v>3</v>
      </c>
      <c r="D392" s="3" t="s">
        <v>466</v>
      </c>
      <c r="E392" s="3" t="s">
        <v>3</v>
      </c>
      <c r="F392" s="233" t="s">
        <v>848</v>
      </c>
      <c r="G392" s="233">
        <v>287</v>
      </c>
      <c r="I392" s="3" t="s">
        <v>1043</v>
      </c>
      <c r="J392" s="233" t="s">
        <v>848</v>
      </c>
      <c r="K392" s="304" t="s">
        <v>733</v>
      </c>
      <c r="L392" s="233" t="s">
        <v>24</v>
      </c>
      <c r="M392" s="238">
        <v>0.95833333333333337</v>
      </c>
      <c r="N392" s="238">
        <v>0.29166666666666669</v>
      </c>
      <c r="O392" s="196">
        <v>817</v>
      </c>
      <c r="P392" s="233" t="s">
        <v>492</v>
      </c>
      <c r="Q392" s="3">
        <v>1.68</v>
      </c>
      <c r="R392" s="205">
        <v>1.84</v>
      </c>
      <c r="S392" s="168">
        <f t="shared" si="49"/>
        <v>486.30952380952385</v>
      </c>
      <c r="T392" s="168">
        <f t="shared" si="50"/>
        <v>444.02173913043475</v>
      </c>
    </row>
    <row r="393" spans="2:20" x14ac:dyDescent="0.25">
      <c r="B393" s="199">
        <v>45010</v>
      </c>
      <c r="C393" s="3">
        <v>1</v>
      </c>
      <c r="D393" s="3" t="s">
        <v>459</v>
      </c>
      <c r="F393" s="3" t="s">
        <v>29</v>
      </c>
      <c r="G393" s="233"/>
      <c r="I393" s="233"/>
      <c r="J393" s="233"/>
      <c r="K393" s="304"/>
      <c r="L393" s="233"/>
      <c r="M393" s="238">
        <v>0.29166666666666669</v>
      </c>
      <c r="N393" s="238">
        <v>0.625</v>
      </c>
      <c r="O393" s="196">
        <v>0</v>
      </c>
      <c r="P393" s="233" t="s">
        <v>492</v>
      </c>
      <c r="R393" s="205">
        <v>0</v>
      </c>
    </row>
    <row r="394" spans="2:20" x14ac:dyDescent="0.25">
      <c r="B394" s="199">
        <v>45010</v>
      </c>
      <c r="C394" s="233">
        <v>2</v>
      </c>
      <c r="D394" s="233" t="s">
        <v>7</v>
      </c>
      <c r="E394" s="233" t="s">
        <v>188</v>
      </c>
      <c r="M394" s="238">
        <v>0.625</v>
      </c>
      <c r="N394" s="238">
        <v>0.95833333333333337</v>
      </c>
      <c r="O394" s="196">
        <v>0</v>
      </c>
      <c r="P394" s="233" t="s">
        <v>492</v>
      </c>
      <c r="Q394" s="3">
        <v>0</v>
      </c>
    </row>
    <row r="395" spans="2:20" x14ac:dyDescent="0.25">
      <c r="B395" s="199">
        <v>45010</v>
      </c>
      <c r="C395" s="3">
        <v>3</v>
      </c>
      <c r="D395" s="3" t="s">
        <v>466</v>
      </c>
      <c r="E395" s="3" t="s">
        <v>3</v>
      </c>
      <c r="F395" s="233"/>
      <c r="G395" s="233"/>
      <c r="H395" s="233"/>
      <c r="I395" s="233"/>
      <c r="J395" s="233"/>
      <c r="K395" s="233"/>
      <c r="L395" s="233"/>
      <c r="M395" s="238">
        <v>0.95833333333333337</v>
      </c>
      <c r="N395" s="238">
        <v>0.29166666666666669</v>
      </c>
      <c r="O395" s="196">
        <v>0</v>
      </c>
      <c r="P395" s="233" t="s">
        <v>492</v>
      </c>
      <c r="Q395" s="233">
        <v>0</v>
      </c>
      <c r="S395" s="202"/>
      <c r="T395" s="202"/>
    </row>
    <row r="396" spans="2:20" x14ac:dyDescent="0.25">
      <c r="B396" s="199">
        <v>45011</v>
      </c>
      <c r="C396" s="3">
        <v>1</v>
      </c>
      <c r="D396" s="233" t="s">
        <v>459</v>
      </c>
      <c r="E396" s="233" t="s">
        <v>190</v>
      </c>
      <c r="M396" s="238">
        <v>0.29166666666666669</v>
      </c>
      <c r="N396" s="238">
        <v>0.625</v>
      </c>
      <c r="O396" s="196">
        <v>0</v>
      </c>
      <c r="P396" s="233" t="s">
        <v>492</v>
      </c>
      <c r="Q396" s="233">
        <v>0</v>
      </c>
      <c r="S396" s="202"/>
      <c r="T396" s="202"/>
    </row>
    <row r="397" spans="2:20" x14ac:dyDescent="0.25">
      <c r="B397" s="199">
        <v>45011</v>
      </c>
      <c r="C397" s="233">
        <v>2</v>
      </c>
      <c r="D397" s="233" t="s">
        <v>7</v>
      </c>
      <c r="E397" s="233" t="s">
        <v>188</v>
      </c>
      <c r="F397" s="3">
        <f ca="1">F397:T397</f>
        <v>0</v>
      </c>
      <c r="M397" s="238">
        <v>0.625</v>
      </c>
      <c r="N397" s="238">
        <v>0.95833333333333337</v>
      </c>
      <c r="O397" s="196">
        <v>0</v>
      </c>
      <c r="P397" s="3">
        <v>0</v>
      </c>
      <c r="Q397" s="3">
        <v>0</v>
      </c>
      <c r="R397" s="205">
        <v>0</v>
      </c>
    </row>
    <row r="398" spans="2:20" x14ac:dyDescent="0.25">
      <c r="B398" s="199">
        <v>45011</v>
      </c>
      <c r="C398" s="233">
        <v>3</v>
      </c>
      <c r="D398" s="233" t="s">
        <v>466</v>
      </c>
      <c r="E398" s="233" t="s">
        <v>3</v>
      </c>
      <c r="M398" s="238">
        <v>0.95833333333333337</v>
      </c>
      <c r="N398" s="238">
        <v>0.29166666666666669</v>
      </c>
      <c r="O398" s="196">
        <v>0</v>
      </c>
      <c r="P398" s="233" t="s">
        <v>492</v>
      </c>
      <c r="Q398" s="233">
        <v>0</v>
      </c>
      <c r="S398" s="202"/>
      <c r="T398" s="202"/>
    </row>
    <row r="399" spans="2:20" x14ac:dyDescent="0.25">
      <c r="B399" s="199">
        <v>45012</v>
      </c>
      <c r="C399" s="3">
        <v>1</v>
      </c>
      <c r="D399" s="3" t="s">
        <v>459</v>
      </c>
      <c r="E399" s="233" t="s">
        <v>205</v>
      </c>
      <c r="F399" s="3" t="s">
        <v>29</v>
      </c>
      <c r="G399" s="3">
        <v>288</v>
      </c>
      <c r="H399" s="3" t="s">
        <v>29</v>
      </c>
      <c r="I399" s="3" t="s">
        <v>741</v>
      </c>
      <c r="J399" s="3" t="s">
        <v>1060</v>
      </c>
      <c r="K399" s="3" t="s">
        <v>733</v>
      </c>
      <c r="L399" s="3" t="s">
        <v>24</v>
      </c>
      <c r="M399" s="238">
        <v>0.29166666666666669</v>
      </c>
      <c r="N399" s="238">
        <v>0.625</v>
      </c>
      <c r="O399" s="196">
        <v>1026</v>
      </c>
      <c r="P399" s="233" t="s">
        <v>492</v>
      </c>
      <c r="Q399" s="3">
        <v>4.1399999999999997</v>
      </c>
      <c r="R399" s="205">
        <v>3.74</v>
      </c>
      <c r="S399" s="202">
        <f>O399/Q399</f>
        <v>247.82608695652175</v>
      </c>
      <c r="T399" s="202">
        <f>IFERROR(O399/R399,"")</f>
        <v>274.33155080213902</v>
      </c>
    </row>
    <row r="400" spans="2:20" x14ac:dyDescent="0.25">
      <c r="B400" s="199">
        <v>45012</v>
      </c>
      <c r="C400" s="3">
        <v>2</v>
      </c>
      <c r="D400" s="233" t="s">
        <v>465</v>
      </c>
      <c r="E400" s="233" t="s">
        <v>3</v>
      </c>
      <c r="F400" s="233" t="s">
        <v>29</v>
      </c>
      <c r="G400" s="3">
        <v>289</v>
      </c>
      <c r="H400" s="233" t="s">
        <v>29</v>
      </c>
      <c r="I400" s="233" t="s">
        <v>741</v>
      </c>
      <c r="J400" s="233" t="s">
        <v>1060</v>
      </c>
      <c r="K400" s="233" t="s">
        <v>733</v>
      </c>
      <c r="L400" s="233" t="s">
        <v>24</v>
      </c>
      <c r="M400" s="238">
        <v>0.625</v>
      </c>
      <c r="N400" s="238">
        <v>0.95833333333333337</v>
      </c>
      <c r="O400" s="196">
        <v>1003</v>
      </c>
      <c r="P400" s="233" t="s">
        <v>492</v>
      </c>
      <c r="Q400" s="233">
        <v>1.64</v>
      </c>
      <c r="R400" s="205">
        <v>1.74</v>
      </c>
      <c r="S400" s="202">
        <f t="shared" ref="S400:S408" si="51">O400/Q400</f>
        <v>611.58536585365857</v>
      </c>
      <c r="T400" s="202">
        <f t="shared" ref="T400:T408" si="52">IFERROR(O400/R400,"")</f>
        <v>576.43678160919535</v>
      </c>
    </row>
    <row r="401" spans="2:20" x14ac:dyDescent="0.25">
      <c r="B401" s="199">
        <v>45012</v>
      </c>
      <c r="C401" s="3">
        <v>3</v>
      </c>
      <c r="D401" s="3" t="s">
        <v>7</v>
      </c>
      <c r="E401" s="233"/>
      <c r="F401" s="3" t="s">
        <v>29</v>
      </c>
      <c r="G401" s="3">
        <v>290</v>
      </c>
      <c r="H401" s="3" t="s">
        <v>848</v>
      </c>
      <c r="I401" s="3" t="s">
        <v>769</v>
      </c>
      <c r="J401" s="3" t="s">
        <v>848</v>
      </c>
      <c r="K401" s="3" t="s">
        <v>733</v>
      </c>
      <c r="L401" s="3" t="s">
        <v>24</v>
      </c>
      <c r="M401" s="238">
        <v>0.95833333333333337</v>
      </c>
      <c r="N401" s="238">
        <v>0.29166666666666669</v>
      </c>
      <c r="O401" s="196">
        <v>2661</v>
      </c>
      <c r="P401" s="3" t="s">
        <v>492</v>
      </c>
      <c r="Q401" s="3">
        <v>6.27</v>
      </c>
      <c r="R401" s="205">
        <v>6.17</v>
      </c>
      <c r="S401" s="202">
        <f t="shared" si="51"/>
        <v>424.4019138755981</v>
      </c>
      <c r="T401" s="202">
        <f t="shared" si="52"/>
        <v>431.28038897893032</v>
      </c>
    </row>
    <row r="402" spans="2:20" x14ac:dyDescent="0.25">
      <c r="B402" s="199">
        <v>45013</v>
      </c>
      <c r="C402" s="3">
        <v>1</v>
      </c>
      <c r="D402" s="3" t="s">
        <v>459</v>
      </c>
      <c r="E402" s="233" t="s">
        <v>205</v>
      </c>
      <c r="F402" s="233" t="s">
        <v>29</v>
      </c>
      <c r="G402" s="3">
        <v>291</v>
      </c>
      <c r="H402" s="233" t="s">
        <v>848</v>
      </c>
      <c r="I402" s="233" t="s">
        <v>769</v>
      </c>
      <c r="J402" s="233" t="s">
        <v>848</v>
      </c>
      <c r="K402" s="233" t="s">
        <v>733</v>
      </c>
      <c r="L402" s="233" t="s">
        <v>24</v>
      </c>
      <c r="M402" s="238">
        <v>0.29166666666666669</v>
      </c>
      <c r="N402" s="238">
        <v>0.5625</v>
      </c>
      <c r="O402" s="196">
        <v>2400</v>
      </c>
      <c r="P402" s="3" t="s">
        <v>492</v>
      </c>
      <c r="Q402" s="3">
        <v>4.95</v>
      </c>
      <c r="R402" s="205">
        <v>4.5999999999999996</v>
      </c>
      <c r="S402" s="202">
        <f t="shared" si="51"/>
        <v>484.84848484848482</v>
      </c>
      <c r="T402" s="202">
        <f t="shared" si="52"/>
        <v>521.73913043478262</v>
      </c>
    </row>
    <row r="403" spans="2:20" x14ac:dyDescent="0.25">
      <c r="B403" s="199">
        <v>45013</v>
      </c>
      <c r="C403" s="3">
        <v>1</v>
      </c>
      <c r="D403" s="3" t="s">
        <v>459</v>
      </c>
      <c r="E403" s="233" t="s">
        <v>205</v>
      </c>
      <c r="F403" s="233" t="s">
        <v>29</v>
      </c>
      <c r="G403" s="233">
        <v>292</v>
      </c>
      <c r="H403" s="233" t="s">
        <v>848</v>
      </c>
      <c r="I403" s="233" t="s">
        <v>765</v>
      </c>
      <c r="J403" s="233" t="s">
        <v>848</v>
      </c>
      <c r="K403" s="233" t="s">
        <v>733</v>
      </c>
      <c r="L403" s="233" t="s">
        <v>24</v>
      </c>
      <c r="M403" s="238">
        <v>0.5625</v>
      </c>
      <c r="N403" s="238">
        <v>0.625</v>
      </c>
      <c r="O403" s="196">
        <v>612</v>
      </c>
      <c r="P403" s="233" t="s">
        <v>492</v>
      </c>
      <c r="Q403" s="3">
        <v>0.91</v>
      </c>
      <c r="R403" s="205">
        <v>0.97</v>
      </c>
      <c r="S403" s="202">
        <f t="shared" si="51"/>
        <v>672.52747252747247</v>
      </c>
      <c r="T403" s="202">
        <f t="shared" si="52"/>
        <v>630.92783505154637</v>
      </c>
    </row>
    <row r="404" spans="2:20" x14ac:dyDescent="0.25">
      <c r="B404" s="199">
        <v>45013</v>
      </c>
      <c r="C404" s="3">
        <v>2</v>
      </c>
      <c r="D404" s="233" t="s">
        <v>3</v>
      </c>
      <c r="E404" s="233" t="s">
        <v>3</v>
      </c>
      <c r="F404" s="233" t="s">
        <v>29</v>
      </c>
      <c r="G404" s="233">
        <v>293</v>
      </c>
      <c r="H404" s="233" t="s">
        <v>848</v>
      </c>
      <c r="I404" s="233" t="s">
        <v>765</v>
      </c>
      <c r="J404" s="233" t="s">
        <v>848</v>
      </c>
      <c r="K404" s="233" t="s">
        <v>733</v>
      </c>
      <c r="L404" s="233" t="s">
        <v>24</v>
      </c>
      <c r="M404" s="238">
        <v>0.625</v>
      </c>
      <c r="N404" s="238">
        <v>0.95833333333333337</v>
      </c>
      <c r="O404" s="196">
        <v>1096</v>
      </c>
      <c r="P404" s="233" t="s">
        <v>492</v>
      </c>
      <c r="Q404" s="3">
        <v>2.7</v>
      </c>
      <c r="R404" s="205">
        <v>2.4700000000000002</v>
      </c>
      <c r="S404" s="168">
        <f t="shared" si="51"/>
        <v>405.92592592592592</v>
      </c>
      <c r="T404" s="168">
        <f t="shared" si="52"/>
        <v>443.72469635627527</v>
      </c>
    </row>
    <row r="405" spans="2:20" x14ac:dyDescent="0.25">
      <c r="B405" s="199">
        <v>45013</v>
      </c>
      <c r="C405" s="3">
        <v>3</v>
      </c>
      <c r="D405" s="233" t="s">
        <v>7</v>
      </c>
      <c r="E405" s="3" t="s">
        <v>362</v>
      </c>
      <c r="F405" s="233" t="s">
        <v>29</v>
      </c>
      <c r="G405" s="3">
        <v>294</v>
      </c>
      <c r="H405" s="233" t="s">
        <v>848</v>
      </c>
      <c r="I405" s="3" t="s">
        <v>707</v>
      </c>
      <c r="J405" s="233" t="s">
        <v>848</v>
      </c>
      <c r="K405" s="233" t="s">
        <v>733</v>
      </c>
      <c r="L405" s="233" t="s">
        <v>24</v>
      </c>
      <c r="M405" s="238">
        <v>0.95833333333333337</v>
      </c>
      <c r="N405" s="238">
        <v>0.29166666666666669</v>
      </c>
      <c r="O405" s="196">
        <v>3059</v>
      </c>
      <c r="P405" s="3" t="s">
        <v>492</v>
      </c>
      <c r="Q405" s="3">
        <v>7.02</v>
      </c>
      <c r="R405" s="205">
        <v>6.72</v>
      </c>
      <c r="S405" s="168">
        <f t="shared" si="51"/>
        <v>435.7549857549858</v>
      </c>
      <c r="T405" s="168">
        <f t="shared" si="52"/>
        <v>455.20833333333337</v>
      </c>
    </row>
    <row r="406" spans="2:20" x14ac:dyDescent="0.25">
      <c r="B406" s="199">
        <v>45014</v>
      </c>
      <c r="C406" s="3">
        <v>1</v>
      </c>
      <c r="D406" s="3" t="s">
        <v>459</v>
      </c>
      <c r="E406" s="233" t="s">
        <v>205</v>
      </c>
      <c r="F406" s="233" t="s">
        <v>29</v>
      </c>
      <c r="G406" s="3">
        <v>295</v>
      </c>
      <c r="H406" s="3" t="s">
        <v>848</v>
      </c>
      <c r="I406" s="3" t="s">
        <v>741</v>
      </c>
      <c r="J406" s="3" t="s">
        <v>848</v>
      </c>
      <c r="K406" s="3" t="s">
        <v>733</v>
      </c>
      <c r="L406" s="3" t="s">
        <v>32</v>
      </c>
      <c r="M406" s="238">
        <v>0.29166666666666669</v>
      </c>
      <c r="N406" s="238">
        <v>0.625</v>
      </c>
      <c r="O406" s="196">
        <v>957</v>
      </c>
      <c r="P406" s="233" t="s">
        <v>492</v>
      </c>
      <c r="Q406" s="3">
        <v>1.96</v>
      </c>
      <c r="R406" s="205">
        <v>1.95</v>
      </c>
      <c r="S406" s="168">
        <f t="shared" si="51"/>
        <v>488.26530612244898</v>
      </c>
      <c r="T406" s="168">
        <f t="shared" si="52"/>
        <v>490.76923076923077</v>
      </c>
    </row>
    <row r="407" spans="2:20" x14ac:dyDescent="0.25">
      <c r="B407" s="199">
        <v>45014</v>
      </c>
      <c r="C407" s="3">
        <v>2</v>
      </c>
      <c r="D407" s="233" t="s">
        <v>3</v>
      </c>
      <c r="E407" s="233" t="s">
        <v>3</v>
      </c>
      <c r="F407" s="233" t="s">
        <v>29</v>
      </c>
      <c r="G407" s="233">
        <v>296</v>
      </c>
      <c r="H407" s="233" t="s">
        <v>848</v>
      </c>
      <c r="I407" s="233" t="s">
        <v>741</v>
      </c>
      <c r="J407" s="233" t="s">
        <v>848</v>
      </c>
      <c r="K407" s="233" t="s">
        <v>733</v>
      </c>
      <c r="L407" s="233" t="s">
        <v>32</v>
      </c>
      <c r="M407" s="238">
        <v>0.625</v>
      </c>
      <c r="N407" s="238">
        <v>0.95833333333333337</v>
      </c>
      <c r="O407" s="196">
        <v>3136</v>
      </c>
      <c r="P407" s="233" t="s">
        <v>492</v>
      </c>
      <c r="Q407" s="3">
        <v>4.5999999999999996</v>
      </c>
      <c r="R407" s="205">
        <v>4.4000000000000004</v>
      </c>
      <c r="S407" s="168">
        <f t="shared" si="51"/>
        <v>681.73913043478262</v>
      </c>
      <c r="T407" s="168">
        <f t="shared" si="52"/>
        <v>712.72727272727263</v>
      </c>
    </row>
    <row r="408" spans="2:20" x14ac:dyDescent="0.25">
      <c r="B408" s="199">
        <v>45014</v>
      </c>
      <c r="C408" s="3">
        <v>3</v>
      </c>
      <c r="D408" s="233" t="s">
        <v>7</v>
      </c>
      <c r="E408" s="233" t="s">
        <v>362</v>
      </c>
      <c r="F408" s="233" t="s">
        <v>29</v>
      </c>
      <c r="G408" s="233">
        <v>297</v>
      </c>
      <c r="H408" s="233" t="s">
        <v>848</v>
      </c>
      <c r="I408" s="233" t="s">
        <v>707</v>
      </c>
      <c r="J408" s="233" t="s">
        <v>848</v>
      </c>
      <c r="K408" s="233" t="s">
        <v>733</v>
      </c>
      <c r="L408" s="233" t="s">
        <v>32</v>
      </c>
      <c r="M408" s="238">
        <v>0.95833333333333337</v>
      </c>
      <c r="N408" s="238">
        <v>0.29166666666666669</v>
      </c>
      <c r="O408" s="196">
        <v>2977</v>
      </c>
      <c r="P408" s="3" t="s">
        <v>492</v>
      </c>
      <c r="Q408" s="3">
        <v>6.82</v>
      </c>
      <c r="R408" s="205">
        <v>6.91</v>
      </c>
      <c r="S408" s="168">
        <f t="shared" si="51"/>
        <v>436.51026392961876</v>
      </c>
      <c r="T408" s="168">
        <f t="shared" si="52"/>
        <v>430.82489146164977</v>
      </c>
    </row>
    <row r="409" spans="2:20" x14ac:dyDescent="0.25">
      <c r="B409" s="199">
        <v>45015</v>
      </c>
      <c r="C409" s="3">
        <v>1</v>
      </c>
      <c r="D409" s="3" t="s">
        <v>459</v>
      </c>
      <c r="E409" s="3" t="s">
        <v>188</v>
      </c>
      <c r="M409" s="238">
        <v>0.29166666666666669</v>
      </c>
      <c r="N409" s="238">
        <v>0.625</v>
      </c>
      <c r="O409" s="196">
        <v>0</v>
      </c>
      <c r="P409" s="233" t="s">
        <v>492</v>
      </c>
      <c r="Q409" s="3">
        <v>0</v>
      </c>
      <c r="R409" s="205">
        <v>0</v>
      </c>
      <c r="S409" s="202" t="e">
        <f t="shared" ref="S409:S432" si="53">O409/Q409</f>
        <v>#DIV/0!</v>
      </c>
      <c r="T409" s="202" t="str">
        <f t="shared" ref="T409:T432" si="54">IFERROR(O409/R409,"")</f>
        <v/>
      </c>
    </row>
    <row r="410" spans="2:20" x14ac:dyDescent="0.25">
      <c r="B410" s="199">
        <v>45015</v>
      </c>
      <c r="C410" s="3">
        <v>2</v>
      </c>
      <c r="D410" s="233" t="s">
        <v>3</v>
      </c>
      <c r="E410" s="233" t="s">
        <v>3</v>
      </c>
      <c r="F410" s="233" t="s">
        <v>29</v>
      </c>
      <c r="G410" s="3">
        <v>298</v>
      </c>
      <c r="H410" s="233" t="s">
        <v>848</v>
      </c>
      <c r="I410" s="233" t="s">
        <v>988</v>
      </c>
      <c r="J410" s="233" t="s">
        <v>848</v>
      </c>
      <c r="K410" s="233" t="s">
        <v>733</v>
      </c>
      <c r="L410" s="233" t="s">
        <v>32</v>
      </c>
      <c r="M410" s="238">
        <v>0.625</v>
      </c>
      <c r="N410" s="238">
        <v>0.95833333333333337</v>
      </c>
      <c r="O410" s="196">
        <v>2152</v>
      </c>
      <c r="P410" s="233" t="s">
        <v>492</v>
      </c>
      <c r="Q410" s="3">
        <v>3.45</v>
      </c>
      <c r="R410" s="205">
        <v>4</v>
      </c>
      <c r="S410" s="168">
        <f t="shared" si="53"/>
        <v>623.768115942029</v>
      </c>
      <c r="T410" s="168">
        <f t="shared" si="54"/>
        <v>538</v>
      </c>
    </row>
    <row r="411" spans="2:20" x14ac:dyDescent="0.25">
      <c r="B411" s="199">
        <v>45015</v>
      </c>
      <c r="C411" s="233">
        <v>3</v>
      </c>
      <c r="D411" s="233" t="s">
        <v>7</v>
      </c>
      <c r="E411" s="233" t="s">
        <v>362</v>
      </c>
      <c r="F411" s="233" t="s">
        <v>29</v>
      </c>
      <c r="G411" s="3">
        <v>299</v>
      </c>
      <c r="H411" s="233" t="s">
        <v>848</v>
      </c>
      <c r="I411" s="233" t="s">
        <v>769</v>
      </c>
      <c r="J411" s="233" t="s">
        <v>848</v>
      </c>
      <c r="K411" s="233" t="s">
        <v>733</v>
      </c>
      <c r="L411" s="233" t="s">
        <v>32</v>
      </c>
      <c r="M411" s="238">
        <v>0.95833333333333337</v>
      </c>
      <c r="N411" s="238">
        <v>0.29166666666666669</v>
      </c>
      <c r="O411" s="196">
        <v>2915</v>
      </c>
      <c r="P411" s="3" t="s">
        <v>492</v>
      </c>
      <c r="Q411" s="3">
        <v>7.26</v>
      </c>
      <c r="R411" s="205">
        <v>7.28</v>
      </c>
      <c r="S411" s="168">
        <f t="shared" si="53"/>
        <v>401.5151515151515</v>
      </c>
      <c r="T411" s="168">
        <f t="shared" si="54"/>
        <v>400.41208791208788</v>
      </c>
    </row>
    <row r="412" spans="2:20" x14ac:dyDescent="0.25">
      <c r="B412" s="199">
        <v>45016</v>
      </c>
      <c r="C412" s="3">
        <v>1</v>
      </c>
      <c r="D412" s="3" t="s">
        <v>459</v>
      </c>
      <c r="E412" s="3" t="s">
        <v>188</v>
      </c>
      <c r="F412" s="3" t="s">
        <v>848</v>
      </c>
      <c r="G412" s="3">
        <v>300</v>
      </c>
      <c r="H412" s="3" t="s">
        <v>848</v>
      </c>
      <c r="I412" s="233" t="s">
        <v>769</v>
      </c>
      <c r="J412" s="233" t="s">
        <v>848</v>
      </c>
      <c r="K412" s="233" t="s">
        <v>733</v>
      </c>
      <c r="L412" s="233" t="s">
        <v>32</v>
      </c>
      <c r="M412" s="238">
        <v>0.29166666666666669</v>
      </c>
      <c r="N412" s="238">
        <v>0.55555555555555558</v>
      </c>
      <c r="O412" s="196">
        <v>1480</v>
      </c>
      <c r="P412" s="3" t="s">
        <v>492</v>
      </c>
      <c r="Q412" s="3">
        <v>4.0999999999999996</v>
      </c>
      <c r="R412" s="205">
        <v>3.8</v>
      </c>
      <c r="S412" s="168">
        <f t="shared" si="53"/>
        <v>360.97560975609758</v>
      </c>
      <c r="T412" s="168">
        <f t="shared" si="54"/>
        <v>389.47368421052636</v>
      </c>
    </row>
    <row r="413" spans="2:20" x14ac:dyDescent="0.25">
      <c r="B413" s="199">
        <v>45016</v>
      </c>
      <c r="C413" s="3">
        <v>1</v>
      </c>
      <c r="D413" s="3" t="s">
        <v>459</v>
      </c>
      <c r="E413" s="3" t="s">
        <v>188</v>
      </c>
      <c r="F413" s="233" t="s">
        <v>848</v>
      </c>
      <c r="G413" s="233">
        <v>301</v>
      </c>
      <c r="H413" s="233" t="s">
        <v>848</v>
      </c>
      <c r="I413" s="233" t="s">
        <v>960</v>
      </c>
      <c r="J413" s="233" t="s">
        <v>848</v>
      </c>
      <c r="K413" s="233" t="s">
        <v>733</v>
      </c>
      <c r="L413" s="233" t="s">
        <v>32</v>
      </c>
      <c r="M413" s="238">
        <v>0.55555555555555558</v>
      </c>
      <c r="N413" s="238">
        <v>0.58333333333333337</v>
      </c>
      <c r="O413" s="196">
        <v>320</v>
      </c>
      <c r="P413" s="3" t="s">
        <v>492</v>
      </c>
      <c r="Q413" s="3">
        <v>0.9</v>
      </c>
      <c r="R413" s="205">
        <v>0.7</v>
      </c>
      <c r="S413" s="168">
        <f t="shared" si="53"/>
        <v>355.55555555555554</v>
      </c>
      <c r="T413" s="168">
        <f t="shared" si="54"/>
        <v>457.14285714285717</v>
      </c>
    </row>
    <row r="414" spans="2:20" x14ac:dyDescent="0.25">
      <c r="B414" s="199">
        <v>45016</v>
      </c>
      <c r="C414" s="3">
        <v>1</v>
      </c>
      <c r="D414" s="3" t="s">
        <v>459</v>
      </c>
      <c r="E414" s="3" t="s">
        <v>188</v>
      </c>
      <c r="F414" s="3" t="s">
        <v>1066</v>
      </c>
      <c r="G414" s="3">
        <v>302</v>
      </c>
      <c r="H414" s="3">
        <v>3000</v>
      </c>
      <c r="I414" s="3" t="s">
        <v>683</v>
      </c>
      <c r="J414" s="3" t="s">
        <v>908</v>
      </c>
      <c r="K414" s="3" t="s">
        <v>733</v>
      </c>
      <c r="L414" s="3" t="s">
        <v>32</v>
      </c>
      <c r="M414" s="238">
        <v>0.58333333333333337</v>
      </c>
      <c r="N414" s="238">
        <v>0.625</v>
      </c>
      <c r="O414" s="196">
        <v>370</v>
      </c>
      <c r="P414" s="3" t="s">
        <v>492</v>
      </c>
      <c r="Q414" s="3">
        <v>0.67</v>
      </c>
      <c r="R414" s="205">
        <v>0.76</v>
      </c>
      <c r="S414" s="202">
        <f t="shared" si="53"/>
        <v>552.2388059701492</v>
      </c>
      <c r="T414" s="202">
        <f t="shared" si="54"/>
        <v>486.84210526315786</v>
      </c>
    </row>
    <row r="415" spans="2:20" x14ac:dyDescent="0.25">
      <c r="B415" s="199">
        <v>45016</v>
      </c>
      <c r="C415" s="3">
        <v>2</v>
      </c>
      <c r="D415" s="233" t="s">
        <v>3</v>
      </c>
      <c r="E415" s="233" t="s">
        <v>3</v>
      </c>
      <c r="F415" s="3" t="s">
        <v>39</v>
      </c>
      <c r="G415" s="3">
        <v>303</v>
      </c>
      <c r="H415" s="3">
        <v>6000</v>
      </c>
      <c r="I415" s="233" t="s">
        <v>988</v>
      </c>
      <c r="J415" s="3" t="s">
        <v>962</v>
      </c>
      <c r="K415" s="233" t="s">
        <v>733</v>
      </c>
      <c r="L415" s="233" t="s">
        <v>32</v>
      </c>
      <c r="M415" s="238">
        <v>0.625</v>
      </c>
      <c r="N415" s="238">
        <v>0.95833333333333337</v>
      </c>
      <c r="O415" s="196">
        <v>3781</v>
      </c>
      <c r="P415" s="233" t="s">
        <v>492</v>
      </c>
      <c r="Q415" s="3">
        <v>5</v>
      </c>
      <c r="R415" s="205">
        <v>5.31</v>
      </c>
      <c r="S415" s="202">
        <f t="shared" si="53"/>
        <v>756.2</v>
      </c>
      <c r="T415" s="168">
        <f t="shared" si="54"/>
        <v>712.05273069679856</v>
      </c>
    </row>
    <row r="416" spans="2:20" x14ac:dyDescent="0.25">
      <c r="B416" s="199">
        <v>45016</v>
      </c>
      <c r="C416" s="233">
        <v>3</v>
      </c>
      <c r="D416" s="233" t="s">
        <v>7</v>
      </c>
      <c r="E416" s="233" t="s">
        <v>362</v>
      </c>
      <c r="G416" s="3">
        <v>304</v>
      </c>
      <c r="H416" s="3">
        <v>3000</v>
      </c>
      <c r="I416" s="233" t="s">
        <v>988</v>
      </c>
      <c r="J416" s="233" t="s">
        <v>962</v>
      </c>
      <c r="K416" s="233" t="s">
        <v>733</v>
      </c>
      <c r="L416" s="233" t="s">
        <v>32</v>
      </c>
      <c r="M416" s="238">
        <v>0.95833333333333337</v>
      </c>
      <c r="N416" s="238">
        <v>0.20833333333333334</v>
      </c>
      <c r="O416" s="196">
        <v>2870</v>
      </c>
      <c r="P416" s="233" t="s">
        <v>492</v>
      </c>
      <c r="Q416" s="3">
        <v>4.9000000000000004</v>
      </c>
      <c r="R416" s="205">
        <v>5.32</v>
      </c>
      <c r="S416" s="168">
        <f t="shared" si="53"/>
        <v>585.71428571428567</v>
      </c>
      <c r="T416" s="168">
        <f t="shared" si="54"/>
        <v>539.47368421052624</v>
      </c>
    </row>
    <row r="417" spans="2:20" x14ac:dyDescent="0.25">
      <c r="B417" s="199">
        <v>45016</v>
      </c>
      <c r="C417" s="233">
        <v>3</v>
      </c>
      <c r="D417" s="233" t="s">
        <v>7</v>
      </c>
      <c r="E417" s="233" t="s">
        <v>362</v>
      </c>
      <c r="G417" s="3">
        <v>305</v>
      </c>
      <c r="H417" s="3" t="s">
        <v>1073</v>
      </c>
      <c r="I417" s="233" t="s">
        <v>988</v>
      </c>
      <c r="J417" s="3" t="s">
        <v>923</v>
      </c>
      <c r="K417" s="233" t="s">
        <v>734</v>
      </c>
      <c r="L417" s="3" t="s">
        <v>34</v>
      </c>
      <c r="M417" s="238">
        <v>0.20833333333333334</v>
      </c>
      <c r="N417" s="238">
        <v>0.29166666666666669</v>
      </c>
      <c r="O417" s="196">
        <v>1041</v>
      </c>
      <c r="P417" s="3" t="s">
        <v>492</v>
      </c>
      <c r="Q417" s="3">
        <v>1.28</v>
      </c>
      <c r="R417" s="205">
        <v>1.43</v>
      </c>
      <c r="S417" s="168">
        <f t="shared" si="53"/>
        <v>813.28125</v>
      </c>
      <c r="T417" s="168">
        <f t="shared" si="54"/>
        <v>727.97202797202806</v>
      </c>
    </row>
    <row r="418" spans="2:20" x14ac:dyDescent="0.25">
      <c r="B418" s="199">
        <v>45017</v>
      </c>
      <c r="C418" s="3">
        <v>1</v>
      </c>
      <c r="D418" s="3" t="s">
        <v>459</v>
      </c>
      <c r="E418" s="3" t="s">
        <v>188</v>
      </c>
      <c r="F418" s="3" t="s">
        <v>39</v>
      </c>
      <c r="G418" s="3">
        <v>306</v>
      </c>
      <c r="H418" s="3">
        <v>6000</v>
      </c>
      <c r="I418" s="3" t="s">
        <v>960</v>
      </c>
      <c r="J418" s="233" t="s">
        <v>923</v>
      </c>
      <c r="K418" s="3" t="s">
        <v>734</v>
      </c>
      <c r="L418" s="3" t="s">
        <v>34</v>
      </c>
      <c r="M418" s="238">
        <v>0.29166666666666669</v>
      </c>
      <c r="N418" s="238">
        <v>0.625</v>
      </c>
      <c r="O418" s="196">
        <v>5176</v>
      </c>
      <c r="P418" s="233" t="s">
        <v>492</v>
      </c>
      <c r="Q418" s="3">
        <v>7.1</v>
      </c>
      <c r="R418" s="205">
        <v>7.42</v>
      </c>
      <c r="S418" s="168">
        <f t="shared" si="53"/>
        <v>729.0140845070423</v>
      </c>
      <c r="T418" s="168">
        <f t="shared" si="54"/>
        <v>697.57412398921838</v>
      </c>
    </row>
    <row r="419" spans="2:20" x14ac:dyDescent="0.25">
      <c r="B419" s="199">
        <v>45017</v>
      </c>
      <c r="C419" s="3">
        <v>2</v>
      </c>
      <c r="D419" s="3" t="s">
        <v>1</v>
      </c>
      <c r="E419" s="233" t="s">
        <v>3</v>
      </c>
      <c r="F419" s="3" t="s">
        <v>17</v>
      </c>
      <c r="G419" s="233">
        <v>307</v>
      </c>
      <c r="H419" s="233">
        <v>6000</v>
      </c>
      <c r="I419" s="233" t="s">
        <v>960</v>
      </c>
      <c r="J419" s="233" t="s">
        <v>923</v>
      </c>
      <c r="K419" s="233" t="s">
        <v>734</v>
      </c>
      <c r="L419" s="233" t="s">
        <v>34</v>
      </c>
      <c r="M419" s="238">
        <v>0.625</v>
      </c>
      <c r="N419" s="238">
        <v>0.71875</v>
      </c>
      <c r="O419" s="196">
        <v>1530</v>
      </c>
      <c r="P419" s="233" t="s">
        <v>492</v>
      </c>
      <c r="Q419" s="3">
        <v>2.04</v>
      </c>
      <c r="R419" s="205">
        <v>2.0299999999999998</v>
      </c>
      <c r="S419" s="168">
        <f t="shared" si="53"/>
        <v>750</v>
      </c>
      <c r="T419" s="168">
        <f t="shared" si="54"/>
        <v>753.69458128078827</v>
      </c>
    </row>
    <row r="420" spans="2:20" x14ac:dyDescent="0.25">
      <c r="B420" s="199">
        <v>45017</v>
      </c>
      <c r="C420" s="233">
        <v>2</v>
      </c>
      <c r="D420" s="233" t="s">
        <v>1</v>
      </c>
      <c r="E420" s="233" t="s">
        <v>3</v>
      </c>
      <c r="F420" s="233" t="s">
        <v>17</v>
      </c>
      <c r="G420" s="233">
        <v>308</v>
      </c>
      <c r="H420" s="233">
        <v>4000</v>
      </c>
      <c r="I420" s="233" t="s">
        <v>707</v>
      </c>
      <c r="J420" s="3" t="s">
        <v>789</v>
      </c>
      <c r="K420" s="233" t="s">
        <v>734</v>
      </c>
      <c r="L420" s="233" t="s">
        <v>34</v>
      </c>
      <c r="M420" s="238">
        <v>0.71875</v>
      </c>
      <c r="N420" s="238">
        <v>0.84375</v>
      </c>
      <c r="O420" s="196">
        <v>610</v>
      </c>
      <c r="P420" s="233" t="s">
        <v>492</v>
      </c>
      <c r="Q420" s="3">
        <v>0.94</v>
      </c>
      <c r="R420" s="205">
        <v>1.56</v>
      </c>
      <c r="S420" s="168">
        <f t="shared" si="53"/>
        <v>648.936170212766</v>
      </c>
      <c r="T420" s="168">
        <f t="shared" si="54"/>
        <v>391.02564102564099</v>
      </c>
    </row>
    <row r="421" spans="2:20" x14ac:dyDescent="0.25">
      <c r="B421" s="199">
        <v>45017</v>
      </c>
      <c r="C421" s="233">
        <v>2</v>
      </c>
      <c r="D421" s="233" t="s">
        <v>1</v>
      </c>
      <c r="E421" s="233" t="s">
        <v>3</v>
      </c>
      <c r="F421" s="233" t="s">
        <v>848</v>
      </c>
      <c r="G421" s="233">
        <v>309</v>
      </c>
      <c r="H421" s="233" t="s">
        <v>848</v>
      </c>
      <c r="I421" s="233" t="s">
        <v>769</v>
      </c>
      <c r="J421" s="233" t="s">
        <v>848</v>
      </c>
      <c r="K421" s="233" t="s">
        <v>734</v>
      </c>
      <c r="L421" s="233" t="s">
        <v>34</v>
      </c>
      <c r="M421" s="238">
        <v>0.84375</v>
      </c>
      <c r="N421" s="238">
        <v>0.95833333333333337</v>
      </c>
      <c r="O421" s="196">
        <v>801</v>
      </c>
      <c r="P421" s="233" t="s">
        <v>492</v>
      </c>
      <c r="Q421" s="3">
        <v>2.08</v>
      </c>
      <c r="R421" s="205">
        <v>2.15</v>
      </c>
      <c r="S421" s="168">
        <f t="shared" si="53"/>
        <v>385.09615384615381</v>
      </c>
      <c r="T421" s="168">
        <f t="shared" si="54"/>
        <v>372.55813953488376</v>
      </c>
    </row>
    <row r="422" spans="2:20" x14ac:dyDescent="0.25">
      <c r="B422" s="199">
        <v>45017</v>
      </c>
      <c r="C422" s="233">
        <v>3</v>
      </c>
      <c r="D422" s="233" t="s">
        <v>7</v>
      </c>
      <c r="E422" s="233" t="s">
        <v>362</v>
      </c>
      <c r="G422" s="3">
        <v>310</v>
      </c>
      <c r="H422" s="3">
        <v>5000</v>
      </c>
      <c r="I422" s="233" t="s">
        <v>960</v>
      </c>
      <c r="J422" s="3" t="s">
        <v>1077</v>
      </c>
      <c r="K422" s="233" t="s">
        <v>734</v>
      </c>
      <c r="L422" s="3" t="s">
        <v>32</v>
      </c>
      <c r="M422" s="238">
        <v>0.95833333333333337</v>
      </c>
      <c r="N422" s="238">
        <v>0.15833333333333333</v>
      </c>
      <c r="O422" s="196">
        <v>2186</v>
      </c>
      <c r="P422" s="233" t="s">
        <v>492</v>
      </c>
      <c r="Q422" s="3">
        <v>3.76</v>
      </c>
      <c r="R422" s="205">
        <v>4.07</v>
      </c>
      <c r="S422" s="168">
        <f t="shared" si="53"/>
        <v>581.38297872340434</v>
      </c>
      <c r="T422" s="168">
        <f t="shared" si="54"/>
        <v>537.10073710073709</v>
      </c>
    </row>
    <row r="423" spans="2:20" x14ac:dyDescent="0.25">
      <c r="B423" s="199">
        <v>45017</v>
      </c>
      <c r="C423" s="233">
        <v>3</v>
      </c>
      <c r="D423" s="233" t="s">
        <v>7</v>
      </c>
      <c r="E423" s="233" t="s">
        <v>362</v>
      </c>
      <c r="G423" s="3">
        <v>311</v>
      </c>
      <c r="H423" s="3">
        <v>2900</v>
      </c>
      <c r="I423" s="233" t="s">
        <v>707</v>
      </c>
      <c r="J423" s="3" t="s">
        <v>1067</v>
      </c>
      <c r="K423" s="233" t="s">
        <v>734</v>
      </c>
      <c r="L423" s="233" t="s">
        <v>32</v>
      </c>
      <c r="M423" s="238">
        <v>0.15833333333333333</v>
      </c>
      <c r="N423" s="238">
        <v>0.29166666666666669</v>
      </c>
      <c r="O423" s="196">
        <v>1446</v>
      </c>
      <c r="P423" s="3" t="s">
        <v>492</v>
      </c>
      <c r="Q423" s="3">
        <v>2.54</v>
      </c>
      <c r="R423" s="205">
        <v>2.81</v>
      </c>
      <c r="S423" s="168">
        <f t="shared" si="53"/>
        <v>569.29133858267721</v>
      </c>
      <c r="T423" s="168">
        <f t="shared" si="54"/>
        <v>514.59074733096088</v>
      </c>
    </row>
    <row r="424" spans="2:20" x14ac:dyDescent="0.25">
      <c r="B424" s="199">
        <v>45018</v>
      </c>
      <c r="C424" s="3">
        <v>1</v>
      </c>
      <c r="D424" s="3" t="s">
        <v>459</v>
      </c>
      <c r="E424" s="3" t="s">
        <v>188</v>
      </c>
      <c r="F424" s="3" t="s">
        <v>39</v>
      </c>
      <c r="G424" s="3">
        <v>312</v>
      </c>
      <c r="H424" s="3">
        <v>2900</v>
      </c>
      <c r="I424" s="3" t="s">
        <v>707</v>
      </c>
      <c r="J424" s="233" t="s">
        <v>1067</v>
      </c>
      <c r="K424" s="233" t="s">
        <v>734</v>
      </c>
      <c r="L424" s="233" t="s">
        <v>32</v>
      </c>
      <c r="M424" s="238">
        <v>0.29166666666666669</v>
      </c>
      <c r="N424" s="238">
        <v>0.54166666666666663</v>
      </c>
      <c r="O424" s="196">
        <v>3800</v>
      </c>
      <c r="P424" s="3" t="s">
        <v>492</v>
      </c>
      <c r="Q424" s="3">
        <v>5.1100000000000003</v>
      </c>
      <c r="R424" s="205">
        <v>5.48</v>
      </c>
      <c r="S424" s="168">
        <f t="shared" si="53"/>
        <v>743.63992172211351</v>
      </c>
      <c r="T424" s="168">
        <f t="shared" si="54"/>
        <v>693.43065693430651</v>
      </c>
    </row>
    <row r="425" spans="2:20" x14ac:dyDescent="0.25">
      <c r="B425" s="199">
        <v>45018</v>
      </c>
      <c r="C425" s="233">
        <v>1</v>
      </c>
      <c r="D425" s="233" t="s">
        <v>459</v>
      </c>
      <c r="E425" s="233" t="s">
        <v>188</v>
      </c>
      <c r="F425" s="233" t="s">
        <v>39</v>
      </c>
      <c r="G425" s="3">
        <v>313</v>
      </c>
      <c r="H425" s="3">
        <v>2100</v>
      </c>
      <c r="I425" s="3" t="s">
        <v>769</v>
      </c>
      <c r="J425" s="3" t="s">
        <v>1078</v>
      </c>
      <c r="K425" s="233" t="s">
        <v>734</v>
      </c>
      <c r="L425" s="233" t="s">
        <v>32</v>
      </c>
      <c r="M425" s="238">
        <v>0.54166666666666663</v>
      </c>
      <c r="N425" s="238">
        <v>0.625</v>
      </c>
      <c r="O425" s="196">
        <v>689</v>
      </c>
      <c r="P425" s="233" t="s">
        <v>492</v>
      </c>
      <c r="Q425" s="3">
        <v>1.24</v>
      </c>
      <c r="R425" s="205">
        <v>1.78</v>
      </c>
      <c r="S425" s="168">
        <f t="shared" si="53"/>
        <v>555.64516129032256</v>
      </c>
      <c r="T425" s="168">
        <f t="shared" si="54"/>
        <v>387.07865168539325</v>
      </c>
    </row>
    <row r="426" spans="2:20" x14ac:dyDescent="0.25">
      <c r="B426" s="199">
        <v>45018</v>
      </c>
      <c r="C426" s="3">
        <v>2</v>
      </c>
      <c r="D426" s="3" t="s">
        <v>182</v>
      </c>
      <c r="E426" s="233" t="s">
        <v>3</v>
      </c>
      <c r="F426" s="3" t="s">
        <v>47</v>
      </c>
      <c r="G426" s="3">
        <v>314</v>
      </c>
      <c r="H426" s="3">
        <v>5200</v>
      </c>
      <c r="I426" s="3" t="s">
        <v>769</v>
      </c>
      <c r="J426" s="233" t="s">
        <v>1078</v>
      </c>
      <c r="K426" s="3" t="s">
        <v>734</v>
      </c>
      <c r="L426" s="3" t="s">
        <v>32</v>
      </c>
      <c r="M426" s="238">
        <v>0.625</v>
      </c>
      <c r="N426" s="238">
        <v>0.77430555555555547</v>
      </c>
      <c r="O426" s="196">
        <v>2000</v>
      </c>
      <c r="P426" s="233" t="s">
        <v>492</v>
      </c>
      <c r="Q426" s="3">
        <v>2.67</v>
      </c>
      <c r="R426" s="205">
        <v>2.6</v>
      </c>
      <c r="S426" s="168">
        <f t="shared" si="53"/>
        <v>749.06367041198507</v>
      </c>
      <c r="T426" s="168">
        <f t="shared" si="54"/>
        <v>769.23076923076917</v>
      </c>
    </row>
    <row r="427" spans="2:20" x14ac:dyDescent="0.25">
      <c r="B427" s="199">
        <v>45018</v>
      </c>
      <c r="C427" s="233">
        <v>2</v>
      </c>
      <c r="D427" s="233" t="s">
        <v>182</v>
      </c>
      <c r="E427" s="233" t="s">
        <v>3</v>
      </c>
      <c r="F427" s="233" t="s">
        <v>47</v>
      </c>
      <c r="G427" s="3">
        <v>315</v>
      </c>
      <c r="H427" s="233">
        <v>3000</v>
      </c>
      <c r="I427" s="233" t="s">
        <v>960</v>
      </c>
      <c r="J427" s="233" t="s">
        <v>789</v>
      </c>
      <c r="K427" s="233" t="s">
        <v>734</v>
      </c>
      <c r="L427" s="233" t="s">
        <v>34</v>
      </c>
      <c r="M427" s="238">
        <v>0.77430555555555547</v>
      </c>
      <c r="N427" s="238">
        <v>0.95833333333333337</v>
      </c>
      <c r="O427" s="196">
        <v>1534</v>
      </c>
      <c r="P427" s="233" t="s">
        <v>492</v>
      </c>
      <c r="Q427" s="3">
        <v>2</v>
      </c>
      <c r="R427" s="205">
        <v>3.88</v>
      </c>
      <c r="S427" s="168">
        <f t="shared" si="53"/>
        <v>767</v>
      </c>
      <c r="T427" s="168">
        <f t="shared" si="54"/>
        <v>395.36082474226805</v>
      </c>
    </row>
    <row r="428" spans="2:20" x14ac:dyDescent="0.25">
      <c r="B428" s="199">
        <v>45018</v>
      </c>
      <c r="C428" s="3">
        <v>3</v>
      </c>
      <c r="D428" s="3" t="s">
        <v>7</v>
      </c>
      <c r="E428" s="3" t="s">
        <v>190</v>
      </c>
      <c r="F428" s="3" t="s">
        <v>51</v>
      </c>
      <c r="G428" s="233">
        <v>316</v>
      </c>
      <c r="I428" s="233" t="s">
        <v>960</v>
      </c>
      <c r="J428" s="233" t="s">
        <v>789</v>
      </c>
      <c r="K428" s="233" t="s">
        <v>734</v>
      </c>
      <c r="L428" s="233" t="s">
        <v>34</v>
      </c>
      <c r="M428" s="238">
        <v>0.95833333333333337</v>
      </c>
      <c r="N428" s="238">
        <v>0.29166666666666669</v>
      </c>
      <c r="O428" s="196">
        <v>3718</v>
      </c>
      <c r="P428" s="233" t="s">
        <v>492</v>
      </c>
      <c r="Q428" s="3">
        <v>6.27</v>
      </c>
      <c r="R428" s="205">
        <v>7.23</v>
      </c>
      <c r="S428" s="168">
        <f t="shared" si="53"/>
        <v>592.98245614035091</v>
      </c>
      <c r="T428" s="168">
        <f t="shared" si="54"/>
        <v>514.24619640387277</v>
      </c>
    </row>
    <row r="429" spans="2:20" x14ac:dyDescent="0.25">
      <c r="B429" s="199">
        <v>45019</v>
      </c>
      <c r="C429" s="3">
        <v>1</v>
      </c>
      <c r="D429" s="3" t="s">
        <v>466</v>
      </c>
      <c r="E429" s="233" t="s">
        <v>466</v>
      </c>
      <c r="G429" s="3">
        <v>317</v>
      </c>
      <c r="I429" s="233" t="s">
        <v>960</v>
      </c>
      <c r="J429" s="233" t="s">
        <v>789</v>
      </c>
      <c r="K429" s="233" t="s">
        <v>734</v>
      </c>
      <c r="L429" s="233" t="s">
        <v>34</v>
      </c>
      <c r="M429" s="238">
        <v>0.29166666666666669</v>
      </c>
      <c r="N429" s="238">
        <v>0.44097222222222227</v>
      </c>
      <c r="O429" s="196">
        <v>1800</v>
      </c>
      <c r="P429" s="233" t="s">
        <v>492</v>
      </c>
      <c r="Q429" s="3">
        <v>2.61</v>
      </c>
      <c r="R429" s="205">
        <v>3.33</v>
      </c>
      <c r="S429" s="168">
        <f t="shared" si="53"/>
        <v>689.65517241379314</v>
      </c>
      <c r="T429" s="168">
        <f t="shared" si="54"/>
        <v>540.54054054054052</v>
      </c>
    </row>
    <row r="430" spans="2:20" x14ac:dyDescent="0.25">
      <c r="B430" s="199">
        <v>45019</v>
      </c>
      <c r="C430" s="3">
        <v>1</v>
      </c>
      <c r="D430" s="233" t="s">
        <v>466</v>
      </c>
      <c r="E430" s="233" t="s">
        <v>466</v>
      </c>
      <c r="G430" s="233">
        <v>318</v>
      </c>
      <c r="I430" s="233" t="s">
        <v>960</v>
      </c>
      <c r="J430" s="3" t="s">
        <v>1028</v>
      </c>
      <c r="K430" s="233" t="s">
        <v>734</v>
      </c>
      <c r="L430" s="233" t="s">
        <v>34</v>
      </c>
      <c r="M430" s="238">
        <v>0.44097222222222227</v>
      </c>
      <c r="N430" s="238">
        <v>0.625</v>
      </c>
      <c r="O430" s="196">
        <f>2146-1800</f>
        <v>346</v>
      </c>
      <c r="P430" s="3" t="s">
        <v>492</v>
      </c>
      <c r="Q430" s="3">
        <f>2.87-2.61</f>
        <v>0.26000000000000023</v>
      </c>
      <c r="R430" s="205">
        <f>3.87-3.33</f>
        <v>0.54</v>
      </c>
      <c r="S430" s="202">
        <f t="shared" si="53"/>
        <v>1330.7692307692296</v>
      </c>
      <c r="T430" s="202">
        <f t="shared" si="54"/>
        <v>640.74074074074065</v>
      </c>
    </row>
    <row r="431" spans="2:20" x14ac:dyDescent="0.25">
      <c r="B431" s="199">
        <v>45019</v>
      </c>
      <c r="C431" s="3">
        <v>2</v>
      </c>
      <c r="D431" s="233" t="s">
        <v>7</v>
      </c>
      <c r="E431" s="233" t="s">
        <v>190</v>
      </c>
      <c r="F431" s="3" t="s">
        <v>51</v>
      </c>
      <c r="G431" s="233">
        <v>318</v>
      </c>
      <c r="I431" s="233" t="s">
        <v>960</v>
      </c>
      <c r="J431" s="233" t="s">
        <v>1028</v>
      </c>
      <c r="K431" s="233" t="s">
        <v>734</v>
      </c>
      <c r="L431" s="233" t="s">
        <v>34</v>
      </c>
      <c r="M431" s="238">
        <v>0.625</v>
      </c>
      <c r="N431" s="238">
        <v>0.95833333333333337</v>
      </c>
      <c r="O431" s="196">
        <v>2975</v>
      </c>
      <c r="P431" s="3" t="s">
        <v>492</v>
      </c>
      <c r="Q431" s="3">
        <v>4.6399999999999997</v>
      </c>
      <c r="R431" s="205">
        <v>5.04</v>
      </c>
      <c r="S431" s="202">
        <f t="shared" si="53"/>
        <v>641.16379310344837</v>
      </c>
      <c r="T431" s="202">
        <f t="shared" si="54"/>
        <v>590.27777777777783</v>
      </c>
    </row>
    <row r="432" spans="2:20" x14ac:dyDescent="0.25">
      <c r="B432" s="199">
        <v>45019</v>
      </c>
      <c r="C432" s="233">
        <v>3</v>
      </c>
      <c r="D432" s="233" t="s">
        <v>459</v>
      </c>
      <c r="E432" s="233" t="s">
        <v>188</v>
      </c>
      <c r="F432" s="233" t="s">
        <v>47</v>
      </c>
      <c r="G432" s="3">
        <v>319</v>
      </c>
      <c r="H432" s="3">
        <v>7100</v>
      </c>
      <c r="I432" s="233" t="s">
        <v>960</v>
      </c>
      <c r="J432" s="3" t="s">
        <v>789</v>
      </c>
      <c r="K432" s="233" t="s">
        <v>734</v>
      </c>
      <c r="L432" s="233" t="s">
        <v>34</v>
      </c>
      <c r="M432" s="238">
        <v>0.95833333333333337</v>
      </c>
      <c r="N432" s="238">
        <v>0.29166666666666669</v>
      </c>
      <c r="O432" s="196">
        <v>3588</v>
      </c>
      <c r="P432" s="3" t="s">
        <v>492</v>
      </c>
      <c r="Q432" s="3">
        <v>5.64</v>
      </c>
      <c r="R432" s="205">
        <v>5.9</v>
      </c>
      <c r="S432" s="202">
        <f t="shared" si="53"/>
        <v>636.17021276595744</v>
      </c>
      <c r="T432" s="202">
        <f t="shared" si="54"/>
        <v>608.13559322033893</v>
      </c>
    </row>
    <row r="433" spans="2:20" x14ac:dyDescent="0.25">
      <c r="B433" s="199">
        <v>45020</v>
      </c>
      <c r="C433" s="3">
        <v>1</v>
      </c>
      <c r="D433" s="3" t="s">
        <v>466</v>
      </c>
      <c r="E433" s="233" t="s">
        <v>466</v>
      </c>
      <c r="F433" s="3" t="s">
        <v>39</v>
      </c>
      <c r="G433" s="3">
        <v>320</v>
      </c>
      <c r="H433" s="3">
        <v>7100</v>
      </c>
      <c r="I433" s="233" t="s">
        <v>960</v>
      </c>
      <c r="J433" s="233" t="s">
        <v>789</v>
      </c>
      <c r="K433" s="233" t="s">
        <v>734</v>
      </c>
      <c r="L433" s="233" t="s">
        <v>34</v>
      </c>
      <c r="M433" s="238">
        <v>0.29166666666666669</v>
      </c>
      <c r="N433" s="238">
        <v>0.41666666666666669</v>
      </c>
      <c r="O433" s="196">
        <v>2060</v>
      </c>
      <c r="P433" s="233" t="s">
        <v>492</v>
      </c>
      <c r="Q433" s="3">
        <v>2.7</v>
      </c>
      <c r="R433" s="205">
        <v>2.71</v>
      </c>
      <c r="S433" s="202">
        <f t="shared" ref="S433:S438" si="55">O433/Q433</f>
        <v>762.96296296296293</v>
      </c>
      <c r="T433" s="202">
        <f t="shared" ref="T433:T438" si="56">IFERROR(O433/R433,"")</f>
        <v>760.14760147601476</v>
      </c>
    </row>
    <row r="434" spans="2:20" x14ac:dyDescent="0.25">
      <c r="B434" s="199">
        <v>45020</v>
      </c>
      <c r="C434" s="233">
        <v>1</v>
      </c>
      <c r="D434" s="233" t="s">
        <v>466</v>
      </c>
      <c r="E434" s="233" t="s">
        <v>466</v>
      </c>
      <c r="F434" s="233" t="s">
        <v>39</v>
      </c>
      <c r="G434" s="233">
        <v>321</v>
      </c>
      <c r="I434" s="233" t="s">
        <v>960</v>
      </c>
      <c r="J434" s="233" t="s">
        <v>1083</v>
      </c>
      <c r="K434" s="233" t="s">
        <v>734</v>
      </c>
      <c r="L434" s="3" t="s">
        <v>767</v>
      </c>
      <c r="M434" s="238">
        <v>0.41666666666666669</v>
      </c>
      <c r="N434" s="238">
        <v>0.625</v>
      </c>
      <c r="O434" s="196">
        <f>4760-2060</f>
        <v>2700</v>
      </c>
      <c r="P434" s="3" t="s">
        <v>492</v>
      </c>
      <c r="Q434" s="3">
        <f>6.86-2.7</f>
        <v>4.16</v>
      </c>
      <c r="R434" s="205">
        <f>6.81-2.71</f>
        <v>4.0999999999999996</v>
      </c>
      <c r="S434" s="202">
        <f t="shared" si="55"/>
        <v>649.03846153846155</v>
      </c>
      <c r="T434" s="202">
        <f t="shared" si="56"/>
        <v>658.53658536585374</v>
      </c>
    </row>
    <row r="435" spans="2:20" x14ac:dyDescent="0.25">
      <c r="B435" s="199">
        <v>45020</v>
      </c>
      <c r="C435" s="3">
        <v>2</v>
      </c>
      <c r="D435" s="3" t="s">
        <v>7</v>
      </c>
      <c r="E435" s="3" t="s">
        <v>190</v>
      </c>
      <c r="F435" s="3" t="s">
        <v>51</v>
      </c>
      <c r="G435" s="233">
        <v>322</v>
      </c>
      <c r="H435" s="233"/>
      <c r="I435" s="233" t="s">
        <v>960</v>
      </c>
      <c r="J435" s="233" t="s">
        <v>1083</v>
      </c>
      <c r="K435" s="233" t="s">
        <v>734</v>
      </c>
      <c r="L435" s="233" t="s">
        <v>767</v>
      </c>
      <c r="M435" s="238">
        <v>0.625</v>
      </c>
      <c r="N435" s="238">
        <v>0.95833333333333337</v>
      </c>
      <c r="O435" s="196">
        <v>2592</v>
      </c>
      <c r="P435" s="3" t="s">
        <v>492</v>
      </c>
      <c r="Q435" s="3">
        <v>4.63</v>
      </c>
      <c r="R435" s="205">
        <v>5.45</v>
      </c>
      <c r="S435" s="202">
        <f t="shared" si="55"/>
        <v>559.82721382289424</v>
      </c>
      <c r="T435" s="202">
        <f t="shared" si="56"/>
        <v>475.59633027522932</v>
      </c>
    </row>
    <row r="436" spans="2:20" x14ac:dyDescent="0.25">
      <c r="B436" s="199">
        <v>45020</v>
      </c>
      <c r="C436" s="3">
        <v>3</v>
      </c>
      <c r="D436" s="3" t="s">
        <v>459</v>
      </c>
      <c r="E436" s="3" t="s">
        <v>188</v>
      </c>
      <c r="F436" s="3" t="s">
        <v>17</v>
      </c>
      <c r="G436" s="3">
        <v>323</v>
      </c>
      <c r="H436" s="3">
        <v>12812</v>
      </c>
      <c r="I436" s="233" t="s">
        <v>960</v>
      </c>
      <c r="J436" s="233" t="s">
        <v>1082</v>
      </c>
      <c r="K436" s="233" t="s">
        <v>734</v>
      </c>
      <c r="L436" s="233" t="s">
        <v>767</v>
      </c>
      <c r="M436" s="238">
        <v>0.95833333333333337</v>
      </c>
      <c r="N436" s="238">
        <v>0.29166666666666669</v>
      </c>
      <c r="O436" s="196">
        <v>3624</v>
      </c>
      <c r="P436" s="3" t="s">
        <v>492</v>
      </c>
      <c r="Q436" s="3">
        <v>6.02</v>
      </c>
      <c r="R436" s="205">
        <v>6.62</v>
      </c>
      <c r="S436" s="168">
        <f t="shared" si="55"/>
        <v>601.99335548172758</v>
      </c>
      <c r="T436" s="168">
        <f t="shared" si="56"/>
        <v>547.43202416918427</v>
      </c>
    </row>
    <row r="437" spans="2:20" x14ac:dyDescent="0.25">
      <c r="B437" s="199">
        <v>45021</v>
      </c>
      <c r="C437" s="3">
        <v>1</v>
      </c>
      <c r="D437" s="233" t="s">
        <v>466</v>
      </c>
      <c r="E437" s="233" t="s">
        <v>3</v>
      </c>
      <c r="F437" s="233" t="s">
        <v>39</v>
      </c>
      <c r="G437" s="3">
        <v>324</v>
      </c>
      <c r="I437" s="233" t="s">
        <v>960</v>
      </c>
      <c r="J437" s="233" t="s">
        <v>1082</v>
      </c>
      <c r="K437" s="233" t="s">
        <v>734</v>
      </c>
      <c r="L437" s="233" t="s">
        <v>767</v>
      </c>
      <c r="M437" s="238">
        <v>0.29166666666666669</v>
      </c>
      <c r="N437" s="238">
        <v>0.625</v>
      </c>
      <c r="O437" s="196">
        <v>518</v>
      </c>
      <c r="P437" s="3" t="s">
        <v>492</v>
      </c>
      <c r="Q437" s="3">
        <v>1.01</v>
      </c>
      <c r="R437" s="205">
        <v>0.95</v>
      </c>
      <c r="S437" s="168">
        <f t="shared" si="55"/>
        <v>512.87128712871288</v>
      </c>
      <c r="T437" s="168">
        <f t="shared" si="56"/>
        <v>545.26315789473688</v>
      </c>
    </row>
    <row r="438" spans="2:20" x14ac:dyDescent="0.25">
      <c r="B438" s="199">
        <v>45021</v>
      </c>
      <c r="C438" s="3">
        <v>2</v>
      </c>
      <c r="D438" s="3" t="s">
        <v>7</v>
      </c>
      <c r="E438" s="3" t="s">
        <v>190</v>
      </c>
      <c r="F438" s="3" t="s">
        <v>11</v>
      </c>
      <c r="G438" s="3">
        <v>325</v>
      </c>
      <c r="I438" s="233" t="s">
        <v>960</v>
      </c>
      <c r="J438" s="233" t="s">
        <v>1082</v>
      </c>
      <c r="K438" s="233" t="s">
        <v>734</v>
      </c>
      <c r="L438" s="233" t="s">
        <v>767</v>
      </c>
      <c r="M438" s="238">
        <v>0.625</v>
      </c>
      <c r="N438" s="238">
        <v>0.71527777777777779</v>
      </c>
      <c r="O438" s="196">
        <v>1050</v>
      </c>
      <c r="P438" s="3" t="s">
        <v>492</v>
      </c>
      <c r="Q438" s="3">
        <v>1.8</v>
      </c>
      <c r="R438" s="205">
        <v>1.8</v>
      </c>
      <c r="S438" s="168">
        <f t="shared" si="55"/>
        <v>583.33333333333337</v>
      </c>
      <c r="T438" s="168">
        <f t="shared" si="56"/>
        <v>583.33333333333337</v>
      </c>
    </row>
    <row r="439" spans="2:20" x14ac:dyDescent="0.25">
      <c r="B439" s="199">
        <v>45021</v>
      </c>
      <c r="C439" s="233">
        <v>2</v>
      </c>
      <c r="D439" s="233" t="s">
        <v>7</v>
      </c>
      <c r="E439" s="233" t="s">
        <v>190</v>
      </c>
      <c r="F439" s="3" t="s">
        <v>51</v>
      </c>
      <c r="G439" s="3">
        <v>326</v>
      </c>
      <c r="H439" s="3">
        <v>5000</v>
      </c>
      <c r="I439" s="233" t="s">
        <v>707</v>
      </c>
      <c r="J439" s="233" t="s">
        <v>1085</v>
      </c>
      <c r="K439" s="233" t="s">
        <v>734</v>
      </c>
      <c r="L439" s="233" t="s">
        <v>767</v>
      </c>
      <c r="M439" s="238">
        <v>0.71527777777777779</v>
      </c>
      <c r="N439" s="238">
        <v>0.95833333333333337</v>
      </c>
      <c r="O439" s="196">
        <v>2569</v>
      </c>
      <c r="P439" s="3" t="s">
        <v>492</v>
      </c>
    </row>
    <row r="440" spans="2:20" x14ac:dyDescent="0.25">
      <c r="B440" s="199">
        <v>45021</v>
      </c>
      <c r="C440" s="3">
        <v>3</v>
      </c>
      <c r="D440" s="3" t="s">
        <v>459</v>
      </c>
      <c r="E440" s="3" t="s">
        <v>188</v>
      </c>
      <c r="F440" s="3" t="s">
        <v>47</v>
      </c>
      <c r="G440" s="3">
        <v>327</v>
      </c>
      <c r="H440" s="3">
        <v>5000</v>
      </c>
      <c r="I440" s="233" t="s">
        <v>707</v>
      </c>
      <c r="J440" s="233" t="s">
        <v>1085</v>
      </c>
      <c r="K440" s="233" t="s">
        <v>734</v>
      </c>
      <c r="L440" s="233" t="s">
        <v>767</v>
      </c>
      <c r="M440" s="238">
        <v>0.95833333333333337</v>
      </c>
      <c r="N440" s="238">
        <v>8.3333333333333329E-2</v>
      </c>
      <c r="O440" s="196">
        <v>1879</v>
      </c>
      <c r="P440" s="3" t="s">
        <v>492</v>
      </c>
      <c r="Q440" s="3">
        <v>2.6</v>
      </c>
      <c r="R440" s="205">
        <v>2.6</v>
      </c>
    </row>
    <row r="441" spans="2:20" x14ac:dyDescent="0.25">
      <c r="B441" s="199">
        <v>45021</v>
      </c>
      <c r="C441" s="233">
        <v>3</v>
      </c>
      <c r="D441" s="233" t="s">
        <v>459</v>
      </c>
      <c r="E441" s="233" t="s">
        <v>188</v>
      </c>
      <c r="F441" s="3" t="s">
        <v>47</v>
      </c>
      <c r="G441" s="3">
        <v>328</v>
      </c>
      <c r="I441" s="3" t="s">
        <v>686</v>
      </c>
      <c r="J441" s="3" t="s">
        <v>1086</v>
      </c>
      <c r="K441" s="3" t="s">
        <v>734</v>
      </c>
      <c r="L441" s="233" t="s">
        <v>767</v>
      </c>
      <c r="M441" s="238">
        <v>8.3333333333333329E-2</v>
      </c>
      <c r="N441" s="238">
        <v>0.29166666666666669</v>
      </c>
      <c r="O441" s="196">
        <f>3924-1879</f>
        <v>2045</v>
      </c>
      <c r="P441" s="3" t="s">
        <v>492</v>
      </c>
      <c r="Q441" s="3">
        <v>5.96</v>
      </c>
      <c r="R441" s="205">
        <v>6.6</v>
      </c>
    </row>
    <row r="442" spans="2:20" x14ac:dyDescent="0.25">
      <c r="B442" s="199">
        <v>45022</v>
      </c>
      <c r="C442" s="3">
        <v>1</v>
      </c>
      <c r="D442" s="233" t="s">
        <v>466</v>
      </c>
      <c r="E442" s="233" t="s">
        <v>3</v>
      </c>
      <c r="F442" s="233" t="s">
        <v>39</v>
      </c>
      <c r="G442" s="3">
        <v>329</v>
      </c>
      <c r="I442" s="233" t="s">
        <v>686</v>
      </c>
      <c r="J442" s="233" t="s">
        <v>1086</v>
      </c>
      <c r="K442" s="233" t="s">
        <v>734</v>
      </c>
      <c r="L442" s="233" t="s">
        <v>767</v>
      </c>
      <c r="M442" s="238">
        <v>0.29166666666666669</v>
      </c>
      <c r="N442" s="238">
        <v>0.625</v>
      </c>
      <c r="O442" s="196">
        <v>2814</v>
      </c>
      <c r="P442" s="3" t="s">
        <v>492</v>
      </c>
      <c r="Q442" s="3">
        <v>5.45</v>
      </c>
      <c r="R442" s="205">
        <v>5.78</v>
      </c>
    </row>
    <row r="443" spans="2:20" x14ac:dyDescent="0.25">
      <c r="B443" s="199">
        <v>45022</v>
      </c>
      <c r="C443" s="3">
        <v>2</v>
      </c>
      <c r="D443" s="3" t="s">
        <v>7</v>
      </c>
      <c r="E443" s="3" t="s">
        <v>190</v>
      </c>
      <c r="F443" s="3" t="s">
        <v>11</v>
      </c>
      <c r="G443" s="233">
        <v>330</v>
      </c>
      <c r="H443" s="233"/>
      <c r="I443" s="233" t="s">
        <v>686</v>
      </c>
      <c r="J443" s="233" t="s">
        <v>1086</v>
      </c>
      <c r="K443" s="233" t="s">
        <v>734</v>
      </c>
      <c r="L443" s="233" t="s">
        <v>767</v>
      </c>
      <c r="M443" s="238">
        <v>0.625</v>
      </c>
      <c r="N443" s="238">
        <v>0.95833333333333337</v>
      </c>
      <c r="O443" s="196">
        <v>2421</v>
      </c>
      <c r="P443" s="3" t="s">
        <v>492</v>
      </c>
      <c r="Q443" s="3">
        <v>4.33</v>
      </c>
      <c r="R443" s="205">
        <v>5.25</v>
      </c>
    </row>
    <row r="444" spans="2:20" x14ac:dyDescent="0.25">
      <c r="B444" s="199">
        <v>45022</v>
      </c>
      <c r="C444" s="3">
        <v>3</v>
      </c>
      <c r="D444" s="233" t="s">
        <v>459</v>
      </c>
      <c r="E444" s="233" t="s">
        <v>188</v>
      </c>
      <c r="F444" s="233" t="s">
        <v>31</v>
      </c>
      <c r="G444" s="3">
        <v>331</v>
      </c>
      <c r="H444" s="3">
        <v>6000</v>
      </c>
      <c r="I444" s="233" t="s">
        <v>960</v>
      </c>
      <c r="J444" s="233" t="s">
        <v>1088</v>
      </c>
      <c r="K444" s="233" t="s">
        <v>734</v>
      </c>
      <c r="L444" s="233" t="s">
        <v>767</v>
      </c>
      <c r="M444" s="238">
        <v>0.95833333333333337</v>
      </c>
      <c r="N444" s="238">
        <v>0.29166666666666669</v>
      </c>
      <c r="O444" s="196">
        <v>3466</v>
      </c>
      <c r="P444" s="3" t="s">
        <v>492</v>
      </c>
      <c r="Q444" s="3">
        <v>5.7</v>
      </c>
      <c r="R444" s="205">
        <v>6.09</v>
      </c>
    </row>
    <row r="445" spans="2:20" x14ac:dyDescent="0.25">
      <c r="B445" s="199">
        <v>45023</v>
      </c>
      <c r="C445" s="3">
        <v>1</v>
      </c>
      <c r="D445" s="233" t="s">
        <v>466</v>
      </c>
      <c r="E445" s="233" t="s">
        <v>3</v>
      </c>
      <c r="F445" s="233" t="s">
        <v>39</v>
      </c>
      <c r="G445" s="233">
        <v>332</v>
      </c>
      <c r="H445" s="3">
        <v>600</v>
      </c>
      <c r="I445" s="233" t="s">
        <v>960</v>
      </c>
      <c r="J445" s="233" t="s">
        <v>1088</v>
      </c>
      <c r="K445" s="233" t="s">
        <v>734</v>
      </c>
      <c r="L445" s="233" t="s">
        <v>767</v>
      </c>
      <c r="M445" s="238">
        <v>0.29166666666666669</v>
      </c>
      <c r="N445" s="238">
        <v>0.4375</v>
      </c>
      <c r="O445" s="196">
        <v>1300</v>
      </c>
      <c r="P445" s="233" t="s">
        <v>492</v>
      </c>
      <c r="Q445" s="3">
        <v>2.0099999999999998</v>
      </c>
      <c r="R445" s="205">
        <v>2.2999999999999998</v>
      </c>
    </row>
    <row r="446" spans="2:20" x14ac:dyDescent="0.25">
      <c r="B446" s="199">
        <v>45023</v>
      </c>
      <c r="C446" s="3">
        <v>1</v>
      </c>
      <c r="D446" s="233" t="s">
        <v>466</v>
      </c>
      <c r="E446" s="233" t="s">
        <v>3</v>
      </c>
      <c r="F446" s="233" t="s">
        <v>39</v>
      </c>
      <c r="G446" s="233">
        <v>333</v>
      </c>
      <c r="H446" s="3">
        <v>6000</v>
      </c>
      <c r="I446" s="233" t="s">
        <v>960</v>
      </c>
      <c r="J446" s="233" t="s">
        <v>1088</v>
      </c>
      <c r="K446" s="233" t="s">
        <v>734</v>
      </c>
      <c r="L446" s="3" t="s">
        <v>696</v>
      </c>
      <c r="M446" s="238">
        <v>0.4375</v>
      </c>
      <c r="N446" s="238">
        <v>0.625</v>
      </c>
      <c r="O446" s="196">
        <f>1935-1300</f>
        <v>635</v>
      </c>
      <c r="P446" s="233" t="s">
        <v>492</v>
      </c>
      <c r="Q446" s="3">
        <f>3-2.01</f>
        <v>0.99000000000000021</v>
      </c>
      <c r="R446" s="205">
        <f>3.4-2.3</f>
        <v>1.1000000000000001</v>
      </c>
    </row>
    <row r="447" spans="2:20" x14ac:dyDescent="0.25">
      <c r="B447" s="199">
        <v>45023</v>
      </c>
      <c r="C447" s="3">
        <v>2</v>
      </c>
      <c r="D447" s="233" t="s">
        <v>7</v>
      </c>
      <c r="E447" s="233" t="s">
        <v>190</v>
      </c>
      <c r="F447" s="233" t="s">
        <v>11</v>
      </c>
      <c r="G447" s="3">
        <v>334</v>
      </c>
      <c r="H447" s="3">
        <v>6000</v>
      </c>
      <c r="I447" s="233" t="s">
        <v>960</v>
      </c>
      <c r="J447" s="233" t="s">
        <v>1088</v>
      </c>
      <c r="K447" s="233" t="s">
        <v>734</v>
      </c>
      <c r="L447" s="3" t="s">
        <v>21</v>
      </c>
      <c r="M447" s="238">
        <v>0.625</v>
      </c>
      <c r="N447" s="238">
        <v>0.83333333333333337</v>
      </c>
      <c r="O447" s="196">
        <v>1646</v>
      </c>
      <c r="P447" s="233" t="s">
        <v>492</v>
      </c>
      <c r="Q447" s="3">
        <v>2.4700000000000002</v>
      </c>
      <c r="R447" s="205">
        <v>2.4900000000000002</v>
      </c>
    </row>
    <row r="448" spans="2:20" x14ac:dyDescent="0.25">
      <c r="B448" s="199">
        <v>45023</v>
      </c>
      <c r="C448" s="3">
        <v>2</v>
      </c>
      <c r="D448" s="233" t="s">
        <v>7</v>
      </c>
      <c r="E448" s="233" t="s">
        <v>190</v>
      </c>
      <c r="G448" s="233">
        <v>335</v>
      </c>
      <c r="H448" s="3">
        <v>2000</v>
      </c>
      <c r="I448" s="3" t="s">
        <v>1091</v>
      </c>
      <c r="J448" s="233" t="s">
        <v>848</v>
      </c>
      <c r="K448" s="233" t="s">
        <v>734</v>
      </c>
      <c r="L448" s="233" t="s">
        <v>21</v>
      </c>
      <c r="M448" s="238">
        <v>0.83333333333333337</v>
      </c>
      <c r="N448" s="238">
        <v>0.95833333333333337</v>
      </c>
      <c r="O448" s="196">
        <f>3031-O447</f>
        <v>1385</v>
      </c>
      <c r="P448" s="3" t="s">
        <v>492</v>
      </c>
      <c r="Q448" s="3">
        <v>4.6900000000000004</v>
      </c>
      <c r="R448" s="205">
        <v>4.66</v>
      </c>
    </row>
    <row r="449" spans="2:18" x14ac:dyDescent="0.25">
      <c r="B449" s="199">
        <v>45023</v>
      </c>
      <c r="C449" s="233">
        <v>3</v>
      </c>
      <c r="D449" s="233" t="s">
        <v>459</v>
      </c>
      <c r="E449" s="233" t="s">
        <v>188</v>
      </c>
      <c r="F449" s="233" t="s">
        <v>47</v>
      </c>
      <c r="G449" s="3">
        <v>336</v>
      </c>
      <c r="H449" s="3">
        <v>6000</v>
      </c>
      <c r="I449" s="233" t="s">
        <v>960</v>
      </c>
      <c r="J449" s="233" t="s">
        <v>1088</v>
      </c>
      <c r="K449" s="233" t="s">
        <v>734</v>
      </c>
      <c r="L449" s="233" t="s">
        <v>21</v>
      </c>
      <c r="M449" s="238">
        <v>0.95833333333333337</v>
      </c>
      <c r="N449" s="238">
        <v>0.1076388888888889</v>
      </c>
      <c r="O449" s="196">
        <v>1944</v>
      </c>
      <c r="P449" s="3" t="s">
        <v>492</v>
      </c>
      <c r="Q449" s="3">
        <v>2.75</v>
      </c>
      <c r="R449" s="205">
        <v>2.94</v>
      </c>
    </row>
    <row r="450" spans="2:18" x14ac:dyDescent="0.25">
      <c r="B450" s="199">
        <v>45023</v>
      </c>
      <c r="C450" s="233">
        <v>3</v>
      </c>
      <c r="D450" s="233" t="s">
        <v>459</v>
      </c>
      <c r="E450" s="233" t="s">
        <v>188</v>
      </c>
      <c r="F450" s="3" t="s">
        <v>31</v>
      </c>
      <c r="G450" s="3">
        <v>337</v>
      </c>
      <c r="H450" s="3">
        <v>4200</v>
      </c>
      <c r="I450" s="3" t="s">
        <v>686</v>
      </c>
      <c r="J450" s="3" t="s">
        <v>1082</v>
      </c>
      <c r="K450" s="233" t="s">
        <v>734</v>
      </c>
      <c r="L450" s="233" t="s">
        <v>21</v>
      </c>
      <c r="M450" s="238">
        <v>0.1076388888888889</v>
      </c>
      <c r="N450" s="238">
        <v>0.29166666666666669</v>
      </c>
      <c r="O450" s="196">
        <f>3770-1944</f>
        <v>1826</v>
      </c>
      <c r="P450" s="3" t="s">
        <v>492</v>
      </c>
      <c r="Q450" s="3">
        <f>6.22-2.75</f>
        <v>3.4699999999999998</v>
      </c>
      <c r="R450" s="205">
        <f>6.26-2.94</f>
        <v>3.32</v>
      </c>
    </row>
    <row r="451" spans="2:18" x14ac:dyDescent="0.25">
      <c r="B451" s="199">
        <v>45024</v>
      </c>
      <c r="C451" s="3">
        <v>1</v>
      </c>
      <c r="D451" s="3" t="s">
        <v>466</v>
      </c>
      <c r="E451" s="3" t="s">
        <v>3</v>
      </c>
      <c r="F451" s="233" t="s">
        <v>39</v>
      </c>
      <c r="G451" s="3">
        <v>338</v>
      </c>
      <c r="H451" s="233">
        <v>4200</v>
      </c>
      <c r="I451" s="233" t="s">
        <v>686</v>
      </c>
      <c r="J451" s="233" t="s">
        <v>1082</v>
      </c>
      <c r="K451" s="233" t="s">
        <v>734</v>
      </c>
      <c r="L451" s="233" t="s">
        <v>21</v>
      </c>
      <c r="M451" s="238">
        <v>0.29166666666666669</v>
      </c>
      <c r="N451" s="238">
        <v>0.54166666666666663</v>
      </c>
      <c r="O451" s="196">
        <v>4180</v>
      </c>
      <c r="P451" s="233" t="s">
        <v>492</v>
      </c>
      <c r="Q451" s="3">
        <v>5.78</v>
      </c>
      <c r="R451" s="205">
        <v>5.66</v>
      </c>
    </row>
    <row r="452" spans="2:18" x14ac:dyDescent="0.25">
      <c r="B452" s="199">
        <v>45024</v>
      </c>
      <c r="C452" s="233">
        <v>1</v>
      </c>
      <c r="D452" s="233" t="s">
        <v>466</v>
      </c>
      <c r="E452" s="233" t="s">
        <v>3</v>
      </c>
      <c r="F452" s="233" t="s">
        <v>691</v>
      </c>
      <c r="G452" s="233">
        <v>339</v>
      </c>
      <c r="H452" s="233">
        <v>3000</v>
      </c>
      <c r="I452" s="233" t="s">
        <v>988</v>
      </c>
      <c r="J452" s="233" t="s">
        <v>1083</v>
      </c>
      <c r="K452" s="233" t="s">
        <v>734</v>
      </c>
      <c r="L452" s="233" t="s">
        <v>21</v>
      </c>
      <c r="M452" s="238">
        <v>0.54166666666666663</v>
      </c>
      <c r="N452" s="238">
        <v>0.625</v>
      </c>
      <c r="O452" s="196">
        <f>5143-4180</f>
        <v>963</v>
      </c>
      <c r="P452" s="3" t="s">
        <v>492</v>
      </c>
      <c r="Q452" s="3">
        <f>7.05-5.78</f>
        <v>1.2699999999999996</v>
      </c>
      <c r="R452" s="205">
        <f>7.48-5.66</f>
        <v>1.8200000000000003</v>
      </c>
    </row>
    <row r="453" spans="2:18" x14ac:dyDescent="0.25">
      <c r="B453" s="199">
        <v>45024</v>
      </c>
      <c r="C453" s="3">
        <v>2</v>
      </c>
      <c r="D453" s="233" t="s">
        <v>7</v>
      </c>
      <c r="E453" s="233" t="s">
        <v>190</v>
      </c>
      <c r="F453" s="233" t="s">
        <v>11</v>
      </c>
      <c r="G453" s="233">
        <v>340</v>
      </c>
      <c r="H453" s="233">
        <v>3000</v>
      </c>
      <c r="I453" s="233" t="s">
        <v>988</v>
      </c>
      <c r="J453" s="233" t="s">
        <v>1083</v>
      </c>
      <c r="K453" s="233" t="s">
        <v>734</v>
      </c>
      <c r="L453" s="233" t="s">
        <v>21</v>
      </c>
      <c r="M453" s="238">
        <v>0.625</v>
      </c>
      <c r="N453" s="238">
        <v>0.95833333333333337</v>
      </c>
      <c r="O453" s="196">
        <v>1042</v>
      </c>
      <c r="P453" s="3" t="s">
        <v>492</v>
      </c>
      <c r="Q453" s="3">
        <v>1.4</v>
      </c>
      <c r="R453" s="205" t="s">
        <v>492</v>
      </c>
    </row>
    <row r="454" spans="2:18" x14ac:dyDescent="0.25">
      <c r="B454" s="199">
        <v>45024</v>
      </c>
      <c r="C454" s="233">
        <v>3</v>
      </c>
      <c r="D454" s="233" t="s">
        <v>459</v>
      </c>
      <c r="E454" s="233" t="s">
        <v>188</v>
      </c>
      <c r="F454" s="233" t="s">
        <v>47</v>
      </c>
      <c r="G454" s="3">
        <v>341</v>
      </c>
      <c r="H454" s="233">
        <v>6000</v>
      </c>
      <c r="I454" s="233" t="s">
        <v>988</v>
      </c>
      <c r="J454" s="233" t="s">
        <v>1083</v>
      </c>
      <c r="K454" s="233" t="s">
        <v>734</v>
      </c>
      <c r="L454" s="233" t="s">
        <v>21</v>
      </c>
      <c r="M454" s="238">
        <v>0.95833333333333337</v>
      </c>
      <c r="N454" s="238">
        <v>0.10416666666666667</v>
      </c>
      <c r="O454" s="196">
        <v>900</v>
      </c>
      <c r="P454" s="3" t="s">
        <v>492</v>
      </c>
      <c r="Q454" s="3">
        <v>1.2</v>
      </c>
      <c r="R454" s="205">
        <v>1.3</v>
      </c>
    </row>
    <row r="455" spans="2:18" x14ac:dyDescent="0.25">
      <c r="B455" s="199">
        <v>45024</v>
      </c>
      <c r="C455" s="3">
        <v>3</v>
      </c>
      <c r="D455" s="233" t="s">
        <v>459</v>
      </c>
      <c r="E455" s="233" t="s">
        <v>188</v>
      </c>
      <c r="F455" s="233" t="s">
        <v>39</v>
      </c>
      <c r="G455" s="3">
        <v>342</v>
      </c>
      <c r="H455" s="3">
        <v>3000</v>
      </c>
      <c r="I455" s="233" t="s">
        <v>988</v>
      </c>
      <c r="J455" s="3" t="s">
        <v>848</v>
      </c>
      <c r="K455" s="3" t="s">
        <v>734</v>
      </c>
      <c r="L455" s="3" t="s">
        <v>21</v>
      </c>
      <c r="M455" s="238">
        <v>0.10416666666666667</v>
      </c>
      <c r="N455" s="238">
        <v>0.29166666666666669</v>
      </c>
      <c r="O455" s="196">
        <v>2700</v>
      </c>
      <c r="P455" s="3" t="s">
        <v>492</v>
      </c>
      <c r="Q455" s="3">
        <f>5.19-Q454</f>
        <v>3.99</v>
      </c>
      <c r="R455" s="205">
        <f>5.23-R454</f>
        <v>3.9300000000000006</v>
      </c>
    </row>
    <row r="456" spans="2:18" x14ac:dyDescent="0.25">
      <c r="B456" s="199">
        <v>45025</v>
      </c>
      <c r="C456" s="3">
        <v>1</v>
      </c>
      <c r="D456" s="3" t="s">
        <v>1</v>
      </c>
      <c r="E456" s="233" t="s">
        <v>3</v>
      </c>
      <c r="F456" s="233" t="s">
        <v>39</v>
      </c>
      <c r="G456" s="3">
        <v>343</v>
      </c>
      <c r="H456" s="233">
        <v>6000</v>
      </c>
      <c r="I456" s="233" t="s">
        <v>988</v>
      </c>
      <c r="J456" s="233" t="s">
        <v>1083</v>
      </c>
      <c r="K456" s="233" t="s">
        <v>734</v>
      </c>
      <c r="L456" s="233" t="s">
        <v>21</v>
      </c>
      <c r="M456" s="238">
        <v>0.29166666666666669</v>
      </c>
      <c r="N456" s="238">
        <v>0.35416666666666669</v>
      </c>
      <c r="O456" s="196">
        <v>500</v>
      </c>
      <c r="P456" s="233" t="s">
        <v>492</v>
      </c>
      <c r="Q456" s="3">
        <v>1.1399999999999999</v>
      </c>
      <c r="R456" s="205">
        <v>1.06</v>
      </c>
    </row>
    <row r="457" spans="2:18" x14ac:dyDescent="0.25">
      <c r="B457" s="199">
        <v>45025</v>
      </c>
      <c r="C457" s="233">
        <v>1</v>
      </c>
      <c r="D457" s="233" t="s">
        <v>1</v>
      </c>
      <c r="E457" s="233" t="s">
        <v>3</v>
      </c>
      <c r="F457" s="233" t="s">
        <v>39</v>
      </c>
      <c r="G457" s="233">
        <v>343</v>
      </c>
      <c r="H457" s="233">
        <v>6000</v>
      </c>
      <c r="I457" s="233" t="s">
        <v>707</v>
      </c>
      <c r="J457" s="233" t="s">
        <v>789</v>
      </c>
      <c r="K457" s="233" t="s">
        <v>734</v>
      </c>
      <c r="L457" s="233" t="s">
        <v>21</v>
      </c>
      <c r="M457" s="238">
        <v>0.35416666666666669</v>
      </c>
      <c r="N457" s="238">
        <v>0.625</v>
      </c>
      <c r="O457" s="196">
        <f>4271-500</f>
        <v>3771</v>
      </c>
      <c r="P457" s="3" t="s">
        <v>492</v>
      </c>
      <c r="Q457" s="3">
        <f>6.33-1.14</f>
        <v>5.19</v>
      </c>
      <c r="R457" s="205">
        <f>7.39-1.06</f>
        <v>6.33</v>
      </c>
    </row>
    <row r="458" spans="2:18" x14ac:dyDescent="0.25">
      <c r="B458" s="199">
        <v>45025</v>
      </c>
      <c r="C458" s="3">
        <v>2</v>
      </c>
      <c r="D458" s="233" t="s">
        <v>7</v>
      </c>
      <c r="E458" s="233" t="s">
        <v>190</v>
      </c>
      <c r="F458" s="233" t="s">
        <v>51</v>
      </c>
      <c r="G458" s="233">
        <v>343</v>
      </c>
      <c r="H458" s="233">
        <v>6000</v>
      </c>
      <c r="I458" s="233" t="s">
        <v>707</v>
      </c>
      <c r="J458" s="233" t="s">
        <v>789</v>
      </c>
      <c r="K458" s="233" t="s">
        <v>734</v>
      </c>
      <c r="L458" s="233" t="s">
        <v>21</v>
      </c>
      <c r="M458" s="238">
        <v>0.625</v>
      </c>
      <c r="N458" s="238">
        <v>0.95833333333333337</v>
      </c>
      <c r="O458" s="196">
        <v>3347</v>
      </c>
      <c r="P458" s="3" t="s">
        <v>492</v>
      </c>
      <c r="Q458" s="3">
        <v>4.63</v>
      </c>
      <c r="R458" s="205">
        <v>6.81</v>
      </c>
    </row>
    <row r="459" spans="2:18" x14ac:dyDescent="0.25">
      <c r="B459" s="199">
        <v>45025</v>
      </c>
      <c r="C459" s="233">
        <v>3</v>
      </c>
      <c r="D459" s="233" t="s">
        <v>459</v>
      </c>
      <c r="E459" s="233" t="s">
        <v>188</v>
      </c>
      <c r="F459" s="233" t="s">
        <v>47</v>
      </c>
      <c r="G459" s="3">
        <v>344</v>
      </c>
      <c r="H459" s="233">
        <v>6000</v>
      </c>
      <c r="I459" s="233" t="s">
        <v>707</v>
      </c>
      <c r="J459" s="233" t="s">
        <v>789</v>
      </c>
      <c r="K459" s="233" t="s">
        <v>734</v>
      </c>
      <c r="L459" s="233" t="s">
        <v>21</v>
      </c>
      <c r="M459" s="238">
        <v>0.95833333333333337</v>
      </c>
      <c r="N459" s="238">
        <v>0.11666666666666665</v>
      </c>
      <c r="O459" s="196">
        <v>2406</v>
      </c>
      <c r="P459" s="3" t="s">
        <v>492</v>
      </c>
      <c r="Q459" s="3">
        <v>3.52</v>
      </c>
      <c r="R459" s="205">
        <v>3.76</v>
      </c>
    </row>
    <row r="460" spans="2:18" x14ac:dyDescent="0.25">
      <c r="B460" s="199">
        <v>45025</v>
      </c>
      <c r="C460" s="233">
        <v>3</v>
      </c>
      <c r="D460" s="233" t="s">
        <v>459</v>
      </c>
      <c r="E460" s="233" t="s">
        <v>188</v>
      </c>
      <c r="F460" s="233" t="s">
        <v>47</v>
      </c>
      <c r="G460" s="3">
        <v>345</v>
      </c>
      <c r="H460" s="233">
        <v>10000</v>
      </c>
      <c r="I460" s="233" t="s">
        <v>19</v>
      </c>
      <c r="J460" s="233" t="s">
        <v>1096</v>
      </c>
      <c r="K460" s="233" t="s">
        <v>734</v>
      </c>
      <c r="L460" s="233" t="s">
        <v>21</v>
      </c>
      <c r="M460" s="238">
        <v>0.11666666666666665</v>
      </c>
      <c r="N460" s="238">
        <v>0.29166666666666669</v>
      </c>
      <c r="O460" s="237">
        <v>1771</v>
      </c>
      <c r="P460" s="233" t="s">
        <v>492</v>
      </c>
      <c r="Q460" s="3">
        <v>2.58</v>
      </c>
      <c r="R460" s="205">
        <v>2.71</v>
      </c>
    </row>
    <row r="461" spans="2:18" x14ac:dyDescent="0.25">
      <c r="B461" s="199">
        <v>45026</v>
      </c>
      <c r="C461" s="3">
        <v>1</v>
      </c>
      <c r="D461" s="3" t="s">
        <v>7</v>
      </c>
      <c r="E461" s="233" t="s">
        <v>7</v>
      </c>
      <c r="G461" s="233">
        <v>346</v>
      </c>
      <c r="H461" s="233">
        <v>10000</v>
      </c>
      <c r="I461" s="233" t="s">
        <v>19</v>
      </c>
      <c r="J461" s="233" t="s">
        <v>1096</v>
      </c>
      <c r="K461" s="233" t="s">
        <v>734</v>
      </c>
      <c r="L461" s="233" t="s">
        <v>21</v>
      </c>
      <c r="M461" s="238">
        <v>0.29166666666666669</v>
      </c>
      <c r="N461" s="238">
        <v>0.625</v>
      </c>
      <c r="O461" s="196">
        <v>1336</v>
      </c>
      <c r="P461" s="3" t="s">
        <v>492</v>
      </c>
      <c r="Q461" s="3">
        <v>2.1</v>
      </c>
      <c r="R461" s="205">
        <v>2.23</v>
      </c>
    </row>
    <row r="462" spans="2:18" x14ac:dyDescent="0.25">
      <c r="B462" s="199">
        <v>45026</v>
      </c>
      <c r="C462" s="3">
        <v>2</v>
      </c>
      <c r="D462" s="3" t="s">
        <v>182</v>
      </c>
      <c r="E462" s="233" t="s">
        <v>205</v>
      </c>
      <c r="F462" s="233" t="s">
        <v>1100</v>
      </c>
      <c r="G462" s="3">
        <v>347</v>
      </c>
      <c r="H462" s="3">
        <v>10000</v>
      </c>
      <c r="I462" s="3" t="s">
        <v>19</v>
      </c>
      <c r="J462" s="3" t="s">
        <v>1096</v>
      </c>
      <c r="K462" s="233" t="s">
        <v>734</v>
      </c>
      <c r="L462" s="3" t="s">
        <v>21</v>
      </c>
      <c r="M462" s="238">
        <v>0.625</v>
      </c>
      <c r="N462" s="238">
        <v>0.87847222222222221</v>
      </c>
      <c r="O462" s="196">
        <v>3227</v>
      </c>
      <c r="P462" s="233" t="s">
        <v>492</v>
      </c>
      <c r="Q462" s="3">
        <v>3.96</v>
      </c>
      <c r="R462" s="205">
        <v>4.0199999999999996</v>
      </c>
    </row>
    <row r="463" spans="2:18" x14ac:dyDescent="0.25">
      <c r="B463" s="199">
        <v>45026</v>
      </c>
      <c r="C463" s="3">
        <v>2</v>
      </c>
      <c r="D463" s="233" t="s">
        <v>182</v>
      </c>
      <c r="E463" s="233" t="s">
        <v>205</v>
      </c>
      <c r="F463" s="233" t="s">
        <v>1100</v>
      </c>
      <c r="G463" s="3">
        <v>348</v>
      </c>
      <c r="H463" s="3">
        <v>6672</v>
      </c>
      <c r="I463" s="3" t="s">
        <v>678</v>
      </c>
      <c r="J463" s="3" t="s">
        <v>1098</v>
      </c>
      <c r="K463" s="3" t="s">
        <v>734</v>
      </c>
      <c r="L463" s="3" t="s">
        <v>21</v>
      </c>
      <c r="M463" s="238">
        <v>0.87847222222222221</v>
      </c>
      <c r="N463" s="238">
        <v>0.95833333333333337</v>
      </c>
      <c r="O463" s="196">
        <v>823</v>
      </c>
      <c r="P463" s="233" t="s">
        <v>492</v>
      </c>
      <c r="Q463" s="3">
        <v>1.1000000000000001</v>
      </c>
      <c r="R463" s="205">
        <v>1.05</v>
      </c>
    </row>
    <row r="464" spans="2:18" x14ac:dyDescent="0.25">
      <c r="B464" s="199">
        <v>45026</v>
      </c>
      <c r="C464" s="3">
        <v>3</v>
      </c>
      <c r="D464" s="233" t="s">
        <v>1</v>
      </c>
      <c r="E464" s="233" t="s">
        <v>3</v>
      </c>
      <c r="F464" s="233" t="s">
        <v>11</v>
      </c>
      <c r="G464" s="3">
        <v>349</v>
      </c>
      <c r="H464" s="233">
        <v>6672</v>
      </c>
      <c r="I464" s="233" t="s">
        <v>678</v>
      </c>
      <c r="J464" s="233" t="s">
        <v>1098</v>
      </c>
      <c r="K464" s="233" t="s">
        <v>734</v>
      </c>
      <c r="L464" s="233" t="s">
        <v>21</v>
      </c>
      <c r="M464" s="238">
        <v>0.95833333333333337</v>
      </c>
      <c r="N464" s="238">
        <v>0.2638888888888889</v>
      </c>
      <c r="O464" s="196">
        <v>5330</v>
      </c>
      <c r="P464" s="233" t="s">
        <v>492</v>
      </c>
      <c r="Q464" s="3">
        <v>6.56</v>
      </c>
      <c r="R464" s="205">
        <v>7.11</v>
      </c>
    </row>
    <row r="465" spans="2:22" x14ac:dyDescent="0.25">
      <c r="B465" s="199">
        <v>45026</v>
      </c>
      <c r="C465" s="233">
        <v>3</v>
      </c>
      <c r="D465" s="233" t="s">
        <v>1</v>
      </c>
      <c r="E465" s="233" t="s">
        <v>3</v>
      </c>
      <c r="F465" s="233" t="s">
        <v>11</v>
      </c>
      <c r="G465" s="3">
        <v>350</v>
      </c>
      <c r="H465" s="3">
        <v>3000</v>
      </c>
      <c r="I465" s="3" t="s">
        <v>769</v>
      </c>
      <c r="J465" s="3" t="s">
        <v>1104</v>
      </c>
      <c r="K465" s="233" t="s">
        <v>734</v>
      </c>
      <c r="L465" s="233" t="s">
        <v>21</v>
      </c>
      <c r="M465" s="238">
        <v>0.2638888888888889</v>
      </c>
      <c r="N465" s="238">
        <v>0.29166666666666669</v>
      </c>
      <c r="O465" s="196">
        <v>234</v>
      </c>
      <c r="P465" s="233" t="s">
        <v>492</v>
      </c>
      <c r="Q465" s="3">
        <v>0.3</v>
      </c>
      <c r="R465" s="205">
        <v>0.33</v>
      </c>
    </row>
    <row r="466" spans="2:22" x14ac:dyDescent="0.25">
      <c r="B466" s="199">
        <v>45027</v>
      </c>
      <c r="C466" s="3">
        <v>1</v>
      </c>
      <c r="D466" s="233" t="s">
        <v>7</v>
      </c>
      <c r="E466" s="233" t="s">
        <v>7</v>
      </c>
      <c r="F466" s="3" t="s">
        <v>31</v>
      </c>
      <c r="G466" s="233">
        <v>350</v>
      </c>
      <c r="H466" s="233">
        <v>3000</v>
      </c>
      <c r="I466" s="233" t="s">
        <v>769</v>
      </c>
      <c r="J466" s="233" t="s">
        <v>1104</v>
      </c>
      <c r="K466" s="233" t="s">
        <v>734</v>
      </c>
      <c r="L466" s="233" t="s">
        <v>21</v>
      </c>
      <c r="M466" s="238">
        <v>0.29166666666666669</v>
      </c>
      <c r="N466" s="238">
        <v>0.40277777777777773</v>
      </c>
      <c r="O466" s="196">
        <v>1735</v>
      </c>
      <c r="P466" s="3" t="s">
        <v>492</v>
      </c>
      <c r="Q466" s="3">
        <v>2.58</v>
      </c>
      <c r="R466" s="205">
        <v>2.6</v>
      </c>
    </row>
    <row r="467" spans="2:22" x14ac:dyDescent="0.25">
      <c r="B467" s="199">
        <v>45027</v>
      </c>
      <c r="C467" s="233">
        <v>1</v>
      </c>
      <c r="D467" s="233" t="s">
        <v>7</v>
      </c>
      <c r="E467" s="233" t="s">
        <v>7</v>
      </c>
      <c r="F467" s="233" t="s">
        <v>31</v>
      </c>
      <c r="G467" s="233">
        <v>350</v>
      </c>
      <c r="H467" s="233">
        <v>3000</v>
      </c>
      <c r="I467" s="233" t="s">
        <v>769</v>
      </c>
      <c r="J467" s="233" t="s">
        <v>1104</v>
      </c>
      <c r="K467" s="233" t="s">
        <v>734</v>
      </c>
      <c r="L467" s="233" t="s">
        <v>24</v>
      </c>
      <c r="M467" s="238">
        <v>0.40277777777777773</v>
      </c>
      <c r="N467" s="238">
        <v>0.625</v>
      </c>
      <c r="O467" s="196">
        <v>2438</v>
      </c>
      <c r="P467" s="3" t="s">
        <v>492</v>
      </c>
      <c r="Q467" s="3">
        <f>6.18-Q466</f>
        <v>3.5999999999999996</v>
      </c>
      <c r="R467" s="205">
        <f>6.25-R466</f>
        <v>3.65</v>
      </c>
    </row>
    <row r="468" spans="2:22" x14ac:dyDescent="0.25">
      <c r="B468" s="199">
        <v>45027</v>
      </c>
      <c r="C468" s="3">
        <v>2</v>
      </c>
      <c r="D468" s="233" t="s">
        <v>182</v>
      </c>
      <c r="E468" s="233" t="s">
        <v>188</v>
      </c>
      <c r="F468" s="3" t="s">
        <v>47</v>
      </c>
      <c r="G468" s="3">
        <v>351</v>
      </c>
      <c r="H468" s="233">
        <v>3000</v>
      </c>
      <c r="I468" s="233" t="s">
        <v>769</v>
      </c>
      <c r="J468" s="233" t="s">
        <v>1104</v>
      </c>
      <c r="K468" s="233" t="s">
        <v>734</v>
      </c>
      <c r="L468" s="233" t="s">
        <v>24</v>
      </c>
      <c r="M468" s="238">
        <v>0.625</v>
      </c>
      <c r="N468" s="238">
        <v>0.66666666666666663</v>
      </c>
      <c r="O468" s="196">
        <v>718</v>
      </c>
      <c r="P468" s="3" t="s">
        <v>492</v>
      </c>
      <c r="Q468" s="3">
        <v>1.01</v>
      </c>
      <c r="R468" s="205">
        <v>0.91</v>
      </c>
    </row>
    <row r="469" spans="2:22" x14ac:dyDescent="0.25">
      <c r="B469" s="199">
        <v>45027</v>
      </c>
      <c r="C469" s="3">
        <v>2</v>
      </c>
      <c r="D469" s="3" t="s">
        <v>182</v>
      </c>
      <c r="E469" s="3" t="s">
        <v>188</v>
      </c>
      <c r="F469" s="3" t="s">
        <v>17</v>
      </c>
      <c r="G469" s="233">
        <v>352</v>
      </c>
      <c r="H469" s="233">
        <v>4700</v>
      </c>
      <c r="I469" s="233" t="s">
        <v>707</v>
      </c>
      <c r="J469" s="233" t="s">
        <v>1106</v>
      </c>
      <c r="K469" s="233" t="s">
        <v>734</v>
      </c>
      <c r="L469" s="233" t="s">
        <v>24</v>
      </c>
      <c r="M469" s="238">
        <v>0.66666666666666663</v>
      </c>
      <c r="N469" s="238">
        <v>0.95833333333333337</v>
      </c>
      <c r="O469" s="196">
        <v>3641</v>
      </c>
      <c r="P469" s="233" t="s">
        <v>492</v>
      </c>
      <c r="Q469" s="3">
        <v>4.29</v>
      </c>
      <c r="R469" s="205">
        <v>4.78</v>
      </c>
    </row>
    <row r="470" spans="2:22" x14ac:dyDescent="0.25">
      <c r="B470" s="199">
        <v>45027</v>
      </c>
      <c r="C470" s="233">
        <v>3</v>
      </c>
      <c r="D470" s="233" t="s">
        <v>1</v>
      </c>
      <c r="E470" s="233" t="s">
        <v>3</v>
      </c>
      <c r="F470" s="3" t="s">
        <v>39</v>
      </c>
      <c r="G470" s="3">
        <v>353</v>
      </c>
      <c r="H470" s="233">
        <v>4700</v>
      </c>
      <c r="I470" s="233" t="s">
        <v>707</v>
      </c>
      <c r="J470" s="233" t="s">
        <v>1106</v>
      </c>
      <c r="K470" s="233" t="s">
        <v>734</v>
      </c>
      <c r="L470" s="233" t="s">
        <v>24</v>
      </c>
      <c r="M470" s="238">
        <v>0.95833333333333337</v>
      </c>
      <c r="N470" s="238">
        <v>4.1666666666666664E-2</v>
      </c>
      <c r="O470" s="196">
        <v>1460</v>
      </c>
      <c r="P470" s="233" t="s">
        <v>492</v>
      </c>
      <c r="Q470" s="3">
        <v>1.74</v>
      </c>
      <c r="R470" s="205">
        <v>1.78</v>
      </c>
    </row>
    <row r="471" spans="2:22" x14ac:dyDescent="0.25">
      <c r="B471" s="199">
        <v>45027</v>
      </c>
      <c r="C471" s="233">
        <v>3</v>
      </c>
      <c r="D471" s="233" t="s">
        <v>1</v>
      </c>
      <c r="E471" s="233" t="s">
        <v>3</v>
      </c>
      <c r="F471" s="233" t="s">
        <v>39</v>
      </c>
      <c r="G471" s="3">
        <v>354</v>
      </c>
      <c r="H471" s="3">
        <v>5600</v>
      </c>
      <c r="I471" s="3" t="s">
        <v>769</v>
      </c>
      <c r="J471" s="3" t="s">
        <v>1086</v>
      </c>
      <c r="K471" s="233" t="s">
        <v>734</v>
      </c>
      <c r="L471" s="233" t="s">
        <v>24</v>
      </c>
      <c r="M471" s="238">
        <v>4.1666666666666664E-2</v>
      </c>
      <c r="N471" s="238">
        <v>0.29166666666666669</v>
      </c>
      <c r="O471" s="196">
        <v>3790</v>
      </c>
      <c r="P471" s="233" t="s">
        <v>492</v>
      </c>
      <c r="Q471" s="3">
        <v>5.05</v>
      </c>
      <c r="R471" s="205">
        <v>5.44</v>
      </c>
    </row>
    <row r="472" spans="2:22" x14ac:dyDescent="0.25">
      <c r="B472" s="199">
        <v>45028</v>
      </c>
      <c r="C472" s="3">
        <v>1</v>
      </c>
      <c r="D472" s="233" t="s">
        <v>7</v>
      </c>
      <c r="E472" s="233" t="s">
        <v>7</v>
      </c>
      <c r="G472" s="233">
        <v>355</v>
      </c>
      <c r="H472" s="233">
        <v>5600</v>
      </c>
      <c r="I472" s="233" t="s">
        <v>769</v>
      </c>
      <c r="J472" s="233" t="s">
        <v>1086</v>
      </c>
      <c r="K472" s="233" t="s">
        <v>734</v>
      </c>
      <c r="L472" s="233" t="s">
        <v>24</v>
      </c>
      <c r="M472" s="238">
        <v>0.29166666666666669</v>
      </c>
      <c r="N472" s="238">
        <v>0.625</v>
      </c>
      <c r="O472" s="196">
        <v>4139</v>
      </c>
      <c r="P472" s="233" t="s">
        <v>492</v>
      </c>
      <c r="Q472" s="3">
        <v>5.3</v>
      </c>
      <c r="R472" s="205">
        <v>5.69</v>
      </c>
    </row>
    <row r="473" spans="2:22" x14ac:dyDescent="0.25">
      <c r="B473" s="199">
        <v>45028</v>
      </c>
      <c r="C473" s="3">
        <v>2</v>
      </c>
      <c r="D473" s="3" t="s">
        <v>182</v>
      </c>
      <c r="E473" s="233" t="s">
        <v>205</v>
      </c>
      <c r="F473" s="233" t="s">
        <v>1100</v>
      </c>
      <c r="G473" s="3">
        <v>356</v>
      </c>
      <c r="H473" s="3">
        <v>4700</v>
      </c>
      <c r="I473" s="3" t="s">
        <v>678</v>
      </c>
      <c r="J473" s="3" t="s">
        <v>1109</v>
      </c>
      <c r="K473" s="3" t="s">
        <v>734</v>
      </c>
      <c r="L473" s="3" t="s">
        <v>24</v>
      </c>
      <c r="M473" s="238">
        <v>0.625</v>
      </c>
      <c r="N473" s="238">
        <v>0.95833333333333337</v>
      </c>
      <c r="O473" s="196">
        <v>4419</v>
      </c>
      <c r="P473" s="233" t="s">
        <v>492</v>
      </c>
      <c r="Q473" s="3">
        <v>5.01</v>
      </c>
      <c r="R473" s="205">
        <v>5.53</v>
      </c>
    </row>
    <row r="474" spans="2:22" x14ac:dyDescent="0.25">
      <c r="B474" s="199">
        <v>45028</v>
      </c>
      <c r="C474" s="233">
        <v>3</v>
      </c>
      <c r="D474" s="233" t="s">
        <v>1</v>
      </c>
      <c r="E474" s="233" t="s">
        <v>3</v>
      </c>
      <c r="F474" s="233" t="s">
        <v>39</v>
      </c>
      <c r="G474" s="3">
        <v>357</v>
      </c>
      <c r="H474" s="3">
        <v>7000</v>
      </c>
      <c r="I474" s="3" t="s">
        <v>1111</v>
      </c>
      <c r="J474" s="3" t="s">
        <v>908</v>
      </c>
      <c r="K474" s="3" t="s">
        <v>734</v>
      </c>
      <c r="L474" s="3" t="s">
        <v>24</v>
      </c>
      <c r="M474" s="238">
        <v>0.95833333333333337</v>
      </c>
      <c r="N474" s="238">
        <v>0.29166666666666669</v>
      </c>
      <c r="O474" s="196">
        <v>5271</v>
      </c>
      <c r="P474" s="233" t="s">
        <v>492</v>
      </c>
      <c r="Q474" s="3">
        <v>7.24</v>
      </c>
      <c r="R474" s="205">
        <v>7.26</v>
      </c>
    </row>
    <row r="475" spans="2:22" x14ac:dyDescent="0.25">
      <c r="B475" s="199">
        <v>45029</v>
      </c>
      <c r="C475" s="3">
        <v>1</v>
      </c>
      <c r="D475" s="3" t="s">
        <v>7</v>
      </c>
      <c r="E475" s="3" t="s">
        <v>190</v>
      </c>
      <c r="F475" s="3" t="s">
        <v>31</v>
      </c>
      <c r="G475" s="233">
        <v>358</v>
      </c>
      <c r="H475" s="233">
        <v>7000</v>
      </c>
      <c r="I475" s="233" t="s">
        <v>1111</v>
      </c>
      <c r="J475" s="233" t="s">
        <v>908</v>
      </c>
      <c r="K475" s="233" t="s">
        <v>734</v>
      </c>
      <c r="L475" s="233" t="s">
        <v>24</v>
      </c>
      <c r="M475" s="238">
        <v>0.29166666666666669</v>
      </c>
      <c r="N475" s="238">
        <v>0.40972222222222227</v>
      </c>
      <c r="O475" s="196">
        <v>1022</v>
      </c>
      <c r="P475" s="233" t="s">
        <v>492</v>
      </c>
      <c r="Q475" s="3">
        <v>1.67</v>
      </c>
      <c r="R475" s="205">
        <v>1.6</v>
      </c>
    </row>
    <row r="476" spans="2:22" x14ac:dyDescent="0.25">
      <c r="B476" s="199">
        <v>45029</v>
      </c>
      <c r="C476" s="233">
        <v>1</v>
      </c>
      <c r="D476" s="233" t="s">
        <v>7</v>
      </c>
      <c r="E476" s="233" t="s">
        <v>190</v>
      </c>
      <c r="F476" s="233" t="s">
        <v>1114</v>
      </c>
      <c r="G476" s="233">
        <v>359</v>
      </c>
      <c r="H476" s="233">
        <v>7000</v>
      </c>
      <c r="I476" s="233" t="s">
        <v>1113</v>
      </c>
      <c r="J476" s="233" t="s">
        <v>908</v>
      </c>
      <c r="K476" s="233" t="s">
        <v>734</v>
      </c>
      <c r="L476" s="233" t="s">
        <v>696</v>
      </c>
      <c r="M476" s="238">
        <v>0.40972222222222227</v>
      </c>
      <c r="N476" s="238">
        <v>0.55208333333333337</v>
      </c>
      <c r="O476" s="196">
        <v>348</v>
      </c>
      <c r="P476" s="233" t="s">
        <v>492</v>
      </c>
      <c r="Q476" s="3">
        <f>2.09-1.67</f>
        <v>0.41999999999999993</v>
      </c>
      <c r="R476" s="205">
        <f>1.98-1.6</f>
        <v>0.37999999999999989</v>
      </c>
    </row>
    <row r="477" spans="2:22" x14ac:dyDescent="0.25">
      <c r="B477" s="199">
        <v>45029</v>
      </c>
      <c r="C477" s="233">
        <v>1</v>
      </c>
      <c r="D477" s="233" t="s">
        <v>7</v>
      </c>
      <c r="E477" s="233" t="s">
        <v>190</v>
      </c>
      <c r="F477" s="233" t="s">
        <v>695</v>
      </c>
      <c r="G477" s="233">
        <v>359</v>
      </c>
      <c r="H477" s="233">
        <v>7000</v>
      </c>
      <c r="I477" s="233" t="s">
        <v>1113</v>
      </c>
      <c r="J477" s="233" t="s">
        <v>908</v>
      </c>
      <c r="K477" s="233" t="s">
        <v>734</v>
      </c>
      <c r="L477" s="3" t="s">
        <v>32</v>
      </c>
      <c r="M477" s="238">
        <v>0.55208333333333337</v>
      </c>
      <c r="N477" s="238">
        <v>0.625</v>
      </c>
      <c r="O477" s="196">
        <v>907</v>
      </c>
      <c r="P477" s="233" t="s">
        <v>492</v>
      </c>
      <c r="Q477" s="3">
        <v>1.34</v>
      </c>
      <c r="R477" s="205">
        <v>1.27</v>
      </c>
    </row>
    <row r="478" spans="2:22" x14ac:dyDescent="0.25">
      <c r="B478" s="199">
        <v>45029</v>
      </c>
      <c r="C478" s="3">
        <v>2</v>
      </c>
      <c r="D478" s="3" t="s">
        <v>182</v>
      </c>
      <c r="E478" s="233" t="s">
        <v>205</v>
      </c>
      <c r="F478" s="3" t="s">
        <v>1115</v>
      </c>
      <c r="G478" s="3">
        <v>359</v>
      </c>
      <c r="H478" s="3">
        <v>7000</v>
      </c>
      <c r="I478" s="233" t="s">
        <v>1113</v>
      </c>
      <c r="J478" s="233" t="s">
        <v>908</v>
      </c>
      <c r="K478" s="233" t="s">
        <v>734</v>
      </c>
      <c r="L478" s="233" t="s">
        <v>32</v>
      </c>
      <c r="M478" s="238">
        <v>0.625</v>
      </c>
      <c r="N478" s="238">
        <v>0.82291666666666663</v>
      </c>
      <c r="O478" s="196">
        <v>2428</v>
      </c>
      <c r="P478" s="233" t="s">
        <v>492</v>
      </c>
      <c r="Q478" s="3">
        <v>2.85</v>
      </c>
      <c r="R478" s="205">
        <v>3.47</v>
      </c>
    </row>
    <row r="479" spans="2:22" x14ac:dyDescent="0.25">
      <c r="B479" s="199">
        <v>45029</v>
      </c>
      <c r="C479" s="233">
        <v>2</v>
      </c>
      <c r="D479" s="233" t="s">
        <v>182</v>
      </c>
      <c r="E479" s="233" t="s">
        <v>205</v>
      </c>
      <c r="G479" s="3">
        <v>360</v>
      </c>
      <c r="H479" s="3" t="s">
        <v>848</v>
      </c>
      <c r="I479" s="3" t="s">
        <v>1117</v>
      </c>
      <c r="J479" s="3" t="s">
        <v>848</v>
      </c>
      <c r="K479" s="3" t="s">
        <v>733</v>
      </c>
      <c r="L479" s="3" t="s">
        <v>32</v>
      </c>
      <c r="M479" s="238">
        <v>0.82291666666666663</v>
      </c>
      <c r="N479" s="238">
        <v>0.95833333333333337</v>
      </c>
      <c r="O479" s="196">
        <v>879</v>
      </c>
      <c r="P479" s="233" t="s">
        <v>492</v>
      </c>
      <c r="Q479" s="3">
        <v>1.66</v>
      </c>
      <c r="R479" s="205">
        <v>1.6</v>
      </c>
    </row>
    <row r="480" spans="2:22" s="196" customFormat="1" x14ac:dyDescent="0.25">
      <c r="B480" s="199">
        <v>45029</v>
      </c>
      <c r="C480" s="196">
        <v>3</v>
      </c>
      <c r="D480" s="196" t="s">
        <v>1</v>
      </c>
      <c r="E480" s="196" t="s">
        <v>3</v>
      </c>
      <c r="F480" s="196" t="s">
        <v>39</v>
      </c>
      <c r="G480" s="196">
        <v>361</v>
      </c>
      <c r="H480" s="196">
        <v>7000</v>
      </c>
      <c r="I480" s="196" t="s">
        <v>1113</v>
      </c>
      <c r="J480" s="196" t="s">
        <v>908</v>
      </c>
      <c r="K480" s="196" t="s">
        <v>734</v>
      </c>
      <c r="L480" s="196" t="s">
        <v>32</v>
      </c>
      <c r="M480" s="277">
        <v>0.95833333333333337</v>
      </c>
      <c r="N480" s="277">
        <v>0.23958333333333334</v>
      </c>
      <c r="O480" s="196">
        <v>4020</v>
      </c>
      <c r="P480" s="196" t="s">
        <v>492</v>
      </c>
      <c r="Q480" s="196">
        <v>6.05</v>
      </c>
      <c r="R480" s="278">
        <v>6.5</v>
      </c>
      <c r="S480" s="198"/>
      <c r="T480" s="198"/>
      <c r="U480" s="198"/>
      <c r="V480" s="198"/>
    </row>
    <row r="481" spans="2:22" x14ac:dyDescent="0.25">
      <c r="B481" s="199">
        <v>45029</v>
      </c>
      <c r="C481" s="233">
        <v>3</v>
      </c>
      <c r="D481" s="233" t="s">
        <v>1</v>
      </c>
      <c r="E481" s="233" t="s">
        <v>3</v>
      </c>
      <c r="F481" s="233" t="s">
        <v>39</v>
      </c>
      <c r="G481" s="233">
        <v>362</v>
      </c>
      <c r="H481" s="233">
        <v>5000</v>
      </c>
      <c r="I481" s="233" t="s">
        <v>769</v>
      </c>
      <c r="J481" s="3" t="s">
        <v>851</v>
      </c>
      <c r="K481" s="233" t="s">
        <v>734</v>
      </c>
      <c r="L481" s="233" t="s">
        <v>32</v>
      </c>
      <c r="M481" s="238">
        <v>0.23958333333333334</v>
      </c>
      <c r="N481" s="238">
        <v>0.29166666666666669</v>
      </c>
      <c r="O481" s="196">
        <v>582</v>
      </c>
      <c r="P481" s="233" t="s">
        <v>492</v>
      </c>
      <c r="Q481" s="3">
        <v>0.71</v>
      </c>
      <c r="R481" s="205">
        <v>1.1100000000000001</v>
      </c>
    </row>
    <row r="482" spans="2:22" x14ac:dyDescent="0.25">
      <c r="B482" s="199">
        <v>45030</v>
      </c>
      <c r="C482" s="3">
        <v>1</v>
      </c>
      <c r="D482" s="3" t="s">
        <v>7</v>
      </c>
      <c r="E482" s="233"/>
      <c r="G482" s="233"/>
      <c r="H482" s="233"/>
      <c r="I482" s="233"/>
      <c r="J482" s="233"/>
      <c r="K482" s="233"/>
      <c r="L482" s="233"/>
      <c r="M482" s="238">
        <v>0.29166666666666669</v>
      </c>
      <c r="N482" s="238">
        <v>0.625</v>
      </c>
      <c r="O482" s="196">
        <v>0</v>
      </c>
      <c r="P482" s="233" t="s">
        <v>492</v>
      </c>
      <c r="Q482" s="3">
        <v>0</v>
      </c>
      <c r="R482" s="205">
        <v>0</v>
      </c>
    </row>
    <row r="483" spans="2:22" s="196" customFormat="1" x14ac:dyDescent="0.25">
      <c r="B483" s="199">
        <v>45030</v>
      </c>
      <c r="C483" s="196">
        <v>2</v>
      </c>
      <c r="D483" s="196" t="s">
        <v>182</v>
      </c>
      <c r="E483" s="196" t="s">
        <v>188</v>
      </c>
      <c r="F483" s="196" t="s">
        <v>47</v>
      </c>
      <c r="G483" s="196">
        <v>363</v>
      </c>
      <c r="H483" s="196">
        <v>5000</v>
      </c>
      <c r="I483" s="196" t="s">
        <v>769</v>
      </c>
      <c r="J483" s="196" t="s">
        <v>851</v>
      </c>
      <c r="K483" s="196" t="s">
        <v>734</v>
      </c>
      <c r="L483" s="196" t="s">
        <v>32</v>
      </c>
      <c r="M483" s="277">
        <v>0.625</v>
      </c>
      <c r="N483" s="277">
        <v>0.95833333333333337</v>
      </c>
      <c r="O483" s="196">
        <v>2682</v>
      </c>
      <c r="P483" s="196" t="s">
        <v>492</v>
      </c>
      <c r="Q483" s="196">
        <v>3.8</v>
      </c>
      <c r="R483" s="278">
        <v>4.46</v>
      </c>
      <c r="S483" s="198"/>
      <c r="T483" s="198"/>
      <c r="U483" s="198"/>
      <c r="V483" s="198"/>
    </row>
    <row r="484" spans="2:22" s="196" customFormat="1" x14ac:dyDescent="0.25">
      <c r="B484" s="199">
        <v>45030</v>
      </c>
      <c r="C484" s="196">
        <v>3</v>
      </c>
      <c r="D484" s="196" t="s">
        <v>1</v>
      </c>
      <c r="E484" s="196" t="s">
        <v>3</v>
      </c>
      <c r="F484" s="196" t="s">
        <v>11</v>
      </c>
      <c r="G484" s="196">
        <v>364</v>
      </c>
      <c r="H484" s="196">
        <v>5000</v>
      </c>
      <c r="I484" s="196" t="s">
        <v>769</v>
      </c>
      <c r="J484" s="196" t="s">
        <v>851</v>
      </c>
      <c r="K484" s="196" t="s">
        <v>734</v>
      </c>
      <c r="L484" s="196" t="s">
        <v>32</v>
      </c>
      <c r="M484" s="277">
        <v>0.95833333333333337</v>
      </c>
      <c r="N484" s="277">
        <v>2.4305555555555556E-2</v>
      </c>
      <c r="O484" s="196">
        <v>1080</v>
      </c>
      <c r="P484" s="196" t="s">
        <v>492</v>
      </c>
      <c r="Q484" s="196">
        <v>1.61</v>
      </c>
      <c r="R484" s="278">
        <v>1.55</v>
      </c>
      <c r="S484" s="198"/>
      <c r="T484" s="198"/>
      <c r="U484" s="198"/>
      <c r="V484" s="198"/>
    </row>
    <row r="485" spans="2:22" x14ac:dyDescent="0.25">
      <c r="B485" s="199">
        <v>45030</v>
      </c>
      <c r="C485" s="233">
        <v>3</v>
      </c>
      <c r="D485" s="233" t="s">
        <v>1</v>
      </c>
      <c r="E485" s="233" t="s">
        <v>3</v>
      </c>
      <c r="F485" s="233" t="s">
        <v>11</v>
      </c>
      <c r="G485" s="3">
        <v>365</v>
      </c>
      <c r="H485" s="3">
        <v>9000</v>
      </c>
      <c r="I485" s="3" t="s">
        <v>988</v>
      </c>
      <c r="J485" s="3" t="s">
        <v>1124</v>
      </c>
      <c r="K485" s="233" t="s">
        <v>734</v>
      </c>
      <c r="L485" s="233" t="s">
        <v>32</v>
      </c>
      <c r="M485" s="238">
        <v>2.4305555555555556E-2</v>
      </c>
      <c r="N485" s="238">
        <v>0.29166666666666669</v>
      </c>
      <c r="O485" s="196">
        <v>4057</v>
      </c>
      <c r="P485" s="233" t="s">
        <v>492</v>
      </c>
      <c r="Q485" s="3">
        <v>5.43</v>
      </c>
      <c r="R485" s="205">
        <f>7.29-1.55</f>
        <v>5.74</v>
      </c>
    </row>
    <row r="486" spans="2:22" x14ac:dyDescent="0.25">
      <c r="B486" s="199">
        <v>45031</v>
      </c>
      <c r="C486" s="3">
        <v>1</v>
      </c>
      <c r="D486" s="3" t="s">
        <v>459</v>
      </c>
      <c r="E486" s="3" t="s">
        <v>362</v>
      </c>
      <c r="F486" s="3" t="s">
        <v>1123</v>
      </c>
      <c r="G486" s="3">
        <v>366</v>
      </c>
      <c r="H486" s="233">
        <v>9000</v>
      </c>
      <c r="I486" s="233" t="s">
        <v>988</v>
      </c>
      <c r="J486" s="233" t="s">
        <v>1124</v>
      </c>
      <c r="K486" s="233" t="s">
        <v>734</v>
      </c>
      <c r="L486" s="233" t="s">
        <v>32</v>
      </c>
      <c r="M486" s="238">
        <v>0.29166666666666669</v>
      </c>
      <c r="N486" s="238">
        <v>0.625</v>
      </c>
      <c r="O486" s="196">
        <v>4870</v>
      </c>
      <c r="P486" s="233" t="s">
        <v>492</v>
      </c>
      <c r="Q486" s="3">
        <v>6.77</v>
      </c>
      <c r="R486" s="205">
        <v>6.69</v>
      </c>
    </row>
    <row r="487" spans="2:22" s="196" customFormat="1" x14ac:dyDescent="0.25">
      <c r="B487" s="199">
        <v>45031</v>
      </c>
      <c r="C487" s="196">
        <v>2</v>
      </c>
      <c r="D487" s="196" t="s">
        <v>182</v>
      </c>
      <c r="E487" s="196" t="s">
        <v>188</v>
      </c>
      <c r="F487" s="196" t="s">
        <v>1125</v>
      </c>
      <c r="G487" s="196">
        <v>367</v>
      </c>
      <c r="H487" s="196">
        <v>10365</v>
      </c>
      <c r="I487" s="196" t="s">
        <v>1127</v>
      </c>
      <c r="J487" s="196" t="s">
        <v>1126</v>
      </c>
      <c r="K487" s="196" t="s">
        <v>734</v>
      </c>
      <c r="L487" s="196" t="s">
        <v>32</v>
      </c>
      <c r="M487" s="277">
        <v>0.625</v>
      </c>
      <c r="N487" s="277">
        <v>0.95833333333333337</v>
      </c>
      <c r="O487" s="196">
        <v>2742</v>
      </c>
      <c r="P487" s="196" t="s">
        <v>492</v>
      </c>
      <c r="Q487" s="196">
        <v>4.1900000000000004</v>
      </c>
      <c r="R487" s="278">
        <v>4.07</v>
      </c>
      <c r="S487" s="198"/>
      <c r="T487" s="198"/>
      <c r="U487" s="198"/>
      <c r="V487" s="198"/>
    </row>
    <row r="488" spans="2:22" x14ac:dyDescent="0.25">
      <c r="B488" s="199">
        <v>45031</v>
      </c>
      <c r="C488" s="233">
        <v>3</v>
      </c>
      <c r="D488" s="233" t="s">
        <v>1</v>
      </c>
      <c r="E488" s="233" t="s">
        <v>3</v>
      </c>
      <c r="F488" s="233" t="s">
        <v>11</v>
      </c>
      <c r="G488" s="3">
        <v>368</v>
      </c>
      <c r="H488" s="233">
        <v>10365</v>
      </c>
      <c r="I488" s="233" t="s">
        <v>1127</v>
      </c>
      <c r="J488" s="233" t="s">
        <v>1126</v>
      </c>
      <c r="K488" s="233" t="s">
        <v>734</v>
      </c>
      <c r="L488" s="233" t="s">
        <v>32</v>
      </c>
      <c r="M488" s="238">
        <v>0.95833333333333337</v>
      </c>
      <c r="N488" s="238">
        <v>0.29166666666666669</v>
      </c>
      <c r="O488" s="196">
        <v>4476</v>
      </c>
      <c r="P488" s="233" t="s">
        <v>492</v>
      </c>
      <c r="Q488" s="3">
        <v>5.93</v>
      </c>
      <c r="R488" s="205">
        <v>6.5</v>
      </c>
    </row>
    <row r="489" spans="2:22" x14ac:dyDescent="0.25">
      <c r="B489" s="199">
        <v>45032</v>
      </c>
      <c r="C489" s="3">
        <v>1</v>
      </c>
      <c r="D489" s="3" t="s">
        <v>459</v>
      </c>
      <c r="E489" s="3" t="s">
        <v>362</v>
      </c>
      <c r="G489" s="3">
        <v>369</v>
      </c>
      <c r="H489" s="3">
        <v>10365</v>
      </c>
      <c r="I489" s="233" t="s">
        <v>1127</v>
      </c>
      <c r="J489" s="233" t="s">
        <v>1126</v>
      </c>
      <c r="K489" s="233" t="s">
        <v>734</v>
      </c>
      <c r="L489" s="233" t="s">
        <v>32</v>
      </c>
      <c r="M489" s="238">
        <v>0.29166666666666669</v>
      </c>
      <c r="N489" s="238">
        <v>0.53055555555555556</v>
      </c>
      <c r="O489" s="196">
        <v>3147</v>
      </c>
      <c r="P489" s="233" t="s">
        <v>492</v>
      </c>
      <c r="Q489" s="3">
        <v>4.4400000000000004</v>
      </c>
      <c r="R489" s="205">
        <v>4.84</v>
      </c>
    </row>
    <row r="490" spans="2:22" x14ac:dyDescent="0.25">
      <c r="B490" s="199">
        <v>45032</v>
      </c>
      <c r="C490" s="233">
        <v>1</v>
      </c>
      <c r="D490" s="233" t="s">
        <v>459</v>
      </c>
      <c r="E490" s="233" t="s">
        <v>362</v>
      </c>
      <c r="G490" s="3">
        <v>370</v>
      </c>
      <c r="H490" s="3">
        <v>21630</v>
      </c>
      <c r="I490" s="233" t="s">
        <v>988</v>
      </c>
      <c r="J490" s="3" t="s">
        <v>1086</v>
      </c>
      <c r="K490" s="233" t="s">
        <v>734</v>
      </c>
      <c r="L490" s="233" t="s">
        <v>32</v>
      </c>
      <c r="M490" s="238">
        <v>0.53055555555555556</v>
      </c>
      <c r="N490" s="238">
        <v>0.625</v>
      </c>
      <c r="O490" s="196">
        <v>824</v>
      </c>
      <c r="P490" s="3" t="s">
        <v>492</v>
      </c>
      <c r="Q490" s="3">
        <v>1.42</v>
      </c>
      <c r="R490" s="205">
        <v>1.44</v>
      </c>
    </row>
    <row r="491" spans="2:22" x14ac:dyDescent="0.25">
      <c r="B491" s="199">
        <v>45032</v>
      </c>
      <c r="C491" s="3">
        <v>2</v>
      </c>
      <c r="D491" s="3" t="s">
        <v>182</v>
      </c>
      <c r="E491" s="3" t="s">
        <v>188</v>
      </c>
      <c r="G491" s="233">
        <v>371</v>
      </c>
      <c r="H491" s="233" t="s">
        <v>29</v>
      </c>
      <c r="I491" s="233" t="s">
        <v>988</v>
      </c>
      <c r="J491" s="233" t="s">
        <v>848</v>
      </c>
      <c r="K491" s="233" t="s">
        <v>734</v>
      </c>
      <c r="L491" s="233" t="s">
        <v>32</v>
      </c>
      <c r="M491" s="238">
        <v>0.625</v>
      </c>
      <c r="N491" s="238">
        <v>0.95833333333333337</v>
      </c>
      <c r="O491" s="196">
        <v>1701</v>
      </c>
      <c r="P491" s="3" t="s">
        <v>492</v>
      </c>
      <c r="Q491" s="3">
        <v>4.3899999999999997</v>
      </c>
      <c r="R491" s="205">
        <v>4.3499999999999996</v>
      </c>
    </row>
    <row r="492" spans="2:22" x14ac:dyDescent="0.25">
      <c r="B492" s="199">
        <v>45032</v>
      </c>
      <c r="C492" s="233">
        <v>3</v>
      </c>
      <c r="D492" s="233" t="s">
        <v>1</v>
      </c>
      <c r="E492" s="233" t="s">
        <v>3</v>
      </c>
      <c r="F492" s="3" t="s">
        <v>1131</v>
      </c>
      <c r="G492" s="3">
        <v>372</v>
      </c>
      <c r="H492" s="233">
        <v>21630</v>
      </c>
      <c r="I492" s="233" t="s">
        <v>988</v>
      </c>
      <c r="J492" s="233" t="s">
        <v>1086</v>
      </c>
      <c r="K492" s="233" t="s">
        <v>734</v>
      </c>
      <c r="L492" s="233" t="s">
        <v>32</v>
      </c>
      <c r="M492" s="238">
        <v>0.95833333333333337</v>
      </c>
      <c r="N492" s="238">
        <v>0.29166666666666669</v>
      </c>
      <c r="O492" s="196">
        <v>4602</v>
      </c>
      <c r="P492" s="3" t="s">
        <v>492</v>
      </c>
      <c r="Q492" s="3">
        <v>7.15</v>
      </c>
      <c r="R492" s="205">
        <v>7.43</v>
      </c>
    </row>
    <row r="493" spans="2:22" x14ac:dyDescent="0.25">
      <c r="B493" s="199">
        <v>45033</v>
      </c>
      <c r="C493" s="233">
        <v>1</v>
      </c>
      <c r="D493" s="233"/>
      <c r="E493" s="233"/>
      <c r="F493" s="233"/>
      <c r="G493" s="233"/>
      <c r="H493" s="233"/>
      <c r="I493" s="233"/>
      <c r="J493" s="233"/>
      <c r="K493" s="233"/>
      <c r="L493" s="233"/>
      <c r="M493" s="238">
        <v>0.29166666666666669</v>
      </c>
      <c r="N493" s="238">
        <v>0.625</v>
      </c>
      <c r="O493" s="196">
        <v>0</v>
      </c>
      <c r="P493" s="233" t="s">
        <v>492</v>
      </c>
      <c r="Q493" s="3">
        <v>0</v>
      </c>
      <c r="R493" s="205">
        <v>0</v>
      </c>
      <c r="U493" s="168">
        <f>6.28-4.84</f>
        <v>1.4400000000000004</v>
      </c>
    </row>
    <row r="494" spans="2:22" x14ac:dyDescent="0.25">
      <c r="B494" s="199">
        <v>45033</v>
      </c>
      <c r="C494" s="233">
        <v>2</v>
      </c>
      <c r="D494" s="233" t="s">
        <v>466</v>
      </c>
      <c r="E494" s="3" t="s">
        <v>3</v>
      </c>
      <c r="G494" s="3">
        <v>373</v>
      </c>
      <c r="H494" s="233">
        <v>4000</v>
      </c>
      <c r="I494" s="196" t="s">
        <v>769</v>
      </c>
      <c r="J494" s="233" t="s">
        <v>1134</v>
      </c>
      <c r="K494" s="233" t="s">
        <v>734</v>
      </c>
      <c r="L494" s="233" t="s">
        <v>32</v>
      </c>
      <c r="M494" s="238">
        <v>0.625</v>
      </c>
      <c r="N494" s="238">
        <v>0.95833333333333337</v>
      </c>
      <c r="O494" s="196">
        <v>18</v>
      </c>
      <c r="P494" s="233" t="s">
        <v>492</v>
      </c>
      <c r="Q494" s="3">
        <v>0.03</v>
      </c>
      <c r="R494" s="205">
        <v>0.47</v>
      </c>
    </row>
    <row r="495" spans="2:22" x14ac:dyDescent="0.25">
      <c r="B495" s="199">
        <v>45033</v>
      </c>
      <c r="C495" s="3">
        <v>3</v>
      </c>
      <c r="D495" s="3" t="s">
        <v>7</v>
      </c>
      <c r="E495" s="3" t="s">
        <v>190</v>
      </c>
      <c r="F495" s="3" t="s">
        <v>31</v>
      </c>
      <c r="G495" s="233">
        <v>373</v>
      </c>
      <c r="H495" s="233">
        <v>4000</v>
      </c>
      <c r="I495" s="196" t="s">
        <v>769</v>
      </c>
      <c r="J495" s="233" t="s">
        <v>1134</v>
      </c>
      <c r="K495" s="233" t="s">
        <v>734</v>
      </c>
      <c r="L495" s="233" t="s">
        <v>32</v>
      </c>
      <c r="M495" s="238">
        <v>0.95833333333333337</v>
      </c>
      <c r="N495" s="238">
        <v>0.22222222222222221</v>
      </c>
      <c r="O495" s="196">
        <v>3775</v>
      </c>
      <c r="P495" s="3" t="s">
        <v>492</v>
      </c>
      <c r="Q495" s="3">
        <v>5.43</v>
      </c>
      <c r="R495" s="205">
        <v>6.3</v>
      </c>
    </row>
    <row r="496" spans="2:22" x14ac:dyDescent="0.25">
      <c r="B496" s="199">
        <v>45033</v>
      </c>
      <c r="C496" s="233">
        <v>3</v>
      </c>
      <c r="D496" s="233" t="s">
        <v>7</v>
      </c>
      <c r="E496" s="233" t="s">
        <v>190</v>
      </c>
      <c r="F496" s="3" t="s">
        <v>51</v>
      </c>
      <c r="G496" s="3">
        <v>374</v>
      </c>
      <c r="I496" s="3" t="s">
        <v>1137</v>
      </c>
      <c r="J496" s="233" t="s">
        <v>1136</v>
      </c>
      <c r="K496" s="233" t="s">
        <v>734</v>
      </c>
      <c r="L496" s="233" t="s">
        <v>32</v>
      </c>
      <c r="M496" s="238">
        <v>0.22222222222222221</v>
      </c>
      <c r="N496" s="238">
        <v>0.29166666666666669</v>
      </c>
      <c r="O496" s="196">
        <f>4381-3775</f>
        <v>606</v>
      </c>
      <c r="P496" s="3" t="s">
        <v>492</v>
      </c>
      <c r="Q496" s="3">
        <f>6.52-Q495</f>
        <v>1.0899999999999999</v>
      </c>
      <c r="R496" s="205">
        <f>7.74-R495</f>
        <v>1.4400000000000004</v>
      </c>
    </row>
    <row r="497" spans="2:22" x14ac:dyDescent="0.25">
      <c r="B497" s="199">
        <v>45034</v>
      </c>
      <c r="C497" s="3">
        <v>1</v>
      </c>
      <c r="D497" s="3" t="s">
        <v>4</v>
      </c>
      <c r="E497" s="233" t="s">
        <v>205</v>
      </c>
      <c r="F497" s="3" t="s">
        <v>47</v>
      </c>
      <c r="G497" s="3">
        <v>375</v>
      </c>
      <c r="H497" s="3">
        <v>5000</v>
      </c>
      <c r="I497" s="3" t="s">
        <v>707</v>
      </c>
      <c r="J497" s="3" t="s">
        <v>1139</v>
      </c>
      <c r="K497" s="3" t="s">
        <v>734</v>
      </c>
      <c r="L497" s="3" t="s">
        <v>32</v>
      </c>
      <c r="M497" s="238">
        <v>0.29166666666666669</v>
      </c>
      <c r="N497" s="238">
        <v>0.625</v>
      </c>
      <c r="O497" s="196">
        <v>2711</v>
      </c>
      <c r="P497" s="233" t="s">
        <v>492</v>
      </c>
      <c r="Q497" s="3">
        <v>3.94</v>
      </c>
      <c r="R497" s="205">
        <v>4.0199999999999996</v>
      </c>
    </row>
    <row r="498" spans="2:22" x14ac:dyDescent="0.25">
      <c r="B498" s="199">
        <v>45034</v>
      </c>
      <c r="C498" s="3">
        <v>2</v>
      </c>
      <c r="D498" s="3" t="s">
        <v>466</v>
      </c>
      <c r="E498" s="3" t="s">
        <v>3</v>
      </c>
      <c r="F498" s="233" t="s">
        <v>11</v>
      </c>
      <c r="G498" s="233">
        <v>376</v>
      </c>
      <c r="H498" s="233">
        <v>5000</v>
      </c>
      <c r="I498" s="233" t="s">
        <v>707</v>
      </c>
      <c r="J498" s="233" t="s">
        <v>1139</v>
      </c>
      <c r="K498" s="233" t="s">
        <v>734</v>
      </c>
      <c r="L498" s="3" t="s">
        <v>34</v>
      </c>
      <c r="M498" s="238">
        <v>0.625</v>
      </c>
      <c r="N498" s="238">
        <v>0.76388888888888884</v>
      </c>
      <c r="O498" s="196">
        <v>1870</v>
      </c>
      <c r="P498" s="233" t="s">
        <v>492</v>
      </c>
      <c r="Q498" s="3">
        <v>3.11</v>
      </c>
      <c r="R498" s="205">
        <v>3.12</v>
      </c>
    </row>
    <row r="499" spans="2:22" x14ac:dyDescent="0.25">
      <c r="B499" s="199">
        <v>45034</v>
      </c>
      <c r="C499" s="233">
        <v>2</v>
      </c>
      <c r="D499" s="233" t="s">
        <v>466</v>
      </c>
      <c r="E499" s="233" t="s">
        <v>3</v>
      </c>
      <c r="F499" s="233" t="s">
        <v>11</v>
      </c>
      <c r="G499" s="233">
        <v>377</v>
      </c>
      <c r="H499" s="233">
        <v>2630</v>
      </c>
      <c r="I499" s="233" t="s">
        <v>769</v>
      </c>
      <c r="J499" s="233" t="s">
        <v>1086</v>
      </c>
      <c r="K499" s="233" t="s">
        <v>734</v>
      </c>
      <c r="L499" s="233" t="s">
        <v>34</v>
      </c>
      <c r="M499" s="238">
        <v>0.76388888888888884</v>
      </c>
      <c r="N499" s="238">
        <v>0.95833333333333337</v>
      </c>
      <c r="O499" s="196">
        <v>2255</v>
      </c>
      <c r="P499" s="233" t="s">
        <v>492</v>
      </c>
      <c r="Q499" s="3">
        <v>1.7</v>
      </c>
      <c r="R499" s="205">
        <v>2.38</v>
      </c>
    </row>
    <row r="500" spans="2:22" x14ac:dyDescent="0.25">
      <c r="B500" s="199">
        <v>45034</v>
      </c>
      <c r="C500" s="3">
        <v>3</v>
      </c>
      <c r="D500" s="233" t="s">
        <v>7</v>
      </c>
      <c r="E500" s="233" t="s">
        <v>362</v>
      </c>
      <c r="G500" s="3">
        <v>378</v>
      </c>
      <c r="H500" s="3">
        <v>5000</v>
      </c>
      <c r="I500" s="233" t="s">
        <v>769</v>
      </c>
      <c r="J500" s="233" t="s">
        <v>1086</v>
      </c>
      <c r="K500" s="233" t="s">
        <v>734</v>
      </c>
      <c r="L500" s="233" t="s">
        <v>34</v>
      </c>
      <c r="M500" s="238">
        <v>0.95833333333333337</v>
      </c>
      <c r="N500" s="238">
        <v>0.29166666666666669</v>
      </c>
      <c r="O500" s="196">
        <v>4800</v>
      </c>
      <c r="P500" s="3" t="s">
        <v>492</v>
      </c>
      <c r="Q500" s="3">
        <v>6.32</v>
      </c>
      <c r="R500" s="205">
        <v>6.6</v>
      </c>
    </row>
    <row r="501" spans="2:22" x14ac:dyDescent="0.25">
      <c r="B501" s="199">
        <v>45035</v>
      </c>
      <c r="C501" s="3">
        <v>1</v>
      </c>
      <c r="D501" s="233" t="s">
        <v>4</v>
      </c>
      <c r="E501" s="3" t="s">
        <v>188</v>
      </c>
      <c r="F501" s="3" t="s">
        <v>47</v>
      </c>
      <c r="G501" s="3">
        <v>379</v>
      </c>
      <c r="H501" s="3">
        <v>6000</v>
      </c>
      <c r="I501" s="233" t="s">
        <v>707</v>
      </c>
      <c r="J501" s="233" t="s">
        <v>1141</v>
      </c>
      <c r="K501" s="233" t="s">
        <v>734</v>
      </c>
      <c r="L501" s="233" t="s">
        <v>34</v>
      </c>
      <c r="M501" s="238">
        <v>0.29166666666666669</v>
      </c>
      <c r="N501" s="238">
        <v>0.625</v>
      </c>
      <c r="O501" s="196">
        <v>3686</v>
      </c>
      <c r="P501" s="3" t="s">
        <v>492</v>
      </c>
      <c r="Q501" s="3">
        <v>5.42</v>
      </c>
      <c r="R501" s="205">
        <v>5.05</v>
      </c>
    </row>
    <row r="502" spans="2:22" x14ac:dyDescent="0.25">
      <c r="B502" s="199">
        <v>45035</v>
      </c>
      <c r="C502" s="3">
        <v>2</v>
      </c>
      <c r="D502" s="233" t="s">
        <v>466</v>
      </c>
      <c r="E502" s="233" t="s">
        <v>3</v>
      </c>
      <c r="F502" s="3" t="s">
        <v>11</v>
      </c>
      <c r="G502" s="3">
        <v>380</v>
      </c>
      <c r="H502" s="233">
        <v>6000</v>
      </c>
      <c r="I502" s="233" t="s">
        <v>707</v>
      </c>
      <c r="J502" s="233" t="s">
        <v>1141</v>
      </c>
      <c r="K502" s="233" t="s">
        <v>734</v>
      </c>
      <c r="L502" s="233" t="s">
        <v>34</v>
      </c>
      <c r="M502" s="238">
        <v>0.625</v>
      </c>
      <c r="N502" s="238">
        <v>0.91666666666666663</v>
      </c>
      <c r="O502" s="196">
        <v>3300</v>
      </c>
      <c r="P502" s="233" t="s">
        <v>492</v>
      </c>
      <c r="Q502" s="3">
        <v>5.07</v>
      </c>
      <c r="R502" s="205">
        <v>5.38</v>
      </c>
    </row>
    <row r="503" spans="2:22" x14ac:dyDescent="0.25">
      <c r="B503" s="199">
        <v>45035</v>
      </c>
      <c r="C503" s="233">
        <v>2</v>
      </c>
      <c r="D503" s="233" t="s">
        <v>466</v>
      </c>
      <c r="E503" s="233" t="s">
        <v>3</v>
      </c>
      <c r="F503" s="233" t="s">
        <v>11</v>
      </c>
      <c r="G503" s="3">
        <v>381</v>
      </c>
      <c r="H503" s="3">
        <v>5000</v>
      </c>
      <c r="I503" s="233" t="s">
        <v>769</v>
      </c>
      <c r="J503" s="233" t="s">
        <v>1086</v>
      </c>
      <c r="K503" s="233" t="s">
        <v>734</v>
      </c>
      <c r="L503" s="233" t="s">
        <v>34</v>
      </c>
      <c r="M503" s="238">
        <v>0.91666666666666663</v>
      </c>
      <c r="N503" s="238">
        <v>0.95833333333333337</v>
      </c>
      <c r="O503" s="196">
        <v>390</v>
      </c>
      <c r="P503" s="233" t="s">
        <v>492</v>
      </c>
      <c r="Q503" s="3">
        <v>0.59</v>
      </c>
      <c r="R503" s="205">
        <v>0.6</v>
      </c>
    </row>
    <row r="504" spans="2:22" s="304" customFormat="1" x14ac:dyDescent="0.25">
      <c r="B504" s="305">
        <v>45035</v>
      </c>
      <c r="C504" s="304">
        <v>3</v>
      </c>
      <c r="D504" s="304" t="s">
        <v>7</v>
      </c>
      <c r="E504" s="304" t="s">
        <v>362</v>
      </c>
      <c r="F504" s="304" t="s">
        <v>1142</v>
      </c>
      <c r="G504" s="304">
        <v>382</v>
      </c>
      <c r="H504" s="304">
        <v>5000</v>
      </c>
      <c r="I504" s="304" t="s">
        <v>769</v>
      </c>
      <c r="J504" s="304" t="s">
        <v>1086</v>
      </c>
      <c r="K504" s="304" t="s">
        <v>734</v>
      </c>
      <c r="L504" s="304" t="s">
        <v>34</v>
      </c>
      <c r="M504" s="303">
        <v>0.95833333333333337</v>
      </c>
      <c r="N504" s="303">
        <v>0.29166666666666669</v>
      </c>
      <c r="O504" s="304">
        <v>2648</v>
      </c>
      <c r="P504" s="304" t="s">
        <v>492</v>
      </c>
      <c r="Q504" s="304">
        <v>6.48</v>
      </c>
      <c r="R504" s="306">
        <v>6.5</v>
      </c>
      <c r="S504" s="307"/>
      <c r="T504" s="307"/>
      <c r="U504" s="307"/>
      <c r="V504" s="307"/>
    </row>
    <row r="505" spans="2:22" s="304" customFormat="1" x14ac:dyDescent="0.25">
      <c r="B505" s="305">
        <v>45036</v>
      </c>
      <c r="C505" s="304">
        <v>1</v>
      </c>
      <c r="D505" s="304" t="s">
        <v>459</v>
      </c>
      <c r="E505" s="304" t="s">
        <v>188</v>
      </c>
      <c r="G505" s="304">
        <v>383</v>
      </c>
      <c r="H505" s="304">
        <v>5000</v>
      </c>
      <c r="I505" s="304" t="s">
        <v>769</v>
      </c>
      <c r="J505" s="304" t="s">
        <v>1086</v>
      </c>
      <c r="K505" s="304" t="s">
        <v>734</v>
      </c>
      <c r="L505" s="304" t="s">
        <v>34</v>
      </c>
      <c r="M505" s="303">
        <v>0.29166666666666669</v>
      </c>
      <c r="N505" s="303">
        <v>0.625</v>
      </c>
      <c r="O505" s="304">
        <v>490</v>
      </c>
      <c r="P505" s="304" t="s">
        <v>492</v>
      </c>
      <c r="Q505" s="304">
        <v>1.56</v>
      </c>
      <c r="R505" s="306">
        <v>1.56</v>
      </c>
      <c r="S505" s="307"/>
      <c r="T505" s="307"/>
      <c r="U505" s="307"/>
      <c r="V505" s="307"/>
    </row>
    <row r="506" spans="2:22" s="304" customFormat="1" x14ac:dyDescent="0.25">
      <c r="B506" s="305">
        <v>45036</v>
      </c>
      <c r="C506" s="304">
        <v>2</v>
      </c>
      <c r="D506" s="304" t="s">
        <v>466</v>
      </c>
      <c r="E506" s="304" t="s">
        <v>3</v>
      </c>
      <c r="M506" s="303">
        <v>0.625</v>
      </c>
      <c r="N506" s="303">
        <v>0.95833333333333337</v>
      </c>
      <c r="O506" s="304">
        <v>0</v>
      </c>
      <c r="P506" s="304">
        <v>0</v>
      </c>
      <c r="Q506" s="304">
        <v>0</v>
      </c>
      <c r="R506" s="306">
        <v>0</v>
      </c>
      <c r="S506" s="307"/>
      <c r="T506" s="307"/>
      <c r="U506" s="307"/>
      <c r="V506" s="307"/>
    </row>
    <row r="507" spans="2:22" s="304" customFormat="1" x14ac:dyDescent="0.25">
      <c r="B507" s="305">
        <v>45036</v>
      </c>
      <c r="C507" s="304">
        <v>3</v>
      </c>
      <c r="D507" s="304" t="s">
        <v>7</v>
      </c>
      <c r="E507" s="304" t="s">
        <v>362</v>
      </c>
      <c r="M507" s="303">
        <v>0.95833333333333337</v>
      </c>
      <c r="N507" s="303">
        <v>0.29166666666666669</v>
      </c>
      <c r="O507" s="304">
        <v>0</v>
      </c>
      <c r="P507" s="304">
        <v>0</v>
      </c>
      <c r="Q507" s="304">
        <v>0</v>
      </c>
      <c r="R507" s="306">
        <v>0</v>
      </c>
      <c r="S507" s="307"/>
      <c r="T507" s="307"/>
      <c r="U507" s="307"/>
      <c r="V507" s="307"/>
    </row>
    <row r="508" spans="2:22" s="304" customFormat="1" x14ac:dyDescent="0.25">
      <c r="B508" s="305">
        <v>45037</v>
      </c>
      <c r="C508" s="304">
        <v>1</v>
      </c>
      <c r="D508" s="304" t="s">
        <v>459</v>
      </c>
      <c r="E508" s="304" t="s">
        <v>188</v>
      </c>
      <c r="M508" s="303">
        <v>0.29166666666666669</v>
      </c>
      <c r="N508" s="303">
        <v>0.625</v>
      </c>
      <c r="O508" s="304">
        <v>0</v>
      </c>
      <c r="P508" s="304">
        <v>0</v>
      </c>
      <c r="Q508" s="304">
        <v>0</v>
      </c>
      <c r="R508" s="306">
        <v>0</v>
      </c>
      <c r="S508" s="307"/>
      <c r="T508" s="307"/>
      <c r="U508" s="307"/>
      <c r="V508" s="307"/>
    </row>
    <row r="509" spans="2:22" s="304" customFormat="1" x14ac:dyDescent="0.25">
      <c r="B509" s="305">
        <v>45037</v>
      </c>
      <c r="C509" s="304">
        <v>2</v>
      </c>
      <c r="D509" s="304" t="s">
        <v>1</v>
      </c>
      <c r="E509" s="304" t="s">
        <v>3</v>
      </c>
      <c r="M509" s="303">
        <v>0.625</v>
      </c>
      <c r="N509" s="303">
        <v>0.95833333333333337</v>
      </c>
      <c r="O509" s="304">
        <v>0</v>
      </c>
      <c r="P509" s="304">
        <v>0</v>
      </c>
      <c r="Q509" s="304">
        <v>0</v>
      </c>
      <c r="R509" s="306">
        <v>0</v>
      </c>
      <c r="S509" s="307"/>
      <c r="T509" s="307"/>
      <c r="U509" s="307"/>
      <c r="V509" s="307"/>
    </row>
    <row r="510" spans="2:22" s="304" customFormat="1" x14ac:dyDescent="0.25">
      <c r="B510" s="305">
        <v>45037</v>
      </c>
      <c r="C510" s="304">
        <v>3</v>
      </c>
      <c r="D510" s="304" t="s">
        <v>7</v>
      </c>
      <c r="E510" s="304" t="s">
        <v>362</v>
      </c>
      <c r="M510" s="303">
        <v>0.95833333333333337</v>
      </c>
      <c r="N510" s="303">
        <v>0.29166666666666669</v>
      </c>
      <c r="O510" s="304">
        <v>0</v>
      </c>
      <c r="P510" s="304">
        <v>0</v>
      </c>
      <c r="Q510" s="304">
        <v>0</v>
      </c>
      <c r="R510" s="306">
        <v>0</v>
      </c>
      <c r="S510" s="307"/>
      <c r="T510" s="307"/>
      <c r="U510" s="307"/>
      <c r="V510" s="307"/>
    </row>
    <row r="511" spans="2:22" s="304" customFormat="1" x14ac:dyDescent="0.25">
      <c r="B511" s="305">
        <v>45038</v>
      </c>
      <c r="C511" s="304">
        <v>1</v>
      </c>
      <c r="H511" s="304" t="s">
        <v>1147</v>
      </c>
      <c r="M511" s="303">
        <v>0.29166666666666669</v>
      </c>
      <c r="N511" s="303">
        <v>0.625</v>
      </c>
      <c r="O511" s="304">
        <v>0</v>
      </c>
      <c r="P511" s="304">
        <v>0</v>
      </c>
      <c r="Q511" s="304">
        <v>0</v>
      </c>
      <c r="R511" s="306">
        <v>0</v>
      </c>
      <c r="S511" s="307"/>
      <c r="T511" s="307"/>
      <c r="U511" s="307"/>
      <c r="V511" s="307"/>
    </row>
    <row r="512" spans="2:22" s="304" customFormat="1" x14ac:dyDescent="0.25">
      <c r="B512" s="305">
        <v>45038</v>
      </c>
      <c r="C512" s="304">
        <v>2</v>
      </c>
      <c r="H512" s="304" t="s">
        <v>1147</v>
      </c>
      <c r="M512" s="303">
        <v>0.625</v>
      </c>
      <c r="N512" s="303">
        <v>0.95833333333333337</v>
      </c>
      <c r="O512" s="304">
        <v>0</v>
      </c>
      <c r="P512" s="304">
        <v>0</v>
      </c>
      <c r="Q512" s="304">
        <v>0</v>
      </c>
      <c r="R512" s="306">
        <v>0</v>
      </c>
      <c r="S512" s="307"/>
      <c r="T512" s="307"/>
      <c r="U512" s="307"/>
      <c r="V512" s="307"/>
    </row>
    <row r="513" spans="2:27" s="304" customFormat="1" x14ac:dyDescent="0.25">
      <c r="B513" s="305">
        <v>45038</v>
      </c>
      <c r="C513" s="304">
        <v>3</v>
      </c>
      <c r="H513" s="304" t="s">
        <v>1147</v>
      </c>
      <c r="M513" s="303">
        <v>0.95833333333333337</v>
      </c>
      <c r="N513" s="303">
        <v>0.29166666666666669</v>
      </c>
      <c r="O513" s="304">
        <v>0</v>
      </c>
      <c r="P513" s="304">
        <v>0</v>
      </c>
      <c r="Q513" s="304">
        <v>0</v>
      </c>
      <c r="R513" s="306">
        <v>0</v>
      </c>
      <c r="S513" s="307"/>
      <c r="T513" s="307"/>
      <c r="U513" s="307"/>
      <c r="V513" s="307"/>
    </row>
    <row r="514" spans="2:27" s="304" customFormat="1" x14ac:dyDescent="0.25">
      <c r="B514" s="305">
        <v>45039</v>
      </c>
      <c r="C514" s="304">
        <v>1</v>
      </c>
      <c r="H514" s="304" t="s">
        <v>1147</v>
      </c>
      <c r="M514" s="303">
        <v>0.29166666666666669</v>
      </c>
      <c r="N514" s="303">
        <v>0.625</v>
      </c>
      <c r="O514" s="304">
        <v>0</v>
      </c>
      <c r="P514" s="304">
        <v>0</v>
      </c>
      <c r="Q514" s="304">
        <v>0</v>
      </c>
      <c r="R514" s="306">
        <v>0</v>
      </c>
      <c r="S514" s="307"/>
      <c r="T514" s="307"/>
      <c r="U514" s="307"/>
      <c r="V514" s="307"/>
    </row>
    <row r="515" spans="2:27" s="304" customFormat="1" x14ac:dyDescent="0.25">
      <c r="B515" s="305">
        <v>45039</v>
      </c>
      <c r="C515" s="304">
        <v>2</v>
      </c>
      <c r="H515" s="304" t="s">
        <v>1147</v>
      </c>
      <c r="M515" s="303">
        <v>0.625</v>
      </c>
      <c r="N515" s="303">
        <v>0.95833333333333337</v>
      </c>
      <c r="O515" s="304">
        <v>0</v>
      </c>
      <c r="P515" s="304">
        <v>0</v>
      </c>
      <c r="Q515" s="304">
        <v>0</v>
      </c>
      <c r="R515" s="306">
        <v>0</v>
      </c>
      <c r="S515" s="307"/>
      <c r="T515" s="307"/>
      <c r="U515" s="307"/>
      <c r="V515" s="307"/>
    </row>
    <row r="516" spans="2:27" s="304" customFormat="1" x14ac:dyDescent="0.25">
      <c r="B516" s="305">
        <v>45039</v>
      </c>
      <c r="C516" s="304">
        <v>3</v>
      </c>
      <c r="H516" s="304" t="s">
        <v>1147</v>
      </c>
      <c r="M516" s="303">
        <v>0.95833333333333337</v>
      </c>
      <c r="N516" s="303">
        <v>0.29166666666666669</v>
      </c>
      <c r="O516" s="304">
        <v>0</v>
      </c>
      <c r="P516" s="304">
        <v>0</v>
      </c>
      <c r="Q516" s="304">
        <v>0</v>
      </c>
      <c r="R516" s="306">
        <v>0</v>
      </c>
      <c r="S516" s="307"/>
      <c r="T516" s="307"/>
      <c r="U516" s="307"/>
      <c r="V516" s="307"/>
    </row>
    <row r="517" spans="2:27" s="304" customFormat="1" x14ac:dyDescent="0.25">
      <c r="B517" s="305">
        <v>45040</v>
      </c>
      <c r="C517" s="304">
        <v>1</v>
      </c>
      <c r="D517" s="304" t="s">
        <v>466</v>
      </c>
      <c r="E517" s="304" t="s">
        <v>3</v>
      </c>
      <c r="M517" s="303">
        <v>0.29166666666666669</v>
      </c>
      <c r="N517" s="303">
        <v>0.625</v>
      </c>
      <c r="O517" s="304">
        <v>0</v>
      </c>
      <c r="P517" s="304">
        <v>0</v>
      </c>
      <c r="Q517" s="304">
        <v>0</v>
      </c>
      <c r="R517" s="306">
        <v>0</v>
      </c>
      <c r="S517" s="307"/>
      <c r="T517" s="307"/>
      <c r="U517" s="307"/>
      <c r="V517" s="307"/>
    </row>
    <row r="518" spans="2:27" x14ac:dyDescent="0.25">
      <c r="B518" s="305">
        <v>45040</v>
      </c>
      <c r="C518" s="3">
        <v>2</v>
      </c>
      <c r="D518" s="3" t="s">
        <v>7</v>
      </c>
      <c r="E518" s="304" t="s">
        <v>362</v>
      </c>
      <c r="M518" s="303">
        <v>0.625</v>
      </c>
      <c r="N518" s="303">
        <v>0.95833333333333337</v>
      </c>
      <c r="O518" s="304">
        <v>0</v>
      </c>
      <c r="P518" s="304">
        <v>0</v>
      </c>
      <c r="Q518" s="304">
        <v>0</v>
      </c>
      <c r="R518" s="306">
        <v>0</v>
      </c>
      <c r="AA518" s="3" t="s">
        <v>1148</v>
      </c>
    </row>
    <row r="519" spans="2:27" x14ac:dyDescent="0.25">
      <c r="B519" s="305">
        <v>45040</v>
      </c>
      <c r="C519" s="3">
        <v>3</v>
      </c>
      <c r="D519" s="3" t="s">
        <v>957</v>
      </c>
      <c r="E519" s="304" t="s">
        <v>205</v>
      </c>
      <c r="M519" s="277">
        <v>0.95833333333333337</v>
      </c>
      <c r="N519" s="277">
        <v>0.29166666666666669</v>
      </c>
      <c r="O519" s="304">
        <v>0</v>
      </c>
      <c r="P519" s="304">
        <v>0</v>
      </c>
      <c r="Q519" s="304">
        <v>0</v>
      </c>
      <c r="R519" s="306">
        <v>0</v>
      </c>
      <c r="AA519" s="233"/>
    </row>
    <row r="520" spans="2:27" x14ac:dyDescent="0.25">
      <c r="B520" s="199">
        <v>45041</v>
      </c>
      <c r="C520" s="3">
        <v>1</v>
      </c>
      <c r="D520" s="233" t="s">
        <v>1</v>
      </c>
      <c r="E520" s="304" t="s">
        <v>3</v>
      </c>
      <c r="M520" s="277">
        <v>0.29166666666666669</v>
      </c>
      <c r="N520" s="277">
        <v>0.625</v>
      </c>
      <c r="O520" s="304">
        <v>0</v>
      </c>
      <c r="P520" s="304">
        <v>0</v>
      </c>
      <c r="Q520" s="304">
        <v>0</v>
      </c>
      <c r="R520" s="306">
        <v>0</v>
      </c>
    </row>
    <row r="521" spans="2:27" x14ac:dyDescent="0.25">
      <c r="B521" s="199">
        <v>45041</v>
      </c>
      <c r="C521" s="3">
        <v>2</v>
      </c>
      <c r="D521" s="3" t="s">
        <v>7</v>
      </c>
      <c r="E521" s="3" t="s">
        <v>190</v>
      </c>
      <c r="M521" s="277">
        <v>0.625</v>
      </c>
      <c r="N521" s="277">
        <v>0.95833333333333337</v>
      </c>
      <c r="O521" s="304">
        <v>0</v>
      </c>
      <c r="P521" s="304">
        <v>0</v>
      </c>
      <c r="Q521" s="304">
        <v>0</v>
      </c>
      <c r="R521" s="306">
        <v>0</v>
      </c>
    </row>
    <row r="522" spans="2:27" s="196" customFormat="1" x14ac:dyDescent="0.25">
      <c r="B522" s="199">
        <v>45041</v>
      </c>
      <c r="C522" s="196">
        <v>3</v>
      </c>
      <c r="D522" s="196" t="s">
        <v>957</v>
      </c>
      <c r="E522" s="196" t="s">
        <v>205</v>
      </c>
      <c r="M522" s="277">
        <v>0.95833333333333337</v>
      </c>
      <c r="N522" s="277">
        <v>0.29166666666666669</v>
      </c>
      <c r="O522" s="196">
        <v>0</v>
      </c>
      <c r="P522" s="196">
        <v>0</v>
      </c>
      <c r="Q522" s="196">
        <v>0</v>
      </c>
      <c r="R522" s="278">
        <v>0</v>
      </c>
      <c r="S522" s="198"/>
      <c r="T522" s="198"/>
      <c r="U522" s="198"/>
      <c r="V522" s="198"/>
    </row>
    <row r="523" spans="2:27" x14ac:dyDescent="0.25">
      <c r="B523" s="199">
        <v>45042</v>
      </c>
      <c r="C523" s="3">
        <v>1</v>
      </c>
      <c r="D523" s="304" t="s">
        <v>1</v>
      </c>
      <c r="E523" s="304" t="s">
        <v>3</v>
      </c>
      <c r="F523" s="3" t="s">
        <v>11</v>
      </c>
      <c r="G523" s="304">
        <v>384</v>
      </c>
      <c r="H523" s="304">
        <v>5000</v>
      </c>
      <c r="I523" s="304" t="s">
        <v>769</v>
      </c>
      <c r="J523" s="304" t="s">
        <v>1086</v>
      </c>
      <c r="K523" s="304" t="s">
        <v>734</v>
      </c>
      <c r="L523" s="304" t="s">
        <v>34</v>
      </c>
      <c r="M523" s="277">
        <v>0.29166666666666669</v>
      </c>
      <c r="N523" s="277">
        <v>0.4861111111111111</v>
      </c>
      <c r="O523" s="196">
        <v>1400</v>
      </c>
      <c r="P523" s="3" t="s">
        <v>1149</v>
      </c>
      <c r="Q523" s="3">
        <v>2.65</v>
      </c>
      <c r="R523" s="205">
        <v>2.4300000000000002</v>
      </c>
    </row>
    <row r="524" spans="2:27" x14ac:dyDescent="0.25">
      <c r="B524" s="199">
        <v>45042</v>
      </c>
      <c r="C524" s="233">
        <v>1</v>
      </c>
      <c r="D524" s="304" t="s">
        <v>1</v>
      </c>
      <c r="E524" s="304" t="s">
        <v>3</v>
      </c>
      <c r="F524" s="233" t="s">
        <v>11</v>
      </c>
      <c r="G524" s="304">
        <v>385</v>
      </c>
      <c r="H524" s="304">
        <v>6300</v>
      </c>
      <c r="I524" s="304" t="s">
        <v>1150</v>
      </c>
      <c r="J524" s="3" t="s">
        <v>1104</v>
      </c>
      <c r="K524" s="304" t="s">
        <v>734</v>
      </c>
      <c r="L524" s="304" t="s">
        <v>34</v>
      </c>
      <c r="M524" s="277">
        <v>0.4861111111111111</v>
      </c>
      <c r="N524" s="277">
        <v>0.625</v>
      </c>
      <c r="O524" s="196">
        <v>1915</v>
      </c>
      <c r="P524" s="233" t="s">
        <v>1149</v>
      </c>
      <c r="Q524" s="3">
        <f>5.43-2.65</f>
        <v>2.78</v>
      </c>
      <c r="R524" s="205">
        <f>5.26-2.43</f>
        <v>2.8299999999999996</v>
      </c>
    </row>
    <row r="525" spans="2:27" x14ac:dyDescent="0.25">
      <c r="B525" s="199">
        <v>45042</v>
      </c>
      <c r="C525" s="3">
        <v>2</v>
      </c>
      <c r="D525" s="233" t="s">
        <v>7</v>
      </c>
      <c r="E525" s="3" t="s">
        <v>362</v>
      </c>
      <c r="G525" s="3">
        <v>386</v>
      </c>
      <c r="H525" s="304">
        <v>6300</v>
      </c>
      <c r="I525" s="304" t="s">
        <v>1150</v>
      </c>
      <c r="J525" s="233" t="s">
        <v>1104</v>
      </c>
      <c r="K525" s="304" t="s">
        <v>734</v>
      </c>
      <c r="L525" s="304" t="s">
        <v>34</v>
      </c>
      <c r="M525" s="277">
        <v>0.625</v>
      </c>
      <c r="N525" s="277">
        <v>0.95833333333333337</v>
      </c>
      <c r="O525" s="196">
        <v>4767</v>
      </c>
      <c r="P525" s="3" t="s">
        <v>492</v>
      </c>
      <c r="Q525" s="3">
        <v>6.73</v>
      </c>
      <c r="R525" s="205">
        <v>6.86</v>
      </c>
    </row>
    <row r="526" spans="2:27" x14ac:dyDescent="0.25">
      <c r="B526" s="199">
        <v>45042</v>
      </c>
      <c r="C526" s="3">
        <v>3</v>
      </c>
      <c r="D526" s="233" t="s">
        <v>957</v>
      </c>
      <c r="E526" s="3" t="s">
        <v>188</v>
      </c>
      <c r="F526" s="3" t="s">
        <v>47</v>
      </c>
      <c r="G526" s="3">
        <v>387</v>
      </c>
      <c r="H526" s="304">
        <v>6300</v>
      </c>
      <c r="I526" s="304" t="s">
        <v>1150</v>
      </c>
      <c r="J526" s="233" t="s">
        <v>1104</v>
      </c>
      <c r="K526" s="304" t="s">
        <v>734</v>
      </c>
      <c r="L526" s="304" t="s">
        <v>34</v>
      </c>
      <c r="M526" s="277">
        <v>0.95833333333333337</v>
      </c>
      <c r="N526" s="277">
        <v>5.5555555555555552E-2</v>
      </c>
      <c r="O526" s="196">
        <v>1300</v>
      </c>
      <c r="P526" s="3" t="s">
        <v>492</v>
      </c>
      <c r="Q526" s="3">
        <v>1.6</v>
      </c>
      <c r="R526" s="205">
        <v>1.7</v>
      </c>
    </row>
    <row r="527" spans="2:27" x14ac:dyDescent="0.25">
      <c r="B527" s="199">
        <v>45042</v>
      </c>
      <c r="C527" s="233">
        <v>3</v>
      </c>
      <c r="D527" s="233" t="s">
        <v>957</v>
      </c>
      <c r="E527" s="233" t="s">
        <v>188</v>
      </c>
      <c r="F527" s="233" t="s">
        <v>47</v>
      </c>
      <c r="G527" s="233">
        <v>388</v>
      </c>
      <c r="H527" s="304">
        <v>6300</v>
      </c>
      <c r="I527" s="304" t="s">
        <v>1150</v>
      </c>
      <c r="J527" s="233" t="s">
        <v>1104</v>
      </c>
      <c r="K527" s="304" t="s">
        <v>734</v>
      </c>
      <c r="L527" s="304" t="s">
        <v>767</v>
      </c>
      <c r="M527" s="277">
        <v>5.5555555555555552E-2</v>
      </c>
      <c r="N527" s="277">
        <v>0.1111111111111111</v>
      </c>
      <c r="O527" s="196">
        <v>700</v>
      </c>
      <c r="P527" s="3" t="s">
        <v>492</v>
      </c>
      <c r="Q527" s="3">
        <f>2.93-Q526</f>
        <v>1.33</v>
      </c>
      <c r="R527" s="205">
        <f>3.3-R526</f>
        <v>1.5999999999999999</v>
      </c>
    </row>
    <row r="528" spans="2:27" x14ac:dyDescent="0.25">
      <c r="B528" s="199">
        <v>45042</v>
      </c>
      <c r="C528" s="233">
        <v>3</v>
      </c>
      <c r="D528" s="233" t="s">
        <v>957</v>
      </c>
      <c r="E528" s="233" t="s">
        <v>188</v>
      </c>
      <c r="F528" s="233" t="s">
        <v>47</v>
      </c>
      <c r="G528" s="233">
        <v>389</v>
      </c>
      <c r="H528" s="233">
        <v>5818</v>
      </c>
      <c r="I528" s="304" t="s">
        <v>769</v>
      </c>
      <c r="J528" s="233" t="s">
        <v>1154</v>
      </c>
      <c r="K528" s="304" t="s">
        <v>734</v>
      </c>
      <c r="L528" s="304" t="s">
        <v>767</v>
      </c>
      <c r="M528" s="277">
        <v>0.1111111111111111</v>
      </c>
      <c r="N528" s="277">
        <v>0.29166666666666669</v>
      </c>
      <c r="O528" s="196">
        <v>2617</v>
      </c>
      <c r="P528" s="233" t="s">
        <v>492</v>
      </c>
      <c r="Q528" s="3">
        <v>3.72</v>
      </c>
      <c r="R528" s="205">
        <v>3.99</v>
      </c>
    </row>
    <row r="529" spans="2:24" s="196" customFormat="1" x14ac:dyDescent="0.25">
      <c r="B529" s="199">
        <v>45043</v>
      </c>
      <c r="C529" s="196">
        <v>1</v>
      </c>
      <c r="D529" s="196" t="s">
        <v>1</v>
      </c>
      <c r="E529" s="196" t="s">
        <v>3</v>
      </c>
      <c r="F529" s="196" t="s">
        <v>11</v>
      </c>
      <c r="G529" s="196">
        <v>390</v>
      </c>
      <c r="H529" s="196">
        <v>5818</v>
      </c>
      <c r="I529" s="196" t="s">
        <v>769</v>
      </c>
      <c r="J529" s="196" t="s">
        <v>1154</v>
      </c>
      <c r="K529" s="196" t="s">
        <v>734</v>
      </c>
      <c r="L529" s="196" t="s">
        <v>767</v>
      </c>
      <c r="M529" s="277">
        <v>0.29166666666666669</v>
      </c>
      <c r="N529" s="277">
        <v>0.39583333333333331</v>
      </c>
      <c r="O529" s="196">
        <v>1610</v>
      </c>
      <c r="P529" s="196" t="s">
        <v>492</v>
      </c>
      <c r="Q529" s="196">
        <v>2.2000000000000002</v>
      </c>
      <c r="R529" s="278">
        <v>2.27</v>
      </c>
      <c r="S529" s="198"/>
      <c r="T529" s="198"/>
      <c r="U529" s="198"/>
      <c r="V529" s="198"/>
    </row>
    <row r="530" spans="2:24" x14ac:dyDescent="0.25">
      <c r="B530" s="199">
        <v>45043</v>
      </c>
      <c r="C530" s="233">
        <v>1</v>
      </c>
      <c r="D530" s="233" t="s">
        <v>1</v>
      </c>
      <c r="E530" s="304" t="s">
        <v>3</v>
      </c>
      <c r="F530" s="233" t="s">
        <v>11</v>
      </c>
      <c r="G530" s="3">
        <v>391</v>
      </c>
      <c r="H530" s="233">
        <v>5818</v>
      </c>
      <c r="I530" s="304" t="s">
        <v>769</v>
      </c>
      <c r="J530" s="233" t="s">
        <v>1154</v>
      </c>
      <c r="K530" s="3" t="s">
        <v>734</v>
      </c>
      <c r="L530" s="233" t="s">
        <v>696</v>
      </c>
      <c r="M530" s="277">
        <v>0.39583333333333331</v>
      </c>
      <c r="N530" s="277">
        <v>0.42708333333333331</v>
      </c>
      <c r="O530" s="196">
        <v>540</v>
      </c>
      <c r="P530" s="233" t="s">
        <v>492</v>
      </c>
      <c r="Q530" s="3">
        <v>0.92</v>
      </c>
      <c r="R530" s="205">
        <v>0.7</v>
      </c>
    </row>
    <row r="531" spans="2:24" x14ac:dyDescent="0.25">
      <c r="B531" s="199">
        <v>45043</v>
      </c>
      <c r="C531" s="3">
        <v>1</v>
      </c>
      <c r="D531" s="233" t="s">
        <v>1</v>
      </c>
      <c r="E531" s="304" t="s">
        <v>3</v>
      </c>
      <c r="F531" s="233" t="s">
        <v>11</v>
      </c>
      <c r="G531" s="3">
        <v>392</v>
      </c>
      <c r="H531" s="233">
        <v>5818</v>
      </c>
      <c r="I531" s="304" t="s">
        <v>769</v>
      </c>
      <c r="J531" s="233" t="s">
        <v>1154</v>
      </c>
      <c r="K531" s="233" t="s">
        <v>734</v>
      </c>
      <c r="L531" s="3" t="s">
        <v>21</v>
      </c>
      <c r="M531" s="277">
        <v>0.42708333333333331</v>
      </c>
      <c r="N531" s="277">
        <v>0.625</v>
      </c>
      <c r="O531" s="196">
        <v>596</v>
      </c>
      <c r="P531" s="233" t="s">
        <v>492</v>
      </c>
      <c r="Q531" s="3">
        <f>3.79-3.12</f>
        <v>0.66999999999999993</v>
      </c>
      <c r="R531" s="205">
        <f>3.7-2.97</f>
        <v>0.73</v>
      </c>
    </row>
    <row r="532" spans="2:24" s="196" customFormat="1" x14ac:dyDescent="0.25">
      <c r="B532" s="199">
        <v>45043</v>
      </c>
      <c r="C532" s="196">
        <v>2</v>
      </c>
      <c r="D532" s="196" t="s">
        <v>7</v>
      </c>
      <c r="E532" s="196" t="s">
        <v>362</v>
      </c>
      <c r="G532" s="196">
        <v>393</v>
      </c>
      <c r="H532" s="196">
        <v>5818</v>
      </c>
      <c r="I532" s="196" t="s">
        <v>769</v>
      </c>
      <c r="J532" s="196" t="s">
        <v>1154</v>
      </c>
      <c r="K532" s="196" t="s">
        <v>734</v>
      </c>
      <c r="L532" s="196" t="s">
        <v>21</v>
      </c>
      <c r="M532" s="277">
        <v>0.625</v>
      </c>
      <c r="N532" s="277">
        <v>0.65972222222222221</v>
      </c>
      <c r="O532" s="196">
        <v>293</v>
      </c>
      <c r="P532" s="196" t="s">
        <v>492</v>
      </c>
      <c r="Q532" s="196">
        <v>0.47</v>
      </c>
      <c r="R532" s="278">
        <v>0.71</v>
      </c>
      <c r="S532" s="198"/>
      <c r="T532" s="198"/>
      <c r="U532" s="198"/>
      <c r="V532" s="198"/>
    </row>
    <row r="533" spans="2:24" x14ac:dyDescent="0.25">
      <c r="B533" s="199">
        <v>45043</v>
      </c>
      <c r="C533" s="233">
        <v>2</v>
      </c>
      <c r="D533" s="233" t="s">
        <v>7</v>
      </c>
      <c r="E533" s="233" t="s">
        <v>362</v>
      </c>
      <c r="F533" s="196"/>
      <c r="G533" s="3">
        <v>394</v>
      </c>
      <c r="H533" s="3">
        <v>902</v>
      </c>
      <c r="I533" s="304" t="s">
        <v>769</v>
      </c>
      <c r="J533" s="233" t="s">
        <v>1156</v>
      </c>
      <c r="K533" s="233" t="s">
        <v>734</v>
      </c>
      <c r="L533" s="196" t="s">
        <v>696</v>
      </c>
      <c r="M533" s="277">
        <v>0.65972222222222221</v>
      </c>
      <c r="N533" s="277">
        <v>0.73958333333333337</v>
      </c>
      <c r="O533" s="196">
        <v>902</v>
      </c>
      <c r="P533" s="233" t="s">
        <v>492</v>
      </c>
      <c r="Q533" s="3">
        <f>2.1-0.47</f>
        <v>1.6300000000000001</v>
      </c>
      <c r="R533" s="205">
        <f>2.33-0.71</f>
        <v>1.62</v>
      </c>
    </row>
    <row r="534" spans="2:24" x14ac:dyDescent="0.25">
      <c r="B534" s="199">
        <v>45043</v>
      </c>
      <c r="C534" s="233">
        <v>2</v>
      </c>
      <c r="D534" s="233" t="s">
        <v>7</v>
      </c>
      <c r="E534" s="233" t="s">
        <v>362</v>
      </c>
      <c r="F534" s="196"/>
      <c r="G534" s="3">
        <v>395</v>
      </c>
      <c r="H534" s="3">
        <v>4800</v>
      </c>
      <c r="I534" s="304" t="s">
        <v>769</v>
      </c>
      <c r="J534" s="233" t="s">
        <v>1156</v>
      </c>
      <c r="K534" s="233" t="s">
        <v>734</v>
      </c>
      <c r="L534" s="233" t="s">
        <v>21</v>
      </c>
      <c r="M534" s="277">
        <v>0.73958333333333337</v>
      </c>
      <c r="N534" s="277">
        <v>0.95833333333333337</v>
      </c>
      <c r="O534" s="196">
        <v>2337</v>
      </c>
      <c r="P534" s="3" t="s">
        <v>492</v>
      </c>
      <c r="Q534" s="3">
        <f>5.65-Q533-Q532</f>
        <v>3.5500000000000007</v>
      </c>
      <c r="R534" s="205">
        <f>6.13-R533-R532</f>
        <v>3.8</v>
      </c>
    </row>
    <row r="535" spans="2:24" x14ac:dyDescent="0.25">
      <c r="B535" s="290">
        <v>45043</v>
      </c>
      <c r="C535" s="237">
        <v>3</v>
      </c>
      <c r="D535" s="237" t="s">
        <v>957</v>
      </c>
      <c r="E535" s="237" t="s">
        <v>188</v>
      </c>
      <c r="F535" s="237" t="s">
        <v>47</v>
      </c>
      <c r="G535" s="237"/>
      <c r="H535" s="237"/>
      <c r="I535" s="237"/>
      <c r="J535" s="237"/>
      <c r="K535" s="237"/>
      <c r="L535" s="237"/>
      <c r="M535" s="291">
        <v>0.95833333333333337</v>
      </c>
      <c r="N535" s="291">
        <v>0.29166666666666669</v>
      </c>
      <c r="O535" s="237">
        <v>0</v>
      </c>
      <c r="P535" s="237">
        <v>0</v>
      </c>
      <c r="Q535" s="237">
        <v>0</v>
      </c>
      <c r="R535" s="295">
        <v>0</v>
      </c>
      <c r="S535" s="296"/>
      <c r="T535" s="198"/>
      <c r="U535" s="198"/>
      <c r="V535" s="198"/>
      <c r="W535" s="196"/>
      <c r="X535" s="196"/>
    </row>
    <row r="536" spans="2:24" s="237" customFormat="1" x14ac:dyDescent="0.25">
      <c r="B536" s="290">
        <v>45044</v>
      </c>
      <c r="C536" s="237">
        <v>1</v>
      </c>
      <c r="D536" s="237" t="s">
        <v>1</v>
      </c>
      <c r="E536" s="237" t="s">
        <v>3</v>
      </c>
      <c r="M536" s="291">
        <v>0.29166666666666669</v>
      </c>
      <c r="N536" s="291">
        <v>0.625</v>
      </c>
      <c r="O536" s="237">
        <v>0</v>
      </c>
      <c r="P536" s="237">
        <v>0</v>
      </c>
      <c r="Q536" s="237">
        <v>0</v>
      </c>
      <c r="R536" s="295">
        <v>0</v>
      </c>
      <c r="S536" s="296"/>
      <c r="T536" s="198"/>
      <c r="U536" s="198"/>
      <c r="V536" s="198"/>
      <c r="W536" s="196"/>
      <c r="X536" s="196"/>
    </row>
    <row r="537" spans="2:24" s="237" customFormat="1" x14ac:dyDescent="0.25">
      <c r="B537" s="290">
        <v>45044</v>
      </c>
      <c r="C537" s="237">
        <v>2</v>
      </c>
      <c r="D537" s="237" t="s">
        <v>7</v>
      </c>
      <c r="E537" s="237" t="s">
        <v>362</v>
      </c>
      <c r="M537" s="291">
        <v>0.625</v>
      </c>
      <c r="N537" s="291">
        <v>0.95833333333333337</v>
      </c>
      <c r="O537" s="237">
        <v>0</v>
      </c>
      <c r="P537" s="237">
        <v>0</v>
      </c>
      <c r="Q537" s="237">
        <v>0</v>
      </c>
      <c r="R537" s="295"/>
      <c r="S537" s="296"/>
      <c r="T537" s="198"/>
      <c r="U537" s="198"/>
      <c r="V537" s="198"/>
      <c r="W537" s="196"/>
      <c r="X537" s="196"/>
    </row>
    <row r="538" spans="2:24" s="237" customFormat="1" x14ac:dyDescent="0.25">
      <c r="B538" s="290">
        <v>45044</v>
      </c>
      <c r="C538" s="237">
        <v>3</v>
      </c>
      <c r="D538" s="237" t="s">
        <v>957</v>
      </c>
      <c r="E538" s="237" t="s">
        <v>188</v>
      </c>
      <c r="F538" s="237" t="s">
        <v>47</v>
      </c>
      <c r="M538" s="291">
        <v>0.95833333333333337</v>
      </c>
      <c r="N538" s="291">
        <v>0.29166666666666669</v>
      </c>
      <c r="O538" s="237">
        <v>0</v>
      </c>
      <c r="P538" s="237">
        <v>0</v>
      </c>
      <c r="Q538" s="237">
        <v>0</v>
      </c>
      <c r="R538" s="295"/>
      <c r="S538" s="296"/>
      <c r="T538" s="198"/>
      <c r="U538" s="198"/>
      <c r="V538" s="198"/>
      <c r="W538" s="196"/>
      <c r="X538" s="196"/>
    </row>
    <row r="539" spans="2:24" s="237" customFormat="1" x14ac:dyDescent="0.25">
      <c r="B539" s="290">
        <v>45045</v>
      </c>
      <c r="C539" s="237">
        <v>1</v>
      </c>
      <c r="M539" s="291">
        <v>0.29166666666666669</v>
      </c>
      <c r="N539" s="291">
        <v>0.625</v>
      </c>
      <c r="O539" s="237">
        <v>0</v>
      </c>
      <c r="R539" s="295"/>
      <c r="S539" s="296"/>
      <c r="T539" s="198"/>
      <c r="U539" s="198"/>
      <c r="V539" s="198"/>
      <c r="W539" s="196"/>
      <c r="X539" s="196"/>
    </row>
    <row r="540" spans="2:24" s="237" customFormat="1" x14ac:dyDescent="0.25">
      <c r="B540" s="290">
        <v>45045</v>
      </c>
      <c r="C540" s="237">
        <v>2</v>
      </c>
      <c r="D540" s="237" t="s">
        <v>466</v>
      </c>
      <c r="E540" s="237" t="s">
        <v>362</v>
      </c>
      <c r="M540" s="291">
        <v>0.625</v>
      </c>
      <c r="N540" s="291">
        <v>0.95833333333333337</v>
      </c>
      <c r="O540" s="237">
        <v>0</v>
      </c>
      <c r="R540" s="295"/>
      <c r="S540" s="296"/>
      <c r="T540" s="198"/>
      <c r="U540" s="198"/>
      <c r="V540" s="198"/>
      <c r="W540" s="196"/>
      <c r="X540" s="196"/>
    </row>
    <row r="541" spans="2:24" s="237" customFormat="1" x14ac:dyDescent="0.25">
      <c r="B541" s="290">
        <v>45045</v>
      </c>
      <c r="C541" s="237">
        <v>3</v>
      </c>
      <c r="R541" s="295"/>
      <c r="S541" s="296"/>
      <c r="T541" s="198"/>
      <c r="U541" s="198"/>
      <c r="V541" s="198"/>
      <c r="W541" s="196"/>
      <c r="X541" s="196"/>
    </row>
    <row r="542" spans="2:24" s="237" customFormat="1" x14ac:dyDescent="0.25">
      <c r="B542" s="290">
        <v>45046</v>
      </c>
      <c r="C542" s="237">
        <v>1</v>
      </c>
      <c r="R542" s="295"/>
      <c r="S542" s="296"/>
      <c r="T542" s="198"/>
      <c r="U542" s="198"/>
      <c r="V542" s="198"/>
      <c r="W542" s="196"/>
      <c r="X542" s="196"/>
    </row>
    <row r="543" spans="2:24" s="237" customFormat="1" x14ac:dyDescent="0.25">
      <c r="B543" s="290">
        <v>45046</v>
      </c>
      <c r="C543" s="237">
        <v>2</v>
      </c>
      <c r="R543" s="295"/>
      <c r="S543" s="296"/>
      <c r="T543" s="198"/>
      <c r="U543" s="198"/>
      <c r="V543" s="198"/>
      <c r="W543" s="196"/>
      <c r="X543" s="196"/>
    </row>
    <row r="544" spans="2:24" s="237" customFormat="1" x14ac:dyDescent="0.25">
      <c r="B544" s="290">
        <v>45046</v>
      </c>
      <c r="C544" s="237">
        <v>3</v>
      </c>
      <c r="R544" s="295"/>
      <c r="S544" s="296"/>
      <c r="T544" s="198"/>
      <c r="U544" s="198"/>
      <c r="V544" s="198"/>
      <c r="W544" s="196"/>
      <c r="X544" s="196"/>
    </row>
    <row r="545" spans="2:24" s="237" customFormat="1" x14ac:dyDescent="0.25">
      <c r="B545" s="290">
        <v>45047</v>
      </c>
      <c r="C545" s="237">
        <v>1</v>
      </c>
      <c r="R545" s="295"/>
      <c r="S545" s="296"/>
      <c r="T545" s="198"/>
      <c r="U545" s="198"/>
      <c r="V545" s="198"/>
      <c r="W545" s="196"/>
      <c r="X545" s="196"/>
    </row>
    <row r="546" spans="2:24" s="237" customFormat="1" x14ac:dyDescent="0.25">
      <c r="B546" s="290">
        <v>45047</v>
      </c>
      <c r="C546" s="237">
        <v>2</v>
      </c>
      <c r="R546" s="295"/>
      <c r="S546" s="296"/>
      <c r="T546" s="198"/>
      <c r="U546" s="198"/>
      <c r="V546" s="198"/>
      <c r="W546" s="196"/>
      <c r="X546" s="196"/>
    </row>
    <row r="547" spans="2:24" s="237" customFormat="1" x14ac:dyDescent="0.25">
      <c r="B547" s="290">
        <v>45047</v>
      </c>
      <c r="C547" s="237">
        <v>3</v>
      </c>
      <c r="R547" s="295"/>
      <c r="S547" s="296"/>
      <c r="T547" s="198"/>
      <c r="U547" s="198"/>
      <c r="V547" s="198"/>
      <c r="W547" s="196"/>
      <c r="X547" s="196"/>
    </row>
    <row r="548" spans="2:24" x14ac:dyDescent="0.25">
      <c r="B548" s="199">
        <v>45048</v>
      </c>
      <c r="C548" s="3">
        <v>1</v>
      </c>
      <c r="D548" s="3" t="s">
        <v>7</v>
      </c>
      <c r="E548" s="3" t="s">
        <v>360</v>
      </c>
      <c r="G548" s="3">
        <v>396</v>
      </c>
      <c r="H548" s="3">
        <v>4800</v>
      </c>
      <c r="I548" s="3" t="s">
        <v>769</v>
      </c>
      <c r="J548" s="233" t="s">
        <v>1156</v>
      </c>
      <c r="K548" s="3" t="s">
        <v>734</v>
      </c>
      <c r="L548" s="3" t="s">
        <v>21</v>
      </c>
      <c r="M548" s="277">
        <v>0.29166666666666669</v>
      </c>
      <c r="N548" s="277">
        <v>0.625</v>
      </c>
      <c r="O548" s="196">
        <v>4125</v>
      </c>
      <c r="P548" s="3" t="s">
        <v>492</v>
      </c>
      <c r="Q548" s="3">
        <v>5.51</v>
      </c>
      <c r="R548" s="205">
        <v>5.54</v>
      </c>
    </row>
    <row r="549" spans="2:24" x14ac:dyDescent="0.25">
      <c r="B549" s="199">
        <v>45048</v>
      </c>
      <c r="C549" s="3">
        <v>2</v>
      </c>
      <c r="D549" s="3" t="s">
        <v>459</v>
      </c>
      <c r="E549" s="3" t="s">
        <v>188</v>
      </c>
      <c r="G549" s="3">
        <v>397</v>
      </c>
      <c r="H549" s="3">
        <v>4800</v>
      </c>
      <c r="I549" s="233" t="s">
        <v>769</v>
      </c>
      <c r="J549" s="233" t="s">
        <v>1156</v>
      </c>
      <c r="K549" s="233" t="s">
        <v>734</v>
      </c>
      <c r="L549" s="233" t="s">
        <v>21</v>
      </c>
      <c r="M549" s="277">
        <v>0.625</v>
      </c>
      <c r="N549" s="277">
        <v>0.68055555555555547</v>
      </c>
      <c r="O549" s="196">
        <v>638</v>
      </c>
      <c r="P549" s="3" t="s">
        <v>492</v>
      </c>
      <c r="Q549" s="3">
        <v>0.82</v>
      </c>
      <c r="R549" s="205">
        <v>0.76</v>
      </c>
    </row>
    <row r="550" spans="2:24" x14ac:dyDescent="0.25">
      <c r="B550" s="199">
        <v>45048</v>
      </c>
      <c r="C550" s="233">
        <v>2</v>
      </c>
      <c r="D550" s="233" t="s">
        <v>459</v>
      </c>
      <c r="E550" s="233" t="s">
        <v>188</v>
      </c>
      <c r="G550" s="3">
        <v>398</v>
      </c>
      <c r="H550" s="3">
        <v>3000</v>
      </c>
      <c r="I550" s="3" t="s">
        <v>840</v>
      </c>
      <c r="J550" s="3" t="s">
        <v>929</v>
      </c>
      <c r="K550" s="3" t="s">
        <v>737</v>
      </c>
      <c r="L550" s="3" t="s">
        <v>1163</v>
      </c>
      <c r="M550" s="277">
        <v>0.68055555555555547</v>
      </c>
      <c r="N550" s="277">
        <v>0.84375</v>
      </c>
      <c r="O550" s="196">
        <f>3899-O549</f>
        <v>3261</v>
      </c>
      <c r="P550" s="3" t="s">
        <v>492</v>
      </c>
      <c r="Q550" s="3">
        <f>4.66-Q549</f>
        <v>3.8400000000000003</v>
      </c>
      <c r="R550" s="205">
        <f>4.58-R549</f>
        <v>3.8200000000000003</v>
      </c>
    </row>
    <row r="551" spans="2:24" x14ac:dyDescent="0.25">
      <c r="B551" s="199">
        <v>45048</v>
      </c>
      <c r="C551" s="233">
        <v>2</v>
      </c>
      <c r="D551" s="233" t="s">
        <v>459</v>
      </c>
      <c r="E551" s="233" t="s">
        <v>188</v>
      </c>
      <c r="G551" s="3">
        <v>399</v>
      </c>
      <c r="H551" s="3">
        <v>6000</v>
      </c>
      <c r="I551" s="3" t="s">
        <v>707</v>
      </c>
      <c r="J551" s="3" t="s">
        <v>1166</v>
      </c>
      <c r="K551" s="3" t="s">
        <v>734</v>
      </c>
      <c r="L551" s="3" t="s">
        <v>21</v>
      </c>
      <c r="M551" s="277">
        <v>0.84375</v>
      </c>
      <c r="N551" s="277">
        <v>0.95833333333333337</v>
      </c>
      <c r="O551" s="196">
        <v>1729</v>
      </c>
      <c r="P551" s="233" t="s">
        <v>492</v>
      </c>
      <c r="Q551" s="3">
        <v>2.29</v>
      </c>
      <c r="R551" s="205">
        <v>2.2999999999999998</v>
      </c>
    </row>
    <row r="552" spans="2:24" x14ac:dyDescent="0.25">
      <c r="B552" s="199">
        <v>45048</v>
      </c>
      <c r="C552" s="3">
        <v>3</v>
      </c>
      <c r="D552" s="3" t="s">
        <v>466</v>
      </c>
      <c r="E552" s="233" t="s">
        <v>466</v>
      </c>
      <c r="G552" s="233">
        <v>400</v>
      </c>
      <c r="H552" s="233">
        <v>6000</v>
      </c>
      <c r="I552" s="233" t="s">
        <v>707</v>
      </c>
      <c r="J552" s="233" t="s">
        <v>1166</v>
      </c>
      <c r="K552" s="233" t="s">
        <v>734</v>
      </c>
      <c r="L552" s="233" t="s">
        <v>21</v>
      </c>
      <c r="M552" s="277">
        <v>0.95833333333333337</v>
      </c>
      <c r="N552" s="277">
        <v>0.10208333333333335</v>
      </c>
      <c r="O552" s="196">
        <v>2700</v>
      </c>
      <c r="P552" s="233" t="s">
        <v>492</v>
      </c>
      <c r="Q552" s="3">
        <v>3.44</v>
      </c>
      <c r="R552" s="205">
        <v>3.31</v>
      </c>
    </row>
    <row r="553" spans="2:24" x14ac:dyDescent="0.25">
      <c r="B553" s="199">
        <v>45048</v>
      </c>
      <c r="C553" s="233">
        <v>3</v>
      </c>
      <c r="D553" s="233" t="s">
        <v>466</v>
      </c>
      <c r="E553" s="233" t="s">
        <v>466</v>
      </c>
      <c r="G553" s="233">
        <v>401</v>
      </c>
      <c r="H553" s="233">
        <v>6000</v>
      </c>
      <c r="I553" s="233" t="s">
        <v>707</v>
      </c>
      <c r="J553" s="233" t="s">
        <v>1166</v>
      </c>
      <c r="K553" s="233" t="s">
        <v>737</v>
      </c>
      <c r="L553" s="233" t="s">
        <v>1169</v>
      </c>
      <c r="M553" s="277">
        <v>0.10208333333333335</v>
      </c>
      <c r="N553" s="277">
        <v>0.13680555555555554</v>
      </c>
      <c r="O553" s="196">
        <v>500</v>
      </c>
      <c r="P553" s="233" t="s">
        <v>492</v>
      </c>
      <c r="Q553" s="3">
        <v>0.68</v>
      </c>
      <c r="R553" s="205">
        <v>0.71</v>
      </c>
    </row>
    <row r="554" spans="2:24" x14ac:dyDescent="0.25">
      <c r="B554" s="199">
        <v>45048</v>
      </c>
      <c r="C554" s="233">
        <v>3</v>
      </c>
      <c r="D554" s="233" t="s">
        <v>466</v>
      </c>
      <c r="E554" s="233" t="s">
        <v>466</v>
      </c>
      <c r="G554" s="233">
        <v>402</v>
      </c>
      <c r="H554" s="233">
        <v>6000</v>
      </c>
      <c r="I554" s="233" t="s">
        <v>707</v>
      </c>
      <c r="J554" s="233" t="s">
        <v>1166</v>
      </c>
      <c r="K554" s="233" t="s">
        <v>734</v>
      </c>
      <c r="L554" s="233" t="s">
        <v>21</v>
      </c>
      <c r="M554" s="277">
        <v>0.13680555555555554</v>
      </c>
      <c r="N554" s="277">
        <v>0.21388888888888891</v>
      </c>
      <c r="O554" s="196">
        <v>589</v>
      </c>
      <c r="P554" s="3" t="s">
        <v>492</v>
      </c>
      <c r="Q554" s="3">
        <f>5.6-0.68-3.44-Q555</f>
        <v>0.44999999999999996</v>
      </c>
      <c r="R554" s="205">
        <v>0.6</v>
      </c>
    </row>
    <row r="555" spans="2:24" x14ac:dyDescent="0.25">
      <c r="B555" s="199">
        <v>45048</v>
      </c>
      <c r="C555" s="233">
        <v>3</v>
      </c>
      <c r="D555" s="233" t="s">
        <v>466</v>
      </c>
      <c r="E555" s="233" t="s">
        <v>466</v>
      </c>
      <c r="G555" s="233">
        <v>403</v>
      </c>
      <c r="H555" s="233">
        <v>2300</v>
      </c>
      <c r="I555" s="233" t="s">
        <v>707</v>
      </c>
      <c r="J555" s="233" t="s">
        <v>1167</v>
      </c>
      <c r="K555" s="233" t="s">
        <v>734</v>
      </c>
      <c r="L555" s="233" t="s">
        <v>21</v>
      </c>
      <c r="M555" s="277">
        <v>0.21388888888888891</v>
      </c>
      <c r="N555" s="277">
        <v>0.29166666666666669</v>
      </c>
      <c r="O555" s="196">
        <f>4583-589-500-2700</f>
        <v>794</v>
      </c>
      <c r="P555" s="3" t="s">
        <v>492</v>
      </c>
      <c r="Q555" s="233">
        <v>1.03</v>
      </c>
      <c r="R555" s="205">
        <v>1.17</v>
      </c>
    </row>
    <row r="556" spans="2:24" x14ac:dyDescent="0.25">
      <c r="B556" s="199">
        <v>45049</v>
      </c>
      <c r="C556" s="3">
        <v>1</v>
      </c>
      <c r="D556" s="3" t="s">
        <v>459</v>
      </c>
      <c r="E556" s="3" t="s">
        <v>190</v>
      </c>
      <c r="G556" s="233">
        <v>404</v>
      </c>
      <c r="H556" s="233">
        <v>2300</v>
      </c>
      <c r="I556" s="233" t="s">
        <v>707</v>
      </c>
      <c r="J556" s="233" t="s">
        <v>1167</v>
      </c>
      <c r="K556" s="233" t="s">
        <v>734</v>
      </c>
      <c r="L556" s="233" t="s">
        <v>21</v>
      </c>
      <c r="M556" s="277">
        <v>0.29166666666666669</v>
      </c>
      <c r="N556" s="277">
        <v>0.59375</v>
      </c>
      <c r="O556" s="196">
        <v>4050</v>
      </c>
      <c r="P556" s="3" t="s">
        <v>492</v>
      </c>
      <c r="Q556" s="3">
        <v>5.33</v>
      </c>
      <c r="R556" s="205">
        <v>5.18</v>
      </c>
    </row>
    <row r="557" spans="2:24" x14ac:dyDescent="0.25">
      <c r="B557" s="199">
        <v>45049</v>
      </c>
      <c r="C557" s="3">
        <v>1</v>
      </c>
      <c r="D557" s="3" t="s">
        <v>459</v>
      </c>
      <c r="E557" s="3" t="s">
        <v>190</v>
      </c>
      <c r="G557" s="3">
        <v>405</v>
      </c>
      <c r="H557" s="3">
        <v>4964</v>
      </c>
      <c r="I557" s="3" t="s">
        <v>707</v>
      </c>
      <c r="J557" s="3" t="s">
        <v>1172</v>
      </c>
      <c r="K557" s="3" t="s">
        <v>734</v>
      </c>
      <c r="L557" s="3" t="s">
        <v>21</v>
      </c>
      <c r="M557" s="277">
        <v>0.59375</v>
      </c>
      <c r="N557" s="277">
        <v>0.625</v>
      </c>
      <c r="O557" s="196">
        <v>388</v>
      </c>
      <c r="P557" s="3" t="s">
        <v>492</v>
      </c>
      <c r="Q557" s="3">
        <v>0.69</v>
      </c>
      <c r="R557" s="205">
        <v>0.75</v>
      </c>
    </row>
    <row r="558" spans="2:24" x14ac:dyDescent="0.25">
      <c r="B558" s="290">
        <v>45049</v>
      </c>
      <c r="C558" s="237">
        <v>2</v>
      </c>
      <c r="D558" s="237" t="s">
        <v>7</v>
      </c>
      <c r="E558" s="237" t="s">
        <v>188</v>
      </c>
      <c r="F558" s="237"/>
      <c r="G558" s="237"/>
      <c r="H558" s="237"/>
      <c r="I558" s="237"/>
      <c r="J558" s="237"/>
      <c r="K558" s="237"/>
      <c r="L558" s="237"/>
      <c r="M558" s="291">
        <v>0.625</v>
      </c>
      <c r="N558" s="291">
        <v>0.95833333333333337</v>
      </c>
      <c r="O558" s="237">
        <v>0</v>
      </c>
      <c r="P558" s="237">
        <v>0</v>
      </c>
      <c r="Q558" s="237">
        <v>0</v>
      </c>
      <c r="R558" s="295">
        <v>0</v>
      </c>
      <c r="S558" s="296"/>
      <c r="T558" s="296"/>
      <c r="U558" s="296"/>
    </row>
    <row r="559" spans="2:24" x14ac:dyDescent="0.25">
      <c r="B559" s="290">
        <v>45049</v>
      </c>
      <c r="C559" s="237">
        <v>3</v>
      </c>
      <c r="D559" s="237" t="s">
        <v>466</v>
      </c>
      <c r="E559" s="237" t="s">
        <v>3</v>
      </c>
      <c r="F559" s="237"/>
      <c r="G559" s="237"/>
      <c r="H559" s="237"/>
      <c r="I559" s="237"/>
      <c r="J559" s="237"/>
      <c r="K559" s="237"/>
      <c r="L559" s="237"/>
      <c r="M559" s="291">
        <v>0.95833333333333337</v>
      </c>
      <c r="N559" s="291">
        <v>0.29166666666666669</v>
      </c>
      <c r="O559" s="237">
        <v>0</v>
      </c>
      <c r="P559" s="237">
        <v>0</v>
      </c>
      <c r="Q559" s="237">
        <v>0</v>
      </c>
      <c r="R559" s="295">
        <v>0</v>
      </c>
      <c r="S559" s="296"/>
      <c r="T559" s="296"/>
      <c r="U559" s="296"/>
    </row>
    <row r="560" spans="2:24" x14ac:dyDescent="0.25">
      <c r="B560" s="290">
        <v>45050</v>
      </c>
      <c r="C560" s="237">
        <v>1</v>
      </c>
      <c r="D560" s="237" t="s">
        <v>459</v>
      </c>
      <c r="E560" s="237" t="s">
        <v>362</v>
      </c>
      <c r="F560" s="237"/>
      <c r="G560" s="237"/>
      <c r="H560" s="237"/>
      <c r="I560" s="237"/>
      <c r="J560" s="237"/>
      <c r="K560" s="237"/>
      <c r="L560" s="237"/>
      <c r="M560" s="291">
        <v>0.29166666666666669</v>
      </c>
      <c r="N560" s="291">
        <v>0.58333333333333337</v>
      </c>
      <c r="O560" s="237">
        <v>0</v>
      </c>
      <c r="P560" s="237">
        <v>0</v>
      </c>
      <c r="Q560" s="237">
        <v>0</v>
      </c>
      <c r="R560" s="295">
        <v>0</v>
      </c>
      <c r="S560" s="296"/>
      <c r="T560" s="296"/>
      <c r="U560" s="296"/>
    </row>
    <row r="561" spans="2:22" x14ac:dyDescent="0.25">
      <c r="B561" s="290">
        <v>45050</v>
      </c>
      <c r="C561" s="237">
        <v>2</v>
      </c>
      <c r="D561" s="237" t="s">
        <v>7</v>
      </c>
      <c r="E561" s="237" t="s">
        <v>188</v>
      </c>
      <c r="F561" s="237"/>
      <c r="G561" s="237"/>
      <c r="H561" s="237"/>
      <c r="I561" s="237"/>
      <c r="J561" s="237"/>
      <c r="K561" s="237"/>
      <c r="L561" s="237"/>
      <c r="M561" s="291">
        <v>0.625</v>
      </c>
      <c r="N561" s="291">
        <v>0.95833333333333337</v>
      </c>
      <c r="O561" s="237">
        <v>0</v>
      </c>
      <c r="P561" s="237">
        <v>0</v>
      </c>
      <c r="Q561" s="237">
        <v>0</v>
      </c>
      <c r="R561" s="295">
        <v>0</v>
      </c>
      <c r="S561" s="296"/>
      <c r="T561" s="296"/>
      <c r="U561" s="296"/>
      <c r="V561" s="296"/>
    </row>
    <row r="562" spans="2:22" x14ac:dyDescent="0.25">
      <c r="B562" s="199">
        <v>45050</v>
      </c>
      <c r="C562" s="3">
        <v>3</v>
      </c>
      <c r="D562" s="233" t="s">
        <v>466</v>
      </c>
      <c r="E562" s="233" t="s">
        <v>3</v>
      </c>
      <c r="F562" s="3" t="s">
        <v>11</v>
      </c>
      <c r="G562" s="233">
        <v>406</v>
      </c>
      <c r="H562" s="233">
        <v>4964</v>
      </c>
      <c r="I562" s="233" t="s">
        <v>707</v>
      </c>
      <c r="J562" s="233" t="s">
        <v>1172</v>
      </c>
      <c r="K562" s="233" t="s">
        <v>734</v>
      </c>
      <c r="L562" s="233" t="s">
        <v>21</v>
      </c>
      <c r="M562" s="277">
        <v>0.95833333333333337</v>
      </c>
      <c r="N562" s="277">
        <v>0.29166666666666669</v>
      </c>
      <c r="O562" s="196">
        <v>6033</v>
      </c>
      <c r="P562" s="233" t="s">
        <v>492</v>
      </c>
      <c r="Q562" s="3">
        <v>7.59</v>
      </c>
      <c r="R562" s="205">
        <v>7.48</v>
      </c>
    </row>
    <row r="563" spans="2:22" x14ac:dyDescent="0.25">
      <c r="B563" s="199">
        <v>45051</v>
      </c>
      <c r="C563" s="233">
        <v>1</v>
      </c>
      <c r="D563" s="233" t="s">
        <v>459</v>
      </c>
      <c r="E563" s="233" t="s">
        <v>362</v>
      </c>
      <c r="F563" s="233"/>
      <c r="G563" s="233">
        <v>407</v>
      </c>
      <c r="H563" s="233" t="s">
        <v>1073</v>
      </c>
      <c r="I563" s="233" t="s">
        <v>707</v>
      </c>
      <c r="J563" s="233" t="s">
        <v>1172</v>
      </c>
      <c r="K563" s="233" t="s">
        <v>734</v>
      </c>
      <c r="L563" s="233" t="s">
        <v>21</v>
      </c>
      <c r="M563" s="277">
        <v>0.29166666666666669</v>
      </c>
      <c r="N563" s="277">
        <v>0.625</v>
      </c>
      <c r="O563" s="196">
        <v>3610</v>
      </c>
      <c r="P563" s="3" t="s">
        <v>492</v>
      </c>
      <c r="Q563" s="3">
        <v>5.58</v>
      </c>
      <c r="R563" s="205">
        <v>5.63</v>
      </c>
    </row>
    <row r="564" spans="2:22" x14ac:dyDescent="0.25">
      <c r="B564" s="290">
        <v>45051</v>
      </c>
      <c r="C564" s="237">
        <v>2</v>
      </c>
      <c r="D564" s="237" t="s">
        <v>7</v>
      </c>
      <c r="E564" s="237" t="s">
        <v>188</v>
      </c>
      <c r="G564" s="3">
        <v>408</v>
      </c>
      <c r="H564" s="233" t="s">
        <v>1073</v>
      </c>
      <c r="I564" s="233" t="s">
        <v>707</v>
      </c>
      <c r="J564" s="233" t="s">
        <v>1172</v>
      </c>
      <c r="K564" s="233" t="s">
        <v>734</v>
      </c>
      <c r="L564" s="233" t="s">
        <v>21</v>
      </c>
      <c r="M564" s="277">
        <v>0.625</v>
      </c>
      <c r="N564" s="277">
        <v>0.95833333333333337</v>
      </c>
      <c r="O564" s="196">
        <v>1449</v>
      </c>
      <c r="P564" s="3" t="s">
        <v>492</v>
      </c>
      <c r="Q564" s="3">
        <v>2.34</v>
      </c>
      <c r="R564" s="205">
        <v>2.48</v>
      </c>
    </row>
    <row r="565" spans="2:22" x14ac:dyDescent="0.25">
      <c r="B565" s="290">
        <v>45051</v>
      </c>
      <c r="C565" s="3">
        <v>3</v>
      </c>
      <c r="D565" s="3" t="s">
        <v>466</v>
      </c>
      <c r="E565" s="233" t="s">
        <v>466</v>
      </c>
      <c r="F565" s="3" t="s">
        <v>11</v>
      </c>
      <c r="G565" s="233">
        <v>409</v>
      </c>
      <c r="H565" s="233" t="s">
        <v>1073</v>
      </c>
      <c r="I565" s="233" t="s">
        <v>707</v>
      </c>
      <c r="J565" s="233" t="s">
        <v>1172</v>
      </c>
      <c r="K565" s="233" t="s">
        <v>734</v>
      </c>
      <c r="L565" s="233" t="s">
        <v>21</v>
      </c>
      <c r="M565" s="277">
        <v>0.95833333333333337</v>
      </c>
      <c r="N565" s="277">
        <v>2.0833333333333332E-2</v>
      </c>
      <c r="O565" s="196">
        <v>780</v>
      </c>
      <c r="P565" s="233" t="s">
        <v>492</v>
      </c>
      <c r="Q565" s="3">
        <v>1.32</v>
      </c>
      <c r="R565" s="205">
        <v>1.29</v>
      </c>
    </row>
    <row r="566" spans="2:22" x14ac:dyDescent="0.25">
      <c r="B566" s="290">
        <v>45051</v>
      </c>
      <c r="C566" s="233">
        <v>3</v>
      </c>
      <c r="D566" s="233" t="s">
        <v>466</v>
      </c>
      <c r="E566" s="233" t="s">
        <v>466</v>
      </c>
      <c r="F566" s="233" t="s">
        <v>11</v>
      </c>
      <c r="G566" s="233">
        <v>410</v>
      </c>
      <c r="H566" s="3">
        <v>2000</v>
      </c>
      <c r="J566" s="3" t="s">
        <v>851</v>
      </c>
      <c r="K566" s="233" t="s">
        <v>734</v>
      </c>
      <c r="L566" s="233" t="s">
        <v>21</v>
      </c>
      <c r="M566" s="277">
        <v>2.0833333333333332E-2</v>
      </c>
      <c r="N566" s="277">
        <v>0.17916666666666667</v>
      </c>
      <c r="O566" s="196">
        <v>2000</v>
      </c>
      <c r="P566" s="233" t="s">
        <v>492</v>
      </c>
      <c r="Q566" s="3">
        <v>3.57</v>
      </c>
      <c r="R566" s="205">
        <v>3.58</v>
      </c>
    </row>
    <row r="567" spans="2:22" x14ac:dyDescent="0.25">
      <c r="B567" s="290">
        <v>45051</v>
      </c>
      <c r="C567" s="233">
        <v>3</v>
      </c>
      <c r="D567" s="233" t="s">
        <v>466</v>
      </c>
      <c r="E567" s="233" t="s">
        <v>466</v>
      </c>
      <c r="F567" s="233" t="s">
        <v>934</v>
      </c>
      <c r="G567" s="233">
        <v>411</v>
      </c>
      <c r="H567" s="3">
        <v>4000</v>
      </c>
      <c r="J567" s="3" t="s">
        <v>1136</v>
      </c>
      <c r="K567" s="233" t="s">
        <v>734</v>
      </c>
      <c r="L567" s="233" t="s">
        <v>21</v>
      </c>
      <c r="M567" s="277">
        <v>0.17916666666666667</v>
      </c>
      <c r="N567" s="277">
        <v>0.29166666666666669</v>
      </c>
      <c r="O567" s="196">
        <f>3627-2000-780</f>
        <v>847</v>
      </c>
      <c r="P567" s="3" t="s">
        <v>492</v>
      </c>
    </row>
    <row r="568" spans="2:22" x14ac:dyDescent="0.25">
      <c r="B568" s="290">
        <v>45052</v>
      </c>
      <c r="C568" s="3">
        <v>1</v>
      </c>
      <c r="D568" s="3" t="s">
        <v>957</v>
      </c>
      <c r="E568" s="3" t="s">
        <v>190</v>
      </c>
      <c r="F568" s="3" t="s">
        <v>31</v>
      </c>
      <c r="G568" s="233">
        <v>412</v>
      </c>
      <c r="H568" s="233">
        <v>4000</v>
      </c>
      <c r="I568" s="233"/>
      <c r="J568" s="233" t="s">
        <v>1136</v>
      </c>
      <c r="K568" s="233" t="s">
        <v>734</v>
      </c>
      <c r="L568" s="233" t="s">
        <v>21</v>
      </c>
      <c r="M568" s="277">
        <v>0.29166666666666669</v>
      </c>
      <c r="N568" s="277">
        <v>0.625</v>
      </c>
      <c r="O568" s="196">
        <v>1477</v>
      </c>
      <c r="P568" s="3" t="s">
        <v>492</v>
      </c>
      <c r="Q568" s="3">
        <v>2.42</v>
      </c>
      <c r="R568" s="205">
        <v>2.93</v>
      </c>
    </row>
    <row r="569" spans="2:22" s="237" customFormat="1" x14ac:dyDescent="0.25">
      <c r="B569" s="290">
        <v>45052</v>
      </c>
      <c r="C569" s="237">
        <v>2</v>
      </c>
      <c r="D569" s="237" t="s">
        <v>188</v>
      </c>
      <c r="E569" s="237" t="s">
        <v>188</v>
      </c>
      <c r="M569" s="291">
        <v>0.625</v>
      </c>
      <c r="N569" s="291">
        <v>0.95833333333333337</v>
      </c>
      <c r="O569" s="237">
        <v>0</v>
      </c>
      <c r="P569" s="237">
        <v>0</v>
      </c>
      <c r="R569" s="295"/>
      <c r="S569" s="296"/>
      <c r="T569" s="296"/>
      <c r="U569" s="296"/>
      <c r="V569" s="296"/>
    </row>
    <row r="570" spans="2:22" s="237" customFormat="1" x14ac:dyDescent="0.25">
      <c r="B570" s="290">
        <v>45052</v>
      </c>
      <c r="C570" s="237">
        <v>3</v>
      </c>
      <c r="M570" s="291">
        <v>0.95833333333333337</v>
      </c>
      <c r="N570" s="291">
        <v>0.29166666666666669</v>
      </c>
      <c r="O570" s="237">
        <v>0</v>
      </c>
      <c r="P570" s="237">
        <v>0</v>
      </c>
      <c r="R570" s="295"/>
      <c r="S570" s="296"/>
      <c r="T570" s="296"/>
      <c r="U570" s="296"/>
      <c r="V570" s="296"/>
    </row>
    <row r="571" spans="2:22" s="237" customFormat="1" x14ac:dyDescent="0.25">
      <c r="B571" s="290">
        <v>45053</v>
      </c>
      <c r="C571" s="237">
        <v>1</v>
      </c>
      <c r="M571" s="291">
        <v>0.29166666666666669</v>
      </c>
      <c r="N571" s="291">
        <v>0.625</v>
      </c>
      <c r="O571" s="237">
        <v>0</v>
      </c>
      <c r="P571" s="237">
        <v>0</v>
      </c>
      <c r="R571" s="295"/>
      <c r="S571" s="296"/>
      <c r="T571" s="296"/>
      <c r="U571" s="296"/>
      <c r="V571" s="296"/>
    </row>
    <row r="572" spans="2:22" s="237" customFormat="1" x14ac:dyDescent="0.25">
      <c r="B572" s="290">
        <v>45053</v>
      </c>
      <c r="C572" s="237">
        <v>2</v>
      </c>
      <c r="M572" s="291">
        <v>0.625</v>
      </c>
      <c r="N572" s="291">
        <v>0.95833333333333337</v>
      </c>
      <c r="O572" s="237">
        <v>0</v>
      </c>
      <c r="P572" s="237">
        <v>0</v>
      </c>
      <c r="R572" s="295"/>
      <c r="S572" s="296"/>
      <c r="T572" s="296"/>
      <c r="U572" s="296"/>
      <c r="V572" s="296"/>
    </row>
    <row r="573" spans="2:22" s="237" customFormat="1" x14ac:dyDescent="0.25">
      <c r="B573" s="290">
        <v>45053</v>
      </c>
      <c r="C573" s="237">
        <v>3</v>
      </c>
      <c r="M573" s="291">
        <v>0.95833333333333337</v>
      </c>
      <c r="N573" s="291">
        <v>0.29166666666666669</v>
      </c>
      <c r="O573" s="237">
        <v>0</v>
      </c>
      <c r="P573" s="237">
        <v>0</v>
      </c>
      <c r="R573" s="295"/>
      <c r="S573" s="296"/>
      <c r="T573" s="296"/>
      <c r="U573" s="296"/>
      <c r="V573" s="296"/>
    </row>
    <row r="574" spans="2:22" x14ac:dyDescent="0.25">
      <c r="B574" s="199">
        <v>45054</v>
      </c>
      <c r="C574" s="3">
        <v>1</v>
      </c>
      <c r="D574" s="3" t="s">
        <v>4</v>
      </c>
      <c r="E574" s="233" t="s">
        <v>459</v>
      </c>
      <c r="F574" s="3" t="s">
        <v>691</v>
      </c>
      <c r="G574" s="3">
        <v>413</v>
      </c>
      <c r="H574" s="3">
        <v>4000</v>
      </c>
      <c r="J574" s="233" t="s">
        <v>1136</v>
      </c>
      <c r="K574" s="233" t="s">
        <v>734</v>
      </c>
      <c r="L574" s="233" t="s">
        <v>21</v>
      </c>
      <c r="M574" s="277">
        <v>0.29166666666666669</v>
      </c>
      <c r="N574" s="277">
        <v>0.625</v>
      </c>
      <c r="O574" s="196">
        <v>3019</v>
      </c>
      <c r="P574" s="3" t="s">
        <v>748</v>
      </c>
      <c r="Q574" s="342">
        <v>5.9</v>
      </c>
      <c r="R574" s="205">
        <v>5.79</v>
      </c>
    </row>
    <row r="575" spans="2:22" x14ac:dyDescent="0.25">
      <c r="B575" s="199">
        <v>45054</v>
      </c>
      <c r="C575" s="3">
        <v>2</v>
      </c>
      <c r="D575" s="3" t="s">
        <v>1</v>
      </c>
      <c r="E575" s="233" t="s">
        <v>1</v>
      </c>
      <c r="F575" s="3" t="s">
        <v>1182</v>
      </c>
      <c r="G575" s="3">
        <v>414</v>
      </c>
      <c r="H575" s="3">
        <v>2790</v>
      </c>
      <c r="I575" s="3" t="s">
        <v>988</v>
      </c>
      <c r="J575" s="3" t="s">
        <v>1179</v>
      </c>
      <c r="K575" s="233" t="s">
        <v>734</v>
      </c>
      <c r="L575" s="233" t="s">
        <v>21</v>
      </c>
      <c r="M575" s="277">
        <v>0.625</v>
      </c>
      <c r="N575" s="277">
        <v>0.92569444444444438</v>
      </c>
      <c r="O575" s="196">
        <v>3050</v>
      </c>
      <c r="P575" s="3" t="s">
        <v>1180</v>
      </c>
      <c r="Q575" s="3">
        <v>5.79</v>
      </c>
      <c r="R575" s="205">
        <v>5.83</v>
      </c>
    </row>
    <row r="576" spans="2:22" x14ac:dyDescent="0.25">
      <c r="B576" s="199">
        <v>45054</v>
      </c>
      <c r="C576" s="3">
        <v>2</v>
      </c>
      <c r="D576" s="233" t="s">
        <v>1</v>
      </c>
      <c r="E576" s="233" t="s">
        <v>1</v>
      </c>
      <c r="F576" s="233" t="s">
        <v>1182</v>
      </c>
      <c r="G576" s="3">
        <v>415</v>
      </c>
      <c r="H576" s="3">
        <v>7200</v>
      </c>
      <c r="I576" s="3" t="s">
        <v>1184</v>
      </c>
      <c r="J576" s="3" t="s">
        <v>1183</v>
      </c>
      <c r="K576" s="233" t="s">
        <v>734</v>
      </c>
      <c r="L576" s="3" t="s">
        <v>21</v>
      </c>
      <c r="M576" s="277">
        <v>0.92569444444444438</v>
      </c>
      <c r="N576" s="277">
        <v>0.95833333333333337</v>
      </c>
      <c r="O576" s="196">
        <f>3544-3050</f>
        <v>494</v>
      </c>
      <c r="P576" s="233" t="s">
        <v>1180</v>
      </c>
      <c r="Q576" s="3">
        <f>6.97-5.79</f>
        <v>1.1799999999999997</v>
      </c>
      <c r="R576" s="205">
        <f>7.01-5.83</f>
        <v>1.1799999999999997</v>
      </c>
    </row>
    <row r="577" spans="2:18" x14ac:dyDescent="0.25">
      <c r="B577" s="199">
        <v>45054</v>
      </c>
      <c r="C577" s="3">
        <v>3</v>
      </c>
      <c r="D577" s="3" t="s">
        <v>7</v>
      </c>
      <c r="E577" s="233" t="s">
        <v>362</v>
      </c>
      <c r="G577" s="3">
        <v>416</v>
      </c>
      <c r="H577" s="233">
        <v>7200</v>
      </c>
      <c r="I577" s="233" t="s">
        <v>1184</v>
      </c>
      <c r="J577" s="233" t="s">
        <v>1183</v>
      </c>
      <c r="K577" s="233" t="s">
        <v>734</v>
      </c>
      <c r="L577" s="233" t="s">
        <v>21</v>
      </c>
      <c r="M577" s="277">
        <v>0.95833333333333337</v>
      </c>
      <c r="N577" s="277">
        <v>0.29166666666666669</v>
      </c>
      <c r="O577" s="196">
        <v>4437</v>
      </c>
      <c r="P577" s="3" t="s">
        <v>492</v>
      </c>
      <c r="Q577" s="3">
        <v>7.35</v>
      </c>
      <c r="R577" s="205">
        <v>7.37</v>
      </c>
    </row>
    <row r="578" spans="2:18" x14ac:dyDescent="0.25">
      <c r="B578" s="199">
        <v>45055</v>
      </c>
      <c r="C578" s="3">
        <v>1</v>
      </c>
      <c r="D578" s="3" t="s">
        <v>4</v>
      </c>
      <c r="E578" s="233" t="s">
        <v>459</v>
      </c>
      <c r="F578" s="3" t="s">
        <v>1186</v>
      </c>
      <c r="G578" s="3">
        <v>417</v>
      </c>
      <c r="H578" s="3">
        <v>7200</v>
      </c>
      <c r="I578" s="233" t="s">
        <v>1184</v>
      </c>
      <c r="J578" s="233" t="s">
        <v>1183</v>
      </c>
      <c r="K578" s="233" t="s">
        <v>734</v>
      </c>
      <c r="L578" s="196" t="s">
        <v>21</v>
      </c>
      <c r="M578" s="277">
        <v>0.29166666666666669</v>
      </c>
      <c r="N578" s="277">
        <v>0.60069444444444442</v>
      </c>
      <c r="O578" s="196">
        <v>3850</v>
      </c>
      <c r="P578" s="3" t="s">
        <v>492</v>
      </c>
      <c r="Q578" s="3">
        <v>5.4</v>
      </c>
      <c r="R578" s="205">
        <v>5.7</v>
      </c>
    </row>
    <row r="579" spans="2:18" x14ac:dyDescent="0.25">
      <c r="B579" s="199">
        <v>45055</v>
      </c>
      <c r="C579" s="3">
        <v>1</v>
      </c>
      <c r="D579" s="3" t="s">
        <v>4</v>
      </c>
      <c r="E579" s="233" t="s">
        <v>459</v>
      </c>
      <c r="F579" s="3" t="s">
        <v>23</v>
      </c>
      <c r="G579" s="3">
        <v>418</v>
      </c>
      <c r="H579" s="3">
        <v>1300</v>
      </c>
      <c r="I579" s="3" t="s">
        <v>769</v>
      </c>
      <c r="J579" s="3" t="s">
        <v>851</v>
      </c>
      <c r="K579" s="3" t="s">
        <v>734</v>
      </c>
      <c r="L579" s="196" t="s">
        <v>21</v>
      </c>
      <c r="M579" s="277">
        <v>0.60069444444444442</v>
      </c>
      <c r="N579" s="277">
        <v>0.625</v>
      </c>
      <c r="O579" s="196">
        <v>292</v>
      </c>
      <c r="P579" s="3" t="s">
        <v>492</v>
      </c>
      <c r="Q579" s="3">
        <v>0.38</v>
      </c>
      <c r="R579" s="205">
        <v>0.4</v>
      </c>
    </row>
    <row r="580" spans="2:18" x14ac:dyDescent="0.25">
      <c r="B580" s="199">
        <v>45055</v>
      </c>
      <c r="C580" s="233">
        <v>2</v>
      </c>
      <c r="D580" s="233" t="s">
        <v>1</v>
      </c>
      <c r="E580" s="233" t="s">
        <v>1</v>
      </c>
      <c r="F580" s="233" t="s">
        <v>45</v>
      </c>
      <c r="G580" s="3">
        <v>419</v>
      </c>
      <c r="H580" s="3">
        <v>12000</v>
      </c>
      <c r="I580" s="3" t="s">
        <v>840</v>
      </c>
      <c r="J580" s="233" t="s">
        <v>929</v>
      </c>
      <c r="K580" s="191" t="s">
        <v>735</v>
      </c>
      <c r="L580" s="196" t="s">
        <v>48</v>
      </c>
      <c r="M580" s="277">
        <v>0.84027777777777779</v>
      </c>
      <c r="N580" s="277">
        <v>0.87152777777777779</v>
      </c>
      <c r="O580" s="196">
        <v>650</v>
      </c>
      <c r="P580" s="3" t="s">
        <v>492</v>
      </c>
      <c r="Q580" s="3">
        <v>1.2</v>
      </c>
      <c r="R580" s="205">
        <v>1.2</v>
      </c>
    </row>
    <row r="581" spans="2:18" x14ac:dyDescent="0.25">
      <c r="B581" s="199">
        <v>45055</v>
      </c>
      <c r="C581" s="233">
        <v>2</v>
      </c>
      <c r="D581" s="233" t="s">
        <v>1</v>
      </c>
      <c r="E581" s="233" t="s">
        <v>1</v>
      </c>
      <c r="F581" s="233" t="s">
        <v>45</v>
      </c>
      <c r="G581" s="3">
        <v>420</v>
      </c>
      <c r="H581" s="233">
        <v>3600</v>
      </c>
      <c r="I581" s="233" t="s">
        <v>840</v>
      </c>
      <c r="J581" s="233" t="s">
        <v>929</v>
      </c>
      <c r="K581" s="233" t="s">
        <v>737</v>
      </c>
      <c r="L581" s="196" t="s">
        <v>358</v>
      </c>
      <c r="M581" s="277">
        <v>0.88194444444444453</v>
      </c>
      <c r="N581" s="277">
        <v>0.95833333333333337</v>
      </c>
      <c r="O581" s="196">
        <f>1829-650</f>
        <v>1179</v>
      </c>
      <c r="P581" s="233" t="s">
        <v>492</v>
      </c>
      <c r="Q581" s="3">
        <f>2.19-1.2</f>
        <v>0.99</v>
      </c>
      <c r="R581" s="205">
        <f>2.27-1.2</f>
        <v>1.07</v>
      </c>
    </row>
    <row r="582" spans="2:18" x14ac:dyDescent="0.25">
      <c r="B582" s="199">
        <v>45055</v>
      </c>
      <c r="C582" s="3">
        <v>3</v>
      </c>
      <c r="D582" s="233" t="s">
        <v>7</v>
      </c>
      <c r="E582" s="233" t="s">
        <v>362</v>
      </c>
      <c r="G582" s="3">
        <v>421</v>
      </c>
      <c r="H582" s="233">
        <v>3600</v>
      </c>
      <c r="I582" s="233" t="s">
        <v>840</v>
      </c>
      <c r="J582" s="233" t="s">
        <v>929</v>
      </c>
      <c r="K582" s="233" t="s">
        <v>737</v>
      </c>
      <c r="L582" s="233" t="s">
        <v>358</v>
      </c>
      <c r="M582" s="277">
        <v>0.95833333333333337</v>
      </c>
      <c r="N582" s="277">
        <v>8.6111111111111124E-2</v>
      </c>
      <c r="O582" s="196">
        <v>2508</v>
      </c>
      <c r="P582" s="233" t="s">
        <v>492</v>
      </c>
      <c r="Q582" s="3">
        <v>3.03</v>
      </c>
      <c r="R582" s="205">
        <v>3.03</v>
      </c>
    </row>
    <row r="583" spans="2:18" x14ac:dyDescent="0.25">
      <c r="B583" s="199">
        <v>45055</v>
      </c>
      <c r="C583" s="233">
        <v>3</v>
      </c>
      <c r="D583" s="233" t="s">
        <v>7</v>
      </c>
      <c r="E583" s="233" t="s">
        <v>362</v>
      </c>
      <c r="G583" s="3">
        <v>422</v>
      </c>
      <c r="H583" s="233" t="s">
        <v>1073</v>
      </c>
      <c r="I583" s="233" t="s">
        <v>988</v>
      </c>
      <c r="J583" s="233" t="s">
        <v>1189</v>
      </c>
      <c r="K583" s="233" t="s">
        <v>734</v>
      </c>
      <c r="L583" s="233" t="s">
        <v>32</v>
      </c>
      <c r="M583" s="277">
        <v>8.6111111111111124E-2</v>
      </c>
      <c r="N583" s="277">
        <v>0.29166666666666669</v>
      </c>
      <c r="O583" s="196">
        <f>4957-O582</f>
        <v>2449</v>
      </c>
      <c r="P583" s="3" t="s">
        <v>492</v>
      </c>
      <c r="Q583" s="3">
        <f>7.05-Q582</f>
        <v>4.0199999999999996</v>
      </c>
      <c r="R583" s="205">
        <f>7.32-R582</f>
        <v>4.2900000000000009</v>
      </c>
    </row>
    <row r="584" spans="2:18" x14ac:dyDescent="0.25">
      <c r="B584" s="199">
        <v>45056</v>
      </c>
      <c r="C584" s="3">
        <v>1</v>
      </c>
      <c r="D584" s="3" t="s">
        <v>459</v>
      </c>
      <c r="E584" s="3" t="s">
        <v>188</v>
      </c>
      <c r="F584" s="237"/>
      <c r="G584" s="237"/>
      <c r="H584" s="237"/>
      <c r="I584" s="237"/>
      <c r="J584" s="237"/>
      <c r="K584" s="237"/>
      <c r="L584" s="237"/>
      <c r="M584" s="277">
        <v>0.29166666666666669</v>
      </c>
      <c r="N584" s="277">
        <v>0.625</v>
      </c>
      <c r="O584" s="196">
        <v>0</v>
      </c>
      <c r="P584" s="3">
        <v>0</v>
      </c>
      <c r="Q584" s="3">
        <v>0</v>
      </c>
      <c r="R584" s="205">
        <v>0</v>
      </c>
    </row>
    <row r="585" spans="2:18" x14ac:dyDescent="0.25">
      <c r="B585" s="199">
        <v>45056</v>
      </c>
      <c r="C585" s="3">
        <v>2</v>
      </c>
      <c r="D585" s="233" t="s">
        <v>1</v>
      </c>
      <c r="E585" s="3" t="s">
        <v>3</v>
      </c>
      <c r="F585" s="237"/>
      <c r="G585" s="237"/>
      <c r="H585" s="237"/>
      <c r="I585" s="237"/>
      <c r="J585" s="237"/>
      <c r="K585" s="237"/>
      <c r="L585" s="237"/>
      <c r="M585" s="238">
        <v>0.625</v>
      </c>
      <c r="N585" s="238">
        <v>0.95833333333333337</v>
      </c>
      <c r="O585" s="196">
        <v>0</v>
      </c>
      <c r="P585" s="233">
        <v>0</v>
      </c>
      <c r="Q585" s="233">
        <v>0</v>
      </c>
      <c r="R585" s="205">
        <v>0</v>
      </c>
    </row>
    <row r="586" spans="2:18" x14ac:dyDescent="0.25">
      <c r="B586" s="199">
        <v>45056</v>
      </c>
      <c r="C586" s="3">
        <v>3</v>
      </c>
      <c r="D586" s="233" t="s">
        <v>7</v>
      </c>
      <c r="E586" s="233" t="s">
        <v>362</v>
      </c>
      <c r="F586" s="237"/>
      <c r="G586" s="237"/>
      <c r="H586" s="237"/>
      <c r="I586" s="237"/>
      <c r="J586" s="237"/>
      <c r="K586" s="237"/>
      <c r="L586" s="237"/>
      <c r="M586" s="238">
        <v>0.95833333333333337</v>
      </c>
      <c r="N586" s="238">
        <v>0.29166666666666669</v>
      </c>
      <c r="O586" s="196">
        <v>0</v>
      </c>
      <c r="P586" s="233">
        <v>0</v>
      </c>
      <c r="Q586" s="233">
        <v>0</v>
      </c>
      <c r="R586" s="205">
        <v>0</v>
      </c>
    </row>
    <row r="587" spans="2:18" x14ac:dyDescent="0.25">
      <c r="B587" s="199">
        <v>45057</v>
      </c>
      <c r="C587" s="3">
        <v>1</v>
      </c>
      <c r="D587" s="233" t="s">
        <v>459</v>
      </c>
      <c r="E587" s="233" t="s">
        <v>188</v>
      </c>
      <c r="F587" s="237"/>
      <c r="G587" s="237"/>
      <c r="H587" s="237"/>
      <c r="I587" s="237"/>
      <c r="J587" s="237"/>
      <c r="K587" s="237"/>
      <c r="L587" s="237"/>
      <c r="M587" s="238">
        <v>0.29166666666666669</v>
      </c>
      <c r="N587" s="238">
        <v>0.625</v>
      </c>
      <c r="O587" s="196">
        <v>0</v>
      </c>
      <c r="P587" s="233">
        <v>0</v>
      </c>
      <c r="Q587" s="233">
        <v>0</v>
      </c>
      <c r="R587" s="205">
        <v>0</v>
      </c>
    </row>
    <row r="588" spans="2:18" x14ac:dyDescent="0.25">
      <c r="B588" s="199">
        <v>45057</v>
      </c>
      <c r="C588" s="233">
        <v>2</v>
      </c>
      <c r="D588" s="233" t="s">
        <v>1</v>
      </c>
      <c r="E588" s="233" t="s">
        <v>3</v>
      </c>
      <c r="F588" s="237"/>
      <c r="G588" s="237"/>
      <c r="H588" s="237"/>
      <c r="I588" s="237"/>
      <c r="J588" s="237"/>
      <c r="K588" s="237"/>
      <c r="L588" s="237"/>
      <c r="M588" s="238">
        <v>0.625</v>
      </c>
      <c r="N588" s="238">
        <v>0.95833333333333337</v>
      </c>
      <c r="O588" s="196">
        <v>0</v>
      </c>
      <c r="P588" s="233">
        <v>0</v>
      </c>
      <c r="Q588" s="233">
        <v>0</v>
      </c>
      <c r="R588" s="205">
        <v>0</v>
      </c>
    </row>
    <row r="589" spans="2:18" x14ac:dyDescent="0.25">
      <c r="B589" s="199">
        <v>45057</v>
      </c>
      <c r="C589" s="233">
        <v>3</v>
      </c>
      <c r="D589" s="233" t="s">
        <v>7</v>
      </c>
      <c r="E589" s="233" t="s">
        <v>362</v>
      </c>
      <c r="F589" s="237"/>
      <c r="G589" s="237"/>
      <c r="H589" s="237"/>
      <c r="I589" s="237"/>
      <c r="J589" s="237"/>
      <c r="K589" s="237"/>
      <c r="L589" s="237"/>
      <c r="M589" s="238">
        <v>0.95833333333333337</v>
      </c>
      <c r="N589" s="238">
        <v>0.29166666666666669</v>
      </c>
      <c r="O589" s="196">
        <v>0</v>
      </c>
      <c r="P589" s="3">
        <v>0</v>
      </c>
      <c r="Q589" s="3">
        <v>0</v>
      </c>
      <c r="R589" s="205">
        <v>0</v>
      </c>
    </row>
    <row r="590" spans="2:18" x14ac:dyDescent="0.25">
      <c r="B590" s="199">
        <v>45058</v>
      </c>
      <c r="C590" s="233">
        <v>1</v>
      </c>
      <c r="D590" s="233" t="s">
        <v>459</v>
      </c>
      <c r="E590" s="233" t="s">
        <v>188</v>
      </c>
      <c r="F590" s="237"/>
      <c r="G590" s="237"/>
      <c r="H590" s="237"/>
      <c r="I590" s="237"/>
      <c r="J590" s="237"/>
      <c r="K590" s="237"/>
      <c r="L590" s="237"/>
      <c r="M590" s="238">
        <v>0.29166666666666669</v>
      </c>
      <c r="N590" s="238">
        <v>0.625</v>
      </c>
      <c r="O590" s="196">
        <v>0</v>
      </c>
      <c r="P590" s="3">
        <v>0</v>
      </c>
      <c r="Q590" s="3">
        <v>0</v>
      </c>
      <c r="R590" s="205">
        <v>0</v>
      </c>
    </row>
    <row r="591" spans="2:18" x14ac:dyDescent="0.25">
      <c r="B591" s="199">
        <v>45058</v>
      </c>
      <c r="C591" s="233">
        <v>2</v>
      </c>
      <c r="D591" s="233" t="s">
        <v>1</v>
      </c>
      <c r="E591" s="233" t="s">
        <v>3</v>
      </c>
      <c r="F591" s="237"/>
      <c r="G591" s="237"/>
      <c r="H591" s="237"/>
      <c r="I591" s="237"/>
      <c r="J591" s="237"/>
      <c r="K591" s="237"/>
      <c r="L591" s="237"/>
      <c r="M591" s="238">
        <v>0.625</v>
      </c>
      <c r="N591" s="238">
        <v>0.95833333333333337</v>
      </c>
      <c r="O591" s="196">
        <v>0</v>
      </c>
      <c r="P591" s="233">
        <v>0</v>
      </c>
      <c r="Q591" s="233">
        <v>0</v>
      </c>
      <c r="R591" s="205">
        <v>0</v>
      </c>
    </row>
    <row r="592" spans="2:18" x14ac:dyDescent="0.25">
      <c r="B592" s="199">
        <v>45058</v>
      </c>
      <c r="C592" s="233">
        <v>3</v>
      </c>
      <c r="D592" s="233" t="s">
        <v>7</v>
      </c>
      <c r="E592" s="233" t="s">
        <v>362</v>
      </c>
      <c r="F592" s="237"/>
      <c r="G592" s="237"/>
      <c r="H592" s="237"/>
      <c r="I592" s="237"/>
      <c r="J592" s="237"/>
      <c r="K592" s="237"/>
      <c r="L592" s="237"/>
      <c r="M592" s="238">
        <v>0.95833333333333337</v>
      </c>
      <c r="N592" s="238">
        <v>0.29166666666666669</v>
      </c>
      <c r="O592" s="196">
        <v>0</v>
      </c>
      <c r="P592" s="233">
        <v>0</v>
      </c>
      <c r="Q592" s="233">
        <v>0</v>
      </c>
      <c r="R592" s="205">
        <v>0</v>
      </c>
    </row>
    <row r="593" spans="2:19" x14ac:dyDescent="0.25">
      <c r="B593" s="199">
        <v>45059</v>
      </c>
      <c r="C593" s="3">
        <v>1</v>
      </c>
      <c r="D593" s="3" t="s">
        <v>173</v>
      </c>
      <c r="E593" s="233" t="s">
        <v>173</v>
      </c>
      <c r="F593" s="237"/>
      <c r="G593" s="237"/>
      <c r="H593" s="237"/>
      <c r="I593" s="237"/>
      <c r="J593" s="237"/>
      <c r="K593" s="237"/>
      <c r="L593" s="237"/>
      <c r="M593" s="238">
        <v>0.29166666666666669</v>
      </c>
      <c r="N593" s="238">
        <v>0.625</v>
      </c>
      <c r="O593" s="196">
        <v>0</v>
      </c>
      <c r="P593" s="3">
        <v>0</v>
      </c>
      <c r="Q593" s="3">
        <v>0</v>
      </c>
      <c r="R593" s="205">
        <v>0</v>
      </c>
    </row>
    <row r="594" spans="2:19" x14ac:dyDescent="0.25">
      <c r="B594" s="199">
        <v>45059</v>
      </c>
      <c r="C594" s="3">
        <v>2</v>
      </c>
      <c r="D594" s="233" t="s">
        <v>7</v>
      </c>
      <c r="E594" s="233" t="s">
        <v>3</v>
      </c>
      <c r="F594" s="237"/>
      <c r="G594" s="237"/>
      <c r="H594" s="237"/>
      <c r="I594" s="237"/>
      <c r="J594" s="237"/>
      <c r="K594" s="237"/>
      <c r="L594" s="237"/>
      <c r="M594" s="238">
        <v>0.625</v>
      </c>
      <c r="N594" s="238">
        <v>0.95833333333333337</v>
      </c>
      <c r="O594" s="196">
        <v>0</v>
      </c>
      <c r="P594" s="233">
        <v>0</v>
      </c>
      <c r="Q594" s="233">
        <v>0</v>
      </c>
      <c r="R594" s="205">
        <v>0</v>
      </c>
    </row>
    <row r="595" spans="2:19" x14ac:dyDescent="0.25">
      <c r="B595" s="199">
        <v>45059</v>
      </c>
      <c r="C595" s="3">
        <v>3</v>
      </c>
      <c r="D595" s="233" t="s">
        <v>459</v>
      </c>
      <c r="E595" s="233" t="s">
        <v>362</v>
      </c>
      <c r="F595" s="237"/>
      <c r="G595" s="237"/>
      <c r="H595" s="237"/>
      <c r="I595" s="237"/>
      <c r="J595" s="237"/>
      <c r="K595" s="237"/>
      <c r="L595" s="237"/>
      <c r="M595" s="238">
        <v>0.95833333333333337</v>
      </c>
      <c r="N595" s="238">
        <v>0.29166666666666669</v>
      </c>
      <c r="O595" s="196">
        <v>0</v>
      </c>
      <c r="P595" s="233">
        <v>0</v>
      </c>
      <c r="Q595" s="233">
        <v>0</v>
      </c>
      <c r="R595" s="205">
        <v>0</v>
      </c>
    </row>
    <row r="596" spans="2:19" x14ac:dyDescent="0.25">
      <c r="B596" s="199">
        <v>45060</v>
      </c>
      <c r="C596" s="3">
        <v>1</v>
      </c>
      <c r="D596" s="233" t="s">
        <v>173</v>
      </c>
      <c r="E596" s="233" t="s">
        <v>173</v>
      </c>
      <c r="F596" s="237"/>
      <c r="G596" s="237"/>
      <c r="H596" s="237"/>
      <c r="I596" s="237"/>
      <c r="J596" s="237"/>
      <c r="K596" s="237"/>
      <c r="L596" s="237"/>
      <c r="M596" s="238">
        <v>0.29166666666666669</v>
      </c>
      <c r="N596" s="238">
        <v>0.625</v>
      </c>
      <c r="O596" s="196">
        <v>0</v>
      </c>
      <c r="P596" s="233">
        <v>0</v>
      </c>
      <c r="Q596" s="233">
        <v>0</v>
      </c>
      <c r="R596" s="205">
        <v>0</v>
      </c>
    </row>
    <row r="597" spans="2:19" x14ac:dyDescent="0.25">
      <c r="B597" s="199">
        <v>45060</v>
      </c>
      <c r="C597" s="3">
        <v>2</v>
      </c>
      <c r="D597" s="233" t="s">
        <v>7</v>
      </c>
      <c r="E597" s="233" t="s">
        <v>3</v>
      </c>
      <c r="F597" s="237"/>
      <c r="G597" s="237"/>
      <c r="H597" s="237"/>
      <c r="I597" s="237"/>
      <c r="J597" s="237"/>
      <c r="K597" s="237"/>
      <c r="L597" s="237"/>
      <c r="M597" s="238">
        <v>0.625</v>
      </c>
      <c r="N597" s="238">
        <v>0.95833333333333337</v>
      </c>
      <c r="O597" s="196">
        <v>0</v>
      </c>
      <c r="P597" s="233">
        <v>0</v>
      </c>
      <c r="Q597" s="233">
        <v>0</v>
      </c>
      <c r="R597" s="205">
        <v>0</v>
      </c>
    </row>
    <row r="598" spans="2:19" x14ac:dyDescent="0.25">
      <c r="B598" s="199">
        <v>45060</v>
      </c>
      <c r="C598" s="233">
        <v>3</v>
      </c>
      <c r="D598" s="233" t="s">
        <v>459</v>
      </c>
      <c r="E598" s="233" t="s">
        <v>362</v>
      </c>
      <c r="F598" s="237"/>
      <c r="G598" s="237"/>
      <c r="H598" s="237"/>
      <c r="I598" s="237"/>
      <c r="J598" s="237"/>
      <c r="K598" s="237"/>
      <c r="L598" s="237"/>
      <c r="M598" s="238">
        <v>0.29166666666666669</v>
      </c>
      <c r="N598" s="238">
        <v>0.625</v>
      </c>
      <c r="O598" s="196">
        <v>0</v>
      </c>
      <c r="P598" s="233">
        <v>0</v>
      </c>
      <c r="Q598" s="233">
        <v>0</v>
      </c>
      <c r="R598" s="205">
        <v>0</v>
      </c>
      <c r="S598" s="202"/>
    </row>
    <row r="599" spans="2:19" x14ac:dyDescent="0.25">
      <c r="B599" s="199">
        <v>45061</v>
      </c>
      <c r="C599" s="3">
        <v>1</v>
      </c>
      <c r="D599" s="233" t="s">
        <v>1</v>
      </c>
      <c r="E599" s="233" t="s">
        <v>1</v>
      </c>
      <c r="G599" s="233">
        <v>423</v>
      </c>
      <c r="H599" s="233" t="s">
        <v>1073</v>
      </c>
      <c r="I599" s="233" t="s">
        <v>988</v>
      </c>
      <c r="J599" s="233" t="s">
        <v>1189</v>
      </c>
      <c r="K599" s="233" t="s">
        <v>734</v>
      </c>
      <c r="L599" s="233" t="s">
        <v>32</v>
      </c>
      <c r="M599" s="238">
        <v>0.29166666666666669</v>
      </c>
      <c r="N599" s="238">
        <v>0.51388888888888895</v>
      </c>
      <c r="O599" s="196">
        <v>3200</v>
      </c>
      <c r="P599" s="3" t="s">
        <v>492</v>
      </c>
      <c r="Q599" s="3">
        <v>4.1100000000000003</v>
      </c>
      <c r="R599" s="205">
        <v>4.32</v>
      </c>
    </row>
    <row r="600" spans="2:19" x14ac:dyDescent="0.25">
      <c r="B600" s="199">
        <v>45061</v>
      </c>
      <c r="C600" s="3">
        <v>1</v>
      </c>
      <c r="D600" s="233" t="s">
        <v>1</v>
      </c>
      <c r="E600" s="233" t="s">
        <v>1</v>
      </c>
      <c r="G600" s="3">
        <v>424</v>
      </c>
      <c r="H600" s="3">
        <v>3950</v>
      </c>
      <c r="I600" s="3" t="s">
        <v>707</v>
      </c>
      <c r="J600" s="3" t="s">
        <v>1136</v>
      </c>
      <c r="L600" s="3" t="s">
        <v>32</v>
      </c>
      <c r="M600" s="238">
        <v>0.52083333333333337</v>
      </c>
      <c r="N600" s="238">
        <v>0.625</v>
      </c>
      <c r="O600" s="196">
        <v>1460</v>
      </c>
      <c r="P600" s="233" t="s">
        <v>492</v>
      </c>
      <c r="Q600" s="3">
        <v>2.14</v>
      </c>
      <c r="R600" s="205">
        <v>2.1800000000000002</v>
      </c>
    </row>
    <row r="601" spans="2:19" x14ac:dyDescent="0.25">
      <c r="B601" s="199">
        <v>45061</v>
      </c>
      <c r="C601" s="3">
        <v>2</v>
      </c>
      <c r="D601" s="3" t="s">
        <v>7</v>
      </c>
      <c r="E601" s="233" t="s">
        <v>7</v>
      </c>
      <c r="G601" s="233">
        <v>425</v>
      </c>
      <c r="H601" s="233">
        <v>3950</v>
      </c>
      <c r="I601" s="233" t="s">
        <v>707</v>
      </c>
      <c r="J601" s="233" t="s">
        <v>1136</v>
      </c>
      <c r="K601" s="233"/>
      <c r="L601" s="233" t="s">
        <v>32</v>
      </c>
      <c r="M601" s="238">
        <v>0.625</v>
      </c>
      <c r="N601" s="238">
        <v>0.85416666666666663</v>
      </c>
      <c r="O601" s="196">
        <v>950</v>
      </c>
      <c r="P601" s="3" t="s">
        <v>492</v>
      </c>
      <c r="Q601" s="3">
        <v>1.6</v>
      </c>
      <c r="R601" s="205">
        <v>2</v>
      </c>
    </row>
    <row r="602" spans="2:19" x14ac:dyDescent="0.25">
      <c r="B602" s="199">
        <v>45061</v>
      </c>
      <c r="C602" s="3">
        <v>2</v>
      </c>
      <c r="D602" s="233" t="s">
        <v>7</v>
      </c>
      <c r="E602" s="233" t="s">
        <v>7</v>
      </c>
      <c r="G602" s="3">
        <v>426</v>
      </c>
      <c r="J602" s="3" t="s">
        <v>851</v>
      </c>
      <c r="L602" s="233" t="s">
        <v>32</v>
      </c>
      <c r="M602" s="238">
        <v>0.85416666666666663</v>
      </c>
      <c r="N602" s="238">
        <v>0.95833333333333337</v>
      </c>
      <c r="O602" s="196">
        <v>876</v>
      </c>
      <c r="P602" s="3" t="s">
        <v>492</v>
      </c>
      <c r="Q602" s="3">
        <v>1.2</v>
      </c>
      <c r="R602" s="205">
        <v>1.46</v>
      </c>
    </row>
    <row r="603" spans="2:19" x14ac:dyDescent="0.25">
      <c r="B603" s="199">
        <v>45061</v>
      </c>
      <c r="C603" s="3">
        <v>3</v>
      </c>
      <c r="D603" s="3" t="s">
        <v>459</v>
      </c>
      <c r="E603" s="3" t="s">
        <v>188</v>
      </c>
      <c r="M603" s="238">
        <v>0.95833333333333337</v>
      </c>
      <c r="N603" s="238">
        <v>0.29166666666666669</v>
      </c>
      <c r="O603" s="196">
        <v>0</v>
      </c>
      <c r="P603" s="233">
        <v>0</v>
      </c>
      <c r="Q603" s="233">
        <v>0</v>
      </c>
      <c r="R603" s="205">
        <v>0</v>
      </c>
    </row>
    <row r="604" spans="2:19" x14ac:dyDescent="0.25">
      <c r="B604" s="199">
        <v>45062</v>
      </c>
      <c r="C604" s="3">
        <v>1</v>
      </c>
      <c r="D604" s="3" t="s">
        <v>466</v>
      </c>
      <c r="E604" s="233" t="s">
        <v>466</v>
      </c>
      <c r="M604" s="238">
        <v>0.29166666666666669</v>
      </c>
      <c r="N604" s="238">
        <v>0.625</v>
      </c>
      <c r="O604" s="196">
        <v>0</v>
      </c>
      <c r="P604" s="233">
        <v>0</v>
      </c>
      <c r="Q604" s="233">
        <v>0</v>
      </c>
      <c r="R604" s="205">
        <v>0</v>
      </c>
    </row>
    <row r="605" spans="2:19" x14ac:dyDescent="0.25">
      <c r="B605" s="199">
        <v>45062</v>
      </c>
      <c r="C605" s="3">
        <v>2</v>
      </c>
      <c r="D605" s="233" t="s">
        <v>7</v>
      </c>
      <c r="E605" s="3" t="s">
        <v>190</v>
      </c>
      <c r="M605" s="238">
        <v>0.625</v>
      </c>
      <c r="N605" s="238">
        <v>0.95833333333333337</v>
      </c>
      <c r="O605" s="196">
        <v>0</v>
      </c>
      <c r="P605" s="233">
        <v>0</v>
      </c>
      <c r="Q605" s="233">
        <v>0</v>
      </c>
      <c r="R605" s="205">
        <v>0</v>
      </c>
    </row>
    <row r="606" spans="2:19" x14ac:dyDescent="0.25">
      <c r="B606" s="199">
        <v>45062</v>
      </c>
      <c r="C606" s="3">
        <v>3</v>
      </c>
      <c r="D606" s="3" t="s">
        <v>459</v>
      </c>
      <c r="E606" s="3" t="s">
        <v>188</v>
      </c>
      <c r="M606" s="238">
        <v>0.95833333333333337</v>
      </c>
      <c r="N606" s="238">
        <v>0.29166666666666669</v>
      </c>
      <c r="O606" s="196">
        <v>0</v>
      </c>
      <c r="P606" s="233">
        <v>0</v>
      </c>
      <c r="Q606" s="233">
        <v>0</v>
      </c>
      <c r="R606" s="205">
        <v>0</v>
      </c>
    </row>
    <row r="607" spans="2:19" x14ac:dyDescent="0.25">
      <c r="B607" s="199">
        <v>45063</v>
      </c>
      <c r="C607" s="3">
        <v>1</v>
      </c>
      <c r="D607" s="3" t="s">
        <v>466</v>
      </c>
      <c r="E607" s="233" t="s">
        <v>466</v>
      </c>
      <c r="M607" s="238">
        <v>0.29166666666666669</v>
      </c>
      <c r="N607" s="238">
        <v>0.625</v>
      </c>
      <c r="O607" s="196">
        <v>0</v>
      </c>
      <c r="P607" s="233">
        <v>0</v>
      </c>
      <c r="Q607" s="233">
        <v>0</v>
      </c>
      <c r="R607" s="205">
        <v>0</v>
      </c>
    </row>
    <row r="608" spans="2:19" x14ac:dyDescent="0.25">
      <c r="B608" s="199">
        <v>45063</v>
      </c>
      <c r="C608" s="233">
        <v>2</v>
      </c>
      <c r="D608" s="233" t="s">
        <v>7</v>
      </c>
      <c r="E608" s="233" t="s">
        <v>3</v>
      </c>
      <c r="M608" s="238">
        <v>0.625</v>
      </c>
      <c r="N608" s="238">
        <v>0.95833333333333337</v>
      </c>
      <c r="O608" s="196">
        <v>0</v>
      </c>
      <c r="P608" s="233">
        <v>0</v>
      </c>
      <c r="Q608" s="233">
        <v>0</v>
      </c>
      <c r="R608" s="205">
        <v>0</v>
      </c>
    </row>
    <row r="609" spans="1:18" x14ac:dyDescent="0.25">
      <c r="B609" s="199">
        <v>45063</v>
      </c>
      <c r="C609" s="3">
        <v>3</v>
      </c>
      <c r="D609" s="3" t="s">
        <v>459</v>
      </c>
      <c r="E609" s="3" t="s">
        <v>188</v>
      </c>
      <c r="M609" s="238">
        <v>0.95833333333333337</v>
      </c>
      <c r="N609" s="238">
        <v>0.29166666666666669</v>
      </c>
      <c r="O609" s="196">
        <v>0</v>
      </c>
      <c r="P609" s="233">
        <v>0</v>
      </c>
      <c r="Q609" s="233">
        <v>0</v>
      </c>
      <c r="R609" s="205">
        <v>0</v>
      </c>
    </row>
    <row r="610" spans="1:18" ht="15.75" x14ac:dyDescent="0.25">
      <c r="A610" s="347"/>
      <c r="B610" s="348">
        <v>45064</v>
      </c>
      <c r="C610" s="347">
        <v>1</v>
      </c>
      <c r="D610" s="347" t="s">
        <v>1</v>
      </c>
      <c r="E610" s="347"/>
      <c r="F610" s="347"/>
      <c r="G610" s="347"/>
      <c r="H610" s="347"/>
      <c r="I610" s="347"/>
      <c r="J610" s="347"/>
      <c r="K610" s="347"/>
      <c r="L610" s="347"/>
      <c r="M610" s="349">
        <v>0.29166666666666669</v>
      </c>
      <c r="N610" s="349">
        <v>0.625</v>
      </c>
      <c r="O610" s="350">
        <v>0</v>
      </c>
      <c r="P610" s="347">
        <v>0</v>
      </c>
      <c r="Q610" s="347">
        <v>0</v>
      </c>
      <c r="R610" s="352">
        <v>0</v>
      </c>
    </row>
    <row r="611" spans="1:18" ht="15.75" x14ac:dyDescent="0.25">
      <c r="A611" s="347"/>
      <c r="B611" s="348">
        <v>45064</v>
      </c>
      <c r="C611" s="347">
        <v>2</v>
      </c>
      <c r="D611" s="347" t="s">
        <v>7</v>
      </c>
      <c r="E611" s="347" t="s">
        <v>3</v>
      </c>
      <c r="F611" s="347"/>
      <c r="G611" s="347"/>
      <c r="H611" s="347"/>
      <c r="I611" s="347"/>
      <c r="J611" s="347"/>
      <c r="K611" s="347"/>
      <c r="L611" s="347"/>
      <c r="M611" s="349">
        <v>0.625</v>
      </c>
      <c r="N611" s="349">
        <v>0.95833333333333337</v>
      </c>
      <c r="O611" s="350">
        <v>0</v>
      </c>
      <c r="P611" s="347">
        <v>0</v>
      </c>
      <c r="Q611" s="347">
        <v>0</v>
      </c>
      <c r="R611" s="352">
        <v>0</v>
      </c>
    </row>
    <row r="612" spans="1:18" ht="15.75" x14ac:dyDescent="0.25">
      <c r="A612" s="347"/>
      <c r="B612" s="348">
        <v>45064</v>
      </c>
      <c r="C612" s="347">
        <v>3</v>
      </c>
      <c r="D612" s="347" t="s">
        <v>459</v>
      </c>
      <c r="E612" s="347" t="s">
        <v>188</v>
      </c>
      <c r="F612" s="347" t="s">
        <v>17</v>
      </c>
      <c r="G612" s="347">
        <v>427</v>
      </c>
      <c r="H612" s="347"/>
      <c r="I612" s="347" t="s">
        <v>840</v>
      </c>
      <c r="J612" s="347" t="s">
        <v>929</v>
      </c>
      <c r="K612" s="347" t="s">
        <v>734</v>
      </c>
      <c r="L612" s="347" t="s">
        <v>696</v>
      </c>
      <c r="M612" s="349">
        <v>0.95833333333333337</v>
      </c>
      <c r="N612" s="349">
        <v>5.6944444444444443E-2</v>
      </c>
      <c r="O612" s="350">
        <v>400</v>
      </c>
      <c r="P612" s="347">
        <v>0</v>
      </c>
      <c r="Q612" s="347">
        <v>0.7</v>
      </c>
      <c r="R612" s="352">
        <v>0.8</v>
      </c>
    </row>
    <row r="613" spans="1:18" ht="15.75" x14ac:dyDescent="0.25">
      <c r="A613" s="347"/>
      <c r="B613" s="348">
        <v>45064</v>
      </c>
      <c r="C613" s="347">
        <v>3</v>
      </c>
      <c r="D613" s="347" t="s">
        <v>459</v>
      </c>
      <c r="E613" s="347" t="s">
        <v>188</v>
      </c>
      <c r="F613" s="347" t="s">
        <v>17</v>
      </c>
      <c r="G613" s="347">
        <v>428</v>
      </c>
      <c r="H613" s="347"/>
      <c r="I613" s="347" t="s">
        <v>840</v>
      </c>
      <c r="J613" s="347" t="s">
        <v>929</v>
      </c>
      <c r="K613" s="347" t="s">
        <v>734</v>
      </c>
      <c r="L613" s="347" t="s">
        <v>32</v>
      </c>
      <c r="M613" s="349">
        <v>5.6944444444444443E-2</v>
      </c>
      <c r="N613" s="349">
        <v>0.17083333333333331</v>
      </c>
      <c r="O613" s="350">
        <v>1100</v>
      </c>
      <c r="P613" s="347">
        <v>0</v>
      </c>
      <c r="Q613" s="347">
        <f>2.95-Q612</f>
        <v>2.25</v>
      </c>
      <c r="R613" s="352">
        <f>2.68-R612</f>
        <v>1.8800000000000001</v>
      </c>
    </row>
    <row r="614" spans="1:18" ht="15.75" x14ac:dyDescent="0.25">
      <c r="A614" s="347"/>
      <c r="B614" s="348">
        <v>45064</v>
      </c>
      <c r="C614" s="347">
        <v>3</v>
      </c>
      <c r="D614" s="347" t="s">
        <v>459</v>
      </c>
      <c r="E614" s="347" t="s">
        <v>188</v>
      </c>
      <c r="F614" s="347" t="s">
        <v>17</v>
      </c>
      <c r="G614" s="347">
        <v>429</v>
      </c>
      <c r="H614" s="347"/>
      <c r="I614" s="347" t="s">
        <v>769</v>
      </c>
      <c r="J614" s="347" t="s">
        <v>851</v>
      </c>
      <c r="K614" s="347" t="s">
        <v>734</v>
      </c>
      <c r="L614" s="347" t="s">
        <v>32</v>
      </c>
      <c r="M614" s="349">
        <v>0.17083333333333331</v>
      </c>
      <c r="N614" s="349">
        <v>0.29166666666666669</v>
      </c>
      <c r="O614" s="350">
        <v>1943</v>
      </c>
      <c r="P614" s="347" t="s">
        <v>748</v>
      </c>
      <c r="Q614" s="347">
        <v>2.4500000000000002</v>
      </c>
      <c r="R614" s="352">
        <v>2.4900000000000002</v>
      </c>
    </row>
    <row r="615" spans="1:18" ht="15.75" x14ac:dyDescent="0.25">
      <c r="A615" s="347"/>
      <c r="B615" s="348">
        <v>45065</v>
      </c>
      <c r="C615" s="347">
        <v>1</v>
      </c>
      <c r="D615" s="347" t="s">
        <v>1</v>
      </c>
      <c r="E615" s="347" t="s">
        <v>1</v>
      </c>
      <c r="F615" s="347" t="s">
        <v>934</v>
      </c>
      <c r="G615" s="347">
        <v>430</v>
      </c>
      <c r="H615" s="347">
        <v>4500</v>
      </c>
      <c r="I615" s="347" t="s">
        <v>769</v>
      </c>
      <c r="J615" s="347" t="s">
        <v>851</v>
      </c>
      <c r="K615" s="347" t="s">
        <v>734</v>
      </c>
      <c r="L615" s="347" t="s">
        <v>32</v>
      </c>
      <c r="M615" s="349">
        <v>0.29166666666666669</v>
      </c>
      <c r="N615" s="349">
        <v>0.53472222222222221</v>
      </c>
      <c r="O615" s="350">
        <v>3750</v>
      </c>
      <c r="P615" s="347" t="s">
        <v>748</v>
      </c>
      <c r="Q615" s="347">
        <v>4.59</v>
      </c>
      <c r="R615" s="352">
        <v>4.53</v>
      </c>
    </row>
    <row r="616" spans="1:18" ht="15.75" x14ac:dyDescent="0.25">
      <c r="A616" s="347"/>
      <c r="B616" s="348">
        <v>45065</v>
      </c>
      <c r="C616" s="347">
        <v>1</v>
      </c>
      <c r="D616" s="347" t="s">
        <v>1</v>
      </c>
      <c r="E616" s="347" t="s">
        <v>1</v>
      </c>
      <c r="F616" s="347" t="s">
        <v>39</v>
      </c>
      <c r="G616" s="347">
        <v>431</v>
      </c>
      <c r="H616" s="347" t="s">
        <v>1199</v>
      </c>
      <c r="I616" s="347" t="s">
        <v>988</v>
      </c>
      <c r="J616" s="347" t="s">
        <v>1198</v>
      </c>
      <c r="K616" s="347" t="s">
        <v>734</v>
      </c>
      <c r="L616" s="347" t="s">
        <v>32</v>
      </c>
      <c r="M616" s="349">
        <v>0.53819444444444442</v>
      </c>
      <c r="N616" s="349">
        <v>0.625</v>
      </c>
      <c r="O616" s="350">
        <v>1250</v>
      </c>
      <c r="P616" s="347" t="s">
        <v>748</v>
      </c>
      <c r="Q616" s="347">
        <v>2.4</v>
      </c>
      <c r="R616" s="352">
        <v>2.63</v>
      </c>
    </row>
    <row r="617" spans="1:18" ht="15.75" x14ac:dyDescent="0.25">
      <c r="A617" s="347"/>
      <c r="B617" s="348">
        <v>45065</v>
      </c>
      <c r="C617" s="347">
        <v>2</v>
      </c>
      <c r="D617" s="347" t="s">
        <v>7</v>
      </c>
      <c r="E617" s="347" t="s">
        <v>3</v>
      </c>
      <c r="F617" s="347" t="s">
        <v>51</v>
      </c>
      <c r="G617" s="347">
        <v>432</v>
      </c>
      <c r="H617" s="347" t="s">
        <v>1199</v>
      </c>
      <c r="I617" s="347" t="s">
        <v>988</v>
      </c>
      <c r="J617" s="347" t="s">
        <v>1198</v>
      </c>
      <c r="K617" s="347" t="s">
        <v>734</v>
      </c>
      <c r="L617" s="347" t="s">
        <v>32</v>
      </c>
      <c r="M617" s="349">
        <v>0.625</v>
      </c>
      <c r="N617" s="349">
        <v>0.76388888888888884</v>
      </c>
      <c r="O617" s="350">
        <v>1660</v>
      </c>
      <c r="P617" s="347" t="s">
        <v>748</v>
      </c>
      <c r="Q617" s="347">
        <v>2.4700000000000002</v>
      </c>
      <c r="R617" s="352">
        <v>2.46</v>
      </c>
    </row>
    <row r="618" spans="1:18" ht="15.75" x14ac:dyDescent="0.25">
      <c r="A618" s="347"/>
      <c r="B618" s="348">
        <v>45065</v>
      </c>
      <c r="C618" s="347">
        <v>2</v>
      </c>
      <c r="D618" s="347" t="s">
        <v>7</v>
      </c>
      <c r="E618" s="347" t="s">
        <v>3</v>
      </c>
      <c r="F618" s="347" t="s">
        <v>51</v>
      </c>
      <c r="G618" s="347">
        <v>433</v>
      </c>
      <c r="H618" s="347">
        <v>9200</v>
      </c>
      <c r="I618" s="347" t="s">
        <v>988</v>
      </c>
      <c r="J618" s="347" t="s">
        <v>1200</v>
      </c>
      <c r="K618" s="347" t="s">
        <v>734</v>
      </c>
      <c r="L618" s="347" t="s">
        <v>32</v>
      </c>
      <c r="M618" s="349">
        <v>0.76388888888888884</v>
      </c>
      <c r="N618" s="349">
        <v>0.95833333333333337</v>
      </c>
      <c r="O618" s="350">
        <v>2708</v>
      </c>
      <c r="P618" s="347" t="s">
        <v>748</v>
      </c>
      <c r="Q618" s="347">
        <v>3.23</v>
      </c>
      <c r="R618" s="352">
        <v>4.29</v>
      </c>
    </row>
    <row r="619" spans="1:18" ht="15.75" x14ac:dyDescent="0.25">
      <c r="A619" s="347"/>
      <c r="B619" s="348">
        <v>45065</v>
      </c>
      <c r="C619" s="347">
        <v>3</v>
      </c>
      <c r="D619" s="347" t="s">
        <v>459</v>
      </c>
      <c r="E619" s="347" t="s">
        <v>188</v>
      </c>
      <c r="F619" s="347" t="s">
        <v>691</v>
      </c>
      <c r="G619" s="347">
        <v>434</v>
      </c>
      <c r="H619" s="347">
        <v>9200</v>
      </c>
      <c r="I619" s="347" t="s">
        <v>988</v>
      </c>
      <c r="J619" s="347" t="s">
        <v>1200</v>
      </c>
      <c r="K619" s="347" t="s">
        <v>734</v>
      </c>
      <c r="L619" s="347" t="s">
        <v>32</v>
      </c>
      <c r="M619" s="349">
        <v>0.95833333333333337</v>
      </c>
      <c r="N619" s="349">
        <v>0.29166666666666669</v>
      </c>
      <c r="O619" s="350">
        <v>0</v>
      </c>
      <c r="P619" s="347">
        <v>0</v>
      </c>
      <c r="Q619" s="347">
        <v>0</v>
      </c>
      <c r="R619" s="352">
        <v>0</v>
      </c>
    </row>
    <row r="620" spans="1:18" ht="15.75" x14ac:dyDescent="0.25">
      <c r="A620" s="347"/>
      <c r="B620" s="348">
        <v>45066</v>
      </c>
      <c r="C620" s="347">
        <v>1</v>
      </c>
      <c r="D620" s="347" t="s">
        <v>4</v>
      </c>
      <c r="E620" s="347"/>
      <c r="F620" s="351"/>
      <c r="G620" s="351"/>
      <c r="H620" s="351"/>
      <c r="I620" s="351"/>
      <c r="J620" s="351"/>
      <c r="K620" s="351"/>
      <c r="L620" s="351"/>
      <c r="M620" s="349">
        <v>0.29166666666666669</v>
      </c>
      <c r="N620" s="349">
        <v>0.625</v>
      </c>
      <c r="O620" s="350">
        <v>0</v>
      </c>
      <c r="P620" s="347"/>
      <c r="Q620" s="347">
        <v>0</v>
      </c>
      <c r="R620" s="352"/>
    </row>
    <row r="621" spans="1:18" ht="18.75" x14ac:dyDescent="0.25">
      <c r="A621" s="353"/>
      <c r="B621" s="348">
        <v>45066</v>
      </c>
      <c r="C621" s="347">
        <v>2</v>
      </c>
      <c r="D621" s="347" t="s">
        <v>7</v>
      </c>
      <c r="E621" s="347" t="s">
        <v>634</v>
      </c>
      <c r="F621" s="351"/>
      <c r="G621" s="351"/>
      <c r="H621" s="351"/>
      <c r="I621" s="351"/>
      <c r="J621" s="351"/>
      <c r="K621" s="351"/>
      <c r="L621" s="351"/>
      <c r="M621" s="349">
        <v>0.625</v>
      </c>
      <c r="N621" s="349">
        <v>0.95833333333333337</v>
      </c>
      <c r="O621" s="350">
        <v>0</v>
      </c>
      <c r="P621" s="347"/>
      <c r="Q621" s="347">
        <v>0</v>
      </c>
      <c r="R621" s="352"/>
    </row>
    <row r="622" spans="1:18" ht="18.75" x14ac:dyDescent="0.25">
      <c r="A622" s="353"/>
      <c r="B622" s="348">
        <v>45066</v>
      </c>
      <c r="C622" s="347">
        <v>3</v>
      </c>
      <c r="D622" s="347" t="s">
        <v>1</v>
      </c>
      <c r="E622" s="347" t="s">
        <v>188</v>
      </c>
      <c r="F622" s="351"/>
      <c r="G622" s="351"/>
      <c r="H622" s="351"/>
      <c r="I622" s="351"/>
      <c r="J622" s="351"/>
      <c r="K622" s="351"/>
      <c r="L622" s="351"/>
      <c r="M622" s="349">
        <v>0.95833333333333337</v>
      </c>
      <c r="N622" s="349">
        <v>0.29166666666666669</v>
      </c>
      <c r="O622" s="350">
        <v>0</v>
      </c>
      <c r="P622" s="347">
        <v>0</v>
      </c>
      <c r="Q622" s="347">
        <v>0</v>
      </c>
      <c r="R622" s="352">
        <v>0</v>
      </c>
    </row>
    <row r="623" spans="1:18" ht="18.75" x14ac:dyDescent="0.25">
      <c r="A623" s="353"/>
      <c r="B623" s="348">
        <v>45067</v>
      </c>
      <c r="C623" s="347">
        <v>1</v>
      </c>
      <c r="D623" s="347"/>
      <c r="E623" s="347"/>
      <c r="F623" s="351"/>
      <c r="G623" s="351"/>
      <c r="H623" s="351"/>
      <c r="I623" s="351"/>
      <c r="J623" s="351"/>
      <c r="K623" s="351"/>
      <c r="L623" s="351"/>
      <c r="M623" s="349">
        <v>0.29166666666666669</v>
      </c>
      <c r="N623" s="349">
        <v>0.625</v>
      </c>
      <c r="O623" s="350">
        <v>0</v>
      </c>
      <c r="P623" s="347">
        <v>0</v>
      </c>
      <c r="Q623" s="347">
        <v>0</v>
      </c>
      <c r="R623" s="352">
        <v>0</v>
      </c>
    </row>
    <row r="624" spans="1:18" ht="18.75" x14ac:dyDescent="0.25">
      <c r="A624" s="353"/>
      <c r="B624" s="348">
        <v>45067</v>
      </c>
      <c r="C624" s="347">
        <v>2</v>
      </c>
      <c r="D624" s="347" t="s">
        <v>7</v>
      </c>
      <c r="E624" s="347" t="s">
        <v>634</v>
      </c>
      <c r="F624" s="351"/>
      <c r="G624" s="351"/>
      <c r="H624" s="351"/>
      <c r="I624" s="351"/>
      <c r="J624" s="351"/>
      <c r="K624" s="351"/>
      <c r="L624" s="351"/>
      <c r="M624" s="349">
        <v>0.625</v>
      </c>
      <c r="N624" s="349">
        <v>0.95833333333333337</v>
      </c>
      <c r="O624" s="350">
        <v>0</v>
      </c>
      <c r="P624" s="347">
        <v>0</v>
      </c>
      <c r="Q624" s="347">
        <v>0</v>
      </c>
      <c r="R624" s="352">
        <v>0</v>
      </c>
    </row>
    <row r="625" spans="1:18" ht="18.75" x14ac:dyDescent="0.25">
      <c r="A625" s="353"/>
      <c r="B625" s="348">
        <v>45067</v>
      </c>
      <c r="C625" s="347">
        <v>3</v>
      </c>
      <c r="D625" s="347"/>
      <c r="E625" s="347"/>
      <c r="F625" s="347"/>
      <c r="G625" s="347"/>
      <c r="H625" s="347"/>
      <c r="I625" s="347"/>
      <c r="J625" s="347"/>
      <c r="K625" s="347"/>
      <c r="L625" s="347"/>
      <c r="M625" s="349">
        <v>0.95833333333333337</v>
      </c>
      <c r="N625" s="349">
        <v>0.29166666666666669</v>
      </c>
      <c r="O625" s="350">
        <v>0</v>
      </c>
      <c r="P625" s="347">
        <v>0</v>
      </c>
      <c r="Q625" s="347"/>
      <c r="R625" s="352"/>
    </row>
    <row r="626" spans="1:18" ht="18.75" x14ac:dyDescent="0.25">
      <c r="A626" s="353"/>
      <c r="B626" s="348">
        <v>45068</v>
      </c>
      <c r="C626" s="347">
        <v>1</v>
      </c>
      <c r="D626" s="347" t="s">
        <v>7</v>
      </c>
      <c r="E626" s="347" t="s">
        <v>360</v>
      </c>
      <c r="F626" s="347"/>
      <c r="G626" s="347">
        <v>435</v>
      </c>
      <c r="H626" s="347">
        <v>9200</v>
      </c>
      <c r="I626" s="347" t="s">
        <v>924</v>
      </c>
      <c r="J626" s="347" t="s">
        <v>1200</v>
      </c>
      <c r="K626" s="347" t="s">
        <v>734</v>
      </c>
      <c r="L626" s="347" t="s">
        <v>32</v>
      </c>
      <c r="M626" s="349">
        <v>0.29166666666666669</v>
      </c>
      <c r="N626" s="349">
        <v>0.625</v>
      </c>
      <c r="O626" s="350">
        <v>696</v>
      </c>
      <c r="P626" s="347">
        <v>0</v>
      </c>
      <c r="Q626" s="347">
        <v>0</v>
      </c>
      <c r="R626" s="352">
        <v>0</v>
      </c>
    </row>
    <row r="627" spans="1:18" ht="18.75" x14ac:dyDescent="0.25">
      <c r="A627" s="353"/>
      <c r="B627" s="348">
        <v>45068</v>
      </c>
      <c r="C627" s="347">
        <v>2</v>
      </c>
      <c r="D627" s="347" t="s">
        <v>182</v>
      </c>
      <c r="E627" s="347" t="s">
        <v>188</v>
      </c>
      <c r="F627" s="347"/>
      <c r="G627" s="347">
        <v>436</v>
      </c>
      <c r="H627" s="347">
        <v>9200</v>
      </c>
      <c r="I627" s="347" t="s">
        <v>924</v>
      </c>
      <c r="J627" s="347" t="s">
        <v>1200</v>
      </c>
      <c r="K627" s="347" t="s">
        <v>734</v>
      </c>
      <c r="L627" s="347" t="s">
        <v>32</v>
      </c>
      <c r="M627" s="349">
        <v>0.625</v>
      </c>
      <c r="N627" s="349">
        <v>0.9375</v>
      </c>
      <c r="O627" s="350">
        <v>5909</v>
      </c>
      <c r="P627" s="347">
        <v>0</v>
      </c>
      <c r="Q627" s="347">
        <v>6.98</v>
      </c>
      <c r="R627" s="352">
        <v>7.49</v>
      </c>
    </row>
    <row r="628" spans="1:18" ht="18.75" x14ac:dyDescent="0.25">
      <c r="A628" s="353"/>
      <c r="B628" s="348">
        <v>45068</v>
      </c>
      <c r="C628" s="347">
        <v>3</v>
      </c>
      <c r="D628" s="347" t="s">
        <v>1</v>
      </c>
      <c r="E628" s="347" t="s">
        <v>1</v>
      </c>
      <c r="F628" s="347" t="s">
        <v>1207</v>
      </c>
      <c r="G628" s="347">
        <v>437</v>
      </c>
      <c r="H628" s="347">
        <v>3000</v>
      </c>
      <c r="I628" s="347" t="s">
        <v>924</v>
      </c>
      <c r="J628" s="347" t="s">
        <v>1083</v>
      </c>
      <c r="K628" s="347" t="s">
        <v>734</v>
      </c>
      <c r="L628" s="347" t="s">
        <v>32</v>
      </c>
      <c r="M628" s="349">
        <v>0.96875</v>
      </c>
      <c r="N628" s="349">
        <v>0.11805555555555557</v>
      </c>
      <c r="O628" s="350">
        <v>3100</v>
      </c>
      <c r="P628" s="347">
        <v>0</v>
      </c>
      <c r="Q628" s="347">
        <v>3.76</v>
      </c>
      <c r="R628" s="352">
        <v>3.89</v>
      </c>
    </row>
    <row r="629" spans="1:18" ht="18.75" x14ac:dyDescent="0.25">
      <c r="A629" s="353"/>
      <c r="B629" s="348">
        <v>45068</v>
      </c>
      <c r="C629" s="347">
        <v>3</v>
      </c>
      <c r="D629" s="347" t="s">
        <v>1</v>
      </c>
      <c r="E629" s="347" t="s">
        <v>1</v>
      </c>
      <c r="F629" s="347" t="s">
        <v>47</v>
      </c>
      <c r="G629" s="347">
        <v>438</v>
      </c>
      <c r="H629" s="347">
        <v>2000</v>
      </c>
      <c r="I629" s="347" t="s">
        <v>678</v>
      </c>
      <c r="J629" s="347" t="s">
        <v>1038</v>
      </c>
      <c r="K629" s="347" t="s">
        <v>734</v>
      </c>
      <c r="L629" s="347" t="s">
        <v>32</v>
      </c>
      <c r="M629" s="349">
        <v>0.13194444444444445</v>
      </c>
      <c r="N629" s="349">
        <v>0.21875</v>
      </c>
      <c r="O629" s="350">
        <v>2000</v>
      </c>
      <c r="P629" s="347">
        <v>0</v>
      </c>
      <c r="Q629" s="347">
        <v>2.2799999999999998</v>
      </c>
      <c r="R629" s="352">
        <v>2.37</v>
      </c>
    </row>
    <row r="630" spans="1:18" ht="18.75" x14ac:dyDescent="0.25">
      <c r="A630" s="353"/>
      <c r="B630" s="348">
        <v>45068</v>
      </c>
      <c r="C630" s="347">
        <v>3</v>
      </c>
      <c r="D630" s="347" t="s">
        <v>1</v>
      </c>
      <c r="E630" s="347" t="s">
        <v>1</v>
      </c>
      <c r="F630" s="347" t="s">
        <v>47</v>
      </c>
      <c r="G630" s="347">
        <v>439</v>
      </c>
      <c r="H630" s="347"/>
      <c r="I630" s="347" t="s">
        <v>988</v>
      </c>
      <c r="J630" s="347" t="s">
        <v>819</v>
      </c>
      <c r="K630" s="347" t="s">
        <v>734</v>
      </c>
      <c r="L630" s="347" t="s">
        <v>32</v>
      </c>
      <c r="M630" s="349">
        <v>0.22916666666666666</v>
      </c>
      <c r="N630" s="349">
        <v>0.29166666666666669</v>
      </c>
      <c r="O630" s="350">
        <v>357</v>
      </c>
      <c r="P630" s="347">
        <v>0</v>
      </c>
      <c r="Q630" s="347">
        <v>0.94</v>
      </c>
      <c r="R630" s="352"/>
    </row>
    <row r="631" spans="1:18" ht="18.75" x14ac:dyDescent="0.25">
      <c r="A631" s="353"/>
      <c r="B631" s="348">
        <v>45069</v>
      </c>
      <c r="C631" s="347">
        <v>1</v>
      </c>
      <c r="D631" s="347" t="s">
        <v>459</v>
      </c>
      <c r="E631" s="347" t="s">
        <v>459</v>
      </c>
      <c r="F631" s="347" t="s">
        <v>31</v>
      </c>
      <c r="G631" s="347">
        <v>440</v>
      </c>
      <c r="H631" s="347"/>
      <c r="I631" s="347" t="s">
        <v>988</v>
      </c>
      <c r="J631" s="347" t="s">
        <v>819</v>
      </c>
      <c r="K631" s="347" t="s">
        <v>734</v>
      </c>
      <c r="L631" s="347" t="s">
        <v>32</v>
      </c>
      <c r="M631" s="349">
        <v>0.29166666666666669</v>
      </c>
      <c r="N631" s="349">
        <v>0.625</v>
      </c>
      <c r="O631" s="350">
        <v>3127</v>
      </c>
      <c r="P631" s="347"/>
      <c r="Q631" s="347">
        <v>4.1100000000000003</v>
      </c>
      <c r="R631" s="352">
        <v>3.45</v>
      </c>
    </row>
    <row r="632" spans="1:18" ht="18.75" x14ac:dyDescent="0.25">
      <c r="A632" s="353"/>
      <c r="B632" s="348">
        <v>45069</v>
      </c>
      <c r="C632" s="347">
        <v>2</v>
      </c>
      <c r="D632" s="347" t="s">
        <v>182</v>
      </c>
      <c r="E632" s="347" t="s">
        <v>188</v>
      </c>
      <c r="F632" s="347"/>
      <c r="G632" s="347"/>
      <c r="H632" s="347"/>
      <c r="I632" s="347"/>
      <c r="J632" s="347"/>
      <c r="K632" s="347"/>
      <c r="L632" s="347"/>
      <c r="M632" s="347"/>
      <c r="N632" s="347"/>
      <c r="O632" s="350">
        <v>0</v>
      </c>
      <c r="P632" s="347">
        <v>0</v>
      </c>
      <c r="Q632" s="347">
        <v>0</v>
      </c>
      <c r="R632" s="352">
        <v>0</v>
      </c>
    </row>
    <row r="633" spans="1:18" ht="18.75" x14ac:dyDescent="0.25">
      <c r="A633" s="353"/>
      <c r="B633" s="348">
        <v>45069</v>
      </c>
      <c r="C633" s="347">
        <v>3</v>
      </c>
      <c r="D633" s="347" t="s">
        <v>1</v>
      </c>
      <c r="E633" s="347" t="s">
        <v>1</v>
      </c>
      <c r="F633" s="347" t="s">
        <v>47</v>
      </c>
      <c r="G633" s="347"/>
      <c r="H633" s="347"/>
      <c r="I633" s="347"/>
      <c r="J633" s="347"/>
      <c r="K633" s="347"/>
      <c r="L633" s="347"/>
      <c r="M633" s="347"/>
      <c r="N633" s="347"/>
      <c r="O633" s="350">
        <v>0</v>
      </c>
      <c r="P633" s="347">
        <v>0</v>
      </c>
      <c r="Q633" s="347">
        <v>0</v>
      </c>
      <c r="R633" s="352">
        <v>0</v>
      </c>
    </row>
    <row r="634" spans="1:18" ht="18.75" x14ac:dyDescent="0.25">
      <c r="A634" s="353"/>
      <c r="B634" s="348">
        <v>45070</v>
      </c>
      <c r="C634" s="347">
        <v>1</v>
      </c>
      <c r="D634" s="347" t="s">
        <v>459</v>
      </c>
      <c r="E634" s="347" t="s">
        <v>459</v>
      </c>
      <c r="F634" s="347"/>
      <c r="G634" s="347"/>
      <c r="H634" s="347"/>
      <c r="I634" s="347"/>
      <c r="J634" s="347"/>
      <c r="K634" s="347"/>
      <c r="L634" s="347"/>
      <c r="M634" s="347"/>
      <c r="N634" s="347"/>
      <c r="O634" s="350">
        <v>0</v>
      </c>
      <c r="P634" s="347">
        <v>0</v>
      </c>
      <c r="Q634" s="347">
        <v>0</v>
      </c>
      <c r="R634" s="352">
        <v>0</v>
      </c>
    </row>
    <row r="635" spans="1:18" ht="18.75" x14ac:dyDescent="0.25">
      <c r="A635" s="353"/>
      <c r="B635" s="348">
        <v>45070</v>
      </c>
      <c r="C635" s="347">
        <v>2</v>
      </c>
      <c r="D635" s="347" t="s">
        <v>182</v>
      </c>
      <c r="E635" s="347" t="s">
        <v>188</v>
      </c>
      <c r="F635" s="347"/>
      <c r="G635" s="347">
        <v>441</v>
      </c>
      <c r="H635" s="347">
        <v>4000</v>
      </c>
      <c r="I635" s="347" t="s">
        <v>489</v>
      </c>
      <c r="J635" s="347" t="s">
        <v>1210</v>
      </c>
      <c r="K635" s="347" t="s">
        <v>733</v>
      </c>
      <c r="L635" s="347" t="s">
        <v>21</v>
      </c>
      <c r="M635" s="349">
        <v>0.625</v>
      </c>
      <c r="N635" s="349">
        <v>0.95833333333333337</v>
      </c>
      <c r="O635" s="350">
        <f>++criblage!H322</f>
        <v>0</v>
      </c>
      <c r="P635" s="347" t="s">
        <v>748</v>
      </c>
      <c r="Q635" s="347">
        <v>3.3</v>
      </c>
      <c r="R635" s="352">
        <v>3.05</v>
      </c>
    </row>
    <row r="636" spans="1:18" ht="18.75" x14ac:dyDescent="0.25">
      <c r="A636" s="353"/>
      <c r="B636" s="348">
        <v>45070</v>
      </c>
      <c r="C636" s="347">
        <v>3</v>
      </c>
      <c r="D636" s="347" t="s">
        <v>1</v>
      </c>
      <c r="E636" s="347" t="s">
        <v>3</v>
      </c>
      <c r="F636" s="347" t="s">
        <v>11</v>
      </c>
      <c r="G636" s="347">
        <v>442</v>
      </c>
      <c r="H636" s="347">
        <v>4000</v>
      </c>
      <c r="I636" s="347" t="s">
        <v>489</v>
      </c>
      <c r="J636" s="347" t="s">
        <v>1210</v>
      </c>
      <c r="K636" s="347" t="s">
        <v>733</v>
      </c>
      <c r="L636" s="347" t="s">
        <v>21</v>
      </c>
      <c r="M636" s="349">
        <v>0.95833333333333337</v>
      </c>
      <c r="N636" s="349">
        <v>0.29166666666666669</v>
      </c>
      <c r="O636" s="350">
        <v>3292</v>
      </c>
      <c r="P636" s="347" t="s">
        <v>748</v>
      </c>
      <c r="Q636" s="347">
        <v>4.8600000000000003</v>
      </c>
      <c r="R636" s="352">
        <v>6.12</v>
      </c>
    </row>
    <row r="637" spans="1:18" ht="18.75" x14ac:dyDescent="0.25">
      <c r="A637" s="353"/>
      <c r="B637" s="348">
        <v>45071</v>
      </c>
      <c r="C637" s="347">
        <v>1</v>
      </c>
      <c r="D637" s="347" t="s">
        <v>459</v>
      </c>
      <c r="E637" s="347" t="s">
        <v>459</v>
      </c>
      <c r="F637" s="347" t="s">
        <v>1212</v>
      </c>
      <c r="G637" s="347">
        <v>443</v>
      </c>
      <c r="H637" s="347">
        <v>4000</v>
      </c>
      <c r="I637" s="347" t="s">
        <v>960</v>
      </c>
      <c r="J637" s="347" t="s">
        <v>1210</v>
      </c>
      <c r="K637" s="347" t="s">
        <v>733</v>
      </c>
      <c r="L637" s="347" t="s">
        <v>21</v>
      </c>
      <c r="M637" s="349">
        <v>0.29166666666666669</v>
      </c>
      <c r="N637" s="349">
        <v>0.625</v>
      </c>
      <c r="O637" s="350">
        <v>4067</v>
      </c>
      <c r="P637" s="347" t="s">
        <v>748</v>
      </c>
      <c r="Q637" s="347">
        <v>5.86</v>
      </c>
      <c r="R637" s="352">
        <v>5.46</v>
      </c>
    </row>
    <row r="638" spans="1:18" ht="18.75" x14ac:dyDescent="0.25">
      <c r="A638" s="353"/>
      <c r="B638" s="348">
        <v>45071</v>
      </c>
      <c r="C638" s="347">
        <v>2</v>
      </c>
      <c r="D638" s="347" t="s">
        <v>182</v>
      </c>
      <c r="E638" s="347" t="s">
        <v>188</v>
      </c>
      <c r="F638" s="347" t="s">
        <v>17</v>
      </c>
      <c r="G638" s="347">
        <v>444</v>
      </c>
      <c r="H638" s="347">
        <v>4000</v>
      </c>
      <c r="I638" s="347" t="s">
        <v>960</v>
      </c>
      <c r="J638" s="347" t="s">
        <v>1210</v>
      </c>
      <c r="K638" s="347" t="s">
        <v>733</v>
      </c>
      <c r="L638" s="347" t="s">
        <v>21</v>
      </c>
      <c r="M638" s="349">
        <v>0.625</v>
      </c>
      <c r="N638" s="349">
        <v>0.70138888888888884</v>
      </c>
      <c r="O638" s="350">
        <v>1050</v>
      </c>
      <c r="P638" s="347">
        <v>0</v>
      </c>
      <c r="Q638" s="347">
        <v>1.52</v>
      </c>
      <c r="R638" s="352">
        <v>1.44</v>
      </c>
    </row>
    <row r="639" spans="1:18" ht="18.75" x14ac:dyDescent="0.25">
      <c r="A639" s="353"/>
      <c r="B639" s="348">
        <v>45071</v>
      </c>
      <c r="C639" s="347">
        <v>2</v>
      </c>
      <c r="D639" s="347" t="s">
        <v>182</v>
      </c>
      <c r="E639" s="347" t="s">
        <v>188</v>
      </c>
      <c r="F639" s="347" t="s">
        <v>17</v>
      </c>
      <c r="G639" s="347">
        <v>445</v>
      </c>
      <c r="H639" s="347">
        <v>2163</v>
      </c>
      <c r="I639" s="347" t="s">
        <v>1214</v>
      </c>
      <c r="J639" s="347" t="s">
        <v>1215</v>
      </c>
      <c r="K639" s="347" t="s">
        <v>733</v>
      </c>
      <c r="L639" s="347" t="s">
        <v>21</v>
      </c>
      <c r="M639" s="349">
        <v>0.70138888888888884</v>
      </c>
      <c r="N639" s="349">
        <v>0.89930555555555547</v>
      </c>
      <c r="O639" s="350">
        <f>4396-O638</f>
        <v>3346</v>
      </c>
      <c r="P639" s="347">
        <v>0</v>
      </c>
      <c r="Q639" s="347">
        <f>6.35-Q638</f>
        <v>4.83</v>
      </c>
      <c r="R639" s="352">
        <f>6.28-R638</f>
        <v>4.84</v>
      </c>
    </row>
    <row r="640" spans="1:18" ht="15.75" x14ac:dyDescent="0.25">
      <c r="B640" s="348">
        <v>45071</v>
      </c>
      <c r="C640" s="347">
        <v>2</v>
      </c>
      <c r="D640" s="347" t="s">
        <v>182</v>
      </c>
      <c r="E640" s="347" t="s">
        <v>188</v>
      </c>
      <c r="F640" s="347"/>
      <c r="G640" s="347">
        <v>446</v>
      </c>
      <c r="H640" s="347">
        <v>3500</v>
      </c>
      <c r="I640" s="347" t="s">
        <v>686</v>
      </c>
      <c r="J640" s="347" t="s">
        <v>851</v>
      </c>
      <c r="K640" s="347" t="s">
        <v>733</v>
      </c>
      <c r="L640" s="347" t="s">
        <v>21</v>
      </c>
      <c r="M640" s="349">
        <v>0.89930555555555547</v>
      </c>
      <c r="N640" s="349">
        <v>0.95833333333333337</v>
      </c>
      <c r="O640" s="350">
        <v>348</v>
      </c>
      <c r="P640" s="347" t="s">
        <v>748</v>
      </c>
      <c r="Q640" s="347">
        <v>0.68</v>
      </c>
      <c r="R640" s="352">
        <v>0.52</v>
      </c>
    </row>
    <row r="641" spans="2:18" ht="15.75" x14ac:dyDescent="0.25">
      <c r="B641" s="348">
        <v>45071</v>
      </c>
      <c r="C641" s="347">
        <v>3</v>
      </c>
      <c r="D641" s="347" t="s">
        <v>1</v>
      </c>
      <c r="E641" s="347" t="s">
        <v>3</v>
      </c>
      <c r="F641" s="347" t="s">
        <v>47</v>
      </c>
      <c r="G641" s="347">
        <v>447</v>
      </c>
      <c r="H641" s="347">
        <v>3500</v>
      </c>
      <c r="I641" s="347" t="s">
        <v>686</v>
      </c>
      <c r="J641" s="347" t="s">
        <v>851</v>
      </c>
      <c r="K641" s="347" t="s">
        <v>733</v>
      </c>
      <c r="L641" s="347" t="s">
        <v>21</v>
      </c>
      <c r="M641" s="349">
        <v>0.95833333333333337</v>
      </c>
      <c r="N641" s="349">
        <v>0.29166666666666669</v>
      </c>
      <c r="O641" s="350">
        <v>830</v>
      </c>
      <c r="P641" s="347" t="s">
        <v>748</v>
      </c>
      <c r="Q641" s="347">
        <v>1.3</v>
      </c>
      <c r="R641" s="352">
        <v>1.49</v>
      </c>
    </row>
    <row r="642" spans="2:18" ht="15.75" x14ac:dyDescent="0.25">
      <c r="B642" s="199">
        <v>45072</v>
      </c>
      <c r="C642" s="3">
        <v>1</v>
      </c>
      <c r="D642" s="347" t="s">
        <v>459</v>
      </c>
      <c r="E642" s="347" t="s">
        <v>190</v>
      </c>
      <c r="F642" s="347" t="s">
        <v>1217</v>
      </c>
      <c r="G642" s="3">
        <v>448</v>
      </c>
      <c r="H642" s="3">
        <v>3800</v>
      </c>
      <c r="I642" s="3" t="s">
        <v>960</v>
      </c>
      <c r="J642" s="3" t="s">
        <v>1218</v>
      </c>
      <c r="K642" s="3" t="s">
        <v>733</v>
      </c>
      <c r="L642" s="3" t="s">
        <v>24</v>
      </c>
      <c r="M642" s="238">
        <v>0.29166666666666669</v>
      </c>
      <c r="N642" s="238">
        <v>0.625</v>
      </c>
      <c r="O642" s="196">
        <v>3551</v>
      </c>
      <c r="P642" s="3" t="s">
        <v>492</v>
      </c>
      <c r="Q642" s="3">
        <v>5.26</v>
      </c>
      <c r="R642" s="205">
        <v>5.51</v>
      </c>
    </row>
    <row r="643" spans="2:18" ht="15.75" x14ac:dyDescent="0.25">
      <c r="B643" s="348">
        <v>45072</v>
      </c>
      <c r="C643" s="347">
        <v>2</v>
      </c>
      <c r="D643" s="347" t="s">
        <v>182</v>
      </c>
      <c r="E643" s="347" t="s">
        <v>188</v>
      </c>
      <c r="G643" s="3">
        <v>449</v>
      </c>
      <c r="H643" s="233">
        <v>3800</v>
      </c>
      <c r="I643" s="233" t="s">
        <v>960</v>
      </c>
      <c r="J643" s="233" t="s">
        <v>1218</v>
      </c>
      <c r="K643" s="233" t="s">
        <v>733</v>
      </c>
      <c r="L643" s="233" t="s">
        <v>24</v>
      </c>
      <c r="M643" s="238">
        <v>0.625</v>
      </c>
      <c r="N643" s="238">
        <v>0.70833333333333337</v>
      </c>
      <c r="O643" s="196">
        <v>1200</v>
      </c>
      <c r="P643" s="3">
        <v>0</v>
      </c>
      <c r="Q643" s="3">
        <v>1.72</v>
      </c>
      <c r="R643" s="205">
        <v>1.82</v>
      </c>
    </row>
    <row r="644" spans="2:18" ht="15.75" x14ac:dyDescent="0.25">
      <c r="B644" s="348">
        <v>45072</v>
      </c>
      <c r="C644" s="347">
        <v>2</v>
      </c>
      <c r="D644" s="347" t="s">
        <v>182</v>
      </c>
      <c r="E644" s="347" t="s">
        <v>188</v>
      </c>
      <c r="G644" s="3">
        <v>450</v>
      </c>
      <c r="H644" s="3">
        <v>4000</v>
      </c>
      <c r="I644" s="3" t="s">
        <v>960</v>
      </c>
      <c r="J644" s="3" t="s">
        <v>1220</v>
      </c>
      <c r="K644" s="233" t="s">
        <v>733</v>
      </c>
      <c r="L644" s="233" t="s">
        <v>24</v>
      </c>
      <c r="M644" s="238">
        <v>0.70833333333333337</v>
      </c>
      <c r="N644" s="238">
        <v>0.95833333333333337</v>
      </c>
      <c r="O644" s="196">
        <v>2833</v>
      </c>
      <c r="P644" s="3">
        <v>0</v>
      </c>
      <c r="Q644" s="233">
        <v>4.12</v>
      </c>
      <c r="R644" s="205">
        <v>4.29</v>
      </c>
    </row>
    <row r="645" spans="2:18" ht="15.75" x14ac:dyDescent="0.25">
      <c r="B645" s="199">
        <v>45072</v>
      </c>
      <c r="C645" s="3">
        <v>3</v>
      </c>
      <c r="D645" s="347" t="s">
        <v>1</v>
      </c>
      <c r="E645" s="3" t="s">
        <v>3</v>
      </c>
      <c r="F645" s="347" t="s">
        <v>11</v>
      </c>
      <c r="G645" s="3">
        <v>451</v>
      </c>
      <c r="H645" s="3">
        <v>3670</v>
      </c>
      <c r="I645" s="3" t="s">
        <v>489</v>
      </c>
      <c r="J645" s="3" t="s">
        <v>1221</v>
      </c>
      <c r="K645" s="3" t="s">
        <v>733</v>
      </c>
      <c r="L645" s="233" t="s">
        <v>24</v>
      </c>
      <c r="M645" s="238">
        <v>0.95833333333333337</v>
      </c>
      <c r="N645" s="238">
        <v>0.1388888888888889</v>
      </c>
      <c r="O645" s="196">
        <v>3160</v>
      </c>
      <c r="P645" s="3">
        <v>0</v>
      </c>
      <c r="Q645" s="3">
        <v>3.89</v>
      </c>
      <c r="R645" s="205">
        <v>4.07</v>
      </c>
    </row>
    <row r="646" spans="2:18" ht="15.75" x14ac:dyDescent="0.25">
      <c r="B646" s="199">
        <v>45072</v>
      </c>
      <c r="C646" s="233">
        <v>3</v>
      </c>
      <c r="D646" s="347" t="s">
        <v>1</v>
      </c>
      <c r="E646" s="233" t="s">
        <v>3</v>
      </c>
      <c r="F646" s="347" t="s">
        <v>11</v>
      </c>
      <c r="G646" s="233">
        <v>452</v>
      </c>
      <c r="H646" s="233">
        <v>4639</v>
      </c>
      <c r="I646" s="233" t="s">
        <v>489</v>
      </c>
      <c r="J646" s="3" t="s">
        <v>1222</v>
      </c>
      <c r="K646" s="233" t="s">
        <v>733</v>
      </c>
      <c r="L646" s="233" t="s">
        <v>24</v>
      </c>
      <c r="M646" s="238">
        <v>0.1388888888888889</v>
      </c>
      <c r="N646" s="238">
        <v>0.29166666666666669</v>
      </c>
      <c r="O646" s="196">
        <v>1798</v>
      </c>
      <c r="P646" s="3">
        <v>0</v>
      </c>
      <c r="Q646" s="3">
        <v>6.45</v>
      </c>
      <c r="R646" s="205">
        <v>7.35</v>
      </c>
    </row>
    <row r="647" spans="2:18" x14ac:dyDescent="0.25">
      <c r="B647" s="199">
        <v>45073</v>
      </c>
      <c r="C647" s="3">
        <v>1</v>
      </c>
      <c r="D647" s="3" t="s">
        <v>459</v>
      </c>
      <c r="E647" s="3" t="s">
        <v>173</v>
      </c>
      <c r="F647" s="237"/>
      <c r="G647" s="237"/>
      <c r="H647" s="237"/>
      <c r="I647" s="237"/>
      <c r="J647" s="237"/>
      <c r="K647" s="237"/>
      <c r="L647" s="237"/>
      <c r="M647" s="238">
        <v>0.29166666666666669</v>
      </c>
      <c r="N647" s="277">
        <v>0.625</v>
      </c>
      <c r="O647" s="196">
        <v>0</v>
      </c>
      <c r="P647" s="3">
        <v>0</v>
      </c>
      <c r="Q647" s="3">
        <v>0</v>
      </c>
      <c r="R647" s="205">
        <v>0</v>
      </c>
    </row>
    <row r="648" spans="2:18" ht="15.75" x14ac:dyDescent="0.25">
      <c r="B648" s="199">
        <v>45073</v>
      </c>
      <c r="C648" s="347">
        <v>2</v>
      </c>
      <c r="D648" s="347" t="s">
        <v>182</v>
      </c>
      <c r="E648" s="347" t="s">
        <v>188</v>
      </c>
      <c r="F648" s="237"/>
      <c r="G648" s="237"/>
      <c r="H648" s="237"/>
      <c r="I648" s="237"/>
      <c r="J648" s="237"/>
      <c r="K648" s="237"/>
      <c r="L648" s="237"/>
      <c r="M648" s="238">
        <v>0.625</v>
      </c>
      <c r="N648" s="277">
        <v>0.95833333333333337</v>
      </c>
      <c r="O648" s="196">
        <v>0</v>
      </c>
      <c r="P648" s="233">
        <v>0</v>
      </c>
      <c r="Q648" s="233">
        <v>0</v>
      </c>
      <c r="R648" s="205">
        <v>0</v>
      </c>
    </row>
    <row r="649" spans="2:18" x14ac:dyDescent="0.25">
      <c r="B649" s="199">
        <v>45073</v>
      </c>
      <c r="C649" s="3">
        <v>3</v>
      </c>
      <c r="D649" s="233" t="s">
        <v>3</v>
      </c>
      <c r="E649" s="233" t="s">
        <v>3</v>
      </c>
      <c r="F649" s="237"/>
      <c r="G649" s="237"/>
      <c r="H649" s="237"/>
      <c r="I649" s="237"/>
      <c r="J649" s="237"/>
      <c r="K649" s="237"/>
      <c r="L649" s="237"/>
      <c r="M649" s="238">
        <v>0.95833333333333337</v>
      </c>
      <c r="N649" s="277">
        <v>0.29166666666666669</v>
      </c>
      <c r="O649" s="196">
        <v>0</v>
      </c>
      <c r="P649" s="233">
        <v>0</v>
      </c>
      <c r="Q649" s="233">
        <v>0</v>
      </c>
      <c r="R649" s="205">
        <v>0</v>
      </c>
    </row>
    <row r="650" spans="2:18" x14ac:dyDescent="0.25">
      <c r="B650" s="199">
        <v>45074</v>
      </c>
      <c r="C650" s="3">
        <v>1</v>
      </c>
      <c r="D650" s="3" t="s">
        <v>459</v>
      </c>
      <c r="E650" s="3" t="s">
        <v>173</v>
      </c>
      <c r="F650" s="237"/>
      <c r="G650" s="237"/>
      <c r="H650" s="237"/>
      <c r="I650" s="237"/>
      <c r="J650" s="237"/>
      <c r="K650" s="237"/>
      <c r="L650" s="237"/>
      <c r="M650" s="238">
        <v>0.29166666666666669</v>
      </c>
      <c r="N650" s="238">
        <v>0.625</v>
      </c>
      <c r="O650" s="196">
        <v>0</v>
      </c>
      <c r="P650" s="3">
        <v>0</v>
      </c>
      <c r="Q650" s="3">
        <v>0</v>
      </c>
      <c r="R650" s="205">
        <v>0</v>
      </c>
    </row>
    <row r="651" spans="2:18" ht="15.75" x14ac:dyDescent="0.25">
      <c r="B651" s="199">
        <v>45074</v>
      </c>
      <c r="C651" s="3">
        <v>2</v>
      </c>
      <c r="D651" s="347" t="s">
        <v>182</v>
      </c>
      <c r="E651" s="3" t="s">
        <v>362</v>
      </c>
      <c r="F651" s="237"/>
      <c r="G651" s="237"/>
      <c r="H651" s="237"/>
      <c r="I651" s="237"/>
      <c r="J651" s="237"/>
      <c r="K651" s="237"/>
      <c r="L651" s="237"/>
      <c r="M651" s="238">
        <v>0.625</v>
      </c>
      <c r="N651" s="238">
        <v>0.95833333333333337</v>
      </c>
      <c r="O651" s="196">
        <v>0</v>
      </c>
      <c r="P651" s="233">
        <v>0</v>
      </c>
      <c r="Q651" s="233">
        <v>0</v>
      </c>
      <c r="R651" s="205">
        <v>0</v>
      </c>
    </row>
    <row r="652" spans="2:18" x14ac:dyDescent="0.25">
      <c r="B652" s="199">
        <v>45074</v>
      </c>
      <c r="C652" s="3">
        <v>3</v>
      </c>
      <c r="D652" s="233" t="s">
        <v>3</v>
      </c>
      <c r="E652" s="233" t="s">
        <v>3</v>
      </c>
      <c r="F652" s="237"/>
      <c r="G652" s="237"/>
      <c r="H652" s="237"/>
      <c r="I652" s="237"/>
      <c r="J652" s="237"/>
      <c r="K652" s="237"/>
      <c r="L652" s="237"/>
      <c r="M652" s="238">
        <v>0.95833333333333337</v>
      </c>
      <c r="N652" s="277">
        <v>0.29166666666666669</v>
      </c>
      <c r="O652" s="196">
        <v>0</v>
      </c>
      <c r="P652" s="233">
        <v>0</v>
      </c>
      <c r="Q652" s="233">
        <v>0</v>
      </c>
      <c r="R652" s="205">
        <v>0</v>
      </c>
    </row>
    <row r="653" spans="2:18" x14ac:dyDescent="0.25">
      <c r="B653" s="199">
        <v>45075</v>
      </c>
      <c r="C653" s="3">
        <v>1</v>
      </c>
      <c r="D653" s="3" t="s">
        <v>459</v>
      </c>
      <c r="E653" s="233" t="s">
        <v>459</v>
      </c>
      <c r="F653" s="3" t="s">
        <v>1037</v>
      </c>
      <c r="G653" s="233">
        <v>453</v>
      </c>
      <c r="H653" s="233">
        <v>4639</v>
      </c>
      <c r="I653" s="233" t="s">
        <v>489</v>
      </c>
      <c r="J653" s="233" t="s">
        <v>1222</v>
      </c>
      <c r="K653" s="233" t="s">
        <v>733</v>
      </c>
      <c r="L653" s="233" t="s">
        <v>24</v>
      </c>
      <c r="M653" s="238">
        <v>0.29166666666666669</v>
      </c>
      <c r="N653" s="238">
        <v>0.54166666666666663</v>
      </c>
      <c r="O653" s="196">
        <v>2400</v>
      </c>
      <c r="P653" s="3">
        <v>0</v>
      </c>
      <c r="Q653" s="3">
        <v>3.63</v>
      </c>
      <c r="R653" s="205">
        <v>3.67</v>
      </c>
    </row>
    <row r="654" spans="2:18" x14ac:dyDescent="0.25">
      <c r="B654" s="199">
        <v>45075</v>
      </c>
      <c r="C654" s="3">
        <v>1</v>
      </c>
      <c r="D654" s="233" t="s">
        <v>459</v>
      </c>
      <c r="E654" s="233" t="s">
        <v>459</v>
      </c>
      <c r="F654" s="3" t="s">
        <v>1037</v>
      </c>
      <c r="G654" s="3">
        <v>454</v>
      </c>
      <c r="I654" s="3" t="s">
        <v>1223</v>
      </c>
      <c r="J654" s="233" t="s">
        <v>1224</v>
      </c>
      <c r="K654" s="233" t="s">
        <v>733</v>
      </c>
      <c r="L654" s="233" t="s">
        <v>24</v>
      </c>
      <c r="M654" s="238">
        <v>0.54166666666666663</v>
      </c>
      <c r="N654" s="238">
        <v>0.625</v>
      </c>
      <c r="O654" s="196">
        <v>1213</v>
      </c>
      <c r="P654" s="3">
        <v>0</v>
      </c>
      <c r="Q654" s="3">
        <v>2.4700000000000002</v>
      </c>
      <c r="R654" s="205">
        <v>2.4300000000000002</v>
      </c>
    </row>
    <row r="655" spans="2:18" ht="15.75" x14ac:dyDescent="0.25">
      <c r="B655" s="199">
        <v>45075</v>
      </c>
      <c r="C655" s="3">
        <v>2</v>
      </c>
      <c r="D655" s="3" t="s">
        <v>466</v>
      </c>
      <c r="E655" s="3" t="s">
        <v>3</v>
      </c>
      <c r="F655" s="347" t="s">
        <v>47</v>
      </c>
      <c r="G655" s="3">
        <v>455</v>
      </c>
      <c r="H655" s="3">
        <v>4639</v>
      </c>
      <c r="I655" s="3" t="s">
        <v>1225</v>
      </c>
      <c r="J655" s="3" t="s">
        <v>1224</v>
      </c>
      <c r="K655" s="3" t="s">
        <v>733</v>
      </c>
      <c r="L655" s="3" t="s">
        <v>24</v>
      </c>
      <c r="M655" s="238">
        <v>0.625</v>
      </c>
      <c r="N655" s="238">
        <v>0.81944444444444453</v>
      </c>
      <c r="O655" s="196">
        <v>2900</v>
      </c>
      <c r="P655" s="3">
        <v>0</v>
      </c>
      <c r="Q655" s="3">
        <v>4.28</v>
      </c>
      <c r="R655" s="205">
        <v>4.58</v>
      </c>
    </row>
    <row r="656" spans="2:18" ht="15.75" x14ac:dyDescent="0.25">
      <c r="B656" s="199">
        <v>45075</v>
      </c>
      <c r="C656" s="233">
        <v>2</v>
      </c>
      <c r="D656" s="233" t="s">
        <v>466</v>
      </c>
      <c r="E656" s="233" t="s">
        <v>3</v>
      </c>
      <c r="F656" s="347" t="s">
        <v>47</v>
      </c>
      <c r="G656" s="233">
        <v>456</v>
      </c>
      <c r="H656" s="233">
        <v>1400</v>
      </c>
      <c r="I656" s="233" t="s">
        <v>1225</v>
      </c>
      <c r="J656" s="3" t="s">
        <v>1226</v>
      </c>
      <c r="K656" s="233" t="s">
        <v>733</v>
      </c>
      <c r="L656" s="233" t="s">
        <v>24</v>
      </c>
      <c r="M656" s="238">
        <v>0.81944444444444453</v>
      </c>
      <c r="N656" s="238">
        <v>0.92361111111111116</v>
      </c>
      <c r="O656" s="196">
        <v>1227</v>
      </c>
      <c r="P656" s="3">
        <v>0</v>
      </c>
      <c r="Q656" s="3">
        <v>1.75</v>
      </c>
      <c r="R656" s="205">
        <v>2.06</v>
      </c>
    </row>
    <row r="657" spans="2:18" ht="15.75" x14ac:dyDescent="0.25">
      <c r="B657" s="199">
        <v>45075</v>
      </c>
      <c r="C657" s="233">
        <v>2</v>
      </c>
      <c r="D657" s="233" t="s">
        <v>466</v>
      </c>
      <c r="E657" s="233" t="s">
        <v>3</v>
      </c>
      <c r="F657" s="347" t="s">
        <v>47</v>
      </c>
      <c r="G657" s="3">
        <v>457</v>
      </c>
      <c r="H657" s="3">
        <v>2000</v>
      </c>
      <c r="I657" s="233" t="s">
        <v>1225</v>
      </c>
      <c r="J657" s="3" t="s">
        <v>1228</v>
      </c>
      <c r="K657" s="233" t="s">
        <v>733</v>
      </c>
      <c r="L657" s="233" t="s">
        <v>24</v>
      </c>
      <c r="M657" s="238">
        <v>0.92361111111111116</v>
      </c>
      <c r="N657" s="238">
        <v>0.95833333333333337</v>
      </c>
      <c r="O657" s="196">
        <f>4296-4127</f>
        <v>169</v>
      </c>
      <c r="P657" s="3" t="s">
        <v>492</v>
      </c>
      <c r="Q657" s="3">
        <f>6.4-1.75</f>
        <v>4.6500000000000004</v>
      </c>
      <c r="R657" s="205">
        <f>7.17-2.06</f>
        <v>5.1099999999999994</v>
      </c>
    </row>
    <row r="658" spans="2:18" x14ac:dyDescent="0.25">
      <c r="B658" s="199">
        <v>45075</v>
      </c>
      <c r="C658" s="3">
        <v>3</v>
      </c>
      <c r="D658" s="3" t="s">
        <v>199</v>
      </c>
      <c r="E658" s="3" t="s">
        <v>362</v>
      </c>
      <c r="G658" s="3">
        <v>458</v>
      </c>
      <c r="H658" s="233">
        <v>2000</v>
      </c>
      <c r="I658" s="233" t="s">
        <v>1225</v>
      </c>
      <c r="J658" s="233" t="s">
        <v>1228</v>
      </c>
      <c r="K658" s="233" t="s">
        <v>733</v>
      </c>
      <c r="L658" s="233" t="s">
        <v>24</v>
      </c>
      <c r="M658" s="238">
        <v>0.95833333333333337</v>
      </c>
      <c r="N658" s="238">
        <v>1.6666666666666666E-2</v>
      </c>
      <c r="O658" s="196">
        <v>913</v>
      </c>
      <c r="P658" s="233" t="s">
        <v>492</v>
      </c>
      <c r="Q658" s="3">
        <v>1.42</v>
      </c>
      <c r="R658" s="205">
        <v>1.43</v>
      </c>
    </row>
    <row r="659" spans="2:18" x14ac:dyDescent="0.25">
      <c r="B659" s="199">
        <v>45075</v>
      </c>
      <c r="C659" s="233">
        <v>3</v>
      </c>
      <c r="D659" s="233" t="s">
        <v>199</v>
      </c>
      <c r="E659" s="233" t="s">
        <v>362</v>
      </c>
      <c r="G659" s="3">
        <v>459</v>
      </c>
      <c r="H659" s="3">
        <v>1500</v>
      </c>
      <c r="I659" s="233" t="s">
        <v>1225</v>
      </c>
      <c r="J659" s="3" t="s">
        <v>1229</v>
      </c>
      <c r="K659" s="233" t="s">
        <v>733</v>
      </c>
      <c r="L659" s="233" t="s">
        <v>24</v>
      </c>
      <c r="M659" s="238">
        <v>1.6666666666666666E-2</v>
      </c>
      <c r="N659" s="238">
        <v>0.10972222222222222</v>
      </c>
      <c r="O659" s="196">
        <f>2342-913</f>
        <v>1429</v>
      </c>
      <c r="P659" s="233" t="s">
        <v>492</v>
      </c>
      <c r="Q659" s="3">
        <f>3.39-1.42</f>
        <v>1.9700000000000002</v>
      </c>
      <c r="R659" s="205">
        <f>3.42-1.43</f>
        <v>1.99</v>
      </c>
    </row>
    <row r="660" spans="2:18" x14ac:dyDescent="0.25">
      <c r="B660" s="199">
        <v>45075</v>
      </c>
      <c r="C660" s="233">
        <v>3</v>
      </c>
      <c r="D660" s="233" t="s">
        <v>199</v>
      </c>
      <c r="E660" s="233" t="s">
        <v>362</v>
      </c>
      <c r="G660" s="3">
        <v>460</v>
      </c>
      <c r="H660" s="3">
        <v>8300</v>
      </c>
      <c r="I660" s="233" t="s">
        <v>1225</v>
      </c>
      <c r="J660" s="233" t="s">
        <v>851</v>
      </c>
      <c r="K660" s="233" t="s">
        <v>733</v>
      </c>
      <c r="L660" s="233" t="s">
        <v>24</v>
      </c>
      <c r="M660" s="238">
        <v>0.10972222222222222</v>
      </c>
      <c r="N660" s="238">
        <v>0.29166666666666669</v>
      </c>
      <c r="O660" s="196">
        <f>4240-O659-O658</f>
        <v>1898</v>
      </c>
      <c r="P660" s="3" t="s">
        <v>492</v>
      </c>
      <c r="Q660" s="3">
        <f>5.71-Q659-Q658</f>
        <v>2.3199999999999998</v>
      </c>
      <c r="R660" s="205">
        <f>6.69-R659-R658</f>
        <v>3.2700000000000005</v>
      </c>
    </row>
    <row r="661" spans="2:18" x14ac:dyDescent="0.25">
      <c r="B661" s="199">
        <v>45076</v>
      </c>
      <c r="C661" s="3">
        <v>1</v>
      </c>
      <c r="D661" s="233" t="s">
        <v>459</v>
      </c>
      <c r="E661" s="3" t="s">
        <v>188</v>
      </c>
      <c r="G661" s="3">
        <v>461</v>
      </c>
      <c r="H661" s="233">
        <v>8300</v>
      </c>
      <c r="I661" s="233" t="s">
        <v>1225</v>
      </c>
      <c r="J661" s="233" t="s">
        <v>851</v>
      </c>
      <c r="K661" s="233" t="s">
        <v>733</v>
      </c>
      <c r="L661" s="233" t="s">
        <v>24</v>
      </c>
      <c r="M661" s="238">
        <v>0.29166666666666669</v>
      </c>
      <c r="N661" s="238">
        <v>0.625</v>
      </c>
      <c r="O661" s="196">
        <v>3153</v>
      </c>
      <c r="P661" s="233" t="s">
        <v>492</v>
      </c>
      <c r="Q661" s="3">
        <v>4.5</v>
      </c>
      <c r="R661" s="205">
        <v>4.75</v>
      </c>
    </row>
    <row r="662" spans="2:18" ht="15.75" x14ac:dyDescent="0.25">
      <c r="B662" s="199">
        <v>45076</v>
      </c>
      <c r="C662" s="3">
        <v>2</v>
      </c>
      <c r="D662" s="3" t="s">
        <v>466</v>
      </c>
      <c r="E662" s="3" t="s">
        <v>3</v>
      </c>
      <c r="F662" s="347" t="s">
        <v>47</v>
      </c>
      <c r="G662" s="233">
        <v>462</v>
      </c>
      <c r="H662" s="233">
        <v>8300</v>
      </c>
      <c r="I662" s="233" t="s">
        <v>1225</v>
      </c>
      <c r="J662" s="233" t="s">
        <v>851</v>
      </c>
      <c r="K662" s="233" t="s">
        <v>733</v>
      </c>
      <c r="L662" s="233" t="s">
        <v>24</v>
      </c>
      <c r="M662" s="238">
        <v>0.625</v>
      </c>
      <c r="N662" s="238">
        <v>0.68055555555555547</v>
      </c>
      <c r="O662" s="196">
        <v>780</v>
      </c>
      <c r="P662" s="233" t="s">
        <v>492</v>
      </c>
      <c r="Q662" s="3">
        <v>1.03</v>
      </c>
      <c r="R662" s="205">
        <v>1.1200000000000001</v>
      </c>
    </row>
    <row r="663" spans="2:18" ht="15.75" x14ac:dyDescent="0.25">
      <c r="B663" s="199">
        <v>45076</v>
      </c>
      <c r="C663" s="233">
        <v>2</v>
      </c>
      <c r="D663" s="233" t="s">
        <v>466</v>
      </c>
      <c r="E663" s="233" t="s">
        <v>3</v>
      </c>
      <c r="F663" s="347" t="s">
        <v>47</v>
      </c>
      <c r="G663" s="3">
        <v>463</v>
      </c>
      <c r="H663" s="3">
        <v>1200</v>
      </c>
      <c r="I663" s="233" t="s">
        <v>1225</v>
      </c>
      <c r="J663" s="3" t="s">
        <v>1233</v>
      </c>
      <c r="K663" s="233" t="s">
        <v>733</v>
      </c>
      <c r="L663" s="233" t="s">
        <v>24</v>
      </c>
      <c r="M663" s="238">
        <v>0.68055555555555547</v>
      </c>
      <c r="N663" s="238">
        <v>0.95833333333333337</v>
      </c>
      <c r="O663" s="196">
        <v>1393</v>
      </c>
      <c r="P663" s="233" t="s">
        <v>492</v>
      </c>
      <c r="Q663" s="3">
        <v>1.71</v>
      </c>
      <c r="R663" s="205">
        <v>1.97</v>
      </c>
    </row>
    <row r="664" spans="2:18" x14ac:dyDescent="0.25">
      <c r="B664" s="199">
        <v>45076</v>
      </c>
      <c r="C664" s="3">
        <v>3</v>
      </c>
      <c r="D664" s="233" t="s">
        <v>199</v>
      </c>
      <c r="E664" s="233" t="s">
        <v>362</v>
      </c>
      <c r="G664" s="3">
        <v>464</v>
      </c>
      <c r="H664" s="3">
        <v>3797</v>
      </c>
      <c r="I664" s="3" t="s">
        <v>1236</v>
      </c>
      <c r="J664" s="3" t="s">
        <v>1235</v>
      </c>
      <c r="K664" s="233" t="s">
        <v>733</v>
      </c>
      <c r="L664" s="233" t="s">
        <v>24</v>
      </c>
      <c r="M664" s="238">
        <v>0.95833333333333337</v>
      </c>
      <c r="N664" s="238">
        <v>0.19375000000000001</v>
      </c>
      <c r="O664" s="196">
        <v>3703</v>
      </c>
      <c r="P664" s="233" t="s">
        <v>492</v>
      </c>
      <c r="Q664" s="3">
        <v>4.71</v>
      </c>
      <c r="R664" s="205">
        <v>5.12</v>
      </c>
    </row>
    <row r="665" spans="2:18" x14ac:dyDescent="0.25">
      <c r="B665" s="199">
        <v>45076</v>
      </c>
      <c r="C665" s="233">
        <v>3</v>
      </c>
      <c r="D665" s="233" t="s">
        <v>199</v>
      </c>
      <c r="E665" s="233" t="s">
        <v>362</v>
      </c>
      <c r="F665" s="233"/>
      <c r="G665" s="233">
        <v>465</v>
      </c>
      <c r="H665" s="233">
        <v>3797</v>
      </c>
      <c r="I665" s="233" t="s">
        <v>1236</v>
      </c>
      <c r="J665" s="233" t="s">
        <v>1235</v>
      </c>
      <c r="K665" s="233" t="s">
        <v>733</v>
      </c>
      <c r="L665" s="3" t="s">
        <v>21</v>
      </c>
      <c r="M665" s="238">
        <v>0.19375000000000001</v>
      </c>
      <c r="N665" s="238">
        <v>0.29166666666666669</v>
      </c>
      <c r="O665" s="196">
        <f>5258-3703</f>
        <v>1555</v>
      </c>
      <c r="P665" s="3" t="s">
        <v>492</v>
      </c>
      <c r="Q665" s="3">
        <f>6.37-4.71</f>
        <v>1.6600000000000001</v>
      </c>
      <c r="R665" s="205">
        <f>7.13-5.12</f>
        <v>2.0099999999999998</v>
      </c>
    </row>
    <row r="666" spans="2:18" x14ac:dyDescent="0.25">
      <c r="B666" s="199">
        <v>45077</v>
      </c>
      <c r="C666" s="3">
        <v>1</v>
      </c>
      <c r="D666" s="3" t="s">
        <v>459</v>
      </c>
      <c r="F666" s="3" t="s">
        <v>1239</v>
      </c>
      <c r="G666" s="233">
        <v>466</v>
      </c>
      <c r="H666" s="233">
        <v>3797</v>
      </c>
      <c r="I666" s="233" t="s">
        <v>1236</v>
      </c>
      <c r="J666" s="233" t="s">
        <v>1235</v>
      </c>
      <c r="K666" s="233" t="s">
        <v>733</v>
      </c>
      <c r="L666" s="233" t="s">
        <v>21</v>
      </c>
      <c r="M666" s="238">
        <v>0.29166666666666669</v>
      </c>
      <c r="N666" s="238">
        <v>0.625</v>
      </c>
      <c r="O666" s="196">
        <v>5160</v>
      </c>
      <c r="P666" s="233" t="s">
        <v>492</v>
      </c>
      <c r="Q666" s="3">
        <v>5.5</v>
      </c>
      <c r="R666" s="205">
        <v>5.47</v>
      </c>
    </row>
    <row r="667" spans="2:18" x14ac:dyDescent="0.25">
      <c r="B667" s="199">
        <v>45077</v>
      </c>
      <c r="C667" s="3">
        <v>2</v>
      </c>
      <c r="D667" s="3" t="s">
        <v>466</v>
      </c>
      <c r="E667" s="3" t="s">
        <v>3</v>
      </c>
      <c r="F667" s="3" t="s">
        <v>47</v>
      </c>
      <c r="G667" s="233">
        <v>467</v>
      </c>
      <c r="H667" s="233">
        <v>3797</v>
      </c>
      <c r="I667" s="233" t="s">
        <v>1236</v>
      </c>
      <c r="J667" s="233" t="s">
        <v>1235</v>
      </c>
      <c r="K667" s="233" t="s">
        <v>733</v>
      </c>
      <c r="L667" s="233" t="s">
        <v>21</v>
      </c>
      <c r="M667" s="238">
        <v>0.625</v>
      </c>
      <c r="N667" s="238">
        <v>0.68055555555555547</v>
      </c>
      <c r="O667" s="196">
        <v>550</v>
      </c>
      <c r="P667" s="233" t="s">
        <v>492</v>
      </c>
      <c r="Q667" s="3">
        <v>1.03</v>
      </c>
      <c r="R667" s="205">
        <v>1.06</v>
      </c>
    </row>
    <row r="668" spans="2:18" x14ac:dyDescent="0.25">
      <c r="B668" s="199">
        <v>45077</v>
      </c>
      <c r="C668" s="233">
        <v>2</v>
      </c>
      <c r="D668" s="233" t="s">
        <v>466</v>
      </c>
      <c r="E668" s="233" t="s">
        <v>3</v>
      </c>
      <c r="F668" s="233" t="s">
        <v>47</v>
      </c>
      <c r="G668" s="3">
        <v>468</v>
      </c>
      <c r="H668" s="3">
        <v>4500</v>
      </c>
      <c r="I668" s="233" t="s">
        <v>741</v>
      </c>
      <c r="J668" s="3" t="s">
        <v>1240</v>
      </c>
      <c r="K668" s="3" t="s">
        <v>733</v>
      </c>
      <c r="L668" s="233" t="s">
        <v>21</v>
      </c>
      <c r="M668" s="238">
        <v>0.68055555555555547</v>
      </c>
      <c r="N668" s="238">
        <v>0.95833333333333337</v>
      </c>
      <c r="O668" s="196">
        <v>4678</v>
      </c>
      <c r="P668" s="233" t="s">
        <v>492</v>
      </c>
      <c r="Q668" s="3">
        <v>4.92</v>
      </c>
      <c r="R668" s="205">
        <v>5.46</v>
      </c>
    </row>
    <row r="669" spans="2:18" x14ac:dyDescent="0.25">
      <c r="B669" s="199">
        <v>45077</v>
      </c>
      <c r="C669" s="3">
        <v>3</v>
      </c>
      <c r="D669" s="233" t="s">
        <v>199</v>
      </c>
      <c r="E669" s="3" t="s">
        <v>190</v>
      </c>
      <c r="G669" s="233">
        <v>469</v>
      </c>
      <c r="H669" s="233">
        <v>4500</v>
      </c>
      <c r="I669" s="233" t="s">
        <v>741</v>
      </c>
      <c r="J669" s="233" t="s">
        <v>1240</v>
      </c>
      <c r="K669" s="233" t="s">
        <v>733</v>
      </c>
      <c r="L669" s="233" t="s">
        <v>21</v>
      </c>
      <c r="M669" s="238">
        <v>0.95833333333333337</v>
      </c>
      <c r="N669" s="238">
        <v>2.7777777777777776E-2</v>
      </c>
      <c r="O669" s="196">
        <v>1280</v>
      </c>
      <c r="P669" s="233" t="s">
        <v>492</v>
      </c>
      <c r="Q669" s="3">
        <v>1.59</v>
      </c>
      <c r="R669" s="205">
        <v>1.62</v>
      </c>
    </row>
    <row r="670" spans="2:18" x14ac:dyDescent="0.25">
      <c r="B670" s="199">
        <v>45077</v>
      </c>
      <c r="C670" s="3">
        <v>3</v>
      </c>
      <c r="D670" s="233" t="s">
        <v>199</v>
      </c>
      <c r="E670" s="233" t="s">
        <v>190</v>
      </c>
      <c r="G670" s="233">
        <v>470</v>
      </c>
      <c r="H670" s="233">
        <v>3500</v>
      </c>
      <c r="I670" s="233" t="s">
        <v>683</v>
      </c>
      <c r="J670" s="233" t="s">
        <v>1241</v>
      </c>
      <c r="K670" s="233" t="s">
        <v>733</v>
      </c>
      <c r="L670" s="233" t="s">
        <v>21</v>
      </c>
      <c r="M670" s="238">
        <v>2.7777777777777776E-2</v>
      </c>
      <c r="N670" s="238">
        <v>0.22916666666666666</v>
      </c>
      <c r="O670" s="196">
        <v>2478</v>
      </c>
      <c r="P670" s="233" t="s">
        <v>492</v>
      </c>
      <c r="Q670" s="3">
        <v>3.76</v>
      </c>
      <c r="R670" s="205">
        <v>3.89</v>
      </c>
    </row>
    <row r="671" spans="2:18" x14ac:dyDescent="0.25">
      <c r="B671" s="199">
        <v>45077</v>
      </c>
      <c r="C671" s="3">
        <v>3</v>
      </c>
      <c r="D671" s="233" t="s">
        <v>199</v>
      </c>
      <c r="E671" s="233" t="s">
        <v>190</v>
      </c>
      <c r="G671" s="233">
        <v>471</v>
      </c>
      <c r="H671" s="233"/>
      <c r="I671" s="233" t="s">
        <v>683</v>
      </c>
      <c r="J671" s="233" t="s">
        <v>1242</v>
      </c>
      <c r="K671" s="233" t="s">
        <v>733</v>
      </c>
      <c r="L671" s="233" t="s">
        <v>21</v>
      </c>
      <c r="M671" s="238">
        <v>0.22916666666666666</v>
      </c>
      <c r="N671" s="238">
        <v>0.29166666666666669</v>
      </c>
      <c r="O671" s="196">
        <f>4508-O669-O670</f>
        <v>750</v>
      </c>
      <c r="P671" s="3" t="s">
        <v>492</v>
      </c>
      <c r="Q671" s="3">
        <f>5.85-Q670-Q669</f>
        <v>0.49999999999999978</v>
      </c>
      <c r="R671" s="205">
        <f>7.07-3.98-1.62</f>
        <v>1.4700000000000002</v>
      </c>
    </row>
    <row r="672" spans="2:18" x14ac:dyDescent="0.25">
      <c r="B672" s="199">
        <v>45078</v>
      </c>
      <c r="C672" s="3">
        <v>1</v>
      </c>
      <c r="D672" s="3" t="s">
        <v>173</v>
      </c>
      <c r="E672" s="3" t="s">
        <v>188</v>
      </c>
      <c r="G672" s="3">
        <v>472</v>
      </c>
      <c r="I672" s="3" t="s">
        <v>683</v>
      </c>
      <c r="J672" s="233" t="s">
        <v>1242</v>
      </c>
      <c r="K672" s="233" t="s">
        <v>733</v>
      </c>
      <c r="L672" s="233" t="s">
        <v>21</v>
      </c>
      <c r="M672" s="238">
        <v>0.29166666666666669</v>
      </c>
      <c r="N672" s="238">
        <v>0.3</v>
      </c>
      <c r="O672" s="196">
        <v>69</v>
      </c>
      <c r="P672" s="3" t="s">
        <v>492</v>
      </c>
      <c r="Q672" s="3">
        <v>0.17</v>
      </c>
      <c r="R672" s="205">
        <v>0.25</v>
      </c>
    </row>
    <row r="673" spans="2:18" x14ac:dyDescent="0.25">
      <c r="B673" s="199">
        <v>45078</v>
      </c>
      <c r="C673" s="3">
        <v>2</v>
      </c>
      <c r="D673" s="3" t="s">
        <v>466</v>
      </c>
      <c r="E673" s="3" t="s">
        <v>3</v>
      </c>
      <c r="M673" s="238">
        <v>0.625</v>
      </c>
      <c r="N673" s="238">
        <v>0.95833333333333337</v>
      </c>
      <c r="O673" s="196">
        <v>0</v>
      </c>
      <c r="P673" s="3">
        <v>0</v>
      </c>
      <c r="Q673" s="3">
        <v>0</v>
      </c>
      <c r="R673" s="205">
        <v>0</v>
      </c>
    </row>
    <row r="674" spans="2:18" x14ac:dyDescent="0.25">
      <c r="B674" s="199">
        <v>45078</v>
      </c>
      <c r="C674" s="3">
        <v>3</v>
      </c>
      <c r="D674" s="3" t="s">
        <v>7</v>
      </c>
      <c r="E674" s="233" t="s">
        <v>362</v>
      </c>
      <c r="G674" s="3">
        <v>473</v>
      </c>
      <c r="I674" s="233" t="s">
        <v>683</v>
      </c>
      <c r="J674" s="233" t="s">
        <v>1242</v>
      </c>
      <c r="K674" s="233" t="s">
        <v>733</v>
      </c>
      <c r="L674" s="233" t="s">
        <v>12</v>
      </c>
      <c r="M674" s="238">
        <v>0.95833333333333337</v>
      </c>
      <c r="N674" s="238">
        <v>0.125</v>
      </c>
      <c r="O674" s="196">
        <v>2260</v>
      </c>
      <c r="P674" s="233">
        <v>0</v>
      </c>
      <c r="Q674" s="3">
        <v>3.19</v>
      </c>
      <c r="R674" s="205">
        <v>3.11</v>
      </c>
    </row>
    <row r="675" spans="2:18" x14ac:dyDescent="0.25">
      <c r="B675" s="199">
        <v>45078</v>
      </c>
      <c r="C675" s="233">
        <v>3</v>
      </c>
      <c r="D675" s="233" t="s">
        <v>7</v>
      </c>
      <c r="E675" s="233" t="s">
        <v>362</v>
      </c>
      <c r="G675" s="233">
        <v>474</v>
      </c>
      <c r="H675" s="233">
        <v>3757</v>
      </c>
      <c r="I675" s="233"/>
      <c r="J675" s="233" t="s">
        <v>1243</v>
      </c>
      <c r="K675" s="233" t="s">
        <v>733</v>
      </c>
      <c r="L675" s="233" t="s">
        <v>12</v>
      </c>
      <c r="M675" s="238">
        <v>0.125</v>
      </c>
      <c r="N675" s="238">
        <v>0.29166666666666669</v>
      </c>
      <c r="O675" s="196">
        <f>4186-O674</f>
        <v>1926</v>
      </c>
      <c r="P675" s="3">
        <v>0</v>
      </c>
      <c r="Q675" s="3">
        <f>5.93-Q674</f>
        <v>2.7399999999999998</v>
      </c>
      <c r="R675" s="205">
        <f>6.09-R674</f>
        <v>2.98</v>
      </c>
    </row>
    <row r="676" spans="2:18" x14ac:dyDescent="0.25">
      <c r="B676" s="199">
        <v>45079</v>
      </c>
      <c r="C676" s="3">
        <v>1</v>
      </c>
      <c r="D676" s="3" t="s">
        <v>4</v>
      </c>
      <c r="E676" s="3" t="s">
        <v>188</v>
      </c>
      <c r="G676" s="3">
        <v>475</v>
      </c>
      <c r="H676" s="3">
        <v>3757</v>
      </c>
      <c r="I676" s="3" t="s">
        <v>683</v>
      </c>
      <c r="J676" s="233" t="s">
        <v>1243</v>
      </c>
      <c r="K676" s="233" t="s">
        <v>733</v>
      </c>
      <c r="L676" s="233" t="s">
        <v>12</v>
      </c>
      <c r="M676" s="238">
        <v>0.29166666666666669</v>
      </c>
      <c r="N676" s="238">
        <v>0.4236111111111111</v>
      </c>
      <c r="O676" s="196">
        <v>1748</v>
      </c>
      <c r="P676" s="3">
        <v>0</v>
      </c>
      <c r="Q676" s="3">
        <v>2.5299999999999998</v>
      </c>
      <c r="R676" s="205">
        <v>2.5499999999999998</v>
      </c>
    </row>
    <row r="677" spans="2:18" x14ac:dyDescent="0.25">
      <c r="B677" s="199">
        <v>45079</v>
      </c>
      <c r="C677" s="233">
        <v>1</v>
      </c>
      <c r="D677" s="233" t="s">
        <v>4</v>
      </c>
      <c r="E677" s="233" t="s">
        <v>188</v>
      </c>
      <c r="F677" s="3" t="s">
        <v>17</v>
      </c>
      <c r="G677" s="3">
        <v>476</v>
      </c>
      <c r="H677" s="3">
        <v>1500</v>
      </c>
      <c r="I677" s="3" t="s">
        <v>683</v>
      </c>
      <c r="J677" s="3" t="s">
        <v>1245</v>
      </c>
      <c r="K677" s="233" t="s">
        <v>733</v>
      </c>
      <c r="L677" s="233" t="s">
        <v>12</v>
      </c>
      <c r="M677" s="238">
        <v>0.4236111111111111</v>
      </c>
      <c r="N677" s="238">
        <v>0.5625</v>
      </c>
      <c r="O677" s="196">
        <f>3846-O676</f>
        <v>2098</v>
      </c>
      <c r="P677" s="3">
        <v>0</v>
      </c>
      <c r="Q677" s="3">
        <f>5.58-Q676</f>
        <v>3.0500000000000003</v>
      </c>
      <c r="R677" s="205">
        <f>5.6-R676</f>
        <v>3.05</v>
      </c>
    </row>
    <row r="678" spans="2:18" x14ac:dyDescent="0.25">
      <c r="B678" s="199">
        <v>45079</v>
      </c>
      <c r="C678" s="233">
        <v>2</v>
      </c>
      <c r="D678" s="233" t="s">
        <v>466</v>
      </c>
      <c r="E678" s="233" t="s">
        <v>3</v>
      </c>
      <c r="F678" s="233" t="s">
        <v>47</v>
      </c>
      <c r="G678" s="233">
        <v>478</v>
      </c>
      <c r="H678" s="233">
        <v>5000</v>
      </c>
      <c r="I678" s="233" t="s">
        <v>840</v>
      </c>
      <c r="J678" s="233" t="s">
        <v>1247</v>
      </c>
      <c r="K678" s="233" t="s">
        <v>733</v>
      </c>
      <c r="L678" s="233" t="s">
        <v>12</v>
      </c>
      <c r="M678" s="238">
        <v>0.625</v>
      </c>
      <c r="N678" s="238">
        <v>0.95833333333333337</v>
      </c>
      <c r="O678" s="196">
        <v>4575</v>
      </c>
      <c r="P678" s="3">
        <v>0</v>
      </c>
      <c r="Q678" s="3">
        <v>5.67</v>
      </c>
      <c r="R678" s="205">
        <v>6.48</v>
      </c>
    </row>
    <row r="679" spans="2:18" x14ac:dyDescent="0.25">
      <c r="B679" s="199">
        <v>45079</v>
      </c>
      <c r="C679" s="233">
        <v>3</v>
      </c>
      <c r="D679" s="233" t="s">
        <v>7</v>
      </c>
      <c r="E679" s="233" t="s">
        <v>362</v>
      </c>
      <c r="F679" s="233"/>
      <c r="G679" s="233"/>
      <c r="H679" s="233"/>
      <c r="I679" s="233"/>
      <c r="J679" s="233"/>
      <c r="K679" s="233"/>
      <c r="L679" s="233"/>
      <c r="M679" s="238">
        <v>0.95833333333333337</v>
      </c>
      <c r="N679" s="238">
        <v>0.29166666666666669</v>
      </c>
      <c r="O679" s="196">
        <v>0</v>
      </c>
      <c r="P679" s="3">
        <v>0</v>
      </c>
      <c r="Q679" s="3">
        <v>0</v>
      </c>
      <c r="R679" s="205">
        <v>0</v>
      </c>
    </row>
    <row r="680" spans="2:18" x14ac:dyDescent="0.25">
      <c r="B680" s="199">
        <v>45080</v>
      </c>
      <c r="C680" s="3">
        <v>1</v>
      </c>
      <c r="D680" s="3" t="s">
        <v>4</v>
      </c>
      <c r="E680" s="3" t="s">
        <v>634</v>
      </c>
      <c r="M680" s="238">
        <v>0.29166666666666669</v>
      </c>
      <c r="N680" s="238">
        <v>0.625</v>
      </c>
      <c r="O680" s="196">
        <v>0</v>
      </c>
      <c r="P680" s="233">
        <v>0</v>
      </c>
      <c r="Q680" s="233">
        <v>0</v>
      </c>
      <c r="R680" s="205">
        <v>0</v>
      </c>
    </row>
    <row r="681" spans="2:18" x14ac:dyDescent="0.25">
      <c r="B681" s="199">
        <v>45080</v>
      </c>
      <c r="C681" s="3">
        <v>2</v>
      </c>
      <c r="D681" s="3" t="s">
        <v>1</v>
      </c>
      <c r="E681" s="304" t="s">
        <v>205</v>
      </c>
      <c r="M681" s="238">
        <v>0.625</v>
      </c>
      <c r="N681" s="238">
        <v>0.95833333333333337</v>
      </c>
      <c r="O681" s="196">
        <v>0</v>
      </c>
      <c r="P681" s="233">
        <v>0</v>
      </c>
      <c r="Q681" s="233">
        <v>0</v>
      </c>
      <c r="R681" s="205">
        <v>0</v>
      </c>
    </row>
    <row r="682" spans="2:18" x14ac:dyDescent="0.25">
      <c r="B682" s="199">
        <v>45080</v>
      </c>
      <c r="C682" s="3">
        <v>3</v>
      </c>
      <c r="D682" s="3" t="s">
        <v>7</v>
      </c>
      <c r="E682" s="3" t="s">
        <v>190</v>
      </c>
      <c r="M682" s="238">
        <v>0.95833333333333337</v>
      </c>
      <c r="N682" s="238">
        <v>0.29166666666666669</v>
      </c>
      <c r="O682" s="196">
        <v>0</v>
      </c>
      <c r="P682" s="233">
        <v>0</v>
      </c>
      <c r="Q682" s="233">
        <v>0</v>
      </c>
      <c r="R682" s="205">
        <v>0</v>
      </c>
    </row>
    <row r="683" spans="2:18" x14ac:dyDescent="0.25">
      <c r="B683" s="199">
        <v>45081</v>
      </c>
      <c r="C683" s="3">
        <v>1</v>
      </c>
      <c r="D683" s="233" t="s">
        <v>4</v>
      </c>
      <c r="E683" s="233" t="s">
        <v>634</v>
      </c>
      <c r="M683" s="238">
        <v>0.29166666666666669</v>
      </c>
      <c r="N683" s="238">
        <v>0.625</v>
      </c>
      <c r="O683" s="196">
        <v>0</v>
      </c>
      <c r="P683" s="233">
        <v>0</v>
      </c>
      <c r="Q683" s="233">
        <v>0</v>
      </c>
      <c r="R683" s="205">
        <v>0</v>
      </c>
    </row>
    <row r="684" spans="2:18" x14ac:dyDescent="0.25">
      <c r="B684" s="199">
        <v>45081</v>
      </c>
      <c r="C684" s="3">
        <v>2</v>
      </c>
      <c r="D684" s="3" t="s">
        <v>205</v>
      </c>
      <c r="E684" s="233" t="s">
        <v>205</v>
      </c>
      <c r="M684" s="238">
        <v>0.625</v>
      </c>
      <c r="N684" s="238">
        <v>0.95833333333333337</v>
      </c>
      <c r="O684" s="196">
        <v>0</v>
      </c>
      <c r="P684" s="233">
        <v>0</v>
      </c>
      <c r="Q684" s="233">
        <v>0</v>
      </c>
      <c r="R684" s="205">
        <v>0</v>
      </c>
    </row>
    <row r="685" spans="2:18" x14ac:dyDescent="0.25">
      <c r="B685" s="199">
        <v>45081</v>
      </c>
      <c r="C685" s="233">
        <v>3</v>
      </c>
      <c r="D685" s="233" t="s">
        <v>7</v>
      </c>
      <c r="E685" s="233" t="s">
        <v>190</v>
      </c>
      <c r="F685" s="233"/>
      <c r="G685" s="233"/>
      <c r="L685" s="233"/>
      <c r="M685" s="238">
        <v>0.95833333333333337</v>
      </c>
      <c r="N685" s="238">
        <v>0.29166666666666669</v>
      </c>
      <c r="O685" s="196">
        <v>0</v>
      </c>
      <c r="P685" s="233">
        <v>0</v>
      </c>
      <c r="Q685" s="233">
        <v>0</v>
      </c>
      <c r="R685" s="205">
        <v>0</v>
      </c>
    </row>
    <row r="686" spans="2:18" x14ac:dyDescent="0.25">
      <c r="B686" s="199">
        <v>45082</v>
      </c>
      <c r="C686" s="3">
        <v>1</v>
      </c>
      <c r="D686" s="3" t="s">
        <v>1</v>
      </c>
      <c r="E686" s="233" t="s">
        <v>1</v>
      </c>
      <c r="J686" s="3" t="s">
        <v>1249</v>
      </c>
      <c r="K686" s="233" t="s">
        <v>733</v>
      </c>
      <c r="L686" s="233" t="s">
        <v>12</v>
      </c>
      <c r="M686" s="238">
        <v>0.29166666666666669</v>
      </c>
      <c r="N686" s="238">
        <v>0.625</v>
      </c>
      <c r="O686" s="196">
        <v>0</v>
      </c>
      <c r="P686" s="233">
        <v>0</v>
      </c>
      <c r="Q686" s="233">
        <v>0</v>
      </c>
      <c r="R686" s="205">
        <v>0</v>
      </c>
    </row>
    <row r="687" spans="2:18" x14ac:dyDescent="0.25">
      <c r="B687" s="199">
        <v>45082</v>
      </c>
      <c r="C687" s="3">
        <v>2</v>
      </c>
      <c r="D687" s="233" t="s">
        <v>7</v>
      </c>
      <c r="E687" s="233" t="s">
        <v>362</v>
      </c>
      <c r="F687" s="3" t="s">
        <v>51</v>
      </c>
      <c r="G687" s="233">
        <v>479</v>
      </c>
      <c r="H687" s="3">
        <v>4000</v>
      </c>
      <c r="I687" s="233" t="s">
        <v>683</v>
      </c>
      <c r="J687" s="233" t="s">
        <v>1249</v>
      </c>
      <c r="K687" s="233" t="s">
        <v>733</v>
      </c>
      <c r="L687" s="233" t="s">
        <v>12</v>
      </c>
      <c r="M687" s="238">
        <v>0.625</v>
      </c>
      <c r="N687" s="238">
        <v>0.90625</v>
      </c>
      <c r="O687" s="196">
        <v>3400</v>
      </c>
      <c r="P687" s="3">
        <v>0</v>
      </c>
      <c r="Q687" s="3">
        <v>5.07</v>
      </c>
      <c r="R687" s="205">
        <v>4.7699999999999996</v>
      </c>
    </row>
    <row r="688" spans="2:18" x14ac:dyDescent="0.25">
      <c r="B688" s="199">
        <v>45082</v>
      </c>
      <c r="C688" s="233">
        <v>2</v>
      </c>
      <c r="D688" s="233" t="s">
        <v>7</v>
      </c>
      <c r="E688" s="233" t="s">
        <v>362</v>
      </c>
      <c r="F688" s="3" t="s">
        <v>17</v>
      </c>
      <c r="G688" s="3">
        <v>480</v>
      </c>
      <c r="H688" s="3">
        <v>4440</v>
      </c>
      <c r="I688" s="3" t="s">
        <v>840</v>
      </c>
      <c r="J688" s="3" t="s">
        <v>1251</v>
      </c>
      <c r="K688" s="233" t="s">
        <v>733</v>
      </c>
      <c r="L688" s="233" t="s">
        <v>12</v>
      </c>
      <c r="M688" s="238">
        <v>0.90625</v>
      </c>
      <c r="N688" s="238">
        <v>0.95833333333333337</v>
      </c>
      <c r="O688" s="196">
        <f>3906-O687</f>
        <v>506</v>
      </c>
      <c r="P688" s="233">
        <v>0</v>
      </c>
      <c r="Q688" s="3">
        <f>5.8-Q687</f>
        <v>0.72999999999999954</v>
      </c>
      <c r="R688" s="205">
        <f>5.55-R687</f>
        <v>0.78000000000000025</v>
      </c>
    </row>
    <row r="689" spans="2:18" x14ac:dyDescent="0.25">
      <c r="B689" s="199">
        <v>45082</v>
      </c>
      <c r="C689" s="3">
        <v>3</v>
      </c>
      <c r="D689" s="3" t="s">
        <v>182</v>
      </c>
      <c r="E689" s="233" t="s">
        <v>188</v>
      </c>
      <c r="G689" s="3">
        <v>481</v>
      </c>
      <c r="H689" s="233">
        <v>4440</v>
      </c>
      <c r="I689" s="233" t="s">
        <v>840</v>
      </c>
      <c r="J689" s="233" t="s">
        <v>1251</v>
      </c>
      <c r="K689" s="3" t="s">
        <v>733</v>
      </c>
      <c r="L689" s="233" t="s">
        <v>12</v>
      </c>
      <c r="M689" s="238">
        <v>0.95833333333333337</v>
      </c>
      <c r="N689" s="238">
        <v>0.27083333333333331</v>
      </c>
      <c r="O689" s="196">
        <v>5128</v>
      </c>
      <c r="P689" s="3">
        <v>0</v>
      </c>
      <c r="Q689" s="3">
        <v>6.93</v>
      </c>
      <c r="R689" s="205">
        <v>6.8</v>
      </c>
    </row>
    <row r="690" spans="2:18" x14ac:dyDescent="0.25">
      <c r="B690" s="199">
        <v>45083</v>
      </c>
      <c r="C690" s="3">
        <v>1</v>
      </c>
      <c r="D690" s="3" t="s">
        <v>1</v>
      </c>
      <c r="E690" s="233" t="s">
        <v>1</v>
      </c>
      <c r="F690" s="3" t="s">
        <v>31</v>
      </c>
      <c r="G690" s="3">
        <v>482</v>
      </c>
      <c r="H690" s="3">
        <v>3000</v>
      </c>
      <c r="I690" s="3" t="s">
        <v>1253</v>
      </c>
      <c r="J690" s="3" t="s">
        <v>1252</v>
      </c>
      <c r="K690" s="3" t="s">
        <v>733</v>
      </c>
      <c r="L690" s="233" t="s">
        <v>12</v>
      </c>
      <c r="M690" s="238">
        <v>0.29166666666666669</v>
      </c>
      <c r="N690" s="238">
        <v>0.48958333333333331</v>
      </c>
      <c r="O690" s="196">
        <v>1150</v>
      </c>
      <c r="P690" s="3">
        <v>0</v>
      </c>
      <c r="Q690" s="3">
        <v>2.14</v>
      </c>
      <c r="R690" s="205">
        <v>2.73</v>
      </c>
    </row>
    <row r="691" spans="2:18" x14ac:dyDescent="0.25">
      <c r="B691" s="199">
        <v>45083</v>
      </c>
      <c r="C691" s="3">
        <v>1</v>
      </c>
      <c r="D691" s="3" t="s">
        <v>1</v>
      </c>
      <c r="E691" s="233" t="s">
        <v>1</v>
      </c>
      <c r="F691" s="3" t="s">
        <v>52</v>
      </c>
      <c r="G691" s="3">
        <v>483</v>
      </c>
      <c r="H691" s="3">
        <v>3000</v>
      </c>
      <c r="I691" s="3" t="s">
        <v>1253</v>
      </c>
      <c r="J691" s="3" t="s">
        <v>1252</v>
      </c>
      <c r="K691" s="3" t="s">
        <v>733</v>
      </c>
      <c r="L691" s="3" t="s">
        <v>24</v>
      </c>
      <c r="M691" s="238">
        <v>0.51388888888888895</v>
      </c>
      <c r="N691" s="238">
        <v>0.625</v>
      </c>
      <c r="O691" s="196">
        <v>1593</v>
      </c>
      <c r="P691" s="3">
        <v>0</v>
      </c>
      <c r="Q691" s="3">
        <v>2.31</v>
      </c>
      <c r="R691" s="205">
        <v>2.33</v>
      </c>
    </row>
    <row r="692" spans="2:18" x14ac:dyDescent="0.25">
      <c r="B692" s="199">
        <v>45083</v>
      </c>
      <c r="C692" s="233">
        <v>2</v>
      </c>
      <c r="D692" s="233" t="s">
        <v>7</v>
      </c>
      <c r="E692" s="3" t="s">
        <v>3</v>
      </c>
      <c r="F692" s="3" t="s">
        <v>51</v>
      </c>
      <c r="G692" s="233">
        <v>484</v>
      </c>
      <c r="H692" s="233">
        <v>3000</v>
      </c>
      <c r="I692" s="233" t="s">
        <v>1258</v>
      </c>
      <c r="J692" s="233" t="s">
        <v>1252</v>
      </c>
      <c r="K692" s="233" t="s">
        <v>733</v>
      </c>
      <c r="L692" s="233" t="s">
        <v>24</v>
      </c>
      <c r="M692" s="238">
        <v>0.625</v>
      </c>
      <c r="N692" s="238">
        <v>0.70486111111111116</v>
      </c>
      <c r="O692" s="196">
        <v>800</v>
      </c>
      <c r="P692" s="3">
        <v>0</v>
      </c>
      <c r="Q692" s="3">
        <v>1.47</v>
      </c>
      <c r="R692" s="205">
        <v>1.54</v>
      </c>
    </row>
    <row r="693" spans="2:18" x14ac:dyDescent="0.25">
      <c r="B693" s="199">
        <v>45083</v>
      </c>
      <c r="C693" s="233">
        <v>2</v>
      </c>
      <c r="D693" s="233" t="s">
        <v>7</v>
      </c>
      <c r="E693" s="233" t="s">
        <v>3</v>
      </c>
      <c r="F693" s="233" t="s">
        <v>51</v>
      </c>
      <c r="G693" s="3">
        <v>485</v>
      </c>
      <c r="H693" s="233">
        <v>3000</v>
      </c>
      <c r="I693" s="233" t="s">
        <v>1258</v>
      </c>
      <c r="J693" s="233" t="s">
        <v>1252</v>
      </c>
      <c r="K693" s="233" t="s">
        <v>733</v>
      </c>
      <c r="L693" s="233" t="s">
        <v>1260</v>
      </c>
      <c r="M693" s="238">
        <v>0.70486111111111116</v>
      </c>
      <c r="N693" s="238">
        <v>0.76388888888888884</v>
      </c>
      <c r="O693" s="196">
        <v>970</v>
      </c>
      <c r="P693" s="3">
        <v>0</v>
      </c>
      <c r="Q693" s="3">
        <v>1.3</v>
      </c>
      <c r="R693" s="205">
        <v>1.45</v>
      </c>
    </row>
    <row r="694" spans="2:18" x14ac:dyDescent="0.25">
      <c r="B694" s="199">
        <v>45083</v>
      </c>
      <c r="C694" s="233">
        <v>2</v>
      </c>
      <c r="D694" s="233" t="s">
        <v>7</v>
      </c>
      <c r="E694" s="233" t="s">
        <v>3</v>
      </c>
      <c r="F694" s="233" t="s">
        <v>51</v>
      </c>
      <c r="G694" s="3">
        <v>486</v>
      </c>
      <c r="H694" s="233">
        <v>3000</v>
      </c>
      <c r="I694" s="233" t="s">
        <v>1258</v>
      </c>
      <c r="J694" s="3" t="s">
        <v>1252</v>
      </c>
      <c r="K694" s="233" t="s">
        <v>733</v>
      </c>
      <c r="L694" s="233" t="s">
        <v>24</v>
      </c>
      <c r="M694" s="238">
        <v>0.76388888888888884</v>
      </c>
      <c r="N694" s="238">
        <v>0.87847222222222221</v>
      </c>
      <c r="O694" s="196">
        <v>1490</v>
      </c>
      <c r="P694" s="3">
        <v>0</v>
      </c>
      <c r="Q694" s="3">
        <v>2.25</v>
      </c>
      <c r="R694" s="205">
        <v>2.15</v>
      </c>
    </row>
    <row r="695" spans="2:18" x14ac:dyDescent="0.25">
      <c r="B695" s="199">
        <v>45083</v>
      </c>
      <c r="C695" s="233">
        <v>2</v>
      </c>
      <c r="D695" s="233" t="s">
        <v>7</v>
      </c>
      <c r="E695" s="233" t="s">
        <v>3</v>
      </c>
      <c r="F695" s="233" t="s">
        <v>51</v>
      </c>
      <c r="G695" s="3">
        <v>487</v>
      </c>
      <c r="H695" s="3">
        <v>2730</v>
      </c>
      <c r="I695" s="3" t="s">
        <v>988</v>
      </c>
      <c r="J695" s="3" t="s">
        <v>1259</v>
      </c>
      <c r="K695" s="233" t="s">
        <v>733</v>
      </c>
      <c r="L695" s="233" t="s">
        <v>24</v>
      </c>
      <c r="M695" s="238">
        <v>0.87847222222222221</v>
      </c>
      <c r="N695" s="238">
        <v>0.95833333333333337</v>
      </c>
      <c r="O695" s="196">
        <v>993</v>
      </c>
      <c r="P695" s="3">
        <v>0</v>
      </c>
      <c r="Q695" s="3">
        <v>1.28</v>
      </c>
      <c r="R695" s="205">
        <v>1.57</v>
      </c>
    </row>
    <row r="696" spans="2:18" x14ac:dyDescent="0.25">
      <c r="B696" s="199">
        <v>45083</v>
      </c>
      <c r="C696" s="3">
        <v>3</v>
      </c>
      <c r="D696" s="3" t="s">
        <v>182</v>
      </c>
      <c r="E696" s="3" t="s">
        <v>182</v>
      </c>
      <c r="F696" s="3" t="s">
        <v>1239</v>
      </c>
      <c r="G696" s="233">
        <v>488</v>
      </c>
      <c r="H696" s="233">
        <v>2730</v>
      </c>
      <c r="I696" s="233" t="s">
        <v>988</v>
      </c>
      <c r="J696" s="233" t="s">
        <v>1259</v>
      </c>
      <c r="K696" s="233" t="s">
        <v>733</v>
      </c>
      <c r="L696" s="233" t="s">
        <v>24</v>
      </c>
      <c r="M696" s="238">
        <v>0.95833333333333337</v>
      </c>
      <c r="N696" s="238">
        <v>0</v>
      </c>
      <c r="O696" s="196">
        <v>295</v>
      </c>
      <c r="P696" s="3">
        <v>0</v>
      </c>
      <c r="Q696" s="3">
        <v>0.47</v>
      </c>
      <c r="R696" s="205">
        <v>0.39</v>
      </c>
    </row>
    <row r="697" spans="2:18" x14ac:dyDescent="0.25">
      <c r="B697" s="199">
        <v>45083</v>
      </c>
      <c r="C697" s="233">
        <v>3</v>
      </c>
      <c r="D697" s="233" t="s">
        <v>182</v>
      </c>
      <c r="E697" s="233" t="s">
        <v>182</v>
      </c>
      <c r="F697" s="233" t="s">
        <v>1239</v>
      </c>
      <c r="G697" s="233">
        <v>489</v>
      </c>
      <c r="H697" s="233">
        <v>2730</v>
      </c>
      <c r="I697" s="233" t="s">
        <v>988</v>
      </c>
      <c r="J697" s="233" t="s">
        <v>1259</v>
      </c>
      <c r="K697" s="233" t="s">
        <v>733</v>
      </c>
      <c r="L697" s="233" t="s">
        <v>473</v>
      </c>
      <c r="M697" s="238">
        <v>0</v>
      </c>
      <c r="N697" s="238">
        <v>6.25E-2</v>
      </c>
      <c r="O697" s="196">
        <f>1130-295</f>
        <v>835</v>
      </c>
      <c r="P697" s="3">
        <v>0</v>
      </c>
      <c r="Q697" s="3">
        <f>1.48-0.47</f>
        <v>1.01</v>
      </c>
      <c r="R697" s="205">
        <f>1.52-R696</f>
        <v>1.1299999999999999</v>
      </c>
    </row>
    <row r="698" spans="2:18" x14ac:dyDescent="0.25">
      <c r="B698" s="199">
        <v>45083</v>
      </c>
      <c r="C698" s="233">
        <v>3</v>
      </c>
      <c r="D698" s="233" t="s">
        <v>182</v>
      </c>
      <c r="E698" s="233" t="s">
        <v>182</v>
      </c>
      <c r="F698" s="233" t="s">
        <v>1263</v>
      </c>
      <c r="G698" s="3">
        <v>490</v>
      </c>
      <c r="H698" s="3">
        <v>2500</v>
      </c>
      <c r="I698" s="3" t="s">
        <v>683</v>
      </c>
      <c r="J698" s="3" t="s">
        <v>1250</v>
      </c>
      <c r="K698" s="3" t="s">
        <v>733</v>
      </c>
      <c r="L698" s="3" t="s">
        <v>24</v>
      </c>
      <c r="M698" s="238">
        <v>6.25E-2</v>
      </c>
      <c r="N698" s="238">
        <v>0.29166666666666669</v>
      </c>
      <c r="O698" s="196">
        <v>2791</v>
      </c>
      <c r="P698" s="3">
        <v>0</v>
      </c>
      <c r="Q698" s="3">
        <v>3.94</v>
      </c>
      <c r="R698" s="205">
        <v>3.99</v>
      </c>
    </row>
    <row r="699" spans="2:18" x14ac:dyDescent="0.25">
      <c r="B699" s="199">
        <v>45084</v>
      </c>
      <c r="C699" s="3">
        <v>1</v>
      </c>
      <c r="D699" s="233" t="s">
        <v>1</v>
      </c>
      <c r="E699" s="3" t="s">
        <v>1264</v>
      </c>
      <c r="I699" s="233"/>
      <c r="J699" s="233"/>
      <c r="M699" s="238">
        <v>0.29166666666666669</v>
      </c>
      <c r="N699" s="238">
        <v>0.625</v>
      </c>
      <c r="O699" s="196">
        <v>0</v>
      </c>
      <c r="P699" s="3">
        <v>0</v>
      </c>
      <c r="Q699" s="3">
        <v>0</v>
      </c>
      <c r="R699" s="205">
        <v>0</v>
      </c>
    </row>
    <row r="700" spans="2:18" x14ac:dyDescent="0.25">
      <c r="B700" s="199">
        <v>45082</v>
      </c>
      <c r="C700" s="233">
        <v>2</v>
      </c>
      <c r="D700" s="233" t="s">
        <v>7</v>
      </c>
      <c r="E700" s="233" t="s">
        <v>362</v>
      </c>
      <c r="M700" s="238">
        <v>0.625</v>
      </c>
      <c r="N700" s="238">
        <v>0.95833333333333337</v>
      </c>
      <c r="O700" s="196">
        <v>0</v>
      </c>
      <c r="P700" s="3">
        <v>0</v>
      </c>
      <c r="Q700" s="3">
        <v>0</v>
      </c>
      <c r="R700" s="205">
        <v>0</v>
      </c>
    </row>
    <row r="701" spans="2:18" x14ac:dyDescent="0.25">
      <c r="B701" s="199">
        <v>45084</v>
      </c>
      <c r="C701" s="233">
        <v>3</v>
      </c>
      <c r="D701" s="233" t="s">
        <v>182</v>
      </c>
      <c r="E701" s="233" t="s">
        <v>188</v>
      </c>
      <c r="M701" s="238">
        <v>0.95833333333333337</v>
      </c>
      <c r="N701" s="238">
        <v>0.29166666666666669</v>
      </c>
      <c r="O701" s="196">
        <v>0</v>
      </c>
      <c r="P701" s="3">
        <v>0</v>
      </c>
      <c r="Q701" s="3">
        <v>0</v>
      </c>
    </row>
    <row r="702" spans="2:18" x14ac:dyDescent="0.25">
      <c r="B702" s="199">
        <v>45085</v>
      </c>
      <c r="C702" s="3">
        <v>1</v>
      </c>
      <c r="D702" s="3" t="s">
        <v>1</v>
      </c>
      <c r="F702" s="3" t="s">
        <v>11</v>
      </c>
      <c r="G702" s="3">
        <v>491</v>
      </c>
      <c r="H702" s="3">
        <v>3393</v>
      </c>
      <c r="I702" s="233" t="s">
        <v>683</v>
      </c>
      <c r="J702" s="233" t="s">
        <v>1269</v>
      </c>
      <c r="K702" s="233" t="s">
        <v>733</v>
      </c>
      <c r="L702" s="233" t="s">
        <v>32</v>
      </c>
      <c r="M702" s="238">
        <v>0.29166666666666669</v>
      </c>
      <c r="N702" s="238">
        <v>0.625</v>
      </c>
      <c r="O702" s="196">
        <v>2484</v>
      </c>
      <c r="P702" s="233" t="s">
        <v>492</v>
      </c>
      <c r="Q702" s="3">
        <v>3.22</v>
      </c>
      <c r="R702" s="205">
        <v>3.14</v>
      </c>
    </row>
    <row r="703" spans="2:18" x14ac:dyDescent="0.25">
      <c r="B703" s="199">
        <v>45085</v>
      </c>
      <c r="C703" s="3">
        <v>2</v>
      </c>
      <c r="D703" s="233" t="s">
        <v>7</v>
      </c>
      <c r="E703" s="233" t="s">
        <v>362</v>
      </c>
      <c r="F703" s="3" t="s">
        <v>51</v>
      </c>
      <c r="G703" s="233">
        <v>492</v>
      </c>
      <c r="H703" s="233">
        <v>3393</v>
      </c>
      <c r="I703" s="233" t="s">
        <v>683</v>
      </c>
      <c r="J703" s="233" t="s">
        <v>1269</v>
      </c>
      <c r="K703" s="233" t="s">
        <v>733</v>
      </c>
      <c r="L703" s="233" t="s">
        <v>32</v>
      </c>
      <c r="M703" s="238">
        <v>0.625</v>
      </c>
      <c r="N703" s="238">
        <v>0.72569444444444453</v>
      </c>
      <c r="O703" s="196">
        <v>1321</v>
      </c>
      <c r="P703" s="233" t="s">
        <v>492</v>
      </c>
      <c r="Q703" s="3">
        <v>2.08</v>
      </c>
      <c r="R703" s="205">
        <v>2.04</v>
      </c>
    </row>
    <row r="704" spans="2:18" x14ac:dyDescent="0.25">
      <c r="B704" s="199">
        <v>45085</v>
      </c>
      <c r="C704" s="233">
        <v>2</v>
      </c>
      <c r="D704" s="233" t="s">
        <v>7</v>
      </c>
      <c r="E704" s="233" t="s">
        <v>362</v>
      </c>
      <c r="G704" s="3">
        <v>493</v>
      </c>
      <c r="I704" s="233" t="s">
        <v>988</v>
      </c>
      <c r="J704" s="233" t="s">
        <v>1267</v>
      </c>
      <c r="K704" s="233" t="s">
        <v>733</v>
      </c>
      <c r="L704" s="233" t="s">
        <v>32</v>
      </c>
      <c r="M704" s="238">
        <v>0.72569444444444453</v>
      </c>
      <c r="N704" s="238">
        <v>0.95833333333333337</v>
      </c>
      <c r="O704" s="196">
        <v>3104</v>
      </c>
      <c r="P704" s="3" t="s">
        <v>492</v>
      </c>
      <c r="Q704" s="3">
        <f>6.61-Q703</f>
        <v>4.53</v>
      </c>
      <c r="R704" s="205">
        <f>6.53-R703</f>
        <v>4.49</v>
      </c>
    </row>
    <row r="705" spans="2:18" x14ac:dyDescent="0.25">
      <c r="B705" s="199">
        <v>45085</v>
      </c>
      <c r="C705" s="233">
        <v>3</v>
      </c>
      <c r="D705" s="233" t="s">
        <v>182</v>
      </c>
      <c r="E705" s="233" t="s">
        <v>188</v>
      </c>
      <c r="G705" s="3">
        <v>394</v>
      </c>
      <c r="I705" s="233" t="s">
        <v>988</v>
      </c>
      <c r="J705" s="233" t="s">
        <v>1267</v>
      </c>
      <c r="K705" s="233" t="s">
        <v>733</v>
      </c>
      <c r="L705" s="233" t="s">
        <v>32</v>
      </c>
      <c r="M705" s="238">
        <v>0.95833333333333337</v>
      </c>
      <c r="N705" s="238">
        <v>0.29166666666666669</v>
      </c>
      <c r="O705" s="196">
        <v>5062</v>
      </c>
      <c r="P705" s="3" t="s">
        <v>492</v>
      </c>
      <c r="Q705" s="3">
        <v>6.21</v>
      </c>
      <c r="R705" s="205">
        <v>6.5</v>
      </c>
    </row>
    <row r="706" spans="2:18" x14ac:dyDescent="0.25">
      <c r="B706" s="199">
        <v>45086</v>
      </c>
      <c r="C706" s="3">
        <v>1</v>
      </c>
      <c r="D706" s="3" t="s">
        <v>1</v>
      </c>
      <c r="F706" s="233" t="s">
        <v>1274</v>
      </c>
      <c r="G706" s="233">
        <v>395</v>
      </c>
      <c r="H706" s="233">
        <v>5000</v>
      </c>
      <c r="I706" s="233" t="s">
        <v>840</v>
      </c>
      <c r="J706" s="233" t="s">
        <v>1272</v>
      </c>
      <c r="K706" s="233" t="s">
        <v>733</v>
      </c>
      <c r="L706" s="233" t="s">
        <v>32</v>
      </c>
      <c r="M706" s="238">
        <v>0.29166666666666669</v>
      </c>
      <c r="N706" s="238">
        <v>0.625</v>
      </c>
      <c r="O706" s="196">
        <v>3940</v>
      </c>
      <c r="P706" s="233" t="s">
        <v>492</v>
      </c>
      <c r="Q706" s="3">
        <v>5.04</v>
      </c>
      <c r="R706" s="205">
        <v>5.57</v>
      </c>
    </row>
    <row r="707" spans="2:18" x14ac:dyDescent="0.25">
      <c r="B707" s="199">
        <v>45086</v>
      </c>
      <c r="C707" s="233">
        <v>2</v>
      </c>
      <c r="D707" s="233" t="s">
        <v>7</v>
      </c>
      <c r="E707" s="233" t="s">
        <v>362</v>
      </c>
      <c r="F707" s="3" t="s">
        <v>51</v>
      </c>
      <c r="G707" s="3">
        <v>396</v>
      </c>
      <c r="H707" s="3">
        <v>5000</v>
      </c>
      <c r="I707" s="233" t="s">
        <v>840</v>
      </c>
      <c r="J707" s="233" t="s">
        <v>1272</v>
      </c>
      <c r="K707" s="233" t="s">
        <v>733</v>
      </c>
      <c r="L707" s="233" t="s">
        <v>32</v>
      </c>
      <c r="M707" s="238">
        <v>0.625</v>
      </c>
      <c r="N707" s="238">
        <v>0.70833333333333337</v>
      </c>
      <c r="O707" s="196">
        <v>1220</v>
      </c>
      <c r="P707" s="233" t="s">
        <v>492</v>
      </c>
      <c r="Q707" s="3">
        <v>1.81</v>
      </c>
      <c r="R707" s="205">
        <v>1.77</v>
      </c>
    </row>
    <row r="708" spans="2:18" x14ac:dyDescent="0.25">
      <c r="B708" s="199">
        <v>45086</v>
      </c>
      <c r="C708" s="3">
        <v>2</v>
      </c>
      <c r="D708" s="233" t="s">
        <v>7</v>
      </c>
      <c r="E708" s="233" t="s">
        <v>362</v>
      </c>
      <c r="F708" s="233" t="s">
        <v>51</v>
      </c>
      <c r="G708" s="3">
        <v>397</v>
      </c>
      <c r="H708" s="3">
        <v>6500</v>
      </c>
      <c r="I708" s="3" t="s">
        <v>683</v>
      </c>
      <c r="J708" s="233" t="s">
        <v>1275</v>
      </c>
      <c r="K708" s="233" t="s">
        <v>733</v>
      </c>
      <c r="L708" s="233" t="s">
        <v>32</v>
      </c>
      <c r="M708" s="238">
        <v>0.70833333333333337</v>
      </c>
      <c r="N708" s="238">
        <v>0.95833333333333337</v>
      </c>
      <c r="O708" s="196">
        <v>3764</v>
      </c>
      <c r="P708" s="3" t="s">
        <v>492</v>
      </c>
      <c r="Q708" s="3">
        <f>6.5-Q707</f>
        <v>4.6899999999999995</v>
      </c>
      <c r="R708" s="205">
        <f>6.84-R707</f>
        <v>5.07</v>
      </c>
    </row>
    <row r="709" spans="2:18" x14ac:dyDescent="0.25">
      <c r="B709" s="199">
        <v>45086</v>
      </c>
      <c r="C709" s="3">
        <v>3</v>
      </c>
      <c r="D709" s="3" t="s">
        <v>182</v>
      </c>
      <c r="E709" s="3" t="s">
        <v>188</v>
      </c>
      <c r="G709" s="3">
        <v>398</v>
      </c>
      <c r="H709" s="3">
        <v>6500</v>
      </c>
      <c r="I709" s="233" t="s">
        <v>683</v>
      </c>
      <c r="J709" s="233" t="s">
        <v>1275</v>
      </c>
      <c r="K709" s="233" t="s">
        <v>733</v>
      </c>
      <c r="L709" s="233" t="s">
        <v>32</v>
      </c>
      <c r="M709" s="238">
        <v>0.95833333333333337</v>
      </c>
      <c r="N709" s="238">
        <v>0.17361111111111113</v>
      </c>
      <c r="O709" s="196">
        <v>3600</v>
      </c>
      <c r="P709" s="3" t="s">
        <v>492</v>
      </c>
      <c r="Q709" s="3">
        <v>4.5999999999999996</v>
      </c>
      <c r="R709" s="205">
        <v>4.96</v>
      </c>
    </row>
    <row r="710" spans="2:18" x14ac:dyDescent="0.25">
      <c r="B710" s="199">
        <v>45086</v>
      </c>
      <c r="C710" s="233">
        <v>3</v>
      </c>
      <c r="D710" s="233" t="s">
        <v>182</v>
      </c>
      <c r="E710" s="233" t="s">
        <v>188</v>
      </c>
      <c r="F710" s="233"/>
      <c r="G710" s="233">
        <v>399</v>
      </c>
      <c r="H710" s="233">
        <v>6500</v>
      </c>
      <c r="I710" s="233" t="s">
        <v>840</v>
      </c>
      <c r="J710" s="233" t="s">
        <v>1276</v>
      </c>
      <c r="K710" s="233" t="s">
        <v>733</v>
      </c>
      <c r="L710" s="233" t="s">
        <v>32</v>
      </c>
      <c r="M710" s="238">
        <v>0.17361111111111113</v>
      </c>
      <c r="N710" s="238">
        <v>0.29166666666666669</v>
      </c>
      <c r="O710" s="196">
        <v>1157</v>
      </c>
      <c r="P710" s="233" t="s">
        <v>492</v>
      </c>
      <c r="Q710" s="3">
        <v>1.81</v>
      </c>
      <c r="R710" s="205">
        <v>1.79</v>
      </c>
    </row>
    <row r="711" spans="2:18" x14ac:dyDescent="0.25">
      <c r="B711" s="199">
        <v>45087</v>
      </c>
      <c r="C711" s="3">
        <v>1</v>
      </c>
      <c r="G711" s="3">
        <v>400</v>
      </c>
      <c r="H711" s="233">
        <v>6500</v>
      </c>
      <c r="I711" s="233" t="s">
        <v>840</v>
      </c>
      <c r="J711" s="233" t="s">
        <v>1276</v>
      </c>
      <c r="K711" s="233" t="s">
        <v>733</v>
      </c>
      <c r="L711" s="233" t="s">
        <v>32</v>
      </c>
      <c r="M711" s="238">
        <v>0.29166666666666669</v>
      </c>
      <c r="N711" s="238">
        <v>0.33333333333333331</v>
      </c>
      <c r="O711" s="196">
        <v>215</v>
      </c>
      <c r="P711" s="233" t="s">
        <v>492</v>
      </c>
      <c r="Q711" s="3">
        <v>0.19</v>
      </c>
      <c r="R711" s="205">
        <v>0.48</v>
      </c>
    </row>
    <row r="712" spans="2:18" x14ac:dyDescent="0.25">
      <c r="B712" s="199">
        <v>45087</v>
      </c>
      <c r="C712" s="3">
        <v>2</v>
      </c>
      <c r="D712" s="233"/>
      <c r="E712" s="233" t="s">
        <v>362</v>
      </c>
      <c r="M712" s="238">
        <v>0.625</v>
      </c>
      <c r="N712" s="238">
        <v>0.95833333333333337</v>
      </c>
      <c r="O712" s="196">
        <v>0</v>
      </c>
      <c r="P712" s="3">
        <v>0</v>
      </c>
    </row>
    <row r="713" spans="2:18" ht="15.75" x14ac:dyDescent="0.25">
      <c r="B713" s="199">
        <v>45087</v>
      </c>
      <c r="C713" s="3">
        <v>3</v>
      </c>
      <c r="D713" s="3" t="s">
        <v>182</v>
      </c>
      <c r="E713" s="347" t="s">
        <v>459</v>
      </c>
      <c r="M713" s="238">
        <v>0.95833333333333337</v>
      </c>
      <c r="N713" s="238">
        <v>0.29166666666666669</v>
      </c>
      <c r="O713" s="196">
        <v>0</v>
      </c>
      <c r="P713" s="3">
        <v>0</v>
      </c>
    </row>
    <row r="714" spans="2:18" x14ac:dyDescent="0.25">
      <c r="B714" s="199">
        <v>45088</v>
      </c>
      <c r="C714" s="3">
        <v>1</v>
      </c>
      <c r="D714" s="3" t="s">
        <v>173</v>
      </c>
      <c r="E714" s="233" t="s">
        <v>173</v>
      </c>
      <c r="M714" s="238">
        <v>0.29166666666666669</v>
      </c>
      <c r="N714" s="238">
        <v>0.625</v>
      </c>
      <c r="O714" s="196">
        <v>0</v>
      </c>
    </row>
    <row r="715" spans="2:18" x14ac:dyDescent="0.25">
      <c r="B715" s="199">
        <v>45088</v>
      </c>
      <c r="C715" s="3">
        <v>2</v>
      </c>
      <c r="D715" s="233" t="s">
        <v>362</v>
      </c>
      <c r="E715" s="233" t="s">
        <v>362</v>
      </c>
      <c r="M715" s="238">
        <v>0.625</v>
      </c>
      <c r="N715" s="238">
        <v>0.95833333333333337</v>
      </c>
      <c r="O715" s="196">
        <v>0</v>
      </c>
      <c r="P715" s="3">
        <v>0</v>
      </c>
    </row>
    <row r="716" spans="2:18" ht="15.75" x14ac:dyDescent="0.25">
      <c r="B716" s="199">
        <v>45088</v>
      </c>
      <c r="C716" s="3">
        <v>3</v>
      </c>
      <c r="D716" s="233" t="s">
        <v>182</v>
      </c>
      <c r="E716" s="347" t="s">
        <v>459</v>
      </c>
      <c r="M716" s="238">
        <v>0.95833333333333337</v>
      </c>
      <c r="N716" s="238">
        <v>0.29166666666666669</v>
      </c>
      <c r="O716" s="196">
        <v>0</v>
      </c>
      <c r="P716" s="3">
        <v>0</v>
      </c>
    </row>
    <row r="717" spans="2:18" x14ac:dyDescent="0.25">
      <c r="B717" s="199">
        <v>45089</v>
      </c>
      <c r="C717" s="3">
        <v>1</v>
      </c>
      <c r="D717" s="3" t="s">
        <v>7</v>
      </c>
      <c r="E717" s="233" t="s">
        <v>7</v>
      </c>
      <c r="F717" s="3" t="s">
        <v>51</v>
      </c>
      <c r="G717" s="3">
        <v>401</v>
      </c>
      <c r="I717" s="233" t="s">
        <v>988</v>
      </c>
      <c r="J717" s="3" t="s">
        <v>1280</v>
      </c>
      <c r="K717" s="3" t="s">
        <v>733</v>
      </c>
      <c r="L717" s="3" t="s">
        <v>32</v>
      </c>
      <c r="M717" s="238">
        <v>0.29166666666666669</v>
      </c>
      <c r="N717" s="238">
        <v>0.625</v>
      </c>
      <c r="O717" s="196">
        <v>0</v>
      </c>
      <c r="P717" s="3">
        <v>4400</v>
      </c>
      <c r="Q717" s="3">
        <v>5.73</v>
      </c>
      <c r="R717" s="205">
        <v>5.52</v>
      </c>
    </row>
    <row r="718" spans="2:18" x14ac:dyDescent="0.25">
      <c r="B718" s="199">
        <v>45089</v>
      </c>
      <c r="C718" s="3">
        <v>2</v>
      </c>
      <c r="D718" s="3" t="s">
        <v>459</v>
      </c>
      <c r="E718" s="3" t="s">
        <v>188</v>
      </c>
      <c r="F718" s="3" t="s">
        <v>1239</v>
      </c>
      <c r="G718" s="3">
        <v>402</v>
      </c>
      <c r="I718" s="233" t="s">
        <v>988</v>
      </c>
      <c r="J718" s="233" t="s">
        <v>1280</v>
      </c>
      <c r="K718" s="233" t="s">
        <v>733</v>
      </c>
      <c r="L718" s="233" t="s">
        <v>32</v>
      </c>
      <c r="M718" s="238">
        <v>0.625</v>
      </c>
      <c r="N718" s="238">
        <v>0.75</v>
      </c>
      <c r="O718" s="196">
        <v>1378</v>
      </c>
      <c r="P718" s="3">
        <v>0</v>
      </c>
      <c r="Q718" s="3">
        <v>1.59</v>
      </c>
      <c r="R718" s="205">
        <v>1.71</v>
      </c>
    </row>
    <row r="719" spans="2:18" x14ac:dyDescent="0.25">
      <c r="B719" s="199">
        <v>45089</v>
      </c>
      <c r="C719" s="3">
        <v>2</v>
      </c>
      <c r="D719" s="3" t="s">
        <v>459</v>
      </c>
      <c r="E719" s="3" t="s">
        <v>188</v>
      </c>
      <c r="F719" s="3" t="s">
        <v>1239</v>
      </c>
      <c r="G719" s="3">
        <v>403</v>
      </c>
      <c r="H719" s="3">
        <v>4046</v>
      </c>
      <c r="I719" s="3" t="s">
        <v>988</v>
      </c>
      <c r="J719" s="3" t="s">
        <v>1281</v>
      </c>
      <c r="K719" s="3" t="s">
        <v>733</v>
      </c>
      <c r="L719" s="3" t="s">
        <v>32</v>
      </c>
      <c r="M719" s="238">
        <v>0.75</v>
      </c>
      <c r="N719" s="238">
        <v>0.95833333333333337</v>
      </c>
      <c r="O719" s="196">
        <v>1815</v>
      </c>
      <c r="P719" s="3" t="s">
        <v>492</v>
      </c>
      <c r="Q719" s="3">
        <f>4.65-Q718</f>
        <v>3.0600000000000005</v>
      </c>
      <c r="R719" s="205">
        <f>4.49-R718</f>
        <v>2.7800000000000002</v>
      </c>
    </row>
    <row r="720" spans="2:18" x14ac:dyDescent="0.25">
      <c r="B720" s="199">
        <v>45089</v>
      </c>
      <c r="C720" s="3">
        <v>3</v>
      </c>
      <c r="D720" s="3" t="s">
        <v>465</v>
      </c>
      <c r="E720" s="233" t="s">
        <v>466</v>
      </c>
      <c r="F720" s="3" t="s">
        <v>11</v>
      </c>
      <c r="G720" s="233">
        <v>404</v>
      </c>
      <c r="H720" s="233">
        <v>4046</v>
      </c>
      <c r="I720" s="233" t="s">
        <v>988</v>
      </c>
      <c r="J720" s="233" t="s">
        <v>1281</v>
      </c>
      <c r="K720" s="233" t="s">
        <v>733</v>
      </c>
      <c r="L720" s="233" t="s">
        <v>32</v>
      </c>
      <c r="M720" s="238">
        <v>0.95833333333333337</v>
      </c>
      <c r="N720" s="238">
        <v>0.29166666666666669</v>
      </c>
      <c r="O720" s="196">
        <v>2040</v>
      </c>
      <c r="P720" s="233" t="s">
        <v>492</v>
      </c>
      <c r="Q720" s="3">
        <v>2.99</v>
      </c>
      <c r="R720" s="205">
        <v>3.05</v>
      </c>
    </row>
    <row r="721" spans="2:18" x14ac:dyDescent="0.25">
      <c r="B721" s="199">
        <v>45090</v>
      </c>
      <c r="C721" s="233">
        <v>1</v>
      </c>
      <c r="D721" s="233" t="s">
        <v>7</v>
      </c>
      <c r="E721" s="233" t="s">
        <v>7</v>
      </c>
      <c r="F721" s="233"/>
      <c r="G721" s="233">
        <v>405</v>
      </c>
      <c r="H721" s="233">
        <v>4046</v>
      </c>
      <c r="I721" s="233" t="s">
        <v>988</v>
      </c>
      <c r="J721" s="233" t="s">
        <v>1281</v>
      </c>
      <c r="K721" s="233" t="s">
        <v>733</v>
      </c>
      <c r="L721" s="233" t="s">
        <v>32</v>
      </c>
      <c r="M721" s="238">
        <v>0.29166666666666669</v>
      </c>
      <c r="N721" s="238">
        <v>0.625</v>
      </c>
      <c r="O721" s="196">
        <v>63</v>
      </c>
      <c r="P721" s="3" t="s">
        <v>492</v>
      </c>
      <c r="Q721" s="3">
        <v>0</v>
      </c>
      <c r="R721" s="205">
        <v>0.15</v>
      </c>
    </row>
    <row r="722" spans="2:18" x14ac:dyDescent="0.25">
      <c r="B722" s="199">
        <v>45090</v>
      </c>
      <c r="C722" s="3">
        <v>2</v>
      </c>
      <c r="D722" s="3" t="s">
        <v>459</v>
      </c>
      <c r="E722" s="3" t="s">
        <v>188</v>
      </c>
      <c r="G722" s="3">
        <v>406</v>
      </c>
      <c r="H722" s="233">
        <v>4046</v>
      </c>
      <c r="I722" s="233" t="s">
        <v>988</v>
      </c>
      <c r="J722" s="233" t="s">
        <v>1281</v>
      </c>
      <c r="K722" s="233" t="s">
        <v>733</v>
      </c>
      <c r="L722" s="233" t="s">
        <v>32</v>
      </c>
      <c r="M722" s="238">
        <v>0.625</v>
      </c>
      <c r="N722" s="238">
        <v>0.66666666666666663</v>
      </c>
      <c r="O722" s="196">
        <v>680</v>
      </c>
      <c r="P722" s="3" t="s">
        <v>492</v>
      </c>
      <c r="Q722" s="3">
        <v>0.72</v>
      </c>
      <c r="R722" s="205">
        <v>0.95</v>
      </c>
    </row>
    <row r="723" spans="2:18" x14ac:dyDescent="0.25">
      <c r="B723" s="199">
        <v>45090</v>
      </c>
      <c r="C723" s="233">
        <v>2</v>
      </c>
      <c r="D723" s="233" t="s">
        <v>459</v>
      </c>
      <c r="E723" s="233" t="s">
        <v>188</v>
      </c>
      <c r="G723" s="3">
        <v>407</v>
      </c>
      <c r="H723" s="3">
        <v>4047</v>
      </c>
      <c r="I723" s="233" t="s">
        <v>683</v>
      </c>
      <c r="J723" s="233" t="s">
        <v>1279</v>
      </c>
      <c r="K723" s="233" t="s">
        <v>733</v>
      </c>
      <c r="L723" s="233" t="s">
        <v>34</v>
      </c>
      <c r="M723" s="238">
        <v>0.66666666666666663</v>
      </c>
      <c r="N723" s="238">
        <v>0.95833333333333337</v>
      </c>
      <c r="O723" s="196">
        <v>3357</v>
      </c>
      <c r="P723" s="233" t="s">
        <v>492</v>
      </c>
      <c r="Q723" s="3">
        <v>4.72</v>
      </c>
      <c r="R723" s="205">
        <v>4.99</v>
      </c>
    </row>
    <row r="724" spans="2:18" x14ac:dyDescent="0.25">
      <c r="B724" s="199">
        <v>45090</v>
      </c>
      <c r="C724" s="3">
        <v>3</v>
      </c>
      <c r="D724" s="3" t="s">
        <v>466</v>
      </c>
      <c r="E724" s="3" t="s">
        <v>3</v>
      </c>
      <c r="F724" s="233" t="s">
        <v>1292</v>
      </c>
      <c r="G724" s="3">
        <v>408</v>
      </c>
      <c r="H724" s="3">
        <v>4048</v>
      </c>
      <c r="I724" s="233" t="s">
        <v>683</v>
      </c>
      <c r="J724" s="233" t="s">
        <v>1279</v>
      </c>
      <c r="K724" s="233" t="s">
        <v>733</v>
      </c>
      <c r="L724" s="233" t="s">
        <v>34</v>
      </c>
      <c r="M724" s="238">
        <v>0.95833333333333337</v>
      </c>
      <c r="N724" s="238">
        <v>0.23611111111111113</v>
      </c>
      <c r="O724" s="196">
        <v>4350</v>
      </c>
      <c r="P724" s="233" t="s">
        <v>492</v>
      </c>
      <c r="Q724" s="3">
        <v>5.81</v>
      </c>
      <c r="R724" s="205">
        <v>6.38</v>
      </c>
    </row>
    <row r="725" spans="2:18" x14ac:dyDescent="0.25">
      <c r="B725" s="199">
        <v>45090</v>
      </c>
      <c r="C725" s="3">
        <v>3</v>
      </c>
      <c r="D725" s="233" t="s">
        <v>466</v>
      </c>
      <c r="E725" s="233" t="s">
        <v>3</v>
      </c>
      <c r="F725" s="233" t="s">
        <v>1292</v>
      </c>
      <c r="G725" s="3">
        <v>409</v>
      </c>
      <c r="H725" s="3">
        <v>3500</v>
      </c>
      <c r="I725" s="233" t="s">
        <v>1111</v>
      </c>
      <c r="J725" s="3" t="s">
        <v>1276</v>
      </c>
      <c r="K725" s="233" t="s">
        <v>733</v>
      </c>
      <c r="L725" s="233" t="s">
        <v>34</v>
      </c>
      <c r="M725" s="238">
        <v>0.23611111111111113</v>
      </c>
      <c r="N725" s="238">
        <v>0.29166666666666669</v>
      </c>
      <c r="O725" s="196">
        <v>715</v>
      </c>
      <c r="P725" s="3" t="s">
        <v>492</v>
      </c>
      <c r="Q725" s="3">
        <f>6.61-Q724</f>
        <v>0.80000000000000071</v>
      </c>
      <c r="R725" s="205">
        <f>7.27-R724</f>
        <v>0.88999999999999968</v>
      </c>
    </row>
    <row r="726" spans="2:18" x14ac:dyDescent="0.25">
      <c r="B726" s="199">
        <v>45091</v>
      </c>
      <c r="C726" s="3">
        <v>1</v>
      </c>
      <c r="D726" s="3" t="s">
        <v>7</v>
      </c>
      <c r="E726" s="233" t="s">
        <v>190</v>
      </c>
      <c r="G726" s="233"/>
      <c r="H726" s="233"/>
      <c r="I726" s="233" t="s">
        <v>769</v>
      </c>
      <c r="J726" s="233" t="s">
        <v>1293</v>
      </c>
      <c r="K726" s="233" t="s">
        <v>733</v>
      </c>
      <c r="L726" s="233" t="s">
        <v>32</v>
      </c>
      <c r="M726" s="238">
        <v>0.29166666666666669</v>
      </c>
      <c r="N726" s="238">
        <v>0.625</v>
      </c>
      <c r="O726" s="196">
        <v>0</v>
      </c>
      <c r="P726" s="3">
        <v>0</v>
      </c>
      <c r="Q726" s="3">
        <v>0</v>
      </c>
      <c r="R726" s="205">
        <v>0</v>
      </c>
    </row>
    <row r="727" spans="2:18" x14ac:dyDescent="0.25">
      <c r="B727" s="199">
        <v>45091</v>
      </c>
      <c r="C727" s="3">
        <v>2</v>
      </c>
      <c r="D727" s="3" t="s">
        <v>459</v>
      </c>
      <c r="E727" s="3" t="s">
        <v>188</v>
      </c>
      <c r="F727" s="233" t="s">
        <v>1239</v>
      </c>
      <c r="G727" s="3">
        <v>410</v>
      </c>
      <c r="H727" s="3">
        <v>8300</v>
      </c>
      <c r="I727" s="233" t="s">
        <v>769</v>
      </c>
      <c r="J727" s="233" t="s">
        <v>1293</v>
      </c>
      <c r="K727" s="233" t="s">
        <v>733</v>
      </c>
      <c r="L727" s="233" t="s">
        <v>32</v>
      </c>
      <c r="M727" s="238">
        <v>0.625</v>
      </c>
      <c r="N727" s="238">
        <v>0.95833333333333337</v>
      </c>
      <c r="O727" s="196">
        <v>3495</v>
      </c>
      <c r="P727" s="3">
        <v>0</v>
      </c>
      <c r="Q727" s="3">
        <v>5.09</v>
      </c>
      <c r="R727" s="205">
        <v>4.93</v>
      </c>
    </row>
    <row r="728" spans="2:18" x14ac:dyDescent="0.25">
      <c r="B728" s="199">
        <v>45091</v>
      </c>
      <c r="C728" s="233">
        <v>3</v>
      </c>
      <c r="D728" s="233" t="s">
        <v>466</v>
      </c>
      <c r="E728" s="233" t="s">
        <v>3</v>
      </c>
      <c r="F728" s="233" t="s">
        <v>1292</v>
      </c>
      <c r="G728" s="3">
        <v>411</v>
      </c>
      <c r="H728" s="3">
        <v>8300</v>
      </c>
      <c r="I728" s="233" t="s">
        <v>769</v>
      </c>
      <c r="J728" s="233" t="s">
        <v>1293</v>
      </c>
      <c r="K728" s="233" t="s">
        <v>733</v>
      </c>
      <c r="L728" s="233" t="s">
        <v>34</v>
      </c>
      <c r="M728" s="238">
        <v>0.95833333333333337</v>
      </c>
      <c r="N728" s="238">
        <v>0.29166666666666669</v>
      </c>
      <c r="O728" s="196">
        <v>4238</v>
      </c>
      <c r="P728" s="3" t="s">
        <v>492</v>
      </c>
      <c r="Q728" s="3">
        <v>6.04</v>
      </c>
      <c r="R728" s="205">
        <v>7.55</v>
      </c>
    </row>
    <row r="729" spans="2:18" x14ac:dyDescent="0.25">
      <c r="B729" s="199">
        <v>45092</v>
      </c>
      <c r="C729" s="3">
        <v>1</v>
      </c>
      <c r="D729" s="3" t="s">
        <v>459</v>
      </c>
      <c r="E729" s="3" t="s">
        <v>190</v>
      </c>
      <c r="G729" s="233">
        <v>412</v>
      </c>
      <c r="H729" s="233">
        <v>8300</v>
      </c>
      <c r="I729" s="3" t="s">
        <v>769</v>
      </c>
      <c r="J729" s="233" t="s">
        <v>1293</v>
      </c>
      <c r="K729" s="3" t="s">
        <v>733</v>
      </c>
      <c r="L729" s="3" t="s">
        <v>34</v>
      </c>
      <c r="M729" s="238">
        <v>0.29166666666666669</v>
      </c>
      <c r="N729" s="238">
        <v>0.55555555555555558</v>
      </c>
      <c r="O729" s="196">
        <v>3100</v>
      </c>
      <c r="P729" s="233" t="s">
        <v>492</v>
      </c>
      <c r="Q729" s="3">
        <v>4.7</v>
      </c>
      <c r="R729" s="205">
        <v>5.4</v>
      </c>
    </row>
    <row r="730" spans="2:18" x14ac:dyDescent="0.25">
      <c r="B730" s="199">
        <v>45092</v>
      </c>
      <c r="C730" s="233">
        <v>1</v>
      </c>
      <c r="D730" s="233" t="s">
        <v>459</v>
      </c>
      <c r="E730" s="233" t="s">
        <v>190</v>
      </c>
      <c r="G730" s="3">
        <v>413</v>
      </c>
      <c r="H730" s="3">
        <v>6130</v>
      </c>
      <c r="I730" s="3" t="s">
        <v>765</v>
      </c>
      <c r="J730" s="233" t="s">
        <v>1296</v>
      </c>
      <c r="K730" s="233" t="s">
        <v>733</v>
      </c>
      <c r="L730" s="233" t="s">
        <v>34</v>
      </c>
      <c r="M730" s="238">
        <v>0.55555555555555558</v>
      </c>
      <c r="N730" s="238">
        <v>0.625</v>
      </c>
      <c r="O730" s="196">
        <v>936</v>
      </c>
      <c r="P730" s="233" t="s">
        <v>492</v>
      </c>
      <c r="Q730" s="3">
        <v>1.24</v>
      </c>
      <c r="R730" s="205">
        <v>1.27</v>
      </c>
    </row>
    <row r="731" spans="2:18" x14ac:dyDescent="0.25">
      <c r="B731" s="199">
        <v>45092</v>
      </c>
      <c r="C731" s="233">
        <v>2</v>
      </c>
      <c r="D731" s="233" t="s">
        <v>7</v>
      </c>
      <c r="E731" s="233" t="s">
        <v>188</v>
      </c>
      <c r="F731" s="3" t="s">
        <v>11</v>
      </c>
      <c r="G731" s="233">
        <v>414</v>
      </c>
      <c r="H731" s="3">
        <v>6130</v>
      </c>
      <c r="I731" s="233" t="s">
        <v>765</v>
      </c>
      <c r="J731" s="233" t="s">
        <v>1296</v>
      </c>
      <c r="K731" s="233" t="s">
        <v>733</v>
      </c>
      <c r="L731" s="233" t="s">
        <v>34</v>
      </c>
      <c r="M731" s="238">
        <v>0.625</v>
      </c>
      <c r="N731" s="238">
        <v>0.89583333333333337</v>
      </c>
      <c r="O731" s="196">
        <v>5000</v>
      </c>
      <c r="P731" s="233" t="s">
        <v>492</v>
      </c>
      <c r="Q731" s="3">
        <v>5.35</v>
      </c>
      <c r="R731" s="205">
        <v>5.62</v>
      </c>
    </row>
    <row r="732" spans="2:18" x14ac:dyDescent="0.25">
      <c r="B732" s="199">
        <v>45092</v>
      </c>
      <c r="C732" s="233">
        <v>2</v>
      </c>
      <c r="D732" s="233" t="s">
        <v>7</v>
      </c>
      <c r="E732" s="233" t="s">
        <v>188</v>
      </c>
      <c r="G732" s="3">
        <v>415</v>
      </c>
      <c r="H732" s="3">
        <v>3200</v>
      </c>
      <c r="I732" s="233" t="s">
        <v>988</v>
      </c>
      <c r="J732" s="233" t="s">
        <v>1301</v>
      </c>
      <c r="K732" s="233" t="s">
        <v>733</v>
      </c>
      <c r="L732" s="3" t="s">
        <v>34</v>
      </c>
      <c r="M732" s="238">
        <v>0.89583333333333337</v>
      </c>
      <c r="N732" s="238">
        <v>0.95833333333333337</v>
      </c>
      <c r="O732" s="196">
        <v>752</v>
      </c>
      <c r="P732" s="233" t="s">
        <v>492</v>
      </c>
      <c r="Q732" s="3">
        <v>1.04</v>
      </c>
      <c r="R732" s="205">
        <v>1.04</v>
      </c>
    </row>
    <row r="733" spans="2:18" x14ac:dyDescent="0.25">
      <c r="B733" s="199">
        <v>45092</v>
      </c>
      <c r="C733" s="3">
        <v>3</v>
      </c>
      <c r="D733" s="233" t="s">
        <v>466</v>
      </c>
      <c r="E733" s="233" t="s">
        <v>3</v>
      </c>
      <c r="F733" s="233" t="s">
        <v>1303</v>
      </c>
      <c r="G733" s="3">
        <v>416</v>
      </c>
      <c r="H733" s="3">
        <v>3200</v>
      </c>
      <c r="I733" s="233" t="s">
        <v>988</v>
      </c>
      <c r="J733" s="233" t="s">
        <v>1301</v>
      </c>
      <c r="K733" s="233" t="s">
        <v>733</v>
      </c>
      <c r="L733" s="233" t="s">
        <v>34</v>
      </c>
      <c r="M733" s="238">
        <v>0.95833333333333337</v>
      </c>
      <c r="N733" s="238">
        <v>0.14583333333333334</v>
      </c>
      <c r="O733" s="196">
        <v>2095</v>
      </c>
      <c r="P733" s="233" t="s">
        <v>492</v>
      </c>
      <c r="Q733" s="3">
        <v>3.26</v>
      </c>
      <c r="R733" s="205">
        <v>3.97</v>
      </c>
    </row>
    <row r="734" spans="2:18" x14ac:dyDescent="0.25">
      <c r="B734" s="199">
        <v>45092</v>
      </c>
      <c r="C734" s="3">
        <v>3</v>
      </c>
      <c r="D734" s="233" t="s">
        <v>466</v>
      </c>
      <c r="E734" s="233" t="s">
        <v>3</v>
      </c>
      <c r="F734" s="233" t="s">
        <v>1303</v>
      </c>
      <c r="G734" s="3">
        <v>417</v>
      </c>
      <c r="H734" s="3">
        <v>4800</v>
      </c>
      <c r="I734" s="3" t="s">
        <v>1111</v>
      </c>
      <c r="J734" s="3" t="s">
        <v>1276</v>
      </c>
      <c r="K734" s="233" t="s">
        <v>733</v>
      </c>
      <c r="L734" s="233" t="s">
        <v>34</v>
      </c>
      <c r="M734" s="238">
        <v>0.14583333333333334</v>
      </c>
      <c r="N734" s="238">
        <v>0.29166666666666669</v>
      </c>
      <c r="O734" s="196">
        <v>1640</v>
      </c>
      <c r="P734" s="3" t="s">
        <v>492</v>
      </c>
      <c r="Q734" s="3">
        <v>2.38</v>
      </c>
      <c r="R734" s="205">
        <v>3.13</v>
      </c>
    </row>
    <row r="735" spans="2:18" x14ac:dyDescent="0.25">
      <c r="B735" s="199">
        <v>45093</v>
      </c>
      <c r="C735" s="3">
        <v>1</v>
      </c>
      <c r="D735" s="3" t="s">
        <v>459</v>
      </c>
      <c r="E735" s="233" t="s">
        <v>459</v>
      </c>
      <c r="F735" s="3" t="s">
        <v>695</v>
      </c>
      <c r="G735" s="3">
        <v>418</v>
      </c>
      <c r="H735" s="3">
        <v>4800</v>
      </c>
      <c r="I735" s="233" t="s">
        <v>1111</v>
      </c>
      <c r="J735" s="233" t="s">
        <v>1276</v>
      </c>
      <c r="K735" s="233" t="s">
        <v>733</v>
      </c>
      <c r="L735" s="233" t="s">
        <v>34</v>
      </c>
      <c r="M735" s="238">
        <v>0.29166666666666669</v>
      </c>
      <c r="N735" s="238">
        <v>0.39930555555555558</v>
      </c>
      <c r="O735" s="196">
        <v>1250</v>
      </c>
      <c r="P735" s="233" t="s">
        <v>492</v>
      </c>
      <c r="Q735" s="3">
        <v>1.85</v>
      </c>
      <c r="R735" s="205">
        <v>1.73</v>
      </c>
    </row>
    <row r="736" spans="2:18" x14ac:dyDescent="0.25">
      <c r="B736" s="199">
        <v>45093</v>
      </c>
      <c r="C736" s="233">
        <v>1</v>
      </c>
      <c r="D736" s="233" t="s">
        <v>459</v>
      </c>
      <c r="E736" s="233" t="s">
        <v>459</v>
      </c>
      <c r="F736" s="3" t="s">
        <v>695</v>
      </c>
      <c r="G736" s="3">
        <v>419</v>
      </c>
      <c r="H736" s="3">
        <v>4800</v>
      </c>
      <c r="I736" s="233" t="s">
        <v>1111</v>
      </c>
      <c r="J736" s="233" t="s">
        <v>1276</v>
      </c>
      <c r="K736" s="233" t="s">
        <v>733</v>
      </c>
      <c r="L736" s="233" t="s">
        <v>473</v>
      </c>
      <c r="M736" s="238">
        <v>0.39930555555555558</v>
      </c>
      <c r="N736" s="238">
        <v>0.4201388888888889</v>
      </c>
      <c r="O736" s="196">
        <v>400</v>
      </c>
      <c r="P736" s="233" t="s">
        <v>492</v>
      </c>
      <c r="Q736" s="3">
        <v>0.55000000000000004</v>
      </c>
      <c r="R736" s="205">
        <v>0.5</v>
      </c>
    </row>
    <row r="737" spans="2:18" x14ac:dyDescent="0.25">
      <c r="B737" s="199">
        <v>45093</v>
      </c>
      <c r="C737" s="233">
        <v>1</v>
      </c>
      <c r="D737" s="233" t="s">
        <v>459</v>
      </c>
      <c r="E737" s="233" t="s">
        <v>459</v>
      </c>
      <c r="F737" s="233" t="s">
        <v>695</v>
      </c>
      <c r="G737" s="233">
        <v>420</v>
      </c>
      <c r="H737" s="233">
        <v>4800</v>
      </c>
      <c r="I737" s="233" t="s">
        <v>1111</v>
      </c>
      <c r="J737" s="233" t="s">
        <v>1276</v>
      </c>
      <c r="K737" s="233" t="s">
        <v>733</v>
      </c>
      <c r="L737" s="3" t="s">
        <v>34</v>
      </c>
      <c r="M737" s="238">
        <v>0.4201388888888889</v>
      </c>
      <c r="N737" s="238">
        <v>0.52083333333333337</v>
      </c>
      <c r="O737" s="196">
        <v>1000</v>
      </c>
      <c r="P737" s="233" t="s">
        <v>492</v>
      </c>
      <c r="Q737" s="3">
        <v>1.29</v>
      </c>
      <c r="R737" s="205">
        <v>1.38</v>
      </c>
    </row>
    <row r="738" spans="2:18" x14ac:dyDescent="0.25">
      <c r="B738" s="199">
        <v>45093</v>
      </c>
      <c r="C738" s="3">
        <v>1</v>
      </c>
      <c r="D738" s="233" t="s">
        <v>459</v>
      </c>
      <c r="E738" s="233" t="s">
        <v>459</v>
      </c>
      <c r="F738" s="233" t="s">
        <v>695</v>
      </c>
      <c r="G738" s="233">
        <v>421</v>
      </c>
      <c r="H738" s="3">
        <v>7400</v>
      </c>
      <c r="I738" s="3" t="s">
        <v>678</v>
      </c>
      <c r="J738" s="3" t="s">
        <v>1302</v>
      </c>
      <c r="K738" s="3" t="s">
        <v>733</v>
      </c>
      <c r="L738" s="3" t="s">
        <v>34</v>
      </c>
      <c r="M738" s="238">
        <v>0.52083333333333337</v>
      </c>
      <c r="N738" s="238">
        <v>0.625</v>
      </c>
      <c r="O738" s="196">
        <f>4195-2650</f>
        <v>1545</v>
      </c>
      <c r="P738" s="233" t="s">
        <v>492</v>
      </c>
      <c r="Q738" s="3">
        <f>5.56-3.69</f>
        <v>1.8699999999999997</v>
      </c>
      <c r="R738" s="205">
        <f>5.48-3.61</f>
        <v>1.8700000000000006</v>
      </c>
    </row>
    <row r="739" spans="2:18" x14ac:dyDescent="0.25">
      <c r="B739" s="199">
        <v>45093</v>
      </c>
      <c r="C739" s="233">
        <v>2</v>
      </c>
      <c r="D739" s="233" t="s">
        <v>7</v>
      </c>
      <c r="E739" s="3" t="s">
        <v>362</v>
      </c>
      <c r="F739" s="3" t="s">
        <v>1305</v>
      </c>
      <c r="G739" s="3">
        <v>422</v>
      </c>
      <c r="H739" s="233">
        <v>7400</v>
      </c>
      <c r="I739" s="233" t="s">
        <v>678</v>
      </c>
      <c r="J739" s="233" t="s">
        <v>1302</v>
      </c>
      <c r="K739" s="233" t="s">
        <v>733</v>
      </c>
      <c r="L739" s="233" t="s">
        <v>34</v>
      </c>
      <c r="M739" s="238">
        <v>0.625</v>
      </c>
      <c r="N739" s="238">
        <v>0.95833333333333337</v>
      </c>
      <c r="O739" s="196">
        <v>5538</v>
      </c>
      <c r="P739" s="233" t="s">
        <v>492</v>
      </c>
      <c r="Q739" s="3">
        <v>6.39</v>
      </c>
      <c r="R739" s="205">
        <v>6.68</v>
      </c>
    </row>
    <row r="740" spans="2:18" x14ac:dyDescent="0.25">
      <c r="B740" s="199">
        <v>45093</v>
      </c>
      <c r="C740" s="233">
        <v>3</v>
      </c>
      <c r="D740" s="233" t="s">
        <v>466</v>
      </c>
      <c r="E740" s="233" t="s">
        <v>3</v>
      </c>
      <c r="F740" s="233" t="s">
        <v>1303</v>
      </c>
      <c r="G740" s="3">
        <v>423</v>
      </c>
      <c r="H740" s="233">
        <v>7400</v>
      </c>
      <c r="I740" s="233" t="s">
        <v>678</v>
      </c>
      <c r="J740" s="233" t="s">
        <v>1302</v>
      </c>
      <c r="K740" s="233" t="s">
        <v>733</v>
      </c>
      <c r="L740" s="233" t="s">
        <v>34</v>
      </c>
      <c r="M740" s="238">
        <v>0.95833333333333337</v>
      </c>
      <c r="N740" s="238">
        <v>0.15277777777777776</v>
      </c>
      <c r="O740" s="196">
        <v>2720</v>
      </c>
      <c r="P740" s="233" t="s">
        <v>492</v>
      </c>
      <c r="Q740" s="3">
        <v>3.37</v>
      </c>
      <c r="R740" s="205">
        <v>4.1900000000000004</v>
      </c>
    </row>
    <row r="741" spans="2:18" x14ac:dyDescent="0.25">
      <c r="B741" s="199">
        <v>45093</v>
      </c>
      <c r="C741" s="233">
        <v>3</v>
      </c>
      <c r="D741" s="233" t="s">
        <v>466</v>
      </c>
      <c r="E741" s="233" t="s">
        <v>3</v>
      </c>
      <c r="F741" s="233" t="s">
        <v>1303</v>
      </c>
      <c r="G741" s="233">
        <v>424</v>
      </c>
      <c r="H741" s="233">
        <v>6053</v>
      </c>
      <c r="I741" s="233" t="s">
        <v>1307</v>
      </c>
      <c r="J741" s="233" t="s">
        <v>1306</v>
      </c>
      <c r="K741" s="233" t="s">
        <v>733</v>
      </c>
      <c r="L741" s="233" t="s">
        <v>34</v>
      </c>
      <c r="M741" s="238">
        <v>0.15277777777777776</v>
      </c>
      <c r="N741" s="238">
        <v>0.29166666666666669</v>
      </c>
      <c r="O741" s="196">
        <f>5364-2720</f>
        <v>2644</v>
      </c>
      <c r="P741" s="233" t="s">
        <v>492</v>
      </c>
      <c r="Q741" s="3">
        <f>5.99-3.37</f>
        <v>2.62</v>
      </c>
      <c r="R741" s="205">
        <f>7.11-4.13</f>
        <v>2.9800000000000004</v>
      </c>
    </row>
    <row r="742" spans="2:18" x14ac:dyDescent="0.25">
      <c r="B742" s="199">
        <v>45094</v>
      </c>
      <c r="C742" s="3">
        <v>1</v>
      </c>
      <c r="D742" s="3" t="s">
        <v>1</v>
      </c>
      <c r="E742" s="3" t="s">
        <v>634</v>
      </c>
      <c r="G742" s="3">
        <v>425</v>
      </c>
      <c r="H742" s="233">
        <v>6053</v>
      </c>
      <c r="I742" s="233" t="s">
        <v>1307</v>
      </c>
      <c r="J742" s="233" t="s">
        <v>1306</v>
      </c>
      <c r="K742" s="233" t="s">
        <v>733</v>
      </c>
      <c r="L742" s="233" t="s">
        <v>34</v>
      </c>
      <c r="M742" s="238">
        <v>0.29166666666666669</v>
      </c>
      <c r="N742" s="238">
        <v>0.625</v>
      </c>
      <c r="O742" s="196">
        <v>282</v>
      </c>
      <c r="P742" s="233" t="s">
        <v>492</v>
      </c>
      <c r="Q742" s="3">
        <v>0.2</v>
      </c>
      <c r="R742" s="205">
        <v>0.5</v>
      </c>
    </row>
    <row r="743" spans="2:18" x14ac:dyDescent="0.25">
      <c r="B743" s="199">
        <v>45096</v>
      </c>
      <c r="C743" s="3">
        <v>1</v>
      </c>
      <c r="D743" s="3" t="s">
        <v>1</v>
      </c>
      <c r="E743" s="3" t="s">
        <v>188</v>
      </c>
      <c r="G743" s="3">
        <v>426</v>
      </c>
      <c r="H743" s="233">
        <v>6053</v>
      </c>
      <c r="I743" s="233" t="s">
        <v>1307</v>
      </c>
      <c r="J743" s="233" t="s">
        <v>1306</v>
      </c>
      <c r="K743" s="233" t="s">
        <v>733</v>
      </c>
      <c r="L743" s="384" t="s">
        <v>24</v>
      </c>
      <c r="M743" s="385">
        <v>0.29166666666666669</v>
      </c>
      <c r="N743" s="385">
        <v>0.625</v>
      </c>
      <c r="O743" s="384">
        <v>4971</v>
      </c>
      <c r="P743" s="3" t="s">
        <v>492</v>
      </c>
      <c r="Q743" s="3">
        <v>5.45</v>
      </c>
      <c r="R743" s="205">
        <v>5.67</v>
      </c>
    </row>
    <row r="744" spans="2:18" x14ac:dyDescent="0.25">
      <c r="B744" s="199">
        <v>45096</v>
      </c>
      <c r="C744" s="3">
        <v>2</v>
      </c>
      <c r="D744" s="3" t="s">
        <v>465</v>
      </c>
      <c r="E744" s="233" t="s">
        <v>3</v>
      </c>
      <c r="F744" s="3" t="s">
        <v>1311</v>
      </c>
      <c r="G744" s="3">
        <v>427</v>
      </c>
      <c r="H744" s="233">
        <v>6053</v>
      </c>
      <c r="I744" s="233" t="s">
        <v>1307</v>
      </c>
      <c r="J744" s="233" t="s">
        <v>1306</v>
      </c>
      <c r="K744" s="233" t="s">
        <v>733</v>
      </c>
      <c r="L744" s="384" t="s">
        <v>24</v>
      </c>
      <c r="M744" s="385">
        <v>0.625</v>
      </c>
      <c r="N744" s="385">
        <v>0.67708333333333337</v>
      </c>
      <c r="O744" s="384">
        <v>330</v>
      </c>
      <c r="P744" s="233" t="s">
        <v>492</v>
      </c>
      <c r="Q744" s="3">
        <v>0.69</v>
      </c>
      <c r="R744" s="205">
        <v>0.78</v>
      </c>
    </row>
    <row r="745" spans="2:18" x14ac:dyDescent="0.25">
      <c r="B745" s="199">
        <v>45096</v>
      </c>
      <c r="C745" s="233">
        <v>2</v>
      </c>
      <c r="D745" s="233" t="s">
        <v>465</v>
      </c>
      <c r="E745" s="233" t="s">
        <v>3</v>
      </c>
      <c r="F745" s="233" t="s">
        <v>1311</v>
      </c>
      <c r="G745" s="3">
        <v>428</v>
      </c>
      <c r="H745" s="3">
        <v>3594</v>
      </c>
      <c r="I745" s="3" t="s">
        <v>1307</v>
      </c>
      <c r="J745" s="3" t="s">
        <v>1309</v>
      </c>
      <c r="K745" s="233" t="s">
        <v>733</v>
      </c>
      <c r="L745" s="384" t="s">
        <v>24</v>
      </c>
      <c r="M745" s="385">
        <v>0.67708333333333337</v>
      </c>
      <c r="N745" s="385">
        <v>0.95833333333333337</v>
      </c>
      <c r="O745" s="384">
        <f>4794-330</f>
        <v>4464</v>
      </c>
      <c r="P745" s="233" t="s">
        <v>492</v>
      </c>
      <c r="Q745" s="3">
        <f>6.91-0.69</f>
        <v>6.2200000000000006</v>
      </c>
      <c r="R745" s="205">
        <f>6.27-0.78</f>
        <v>5.4899999999999993</v>
      </c>
    </row>
    <row r="746" spans="2:18" x14ac:dyDescent="0.25">
      <c r="B746" s="199">
        <v>45096</v>
      </c>
      <c r="C746" s="3">
        <v>3</v>
      </c>
      <c r="D746" s="233" t="s">
        <v>7</v>
      </c>
      <c r="E746" s="233" t="s">
        <v>362</v>
      </c>
      <c r="G746" s="3">
        <v>429</v>
      </c>
      <c r="H746" s="3">
        <v>3594</v>
      </c>
      <c r="I746" s="233" t="s">
        <v>1307</v>
      </c>
      <c r="J746" s="233" t="s">
        <v>1309</v>
      </c>
      <c r="K746" s="233" t="s">
        <v>733</v>
      </c>
      <c r="L746" s="384" t="s">
        <v>24</v>
      </c>
      <c r="M746" s="385">
        <v>0.95833333333333337</v>
      </c>
      <c r="N746" s="385">
        <v>0.15208333333333332</v>
      </c>
      <c r="O746" s="384">
        <v>3508</v>
      </c>
      <c r="P746" s="233" t="s">
        <v>492</v>
      </c>
      <c r="Q746" s="3">
        <v>4.09</v>
      </c>
      <c r="R746" s="205">
        <v>4.24</v>
      </c>
    </row>
    <row r="747" spans="2:18" x14ac:dyDescent="0.25">
      <c r="B747" s="199">
        <v>45096</v>
      </c>
      <c r="C747" s="233">
        <v>3</v>
      </c>
      <c r="D747" s="233" t="s">
        <v>7</v>
      </c>
      <c r="E747" s="233" t="s">
        <v>362</v>
      </c>
      <c r="G747" s="3">
        <v>430</v>
      </c>
      <c r="H747" s="3">
        <v>8453</v>
      </c>
      <c r="I747" s="233" t="s">
        <v>683</v>
      </c>
      <c r="J747" s="3" t="s">
        <v>1312</v>
      </c>
      <c r="K747" s="233" t="s">
        <v>733</v>
      </c>
      <c r="L747" s="233" t="s">
        <v>24</v>
      </c>
      <c r="M747" s="238">
        <v>0.15208333333333332</v>
      </c>
      <c r="N747" s="238">
        <v>0.29166666666666669</v>
      </c>
      <c r="O747" s="196">
        <f>4858-O746</f>
        <v>1350</v>
      </c>
      <c r="P747" s="3" t="s">
        <v>492</v>
      </c>
      <c r="Q747" s="3">
        <f>5.9-Q746</f>
        <v>1.8100000000000005</v>
      </c>
      <c r="R747" s="205">
        <f>5.77-R746</f>
        <v>1.5299999999999994</v>
      </c>
    </row>
    <row r="748" spans="2:18" x14ac:dyDescent="0.25">
      <c r="B748" s="199">
        <v>45097</v>
      </c>
      <c r="C748" s="233">
        <v>1</v>
      </c>
      <c r="D748" s="233" t="s">
        <v>1</v>
      </c>
      <c r="E748" s="233" t="s">
        <v>188</v>
      </c>
      <c r="F748" s="233" t="s">
        <v>1239</v>
      </c>
      <c r="G748" s="3">
        <v>431</v>
      </c>
      <c r="H748" s="3">
        <v>8454</v>
      </c>
      <c r="I748" s="233" t="s">
        <v>683</v>
      </c>
      <c r="J748" s="233" t="s">
        <v>1312</v>
      </c>
      <c r="K748" s="233" t="s">
        <v>733</v>
      </c>
      <c r="L748" s="233" t="s">
        <v>24</v>
      </c>
      <c r="M748" s="238">
        <v>0.29166666666666669</v>
      </c>
      <c r="N748" s="238">
        <v>0.375</v>
      </c>
      <c r="O748" s="196">
        <v>1063</v>
      </c>
      <c r="P748" s="3" t="s">
        <v>492</v>
      </c>
      <c r="Q748" s="3">
        <v>1.36</v>
      </c>
      <c r="R748" s="205">
        <v>1.17</v>
      </c>
    </row>
    <row r="749" spans="2:18" x14ac:dyDescent="0.25">
      <c r="B749" s="199">
        <v>45097</v>
      </c>
      <c r="C749" s="233">
        <v>1</v>
      </c>
      <c r="D749" s="233" t="s">
        <v>1</v>
      </c>
      <c r="E749" s="233" t="s">
        <v>188</v>
      </c>
      <c r="F749" s="233" t="s">
        <v>1239</v>
      </c>
      <c r="G749" s="3">
        <v>432</v>
      </c>
      <c r="H749" s="3">
        <v>8455</v>
      </c>
      <c r="I749" s="233" t="s">
        <v>683</v>
      </c>
      <c r="J749" s="233" t="s">
        <v>1312</v>
      </c>
      <c r="K749" s="233" t="s">
        <v>733</v>
      </c>
      <c r="L749" s="233" t="s">
        <v>696</v>
      </c>
      <c r="M749" s="238">
        <v>0.375</v>
      </c>
      <c r="N749" s="238">
        <v>0.41666666666666669</v>
      </c>
      <c r="O749" s="196">
        <f>1531-O748</f>
        <v>468</v>
      </c>
      <c r="P749" s="3" t="s">
        <v>492</v>
      </c>
      <c r="Q749" s="3">
        <f>1.8-Q748</f>
        <v>0.43999999999999995</v>
      </c>
      <c r="R749" s="205">
        <f>1.85-R748</f>
        <v>0.68000000000000016</v>
      </c>
    </row>
    <row r="750" spans="2:18" x14ac:dyDescent="0.25">
      <c r="B750" s="199">
        <v>45097</v>
      </c>
      <c r="C750" s="233">
        <v>1</v>
      </c>
      <c r="D750" s="233" t="s">
        <v>1</v>
      </c>
      <c r="E750" s="233" t="s">
        <v>188</v>
      </c>
      <c r="F750" s="233" t="s">
        <v>1239</v>
      </c>
      <c r="G750" s="233">
        <v>433</v>
      </c>
      <c r="H750" s="233">
        <v>8455</v>
      </c>
      <c r="I750" s="233" t="s">
        <v>683</v>
      </c>
      <c r="J750" s="233" t="s">
        <v>1312</v>
      </c>
      <c r="K750" s="233" t="s">
        <v>733</v>
      </c>
      <c r="L750" s="233" t="s">
        <v>21</v>
      </c>
      <c r="M750" s="238">
        <v>0.41666666666666669</v>
      </c>
      <c r="N750" s="238">
        <v>0.52083333333333337</v>
      </c>
      <c r="O750" s="196">
        <f>2135-O749-O748</f>
        <v>604</v>
      </c>
      <c r="P750" s="3" t="s">
        <v>492</v>
      </c>
      <c r="Q750" s="3">
        <f>2.51-Q749-Q748</f>
        <v>0.70999999999999974</v>
      </c>
      <c r="R750" s="205">
        <f>2.75-R749-R748</f>
        <v>0.89999999999999991</v>
      </c>
    </row>
    <row r="751" spans="2:18" x14ac:dyDescent="0.25">
      <c r="B751" s="199">
        <v>45097</v>
      </c>
      <c r="C751" s="233">
        <v>1</v>
      </c>
      <c r="D751" s="233" t="s">
        <v>1</v>
      </c>
      <c r="E751" s="233" t="s">
        <v>188</v>
      </c>
      <c r="F751" s="233" t="s">
        <v>29</v>
      </c>
      <c r="G751" s="233">
        <v>434</v>
      </c>
      <c r="H751" s="233" t="s">
        <v>29</v>
      </c>
      <c r="I751" s="233" t="s">
        <v>683</v>
      </c>
      <c r="J751" s="233" t="s">
        <v>1314</v>
      </c>
      <c r="K751" s="233" t="s">
        <v>733</v>
      </c>
      <c r="L751" s="233" t="s">
        <v>21</v>
      </c>
      <c r="M751" s="238">
        <v>0.52083333333333337</v>
      </c>
      <c r="N751" s="238">
        <v>0.625</v>
      </c>
      <c r="O751" s="196">
        <v>830</v>
      </c>
      <c r="P751" s="233" t="s">
        <v>492</v>
      </c>
      <c r="Q751" s="3">
        <v>1.7</v>
      </c>
      <c r="R751" s="205">
        <v>1.85</v>
      </c>
    </row>
    <row r="752" spans="2:18" x14ac:dyDescent="0.25">
      <c r="B752" s="199">
        <v>45097</v>
      </c>
      <c r="C752" s="233">
        <v>2</v>
      </c>
      <c r="D752" s="233" t="s">
        <v>465</v>
      </c>
      <c r="E752" s="233" t="s">
        <v>3</v>
      </c>
      <c r="F752" s="233" t="s">
        <v>1311</v>
      </c>
      <c r="G752" s="3">
        <v>435</v>
      </c>
      <c r="H752" s="233">
        <v>8455</v>
      </c>
      <c r="I752" s="233" t="s">
        <v>683</v>
      </c>
      <c r="J752" s="233" t="s">
        <v>1316</v>
      </c>
      <c r="K752" s="233" t="s">
        <v>733</v>
      </c>
      <c r="L752" s="233" t="s">
        <v>21</v>
      </c>
      <c r="M752" s="238">
        <v>0.625</v>
      </c>
      <c r="N752" s="238">
        <v>0.77430555555555547</v>
      </c>
      <c r="O752" s="196">
        <v>1480</v>
      </c>
      <c r="P752" s="233" t="s">
        <v>492</v>
      </c>
      <c r="Q752" s="3">
        <v>2.38</v>
      </c>
      <c r="R752" s="205">
        <v>2.52</v>
      </c>
    </row>
    <row r="753" spans="2:18" x14ac:dyDescent="0.25">
      <c r="B753" s="199">
        <v>45097</v>
      </c>
      <c r="C753" s="233">
        <v>2</v>
      </c>
      <c r="D753" s="233" t="s">
        <v>465</v>
      </c>
      <c r="E753" s="233" t="s">
        <v>3</v>
      </c>
      <c r="F753" s="233" t="s">
        <v>29</v>
      </c>
      <c r="G753" s="3">
        <v>436</v>
      </c>
      <c r="H753" s="233" t="s">
        <v>29</v>
      </c>
      <c r="I753" s="233" t="s">
        <v>683</v>
      </c>
      <c r="J753" s="233" t="s">
        <v>29</v>
      </c>
      <c r="K753" s="233" t="s">
        <v>733</v>
      </c>
      <c r="L753" s="233" t="s">
        <v>21</v>
      </c>
      <c r="M753" s="238">
        <v>0.77430555555555547</v>
      </c>
      <c r="N753" s="238">
        <v>0.95833333333333337</v>
      </c>
      <c r="O753" s="196">
        <v>1520</v>
      </c>
      <c r="P753" s="233" t="s">
        <v>492</v>
      </c>
      <c r="Q753" s="3">
        <v>3.17</v>
      </c>
      <c r="R753" s="205">
        <v>3.1</v>
      </c>
    </row>
    <row r="754" spans="2:18" x14ac:dyDescent="0.25">
      <c r="B754" s="199">
        <v>45097</v>
      </c>
      <c r="C754" s="3">
        <v>3</v>
      </c>
      <c r="D754" s="3" t="s">
        <v>7</v>
      </c>
      <c r="E754" s="233" t="s">
        <v>7</v>
      </c>
      <c r="F754" s="233" t="s">
        <v>29</v>
      </c>
      <c r="G754" s="233">
        <v>437</v>
      </c>
      <c r="H754" s="233" t="s">
        <v>29</v>
      </c>
      <c r="I754" s="233" t="s">
        <v>1319</v>
      </c>
      <c r="J754" s="233" t="s">
        <v>29</v>
      </c>
      <c r="K754" s="233" t="s">
        <v>733</v>
      </c>
      <c r="L754" s="233" t="s">
        <v>21</v>
      </c>
      <c r="M754" s="238">
        <v>0.95833333333333337</v>
      </c>
      <c r="N754" s="238">
        <v>0.29166666666666669</v>
      </c>
      <c r="O754" s="196">
        <v>4418</v>
      </c>
      <c r="P754" s="3" t="s">
        <v>492</v>
      </c>
      <c r="Q754" s="3">
        <v>7.06</v>
      </c>
      <c r="R754" s="205">
        <v>6.99</v>
      </c>
    </row>
    <row r="755" spans="2:18" x14ac:dyDescent="0.25">
      <c r="B755" s="199">
        <v>45098</v>
      </c>
      <c r="C755" s="3">
        <v>1</v>
      </c>
      <c r="D755" s="3" t="s">
        <v>1</v>
      </c>
      <c r="E755" s="233" t="s">
        <v>205</v>
      </c>
      <c r="F755" s="233" t="s">
        <v>29</v>
      </c>
      <c r="G755" s="3">
        <v>438</v>
      </c>
      <c r="H755" s="3" t="s">
        <v>29</v>
      </c>
      <c r="I755" s="3" t="s">
        <v>1320</v>
      </c>
      <c r="J755" s="3" t="s">
        <v>29</v>
      </c>
      <c r="K755" s="3" t="s">
        <v>733</v>
      </c>
      <c r="L755" s="3" t="s">
        <v>21</v>
      </c>
      <c r="M755" s="238">
        <v>0.29166666666666669</v>
      </c>
      <c r="N755" s="238">
        <v>0.625</v>
      </c>
      <c r="O755" s="196">
        <v>337</v>
      </c>
      <c r="P755" s="233" t="s">
        <v>492</v>
      </c>
      <c r="Q755" s="3">
        <v>0.59</v>
      </c>
      <c r="R755" s="205">
        <v>0.77</v>
      </c>
    </row>
    <row r="756" spans="2:18" x14ac:dyDescent="0.25">
      <c r="B756" s="199">
        <v>45098</v>
      </c>
      <c r="C756" s="3">
        <v>2</v>
      </c>
      <c r="D756" s="3" t="s">
        <v>459</v>
      </c>
      <c r="E756" s="3" t="s">
        <v>3</v>
      </c>
      <c r="F756" s="3" t="s">
        <v>1324</v>
      </c>
      <c r="G756" s="3">
        <v>439</v>
      </c>
      <c r="H756" s="3">
        <v>5400</v>
      </c>
      <c r="I756" s="3" t="s">
        <v>924</v>
      </c>
      <c r="J756" s="3" t="s">
        <v>1312</v>
      </c>
      <c r="K756" s="233" t="s">
        <v>733</v>
      </c>
      <c r="L756" s="3" t="s">
        <v>12</v>
      </c>
      <c r="M756" s="238">
        <v>0.625</v>
      </c>
      <c r="N756" s="238">
        <v>0.95833333333333337</v>
      </c>
      <c r="O756" s="196">
        <v>4496</v>
      </c>
      <c r="P756" s="233" t="s">
        <v>492</v>
      </c>
      <c r="Q756" s="3">
        <v>6.16</v>
      </c>
      <c r="R756" s="205">
        <v>6.62</v>
      </c>
    </row>
    <row r="757" spans="2:18" x14ac:dyDescent="0.25">
      <c r="B757" s="199">
        <v>45098</v>
      </c>
      <c r="C757" s="3">
        <v>3</v>
      </c>
      <c r="D757" s="3" t="s">
        <v>7</v>
      </c>
      <c r="E757" s="233" t="s">
        <v>7</v>
      </c>
      <c r="F757" s="3" t="s">
        <v>51</v>
      </c>
      <c r="G757" s="233">
        <v>440</v>
      </c>
      <c r="H757" s="3">
        <v>5400</v>
      </c>
      <c r="I757" s="233" t="s">
        <v>924</v>
      </c>
      <c r="J757" s="233" t="s">
        <v>1316</v>
      </c>
      <c r="K757" s="233" t="s">
        <v>733</v>
      </c>
      <c r="L757" s="233" t="s">
        <v>21</v>
      </c>
      <c r="M757" s="238">
        <v>0.95833333333333337</v>
      </c>
      <c r="N757" s="238">
        <v>0.15277777777777776</v>
      </c>
      <c r="O757" s="196">
        <v>2220</v>
      </c>
      <c r="P757" s="233" t="s">
        <v>492</v>
      </c>
      <c r="Q757" s="3">
        <v>3.73</v>
      </c>
      <c r="R757" s="205">
        <v>3.82</v>
      </c>
    </row>
    <row r="758" spans="2:18" x14ac:dyDescent="0.25">
      <c r="B758" s="199">
        <v>45098</v>
      </c>
      <c r="C758" s="233">
        <v>3</v>
      </c>
      <c r="D758" s="233" t="s">
        <v>7</v>
      </c>
      <c r="E758" s="233" t="s">
        <v>7</v>
      </c>
      <c r="F758" s="3" t="s">
        <v>1327</v>
      </c>
      <c r="G758" s="233">
        <v>441</v>
      </c>
      <c r="H758" s="233">
        <v>6000</v>
      </c>
      <c r="I758" s="233" t="s">
        <v>924</v>
      </c>
      <c r="J758" s="233" t="s">
        <v>1329</v>
      </c>
      <c r="K758" s="233" t="s">
        <v>733</v>
      </c>
      <c r="L758" s="233" t="s">
        <v>21</v>
      </c>
      <c r="M758" s="238">
        <v>0.15277777777777776</v>
      </c>
      <c r="N758" s="238">
        <v>0.29166666666666669</v>
      </c>
      <c r="O758" s="196">
        <f>3519-2220</f>
        <v>1299</v>
      </c>
      <c r="P758" s="3" t="s">
        <v>492</v>
      </c>
      <c r="Q758" s="3">
        <f>5.48-Q757</f>
        <v>1.7500000000000004</v>
      </c>
      <c r="R758" s="205">
        <f>5.9-3.82</f>
        <v>2.0800000000000005</v>
      </c>
    </row>
    <row r="759" spans="2:18" x14ac:dyDescent="0.25">
      <c r="B759" s="199">
        <v>45099</v>
      </c>
      <c r="C759" s="233">
        <v>1</v>
      </c>
      <c r="D759" s="233" t="s">
        <v>1</v>
      </c>
      <c r="E759" s="233" t="s">
        <v>188</v>
      </c>
      <c r="F759" s="233" t="s">
        <v>29</v>
      </c>
      <c r="H759" s="3" t="s">
        <v>29</v>
      </c>
      <c r="I759" s="3" t="s">
        <v>489</v>
      </c>
      <c r="J759" s="3" t="s">
        <v>1328</v>
      </c>
      <c r="K759" s="3" t="s">
        <v>733</v>
      </c>
      <c r="L759" s="3" t="s">
        <v>21</v>
      </c>
      <c r="M759" s="238">
        <v>0.29166666666666669</v>
      </c>
      <c r="N759" s="238">
        <v>0.625</v>
      </c>
      <c r="O759" s="196">
        <v>855</v>
      </c>
      <c r="P759" s="233" t="s">
        <v>492</v>
      </c>
      <c r="Q759" s="3">
        <v>2.38</v>
      </c>
      <c r="R759" s="205">
        <v>2.2400000000000002</v>
      </c>
    </row>
    <row r="760" spans="2:18" x14ac:dyDescent="0.25">
      <c r="B760" s="199">
        <v>45099</v>
      </c>
      <c r="C760" s="3">
        <v>2</v>
      </c>
      <c r="D760" s="3" t="s">
        <v>182</v>
      </c>
      <c r="E760" s="3" t="s">
        <v>3</v>
      </c>
      <c r="F760" s="233" t="s">
        <v>1311</v>
      </c>
      <c r="G760" s="3">
        <v>442</v>
      </c>
      <c r="H760" s="3">
        <v>6620</v>
      </c>
      <c r="I760" s="3" t="s">
        <v>769</v>
      </c>
      <c r="J760" s="3" t="s">
        <v>1329</v>
      </c>
      <c r="K760" s="3" t="s">
        <v>733</v>
      </c>
      <c r="L760" s="3" t="s">
        <v>24</v>
      </c>
      <c r="M760" s="238">
        <v>0.625</v>
      </c>
      <c r="N760" s="238">
        <v>0.95833333333333337</v>
      </c>
      <c r="O760" s="196">
        <v>4269</v>
      </c>
      <c r="P760" s="233" t="s">
        <v>492</v>
      </c>
      <c r="Q760" s="3">
        <v>6.59</v>
      </c>
      <c r="R760" s="205">
        <v>6.87</v>
      </c>
    </row>
    <row r="761" spans="2:18" x14ac:dyDescent="0.25">
      <c r="B761" s="199">
        <v>45099</v>
      </c>
      <c r="C761" s="3">
        <v>3</v>
      </c>
      <c r="D761" s="3" t="s">
        <v>7</v>
      </c>
      <c r="E761" s="3" t="s">
        <v>362</v>
      </c>
      <c r="G761" s="233">
        <v>443</v>
      </c>
      <c r="H761" s="233">
        <v>6620</v>
      </c>
      <c r="I761" s="233" t="s">
        <v>769</v>
      </c>
      <c r="J761" s="233" t="s">
        <v>1329</v>
      </c>
      <c r="K761" s="233" t="s">
        <v>733</v>
      </c>
      <c r="L761" s="233" t="s">
        <v>24</v>
      </c>
      <c r="M761" s="238">
        <v>0.95833333333333337</v>
      </c>
      <c r="N761" s="238">
        <v>0.29166666666666669</v>
      </c>
      <c r="O761" s="196">
        <v>1247</v>
      </c>
      <c r="P761" s="233" t="s">
        <v>492</v>
      </c>
      <c r="Q761" s="3">
        <v>2.12</v>
      </c>
      <c r="R761" s="205">
        <v>2.14</v>
      </c>
    </row>
    <row r="762" spans="2:18" x14ac:dyDescent="0.25">
      <c r="B762" s="199">
        <v>45100</v>
      </c>
      <c r="C762" s="3">
        <v>1</v>
      </c>
      <c r="D762" s="3" t="s">
        <v>1</v>
      </c>
      <c r="E762" s="3" t="s">
        <v>188</v>
      </c>
      <c r="G762" s="3">
        <v>444</v>
      </c>
      <c r="H762" s="3">
        <v>2000</v>
      </c>
      <c r="I762" s="3" t="s">
        <v>683</v>
      </c>
      <c r="J762" s="3" t="s">
        <v>29</v>
      </c>
      <c r="K762" s="3" t="s">
        <v>733</v>
      </c>
      <c r="L762" s="3" t="s">
        <v>21</v>
      </c>
      <c r="M762" s="238">
        <v>0.29166666666666669</v>
      </c>
      <c r="N762" s="238">
        <v>0.625</v>
      </c>
      <c r="O762" s="196">
        <v>1490</v>
      </c>
      <c r="P762" s="233" t="s">
        <v>492</v>
      </c>
      <c r="Q762" s="3">
        <v>3.66</v>
      </c>
      <c r="R762" s="205">
        <v>4.0199999999999996</v>
      </c>
    </row>
    <row r="763" spans="2:18" x14ac:dyDescent="0.25">
      <c r="B763" s="199">
        <v>45100</v>
      </c>
      <c r="C763" s="233">
        <v>2</v>
      </c>
      <c r="D763" s="233" t="s">
        <v>182</v>
      </c>
      <c r="E763" s="233" t="s">
        <v>3</v>
      </c>
      <c r="F763" s="233" t="s">
        <v>1311</v>
      </c>
      <c r="G763" s="233">
        <v>445</v>
      </c>
      <c r="H763" s="233">
        <v>4500</v>
      </c>
      <c r="I763" s="233" t="s">
        <v>1332</v>
      </c>
      <c r="J763" s="233" t="s">
        <v>1333</v>
      </c>
      <c r="K763" s="233" t="s">
        <v>733</v>
      </c>
      <c r="L763" s="233" t="s">
        <v>21</v>
      </c>
      <c r="M763" s="238">
        <v>0.625</v>
      </c>
      <c r="N763" s="238">
        <v>0.95833333333333337</v>
      </c>
      <c r="O763" s="196">
        <v>3109</v>
      </c>
      <c r="P763" s="233" t="s">
        <v>492</v>
      </c>
      <c r="Q763" s="3">
        <v>3.9</v>
      </c>
      <c r="R763" s="205">
        <v>4.2300000000000004</v>
      </c>
    </row>
    <row r="764" spans="2:18" x14ac:dyDescent="0.25">
      <c r="B764" s="199">
        <v>45100</v>
      </c>
      <c r="C764" s="3">
        <v>3</v>
      </c>
      <c r="D764" s="233" t="s">
        <v>7</v>
      </c>
      <c r="E764" s="233" t="s">
        <v>362</v>
      </c>
      <c r="G764" s="3">
        <v>446</v>
      </c>
      <c r="H764" s="233">
        <v>4500</v>
      </c>
      <c r="I764" s="233" t="s">
        <v>1332</v>
      </c>
      <c r="J764" s="233" t="s">
        <v>1333</v>
      </c>
      <c r="K764" s="233" t="s">
        <v>733</v>
      </c>
      <c r="L764" s="233" t="s">
        <v>21</v>
      </c>
      <c r="M764" s="238">
        <v>0.95833333333333337</v>
      </c>
      <c r="N764" s="238">
        <v>0.29166666666666669</v>
      </c>
      <c r="O764" s="196">
        <v>1710</v>
      </c>
      <c r="Q764" s="3">
        <v>2.33</v>
      </c>
      <c r="R764" s="205">
        <v>2.4300000000000002</v>
      </c>
    </row>
    <row r="765" spans="2:18" x14ac:dyDescent="0.25">
      <c r="B765" s="199">
        <v>45101</v>
      </c>
      <c r="C765" s="3">
        <v>1</v>
      </c>
      <c r="D765" s="3" t="s">
        <v>1335</v>
      </c>
      <c r="E765" s="233" t="s">
        <v>1335</v>
      </c>
      <c r="F765" s="237"/>
      <c r="G765" s="237"/>
      <c r="H765" s="237"/>
      <c r="I765" s="237"/>
      <c r="J765" s="237"/>
      <c r="K765" s="237"/>
      <c r="L765" s="237"/>
      <c r="M765" s="238">
        <v>0.29166666666666669</v>
      </c>
      <c r="N765" s="238">
        <v>0.625</v>
      </c>
      <c r="O765" s="196">
        <v>0</v>
      </c>
      <c r="P765" s="3">
        <v>0</v>
      </c>
      <c r="Q765" s="3">
        <v>0</v>
      </c>
      <c r="R765" s="205">
        <v>0</v>
      </c>
    </row>
    <row r="766" spans="2:18" x14ac:dyDescent="0.25">
      <c r="B766" s="199">
        <v>45101</v>
      </c>
      <c r="C766" s="3">
        <v>2</v>
      </c>
      <c r="D766" s="233" t="s">
        <v>182</v>
      </c>
      <c r="E766" s="233" t="s">
        <v>3</v>
      </c>
      <c r="F766" s="237"/>
      <c r="G766" s="237"/>
      <c r="H766" s="237"/>
      <c r="I766" s="237"/>
      <c r="J766" s="237"/>
      <c r="K766" s="237"/>
      <c r="L766" s="237"/>
      <c r="M766" s="238">
        <v>0.625</v>
      </c>
      <c r="N766" s="238">
        <v>0.95833333333333337</v>
      </c>
      <c r="O766" s="196">
        <v>0</v>
      </c>
      <c r="P766" s="3">
        <v>0</v>
      </c>
      <c r="Q766" s="3">
        <v>0</v>
      </c>
      <c r="R766" s="205">
        <v>0</v>
      </c>
    </row>
    <row r="767" spans="2:18" x14ac:dyDescent="0.25">
      <c r="B767" s="199">
        <v>45101</v>
      </c>
      <c r="C767" s="3">
        <v>3</v>
      </c>
      <c r="D767" s="3" t="s">
        <v>459</v>
      </c>
      <c r="E767" s="233" t="s">
        <v>362</v>
      </c>
      <c r="F767" s="237"/>
      <c r="G767" s="237"/>
      <c r="H767" s="237"/>
      <c r="I767" s="237"/>
      <c r="J767" s="237"/>
      <c r="K767" s="237"/>
      <c r="L767" s="237"/>
      <c r="M767" s="238">
        <v>0.95833333333333337</v>
      </c>
      <c r="N767" s="238">
        <v>0.29166666666666669</v>
      </c>
      <c r="O767" s="196">
        <v>0</v>
      </c>
      <c r="P767" s="233">
        <v>0</v>
      </c>
      <c r="Q767" s="233">
        <v>0</v>
      </c>
      <c r="R767" s="205">
        <v>0</v>
      </c>
    </row>
    <row r="768" spans="2:18" x14ac:dyDescent="0.25">
      <c r="B768" s="199">
        <v>45102</v>
      </c>
      <c r="C768" s="3">
        <v>1</v>
      </c>
      <c r="D768" s="233" t="s">
        <v>1335</v>
      </c>
      <c r="E768" s="233" t="s">
        <v>1335</v>
      </c>
      <c r="F768" s="237"/>
      <c r="G768" s="237"/>
      <c r="H768" s="237"/>
      <c r="I768" s="237"/>
      <c r="J768" s="237"/>
      <c r="K768" s="237"/>
      <c r="L768" s="237"/>
      <c r="M768" s="238">
        <v>0.29166666666666669</v>
      </c>
      <c r="N768" s="238">
        <v>0.625</v>
      </c>
      <c r="O768" s="196">
        <v>0</v>
      </c>
      <c r="P768" s="233">
        <v>0</v>
      </c>
      <c r="Q768" s="233">
        <v>0</v>
      </c>
      <c r="R768" s="205">
        <v>0</v>
      </c>
    </row>
    <row r="769" spans="2:18" x14ac:dyDescent="0.25">
      <c r="B769" s="199">
        <v>45102</v>
      </c>
      <c r="C769" s="233">
        <v>2</v>
      </c>
      <c r="D769" s="233" t="s">
        <v>182</v>
      </c>
      <c r="E769" s="233" t="s">
        <v>3</v>
      </c>
      <c r="F769" s="237"/>
      <c r="G769" s="237"/>
      <c r="H769" s="237"/>
      <c r="I769" s="237"/>
      <c r="J769" s="237"/>
      <c r="K769" s="237"/>
      <c r="L769" s="237"/>
      <c r="M769" s="238">
        <v>0.625</v>
      </c>
      <c r="N769" s="238">
        <v>0.95833333333333337</v>
      </c>
      <c r="O769" s="196">
        <v>0</v>
      </c>
      <c r="P769" s="233">
        <v>0</v>
      </c>
      <c r="Q769" s="233">
        <v>0</v>
      </c>
      <c r="R769" s="205">
        <v>0</v>
      </c>
    </row>
    <row r="770" spans="2:18" x14ac:dyDescent="0.25">
      <c r="B770" s="199">
        <v>45102</v>
      </c>
      <c r="C770" s="3">
        <v>3</v>
      </c>
      <c r="D770" s="3" t="s">
        <v>459</v>
      </c>
      <c r="E770" s="3" t="s">
        <v>362</v>
      </c>
      <c r="F770" s="237"/>
      <c r="G770" s="237"/>
      <c r="H770" s="237"/>
      <c r="I770" s="237"/>
      <c r="J770" s="237"/>
      <c r="K770" s="237"/>
      <c r="L770" s="237"/>
      <c r="M770" s="238">
        <v>0.95833333333333337</v>
      </c>
      <c r="N770" s="238">
        <v>0.29166666666666669</v>
      </c>
      <c r="O770" s="196">
        <v>0</v>
      </c>
      <c r="P770" s="3">
        <v>0</v>
      </c>
      <c r="Q770" s="3">
        <v>0</v>
      </c>
      <c r="R770" s="205">
        <v>0</v>
      </c>
    </row>
    <row r="771" spans="2:18" x14ac:dyDescent="0.25">
      <c r="B771" s="199">
        <v>45103</v>
      </c>
      <c r="C771" s="3">
        <v>1</v>
      </c>
      <c r="D771" s="3" t="s">
        <v>466</v>
      </c>
      <c r="E771" s="233" t="s">
        <v>466</v>
      </c>
      <c r="G771" s="3">
        <v>447</v>
      </c>
      <c r="H771" s="3">
        <v>4500</v>
      </c>
      <c r="I771" s="3" t="s">
        <v>1337</v>
      </c>
      <c r="J771" s="3" t="s">
        <v>1336</v>
      </c>
      <c r="K771" s="3" t="s">
        <v>733</v>
      </c>
      <c r="L771" s="3" t="s">
        <v>21</v>
      </c>
      <c r="M771" s="238">
        <v>0.29166666666666669</v>
      </c>
      <c r="N771" s="238">
        <v>0.625</v>
      </c>
      <c r="O771" s="196">
        <v>3480</v>
      </c>
      <c r="P771" s="3">
        <v>0</v>
      </c>
      <c r="Q771" s="3">
        <v>4.49</v>
      </c>
      <c r="R771" s="205">
        <v>4.58</v>
      </c>
    </row>
    <row r="772" spans="2:18" x14ac:dyDescent="0.25">
      <c r="B772" s="199">
        <v>45103</v>
      </c>
      <c r="C772" s="3">
        <v>2</v>
      </c>
      <c r="D772" s="3" t="s">
        <v>459</v>
      </c>
      <c r="E772" s="3" t="s">
        <v>362</v>
      </c>
      <c r="G772" s="233">
        <v>448</v>
      </c>
      <c r="H772" s="233">
        <v>4500</v>
      </c>
      <c r="I772" s="233" t="s">
        <v>1337</v>
      </c>
      <c r="J772" s="233" t="s">
        <v>1336</v>
      </c>
      <c r="K772" s="233" t="s">
        <v>733</v>
      </c>
      <c r="L772" s="233" t="s">
        <v>21</v>
      </c>
      <c r="M772" s="238">
        <v>0.625</v>
      </c>
      <c r="N772" s="238">
        <v>0.69374999999999998</v>
      </c>
      <c r="O772" s="196">
        <v>904</v>
      </c>
      <c r="P772" s="233" t="s">
        <v>492</v>
      </c>
      <c r="Q772" s="3">
        <v>1.37</v>
      </c>
      <c r="R772" s="205">
        <v>1.37</v>
      </c>
    </row>
    <row r="773" spans="2:18" x14ac:dyDescent="0.25">
      <c r="B773" s="199">
        <v>45103</v>
      </c>
      <c r="C773" s="233">
        <v>2</v>
      </c>
      <c r="D773" s="233" t="s">
        <v>459</v>
      </c>
      <c r="E773" s="233" t="s">
        <v>362</v>
      </c>
      <c r="G773" s="3">
        <v>449</v>
      </c>
      <c r="H773" s="3">
        <v>2000</v>
      </c>
      <c r="I773" s="233" t="s">
        <v>1337</v>
      </c>
      <c r="J773" s="233" t="s">
        <v>1342</v>
      </c>
      <c r="K773" s="233" t="s">
        <v>733</v>
      </c>
      <c r="L773" s="233" t="s">
        <v>21</v>
      </c>
      <c r="M773" s="238">
        <v>0.69374999999999998</v>
      </c>
      <c r="N773" s="238">
        <v>0.95833333333333337</v>
      </c>
      <c r="O773" s="196">
        <f>2059-O772</f>
        <v>1155</v>
      </c>
      <c r="P773" s="3" t="s">
        <v>492</v>
      </c>
      <c r="Q773" s="3">
        <f>3.74-Q772</f>
        <v>2.37</v>
      </c>
      <c r="R773" s="205">
        <f>3.44-R772</f>
        <v>2.0699999999999998</v>
      </c>
    </row>
    <row r="774" spans="2:18" x14ac:dyDescent="0.25">
      <c r="B774" s="199">
        <v>45103</v>
      </c>
      <c r="C774" s="233">
        <v>3</v>
      </c>
      <c r="D774" s="233" t="s">
        <v>7</v>
      </c>
      <c r="E774" s="233" t="s">
        <v>188</v>
      </c>
      <c r="G774" s="3">
        <v>450</v>
      </c>
      <c r="H774" s="3">
        <v>2000</v>
      </c>
      <c r="I774" s="233" t="s">
        <v>1337</v>
      </c>
      <c r="J774" s="233" t="s">
        <v>1342</v>
      </c>
      <c r="K774" s="233" t="s">
        <v>733</v>
      </c>
      <c r="L774" s="233" t="s">
        <v>21</v>
      </c>
      <c r="M774" s="238">
        <v>0.95833333333333337</v>
      </c>
      <c r="N774" s="238">
        <v>4.5138888888888888E-2</v>
      </c>
      <c r="O774" s="196">
        <v>912</v>
      </c>
      <c r="P774" s="233" t="s">
        <v>492</v>
      </c>
      <c r="Q774" s="3">
        <v>1.36</v>
      </c>
      <c r="R774" s="205">
        <v>1.41</v>
      </c>
    </row>
    <row r="775" spans="2:18" x14ac:dyDescent="0.25">
      <c r="B775" s="199">
        <v>45103</v>
      </c>
      <c r="C775" s="233">
        <v>3</v>
      </c>
      <c r="D775" s="233" t="s">
        <v>7</v>
      </c>
      <c r="E775" s="233" t="s">
        <v>188</v>
      </c>
      <c r="G775" s="3">
        <v>451</v>
      </c>
      <c r="H775" s="3">
        <v>4000</v>
      </c>
      <c r="I775" s="233" t="s">
        <v>489</v>
      </c>
      <c r="J775" s="3" t="s">
        <v>1341</v>
      </c>
      <c r="K775" s="3" t="s">
        <v>733</v>
      </c>
      <c r="L775" s="3" t="s">
        <v>24</v>
      </c>
      <c r="M775" s="238">
        <v>4.5138888888888888E-2</v>
      </c>
      <c r="N775" s="238">
        <v>0.29166666666666669</v>
      </c>
      <c r="O775" s="196">
        <v>1578</v>
      </c>
      <c r="P775" s="3" t="s">
        <v>492</v>
      </c>
      <c r="Q775" s="3">
        <v>2.06</v>
      </c>
      <c r="R775" s="205">
        <v>2.04</v>
      </c>
    </row>
    <row r="776" spans="2:18" x14ac:dyDescent="0.25">
      <c r="B776" s="199">
        <v>45104</v>
      </c>
      <c r="C776" s="3">
        <v>1</v>
      </c>
      <c r="D776" s="3" t="s">
        <v>459</v>
      </c>
      <c r="E776" s="233" t="s">
        <v>459</v>
      </c>
      <c r="G776" s="3">
        <v>452</v>
      </c>
      <c r="H776" s="3">
        <v>4000</v>
      </c>
      <c r="I776" s="233" t="s">
        <v>489</v>
      </c>
      <c r="J776" s="233" t="s">
        <v>1341</v>
      </c>
      <c r="K776" s="233" t="s">
        <v>733</v>
      </c>
      <c r="L776" s="233" t="s">
        <v>24</v>
      </c>
      <c r="M776" s="238">
        <v>0.29166666666666669</v>
      </c>
      <c r="N776" s="238">
        <v>0.625</v>
      </c>
      <c r="O776" s="196">
        <v>4832</v>
      </c>
      <c r="P776" s="3" t="s">
        <v>492</v>
      </c>
      <c r="Q776" s="3">
        <v>6.01</v>
      </c>
      <c r="R776" s="205">
        <v>5.87</v>
      </c>
    </row>
    <row r="777" spans="2:18" x14ac:dyDescent="0.25">
      <c r="B777" s="199">
        <v>45104</v>
      </c>
      <c r="C777" s="3">
        <v>2</v>
      </c>
      <c r="D777" s="233" t="s">
        <v>7</v>
      </c>
      <c r="E777" s="3" t="s">
        <v>190</v>
      </c>
      <c r="G777" s="233">
        <v>453</v>
      </c>
      <c r="H777" s="233">
        <v>4000</v>
      </c>
      <c r="I777" s="233" t="s">
        <v>489</v>
      </c>
      <c r="J777" s="233" t="s">
        <v>1347</v>
      </c>
      <c r="K777" s="233" t="s">
        <v>733</v>
      </c>
      <c r="L777" s="233" t="s">
        <v>24</v>
      </c>
      <c r="M777" s="238">
        <v>0.625</v>
      </c>
      <c r="N777" s="238">
        <v>0.95833333333333337</v>
      </c>
      <c r="O777" s="196">
        <v>1006</v>
      </c>
      <c r="P777" s="233" t="s">
        <v>492</v>
      </c>
      <c r="Q777" s="3">
        <v>2.13</v>
      </c>
      <c r="R777" s="205">
        <v>1.84</v>
      </c>
    </row>
    <row r="778" spans="2:18" x14ac:dyDescent="0.25">
      <c r="B778" s="199">
        <v>45104</v>
      </c>
      <c r="C778" s="3">
        <v>3</v>
      </c>
      <c r="D778" s="3" t="s">
        <v>466</v>
      </c>
      <c r="E778" s="3" t="s">
        <v>3</v>
      </c>
      <c r="F778" s="3" t="s">
        <v>1348</v>
      </c>
      <c r="G778" s="3">
        <v>454</v>
      </c>
      <c r="H778" s="3">
        <v>4000</v>
      </c>
      <c r="I778" s="233" t="s">
        <v>489</v>
      </c>
      <c r="J778" s="233" t="s">
        <v>1347</v>
      </c>
      <c r="K778" s="233" t="s">
        <v>733</v>
      </c>
      <c r="L778" s="233" t="s">
        <v>24</v>
      </c>
      <c r="M778" s="238">
        <v>0.95833333333333337</v>
      </c>
      <c r="N778" s="238">
        <v>0.29166666666666669</v>
      </c>
      <c r="O778" s="196">
        <v>3023</v>
      </c>
      <c r="P778" s="233" t="s">
        <v>492</v>
      </c>
      <c r="Q778" s="3">
        <v>4.62</v>
      </c>
      <c r="R778" s="205">
        <v>6.07</v>
      </c>
    </row>
    <row r="779" spans="2:18" x14ac:dyDescent="0.25">
      <c r="B779" s="199">
        <v>45105</v>
      </c>
      <c r="C779" s="3">
        <v>1</v>
      </c>
      <c r="D779" s="3" t="s">
        <v>459</v>
      </c>
      <c r="L779" s="233"/>
      <c r="M779" s="238">
        <v>0.29166666666666669</v>
      </c>
      <c r="N779" s="238">
        <v>0.625</v>
      </c>
      <c r="O779" s="196">
        <v>0</v>
      </c>
      <c r="P779" s="3">
        <v>0</v>
      </c>
      <c r="Q779" s="3">
        <v>0</v>
      </c>
      <c r="R779" s="205">
        <v>0</v>
      </c>
    </row>
    <row r="780" spans="2:18" x14ac:dyDescent="0.25">
      <c r="B780" s="199">
        <v>45105</v>
      </c>
      <c r="C780" s="3">
        <v>2</v>
      </c>
      <c r="M780" s="238">
        <v>0.625</v>
      </c>
      <c r="N780" s="238">
        <v>0.95833333333333337</v>
      </c>
      <c r="O780" s="196">
        <v>0</v>
      </c>
      <c r="P780" s="233">
        <v>0</v>
      </c>
      <c r="Q780" s="233">
        <v>0</v>
      </c>
    </row>
    <row r="781" spans="2:18" x14ac:dyDescent="0.25">
      <c r="B781" s="199">
        <v>45105</v>
      </c>
      <c r="C781" s="3">
        <v>3</v>
      </c>
      <c r="M781" s="238">
        <v>0.95833333333333337</v>
      </c>
      <c r="N781" s="238">
        <v>0.29166666666666669</v>
      </c>
      <c r="O781" s="196">
        <v>0</v>
      </c>
      <c r="P781" s="3">
        <v>0</v>
      </c>
      <c r="Q781" s="3">
        <v>0</v>
      </c>
    </row>
    <row r="782" spans="2:18" x14ac:dyDescent="0.25">
      <c r="B782" s="199">
        <v>45106</v>
      </c>
      <c r="C782" s="3">
        <v>1</v>
      </c>
      <c r="M782" s="238">
        <v>0.29166666666666669</v>
      </c>
      <c r="N782" s="238">
        <v>0.625</v>
      </c>
      <c r="O782" s="196">
        <v>0</v>
      </c>
      <c r="P782" s="233">
        <v>0</v>
      </c>
      <c r="Q782" s="233">
        <v>0</v>
      </c>
    </row>
    <row r="783" spans="2:18" x14ac:dyDescent="0.25">
      <c r="B783" s="199">
        <v>45106</v>
      </c>
      <c r="C783" s="3">
        <v>2</v>
      </c>
      <c r="M783" s="238">
        <v>0.625</v>
      </c>
      <c r="N783" s="238">
        <v>0.95833333333333337</v>
      </c>
      <c r="O783" s="196">
        <v>0</v>
      </c>
      <c r="P783" s="233">
        <v>0</v>
      </c>
      <c r="Q783" s="233">
        <v>0</v>
      </c>
    </row>
    <row r="784" spans="2:18" x14ac:dyDescent="0.25">
      <c r="B784" s="199">
        <v>45106</v>
      </c>
      <c r="C784" s="3">
        <v>3</v>
      </c>
      <c r="M784" s="238">
        <v>0.95833333333333337</v>
      </c>
      <c r="N784" s="238">
        <v>0.29166666666666669</v>
      </c>
      <c r="O784" s="196">
        <v>0</v>
      </c>
      <c r="P784" s="233">
        <v>0</v>
      </c>
      <c r="Q784" s="233">
        <v>0</v>
      </c>
    </row>
    <row r="785" spans="2:28" x14ac:dyDescent="0.25">
      <c r="B785" s="199">
        <v>45107</v>
      </c>
      <c r="C785" s="3">
        <v>1</v>
      </c>
      <c r="M785" s="238">
        <v>0.29166666666666669</v>
      </c>
      <c r="N785" s="238">
        <v>0.625</v>
      </c>
      <c r="O785" s="196">
        <v>0</v>
      </c>
      <c r="P785" s="233">
        <v>0</v>
      </c>
      <c r="Q785" s="233">
        <v>0</v>
      </c>
    </row>
    <row r="786" spans="2:28" x14ac:dyDescent="0.25">
      <c r="B786" s="199">
        <v>45107</v>
      </c>
      <c r="C786" s="3">
        <v>2</v>
      </c>
      <c r="M786" s="238">
        <v>0.625</v>
      </c>
      <c r="N786" s="238">
        <v>0.95833333333333337</v>
      </c>
      <c r="O786" s="196">
        <v>0</v>
      </c>
      <c r="P786" s="233">
        <v>0</v>
      </c>
      <c r="Q786" s="233">
        <v>0</v>
      </c>
    </row>
    <row r="787" spans="2:28" x14ac:dyDescent="0.25">
      <c r="B787" s="199">
        <v>45107</v>
      </c>
      <c r="C787" s="3">
        <v>3</v>
      </c>
      <c r="M787" s="238">
        <v>0.95833333333333337</v>
      </c>
      <c r="N787" s="238">
        <v>0.29166666666666669</v>
      </c>
      <c r="O787" s="196">
        <v>0</v>
      </c>
      <c r="P787" s="233">
        <v>0</v>
      </c>
      <c r="Q787" s="233">
        <v>0</v>
      </c>
    </row>
    <row r="788" spans="2:28" x14ac:dyDescent="0.25">
      <c r="B788" s="199">
        <v>45108</v>
      </c>
      <c r="C788" s="3">
        <v>1</v>
      </c>
      <c r="D788" s="3" t="s">
        <v>4</v>
      </c>
      <c r="E788" s="3" t="s">
        <v>634</v>
      </c>
      <c r="M788" s="238">
        <v>0.29166666666666669</v>
      </c>
      <c r="N788" s="238">
        <v>0.625</v>
      </c>
      <c r="O788" s="196">
        <v>0</v>
      </c>
      <c r="P788" s="3">
        <v>0</v>
      </c>
      <c r="Q788" s="3">
        <v>0</v>
      </c>
    </row>
    <row r="789" spans="2:28" s="233" customFormat="1" x14ac:dyDescent="0.25">
      <c r="B789" s="199">
        <v>45108</v>
      </c>
      <c r="C789" s="233">
        <v>2</v>
      </c>
      <c r="D789" s="233" t="s">
        <v>7</v>
      </c>
      <c r="E789" s="233" t="s">
        <v>7</v>
      </c>
      <c r="M789" s="238">
        <v>0.625</v>
      </c>
      <c r="N789" s="238">
        <v>0.95833333333333337</v>
      </c>
      <c r="O789" s="196">
        <v>0</v>
      </c>
      <c r="P789" s="233">
        <v>0</v>
      </c>
      <c r="Q789" s="233">
        <v>0</v>
      </c>
      <c r="R789" s="205"/>
      <c r="S789" s="202"/>
      <c r="T789" s="202"/>
      <c r="U789" s="202"/>
      <c r="V789" s="202"/>
      <c r="AB789" s="196"/>
    </row>
    <row r="790" spans="2:28" s="233" customFormat="1" x14ac:dyDescent="0.25">
      <c r="B790" s="199">
        <v>45108</v>
      </c>
      <c r="C790" s="233">
        <v>3</v>
      </c>
      <c r="D790" s="233" t="s">
        <v>205</v>
      </c>
      <c r="E790" s="233" t="s">
        <v>205</v>
      </c>
      <c r="M790" s="238">
        <v>0.95833333333333337</v>
      </c>
      <c r="N790" s="238">
        <v>0.29166666666666669</v>
      </c>
      <c r="O790" s="196">
        <v>0</v>
      </c>
      <c r="P790" s="233">
        <v>0</v>
      </c>
      <c r="Q790" s="233">
        <v>0</v>
      </c>
      <c r="R790" s="205"/>
      <c r="S790" s="202"/>
      <c r="T790" s="202"/>
      <c r="U790" s="202"/>
      <c r="V790" s="202"/>
      <c r="AB790" s="196"/>
    </row>
    <row r="791" spans="2:28" ht="15.75" x14ac:dyDescent="0.25">
      <c r="B791" s="199">
        <v>45109</v>
      </c>
      <c r="C791" s="3">
        <v>1</v>
      </c>
      <c r="D791" s="3" t="s">
        <v>4</v>
      </c>
      <c r="E791" s="347" t="s">
        <v>1</v>
      </c>
      <c r="M791" s="238">
        <v>0.29166666666666669</v>
      </c>
      <c r="N791" s="238">
        <v>0.625</v>
      </c>
      <c r="O791" s="196">
        <v>0</v>
      </c>
      <c r="P791" s="233">
        <v>0</v>
      </c>
      <c r="Q791" s="233">
        <v>0</v>
      </c>
    </row>
    <row r="792" spans="2:28" x14ac:dyDescent="0.25">
      <c r="B792" s="199">
        <v>45109</v>
      </c>
      <c r="C792" s="3">
        <v>2</v>
      </c>
      <c r="D792" s="3" t="s">
        <v>7</v>
      </c>
      <c r="E792" s="233" t="s">
        <v>7</v>
      </c>
      <c r="M792" s="238">
        <v>0.625</v>
      </c>
      <c r="N792" s="238">
        <v>0.95833333333333337</v>
      </c>
      <c r="O792" s="196">
        <v>0</v>
      </c>
      <c r="P792" s="233">
        <v>0</v>
      </c>
      <c r="Q792" s="233">
        <v>0</v>
      </c>
    </row>
    <row r="793" spans="2:28" x14ac:dyDescent="0.25">
      <c r="B793" s="199">
        <v>45109</v>
      </c>
      <c r="C793" s="3">
        <v>3</v>
      </c>
      <c r="D793" s="3" t="s">
        <v>205</v>
      </c>
      <c r="E793" s="233" t="s">
        <v>205</v>
      </c>
      <c r="M793" s="238">
        <v>0.95833333333333337</v>
      </c>
      <c r="N793" s="238">
        <v>0.29166666666666669</v>
      </c>
      <c r="O793" s="196">
        <v>0</v>
      </c>
      <c r="P793" s="233">
        <v>0</v>
      </c>
      <c r="Q793" s="233">
        <v>0</v>
      </c>
    </row>
    <row r="794" spans="2:28" x14ac:dyDescent="0.25">
      <c r="B794" s="199">
        <v>45110</v>
      </c>
      <c r="C794" s="3">
        <v>1</v>
      </c>
      <c r="D794" s="233" t="s">
        <v>7</v>
      </c>
      <c r="E794" s="3" t="s">
        <v>362</v>
      </c>
      <c r="G794" s="3">
        <v>455</v>
      </c>
      <c r="I794" s="3" t="s">
        <v>678</v>
      </c>
      <c r="J794" s="3" t="s">
        <v>1350</v>
      </c>
      <c r="K794" s="233" t="s">
        <v>733</v>
      </c>
      <c r="L794" s="233" t="s">
        <v>24</v>
      </c>
      <c r="M794" s="238">
        <v>0.29166666666666669</v>
      </c>
      <c r="N794" s="238">
        <v>0.625</v>
      </c>
      <c r="O794" s="196">
        <v>2178</v>
      </c>
      <c r="P794" s="233">
        <v>0</v>
      </c>
      <c r="Q794" s="233">
        <v>2.52</v>
      </c>
      <c r="R794" s="205">
        <v>2.5099999999999998</v>
      </c>
    </row>
    <row r="795" spans="2:28" x14ac:dyDescent="0.25">
      <c r="B795" s="199">
        <v>45110</v>
      </c>
      <c r="C795" s="3">
        <v>2</v>
      </c>
      <c r="D795" s="3" t="s">
        <v>459</v>
      </c>
      <c r="E795" s="233" t="s">
        <v>205</v>
      </c>
      <c r="F795" s="3" t="s">
        <v>475</v>
      </c>
      <c r="G795" s="3">
        <v>456</v>
      </c>
      <c r="H795" s="3">
        <v>1804</v>
      </c>
      <c r="I795" s="3" t="s">
        <v>678</v>
      </c>
      <c r="J795" s="3" t="s">
        <v>1352</v>
      </c>
      <c r="K795" s="3" t="s">
        <v>733</v>
      </c>
      <c r="L795" s="3" t="s">
        <v>24</v>
      </c>
      <c r="M795" s="238">
        <v>0.625</v>
      </c>
      <c r="N795" s="238">
        <v>0.69791666666666663</v>
      </c>
      <c r="O795" s="196">
        <v>628</v>
      </c>
      <c r="P795" s="233">
        <v>0</v>
      </c>
      <c r="Q795" s="233">
        <v>0.76</v>
      </c>
      <c r="R795" s="205">
        <v>0.75</v>
      </c>
    </row>
    <row r="796" spans="2:28" x14ac:dyDescent="0.25">
      <c r="B796" s="199">
        <v>45110</v>
      </c>
      <c r="C796" s="233">
        <v>2</v>
      </c>
      <c r="D796" s="233" t="s">
        <v>459</v>
      </c>
      <c r="E796" s="233" t="s">
        <v>205</v>
      </c>
      <c r="F796" s="3" t="s">
        <v>475</v>
      </c>
      <c r="G796" s="233">
        <v>456</v>
      </c>
      <c r="H796" s="233">
        <v>1804</v>
      </c>
      <c r="I796" s="233" t="s">
        <v>678</v>
      </c>
      <c r="J796" s="233" t="s">
        <v>1352</v>
      </c>
      <c r="K796" s="233" t="s">
        <v>733</v>
      </c>
      <c r="L796" s="233" t="s">
        <v>696</v>
      </c>
      <c r="M796" s="238">
        <v>0.69791666666666663</v>
      </c>
      <c r="N796" s="238">
        <v>0.78819444444444453</v>
      </c>
      <c r="O796" s="196">
        <f>1781-O795</f>
        <v>1153</v>
      </c>
      <c r="P796" s="233">
        <v>0</v>
      </c>
      <c r="Q796" s="233">
        <v>1.1599999999999999</v>
      </c>
      <c r="R796" s="205">
        <f>1.89-R795</f>
        <v>1.1399999999999999</v>
      </c>
    </row>
    <row r="797" spans="2:28" x14ac:dyDescent="0.25">
      <c r="B797" s="199">
        <v>45110</v>
      </c>
      <c r="C797" s="233">
        <v>2</v>
      </c>
      <c r="D797" s="233" t="s">
        <v>459</v>
      </c>
      <c r="E797" s="233" t="s">
        <v>205</v>
      </c>
      <c r="F797" s="3" t="s">
        <v>31</v>
      </c>
      <c r="G797" s="233">
        <v>456</v>
      </c>
      <c r="H797" s="233">
        <v>1804</v>
      </c>
      <c r="I797" s="233" t="s">
        <v>678</v>
      </c>
      <c r="J797" s="233" t="s">
        <v>1352</v>
      </c>
      <c r="K797" s="233" t="s">
        <v>733</v>
      </c>
      <c r="L797" s="233" t="s">
        <v>24</v>
      </c>
      <c r="M797" s="238">
        <v>0.78819444444444453</v>
      </c>
      <c r="N797" s="238">
        <v>0.84027777777777779</v>
      </c>
      <c r="O797" s="196">
        <f>2154-O796-O795</f>
        <v>373</v>
      </c>
      <c r="P797" s="233">
        <v>0</v>
      </c>
      <c r="Q797" s="233">
        <v>0.53</v>
      </c>
      <c r="R797" s="205">
        <f>2.43-R796-R795</f>
        <v>0.54000000000000026</v>
      </c>
    </row>
    <row r="798" spans="2:28" x14ac:dyDescent="0.25">
      <c r="B798" s="199">
        <v>45110</v>
      </c>
      <c r="C798" s="233">
        <v>2</v>
      </c>
      <c r="D798" s="233" t="s">
        <v>459</v>
      </c>
      <c r="E798" s="233" t="s">
        <v>205</v>
      </c>
      <c r="F798" s="3" t="s">
        <v>31</v>
      </c>
      <c r="G798" s="3">
        <v>457</v>
      </c>
      <c r="H798" s="3">
        <v>1200</v>
      </c>
      <c r="I798" s="3" t="s">
        <v>683</v>
      </c>
      <c r="J798" s="3" t="s">
        <v>1353</v>
      </c>
      <c r="K798" s="3" t="s">
        <v>733</v>
      </c>
      <c r="L798" s="3" t="s">
        <v>24</v>
      </c>
      <c r="M798" s="238">
        <v>0.84027777777777779</v>
      </c>
      <c r="N798" s="238">
        <v>0.92708333333333337</v>
      </c>
      <c r="O798" s="196">
        <f>3324-O797-O796-O795</f>
        <v>1170</v>
      </c>
      <c r="P798" s="233">
        <v>0</v>
      </c>
      <c r="Q798" s="233">
        <v>1.7</v>
      </c>
      <c r="R798" s="205">
        <f>4.23-R797-R796-R795</f>
        <v>1.8000000000000007</v>
      </c>
    </row>
    <row r="799" spans="2:28" x14ac:dyDescent="0.25">
      <c r="B799" s="199">
        <v>45110</v>
      </c>
      <c r="C799" s="233">
        <v>3</v>
      </c>
      <c r="D799" s="233" t="s">
        <v>360</v>
      </c>
      <c r="E799" s="233" t="s">
        <v>1264</v>
      </c>
      <c r="F799" s="233" t="s">
        <v>1356</v>
      </c>
      <c r="G799" s="3">
        <v>458</v>
      </c>
      <c r="H799" s="3">
        <v>3900</v>
      </c>
      <c r="I799" s="3" t="s">
        <v>769</v>
      </c>
      <c r="J799" s="3" t="s">
        <v>1355</v>
      </c>
      <c r="K799" s="3" t="s">
        <v>733</v>
      </c>
      <c r="L799" s="3" t="s">
        <v>21</v>
      </c>
      <c r="M799" s="238">
        <v>0.95833333333333337</v>
      </c>
      <c r="N799" s="238">
        <v>3.472222222222222E-3</v>
      </c>
      <c r="O799" s="196">
        <v>400</v>
      </c>
      <c r="P799" s="233">
        <v>0</v>
      </c>
      <c r="Q799" s="233">
        <v>0.65</v>
      </c>
      <c r="R799" s="205">
        <v>0.61</v>
      </c>
    </row>
    <row r="800" spans="2:28" x14ac:dyDescent="0.25">
      <c r="B800" s="199">
        <v>45110</v>
      </c>
      <c r="C800" s="233">
        <v>3</v>
      </c>
      <c r="D800" s="233" t="s">
        <v>360</v>
      </c>
      <c r="E800" s="233" t="s">
        <v>1264</v>
      </c>
      <c r="F800" s="233" t="s">
        <v>1356</v>
      </c>
      <c r="G800" s="233">
        <v>459</v>
      </c>
      <c r="H800" s="233">
        <v>3900</v>
      </c>
      <c r="I800" s="233" t="s">
        <v>769</v>
      </c>
      <c r="J800" s="233" t="s">
        <v>1355</v>
      </c>
      <c r="K800" s="233" t="s">
        <v>733</v>
      </c>
      <c r="L800" s="3" t="s">
        <v>1260</v>
      </c>
      <c r="M800" s="238">
        <v>3.472222222222222E-3</v>
      </c>
      <c r="N800" s="238">
        <v>7.2916666666666671E-2</v>
      </c>
      <c r="O800" s="196">
        <v>700</v>
      </c>
      <c r="P800" s="3">
        <v>0</v>
      </c>
      <c r="Q800" s="3">
        <v>1.1000000000000001</v>
      </c>
      <c r="R800" s="205">
        <v>0.93</v>
      </c>
    </row>
    <row r="801" spans="2:18" x14ac:dyDescent="0.25">
      <c r="B801" s="199">
        <v>45110</v>
      </c>
      <c r="C801" s="233">
        <v>3</v>
      </c>
      <c r="D801" s="233" t="s">
        <v>360</v>
      </c>
      <c r="E801" s="233" t="s">
        <v>1264</v>
      </c>
      <c r="F801" s="233" t="s">
        <v>1356</v>
      </c>
      <c r="G801" s="233">
        <v>460</v>
      </c>
      <c r="H801" s="233">
        <v>3900</v>
      </c>
      <c r="I801" s="233" t="s">
        <v>769</v>
      </c>
      <c r="J801" s="233" t="s">
        <v>1355</v>
      </c>
      <c r="K801" s="233" t="s">
        <v>733</v>
      </c>
      <c r="L801" s="233" t="s">
        <v>21</v>
      </c>
      <c r="M801" s="238">
        <v>7.2916666666666671E-2</v>
      </c>
      <c r="N801" s="238">
        <v>0.29166666666666669</v>
      </c>
      <c r="O801" s="196">
        <f>3192-1100</f>
        <v>2092</v>
      </c>
      <c r="P801" s="3" t="s">
        <v>492</v>
      </c>
      <c r="Q801" s="3">
        <f>5.59-1.75</f>
        <v>3.84</v>
      </c>
      <c r="R801" s="205">
        <v>4.5999999999999996</v>
      </c>
    </row>
    <row r="802" spans="2:18" x14ac:dyDescent="0.25">
      <c r="B802" s="199">
        <v>45111</v>
      </c>
      <c r="C802" s="3">
        <v>1</v>
      </c>
      <c r="D802" s="233" t="s">
        <v>459</v>
      </c>
      <c r="E802" s="233" t="s">
        <v>362</v>
      </c>
      <c r="G802" s="3">
        <v>460</v>
      </c>
      <c r="H802" s="233">
        <v>3900</v>
      </c>
      <c r="I802" s="233" t="s">
        <v>769</v>
      </c>
      <c r="J802" s="233" t="s">
        <v>1355</v>
      </c>
      <c r="K802" s="233" t="s">
        <v>733</v>
      </c>
      <c r="L802" s="233" t="s">
        <v>21</v>
      </c>
      <c r="M802" s="238">
        <v>0.29166666666666669</v>
      </c>
      <c r="N802" s="238">
        <v>0.375</v>
      </c>
      <c r="O802" s="196">
        <v>1256</v>
      </c>
      <c r="P802" s="233" t="s">
        <v>492</v>
      </c>
      <c r="Q802" s="3">
        <v>2.04</v>
      </c>
      <c r="R802" s="205">
        <v>2.0299999999999998</v>
      </c>
    </row>
    <row r="803" spans="2:18" x14ac:dyDescent="0.25">
      <c r="B803" s="199">
        <v>45111</v>
      </c>
      <c r="C803" s="233">
        <v>1</v>
      </c>
      <c r="D803" s="233" t="s">
        <v>459</v>
      </c>
      <c r="E803" s="233" t="s">
        <v>362</v>
      </c>
      <c r="G803" s="233">
        <v>460</v>
      </c>
      <c r="H803" s="233">
        <v>3900</v>
      </c>
      <c r="I803" s="233" t="s">
        <v>769</v>
      </c>
      <c r="J803" s="233" t="s">
        <v>1355</v>
      </c>
      <c r="K803" s="233" t="s">
        <v>733</v>
      </c>
      <c r="L803" s="233" t="s">
        <v>24</v>
      </c>
      <c r="M803" s="238">
        <v>0.375</v>
      </c>
      <c r="N803" s="238">
        <v>0.45694444444444443</v>
      </c>
      <c r="O803" s="196">
        <f>2377-1256</f>
        <v>1121</v>
      </c>
      <c r="P803" s="233" t="s">
        <v>492</v>
      </c>
      <c r="Q803" s="3">
        <f>3.69-2.04</f>
        <v>1.65</v>
      </c>
      <c r="R803" s="205">
        <f>3.95-2.03</f>
        <v>1.9200000000000004</v>
      </c>
    </row>
    <row r="804" spans="2:18" x14ac:dyDescent="0.25">
      <c r="B804" s="199">
        <v>45111</v>
      </c>
      <c r="C804" s="233">
        <v>1</v>
      </c>
      <c r="D804" s="233" t="s">
        <v>459</v>
      </c>
      <c r="E804" s="233" t="s">
        <v>362</v>
      </c>
      <c r="G804" s="233">
        <v>460</v>
      </c>
      <c r="H804" s="233">
        <v>3900</v>
      </c>
      <c r="I804" s="233" t="s">
        <v>769</v>
      </c>
      <c r="J804" s="233" t="s">
        <v>1355</v>
      </c>
      <c r="K804" s="233" t="s">
        <v>733</v>
      </c>
      <c r="L804" s="233" t="s">
        <v>21</v>
      </c>
      <c r="M804" s="238">
        <v>0.45694444444444443</v>
      </c>
      <c r="N804" s="238">
        <v>0.47361111111111115</v>
      </c>
      <c r="O804" s="196">
        <f>2546-2377</f>
        <v>169</v>
      </c>
      <c r="P804" s="233" t="s">
        <v>492</v>
      </c>
      <c r="Q804" s="3">
        <f>3.83-3.69</f>
        <v>0.14000000000000012</v>
      </c>
      <c r="R804" s="205">
        <f>4.2-3.95</f>
        <v>0.25</v>
      </c>
    </row>
    <row r="805" spans="2:18" x14ac:dyDescent="0.25">
      <c r="B805" s="199">
        <v>45111</v>
      </c>
      <c r="C805" s="233">
        <v>1</v>
      </c>
      <c r="D805" s="233" t="s">
        <v>459</v>
      </c>
      <c r="E805" s="233" t="s">
        <v>362</v>
      </c>
      <c r="G805" s="3">
        <v>461</v>
      </c>
      <c r="H805" s="3">
        <v>3000</v>
      </c>
      <c r="I805" s="3" t="s">
        <v>988</v>
      </c>
      <c r="J805" s="3" t="s">
        <v>1362</v>
      </c>
      <c r="K805" s="233" t="s">
        <v>733</v>
      </c>
      <c r="L805" s="233" t="s">
        <v>21</v>
      </c>
      <c r="M805" s="238">
        <v>0.47361111111111115</v>
      </c>
      <c r="N805" s="238">
        <v>0.625</v>
      </c>
      <c r="O805" s="196">
        <v>1126</v>
      </c>
      <c r="P805" s="233" t="s">
        <v>492</v>
      </c>
    </row>
    <row r="806" spans="2:18" x14ac:dyDescent="0.25">
      <c r="B806" s="199">
        <v>45111</v>
      </c>
      <c r="C806" s="3">
        <v>2</v>
      </c>
      <c r="D806" s="3" t="s">
        <v>7</v>
      </c>
      <c r="E806" s="233" t="s">
        <v>205</v>
      </c>
      <c r="F806" s="3" t="s">
        <v>17</v>
      </c>
      <c r="G806" s="233">
        <v>462</v>
      </c>
      <c r="H806" s="233">
        <v>3000</v>
      </c>
      <c r="I806" s="233" t="s">
        <v>988</v>
      </c>
      <c r="J806" s="233" t="s">
        <v>1362</v>
      </c>
      <c r="K806" s="233" t="s">
        <v>733</v>
      </c>
      <c r="L806" s="233" t="s">
        <v>21</v>
      </c>
      <c r="M806" s="238">
        <v>0.625</v>
      </c>
      <c r="N806" s="238">
        <v>0.71319444444444446</v>
      </c>
      <c r="O806" s="196">
        <v>1172</v>
      </c>
      <c r="P806" s="233" t="s">
        <v>492</v>
      </c>
      <c r="R806" s="205">
        <v>1.86</v>
      </c>
    </row>
    <row r="807" spans="2:18" x14ac:dyDescent="0.25">
      <c r="B807" s="199">
        <v>45111</v>
      </c>
      <c r="C807" s="233">
        <v>2</v>
      </c>
      <c r="D807" s="233" t="s">
        <v>7</v>
      </c>
      <c r="E807" s="233" t="s">
        <v>205</v>
      </c>
      <c r="F807" s="3" t="s">
        <v>17</v>
      </c>
      <c r="G807" s="3">
        <v>463</v>
      </c>
      <c r="H807" s="3">
        <v>3500</v>
      </c>
      <c r="I807" s="3" t="s">
        <v>683</v>
      </c>
      <c r="J807" s="3" t="s">
        <v>1364</v>
      </c>
      <c r="K807" s="3" t="s">
        <v>733</v>
      </c>
      <c r="L807" s="3" t="s">
        <v>21</v>
      </c>
      <c r="M807" s="238">
        <v>0.71319444444444446</v>
      </c>
      <c r="N807" s="238">
        <v>0.95833333333333337</v>
      </c>
      <c r="O807" s="196">
        <v>2855</v>
      </c>
      <c r="P807" s="233" t="s">
        <v>492</v>
      </c>
      <c r="Q807" s="3">
        <v>3.8</v>
      </c>
      <c r="R807" s="205">
        <v>3.8</v>
      </c>
    </row>
    <row r="808" spans="2:18" x14ac:dyDescent="0.25">
      <c r="B808" s="199">
        <v>45111</v>
      </c>
      <c r="C808" s="3">
        <v>3</v>
      </c>
      <c r="D808" s="3" t="s">
        <v>465</v>
      </c>
      <c r="E808" s="3" t="s">
        <v>3</v>
      </c>
      <c r="F808" s="233" t="s">
        <v>1356</v>
      </c>
      <c r="G808" s="3">
        <v>464</v>
      </c>
      <c r="H808" s="3">
        <v>3500</v>
      </c>
      <c r="I808" s="3" t="s">
        <v>683</v>
      </c>
      <c r="J808" s="3" t="s">
        <v>1364</v>
      </c>
      <c r="K808" s="3" t="s">
        <v>733</v>
      </c>
      <c r="L808" s="3" t="s">
        <v>12</v>
      </c>
      <c r="M808" s="238">
        <v>0.95833333333333337</v>
      </c>
      <c r="N808" s="238">
        <v>0.16666666666666666</v>
      </c>
      <c r="O808" s="196">
        <v>3020</v>
      </c>
      <c r="P808" s="233" t="s">
        <v>492</v>
      </c>
      <c r="Q808" s="3">
        <v>4.12</v>
      </c>
      <c r="R808" s="205">
        <v>4.3</v>
      </c>
    </row>
    <row r="809" spans="2:18" x14ac:dyDescent="0.25">
      <c r="B809" s="199">
        <v>45111</v>
      </c>
      <c r="C809" s="233">
        <v>3</v>
      </c>
      <c r="D809" s="233" t="s">
        <v>465</v>
      </c>
      <c r="E809" s="233" t="s">
        <v>3</v>
      </c>
      <c r="F809" s="233" t="s">
        <v>1365</v>
      </c>
      <c r="G809" s="3">
        <v>465</v>
      </c>
      <c r="H809" s="3">
        <v>2000</v>
      </c>
      <c r="I809" s="3" t="s">
        <v>769</v>
      </c>
      <c r="J809" s="233" t="s">
        <v>1368</v>
      </c>
      <c r="K809" s="233" t="s">
        <v>733</v>
      </c>
      <c r="L809" s="233" t="s">
        <v>12</v>
      </c>
      <c r="M809" s="238">
        <v>0.16666666666666666</v>
      </c>
      <c r="N809" s="238">
        <v>0.29166666666666669</v>
      </c>
      <c r="O809" s="196">
        <f>3834-3020</f>
        <v>814</v>
      </c>
      <c r="P809" s="3" t="s">
        <v>492</v>
      </c>
      <c r="Q809" s="3">
        <f>5.99-4.12</f>
        <v>1.87</v>
      </c>
      <c r="R809" s="205">
        <f>6.58-4.3</f>
        <v>2.2800000000000002</v>
      </c>
    </row>
    <row r="810" spans="2:18" x14ac:dyDescent="0.25">
      <c r="B810" s="199">
        <v>45112</v>
      </c>
      <c r="C810" s="3">
        <v>1</v>
      </c>
      <c r="D810" s="233" t="s">
        <v>459</v>
      </c>
      <c r="E810" s="233" t="s">
        <v>362</v>
      </c>
      <c r="G810" s="3">
        <v>466</v>
      </c>
      <c r="H810" s="233">
        <v>2000</v>
      </c>
      <c r="I810" s="233" t="s">
        <v>769</v>
      </c>
      <c r="J810" s="233" t="s">
        <v>1368</v>
      </c>
      <c r="K810" s="233" t="s">
        <v>733</v>
      </c>
      <c r="L810" s="233" t="s">
        <v>12</v>
      </c>
      <c r="M810" s="238">
        <v>0.29166666666666669</v>
      </c>
      <c r="N810" s="238">
        <v>0.49236111111111108</v>
      </c>
      <c r="O810" s="196">
        <v>1860</v>
      </c>
      <c r="P810" s="233" t="s">
        <v>492</v>
      </c>
      <c r="Q810" s="3">
        <v>3.14</v>
      </c>
      <c r="R810" s="205">
        <v>3.38</v>
      </c>
    </row>
    <row r="811" spans="2:18" x14ac:dyDescent="0.25">
      <c r="B811" s="199">
        <v>45112</v>
      </c>
      <c r="C811" s="233">
        <v>1</v>
      </c>
      <c r="D811" s="233" t="s">
        <v>459</v>
      </c>
      <c r="E811" s="233" t="s">
        <v>362</v>
      </c>
      <c r="G811" s="3">
        <v>467</v>
      </c>
      <c r="H811" s="3">
        <v>1100</v>
      </c>
      <c r="I811" s="233" t="s">
        <v>769</v>
      </c>
      <c r="J811" s="233" t="s">
        <v>1369</v>
      </c>
      <c r="K811" s="233" t="s">
        <v>733</v>
      </c>
      <c r="L811" s="233" t="s">
        <v>12</v>
      </c>
      <c r="M811" s="238">
        <v>0.49236111111111108</v>
      </c>
      <c r="N811" s="238">
        <v>0.625</v>
      </c>
      <c r="O811" s="196">
        <f>3168-O810</f>
        <v>1308</v>
      </c>
      <c r="P811" s="233" t="s">
        <v>492</v>
      </c>
      <c r="Q811" s="3">
        <v>2.54</v>
      </c>
      <c r="R811" s="205">
        <f>5.92-R810</f>
        <v>2.54</v>
      </c>
    </row>
    <row r="812" spans="2:18" x14ac:dyDescent="0.25">
      <c r="B812" s="199">
        <v>45112</v>
      </c>
      <c r="C812" s="233">
        <v>2</v>
      </c>
      <c r="D812" s="233" t="s">
        <v>182</v>
      </c>
      <c r="E812" s="233" t="s">
        <v>205</v>
      </c>
      <c r="F812" s="3" t="s">
        <v>17</v>
      </c>
      <c r="G812" s="3">
        <v>468</v>
      </c>
      <c r="H812" s="3">
        <v>2000</v>
      </c>
      <c r="I812" s="233" t="s">
        <v>683</v>
      </c>
      <c r="J812" s="233" t="s">
        <v>1371</v>
      </c>
      <c r="K812" s="3" t="s">
        <v>733</v>
      </c>
      <c r="L812" s="233" t="s">
        <v>12</v>
      </c>
      <c r="M812" s="238">
        <v>0.625</v>
      </c>
      <c r="N812" s="238">
        <v>0.95833333333333337</v>
      </c>
      <c r="O812" s="196">
        <v>2247</v>
      </c>
      <c r="P812" s="233" t="s">
        <v>492</v>
      </c>
      <c r="Q812" s="3">
        <v>3.04</v>
      </c>
      <c r="R812" s="205">
        <v>3.06</v>
      </c>
    </row>
    <row r="813" spans="2:18" x14ac:dyDescent="0.25">
      <c r="B813" s="199">
        <v>45112</v>
      </c>
      <c r="C813" s="3">
        <v>3</v>
      </c>
      <c r="D813" s="3" t="s">
        <v>465</v>
      </c>
      <c r="E813" s="3" t="s">
        <v>3</v>
      </c>
      <c r="F813" s="3" t="s">
        <v>1324</v>
      </c>
      <c r="G813" s="3">
        <v>469</v>
      </c>
      <c r="H813" s="3">
        <v>2000</v>
      </c>
      <c r="I813" s="3" t="s">
        <v>683</v>
      </c>
      <c r="J813" s="3" t="s">
        <v>1372</v>
      </c>
      <c r="K813" s="3" t="s">
        <v>733</v>
      </c>
      <c r="L813" s="3" t="s">
        <v>12</v>
      </c>
      <c r="M813" s="238">
        <v>0.95833333333333337</v>
      </c>
      <c r="N813" s="238">
        <v>0.29166666666666669</v>
      </c>
      <c r="O813" s="196">
        <v>1840</v>
      </c>
      <c r="P813" s="233" t="s">
        <v>492</v>
      </c>
      <c r="Q813" s="3">
        <v>2.27</v>
      </c>
      <c r="R813" s="205">
        <v>3.06</v>
      </c>
    </row>
    <row r="814" spans="2:18" x14ac:dyDescent="0.25">
      <c r="B814" s="199">
        <v>45113</v>
      </c>
      <c r="C814" s="3">
        <v>1</v>
      </c>
      <c r="D814" s="233" t="s">
        <v>7</v>
      </c>
      <c r="E814" s="233" t="s">
        <v>362</v>
      </c>
      <c r="G814" s="3">
        <v>470</v>
      </c>
      <c r="H814" s="3">
        <v>4000</v>
      </c>
      <c r="I814" s="233" t="s">
        <v>683</v>
      </c>
      <c r="J814" s="233" t="s">
        <v>1374</v>
      </c>
      <c r="K814" s="233" t="s">
        <v>733</v>
      </c>
      <c r="L814" s="233" t="s">
        <v>12</v>
      </c>
      <c r="M814" s="238">
        <v>0.29166666666666669</v>
      </c>
      <c r="N814" s="238">
        <v>0.625</v>
      </c>
      <c r="O814" s="196">
        <v>2276</v>
      </c>
      <c r="P814" s="233" t="s">
        <v>492</v>
      </c>
      <c r="Q814" s="3">
        <v>3.3</v>
      </c>
      <c r="R814" s="205">
        <v>3.34</v>
      </c>
    </row>
    <row r="815" spans="2:18" x14ac:dyDescent="0.25">
      <c r="B815" s="199">
        <v>45113</v>
      </c>
      <c r="C815" s="233">
        <v>2</v>
      </c>
      <c r="D815" s="233" t="s">
        <v>182</v>
      </c>
      <c r="E815" s="233" t="s">
        <v>205</v>
      </c>
      <c r="G815" s="3">
        <v>471</v>
      </c>
      <c r="H815" s="3">
        <v>4000</v>
      </c>
      <c r="I815" s="233" t="s">
        <v>683</v>
      </c>
      <c r="J815" s="233" t="s">
        <v>1374</v>
      </c>
      <c r="K815" s="3" t="s">
        <v>733</v>
      </c>
      <c r="L815" s="233" t="s">
        <v>12</v>
      </c>
      <c r="M815" s="238">
        <v>0.625</v>
      </c>
      <c r="N815" s="238">
        <v>0.95833333333333337</v>
      </c>
      <c r="O815" s="196">
        <v>1824</v>
      </c>
      <c r="P815" s="233" t="s">
        <v>492</v>
      </c>
      <c r="Q815" s="3">
        <v>3.34</v>
      </c>
      <c r="R815" s="205">
        <v>2.2799999999999998</v>
      </c>
    </row>
    <row r="816" spans="2:18" x14ac:dyDescent="0.25">
      <c r="B816" s="199">
        <v>45113</v>
      </c>
      <c r="C816" s="3">
        <v>3</v>
      </c>
      <c r="D816" s="233" t="s">
        <v>465</v>
      </c>
      <c r="E816" s="233" t="s">
        <v>3</v>
      </c>
      <c r="F816" s="3" t="s">
        <v>1356</v>
      </c>
      <c r="G816" s="3">
        <v>472</v>
      </c>
      <c r="H816" s="233">
        <v>4000</v>
      </c>
      <c r="I816" s="233" t="s">
        <v>683</v>
      </c>
      <c r="J816" s="233" t="s">
        <v>1375</v>
      </c>
      <c r="K816" s="233" t="s">
        <v>733</v>
      </c>
      <c r="L816" s="233" t="s">
        <v>12</v>
      </c>
      <c r="M816" s="238">
        <v>0.95833333333333337</v>
      </c>
      <c r="N816" s="238">
        <v>0.1076388888888889</v>
      </c>
      <c r="O816" s="196">
        <v>2470</v>
      </c>
      <c r="P816" s="233" t="s">
        <v>492</v>
      </c>
      <c r="Q816" s="3">
        <v>2.91</v>
      </c>
      <c r="R816" s="205">
        <v>3.23</v>
      </c>
    </row>
    <row r="817" spans="2:18" x14ac:dyDescent="0.25">
      <c r="B817" s="199">
        <v>45113</v>
      </c>
      <c r="C817" s="233">
        <v>3</v>
      </c>
      <c r="D817" s="233" t="s">
        <v>465</v>
      </c>
      <c r="E817" s="233" t="s">
        <v>3</v>
      </c>
      <c r="F817" s="233" t="s">
        <v>1356</v>
      </c>
      <c r="G817" s="233">
        <v>473</v>
      </c>
      <c r="H817" s="233">
        <v>1400</v>
      </c>
      <c r="I817" s="233" t="s">
        <v>769</v>
      </c>
      <c r="J817" s="233" t="s">
        <v>1376</v>
      </c>
      <c r="K817" s="233" t="s">
        <v>733</v>
      </c>
      <c r="L817" s="233" t="s">
        <v>12</v>
      </c>
      <c r="M817" s="238">
        <v>0.1076388888888889</v>
      </c>
      <c r="N817" s="238">
        <v>0.29166666666666669</v>
      </c>
      <c r="O817" s="196">
        <v>1586</v>
      </c>
      <c r="P817" s="233" t="s">
        <v>492</v>
      </c>
      <c r="Q817" s="3">
        <v>1.92</v>
      </c>
      <c r="R817" s="205">
        <v>2.5299999999999998</v>
      </c>
    </row>
    <row r="818" spans="2:18" x14ac:dyDescent="0.25">
      <c r="B818" s="199">
        <v>45114</v>
      </c>
      <c r="C818" s="3">
        <v>1</v>
      </c>
      <c r="D818" s="3" t="s">
        <v>7</v>
      </c>
      <c r="E818" s="233" t="s">
        <v>205</v>
      </c>
      <c r="F818" s="395"/>
      <c r="G818" s="395"/>
      <c r="H818" s="395"/>
      <c r="I818" s="395"/>
      <c r="J818" s="395"/>
      <c r="K818" s="395"/>
      <c r="L818" s="395"/>
      <c r="M818" s="238">
        <v>0.29166666666666669</v>
      </c>
      <c r="N818" s="238">
        <v>0.625</v>
      </c>
      <c r="O818" s="196">
        <v>0</v>
      </c>
      <c r="P818" s="233" t="s">
        <v>492</v>
      </c>
      <c r="Q818" s="3">
        <v>0</v>
      </c>
      <c r="R818" s="205">
        <v>0</v>
      </c>
    </row>
    <row r="819" spans="2:18" x14ac:dyDescent="0.25">
      <c r="B819" s="199">
        <v>45114</v>
      </c>
      <c r="C819" s="3">
        <v>2</v>
      </c>
      <c r="D819" s="3" t="s">
        <v>957</v>
      </c>
      <c r="E819" s="3" t="s">
        <v>362</v>
      </c>
      <c r="F819" s="395"/>
      <c r="G819" s="395"/>
      <c r="H819" s="395"/>
      <c r="I819" s="395"/>
      <c r="J819" s="395"/>
      <c r="K819" s="395"/>
      <c r="L819" s="395"/>
      <c r="M819" s="238">
        <v>0.625</v>
      </c>
      <c r="N819" s="238">
        <v>0.95833333333333337</v>
      </c>
      <c r="O819" s="196">
        <v>0</v>
      </c>
      <c r="P819" s="233" t="s">
        <v>492</v>
      </c>
      <c r="Q819" s="233">
        <v>0</v>
      </c>
      <c r="R819" s="205">
        <v>0</v>
      </c>
    </row>
    <row r="820" spans="2:18" x14ac:dyDescent="0.25">
      <c r="B820" s="199">
        <v>45114</v>
      </c>
      <c r="C820" s="3">
        <v>3</v>
      </c>
      <c r="D820" s="233" t="s">
        <v>465</v>
      </c>
      <c r="E820" s="233" t="s">
        <v>3</v>
      </c>
      <c r="F820" s="395"/>
      <c r="G820" s="395"/>
      <c r="H820" s="395"/>
      <c r="I820" s="395"/>
      <c r="J820" s="395"/>
      <c r="K820" s="395"/>
      <c r="L820" s="395"/>
      <c r="M820" s="238">
        <v>0.95833333333333337</v>
      </c>
      <c r="N820" s="238">
        <v>0.29166666666666669</v>
      </c>
      <c r="O820" s="196">
        <v>0</v>
      </c>
      <c r="P820" s="233" t="s">
        <v>492</v>
      </c>
      <c r="Q820" s="233">
        <v>0</v>
      </c>
      <c r="R820" s="205">
        <v>0</v>
      </c>
    </row>
    <row r="821" spans="2:18" x14ac:dyDescent="0.25">
      <c r="B821" s="199">
        <v>45115</v>
      </c>
      <c r="C821" s="233">
        <v>1</v>
      </c>
      <c r="D821" s="233" t="s">
        <v>459</v>
      </c>
      <c r="E821" s="233" t="s">
        <v>362</v>
      </c>
      <c r="F821" s="395"/>
      <c r="G821" s="395"/>
      <c r="H821" s="395"/>
      <c r="I821" s="395"/>
      <c r="J821" s="395"/>
      <c r="K821" s="395"/>
      <c r="L821" s="395"/>
      <c r="M821" s="238">
        <v>0.29166666666666669</v>
      </c>
      <c r="N821" s="238">
        <v>0.625</v>
      </c>
      <c r="O821" s="196">
        <v>0</v>
      </c>
      <c r="P821" s="233" t="s">
        <v>492</v>
      </c>
      <c r="Q821" s="233">
        <v>0</v>
      </c>
      <c r="R821" s="205">
        <v>0</v>
      </c>
    </row>
    <row r="822" spans="2:18" x14ac:dyDescent="0.25">
      <c r="B822" s="199">
        <v>45115</v>
      </c>
      <c r="C822" s="3">
        <v>2</v>
      </c>
      <c r="D822" s="233" t="s">
        <v>182</v>
      </c>
      <c r="E822" s="233" t="s">
        <v>205</v>
      </c>
      <c r="F822" s="395"/>
      <c r="G822" s="395"/>
      <c r="H822" s="395"/>
      <c r="I822" s="395"/>
      <c r="J822" s="395"/>
      <c r="K822" s="395"/>
      <c r="L822" s="395"/>
      <c r="M822" s="238">
        <v>0.625</v>
      </c>
      <c r="N822" s="238">
        <v>0.95833333333333337</v>
      </c>
      <c r="O822" s="196">
        <v>0</v>
      </c>
      <c r="P822" s="233" t="s">
        <v>492</v>
      </c>
      <c r="Q822" s="233">
        <v>0</v>
      </c>
      <c r="R822" s="205">
        <v>0</v>
      </c>
    </row>
    <row r="823" spans="2:18" x14ac:dyDescent="0.25">
      <c r="B823" s="199">
        <v>45115</v>
      </c>
      <c r="C823" s="233">
        <v>3</v>
      </c>
      <c r="D823" s="233" t="s">
        <v>465</v>
      </c>
      <c r="E823" s="233" t="s">
        <v>3</v>
      </c>
      <c r="F823" s="395"/>
      <c r="G823" s="395"/>
      <c r="H823" s="395"/>
      <c r="I823" s="395"/>
      <c r="J823" s="395"/>
      <c r="K823" s="395"/>
      <c r="L823" s="395"/>
      <c r="M823" s="238">
        <v>0.95833333333333337</v>
      </c>
      <c r="N823" s="238">
        <v>0.29166666666666669</v>
      </c>
      <c r="O823" s="196">
        <v>0</v>
      </c>
      <c r="P823" s="233" t="s">
        <v>492</v>
      </c>
      <c r="Q823" s="233">
        <v>0</v>
      </c>
      <c r="R823" s="205">
        <v>0</v>
      </c>
    </row>
    <row r="824" spans="2:18" x14ac:dyDescent="0.25">
      <c r="B824" s="199">
        <v>45116</v>
      </c>
      <c r="C824" s="3">
        <v>1</v>
      </c>
      <c r="D824" s="233" t="s">
        <v>459</v>
      </c>
      <c r="E824" s="233" t="s">
        <v>362</v>
      </c>
      <c r="F824" s="395"/>
      <c r="G824" s="395"/>
      <c r="H824" s="395"/>
      <c r="I824" s="395"/>
      <c r="J824" s="395"/>
      <c r="K824" s="395"/>
      <c r="L824" s="395"/>
      <c r="M824" s="238">
        <v>0.29166666666666669</v>
      </c>
      <c r="N824" s="238">
        <v>0.625</v>
      </c>
      <c r="O824" s="196">
        <v>0</v>
      </c>
      <c r="P824" s="233" t="s">
        <v>492</v>
      </c>
    </row>
    <row r="825" spans="2:18" x14ac:dyDescent="0.25">
      <c r="B825" s="199">
        <v>45116</v>
      </c>
      <c r="C825" s="3">
        <v>2</v>
      </c>
      <c r="D825" s="233" t="s">
        <v>182</v>
      </c>
      <c r="F825" s="395"/>
      <c r="G825" s="395"/>
      <c r="H825" s="395"/>
      <c r="I825" s="395"/>
      <c r="J825" s="395"/>
      <c r="K825" s="395"/>
      <c r="L825" s="395"/>
      <c r="M825" s="238">
        <v>0.625</v>
      </c>
      <c r="N825" s="238">
        <v>0.95833333333333337</v>
      </c>
      <c r="O825" s="196">
        <v>0</v>
      </c>
      <c r="P825" s="233" t="s">
        <v>492</v>
      </c>
    </row>
    <row r="826" spans="2:18" x14ac:dyDescent="0.25">
      <c r="B826" s="199">
        <v>45116</v>
      </c>
      <c r="C826" s="3">
        <v>3</v>
      </c>
      <c r="D826" s="233" t="s">
        <v>465</v>
      </c>
      <c r="E826" s="233" t="s">
        <v>3</v>
      </c>
      <c r="F826" s="395"/>
      <c r="G826" s="395"/>
      <c r="H826" s="395"/>
      <c r="I826" s="395"/>
      <c r="J826" s="395"/>
      <c r="K826" s="395"/>
      <c r="L826" s="395"/>
      <c r="M826" s="238">
        <v>0.95833333333333337</v>
      </c>
      <c r="N826" s="238">
        <v>0.29166666666666669</v>
      </c>
      <c r="O826" s="196">
        <v>0</v>
      </c>
      <c r="P826" s="233" t="s">
        <v>492</v>
      </c>
    </row>
    <row r="827" spans="2:18" x14ac:dyDescent="0.25">
      <c r="B827" s="199">
        <v>45117</v>
      </c>
      <c r="C827" s="3">
        <v>1</v>
      </c>
      <c r="D827" s="233" t="s">
        <v>459</v>
      </c>
      <c r="E827" s="233" t="s">
        <v>362</v>
      </c>
      <c r="F827" s="395"/>
      <c r="G827" s="395"/>
      <c r="H827" s="395"/>
      <c r="I827" s="395"/>
      <c r="J827" s="395"/>
      <c r="K827" s="395"/>
      <c r="L827" s="395"/>
      <c r="M827" s="238">
        <v>0.29166666666666669</v>
      </c>
      <c r="N827" s="238">
        <v>0.625</v>
      </c>
      <c r="O827" s="196">
        <v>0</v>
      </c>
      <c r="P827" s="233" t="s">
        <v>492</v>
      </c>
    </row>
  </sheetData>
  <customSheetViews>
    <customSheetView guid="{3E6EB34F-E2F7-456F-8B3B-5F84BD050AA2}">
      <selection activeCell="L19" sqref="K19:L19"/>
      <pageMargins left="0.7" right="0.7" top="0.75" bottom="0.75" header="0.3" footer="0.3"/>
      <pageSetup paperSize="9" orientation="portrait" r:id="rId1"/>
    </customSheetView>
    <customSheetView guid="{4F232D79-B707-4527-B1C5-2E1BF2995FFF}" showAutoFilter="1" hiddenColumns="1">
      <pane xSplit="2" ySplit="2" topLeftCell="C1054" activePane="bottomRight" state="frozen"/>
      <selection pane="bottomRight" activeCell="O1063" sqref="O1063:O1068"/>
      <pageMargins left="0.7" right="0.7" top="0.75" bottom="0.75" header="0.3" footer="0.3"/>
      <pageSetup paperSize="9" orientation="portrait" r:id="rId2"/>
      <autoFilter ref="L1:L1003"/>
    </customSheetView>
  </customSheetViews>
  <mergeCells count="3">
    <mergeCell ref="R44:V44"/>
    <mergeCell ref="O347:P347"/>
    <mergeCell ref="U348:W348"/>
  </mergeCells>
  <conditionalFormatting sqref="A1:AB1 A2:AA43 W44:AA44 A44:R44 A65:G65 S65:S67 T65:AA68 M66:R67 I65:R65 K68 A66:A68 M68:S68 C67:G68 A69:G70 A71:I71 N74:AA74 M69:AA73 A72:A75 J75 G75:H75 C75 A76:G76 M75:AA76 L77:AA78 C80:H80 M79:O80 L81:O81 G81:H81 P79:AA81 F82:K82 C82 C84 G84:J84 C86 K87 G87:H87 F88:R88 M82:AA87 C92 G89:R89 U88:AA89 F92 M90:AA94 D95:F95 H96:O96 M95:O95 P95:R96 H97:K97 H98:R98 S95:AA98 M97:R97 AC1:XFD169 C100:D100 C99:AA99 F100:AA100 M101:AA102 N103:AA103 F96:F97 F105 M104:R105 L106:R106 S104:AA106 C109 G109 F111 A77:A113 F113 H112:J113 A114:E114 A115:C115 G114:G115 G116:J116 M107:AA115 F117:G117 L118:R118 F118:J118 C121 C120:J120 D101:D104 A45:AA64 C119:R119 L120:R120 M116:R117 U116:AA120 G121:J122 M121:AA121 H124:O124 M123:O123 P123:R124 G123:G124 F125:J125 C126:G126 C127:F127 M125:R128 M122:R122 U122:AA128 G129:H129 A116:A131 M129:AA130 I131:S131 A132:O132 A133:K136 A137:B137 G138:J138 P132:S137 C139:I139 G140:H140 A138:A141 G141 P138:R141 A142:H142 A143:K143 A144:C144 A145 G144:J145 M133:O144 A146:C146 M145:R146 Q142:R144 E146:J146 L147:R147 T131:AA147 S138:S147 D149:G149 G150:J151 M148:R152 C152:J152 U148:AA152 M153:AA153 F154:AA154 G155:R155 C158:G158 M156:R157 S155:AA157 C160:G160 G161:J161 M158:AA159 M160:Q161 G162:Q162 R160:AA162 L166:O166 C163:AA163 C166:I166 C165:O165 P165:R166 C164:R164 D169:I169 C172:R172 M167:R169 D171:I171 C167:E167 G167:I167 F168:I168 C174:J174 M173:R174 A147:A169 C175:R175 A176:R180 A181:E181 A182:C182 G181:R182 A183:R183 S164:AA169 K184:AA184 A186:D186 A184:E185 G185:AA186 G184:I184 A187:AA188 A192:O192 A189:P191 Q189:R193 A193:D193 F193:O193 U189:AA205 S171:AA183 A171:A175 M171:R171 AC171:XFD275 A206:AA217 A218:R218 U218:AA224 A219:S224 A225:AA275 N279:R279 H279 C279:F279 G280:R280 G281 K281:R281 U279:AA281 A279:A282 F282:AA282 M283:AA283 A283:H283 A284:AA286 A287:H287 J287:AA287 G320:L320 A288:AA319 A320:E320 C320:C322 A321:L322 A194:R195 A198:R205 A196:L197 O196:R197 A328:L328 A323:Q327 A329:Q329 A330:R332 A333:S338 U320:AA338 Q347:R347 A339:AA339 X348:AA348 I346:R346 I347:O347 A346:H355 I348:R355 A356:G357 C359:E359 G358:G359 M356:R357 C360:G360 C361:O361 M358:O360 P358:R361 C362:D362 F362:R362 A358:A365 C363:R364 A366:J367 C365:J365 K365:R367 M369:R369 A368:R368 I370 K370:R370 U348 A340:R345 U340:AA347 A369:G371 F372:G372 A372:A373 C373:G373 M371:R379 A374:G379 U349:AA379 S340:T379 A380:H380 A381:E381 G381:H381 A382:G382 A383:I383 A384:G384 A385:H385 A386:A389 C388:E389 G388:H389 A390:H390 A391 F391:H391 A392:I393 M380:AA393 A394 F394:AA394 A395:E395 M395:AA395 A396:C396 A397:A398 C398:AA398 F396:AA397 A405:C405 E405:AA405 A399:AA404 A406:AA407 A408:C408 E408:AA408 A409:AA410 F411:AA411 A411:B411 A412:AA415 A416:B417 F416:AA417 A418:AA421 A422:B423 F422:AA423 A689:K689 M689:AA689 A424:AA688 A690:AA696 M697:AA697 A697:F697 A698:AA702 A704:H705 J704:N704 M705:N705 AC279:XFD1048576 A706:F706 N706 C707:H707 C709:H709 C708:I708 C711:G711 M707:N711 A707:A715 A718:E718 G718:H718 A716:N716 A717:H717 J717:N718 A703:N703 A719:N731 O703:AA731 C712:N715 A732:AA1048576">
    <cfRule type="cellIs" dxfId="2321" priority="6755" operator="equal">
      <formula>1</formula>
    </cfRule>
  </conditionalFormatting>
  <conditionalFormatting sqref="C1:C65 C67:C71 C75:C76 C80 C82 C84 C86 C92 C99:C100 C109 C114:C115 C119:C121 C126:C127 C132:C136 C139 C142:C144 C146 C152 C158 C160 C163:C166 C172 C279 C174:C275 C283:C357 C359:C371 C373:C385 C388:C390 C392:C393 C395:C396 C398:C410 C412:C415 C418:C421 C424:C709 C711:C1048576">
    <cfRule type="cellIs" dxfId="2320" priority="6751" operator="equal">
      <formula>3</formula>
    </cfRule>
    <cfRule type="cellIs" dxfId="2319" priority="6752" operator="equal">
      <formula>3</formula>
    </cfRule>
    <cfRule type="cellIs" dxfId="2318" priority="6753" operator="equal">
      <formula>2</formula>
    </cfRule>
    <cfRule type="cellIs" dxfId="2317" priority="6754" operator="equal">
      <formula>1</formula>
    </cfRule>
  </conditionalFormatting>
  <conditionalFormatting sqref="B66:G66 B67 I66:L67">
    <cfRule type="cellIs" dxfId="2316" priority="942" operator="equal">
      <formula>1</formula>
    </cfRule>
  </conditionalFormatting>
  <conditionalFormatting sqref="C66">
    <cfRule type="cellIs" dxfId="2315" priority="938" operator="equal">
      <formula>3</formula>
    </cfRule>
    <cfRule type="cellIs" dxfId="2314" priority="939" operator="equal">
      <formula>3</formula>
    </cfRule>
    <cfRule type="cellIs" dxfId="2313" priority="940" operator="equal">
      <formula>2</formula>
    </cfRule>
    <cfRule type="cellIs" dxfId="2312" priority="941" operator="equal">
      <formula>1</formula>
    </cfRule>
  </conditionalFormatting>
  <conditionalFormatting sqref="H65:H67">
    <cfRule type="cellIs" dxfId="2311" priority="937" operator="equal">
      <formula>1</formula>
    </cfRule>
  </conditionalFormatting>
  <conditionalFormatting sqref="I68:J68">
    <cfRule type="cellIs" dxfId="2310" priority="936" operator="equal">
      <formula>1</formula>
    </cfRule>
  </conditionalFormatting>
  <conditionalFormatting sqref="H68">
    <cfRule type="cellIs" dxfId="2309" priority="935" operator="equal">
      <formula>1</formula>
    </cfRule>
  </conditionalFormatting>
  <conditionalFormatting sqref="B68">
    <cfRule type="cellIs" dxfId="2308" priority="934" operator="equal">
      <formula>1</formula>
    </cfRule>
  </conditionalFormatting>
  <conditionalFormatting sqref="L68">
    <cfRule type="cellIs" dxfId="2307" priority="933" operator="equal">
      <formula>1</formula>
    </cfRule>
  </conditionalFormatting>
  <conditionalFormatting sqref="K69:K70">
    <cfRule type="cellIs" dxfId="2306" priority="932" operator="equal">
      <formula>1</formula>
    </cfRule>
  </conditionalFormatting>
  <conditionalFormatting sqref="I69:J69">
    <cfRule type="cellIs" dxfId="2305" priority="931" operator="equal">
      <formula>1</formula>
    </cfRule>
  </conditionalFormatting>
  <conditionalFormatting sqref="H69">
    <cfRule type="cellIs" dxfId="2304" priority="930" operator="equal">
      <formula>1</formula>
    </cfRule>
  </conditionalFormatting>
  <conditionalFormatting sqref="L69:L70">
    <cfRule type="cellIs" dxfId="2303" priority="929" operator="equal">
      <formula>1</formula>
    </cfRule>
  </conditionalFormatting>
  <conditionalFormatting sqref="I75">
    <cfRule type="cellIs" dxfId="2302" priority="863" operator="equal">
      <formula>1</formula>
    </cfRule>
  </conditionalFormatting>
  <conditionalFormatting sqref="J71">
    <cfRule type="cellIs" dxfId="2301" priority="928" operator="equal">
      <formula>1</formula>
    </cfRule>
  </conditionalFormatting>
  <conditionalFormatting sqref="K71">
    <cfRule type="cellIs" dxfId="2300" priority="927" operator="equal">
      <formula>1</formula>
    </cfRule>
  </conditionalFormatting>
  <conditionalFormatting sqref="L71">
    <cfRule type="cellIs" dxfId="2299" priority="926" operator="equal">
      <formula>1</formula>
    </cfRule>
  </conditionalFormatting>
  <conditionalFormatting sqref="I70">
    <cfRule type="cellIs" dxfId="2298" priority="925" operator="equal">
      <formula>1</formula>
    </cfRule>
  </conditionalFormatting>
  <conditionalFormatting sqref="H70">
    <cfRule type="cellIs" dxfId="2297" priority="924" operator="equal">
      <formula>1</formula>
    </cfRule>
  </conditionalFormatting>
  <conditionalFormatting sqref="J70">
    <cfRule type="cellIs" dxfId="2296" priority="923" operator="equal">
      <formula>1</formula>
    </cfRule>
  </conditionalFormatting>
  <conditionalFormatting sqref="K74">
    <cfRule type="cellIs" dxfId="2295" priority="874" operator="equal">
      <formula>1</formula>
    </cfRule>
  </conditionalFormatting>
  <conditionalFormatting sqref="L74">
    <cfRule type="cellIs" dxfId="2294" priority="873" operator="equal">
      <formula>1</formula>
    </cfRule>
  </conditionalFormatting>
  <conditionalFormatting sqref="B74">
    <cfRule type="cellIs" dxfId="2293" priority="872" operator="equal">
      <formula>1</formula>
    </cfRule>
  </conditionalFormatting>
  <conditionalFormatting sqref="B72:E72 G72:I72">
    <cfRule type="cellIs" dxfId="2292" priority="915" operator="equal">
      <formula>1</formula>
    </cfRule>
  </conditionalFormatting>
  <conditionalFormatting sqref="C72">
    <cfRule type="cellIs" dxfId="2291" priority="911" operator="equal">
      <formula>3</formula>
    </cfRule>
    <cfRule type="cellIs" dxfId="2290" priority="912" operator="equal">
      <formula>3</formula>
    </cfRule>
    <cfRule type="cellIs" dxfId="2289" priority="913" operator="equal">
      <formula>2</formula>
    </cfRule>
    <cfRule type="cellIs" dxfId="2288" priority="914" operator="equal">
      <formula>1</formula>
    </cfRule>
  </conditionalFormatting>
  <conditionalFormatting sqref="J72">
    <cfRule type="cellIs" dxfId="2287" priority="910" operator="equal">
      <formula>1</formula>
    </cfRule>
  </conditionalFormatting>
  <conditionalFormatting sqref="K72">
    <cfRule type="cellIs" dxfId="2286" priority="909" operator="equal">
      <formula>1</formula>
    </cfRule>
  </conditionalFormatting>
  <conditionalFormatting sqref="L72">
    <cfRule type="cellIs" dxfId="2285" priority="907" operator="equal">
      <formula>1</formula>
    </cfRule>
  </conditionalFormatting>
  <conditionalFormatting sqref="F72">
    <cfRule type="cellIs" dxfId="2284" priority="897" operator="equal">
      <formula>1</formula>
    </cfRule>
  </conditionalFormatting>
  <conditionalFormatting sqref="B73:I73 B75">
    <cfRule type="cellIs" dxfId="2283" priority="871" operator="equal">
      <formula>1</formula>
    </cfRule>
  </conditionalFormatting>
  <conditionalFormatting sqref="C74:J74 D75:F75">
    <cfRule type="cellIs" dxfId="2282" priority="879" operator="equal">
      <formula>1</formula>
    </cfRule>
  </conditionalFormatting>
  <conditionalFormatting sqref="M74">
    <cfRule type="cellIs" dxfId="2281" priority="880" operator="equal">
      <formula>1</formula>
    </cfRule>
  </conditionalFormatting>
  <conditionalFormatting sqref="C74">
    <cfRule type="cellIs" dxfId="2280" priority="875" operator="equal">
      <formula>3</formula>
    </cfRule>
    <cfRule type="cellIs" dxfId="2279" priority="876" operator="equal">
      <formula>3</formula>
    </cfRule>
    <cfRule type="cellIs" dxfId="2278" priority="877" operator="equal">
      <formula>2</formula>
    </cfRule>
    <cfRule type="cellIs" dxfId="2277" priority="878" operator="equal">
      <formula>1</formula>
    </cfRule>
  </conditionalFormatting>
  <conditionalFormatting sqref="C73">
    <cfRule type="cellIs" dxfId="2276" priority="867" operator="equal">
      <formula>3</formula>
    </cfRule>
    <cfRule type="cellIs" dxfId="2275" priority="868" operator="equal">
      <formula>3</formula>
    </cfRule>
    <cfRule type="cellIs" dxfId="2274" priority="869" operator="equal">
      <formula>2</formula>
    </cfRule>
    <cfRule type="cellIs" dxfId="2273" priority="870" operator="equal">
      <formula>1</formula>
    </cfRule>
  </conditionalFormatting>
  <conditionalFormatting sqref="J73">
    <cfRule type="cellIs" dxfId="2272" priority="866" operator="equal">
      <formula>1</formula>
    </cfRule>
  </conditionalFormatting>
  <conditionalFormatting sqref="K73 K75">
    <cfRule type="cellIs" dxfId="2271" priority="865" operator="equal">
      <formula>1</formula>
    </cfRule>
  </conditionalFormatting>
  <conditionalFormatting sqref="L73 L75">
    <cfRule type="cellIs" dxfId="2270" priority="864" operator="equal">
      <formula>1</formula>
    </cfRule>
  </conditionalFormatting>
  <conditionalFormatting sqref="J76 H76">
    <cfRule type="cellIs" dxfId="2269" priority="862" operator="equal">
      <formula>1</formula>
    </cfRule>
  </conditionalFormatting>
  <conditionalFormatting sqref="I76">
    <cfRule type="cellIs" dxfId="2268" priority="859" operator="equal">
      <formula>1</formula>
    </cfRule>
  </conditionalFormatting>
  <conditionalFormatting sqref="K76">
    <cfRule type="cellIs" dxfId="2267" priority="861" operator="equal">
      <formula>1</formula>
    </cfRule>
  </conditionalFormatting>
  <conditionalFormatting sqref="L76">
    <cfRule type="cellIs" dxfId="2266" priority="860" operator="equal">
      <formula>1</formula>
    </cfRule>
  </conditionalFormatting>
  <conditionalFormatting sqref="B77:G77">
    <cfRule type="cellIs" dxfId="2265" priority="858" operator="equal">
      <formula>1</formula>
    </cfRule>
  </conditionalFormatting>
  <conditionalFormatting sqref="C77">
    <cfRule type="cellIs" dxfId="2264" priority="854" operator="equal">
      <formula>3</formula>
    </cfRule>
    <cfRule type="cellIs" dxfId="2263" priority="855" operator="equal">
      <formula>3</formula>
    </cfRule>
    <cfRule type="cellIs" dxfId="2262" priority="856" operator="equal">
      <formula>2</formula>
    </cfRule>
    <cfRule type="cellIs" dxfId="2261" priority="857" operator="equal">
      <formula>1</formula>
    </cfRule>
  </conditionalFormatting>
  <conditionalFormatting sqref="J77 H77">
    <cfRule type="cellIs" dxfId="2260" priority="853" operator="equal">
      <formula>1</formula>
    </cfRule>
  </conditionalFormatting>
  <conditionalFormatting sqref="I77">
    <cfRule type="cellIs" dxfId="2259" priority="851" operator="equal">
      <formula>1</formula>
    </cfRule>
  </conditionalFormatting>
  <conditionalFormatting sqref="K77">
    <cfRule type="cellIs" dxfId="2258" priority="852" operator="equal">
      <formula>1</formula>
    </cfRule>
  </conditionalFormatting>
  <conditionalFormatting sqref="B78:G78">
    <cfRule type="cellIs" dxfId="2257" priority="850" operator="equal">
      <formula>1</formula>
    </cfRule>
  </conditionalFormatting>
  <conditionalFormatting sqref="C78">
    <cfRule type="cellIs" dxfId="2256" priority="846" operator="equal">
      <formula>3</formula>
    </cfRule>
    <cfRule type="cellIs" dxfId="2255" priority="847" operator="equal">
      <formula>3</formula>
    </cfRule>
    <cfRule type="cellIs" dxfId="2254" priority="848" operator="equal">
      <formula>2</formula>
    </cfRule>
    <cfRule type="cellIs" dxfId="2253" priority="849" operator="equal">
      <formula>1</formula>
    </cfRule>
  </conditionalFormatting>
  <conditionalFormatting sqref="J78 H78">
    <cfRule type="cellIs" dxfId="2252" priority="845" operator="equal">
      <formula>1</formula>
    </cfRule>
  </conditionalFormatting>
  <conditionalFormatting sqref="I78">
    <cfRule type="cellIs" dxfId="2251" priority="843" operator="equal">
      <formula>1</formula>
    </cfRule>
  </conditionalFormatting>
  <conditionalFormatting sqref="K78">
    <cfRule type="cellIs" dxfId="2250" priority="844" operator="equal">
      <formula>1</formula>
    </cfRule>
  </conditionalFormatting>
  <conditionalFormatting sqref="L79">
    <cfRule type="cellIs" dxfId="2249" priority="842" operator="equal">
      <formula>1</formula>
    </cfRule>
  </conditionalFormatting>
  <conditionalFormatting sqref="B79:G79 B80">
    <cfRule type="cellIs" dxfId="2248" priority="841" operator="equal">
      <formula>1</formula>
    </cfRule>
  </conditionalFormatting>
  <conditionalFormatting sqref="C79">
    <cfRule type="cellIs" dxfId="2247" priority="837" operator="equal">
      <formula>3</formula>
    </cfRule>
    <cfRule type="cellIs" dxfId="2246" priority="838" operator="equal">
      <formula>3</formula>
    </cfRule>
    <cfRule type="cellIs" dxfId="2245" priority="839" operator="equal">
      <formula>2</formula>
    </cfRule>
    <cfRule type="cellIs" dxfId="2244" priority="840" operator="equal">
      <formula>1</formula>
    </cfRule>
  </conditionalFormatting>
  <conditionalFormatting sqref="J79 H79">
    <cfRule type="cellIs" dxfId="2243" priority="836" operator="equal">
      <formula>1</formula>
    </cfRule>
  </conditionalFormatting>
  <conditionalFormatting sqref="I79:I80">
    <cfRule type="cellIs" dxfId="2242" priority="834" operator="equal">
      <formula>1</formula>
    </cfRule>
  </conditionalFormatting>
  <conditionalFormatting sqref="K79">
    <cfRule type="cellIs" dxfId="2241" priority="835" operator="equal">
      <formula>1</formula>
    </cfRule>
  </conditionalFormatting>
  <conditionalFormatting sqref="L80">
    <cfRule type="cellIs" dxfId="2240" priority="833" operator="equal">
      <formula>1</formula>
    </cfRule>
  </conditionalFormatting>
  <conditionalFormatting sqref="J80">
    <cfRule type="cellIs" dxfId="2239" priority="832" operator="equal">
      <formula>1</formula>
    </cfRule>
  </conditionalFormatting>
  <conditionalFormatting sqref="K80">
    <cfRule type="cellIs" dxfId="2238" priority="831" operator="equal">
      <formula>1</formula>
    </cfRule>
  </conditionalFormatting>
  <conditionalFormatting sqref="I81">
    <cfRule type="cellIs" dxfId="2237" priority="830" operator="equal">
      <formula>1</formula>
    </cfRule>
  </conditionalFormatting>
  <conditionalFormatting sqref="J81">
    <cfRule type="cellIs" dxfId="2236" priority="829" operator="equal">
      <formula>1</formula>
    </cfRule>
  </conditionalFormatting>
  <conditionalFormatting sqref="K81">
    <cfRule type="cellIs" dxfId="2235" priority="828" operator="equal">
      <formula>1</formula>
    </cfRule>
  </conditionalFormatting>
  <conditionalFormatting sqref="C81:F81">
    <cfRule type="cellIs" dxfId="2234" priority="827" operator="equal">
      <formula>1</formula>
    </cfRule>
  </conditionalFormatting>
  <conditionalFormatting sqref="C81">
    <cfRule type="cellIs" dxfId="2233" priority="823" operator="equal">
      <formula>3</formula>
    </cfRule>
    <cfRule type="cellIs" dxfId="2232" priority="824" operator="equal">
      <formula>3</formula>
    </cfRule>
    <cfRule type="cellIs" dxfId="2231" priority="825" operator="equal">
      <formula>2</formula>
    </cfRule>
    <cfRule type="cellIs" dxfId="2230" priority="826" operator="equal">
      <formula>1</formula>
    </cfRule>
  </conditionalFormatting>
  <conditionalFormatting sqref="B81">
    <cfRule type="cellIs" dxfId="2229" priority="822" operator="equal">
      <formula>1</formula>
    </cfRule>
  </conditionalFormatting>
  <conditionalFormatting sqref="D82">
    <cfRule type="cellIs" dxfId="2228" priority="821" operator="equal">
      <formula>1</formula>
    </cfRule>
  </conditionalFormatting>
  <conditionalFormatting sqref="E82">
    <cfRule type="cellIs" dxfId="2227" priority="820" operator="equal">
      <formula>1</formula>
    </cfRule>
  </conditionalFormatting>
  <conditionalFormatting sqref="B82">
    <cfRule type="cellIs" dxfId="2226" priority="819" operator="equal">
      <formula>1</formula>
    </cfRule>
  </conditionalFormatting>
  <conditionalFormatting sqref="F83:L83 C83">
    <cfRule type="cellIs" dxfId="2225" priority="818" operator="equal">
      <formula>1</formula>
    </cfRule>
  </conditionalFormatting>
  <conditionalFormatting sqref="C83">
    <cfRule type="cellIs" dxfId="2224" priority="814" operator="equal">
      <formula>3</formula>
    </cfRule>
    <cfRule type="cellIs" dxfId="2223" priority="815" operator="equal">
      <formula>3</formula>
    </cfRule>
    <cfRule type="cellIs" dxfId="2222" priority="816" operator="equal">
      <formula>2</formula>
    </cfRule>
    <cfRule type="cellIs" dxfId="2221" priority="817" operator="equal">
      <formula>1</formula>
    </cfRule>
  </conditionalFormatting>
  <conditionalFormatting sqref="D83">
    <cfRule type="cellIs" dxfId="2220" priority="813" operator="equal">
      <formula>1</formula>
    </cfRule>
  </conditionalFormatting>
  <conditionalFormatting sqref="E83">
    <cfRule type="cellIs" dxfId="2219" priority="812" operator="equal">
      <formula>1</formula>
    </cfRule>
  </conditionalFormatting>
  <conditionalFormatting sqref="B83">
    <cfRule type="cellIs" dxfId="2218" priority="811" operator="equal">
      <formula>1</formula>
    </cfRule>
  </conditionalFormatting>
  <conditionalFormatting sqref="L82">
    <cfRule type="cellIs" dxfId="2217" priority="810" operator="equal">
      <formula>1</formula>
    </cfRule>
  </conditionalFormatting>
  <conditionalFormatting sqref="D84:F84">
    <cfRule type="cellIs" dxfId="2216" priority="809" operator="equal">
      <formula>1</formula>
    </cfRule>
  </conditionalFormatting>
  <conditionalFormatting sqref="B84">
    <cfRule type="cellIs" dxfId="2215" priority="808" operator="equal">
      <formula>1</formula>
    </cfRule>
  </conditionalFormatting>
  <conditionalFormatting sqref="K84:L84">
    <cfRule type="cellIs" dxfId="2214" priority="807" operator="equal">
      <formula>1</formula>
    </cfRule>
  </conditionalFormatting>
  <conditionalFormatting sqref="C85 G85:J86">
    <cfRule type="cellIs" dxfId="2213" priority="806" operator="equal">
      <formula>1</formula>
    </cfRule>
  </conditionalFormatting>
  <conditionalFormatting sqref="C85">
    <cfRule type="cellIs" dxfId="2212" priority="802" operator="equal">
      <formula>3</formula>
    </cfRule>
    <cfRule type="cellIs" dxfId="2211" priority="803" operator="equal">
      <formula>3</formula>
    </cfRule>
    <cfRule type="cellIs" dxfId="2210" priority="804" operator="equal">
      <formula>2</formula>
    </cfRule>
    <cfRule type="cellIs" dxfId="2209" priority="805" operator="equal">
      <formula>1</formula>
    </cfRule>
  </conditionalFormatting>
  <conditionalFormatting sqref="D85:F85 F86">
    <cfRule type="cellIs" dxfId="2208" priority="801" operator="equal">
      <formula>1</formula>
    </cfRule>
  </conditionalFormatting>
  <conditionalFormatting sqref="B85:B86">
    <cfRule type="cellIs" dxfId="2207" priority="800" operator="equal">
      <formula>1</formula>
    </cfRule>
  </conditionalFormatting>
  <conditionalFormatting sqref="K85:L86">
    <cfRule type="cellIs" dxfId="2206" priority="799" operator="equal">
      <formula>1</formula>
    </cfRule>
  </conditionalFormatting>
  <conditionalFormatting sqref="D86">
    <cfRule type="cellIs" dxfId="2205" priority="798" operator="equal">
      <formula>1</formula>
    </cfRule>
  </conditionalFormatting>
  <conditionalFormatting sqref="E86">
    <cfRule type="cellIs" dxfId="2204" priority="797" operator="equal">
      <formula>1</formula>
    </cfRule>
  </conditionalFormatting>
  <conditionalFormatting sqref="L87">
    <cfRule type="cellIs" dxfId="2203" priority="796" operator="equal">
      <formula>1</formula>
    </cfRule>
  </conditionalFormatting>
  <conditionalFormatting sqref="J87">
    <cfRule type="cellIs" dxfId="2202" priority="795" operator="equal">
      <formula>1</formula>
    </cfRule>
  </conditionalFormatting>
  <conditionalFormatting sqref="I87">
    <cfRule type="cellIs" dxfId="2201" priority="794" operator="equal">
      <formula>1</formula>
    </cfRule>
  </conditionalFormatting>
  <conditionalFormatting sqref="C87">
    <cfRule type="cellIs" dxfId="2200" priority="793" operator="equal">
      <formula>1</formula>
    </cfRule>
  </conditionalFormatting>
  <conditionalFormatting sqref="C87">
    <cfRule type="cellIs" dxfId="2199" priority="789" operator="equal">
      <formula>3</formula>
    </cfRule>
    <cfRule type="cellIs" dxfId="2198" priority="790" operator="equal">
      <formula>3</formula>
    </cfRule>
    <cfRule type="cellIs" dxfId="2197" priority="791" operator="equal">
      <formula>2</formula>
    </cfRule>
    <cfRule type="cellIs" dxfId="2196" priority="792" operator="equal">
      <formula>1</formula>
    </cfRule>
  </conditionalFormatting>
  <conditionalFormatting sqref="F87">
    <cfRule type="cellIs" dxfId="2195" priority="788" operator="equal">
      <formula>1</formula>
    </cfRule>
  </conditionalFormatting>
  <conditionalFormatting sqref="B87 B89 B91">
    <cfRule type="cellIs" dxfId="2194" priority="787" operator="equal">
      <formula>1</formula>
    </cfRule>
  </conditionalFormatting>
  <conditionalFormatting sqref="D87">
    <cfRule type="cellIs" dxfId="2193" priority="786" operator="equal">
      <formula>1</formula>
    </cfRule>
  </conditionalFormatting>
  <conditionalFormatting sqref="E87">
    <cfRule type="cellIs" dxfId="2192" priority="785" operator="equal">
      <formula>1</formula>
    </cfRule>
  </conditionalFormatting>
  <conditionalFormatting sqref="C88">
    <cfRule type="cellIs" dxfId="2191" priority="784" operator="equal">
      <formula>1</formula>
    </cfRule>
  </conditionalFormatting>
  <conditionalFormatting sqref="C88">
    <cfRule type="cellIs" dxfId="2190" priority="780" operator="equal">
      <formula>3</formula>
    </cfRule>
    <cfRule type="cellIs" dxfId="2189" priority="781" operator="equal">
      <formula>3</formula>
    </cfRule>
    <cfRule type="cellIs" dxfId="2188" priority="782" operator="equal">
      <formula>2</formula>
    </cfRule>
    <cfRule type="cellIs" dxfId="2187" priority="783" operator="equal">
      <formula>1</formula>
    </cfRule>
  </conditionalFormatting>
  <conditionalFormatting sqref="B88 B90 B92">
    <cfRule type="cellIs" dxfId="2186" priority="779" operator="equal">
      <formula>1</formula>
    </cfRule>
  </conditionalFormatting>
  <conditionalFormatting sqref="D88">
    <cfRule type="cellIs" dxfId="2185" priority="778" operator="equal">
      <formula>1</formula>
    </cfRule>
  </conditionalFormatting>
  <conditionalFormatting sqref="E88">
    <cfRule type="cellIs" dxfId="2184" priority="777" operator="equal">
      <formula>1</formula>
    </cfRule>
  </conditionalFormatting>
  <conditionalFormatting sqref="F89 C89">
    <cfRule type="cellIs" dxfId="2183" priority="776" operator="equal">
      <formula>1</formula>
    </cfRule>
  </conditionalFormatting>
  <conditionalFormatting sqref="C89">
    <cfRule type="cellIs" dxfId="2182" priority="772" operator="equal">
      <formula>3</formula>
    </cfRule>
    <cfRule type="cellIs" dxfId="2181" priority="773" operator="equal">
      <formula>3</formula>
    </cfRule>
    <cfRule type="cellIs" dxfId="2180" priority="774" operator="equal">
      <formula>2</formula>
    </cfRule>
    <cfRule type="cellIs" dxfId="2179" priority="775" operator="equal">
      <formula>1</formula>
    </cfRule>
  </conditionalFormatting>
  <conditionalFormatting sqref="D89">
    <cfRule type="cellIs" dxfId="2178" priority="771" operator="equal">
      <formula>1</formula>
    </cfRule>
  </conditionalFormatting>
  <conditionalFormatting sqref="E89">
    <cfRule type="cellIs" dxfId="2177" priority="770" operator="equal">
      <formula>1</formula>
    </cfRule>
  </conditionalFormatting>
  <conditionalFormatting sqref="G90:K90">
    <cfRule type="cellIs" dxfId="2176" priority="769" operator="equal">
      <formula>1</formula>
    </cfRule>
  </conditionalFormatting>
  <conditionalFormatting sqref="F90 C90">
    <cfRule type="cellIs" dxfId="2175" priority="768" operator="equal">
      <formula>1</formula>
    </cfRule>
  </conditionalFormatting>
  <conditionalFormatting sqref="C90">
    <cfRule type="cellIs" dxfId="2174" priority="764" operator="equal">
      <formula>3</formula>
    </cfRule>
    <cfRule type="cellIs" dxfId="2173" priority="765" operator="equal">
      <formula>3</formula>
    </cfRule>
    <cfRule type="cellIs" dxfId="2172" priority="766" operator="equal">
      <formula>2</formula>
    </cfRule>
    <cfRule type="cellIs" dxfId="2171" priority="767" operator="equal">
      <formula>1</formula>
    </cfRule>
  </conditionalFormatting>
  <conditionalFormatting sqref="D90">
    <cfRule type="cellIs" dxfId="2170" priority="763" operator="equal">
      <formula>1</formula>
    </cfRule>
  </conditionalFormatting>
  <conditionalFormatting sqref="E90">
    <cfRule type="cellIs" dxfId="2169" priority="762" operator="equal">
      <formula>1</formula>
    </cfRule>
  </conditionalFormatting>
  <conditionalFormatting sqref="L90">
    <cfRule type="cellIs" dxfId="2168" priority="761" operator="equal">
      <formula>1</formula>
    </cfRule>
  </conditionalFormatting>
  <conditionalFormatting sqref="G91:L91">
    <cfRule type="cellIs" dxfId="2167" priority="760" operator="equal">
      <formula>1</formula>
    </cfRule>
  </conditionalFormatting>
  <conditionalFormatting sqref="F91 C91">
    <cfRule type="cellIs" dxfId="2166" priority="759" operator="equal">
      <formula>1</formula>
    </cfRule>
  </conditionalFormatting>
  <conditionalFormatting sqref="C91">
    <cfRule type="cellIs" dxfId="2165" priority="755" operator="equal">
      <formula>3</formula>
    </cfRule>
    <cfRule type="cellIs" dxfId="2164" priority="756" operator="equal">
      <formula>3</formula>
    </cfRule>
    <cfRule type="cellIs" dxfId="2163" priority="757" operator="equal">
      <formula>2</formula>
    </cfRule>
    <cfRule type="cellIs" dxfId="2162" priority="758" operator="equal">
      <formula>1</formula>
    </cfRule>
  </conditionalFormatting>
  <conditionalFormatting sqref="D91">
    <cfRule type="cellIs" dxfId="2161" priority="754" operator="equal">
      <formula>1</formula>
    </cfRule>
  </conditionalFormatting>
  <conditionalFormatting sqref="E91">
    <cfRule type="cellIs" dxfId="2160" priority="753" operator="equal">
      <formula>1</formula>
    </cfRule>
  </conditionalFormatting>
  <conditionalFormatting sqref="S88:T89">
    <cfRule type="cellIs" dxfId="2159" priority="752" operator="equal">
      <formula>1</formula>
    </cfRule>
  </conditionalFormatting>
  <conditionalFormatting sqref="D92:E92">
    <cfRule type="cellIs" dxfId="2158" priority="751" operator="equal">
      <formula>1</formula>
    </cfRule>
  </conditionalFormatting>
  <conditionalFormatting sqref="G92:L92">
    <cfRule type="cellIs" dxfId="2157" priority="750" operator="equal">
      <formula>1</formula>
    </cfRule>
  </conditionalFormatting>
  <conditionalFormatting sqref="C93 F93">
    <cfRule type="cellIs" dxfId="2156" priority="749" operator="equal">
      <formula>1</formula>
    </cfRule>
  </conditionalFormatting>
  <conditionalFormatting sqref="C93">
    <cfRule type="cellIs" dxfId="2155" priority="745" operator="equal">
      <formula>3</formula>
    </cfRule>
    <cfRule type="cellIs" dxfId="2154" priority="746" operator="equal">
      <formula>3</formula>
    </cfRule>
    <cfRule type="cellIs" dxfId="2153" priority="747" operator="equal">
      <formula>2</formula>
    </cfRule>
    <cfRule type="cellIs" dxfId="2152" priority="748" operator="equal">
      <formula>1</formula>
    </cfRule>
  </conditionalFormatting>
  <conditionalFormatting sqref="B93">
    <cfRule type="cellIs" dxfId="2151" priority="744" operator="equal">
      <formula>1</formula>
    </cfRule>
  </conditionalFormatting>
  <conditionalFormatting sqref="D93:E93">
    <cfRule type="cellIs" dxfId="2150" priority="743" operator="equal">
      <formula>1</formula>
    </cfRule>
  </conditionalFormatting>
  <conditionalFormatting sqref="G93:L93">
    <cfRule type="cellIs" dxfId="2149" priority="742" operator="equal">
      <formula>1</formula>
    </cfRule>
  </conditionalFormatting>
  <conditionalFormatting sqref="C94 F94">
    <cfRule type="cellIs" dxfId="2148" priority="741" operator="equal">
      <formula>1</formula>
    </cfRule>
  </conditionalFormatting>
  <conditionalFormatting sqref="C94">
    <cfRule type="cellIs" dxfId="2147" priority="737" operator="equal">
      <formula>3</formula>
    </cfRule>
    <cfRule type="cellIs" dxfId="2146" priority="738" operator="equal">
      <formula>3</formula>
    </cfRule>
    <cfRule type="cellIs" dxfId="2145" priority="739" operator="equal">
      <formula>2</formula>
    </cfRule>
    <cfRule type="cellIs" dxfId="2144" priority="740" operator="equal">
      <formula>1</formula>
    </cfRule>
  </conditionalFormatting>
  <conditionalFormatting sqref="B94:B95">
    <cfRule type="cellIs" dxfId="2143" priority="736" operator="equal">
      <formula>1</formula>
    </cfRule>
  </conditionalFormatting>
  <conditionalFormatting sqref="D94:E94">
    <cfRule type="cellIs" dxfId="2142" priority="735" operator="equal">
      <formula>1</formula>
    </cfRule>
  </conditionalFormatting>
  <conditionalFormatting sqref="G94:L94 G95:G98">
    <cfRule type="cellIs" dxfId="2141" priority="734" operator="equal">
      <formula>1</formula>
    </cfRule>
  </conditionalFormatting>
  <conditionalFormatting sqref="H95:L95">
    <cfRule type="cellIs" dxfId="2140" priority="733" operator="equal">
      <formula>1</formula>
    </cfRule>
  </conditionalFormatting>
  <conditionalFormatting sqref="C95">
    <cfRule type="cellIs" dxfId="2139" priority="732" operator="equal">
      <formula>1</formula>
    </cfRule>
  </conditionalFormatting>
  <conditionalFormatting sqref="C95">
    <cfRule type="cellIs" dxfId="2138" priority="728" operator="equal">
      <formula>3</formula>
    </cfRule>
    <cfRule type="cellIs" dxfId="2137" priority="729" operator="equal">
      <formula>3</formula>
    </cfRule>
    <cfRule type="cellIs" dxfId="2136" priority="730" operator="equal">
      <formula>2</formula>
    </cfRule>
    <cfRule type="cellIs" dxfId="2135" priority="731" operator="equal">
      <formula>1</formula>
    </cfRule>
  </conditionalFormatting>
  <conditionalFormatting sqref="D96:E96">
    <cfRule type="cellIs" dxfId="2134" priority="727" operator="equal">
      <formula>1</formula>
    </cfRule>
  </conditionalFormatting>
  <conditionalFormatting sqref="B96">
    <cfRule type="cellIs" dxfId="2133" priority="726" operator="equal">
      <formula>1</formula>
    </cfRule>
  </conditionalFormatting>
  <conditionalFormatting sqref="C96">
    <cfRule type="cellIs" dxfId="2132" priority="725" operator="equal">
      <formula>1</formula>
    </cfRule>
  </conditionalFormatting>
  <conditionalFormatting sqref="C96">
    <cfRule type="cellIs" dxfId="2131" priority="721" operator="equal">
      <formula>3</formula>
    </cfRule>
    <cfRule type="cellIs" dxfId="2130" priority="722" operator="equal">
      <formula>3</formula>
    </cfRule>
    <cfRule type="cellIs" dxfId="2129" priority="723" operator="equal">
      <formula>2</formula>
    </cfRule>
    <cfRule type="cellIs" dxfId="2128" priority="724" operator="equal">
      <formula>1</formula>
    </cfRule>
  </conditionalFormatting>
  <conditionalFormatting sqref="L97">
    <cfRule type="cellIs" dxfId="2127" priority="720" operator="equal">
      <formula>1</formula>
    </cfRule>
  </conditionalFormatting>
  <conditionalFormatting sqref="D97:E97">
    <cfRule type="cellIs" dxfId="2126" priority="719" operator="equal">
      <formula>1</formula>
    </cfRule>
  </conditionalFormatting>
  <conditionalFormatting sqref="B97">
    <cfRule type="cellIs" dxfId="2125" priority="718" operator="equal">
      <formula>1</formula>
    </cfRule>
  </conditionalFormatting>
  <conditionalFormatting sqref="C97">
    <cfRule type="cellIs" dxfId="2124" priority="717" operator="equal">
      <formula>1</formula>
    </cfRule>
  </conditionalFormatting>
  <conditionalFormatting sqref="C97">
    <cfRule type="cellIs" dxfId="2123" priority="713" operator="equal">
      <formula>3</formula>
    </cfRule>
    <cfRule type="cellIs" dxfId="2122" priority="714" operator="equal">
      <formula>3</formula>
    </cfRule>
    <cfRule type="cellIs" dxfId="2121" priority="715" operator="equal">
      <formula>2</formula>
    </cfRule>
    <cfRule type="cellIs" dxfId="2120" priority="716" operator="equal">
      <formula>1</formula>
    </cfRule>
  </conditionalFormatting>
  <conditionalFormatting sqref="F98">
    <cfRule type="cellIs" dxfId="2119" priority="712" operator="equal">
      <formula>1</formula>
    </cfRule>
  </conditionalFormatting>
  <conditionalFormatting sqref="D98:E98">
    <cfRule type="cellIs" dxfId="2118" priority="711" operator="equal">
      <formula>1</formula>
    </cfRule>
  </conditionalFormatting>
  <conditionalFormatting sqref="B98">
    <cfRule type="cellIs" dxfId="2117" priority="710" operator="equal">
      <formula>1</formula>
    </cfRule>
  </conditionalFormatting>
  <conditionalFormatting sqref="C98">
    <cfRule type="cellIs" dxfId="2116" priority="709" operator="equal">
      <formula>1</formula>
    </cfRule>
  </conditionalFormatting>
  <conditionalFormatting sqref="C98">
    <cfRule type="cellIs" dxfId="2115" priority="705" operator="equal">
      <formula>3</formula>
    </cfRule>
    <cfRule type="cellIs" dxfId="2114" priority="706" operator="equal">
      <formula>3</formula>
    </cfRule>
    <cfRule type="cellIs" dxfId="2113" priority="707" operator="equal">
      <formula>2</formula>
    </cfRule>
    <cfRule type="cellIs" dxfId="2112" priority="708" operator="equal">
      <formula>1</formula>
    </cfRule>
  </conditionalFormatting>
  <conditionalFormatting sqref="B99">
    <cfRule type="cellIs" dxfId="2111" priority="704" operator="equal">
      <formula>1</formula>
    </cfRule>
  </conditionalFormatting>
  <conditionalFormatting sqref="E100">
    <cfRule type="cellIs" dxfId="2110" priority="703" operator="equal">
      <formula>1</formula>
    </cfRule>
  </conditionalFormatting>
  <conditionalFormatting sqref="B100">
    <cfRule type="cellIs" dxfId="2109" priority="702" operator="equal">
      <formula>1</formula>
    </cfRule>
  </conditionalFormatting>
  <conditionalFormatting sqref="C101 F101:L101">
    <cfRule type="cellIs" dxfId="2108" priority="701" operator="equal">
      <formula>1</formula>
    </cfRule>
  </conditionalFormatting>
  <conditionalFormatting sqref="C101">
    <cfRule type="cellIs" dxfId="2107" priority="697" operator="equal">
      <formula>3</formula>
    </cfRule>
    <cfRule type="cellIs" dxfId="2106" priority="698" operator="equal">
      <formula>3</formula>
    </cfRule>
    <cfRule type="cellIs" dxfId="2105" priority="699" operator="equal">
      <formula>2</formula>
    </cfRule>
    <cfRule type="cellIs" dxfId="2104" priority="700" operator="equal">
      <formula>1</formula>
    </cfRule>
  </conditionalFormatting>
  <conditionalFormatting sqref="E101">
    <cfRule type="cellIs" dxfId="2103" priority="696" operator="equal">
      <formula>1</formula>
    </cfRule>
  </conditionalFormatting>
  <conditionalFormatting sqref="B101">
    <cfRule type="cellIs" dxfId="2102" priority="695" operator="equal">
      <formula>1</formula>
    </cfRule>
  </conditionalFormatting>
  <conditionalFormatting sqref="L102">
    <cfRule type="cellIs" dxfId="2101" priority="670" operator="equal">
      <formula>1</formula>
    </cfRule>
  </conditionalFormatting>
  <conditionalFormatting sqref="G104:J104 G105:G106">
    <cfRule type="cellIs" dxfId="2100" priority="669" operator="equal">
      <formula>1</formula>
    </cfRule>
  </conditionalFormatting>
  <conditionalFormatting sqref="L130">
    <cfRule type="cellIs" dxfId="2099" priority="437" operator="equal">
      <formula>1</formula>
    </cfRule>
  </conditionalFormatting>
  <conditionalFormatting sqref="G131:H131">
    <cfRule type="cellIs" dxfId="2098" priority="436" operator="equal">
      <formula>1</formula>
    </cfRule>
  </conditionalFormatting>
  <conditionalFormatting sqref="M103">
    <cfRule type="cellIs" dxfId="2097" priority="686" operator="equal">
      <formula>1</formula>
    </cfRule>
  </conditionalFormatting>
  <conditionalFormatting sqref="K129">
    <cfRule type="cellIs" dxfId="2096" priority="451" operator="equal">
      <formula>1</formula>
    </cfRule>
  </conditionalFormatting>
  <conditionalFormatting sqref="C102 F102:K102">
    <cfRule type="cellIs" dxfId="2095" priority="677" operator="equal">
      <formula>1</formula>
    </cfRule>
  </conditionalFormatting>
  <conditionalFormatting sqref="C102">
    <cfRule type="cellIs" dxfId="2094" priority="673" operator="equal">
      <formula>3</formula>
    </cfRule>
    <cfRule type="cellIs" dxfId="2093" priority="674" operator="equal">
      <formula>3</formula>
    </cfRule>
    <cfRule type="cellIs" dxfId="2092" priority="675" operator="equal">
      <formula>2</formula>
    </cfRule>
    <cfRule type="cellIs" dxfId="2091" priority="676" operator="equal">
      <formula>1</formula>
    </cfRule>
  </conditionalFormatting>
  <conditionalFormatting sqref="E102">
    <cfRule type="cellIs" dxfId="2090" priority="672" operator="equal">
      <formula>1</formula>
    </cfRule>
  </conditionalFormatting>
  <conditionalFormatting sqref="B102">
    <cfRule type="cellIs" dxfId="2089" priority="671" operator="equal">
      <formula>1</formula>
    </cfRule>
  </conditionalFormatting>
  <conditionalFormatting sqref="L129">
    <cfRule type="cellIs" dxfId="2088" priority="450" operator="equal">
      <formula>1</formula>
    </cfRule>
  </conditionalFormatting>
  <conditionalFormatting sqref="D130">
    <cfRule type="cellIs" dxfId="2087" priority="443" operator="equal">
      <formula>1</formula>
    </cfRule>
  </conditionalFormatting>
  <conditionalFormatting sqref="E130">
    <cfRule type="cellIs" dxfId="2086" priority="442" operator="equal">
      <formula>1</formula>
    </cfRule>
  </conditionalFormatting>
  <conditionalFormatting sqref="K104:L104">
    <cfRule type="cellIs" dxfId="2085" priority="668" operator="equal">
      <formula>1</formula>
    </cfRule>
  </conditionalFormatting>
  <conditionalFormatting sqref="C104 F104">
    <cfRule type="cellIs" dxfId="2084" priority="667" operator="equal">
      <formula>1</formula>
    </cfRule>
  </conditionalFormatting>
  <conditionalFormatting sqref="C104">
    <cfRule type="cellIs" dxfId="2083" priority="663" operator="equal">
      <formula>3</formula>
    </cfRule>
    <cfRule type="cellIs" dxfId="2082" priority="664" operator="equal">
      <formula>3</formula>
    </cfRule>
    <cfRule type="cellIs" dxfId="2081" priority="665" operator="equal">
      <formula>2</formula>
    </cfRule>
    <cfRule type="cellIs" dxfId="2080" priority="666" operator="equal">
      <formula>1</formula>
    </cfRule>
  </conditionalFormatting>
  <conditionalFormatting sqref="E104">
    <cfRule type="cellIs" dxfId="2079" priority="662" operator="equal">
      <formula>1</formula>
    </cfRule>
  </conditionalFormatting>
  <conditionalFormatting sqref="B104:B105">
    <cfRule type="cellIs" dxfId="2078" priority="661" operator="equal">
      <formula>1</formula>
    </cfRule>
  </conditionalFormatting>
  <conditionalFormatting sqref="C103 F103:L103">
    <cfRule type="cellIs" dxfId="2077" priority="660" operator="equal">
      <formula>1</formula>
    </cfRule>
  </conditionalFormatting>
  <conditionalFormatting sqref="C103">
    <cfRule type="cellIs" dxfId="2076" priority="656" operator="equal">
      <formula>3</formula>
    </cfRule>
    <cfRule type="cellIs" dxfId="2075" priority="657" operator="equal">
      <formula>3</formula>
    </cfRule>
    <cfRule type="cellIs" dxfId="2074" priority="658" operator="equal">
      <formula>2</formula>
    </cfRule>
    <cfRule type="cellIs" dxfId="2073" priority="659" operator="equal">
      <formula>1</formula>
    </cfRule>
  </conditionalFormatting>
  <conditionalFormatting sqref="E103">
    <cfRule type="cellIs" dxfId="2072" priority="655" operator="equal">
      <formula>1</formula>
    </cfRule>
  </conditionalFormatting>
  <conditionalFormatting sqref="B103">
    <cfRule type="cellIs" dxfId="2071" priority="654" operator="equal">
      <formula>1</formula>
    </cfRule>
  </conditionalFormatting>
  <conditionalFormatting sqref="B131">
    <cfRule type="cellIs" dxfId="2070" priority="427" operator="equal">
      <formula>1</formula>
    </cfRule>
  </conditionalFormatting>
  <conditionalFormatting sqref="D105:E105">
    <cfRule type="cellIs" dxfId="2069" priority="653" operator="equal">
      <formula>1</formula>
    </cfRule>
  </conditionalFormatting>
  <conditionalFormatting sqref="C105">
    <cfRule type="cellIs" dxfId="2068" priority="652" operator="equal">
      <formula>1</formula>
    </cfRule>
  </conditionalFormatting>
  <conditionalFormatting sqref="C105">
    <cfRule type="cellIs" dxfId="2067" priority="648" operator="equal">
      <formula>3</formula>
    </cfRule>
    <cfRule type="cellIs" dxfId="2066" priority="649" operator="equal">
      <formula>3</formula>
    </cfRule>
    <cfRule type="cellIs" dxfId="2065" priority="650" operator="equal">
      <formula>2</formula>
    </cfRule>
    <cfRule type="cellIs" dxfId="2064" priority="651" operator="equal">
      <formula>1</formula>
    </cfRule>
  </conditionalFormatting>
  <conditionalFormatting sqref="H105:J105">
    <cfRule type="cellIs" dxfId="2063" priority="647" operator="equal">
      <formula>1</formula>
    </cfRule>
  </conditionalFormatting>
  <conditionalFormatting sqref="K105:L105">
    <cfRule type="cellIs" dxfId="2062" priority="646" operator="equal">
      <formula>1</formula>
    </cfRule>
  </conditionalFormatting>
  <conditionalFormatting sqref="F106">
    <cfRule type="cellIs" dxfId="2061" priority="645" operator="equal">
      <formula>1</formula>
    </cfRule>
  </conditionalFormatting>
  <conditionalFormatting sqref="B106">
    <cfRule type="cellIs" dxfId="2060" priority="644" operator="equal">
      <formula>1</formula>
    </cfRule>
  </conditionalFormatting>
  <conditionalFormatting sqref="D106:E106">
    <cfRule type="cellIs" dxfId="2059" priority="643" operator="equal">
      <formula>1</formula>
    </cfRule>
  </conditionalFormatting>
  <conditionalFormatting sqref="C106">
    <cfRule type="cellIs" dxfId="2058" priority="642" operator="equal">
      <formula>1</formula>
    </cfRule>
  </conditionalFormatting>
  <conditionalFormatting sqref="C106">
    <cfRule type="cellIs" dxfId="2057" priority="638" operator="equal">
      <formula>3</formula>
    </cfRule>
    <cfRule type="cellIs" dxfId="2056" priority="639" operator="equal">
      <formula>3</formula>
    </cfRule>
    <cfRule type="cellIs" dxfId="2055" priority="640" operator="equal">
      <formula>2</formula>
    </cfRule>
    <cfRule type="cellIs" dxfId="2054" priority="641" operator="equal">
      <formula>1</formula>
    </cfRule>
  </conditionalFormatting>
  <conditionalFormatting sqref="H106:J106">
    <cfRule type="cellIs" dxfId="2053" priority="637" operator="equal">
      <formula>1</formula>
    </cfRule>
  </conditionalFormatting>
  <conditionalFormatting sqref="K106">
    <cfRule type="cellIs" dxfId="2052" priority="636" operator="equal">
      <formula>1</formula>
    </cfRule>
  </conditionalFormatting>
  <conditionalFormatting sqref="L107">
    <cfRule type="cellIs" dxfId="2051" priority="635" operator="equal">
      <formula>1</formula>
    </cfRule>
  </conditionalFormatting>
  <conditionalFormatting sqref="G107">
    <cfRule type="cellIs" dxfId="2050" priority="634" operator="equal">
      <formula>1</formula>
    </cfRule>
  </conditionalFormatting>
  <conditionalFormatting sqref="F107">
    <cfRule type="cellIs" dxfId="2049" priority="633" operator="equal">
      <formula>1</formula>
    </cfRule>
  </conditionalFormatting>
  <conditionalFormatting sqref="B107">
    <cfRule type="cellIs" dxfId="2048" priority="632" operator="equal">
      <formula>1</formula>
    </cfRule>
  </conditionalFormatting>
  <conditionalFormatting sqref="E107">
    <cfRule type="cellIs" dxfId="2047" priority="631" operator="equal">
      <formula>1</formula>
    </cfRule>
  </conditionalFormatting>
  <conditionalFormatting sqref="C107">
    <cfRule type="cellIs" dxfId="2046" priority="630" operator="equal">
      <formula>1</formula>
    </cfRule>
  </conditionalFormatting>
  <conditionalFormatting sqref="C107">
    <cfRule type="cellIs" dxfId="2045" priority="626" operator="equal">
      <formula>3</formula>
    </cfRule>
    <cfRule type="cellIs" dxfId="2044" priority="627" operator="equal">
      <formula>3</formula>
    </cfRule>
    <cfRule type="cellIs" dxfId="2043" priority="628" operator="equal">
      <formula>2</formula>
    </cfRule>
    <cfRule type="cellIs" dxfId="2042" priority="629" operator="equal">
      <formula>1</formula>
    </cfRule>
  </conditionalFormatting>
  <conditionalFormatting sqref="H107:J107">
    <cfRule type="cellIs" dxfId="2041" priority="625" operator="equal">
      <formula>1</formula>
    </cfRule>
  </conditionalFormatting>
  <conditionalFormatting sqref="K107">
    <cfRule type="cellIs" dxfId="2040" priority="624" operator="equal">
      <formula>1</formula>
    </cfRule>
  </conditionalFormatting>
  <conditionalFormatting sqref="D107">
    <cfRule type="cellIs" dxfId="2039" priority="623" operator="equal">
      <formula>1</formula>
    </cfRule>
  </conditionalFormatting>
  <conditionalFormatting sqref="L108">
    <cfRule type="cellIs" dxfId="2038" priority="622" operator="equal">
      <formula>1</formula>
    </cfRule>
  </conditionalFormatting>
  <conditionalFormatting sqref="G108">
    <cfRule type="cellIs" dxfId="2037" priority="621" operator="equal">
      <formula>1</formula>
    </cfRule>
  </conditionalFormatting>
  <conditionalFormatting sqref="F108">
    <cfRule type="cellIs" dxfId="2036" priority="620" operator="equal">
      <formula>1</formula>
    </cfRule>
  </conditionalFormatting>
  <conditionalFormatting sqref="B108">
    <cfRule type="cellIs" dxfId="2035" priority="619" operator="equal">
      <formula>1</formula>
    </cfRule>
  </conditionalFormatting>
  <conditionalFormatting sqref="E108">
    <cfRule type="cellIs" dxfId="2034" priority="618" operator="equal">
      <formula>1</formula>
    </cfRule>
  </conditionalFormatting>
  <conditionalFormatting sqref="C108">
    <cfRule type="cellIs" dxfId="2033" priority="617" operator="equal">
      <formula>1</formula>
    </cfRule>
  </conditionalFormatting>
  <conditionalFormatting sqref="C108">
    <cfRule type="cellIs" dxfId="2032" priority="613" operator="equal">
      <formula>3</formula>
    </cfRule>
    <cfRule type="cellIs" dxfId="2031" priority="614" operator="equal">
      <formula>3</formula>
    </cfRule>
    <cfRule type="cellIs" dxfId="2030" priority="615" operator="equal">
      <formula>2</formula>
    </cfRule>
    <cfRule type="cellIs" dxfId="2029" priority="616" operator="equal">
      <formula>1</formula>
    </cfRule>
  </conditionalFormatting>
  <conditionalFormatting sqref="H108:J108">
    <cfRule type="cellIs" dxfId="2028" priority="612" operator="equal">
      <formula>1</formula>
    </cfRule>
  </conditionalFormatting>
  <conditionalFormatting sqref="L125">
    <cfRule type="cellIs" dxfId="2027" priority="478" operator="equal">
      <formula>1</formula>
    </cfRule>
  </conditionalFormatting>
  <conditionalFormatting sqref="D108">
    <cfRule type="cellIs" dxfId="2026" priority="610" operator="equal">
      <formula>1</formula>
    </cfRule>
  </conditionalFormatting>
  <conditionalFormatting sqref="D131">
    <cfRule type="cellIs" dxfId="2025" priority="430" operator="equal">
      <formula>1</formula>
    </cfRule>
  </conditionalFormatting>
  <conditionalFormatting sqref="I110:J110">
    <cfRule type="cellIs" dxfId="2024" priority="607" operator="equal">
      <formula>1</formula>
    </cfRule>
  </conditionalFormatting>
  <conditionalFormatting sqref="H127:J127">
    <cfRule type="cellIs" dxfId="2023" priority="473" operator="equal">
      <formula>1</formula>
    </cfRule>
  </conditionalFormatting>
  <conditionalFormatting sqref="L110">
    <cfRule type="cellIs" dxfId="2022" priority="605" operator="equal">
      <formula>1</formula>
    </cfRule>
  </conditionalFormatting>
  <conditionalFormatting sqref="L109">
    <cfRule type="cellIs" dxfId="2021" priority="604" operator="equal">
      <formula>1</formula>
    </cfRule>
  </conditionalFormatting>
  <conditionalFormatting sqref="I109:J109">
    <cfRule type="cellIs" dxfId="2020" priority="603" operator="equal">
      <formula>1</formula>
    </cfRule>
  </conditionalFormatting>
  <conditionalFormatting sqref="B109">
    <cfRule type="cellIs" dxfId="2019" priority="601" operator="equal">
      <formula>1</formula>
    </cfRule>
  </conditionalFormatting>
  <conditionalFormatting sqref="D109 F109">
    <cfRule type="cellIs" dxfId="2018" priority="600" operator="equal">
      <formula>1</formula>
    </cfRule>
  </conditionalFormatting>
  <conditionalFormatting sqref="E109">
    <cfRule type="cellIs" dxfId="2017" priority="599" operator="equal">
      <formula>1</formula>
    </cfRule>
  </conditionalFormatting>
  <conditionalFormatting sqref="H109">
    <cfRule type="cellIs" dxfId="2016" priority="598" operator="equal">
      <formula>1</formula>
    </cfRule>
  </conditionalFormatting>
  <conditionalFormatting sqref="C110 G110:G113">
    <cfRule type="cellIs" dxfId="2015" priority="597" operator="equal">
      <formula>1</formula>
    </cfRule>
  </conditionalFormatting>
  <conditionalFormatting sqref="C110">
    <cfRule type="cellIs" dxfId="2014" priority="593" operator="equal">
      <formula>3</formula>
    </cfRule>
    <cfRule type="cellIs" dxfId="2013" priority="594" operator="equal">
      <formula>3</formula>
    </cfRule>
    <cfRule type="cellIs" dxfId="2012" priority="595" operator="equal">
      <formula>2</formula>
    </cfRule>
    <cfRule type="cellIs" dxfId="2011" priority="596" operator="equal">
      <formula>1</formula>
    </cfRule>
  </conditionalFormatting>
  <conditionalFormatting sqref="B110:B111">
    <cfRule type="cellIs" dxfId="2010" priority="592" operator="equal">
      <formula>1</formula>
    </cfRule>
  </conditionalFormatting>
  <conditionalFormatting sqref="D110 F110">
    <cfRule type="cellIs" dxfId="2009" priority="591" operator="equal">
      <formula>1</formula>
    </cfRule>
  </conditionalFormatting>
  <conditionalFormatting sqref="E110">
    <cfRule type="cellIs" dxfId="2008" priority="590" operator="equal">
      <formula>1</formula>
    </cfRule>
  </conditionalFormatting>
  <conditionalFormatting sqref="H110">
    <cfRule type="cellIs" dxfId="2007" priority="589" operator="equal">
      <formula>1</formula>
    </cfRule>
  </conditionalFormatting>
  <conditionalFormatting sqref="I111:J111">
    <cfRule type="cellIs" dxfId="2006" priority="588" operator="equal">
      <formula>1</formula>
    </cfRule>
  </conditionalFormatting>
  <conditionalFormatting sqref="F129">
    <cfRule type="cellIs" dxfId="2005" priority="454" operator="equal">
      <formula>1</formula>
    </cfRule>
  </conditionalFormatting>
  <conditionalFormatting sqref="L111">
    <cfRule type="cellIs" dxfId="2004" priority="586" operator="equal">
      <formula>1</formula>
    </cfRule>
  </conditionalFormatting>
  <conditionalFormatting sqref="H111">
    <cfRule type="cellIs" dxfId="2003" priority="585" operator="equal">
      <formula>1</formula>
    </cfRule>
  </conditionalFormatting>
  <conditionalFormatting sqref="D111:E111">
    <cfRule type="cellIs" dxfId="2002" priority="584" operator="equal">
      <formula>1</formula>
    </cfRule>
  </conditionalFormatting>
  <conditionalFormatting sqref="C111">
    <cfRule type="cellIs" dxfId="2001" priority="583" operator="equal">
      <formula>1</formula>
    </cfRule>
  </conditionalFormatting>
  <conditionalFormatting sqref="C111">
    <cfRule type="cellIs" dxfId="2000" priority="579" operator="equal">
      <formula>3</formula>
    </cfRule>
    <cfRule type="cellIs" dxfId="1999" priority="580" operator="equal">
      <formula>3</formula>
    </cfRule>
    <cfRule type="cellIs" dxfId="1998" priority="581" operator="equal">
      <formula>2</formula>
    </cfRule>
    <cfRule type="cellIs" dxfId="1997" priority="582" operator="equal">
      <formula>1</formula>
    </cfRule>
  </conditionalFormatting>
  <conditionalFormatting sqref="F112">
    <cfRule type="cellIs" dxfId="1996" priority="578" operator="equal">
      <formula>1</formula>
    </cfRule>
  </conditionalFormatting>
  <conditionalFormatting sqref="B112">
    <cfRule type="cellIs" dxfId="1995" priority="577" operator="equal">
      <formula>1</formula>
    </cfRule>
  </conditionalFormatting>
  <conditionalFormatting sqref="D112:E112">
    <cfRule type="cellIs" dxfId="1994" priority="576" operator="equal">
      <formula>1</formula>
    </cfRule>
  </conditionalFormatting>
  <conditionalFormatting sqref="C112">
    <cfRule type="cellIs" dxfId="1993" priority="575" operator="equal">
      <formula>1</formula>
    </cfRule>
  </conditionalFormatting>
  <conditionalFormatting sqref="C112">
    <cfRule type="cellIs" dxfId="1992" priority="571" operator="equal">
      <formula>3</formula>
    </cfRule>
    <cfRule type="cellIs" dxfId="1991" priority="572" operator="equal">
      <formula>3</formula>
    </cfRule>
    <cfRule type="cellIs" dxfId="1990" priority="573" operator="equal">
      <formula>2</formula>
    </cfRule>
    <cfRule type="cellIs" dxfId="1989" priority="574" operator="equal">
      <formula>1</formula>
    </cfRule>
  </conditionalFormatting>
  <conditionalFormatting sqref="L112">
    <cfRule type="cellIs" dxfId="1988" priority="569" operator="equal">
      <formula>1</formula>
    </cfRule>
  </conditionalFormatting>
  <conditionalFormatting sqref="B113">
    <cfRule type="cellIs" dxfId="1987" priority="568" operator="equal">
      <formula>1</formula>
    </cfRule>
  </conditionalFormatting>
  <conditionalFormatting sqref="D113:E113">
    <cfRule type="cellIs" dxfId="1986" priority="567" operator="equal">
      <formula>1</formula>
    </cfRule>
  </conditionalFormatting>
  <conditionalFormatting sqref="C113">
    <cfRule type="cellIs" dxfId="1985" priority="566" operator="equal">
      <formula>1</formula>
    </cfRule>
  </conditionalFormatting>
  <conditionalFormatting sqref="C113">
    <cfRule type="cellIs" dxfId="1984" priority="562" operator="equal">
      <formula>3</formula>
    </cfRule>
    <cfRule type="cellIs" dxfId="1983" priority="563" operator="equal">
      <formula>3</formula>
    </cfRule>
    <cfRule type="cellIs" dxfId="1982" priority="564" operator="equal">
      <formula>2</formula>
    </cfRule>
    <cfRule type="cellIs" dxfId="1981" priority="565" operator="equal">
      <formula>1</formula>
    </cfRule>
  </conditionalFormatting>
  <conditionalFormatting sqref="F131">
    <cfRule type="cellIs" dxfId="1980" priority="428" operator="equal">
      <formula>1</formula>
    </cfRule>
  </conditionalFormatting>
  <conditionalFormatting sqref="L113">
    <cfRule type="cellIs" dxfId="1979" priority="560" operator="equal">
      <formula>1</formula>
    </cfRule>
  </conditionalFormatting>
  <conditionalFormatting sqref="K108:K113">
    <cfRule type="cellIs" dxfId="1978" priority="559" operator="equal">
      <formula>1</formula>
    </cfRule>
  </conditionalFormatting>
  <conditionalFormatting sqref="H114:J114">
    <cfRule type="cellIs" dxfId="1977" priority="558" operator="equal">
      <formula>1</formula>
    </cfRule>
  </conditionalFormatting>
  <conditionalFormatting sqref="L114">
    <cfRule type="cellIs" dxfId="1976" priority="557" operator="equal">
      <formula>1</formula>
    </cfRule>
  </conditionalFormatting>
  <conditionalFormatting sqref="K114">
    <cfRule type="cellIs" dxfId="1975" priority="556" operator="equal">
      <formula>1</formula>
    </cfRule>
  </conditionalFormatting>
  <conditionalFormatting sqref="F114">
    <cfRule type="cellIs" dxfId="1974" priority="555" operator="equal">
      <formula>1</formula>
    </cfRule>
  </conditionalFormatting>
  <conditionalFormatting sqref="D115 F115">
    <cfRule type="cellIs" dxfId="1973" priority="554" operator="equal">
      <formula>1</formula>
    </cfRule>
  </conditionalFormatting>
  <conditionalFormatting sqref="E115">
    <cfRule type="cellIs" dxfId="1972" priority="553" operator="equal">
      <formula>1</formula>
    </cfRule>
  </conditionalFormatting>
  <conditionalFormatting sqref="H115:J115">
    <cfRule type="cellIs" dxfId="1971" priority="552" operator="equal">
      <formula>1</formula>
    </cfRule>
  </conditionalFormatting>
  <conditionalFormatting sqref="L115">
    <cfRule type="cellIs" dxfId="1970" priority="551" operator="equal">
      <formula>1</formula>
    </cfRule>
  </conditionalFormatting>
  <conditionalFormatting sqref="K115">
    <cfRule type="cellIs" dxfId="1969" priority="550" operator="equal">
      <formula>1</formula>
    </cfRule>
  </conditionalFormatting>
  <conditionalFormatting sqref="L116">
    <cfRule type="cellIs" dxfId="1968" priority="549" operator="equal">
      <formula>1</formula>
    </cfRule>
  </conditionalFormatting>
  <conditionalFormatting sqref="K116">
    <cfRule type="cellIs" dxfId="1967" priority="548" operator="equal">
      <formula>1</formula>
    </cfRule>
  </conditionalFormatting>
  <conditionalFormatting sqref="B116:C116 B117 B119 B121">
    <cfRule type="cellIs" dxfId="1966" priority="547" operator="equal">
      <formula>1</formula>
    </cfRule>
  </conditionalFormatting>
  <conditionalFormatting sqref="C116">
    <cfRule type="cellIs" dxfId="1965" priority="543" operator="equal">
      <formula>3</formula>
    </cfRule>
    <cfRule type="cellIs" dxfId="1964" priority="544" operator="equal">
      <formula>3</formula>
    </cfRule>
    <cfRule type="cellIs" dxfId="1963" priority="545" operator="equal">
      <formula>2</formula>
    </cfRule>
    <cfRule type="cellIs" dxfId="1962" priority="546" operator="equal">
      <formula>1</formula>
    </cfRule>
  </conditionalFormatting>
  <conditionalFormatting sqref="D116 F116">
    <cfRule type="cellIs" dxfId="1961" priority="542" operator="equal">
      <formula>1</formula>
    </cfRule>
  </conditionalFormatting>
  <conditionalFormatting sqref="E116">
    <cfRule type="cellIs" dxfId="1960" priority="541" operator="equal">
      <formula>1</formula>
    </cfRule>
  </conditionalFormatting>
  <conditionalFormatting sqref="H117:J117">
    <cfRule type="cellIs" dxfId="1959" priority="540" operator="equal">
      <formula>1</formula>
    </cfRule>
  </conditionalFormatting>
  <conditionalFormatting sqref="L117">
    <cfRule type="cellIs" dxfId="1958" priority="539" operator="equal">
      <formula>1</formula>
    </cfRule>
  </conditionalFormatting>
  <conditionalFormatting sqref="K117:K118">
    <cfRule type="cellIs" dxfId="1957" priority="538" operator="equal">
      <formula>1</formula>
    </cfRule>
  </conditionalFormatting>
  <conditionalFormatting sqref="D117:E117">
    <cfRule type="cellIs" dxfId="1956" priority="537" operator="equal">
      <formula>1</formula>
    </cfRule>
  </conditionalFormatting>
  <conditionalFormatting sqref="C117">
    <cfRule type="cellIs" dxfId="1955" priority="536" operator="equal">
      <formula>1</formula>
    </cfRule>
  </conditionalFormatting>
  <conditionalFormatting sqref="C117">
    <cfRule type="cellIs" dxfId="1954" priority="532" operator="equal">
      <formula>3</formula>
    </cfRule>
    <cfRule type="cellIs" dxfId="1953" priority="533" operator="equal">
      <formula>3</formula>
    </cfRule>
    <cfRule type="cellIs" dxfId="1952" priority="534" operator="equal">
      <formula>2</formula>
    </cfRule>
    <cfRule type="cellIs" dxfId="1951" priority="535" operator="equal">
      <formula>1</formula>
    </cfRule>
  </conditionalFormatting>
  <conditionalFormatting sqref="B118 B120">
    <cfRule type="cellIs" dxfId="1950" priority="531" operator="equal">
      <formula>1</formula>
    </cfRule>
  </conditionalFormatting>
  <conditionalFormatting sqref="D118:E118">
    <cfRule type="cellIs" dxfId="1949" priority="530" operator="equal">
      <formula>1</formula>
    </cfRule>
  </conditionalFormatting>
  <conditionalFormatting sqref="C118">
    <cfRule type="cellIs" dxfId="1948" priority="529" operator="equal">
      <formula>1</formula>
    </cfRule>
  </conditionalFormatting>
  <conditionalFormatting sqref="C118">
    <cfRule type="cellIs" dxfId="1947" priority="525" operator="equal">
      <formula>3</formula>
    </cfRule>
    <cfRule type="cellIs" dxfId="1946" priority="526" operator="equal">
      <formula>3</formula>
    </cfRule>
    <cfRule type="cellIs" dxfId="1945" priority="527" operator="equal">
      <formula>2</formula>
    </cfRule>
    <cfRule type="cellIs" dxfId="1944" priority="528" operator="equal">
      <formula>1</formula>
    </cfRule>
  </conditionalFormatting>
  <conditionalFormatting sqref="K120">
    <cfRule type="cellIs" dxfId="1943" priority="524" operator="equal">
      <formula>1</formula>
    </cfRule>
  </conditionalFormatting>
  <conditionalFormatting sqref="D121">
    <cfRule type="cellIs" dxfId="1942" priority="523" operator="equal">
      <formula>1</formula>
    </cfRule>
  </conditionalFormatting>
  <conditionalFormatting sqref="E121">
    <cfRule type="cellIs" dxfId="1941" priority="522" operator="equal">
      <formula>1</formula>
    </cfRule>
  </conditionalFormatting>
  <conditionalFormatting sqref="L121">
    <cfRule type="cellIs" dxfId="1940" priority="521" operator="equal">
      <formula>1</formula>
    </cfRule>
  </conditionalFormatting>
  <conditionalFormatting sqref="K121">
    <cfRule type="cellIs" dxfId="1939" priority="520" operator="equal">
      <formula>1</formula>
    </cfRule>
  </conditionalFormatting>
  <conditionalFormatting sqref="F121">
    <cfRule type="cellIs" dxfId="1938" priority="519" operator="equal">
      <formula>1</formula>
    </cfRule>
  </conditionalFormatting>
  <conditionalFormatting sqref="S116:T120">
    <cfRule type="cellIs" dxfId="1937" priority="518" operator="equal">
      <formula>1</formula>
    </cfRule>
  </conditionalFormatting>
  <conditionalFormatting sqref="K122">
    <cfRule type="cellIs" dxfId="1936" priority="517" operator="equal">
      <formula>1</formula>
    </cfRule>
  </conditionalFormatting>
  <conditionalFormatting sqref="L122">
    <cfRule type="cellIs" dxfId="1935" priority="516" operator="equal">
      <formula>1</formula>
    </cfRule>
  </conditionalFormatting>
  <conditionalFormatting sqref="C122">
    <cfRule type="cellIs" dxfId="1934" priority="515" operator="equal">
      <formula>1</formula>
    </cfRule>
  </conditionalFormatting>
  <conditionalFormatting sqref="C122">
    <cfRule type="cellIs" dxfId="1933" priority="511" operator="equal">
      <formula>3</formula>
    </cfRule>
    <cfRule type="cellIs" dxfId="1932" priority="512" operator="equal">
      <formula>3</formula>
    </cfRule>
    <cfRule type="cellIs" dxfId="1931" priority="513" operator="equal">
      <formula>2</formula>
    </cfRule>
    <cfRule type="cellIs" dxfId="1930" priority="514" operator="equal">
      <formula>1</formula>
    </cfRule>
  </conditionalFormatting>
  <conditionalFormatting sqref="B122:B123">
    <cfRule type="cellIs" dxfId="1929" priority="510" operator="equal">
      <formula>1</formula>
    </cfRule>
  </conditionalFormatting>
  <conditionalFormatting sqref="D122">
    <cfRule type="cellIs" dxfId="1928" priority="509" operator="equal">
      <formula>1</formula>
    </cfRule>
  </conditionalFormatting>
  <conditionalFormatting sqref="E122">
    <cfRule type="cellIs" dxfId="1927" priority="508" operator="equal">
      <formula>1</formula>
    </cfRule>
  </conditionalFormatting>
  <conditionalFormatting sqref="F122">
    <cfRule type="cellIs" dxfId="1926" priority="507" operator="equal">
      <formula>1</formula>
    </cfRule>
  </conditionalFormatting>
  <conditionalFormatting sqref="H123:J123">
    <cfRule type="cellIs" dxfId="1925" priority="506" operator="equal">
      <formula>1</formula>
    </cfRule>
  </conditionalFormatting>
  <conditionalFormatting sqref="K123">
    <cfRule type="cellIs" dxfId="1924" priority="505" operator="equal">
      <formula>1</formula>
    </cfRule>
  </conditionalFormatting>
  <conditionalFormatting sqref="L123">
    <cfRule type="cellIs" dxfId="1923" priority="504" operator="equal">
      <formula>1</formula>
    </cfRule>
  </conditionalFormatting>
  <conditionalFormatting sqref="F123">
    <cfRule type="cellIs" dxfId="1922" priority="503" operator="equal">
      <formula>1</formula>
    </cfRule>
  </conditionalFormatting>
  <conditionalFormatting sqref="E123">
    <cfRule type="cellIs" dxfId="1921" priority="502" operator="equal">
      <formula>1</formula>
    </cfRule>
  </conditionalFormatting>
  <conditionalFormatting sqref="C123">
    <cfRule type="cellIs" dxfId="1920" priority="501" operator="equal">
      <formula>1</formula>
    </cfRule>
  </conditionalFormatting>
  <conditionalFormatting sqref="C123">
    <cfRule type="cellIs" dxfId="1919" priority="497" operator="equal">
      <formula>3</formula>
    </cfRule>
    <cfRule type="cellIs" dxfId="1918" priority="498" operator="equal">
      <formula>3</formula>
    </cfRule>
    <cfRule type="cellIs" dxfId="1917" priority="499" operator="equal">
      <formula>2</formula>
    </cfRule>
    <cfRule type="cellIs" dxfId="1916" priority="500" operator="equal">
      <formula>1</formula>
    </cfRule>
  </conditionalFormatting>
  <conditionalFormatting sqref="B124 B126 B128">
    <cfRule type="cellIs" dxfId="1915" priority="496" operator="equal">
      <formula>1</formula>
    </cfRule>
  </conditionalFormatting>
  <conditionalFormatting sqref="F124">
    <cfRule type="cellIs" dxfId="1914" priority="495" operator="equal">
      <formula>1</formula>
    </cfRule>
  </conditionalFormatting>
  <conditionalFormatting sqref="E124">
    <cfRule type="cellIs" dxfId="1913" priority="494" operator="equal">
      <formula>1</formula>
    </cfRule>
  </conditionalFormatting>
  <conditionalFormatting sqref="C124">
    <cfRule type="cellIs" dxfId="1912" priority="493" operator="equal">
      <formula>1</formula>
    </cfRule>
  </conditionalFormatting>
  <conditionalFormatting sqref="C124">
    <cfRule type="cellIs" dxfId="1911" priority="489" operator="equal">
      <formula>3</formula>
    </cfRule>
    <cfRule type="cellIs" dxfId="1910" priority="490" operator="equal">
      <formula>3</formula>
    </cfRule>
    <cfRule type="cellIs" dxfId="1909" priority="491" operator="equal">
      <formula>2</formula>
    </cfRule>
    <cfRule type="cellIs" dxfId="1908" priority="492" operator="equal">
      <formula>1</formula>
    </cfRule>
  </conditionalFormatting>
  <conditionalFormatting sqref="D123:D124">
    <cfRule type="cellIs" dxfId="1907" priority="488" operator="equal">
      <formula>1</formula>
    </cfRule>
  </conditionalFormatting>
  <conditionalFormatting sqref="B125 B127">
    <cfRule type="cellIs" dxfId="1906" priority="487" operator="equal">
      <formula>1</formula>
    </cfRule>
  </conditionalFormatting>
  <conditionalFormatting sqref="E125">
    <cfRule type="cellIs" dxfId="1905" priority="486" operator="equal">
      <formula>1</formula>
    </cfRule>
  </conditionalFormatting>
  <conditionalFormatting sqref="C125">
    <cfRule type="cellIs" dxfId="1904" priority="485" operator="equal">
      <formula>1</formula>
    </cfRule>
  </conditionalFormatting>
  <conditionalFormatting sqref="C125">
    <cfRule type="cellIs" dxfId="1903" priority="481" operator="equal">
      <formula>3</formula>
    </cfRule>
    <cfRule type="cellIs" dxfId="1902" priority="482" operator="equal">
      <formula>3</formula>
    </cfRule>
    <cfRule type="cellIs" dxfId="1901" priority="483" operator="equal">
      <formula>2</formula>
    </cfRule>
    <cfRule type="cellIs" dxfId="1900" priority="484" operator="equal">
      <formula>1</formula>
    </cfRule>
  </conditionalFormatting>
  <conditionalFormatting sqref="D125">
    <cfRule type="cellIs" dxfId="1899" priority="480" operator="equal">
      <formula>1</formula>
    </cfRule>
  </conditionalFormatting>
  <conditionalFormatting sqref="K125">
    <cfRule type="cellIs" dxfId="1898" priority="479" operator="equal">
      <formula>1</formula>
    </cfRule>
  </conditionalFormatting>
  <conditionalFormatting sqref="H126:J126">
    <cfRule type="cellIs" dxfId="1897" priority="477" operator="equal">
      <formula>1</formula>
    </cfRule>
  </conditionalFormatting>
  <conditionalFormatting sqref="K126">
    <cfRule type="cellIs" dxfId="1896" priority="476" operator="equal">
      <formula>1</formula>
    </cfRule>
  </conditionalFormatting>
  <conditionalFormatting sqref="L126">
    <cfRule type="cellIs" dxfId="1895" priority="475" operator="equal">
      <formula>1</formula>
    </cfRule>
  </conditionalFormatting>
  <conditionalFormatting sqref="G127">
    <cfRule type="cellIs" dxfId="1894" priority="474" operator="equal">
      <formula>1</formula>
    </cfRule>
  </conditionalFormatting>
  <conditionalFormatting sqref="K127">
    <cfRule type="cellIs" dxfId="1893" priority="472" operator="equal">
      <formula>1</formula>
    </cfRule>
  </conditionalFormatting>
  <conditionalFormatting sqref="L127">
    <cfRule type="cellIs" dxfId="1892" priority="471" operator="equal">
      <formula>1</formula>
    </cfRule>
  </conditionalFormatting>
  <conditionalFormatting sqref="C128:G128">
    <cfRule type="cellIs" dxfId="1891" priority="470" operator="equal">
      <formula>1</formula>
    </cfRule>
  </conditionalFormatting>
  <conditionalFormatting sqref="C128">
    <cfRule type="cellIs" dxfId="1890" priority="466" operator="equal">
      <formula>3</formula>
    </cfRule>
    <cfRule type="cellIs" dxfId="1889" priority="467" operator="equal">
      <formula>3</formula>
    </cfRule>
    <cfRule type="cellIs" dxfId="1888" priority="468" operator="equal">
      <formula>2</formula>
    </cfRule>
    <cfRule type="cellIs" dxfId="1887" priority="469" operator="equal">
      <formula>1</formula>
    </cfRule>
  </conditionalFormatting>
  <conditionalFormatting sqref="H128:J128">
    <cfRule type="cellIs" dxfId="1886" priority="465" operator="equal">
      <formula>1</formula>
    </cfRule>
  </conditionalFormatting>
  <conditionalFormatting sqref="K128">
    <cfRule type="cellIs" dxfId="1885" priority="464" operator="equal">
      <formula>1</formula>
    </cfRule>
  </conditionalFormatting>
  <conditionalFormatting sqref="L128">
    <cfRule type="cellIs" dxfId="1884" priority="463" operator="equal">
      <formula>1</formula>
    </cfRule>
  </conditionalFormatting>
  <conditionalFormatting sqref="S122:T128">
    <cfRule type="cellIs" dxfId="1883" priority="462" operator="equal">
      <formula>1</formula>
    </cfRule>
  </conditionalFormatting>
  <conditionalFormatting sqref="C129">
    <cfRule type="cellIs" dxfId="1882" priority="461" operator="equal">
      <formula>1</formula>
    </cfRule>
  </conditionalFormatting>
  <conditionalFormatting sqref="C129">
    <cfRule type="cellIs" dxfId="1881" priority="457" operator="equal">
      <formula>3</formula>
    </cfRule>
    <cfRule type="cellIs" dxfId="1880" priority="458" operator="equal">
      <formula>3</formula>
    </cfRule>
    <cfRule type="cellIs" dxfId="1879" priority="459" operator="equal">
      <formula>2</formula>
    </cfRule>
    <cfRule type="cellIs" dxfId="1878" priority="460" operator="equal">
      <formula>1</formula>
    </cfRule>
  </conditionalFormatting>
  <conditionalFormatting sqref="D129">
    <cfRule type="cellIs" dxfId="1877" priority="456" operator="equal">
      <formula>1</formula>
    </cfRule>
  </conditionalFormatting>
  <conditionalFormatting sqref="E129">
    <cfRule type="cellIs" dxfId="1876" priority="455" operator="equal">
      <formula>1</formula>
    </cfRule>
  </conditionalFormatting>
  <conditionalFormatting sqref="B129">
    <cfRule type="cellIs" dxfId="1875" priority="453" operator="equal">
      <formula>1</formula>
    </cfRule>
  </conditionalFormatting>
  <conditionalFormatting sqref="I129:J129">
    <cfRule type="cellIs" dxfId="1874" priority="452" operator="equal">
      <formula>1</formula>
    </cfRule>
  </conditionalFormatting>
  <conditionalFormatting sqref="G130:H130">
    <cfRule type="cellIs" dxfId="1873" priority="449" operator="equal">
      <formula>1</formula>
    </cfRule>
  </conditionalFormatting>
  <conditionalFormatting sqref="C130">
    <cfRule type="cellIs" dxfId="1872" priority="448" operator="equal">
      <formula>1</formula>
    </cfRule>
  </conditionalFormatting>
  <conditionalFormatting sqref="C130">
    <cfRule type="cellIs" dxfId="1871" priority="444" operator="equal">
      <formula>3</formula>
    </cfRule>
    <cfRule type="cellIs" dxfId="1870" priority="445" operator="equal">
      <formula>3</formula>
    </cfRule>
    <cfRule type="cellIs" dxfId="1869" priority="446" operator="equal">
      <formula>2</formula>
    </cfRule>
    <cfRule type="cellIs" dxfId="1868" priority="447" operator="equal">
      <formula>1</formula>
    </cfRule>
  </conditionalFormatting>
  <conditionalFormatting sqref="F130">
    <cfRule type="cellIs" dxfId="1867" priority="441" operator="equal">
      <formula>1</formula>
    </cfRule>
  </conditionalFormatting>
  <conditionalFormatting sqref="B130">
    <cfRule type="cellIs" dxfId="1866" priority="440" operator="equal">
      <formula>1</formula>
    </cfRule>
  </conditionalFormatting>
  <conditionalFormatting sqref="I130:J130">
    <cfRule type="cellIs" dxfId="1865" priority="439" operator="equal">
      <formula>1</formula>
    </cfRule>
  </conditionalFormatting>
  <conditionalFormatting sqref="K130">
    <cfRule type="cellIs" dxfId="1864" priority="438" operator="equal">
      <formula>1</formula>
    </cfRule>
  </conditionalFormatting>
  <conditionalFormatting sqref="C131">
    <cfRule type="cellIs" dxfId="1863" priority="435" operator="equal">
      <formula>1</formula>
    </cfRule>
  </conditionalFormatting>
  <conditionalFormatting sqref="C131">
    <cfRule type="cellIs" dxfId="1862" priority="431" operator="equal">
      <formula>3</formula>
    </cfRule>
    <cfRule type="cellIs" dxfId="1861" priority="432" operator="equal">
      <formula>3</formula>
    </cfRule>
    <cfRule type="cellIs" dxfId="1860" priority="433" operator="equal">
      <formula>2</formula>
    </cfRule>
    <cfRule type="cellIs" dxfId="1859" priority="434" operator="equal">
      <formula>1</formula>
    </cfRule>
  </conditionalFormatting>
  <conditionalFormatting sqref="E131">
    <cfRule type="cellIs" dxfId="1858" priority="429" operator="equal">
      <formula>1</formula>
    </cfRule>
  </conditionalFormatting>
  <conditionalFormatting sqref="L133:L136">
    <cfRule type="cellIs" dxfId="1857" priority="426" operator="equal">
      <formula>1</formula>
    </cfRule>
  </conditionalFormatting>
  <conditionalFormatting sqref="D137">
    <cfRule type="cellIs" dxfId="1856" priority="420" operator="equal">
      <formula>1</formula>
    </cfRule>
  </conditionalFormatting>
  <conditionalFormatting sqref="F137">
    <cfRule type="cellIs" dxfId="1855" priority="418" operator="equal">
      <formula>1</formula>
    </cfRule>
  </conditionalFormatting>
  <conditionalFormatting sqref="C137">
    <cfRule type="cellIs" dxfId="1854" priority="425" operator="equal">
      <formula>1</formula>
    </cfRule>
  </conditionalFormatting>
  <conditionalFormatting sqref="C137">
    <cfRule type="cellIs" dxfId="1853" priority="421" operator="equal">
      <formula>3</formula>
    </cfRule>
    <cfRule type="cellIs" dxfId="1852" priority="422" operator="equal">
      <formula>3</formula>
    </cfRule>
    <cfRule type="cellIs" dxfId="1851" priority="423" operator="equal">
      <formula>2</formula>
    </cfRule>
    <cfRule type="cellIs" dxfId="1850" priority="424" operator="equal">
      <formula>1</formula>
    </cfRule>
  </conditionalFormatting>
  <conditionalFormatting sqref="E137">
    <cfRule type="cellIs" dxfId="1849" priority="419" operator="equal">
      <formula>1</formula>
    </cfRule>
  </conditionalFormatting>
  <conditionalFormatting sqref="G137:K137">
    <cfRule type="cellIs" dxfId="1848" priority="417" operator="equal">
      <formula>1</formula>
    </cfRule>
  </conditionalFormatting>
  <conditionalFormatting sqref="L137">
    <cfRule type="cellIs" dxfId="1847" priority="416" operator="equal">
      <formula>1</formula>
    </cfRule>
  </conditionalFormatting>
  <conditionalFormatting sqref="K138">
    <cfRule type="cellIs" dxfId="1846" priority="415" operator="equal">
      <formula>1</formula>
    </cfRule>
  </conditionalFormatting>
  <conditionalFormatting sqref="L138">
    <cfRule type="cellIs" dxfId="1845" priority="414" operator="equal">
      <formula>1</formula>
    </cfRule>
  </conditionalFormatting>
  <conditionalFormatting sqref="B138:B139">
    <cfRule type="cellIs" dxfId="1844" priority="413" operator="equal">
      <formula>1</formula>
    </cfRule>
  </conditionalFormatting>
  <conditionalFormatting sqref="D138">
    <cfRule type="cellIs" dxfId="1843" priority="407" operator="equal">
      <formula>1</formula>
    </cfRule>
  </conditionalFormatting>
  <conditionalFormatting sqref="F138">
    <cfRule type="cellIs" dxfId="1842" priority="405" operator="equal">
      <formula>1</formula>
    </cfRule>
  </conditionalFormatting>
  <conditionalFormatting sqref="C138">
    <cfRule type="cellIs" dxfId="1841" priority="412" operator="equal">
      <formula>1</formula>
    </cfRule>
  </conditionalFormatting>
  <conditionalFormatting sqref="C138">
    <cfRule type="cellIs" dxfId="1840" priority="408" operator="equal">
      <formula>3</formula>
    </cfRule>
    <cfRule type="cellIs" dxfId="1839" priority="409" operator="equal">
      <formula>3</formula>
    </cfRule>
    <cfRule type="cellIs" dxfId="1838" priority="410" operator="equal">
      <formula>2</formula>
    </cfRule>
    <cfRule type="cellIs" dxfId="1837" priority="411" operator="equal">
      <formula>1</formula>
    </cfRule>
  </conditionalFormatting>
  <conditionalFormatting sqref="E138">
    <cfRule type="cellIs" dxfId="1836" priority="406" operator="equal">
      <formula>1</formula>
    </cfRule>
  </conditionalFormatting>
  <conditionalFormatting sqref="I140:J140">
    <cfRule type="cellIs" dxfId="1835" priority="402" operator="equal">
      <formula>1</formula>
    </cfRule>
  </conditionalFormatting>
  <conditionalFormatting sqref="K140">
    <cfRule type="cellIs" dxfId="1834" priority="401" operator="equal">
      <formula>1</formula>
    </cfRule>
  </conditionalFormatting>
  <conditionalFormatting sqref="L140">
    <cfRule type="cellIs" dxfId="1833" priority="400" operator="equal">
      <formula>1</formula>
    </cfRule>
  </conditionalFormatting>
  <conditionalFormatting sqref="J139">
    <cfRule type="cellIs" dxfId="1832" priority="399" operator="equal">
      <formula>1</formula>
    </cfRule>
  </conditionalFormatting>
  <conditionalFormatting sqref="K139">
    <cfRule type="cellIs" dxfId="1831" priority="398" operator="equal">
      <formula>1</formula>
    </cfRule>
  </conditionalFormatting>
  <conditionalFormatting sqref="L139">
    <cfRule type="cellIs" dxfId="1830" priority="397" operator="equal">
      <formula>1</formula>
    </cfRule>
  </conditionalFormatting>
  <conditionalFormatting sqref="C140:E140">
    <cfRule type="cellIs" dxfId="1829" priority="396" operator="equal">
      <formula>1</formula>
    </cfRule>
  </conditionalFormatting>
  <conditionalFormatting sqref="C140">
    <cfRule type="cellIs" dxfId="1828" priority="392" operator="equal">
      <formula>3</formula>
    </cfRule>
    <cfRule type="cellIs" dxfId="1827" priority="393" operator="equal">
      <formula>3</formula>
    </cfRule>
    <cfRule type="cellIs" dxfId="1826" priority="394" operator="equal">
      <formula>2</formula>
    </cfRule>
    <cfRule type="cellIs" dxfId="1825" priority="395" operator="equal">
      <formula>1</formula>
    </cfRule>
  </conditionalFormatting>
  <conditionalFormatting sqref="B140">
    <cfRule type="cellIs" dxfId="1824" priority="391" operator="equal">
      <formula>1</formula>
    </cfRule>
  </conditionalFormatting>
  <conditionalFormatting sqref="H141">
    <cfRule type="cellIs" dxfId="1823" priority="390" operator="equal">
      <formula>1</formula>
    </cfRule>
  </conditionalFormatting>
  <conditionalFormatting sqref="I141:J141">
    <cfRule type="cellIs" dxfId="1822" priority="389" operator="equal">
      <formula>1</formula>
    </cfRule>
  </conditionalFormatting>
  <conditionalFormatting sqref="K141">
    <cfRule type="cellIs" dxfId="1821" priority="388" operator="equal">
      <formula>1</formula>
    </cfRule>
  </conditionalFormatting>
  <conditionalFormatting sqref="L141">
    <cfRule type="cellIs" dxfId="1820" priority="387" operator="equal">
      <formula>1</formula>
    </cfRule>
  </conditionalFormatting>
  <conditionalFormatting sqref="C141:F141 F140">
    <cfRule type="cellIs" dxfId="1819" priority="386" operator="equal">
      <formula>1</formula>
    </cfRule>
  </conditionalFormatting>
  <conditionalFormatting sqref="C141">
    <cfRule type="cellIs" dxfId="1818" priority="382" operator="equal">
      <formula>3</formula>
    </cfRule>
    <cfRule type="cellIs" dxfId="1817" priority="383" operator="equal">
      <formula>3</formula>
    </cfRule>
    <cfRule type="cellIs" dxfId="1816" priority="384" operator="equal">
      <formula>2</formula>
    </cfRule>
    <cfRule type="cellIs" dxfId="1815" priority="385" operator="equal">
      <formula>1</formula>
    </cfRule>
  </conditionalFormatting>
  <conditionalFormatting sqref="B141">
    <cfRule type="cellIs" dxfId="1814" priority="381" operator="equal">
      <formula>1</formula>
    </cfRule>
  </conditionalFormatting>
  <conditionalFormatting sqref="I142:J142">
    <cfRule type="cellIs" dxfId="1813" priority="380" operator="equal">
      <formula>1</formula>
    </cfRule>
  </conditionalFormatting>
  <conditionalFormatting sqref="K142">
    <cfRule type="cellIs" dxfId="1812" priority="379" operator="equal">
      <formula>1</formula>
    </cfRule>
  </conditionalFormatting>
  <conditionalFormatting sqref="L142">
    <cfRule type="cellIs" dxfId="1811" priority="378" operator="equal">
      <formula>1</formula>
    </cfRule>
  </conditionalFormatting>
  <conditionalFormatting sqref="L143">
    <cfRule type="cellIs" dxfId="1810" priority="377" operator="equal">
      <formula>1</formula>
    </cfRule>
  </conditionalFormatting>
  <conditionalFormatting sqref="K144">
    <cfRule type="cellIs" dxfId="1809" priority="376" operator="equal">
      <formula>1</formula>
    </cfRule>
  </conditionalFormatting>
  <conditionalFormatting sqref="L144">
    <cfRule type="cellIs" dxfId="1808" priority="375" operator="equal">
      <formula>1</formula>
    </cfRule>
  </conditionalFormatting>
  <conditionalFormatting sqref="D144">
    <cfRule type="cellIs" dxfId="1807" priority="374" operator="equal">
      <formula>1</formula>
    </cfRule>
  </conditionalFormatting>
  <conditionalFormatting sqref="F144">
    <cfRule type="cellIs" dxfId="1806" priority="372" operator="equal">
      <formula>1</formula>
    </cfRule>
  </conditionalFormatting>
  <conditionalFormatting sqref="E144">
    <cfRule type="cellIs" dxfId="1805" priority="373" operator="equal">
      <formula>1</formula>
    </cfRule>
  </conditionalFormatting>
  <conditionalFormatting sqref="P142:P143">
    <cfRule type="cellIs" dxfId="1804" priority="371" operator="equal">
      <formula>1</formula>
    </cfRule>
  </conditionalFormatting>
  <conditionalFormatting sqref="B145:C145">
    <cfRule type="cellIs" dxfId="1803" priority="370" operator="equal">
      <formula>1</formula>
    </cfRule>
  </conditionalFormatting>
  <conditionalFormatting sqref="C145">
    <cfRule type="cellIs" dxfId="1802" priority="366" operator="equal">
      <formula>3</formula>
    </cfRule>
    <cfRule type="cellIs" dxfId="1801" priority="367" operator="equal">
      <formula>3</formula>
    </cfRule>
    <cfRule type="cellIs" dxfId="1800" priority="368" operator="equal">
      <formula>2</formula>
    </cfRule>
    <cfRule type="cellIs" dxfId="1799" priority="369" operator="equal">
      <formula>1</formula>
    </cfRule>
  </conditionalFormatting>
  <conditionalFormatting sqref="D145">
    <cfRule type="cellIs" dxfId="1798" priority="365" operator="equal">
      <formula>1</formula>
    </cfRule>
  </conditionalFormatting>
  <conditionalFormatting sqref="F145">
    <cfRule type="cellIs" dxfId="1797" priority="363" operator="equal">
      <formula>1</formula>
    </cfRule>
  </conditionalFormatting>
  <conditionalFormatting sqref="E145">
    <cfRule type="cellIs" dxfId="1796" priority="364" operator="equal">
      <formula>1</formula>
    </cfRule>
  </conditionalFormatting>
  <conditionalFormatting sqref="K145">
    <cfRule type="cellIs" dxfId="1795" priority="362" operator="equal">
      <formula>1</formula>
    </cfRule>
  </conditionalFormatting>
  <conditionalFormatting sqref="L145">
    <cfRule type="cellIs" dxfId="1794" priority="361" operator="equal">
      <formula>1</formula>
    </cfRule>
  </conditionalFormatting>
  <conditionalFormatting sqref="P144">
    <cfRule type="cellIs" dxfId="1793" priority="360" operator="equal">
      <formula>1</formula>
    </cfRule>
  </conditionalFormatting>
  <conditionalFormatting sqref="K146">
    <cfRule type="cellIs" dxfId="1792" priority="359" operator="equal">
      <formula>1</formula>
    </cfRule>
  </conditionalFormatting>
  <conditionalFormatting sqref="L146">
    <cfRule type="cellIs" dxfId="1791" priority="358" operator="equal">
      <formula>1</formula>
    </cfRule>
  </conditionalFormatting>
  <conditionalFormatting sqref="D146">
    <cfRule type="cellIs" dxfId="1790" priority="357" operator="equal">
      <formula>1</formula>
    </cfRule>
  </conditionalFormatting>
  <conditionalFormatting sqref="B147:C147 E147:J147">
    <cfRule type="cellIs" dxfId="1789" priority="356" operator="equal">
      <formula>1</formula>
    </cfRule>
  </conditionalFormatting>
  <conditionalFormatting sqref="C147">
    <cfRule type="cellIs" dxfId="1788" priority="352" operator="equal">
      <formula>3</formula>
    </cfRule>
    <cfRule type="cellIs" dxfId="1787" priority="353" operator="equal">
      <formula>3</formula>
    </cfRule>
    <cfRule type="cellIs" dxfId="1786" priority="354" operator="equal">
      <formula>2</formula>
    </cfRule>
    <cfRule type="cellIs" dxfId="1785" priority="355" operator="equal">
      <formula>1</formula>
    </cfRule>
  </conditionalFormatting>
  <conditionalFormatting sqref="K147">
    <cfRule type="cellIs" dxfId="1784" priority="351" operator="equal">
      <formula>1</formula>
    </cfRule>
  </conditionalFormatting>
  <conditionalFormatting sqref="D147">
    <cfRule type="cellIs" dxfId="1783" priority="350" operator="equal">
      <formula>1</formula>
    </cfRule>
  </conditionalFormatting>
  <conditionalFormatting sqref="E148:J148 B148:C149 H149:J149">
    <cfRule type="cellIs" dxfId="1782" priority="349" operator="equal">
      <formula>1</formula>
    </cfRule>
  </conditionalFormatting>
  <conditionalFormatting sqref="C148:C149">
    <cfRule type="cellIs" dxfId="1781" priority="345" operator="equal">
      <formula>3</formula>
    </cfRule>
    <cfRule type="cellIs" dxfId="1780" priority="346" operator="equal">
      <formula>3</formula>
    </cfRule>
    <cfRule type="cellIs" dxfId="1779" priority="347" operator="equal">
      <formula>2</formula>
    </cfRule>
    <cfRule type="cellIs" dxfId="1778" priority="348" operator="equal">
      <formula>1</formula>
    </cfRule>
  </conditionalFormatting>
  <conditionalFormatting sqref="K148:K149">
    <cfRule type="cellIs" dxfId="1777" priority="344" operator="equal">
      <formula>1</formula>
    </cfRule>
  </conditionalFormatting>
  <conditionalFormatting sqref="L148:L149">
    <cfRule type="cellIs" dxfId="1776" priority="343" operator="equal">
      <formula>1</formula>
    </cfRule>
  </conditionalFormatting>
  <conditionalFormatting sqref="D148">
    <cfRule type="cellIs" dxfId="1775" priority="342" operator="equal">
      <formula>1</formula>
    </cfRule>
  </conditionalFormatting>
  <conditionalFormatting sqref="K150">
    <cfRule type="cellIs" dxfId="1774" priority="341" operator="equal">
      <formula>1</formula>
    </cfRule>
  </conditionalFormatting>
  <conditionalFormatting sqref="L150">
    <cfRule type="cellIs" dxfId="1773" priority="340" operator="equal">
      <formula>1</formula>
    </cfRule>
  </conditionalFormatting>
  <conditionalFormatting sqref="K151:K152">
    <cfRule type="cellIs" dxfId="1772" priority="339" operator="equal">
      <formula>1</formula>
    </cfRule>
  </conditionalFormatting>
  <conditionalFormatting sqref="L151:L152">
    <cfRule type="cellIs" dxfId="1771" priority="338" operator="equal">
      <formula>1</formula>
    </cfRule>
  </conditionalFormatting>
  <conditionalFormatting sqref="S148:T152">
    <cfRule type="cellIs" dxfId="1770" priority="337" operator="equal">
      <formula>1</formula>
    </cfRule>
  </conditionalFormatting>
  <conditionalFormatting sqref="D150:F150">
    <cfRule type="cellIs" dxfId="1769" priority="336" operator="equal">
      <formula>1</formula>
    </cfRule>
  </conditionalFormatting>
  <conditionalFormatting sqref="B150:C150">
    <cfRule type="cellIs" dxfId="1768" priority="335" operator="equal">
      <formula>1</formula>
    </cfRule>
  </conditionalFormatting>
  <conditionalFormatting sqref="C150">
    <cfRule type="cellIs" dxfId="1767" priority="331" operator="equal">
      <formula>3</formula>
    </cfRule>
    <cfRule type="cellIs" dxfId="1766" priority="332" operator="equal">
      <formula>3</formula>
    </cfRule>
    <cfRule type="cellIs" dxfId="1765" priority="333" operator="equal">
      <formula>2</formula>
    </cfRule>
    <cfRule type="cellIs" dxfId="1764" priority="334" operator="equal">
      <formula>1</formula>
    </cfRule>
  </conditionalFormatting>
  <conditionalFormatting sqref="D151:F151">
    <cfRule type="cellIs" dxfId="1763" priority="330" operator="equal">
      <formula>1</formula>
    </cfRule>
  </conditionalFormatting>
  <conditionalFormatting sqref="B151:C151">
    <cfRule type="cellIs" dxfId="1762" priority="329" operator="equal">
      <formula>1</formula>
    </cfRule>
  </conditionalFormatting>
  <conditionalFormatting sqref="C151">
    <cfRule type="cellIs" dxfId="1761" priority="325" operator="equal">
      <formula>3</formula>
    </cfRule>
    <cfRule type="cellIs" dxfId="1760" priority="326" operator="equal">
      <formula>3</formula>
    </cfRule>
    <cfRule type="cellIs" dxfId="1759" priority="327" operator="equal">
      <formula>2</formula>
    </cfRule>
    <cfRule type="cellIs" dxfId="1758" priority="328" operator="equal">
      <formula>1</formula>
    </cfRule>
  </conditionalFormatting>
  <conditionalFormatting sqref="B152">
    <cfRule type="cellIs" dxfId="1757" priority="324" operator="equal">
      <formula>1</formula>
    </cfRule>
  </conditionalFormatting>
  <conditionalFormatting sqref="C153:J153">
    <cfRule type="cellIs" dxfId="1756" priority="323" operator="equal">
      <formula>1</formula>
    </cfRule>
  </conditionalFormatting>
  <conditionalFormatting sqref="C153">
    <cfRule type="cellIs" dxfId="1755" priority="319" operator="equal">
      <formula>3</formula>
    </cfRule>
    <cfRule type="cellIs" dxfId="1754" priority="320" operator="equal">
      <formula>3</formula>
    </cfRule>
    <cfRule type="cellIs" dxfId="1753" priority="321" operator="equal">
      <formula>2</formula>
    </cfRule>
    <cfRule type="cellIs" dxfId="1752" priority="322" operator="equal">
      <formula>1</formula>
    </cfRule>
  </conditionalFormatting>
  <conditionalFormatting sqref="K153">
    <cfRule type="cellIs" dxfId="1751" priority="318" operator="equal">
      <formula>1</formula>
    </cfRule>
  </conditionalFormatting>
  <conditionalFormatting sqref="L153">
    <cfRule type="cellIs" dxfId="1750" priority="317" operator="equal">
      <formula>1</formula>
    </cfRule>
  </conditionalFormatting>
  <conditionalFormatting sqref="B153">
    <cfRule type="cellIs" dxfId="1749" priority="316" operator="equal">
      <formula>1</formula>
    </cfRule>
  </conditionalFormatting>
  <conditionalFormatting sqref="C154:E154">
    <cfRule type="cellIs" dxfId="1748" priority="315" operator="equal">
      <formula>1</formula>
    </cfRule>
  </conditionalFormatting>
  <conditionalFormatting sqref="C154">
    <cfRule type="cellIs" dxfId="1747" priority="311" operator="equal">
      <formula>3</formula>
    </cfRule>
    <cfRule type="cellIs" dxfId="1746" priority="312" operator="equal">
      <formula>3</formula>
    </cfRule>
    <cfRule type="cellIs" dxfId="1745" priority="313" operator="equal">
      <formula>2</formula>
    </cfRule>
    <cfRule type="cellIs" dxfId="1744" priority="314" operator="equal">
      <formula>1</formula>
    </cfRule>
  </conditionalFormatting>
  <conditionalFormatting sqref="B154">
    <cfRule type="cellIs" dxfId="1743" priority="310" operator="equal">
      <formula>1</formula>
    </cfRule>
  </conditionalFormatting>
  <conditionalFormatting sqref="D155:F155">
    <cfRule type="cellIs" dxfId="1742" priority="309" operator="equal">
      <formula>1</formula>
    </cfRule>
  </conditionalFormatting>
  <conditionalFormatting sqref="C155">
    <cfRule type="cellIs" dxfId="1741" priority="308" operator="equal">
      <formula>1</formula>
    </cfRule>
  </conditionalFormatting>
  <conditionalFormatting sqref="C155">
    <cfRule type="cellIs" dxfId="1740" priority="304" operator="equal">
      <formula>3</formula>
    </cfRule>
    <cfRule type="cellIs" dxfId="1739" priority="305" operator="equal">
      <formula>3</formula>
    </cfRule>
    <cfRule type="cellIs" dxfId="1738" priority="306" operator="equal">
      <formula>2</formula>
    </cfRule>
    <cfRule type="cellIs" dxfId="1737" priority="307" operator="equal">
      <formula>1</formula>
    </cfRule>
  </conditionalFormatting>
  <conditionalFormatting sqref="B155">
    <cfRule type="cellIs" dxfId="1736" priority="303" operator="equal">
      <formula>1</formula>
    </cfRule>
  </conditionalFormatting>
  <conditionalFormatting sqref="G156:L156 G157">
    <cfRule type="cellIs" dxfId="1735" priority="302" operator="equal">
      <formula>1</formula>
    </cfRule>
  </conditionalFormatting>
  <conditionalFormatting sqref="D156:F156">
    <cfRule type="cellIs" dxfId="1734" priority="301" operator="equal">
      <formula>1</formula>
    </cfRule>
  </conditionalFormatting>
  <conditionalFormatting sqref="C156">
    <cfRule type="cellIs" dxfId="1733" priority="300" operator="equal">
      <formula>1</formula>
    </cfRule>
  </conditionalFormatting>
  <conditionalFormatting sqref="C156">
    <cfRule type="cellIs" dxfId="1732" priority="296" operator="equal">
      <formula>3</formula>
    </cfRule>
    <cfRule type="cellIs" dxfId="1731" priority="297" operator="equal">
      <formula>3</formula>
    </cfRule>
    <cfRule type="cellIs" dxfId="1730" priority="298" operator="equal">
      <formula>2</formula>
    </cfRule>
    <cfRule type="cellIs" dxfId="1729" priority="299" operator="equal">
      <formula>1</formula>
    </cfRule>
  </conditionalFormatting>
  <conditionalFormatting sqref="B156">
    <cfRule type="cellIs" dxfId="1728" priority="295" operator="equal">
      <formula>1</formula>
    </cfRule>
  </conditionalFormatting>
  <conditionalFormatting sqref="H159:I160">
    <cfRule type="cellIs" dxfId="1727" priority="267" operator="equal">
      <formula>1</formula>
    </cfRule>
  </conditionalFormatting>
  <conditionalFormatting sqref="C157">
    <cfRule type="cellIs" dxfId="1726" priority="286" operator="equal">
      <formula>1</formula>
    </cfRule>
  </conditionalFormatting>
  <conditionalFormatting sqref="C157">
    <cfRule type="cellIs" dxfId="1725" priority="282" operator="equal">
      <formula>3</formula>
    </cfRule>
    <cfRule type="cellIs" dxfId="1724" priority="283" operator="equal">
      <formula>3</formula>
    </cfRule>
    <cfRule type="cellIs" dxfId="1723" priority="284" operator="equal">
      <formula>2</formula>
    </cfRule>
    <cfRule type="cellIs" dxfId="1722" priority="285" operator="equal">
      <formula>1</formula>
    </cfRule>
  </conditionalFormatting>
  <conditionalFormatting sqref="B157">
    <cfRule type="cellIs" dxfId="1721" priority="281" operator="equal">
      <formula>1</formula>
    </cfRule>
  </conditionalFormatting>
  <conditionalFormatting sqref="B158">
    <cfRule type="cellIs" dxfId="1720" priority="280" operator="equal">
      <formula>1</formula>
    </cfRule>
  </conditionalFormatting>
  <conditionalFormatting sqref="D157:F157">
    <cfRule type="cellIs" dxfId="1719" priority="279" operator="equal">
      <formula>1</formula>
    </cfRule>
  </conditionalFormatting>
  <conditionalFormatting sqref="J157:L157">
    <cfRule type="cellIs" dxfId="1718" priority="278" operator="equal">
      <formula>1</formula>
    </cfRule>
  </conditionalFormatting>
  <conditionalFormatting sqref="H157:I157">
    <cfRule type="cellIs" dxfId="1717" priority="277" operator="equal">
      <formula>1</formula>
    </cfRule>
  </conditionalFormatting>
  <conditionalFormatting sqref="J158:L158">
    <cfRule type="cellIs" dxfId="1716" priority="276" operator="equal">
      <formula>1</formula>
    </cfRule>
  </conditionalFormatting>
  <conditionalFormatting sqref="H158:I158">
    <cfRule type="cellIs" dxfId="1715" priority="275" operator="equal">
      <formula>1</formula>
    </cfRule>
  </conditionalFormatting>
  <conditionalFormatting sqref="C159:G159">
    <cfRule type="cellIs" dxfId="1714" priority="274" operator="equal">
      <formula>1</formula>
    </cfRule>
  </conditionalFormatting>
  <conditionalFormatting sqref="C159">
    <cfRule type="cellIs" dxfId="1713" priority="270" operator="equal">
      <formula>3</formula>
    </cfRule>
    <cfRule type="cellIs" dxfId="1712" priority="271" operator="equal">
      <formula>3</formula>
    </cfRule>
    <cfRule type="cellIs" dxfId="1711" priority="272" operator="equal">
      <formula>2</formula>
    </cfRule>
    <cfRule type="cellIs" dxfId="1710" priority="273" operator="equal">
      <formula>1</formula>
    </cfRule>
  </conditionalFormatting>
  <conditionalFormatting sqref="B159:B160">
    <cfRule type="cellIs" dxfId="1709" priority="269" operator="equal">
      <formula>1</formula>
    </cfRule>
  </conditionalFormatting>
  <conditionalFormatting sqref="J159:L160">
    <cfRule type="cellIs" dxfId="1708" priority="268" operator="equal">
      <formula>1</formula>
    </cfRule>
  </conditionalFormatting>
  <conditionalFormatting sqref="K161:L161">
    <cfRule type="cellIs" dxfId="1707" priority="266" operator="equal">
      <formula>1</formula>
    </cfRule>
  </conditionalFormatting>
  <conditionalFormatting sqref="C161:F161">
    <cfRule type="cellIs" dxfId="1706" priority="265" operator="equal">
      <formula>1</formula>
    </cfRule>
  </conditionalFormatting>
  <conditionalFormatting sqref="C161">
    <cfRule type="cellIs" dxfId="1705" priority="261" operator="equal">
      <formula>3</formula>
    </cfRule>
    <cfRule type="cellIs" dxfId="1704" priority="262" operator="equal">
      <formula>3</formula>
    </cfRule>
    <cfRule type="cellIs" dxfId="1703" priority="263" operator="equal">
      <formula>2</formula>
    </cfRule>
    <cfRule type="cellIs" dxfId="1702" priority="264" operator="equal">
      <formula>1</formula>
    </cfRule>
  </conditionalFormatting>
  <conditionalFormatting sqref="B161">
    <cfRule type="cellIs" dxfId="1701" priority="260" operator="equal">
      <formula>1</formula>
    </cfRule>
  </conditionalFormatting>
  <conditionalFormatting sqref="C162:F162">
    <cfRule type="cellIs" dxfId="1700" priority="259" operator="equal">
      <formula>1</formula>
    </cfRule>
  </conditionalFormatting>
  <conditionalFormatting sqref="C162">
    <cfRule type="cellIs" dxfId="1699" priority="255" operator="equal">
      <formula>3</formula>
    </cfRule>
    <cfRule type="cellIs" dxfId="1698" priority="256" operator="equal">
      <formula>3</formula>
    </cfRule>
    <cfRule type="cellIs" dxfId="1697" priority="257" operator="equal">
      <formula>2</formula>
    </cfRule>
    <cfRule type="cellIs" dxfId="1696" priority="258" operator="equal">
      <formula>1</formula>
    </cfRule>
  </conditionalFormatting>
  <conditionalFormatting sqref="B162">
    <cfRule type="cellIs" dxfId="1695" priority="254" operator="equal">
      <formula>1</formula>
    </cfRule>
  </conditionalFormatting>
  <conditionalFormatting sqref="B163">
    <cfRule type="cellIs" dxfId="1694" priority="253" operator="equal">
      <formula>1</formula>
    </cfRule>
  </conditionalFormatting>
  <conditionalFormatting sqref="B164:B166">
    <cfRule type="cellIs" dxfId="1693" priority="252" operator="equal">
      <formula>1</formula>
    </cfRule>
  </conditionalFormatting>
  <conditionalFormatting sqref="K166">
    <cfRule type="cellIs" dxfId="1692" priority="251" operator="equal">
      <formula>1</formula>
    </cfRule>
  </conditionalFormatting>
  <conditionalFormatting sqref="J166">
    <cfRule type="cellIs" dxfId="1691" priority="250" operator="equal">
      <formula>1</formula>
    </cfRule>
  </conditionalFormatting>
  <conditionalFormatting sqref="L167">
    <cfRule type="cellIs" dxfId="1690" priority="249" operator="equal">
      <formula>1</formula>
    </cfRule>
  </conditionalFormatting>
  <conditionalFormatting sqref="C167">
    <cfRule type="cellIs" dxfId="1689" priority="245" operator="equal">
      <formula>3</formula>
    </cfRule>
    <cfRule type="cellIs" dxfId="1688" priority="246" operator="equal">
      <formula>3</formula>
    </cfRule>
    <cfRule type="cellIs" dxfId="1687" priority="247" operator="equal">
      <formula>2</formula>
    </cfRule>
    <cfRule type="cellIs" dxfId="1686" priority="248" operator="equal">
      <formula>1</formula>
    </cfRule>
  </conditionalFormatting>
  <conditionalFormatting sqref="B167">
    <cfRule type="cellIs" dxfId="1685" priority="244" operator="equal">
      <formula>1</formula>
    </cfRule>
  </conditionalFormatting>
  <conditionalFormatting sqref="K167">
    <cfRule type="cellIs" dxfId="1684" priority="243" operator="equal">
      <formula>1</formula>
    </cfRule>
  </conditionalFormatting>
  <conditionalFormatting sqref="J167">
    <cfRule type="cellIs" dxfId="1683" priority="242" operator="equal">
      <formula>1</formula>
    </cfRule>
  </conditionalFormatting>
  <conditionalFormatting sqref="L168:L169 L171">
    <cfRule type="cellIs" dxfId="1682" priority="241" operator="equal">
      <formula>1</formula>
    </cfRule>
  </conditionalFormatting>
  <conditionalFormatting sqref="K168:K169 K171">
    <cfRule type="cellIs" dxfId="1681" priority="240" operator="equal">
      <formula>1</formula>
    </cfRule>
  </conditionalFormatting>
  <conditionalFormatting sqref="J168:J169 J171">
    <cfRule type="cellIs" dxfId="1680" priority="239" operator="equal">
      <formula>1</formula>
    </cfRule>
  </conditionalFormatting>
  <conditionalFormatting sqref="C168:E168 C169 C171">
    <cfRule type="cellIs" dxfId="1679" priority="238" operator="equal">
      <formula>1</formula>
    </cfRule>
  </conditionalFormatting>
  <conditionalFormatting sqref="C168:C169 C171">
    <cfRule type="cellIs" dxfId="1678" priority="234" operator="equal">
      <formula>3</formula>
    </cfRule>
    <cfRule type="cellIs" dxfId="1677" priority="235" operator="equal">
      <formula>3</formula>
    </cfRule>
    <cfRule type="cellIs" dxfId="1676" priority="236" operator="equal">
      <formula>2</formula>
    </cfRule>
    <cfRule type="cellIs" dxfId="1675" priority="237" operator="equal">
      <formula>1</formula>
    </cfRule>
  </conditionalFormatting>
  <conditionalFormatting sqref="B168:B169 B171">
    <cfRule type="cellIs" dxfId="1674" priority="233" operator="equal">
      <formula>1</formula>
    </cfRule>
  </conditionalFormatting>
  <conditionalFormatting sqref="B172">
    <cfRule type="cellIs" dxfId="1673" priority="232" operator="equal">
      <formula>1</formula>
    </cfRule>
  </conditionalFormatting>
  <conditionalFormatting sqref="C173:L173 K174:L174">
    <cfRule type="cellIs" dxfId="1672" priority="231" operator="equal">
      <formula>1</formula>
    </cfRule>
  </conditionalFormatting>
  <conditionalFormatting sqref="C173">
    <cfRule type="cellIs" dxfId="1671" priority="227" operator="equal">
      <formula>3</formula>
    </cfRule>
    <cfRule type="cellIs" dxfId="1670" priority="228" operator="equal">
      <formula>3</formula>
    </cfRule>
    <cfRule type="cellIs" dxfId="1669" priority="229" operator="equal">
      <formula>2</formula>
    </cfRule>
    <cfRule type="cellIs" dxfId="1668" priority="230" operator="equal">
      <formula>1</formula>
    </cfRule>
  </conditionalFormatting>
  <conditionalFormatting sqref="B173:B175">
    <cfRule type="cellIs" dxfId="1667" priority="226" operator="equal">
      <formula>1</formula>
    </cfRule>
  </conditionalFormatting>
  <conditionalFormatting sqref="F167">
    <cfRule type="cellIs" dxfId="1666" priority="214" operator="equal">
      <formula>1</formula>
    </cfRule>
  </conditionalFormatting>
  <conditionalFormatting sqref="F181">
    <cfRule type="cellIs" dxfId="1665" priority="213" operator="equal">
      <formula>1</formula>
    </cfRule>
  </conditionalFormatting>
  <conditionalFormatting sqref="D182:E182">
    <cfRule type="cellIs" dxfId="1664" priority="211" operator="equal">
      <formula>1</formula>
    </cfRule>
  </conditionalFormatting>
  <conditionalFormatting sqref="F182">
    <cfRule type="cellIs" dxfId="1663" priority="210" operator="equal">
      <formula>1</formula>
    </cfRule>
  </conditionalFormatting>
  <conditionalFormatting sqref="E186">
    <cfRule type="cellIs" dxfId="1662" priority="209" operator="equal">
      <formula>1</formula>
    </cfRule>
  </conditionalFormatting>
  <conditionalFormatting sqref="F186">
    <cfRule type="cellIs" dxfId="1661" priority="208" operator="equal">
      <formula>1</formula>
    </cfRule>
  </conditionalFormatting>
  <conditionalFormatting sqref="F184:F185">
    <cfRule type="cellIs" dxfId="1660" priority="207" operator="equal">
      <formula>1</formula>
    </cfRule>
  </conditionalFormatting>
  <conditionalFormatting sqref="P192:P193">
    <cfRule type="cellIs" dxfId="1659" priority="206" operator="equal">
      <formula>1</formula>
    </cfRule>
  </conditionalFormatting>
  <conditionalFormatting sqref="E193">
    <cfRule type="cellIs" dxfId="1658" priority="205" operator="equal">
      <formula>1</formula>
    </cfRule>
  </conditionalFormatting>
  <conditionalFormatting sqref="S189:T205">
    <cfRule type="cellIs" dxfId="1657" priority="204" operator="equal">
      <formula>1</formula>
    </cfRule>
  </conditionalFormatting>
  <conditionalFormatting sqref="AC170:XFD170 D170:I170 A170 M170:AA170">
    <cfRule type="cellIs" dxfId="1656" priority="203" operator="equal">
      <formula>1</formula>
    </cfRule>
  </conditionalFormatting>
  <conditionalFormatting sqref="L170">
    <cfRule type="cellIs" dxfId="1655" priority="202" operator="equal">
      <formula>1</formula>
    </cfRule>
  </conditionalFormatting>
  <conditionalFormatting sqref="K170">
    <cfRule type="cellIs" dxfId="1654" priority="201" operator="equal">
      <formula>1</formula>
    </cfRule>
  </conditionalFormatting>
  <conditionalFormatting sqref="J170">
    <cfRule type="cellIs" dxfId="1653" priority="200" operator="equal">
      <formula>1</formula>
    </cfRule>
  </conditionalFormatting>
  <conditionalFormatting sqref="C170">
    <cfRule type="cellIs" dxfId="1652" priority="199" operator="equal">
      <formula>1</formula>
    </cfRule>
  </conditionalFormatting>
  <conditionalFormatting sqref="C170">
    <cfRule type="cellIs" dxfId="1651" priority="195" operator="equal">
      <formula>3</formula>
    </cfRule>
    <cfRule type="cellIs" dxfId="1650" priority="196" operator="equal">
      <formula>3</formula>
    </cfRule>
    <cfRule type="cellIs" dxfId="1649" priority="197" operator="equal">
      <formula>2</formula>
    </cfRule>
    <cfRule type="cellIs" dxfId="1648" priority="198" operator="equal">
      <formula>1</formula>
    </cfRule>
  </conditionalFormatting>
  <conditionalFormatting sqref="B170">
    <cfRule type="cellIs" dxfId="1647" priority="194" operator="equal">
      <formula>1</formula>
    </cfRule>
  </conditionalFormatting>
  <conditionalFormatting sqref="S218:T218 T219:T224">
    <cfRule type="cellIs" dxfId="1646" priority="193" operator="equal">
      <formula>1</formula>
    </cfRule>
  </conditionalFormatting>
  <conditionalFormatting sqref="C276:C278">
    <cfRule type="cellIs" dxfId="1645" priority="188" operator="equal">
      <formula>3</formula>
    </cfRule>
    <cfRule type="cellIs" dxfId="1644" priority="189" operator="equal">
      <formula>3</formula>
    </cfRule>
    <cfRule type="cellIs" dxfId="1643" priority="190" operator="equal">
      <formula>2</formula>
    </cfRule>
    <cfRule type="cellIs" dxfId="1642" priority="191" operator="equal">
      <formula>1</formula>
    </cfRule>
  </conditionalFormatting>
  <conditionalFormatting sqref="AC276:XFD278 A276:AA277 G279 B279 A278:R278 U278:AA278 S278:T281">
    <cfRule type="cellIs" dxfId="1641" priority="192" operator="equal">
      <formula>1</formula>
    </cfRule>
  </conditionalFormatting>
  <conditionalFormatting sqref="I279:L279">
    <cfRule type="cellIs" dxfId="1640" priority="187" operator="equal">
      <formula>1</formula>
    </cfRule>
  </conditionalFormatting>
  <conditionalFormatting sqref="M279">
    <cfRule type="cellIs" dxfId="1639" priority="186" operator="equal">
      <formula>1</formula>
    </cfRule>
  </conditionalFormatting>
  <conditionalFormatting sqref="C280:F280">
    <cfRule type="cellIs" dxfId="1638" priority="185" operator="equal">
      <formula>1</formula>
    </cfRule>
  </conditionalFormatting>
  <conditionalFormatting sqref="C280">
    <cfRule type="cellIs" dxfId="1637" priority="181" operator="equal">
      <formula>3</formula>
    </cfRule>
    <cfRule type="cellIs" dxfId="1636" priority="182" operator="equal">
      <formula>3</formula>
    </cfRule>
    <cfRule type="cellIs" dxfId="1635" priority="183" operator="equal">
      <formula>2</formula>
    </cfRule>
    <cfRule type="cellIs" dxfId="1634" priority="184" operator="equal">
      <formula>1</formula>
    </cfRule>
  </conditionalFormatting>
  <conditionalFormatting sqref="B280">
    <cfRule type="cellIs" dxfId="1633" priority="180" operator="equal">
      <formula>1</formula>
    </cfRule>
  </conditionalFormatting>
  <conditionalFormatting sqref="H281:I281">
    <cfRule type="cellIs" dxfId="1632" priority="179" operator="equal">
      <formula>1</formula>
    </cfRule>
  </conditionalFormatting>
  <conditionalFormatting sqref="C281 F281">
    <cfRule type="cellIs" dxfId="1631" priority="178" operator="equal">
      <formula>1</formula>
    </cfRule>
  </conditionalFormatting>
  <conditionalFormatting sqref="C281">
    <cfRule type="cellIs" dxfId="1630" priority="174" operator="equal">
      <formula>3</formula>
    </cfRule>
    <cfRule type="cellIs" dxfId="1629" priority="175" operator="equal">
      <formula>3</formula>
    </cfRule>
    <cfRule type="cellIs" dxfId="1628" priority="176" operator="equal">
      <formula>2</formula>
    </cfRule>
    <cfRule type="cellIs" dxfId="1627" priority="177" operator="equal">
      <formula>1</formula>
    </cfRule>
  </conditionalFormatting>
  <conditionalFormatting sqref="L283">
    <cfRule type="cellIs" dxfId="1626" priority="162" operator="equal">
      <formula>1</formula>
    </cfRule>
  </conditionalFormatting>
  <conditionalFormatting sqref="D281">
    <cfRule type="cellIs" dxfId="1625" priority="172" operator="equal">
      <formula>1</formula>
    </cfRule>
  </conditionalFormatting>
  <conditionalFormatting sqref="B281">
    <cfRule type="cellIs" dxfId="1624" priority="171" operator="equal">
      <formula>1</formula>
    </cfRule>
  </conditionalFormatting>
  <conditionalFormatting sqref="J283">
    <cfRule type="cellIs" dxfId="1623" priority="170" operator="equal">
      <formula>1</formula>
    </cfRule>
  </conditionalFormatting>
  <conditionalFormatting sqref="E281">
    <cfRule type="cellIs" dxfId="1622" priority="169" operator="equal">
      <formula>1</formula>
    </cfRule>
  </conditionalFormatting>
  <conditionalFormatting sqref="C282">
    <cfRule type="cellIs" dxfId="1621" priority="164" operator="equal">
      <formula>3</formula>
    </cfRule>
    <cfRule type="cellIs" dxfId="1620" priority="165" operator="equal">
      <formula>3</formula>
    </cfRule>
    <cfRule type="cellIs" dxfId="1619" priority="166" operator="equal">
      <formula>2</formula>
    </cfRule>
    <cfRule type="cellIs" dxfId="1618" priority="167" operator="equal">
      <formula>1</formula>
    </cfRule>
  </conditionalFormatting>
  <conditionalFormatting sqref="C282:E282">
    <cfRule type="cellIs" dxfId="1617" priority="168" operator="equal">
      <formula>1</formula>
    </cfRule>
  </conditionalFormatting>
  <conditionalFormatting sqref="K283">
    <cfRule type="cellIs" dxfId="1616" priority="161" operator="equal">
      <formula>1</formula>
    </cfRule>
  </conditionalFormatting>
  <conditionalFormatting sqref="B282">
    <cfRule type="cellIs" dxfId="1615" priority="163" operator="equal">
      <formula>1</formula>
    </cfRule>
  </conditionalFormatting>
  <conditionalFormatting sqref="I287">
    <cfRule type="cellIs" dxfId="1614" priority="158" operator="equal">
      <formula>1</formula>
    </cfRule>
  </conditionalFormatting>
  <conditionalFormatting sqref="I283">
    <cfRule type="cellIs" dxfId="1613" priority="159" operator="equal">
      <formula>1</formula>
    </cfRule>
  </conditionalFormatting>
  <conditionalFormatting sqref="J281">
    <cfRule type="cellIs" dxfId="1612" priority="160" operator="equal">
      <formula>1</formula>
    </cfRule>
  </conditionalFormatting>
  <conditionalFormatting sqref="M320:Q322">
    <cfRule type="cellIs" dxfId="1611" priority="157" operator="equal">
      <formula>1</formula>
    </cfRule>
  </conditionalFormatting>
  <conditionalFormatting sqref="M196:N197">
    <cfRule type="cellIs" dxfId="1610" priority="156" operator="equal">
      <formula>1</formula>
    </cfRule>
  </conditionalFormatting>
  <conditionalFormatting sqref="R320:T327">
    <cfRule type="cellIs" dxfId="1609" priority="155" operator="equal">
      <formula>1</formula>
    </cfRule>
  </conditionalFormatting>
  <conditionalFormatting sqref="M328:Q328">
    <cfRule type="cellIs" dxfId="1608" priority="154" operator="equal">
      <formula>1</formula>
    </cfRule>
  </conditionalFormatting>
  <conditionalFormatting sqref="S330:T332">
    <cfRule type="cellIs" dxfId="1607" priority="151" operator="equal">
      <formula>1</formula>
    </cfRule>
  </conditionalFormatting>
  <conditionalFormatting sqref="R328:T329">
    <cfRule type="cellIs" dxfId="1606" priority="152" operator="equal">
      <formula>1</formula>
    </cfRule>
  </conditionalFormatting>
  <conditionalFormatting sqref="T333:T338">
    <cfRule type="cellIs" dxfId="1605" priority="150" operator="equal">
      <formula>1</formula>
    </cfRule>
  </conditionalFormatting>
  <conditionalFormatting sqref="H356:L356">
    <cfRule type="cellIs" dxfId="1604" priority="149" operator="equal">
      <formula>1</formula>
    </cfRule>
  </conditionalFormatting>
  <conditionalFormatting sqref="H357:L357">
    <cfRule type="cellIs" dxfId="1603" priority="148" operator="equal">
      <formula>1</formula>
    </cfRule>
  </conditionalFormatting>
  <conditionalFormatting sqref="B358:F358 F359 B359:B365">
    <cfRule type="cellIs" dxfId="1602" priority="147" operator="equal">
      <formula>1</formula>
    </cfRule>
  </conditionalFormatting>
  <conditionalFormatting sqref="C358">
    <cfRule type="cellIs" dxfId="1601" priority="143" operator="equal">
      <formula>3</formula>
    </cfRule>
    <cfRule type="cellIs" dxfId="1600" priority="144" operator="equal">
      <formula>3</formula>
    </cfRule>
    <cfRule type="cellIs" dxfId="1599" priority="145" operator="equal">
      <formula>2</formula>
    </cfRule>
    <cfRule type="cellIs" dxfId="1598" priority="146" operator="equal">
      <formula>1</formula>
    </cfRule>
  </conditionalFormatting>
  <conditionalFormatting sqref="H358:L358">
    <cfRule type="cellIs" dxfId="1597" priority="142" operator="equal">
      <formula>1</formula>
    </cfRule>
  </conditionalFormatting>
  <conditionalFormatting sqref="H359:L360">
    <cfRule type="cellIs" dxfId="1596" priority="141" operator="equal">
      <formula>1</formula>
    </cfRule>
  </conditionalFormatting>
  <conditionalFormatting sqref="E362">
    <cfRule type="cellIs" dxfId="1595" priority="140" operator="equal">
      <formula>1</formula>
    </cfRule>
  </conditionalFormatting>
  <conditionalFormatting sqref="H369:L369">
    <cfRule type="cellIs" dxfId="1594" priority="139" operator="equal">
      <formula>1</formula>
    </cfRule>
  </conditionalFormatting>
  <conditionalFormatting sqref="H370">
    <cfRule type="cellIs" dxfId="1593" priority="138" operator="equal">
      <formula>1</formula>
    </cfRule>
  </conditionalFormatting>
  <conditionalFormatting sqref="J370">
    <cfRule type="cellIs" dxfId="1592" priority="137" operator="equal">
      <formula>1</formula>
    </cfRule>
  </conditionalFormatting>
  <conditionalFormatting sqref="H371:L371">
    <cfRule type="cellIs" dxfId="1591" priority="136" operator="equal">
      <formula>1</formula>
    </cfRule>
  </conditionalFormatting>
  <conditionalFormatting sqref="H372:L373">
    <cfRule type="cellIs" dxfId="1590" priority="135" operator="equal">
      <formula>1</formula>
    </cfRule>
  </conditionalFormatting>
  <conditionalFormatting sqref="C372:D372">
    <cfRule type="cellIs" dxfId="1589" priority="134" operator="equal">
      <formula>1</formula>
    </cfRule>
  </conditionalFormatting>
  <conditionalFormatting sqref="C372">
    <cfRule type="cellIs" dxfId="1588" priority="130" operator="equal">
      <formula>3</formula>
    </cfRule>
    <cfRule type="cellIs" dxfId="1587" priority="131" operator="equal">
      <formula>3</formula>
    </cfRule>
    <cfRule type="cellIs" dxfId="1586" priority="132" operator="equal">
      <formula>2</formula>
    </cfRule>
    <cfRule type="cellIs" dxfId="1585" priority="133" operator="equal">
      <formula>1</formula>
    </cfRule>
  </conditionalFormatting>
  <conditionalFormatting sqref="B372:B373">
    <cfRule type="cellIs" dxfId="1584" priority="129" operator="equal">
      <formula>1</formula>
    </cfRule>
  </conditionalFormatting>
  <conditionalFormatting sqref="E372">
    <cfRule type="cellIs" dxfId="1583" priority="128" operator="equal">
      <formula>1</formula>
    </cfRule>
  </conditionalFormatting>
  <conditionalFormatting sqref="L383">
    <cfRule type="cellIs" dxfId="1582" priority="111" operator="equal">
      <formula>1</formula>
    </cfRule>
  </conditionalFormatting>
  <conditionalFormatting sqref="H374:L374">
    <cfRule type="cellIs" dxfId="1581" priority="127" operator="equal">
      <formula>1</formula>
    </cfRule>
  </conditionalFormatting>
  <conditionalFormatting sqref="H375:L375">
    <cfRule type="cellIs" dxfId="1580" priority="126" operator="equal">
      <formula>1</formula>
    </cfRule>
  </conditionalFormatting>
  <conditionalFormatting sqref="H376:K379">
    <cfRule type="cellIs" dxfId="1579" priority="125" operator="equal">
      <formula>1</formula>
    </cfRule>
  </conditionalFormatting>
  <conditionalFormatting sqref="L376:L379">
    <cfRule type="cellIs" dxfId="1578" priority="124" operator="equal">
      <formula>1</formula>
    </cfRule>
  </conditionalFormatting>
  <conditionalFormatting sqref="I380:I381 K380:K381">
    <cfRule type="cellIs" dxfId="1577" priority="123" operator="equal">
      <formula>1</formula>
    </cfRule>
  </conditionalFormatting>
  <conditionalFormatting sqref="L380:L381">
    <cfRule type="cellIs" dxfId="1576" priority="122" operator="equal">
      <formula>1</formula>
    </cfRule>
  </conditionalFormatting>
  <conditionalFormatting sqref="J380">
    <cfRule type="cellIs" dxfId="1575" priority="121" operator="equal">
      <formula>1</formula>
    </cfRule>
  </conditionalFormatting>
  <conditionalFormatting sqref="K383">
    <cfRule type="cellIs" dxfId="1574" priority="112" operator="equal">
      <formula>1</formula>
    </cfRule>
  </conditionalFormatting>
  <conditionalFormatting sqref="I388">
    <cfRule type="cellIs" dxfId="1573" priority="80" operator="equal">
      <formula>1</formula>
    </cfRule>
  </conditionalFormatting>
  <conditionalFormatting sqref="H382:I382">
    <cfRule type="cellIs" dxfId="1572" priority="118" operator="equal">
      <formula>1</formula>
    </cfRule>
  </conditionalFormatting>
  <conditionalFormatting sqref="J381:J382">
    <cfRule type="cellIs" dxfId="1571" priority="117" operator="equal">
      <formula>1</formula>
    </cfRule>
  </conditionalFormatting>
  <conditionalFormatting sqref="F381">
    <cfRule type="cellIs" dxfId="1570" priority="116" operator="equal">
      <formula>1</formula>
    </cfRule>
  </conditionalFormatting>
  <conditionalFormatting sqref="K382">
    <cfRule type="cellIs" dxfId="1569" priority="115" operator="equal">
      <formula>1</formula>
    </cfRule>
  </conditionalFormatting>
  <conditionalFormatting sqref="L382">
    <cfRule type="cellIs" dxfId="1568" priority="114" operator="equal">
      <formula>1</formula>
    </cfRule>
  </conditionalFormatting>
  <conditionalFormatting sqref="J383">
    <cfRule type="cellIs" dxfId="1567" priority="113" operator="equal">
      <formula>1</formula>
    </cfRule>
  </conditionalFormatting>
  <conditionalFormatting sqref="L388">
    <cfRule type="cellIs" dxfId="1566" priority="81" operator="equal">
      <formula>1</formula>
    </cfRule>
  </conditionalFormatting>
  <conditionalFormatting sqref="H384:K384">
    <cfRule type="cellIs" dxfId="1565" priority="110" operator="equal">
      <formula>1</formula>
    </cfRule>
  </conditionalFormatting>
  <conditionalFormatting sqref="L384">
    <cfRule type="cellIs" dxfId="1564" priority="109" operator="equal">
      <formula>1</formula>
    </cfRule>
  </conditionalFormatting>
  <conditionalFormatting sqref="J385:K385">
    <cfRule type="cellIs" dxfId="1563" priority="108" operator="equal">
      <formula>1</formula>
    </cfRule>
  </conditionalFormatting>
  <conditionalFormatting sqref="L385">
    <cfRule type="cellIs" dxfId="1562" priority="107" operator="equal">
      <formula>1</formula>
    </cfRule>
  </conditionalFormatting>
  <conditionalFormatting sqref="I386:K386 J387:K387">
    <cfRule type="cellIs" dxfId="1561" priority="91" operator="equal">
      <formula>1</formula>
    </cfRule>
  </conditionalFormatting>
  <conditionalFormatting sqref="J388:K388">
    <cfRule type="cellIs" dxfId="1560" priority="82" operator="equal">
      <formula>1</formula>
    </cfRule>
  </conditionalFormatting>
  <conditionalFormatting sqref="I385">
    <cfRule type="cellIs" dxfId="1559" priority="99" operator="equal">
      <formula>1</formula>
    </cfRule>
  </conditionalFormatting>
  <conditionalFormatting sqref="C386:E386">
    <cfRule type="cellIs" dxfId="1558" priority="97" operator="equal">
      <formula>1</formula>
    </cfRule>
  </conditionalFormatting>
  <conditionalFormatting sqref="C386">
    <cfRule type="cellIs" dxfId="1557" priority="93" operator="equal">
      <formula>3</formula>
    </cfRule>
    <cfRule type="cellIs" dxfId="1556" priority="94" operator="equal">
      <formula>3</formula>
    </cfRule>
    <cfRule type="cellIs" dxfId="1555" priority="95" operator="equal">
      <formula>2</formula>
    </cfRule>
    <cfRule type="cellIs" dxfId="1554" priority="96" operator="equal">
      <formula>1</formula>
    </cfRule>
  </conditionalFormatting>
  <conditionalFormatting sqref="B386 G386:H386">
    <cfRule type="cellIs" dxfId="1553" priority="92" operator="equal">
      <formula>1</formula>
    </cfRule>
  </conditionalFormatting>
  <conditionalFormatting sqref="L386:L387">
    <cfRule type="cellIs" dxfId="1552" priority="90" operator="equal">
      <formula>1</formula>
    </cfRule>
  </conditionalFormatting>
  <conditionalFormatting sqref="B387:E387 G387:I387">
    <cfRule type="cellIs" dxfId="1551" priority="89" operator="equal">
      <formula>1</formula>
    </cfRule>
  </conditionalFormatting>
  <conditionalFormatting sqref="C387">
    <cfRule type="cellIs" dxfId="1550" priority="85" operator="equal">
      <formula>3</formula>
    </cfRule>
    <cfRule type="cellIs" dxfId="1549" priority="86" operator="equal">
      <formula>3</formula>
    </cfRule>
    <cfRule type="cellIs" dxfId="1548" priority="87" operator="equal">
      <formula>2</formula>
    </cfRule>
    <cfRule type="cellIs" dxfId="1547" priority="88" operator="equal">
      <formula>1</formula>
    </cfRule>
  </conditionalFormatting>
  <conditionalFormatting sqref="F386:F389">
    <cfRule type="cellIs" dxfId="1546" priority="84" operator="equal">
      <formula>1</formula>
    </cfRule>
  </conditionalFormatting>
  <conditionalFormatting sqref="B388:B389">
    <cfRule type="cellIs" dxfId="1545" priority="83" operator="equal">
      <formula>1</formula>
    </cfRule>
  </conditionalFormatting>
  <conditionalFormatting sqref="I389">
    <cfRule type="cellIs" dxfId="1544" priority="77" operator="equal">
      <formula>1</formula>
    </cfRule>
  </conditionalFormatting>
  <conditionalFormatting sqref="L389">
    <cfRule type="cellIs" dxfId="1543" priority="78" operator="equal">
      <formula>1</formula>
    </cfRule>
  </conditionalFormatting>
  <conditionalFormatting sqref="J389:K389">
    <cfRule type="cellIs" dxfId="1542" priority="79" operator="equal">
      <formula>1</formula>
    </cfRule>
  </conditionalFormatting>
  <conditionalFormatting sqref="I390:I391">
    <cfRule type="cellIs" dxfId="1541" priority="74" operator="equal">
      <formula>1</formula>
    </cfRule>
  </conditionalFormatting>
  <conditionalFormatting sqref="L390 L392:L393">
    <cfRule type="cellIs" dxfId="1540" priority="75" operator="equal">
      <formula>1</formula>
    </cfRule>
  </conditionalFormatting>
  <conditionalFormatting sqref="J390:K390 J392:K393">
    <cfRule type="cellIs" dxfId="1539" priority="76" operator="equal">
      <formula>1</formula>
    </cfRule>
  </conditionalFormatting>
  <conditionalFormatting sqref="C391:E391">
    <cfRule type="cellIs" dxfId="1538" priority="73" operator="equal">
      <formula>1</formula>
    </cfRule>
  </conditionalFormatting>
  <conditionalFormatting sqref="C391">
    <cfRule type="cellIs" dxfId="1537" priority="69" operator="equal">
      <formula>3</formula>
    </cfRule>
    <cfRule type="cellIs" dxfId="1536" priority="70" operator="equal">
      <formula>3</formula>
    </cfRule>
    <cfRule type="cellIs" dxfId="1535" priority="71" operator="equal">
      <formula>2</formula>
    </cfRule>
    <cfRule type="cellIs" dxfId="1534" priority="72" operator="equal">
      <formula>1</formula>
    </cfRule>
  </conditionalFormatting>
  <conditionalFormatting sqref="J391:L391">
    <cfRule type="cellIs" dxfId="1533" priority="67" operator="equal">
      <formula>1</formula>
    </cfRule>
  </conditionalFormatting>
  <conditionalFormatting sqref="B391">
    <cfRule type="cellIs" dxfId="1532" priority="66" operator="equal">
      <formula>1</formula>
    </cfRule>
  </conditionalFormatting>
  <conditionalFormatting sqref="C394:E394">
    <cfRule type="cellIs" dxfId="1531" priority="65" operator="equal">
      <formula>1</formula>
    </cfRule>
  </conditionalFormatting>
  <conditionalFormatting sqref="C394">
    <cfRule type="cellIs" dxfId="1530" priority="61" operator="equal">
      <formula>3</formula>
    </cfRule>
    <cfRule type="cellIs" dxfId="1529" priority="62" operator="equal">
      <formula>3</formula>
    </cfRule>
    <cfRule type="cellIs" dxfId="1528" priority="63" operator="equal">
      <formula>2</formula>
    </cfRule>
    <cfRule type="cellIs" dxfId="1527" priority="64" operator="equal">
      <formula>1</formula>
    </cfRule>
  </conditionalFormatting>
  <conditionalFormatting sqref="B394">
    <cfRule type="cellIs" dxfId="1526" priority="59" operator="equal">
      <formula>1</formula>
    </cfRule>
  </conditionalFormatting>
  <conditionalFormatting sqref="F395:L395">
    <cfRule type="cellIs" dxfId="1525" priority="56" operator="equal">
      <formula>1</formula>
    </cfRule>
  </conditionalFormatting>
  <conditionalFormatting sqref="D396:E396">
    <cfRule type="cellIs" dxfId="1524" priority="55" operator="equal">
      <formula>1</formula>
    </cfRule>
  </conditionalFormatting>
  <conditionalFormatting sqref="C397:E397">
    <cfRule type="cellIs" dxfId="1523" priority="54" operator="equal">
      <formula>1</formula>
    </cfRule>
  </conditionalFormatting>
  <conditionalFormatting sqref="C397">
    <cfRule type="cellIs" dxfId="1522" priority="50" operator="equal">
      <formula>3</formula>
    </cfRule>
    <cfRule type="cellIs" dxfId="1521" priority="51" operator="equal">
      <formula>3</formula>
    </cfRule>
    <cfRule type="cellIs" dxfId="1520" priority="52" operator="equal">
      <formula>2</formula>
    </cfRule>
    <cfRule type="cellIs" dxfId="1519" priority="53" operator="equal">
      <formula>1</formula>
    </cfRule>
  </conditionalFormatting>
  <conditionalFormatting sqref="B397">
    <cfRule type="cellIs" dxfId="1518" priority="49" operator="equal">
      <formula>1</formula>
    </cfRule>
  </conditionalFormatting>
  <conditionalFormatting sqref="B398">
    <cfRule type="cellIs" dxfId="1517" priority="48" operator="equal">
      <formula>1</formula>
    </cfRule>
  </conditionalFormatting>
  <conditionalFormatting sqref="D405">
    <cfRule type="cellIs" dxfId="1516" priority="47" operator="equal">
      <formula>1</formula>
    </cfRule>
  </conditionalFormatting>
  <conditionalFormatting sqref="D408">
    <cfRule type="cellIs" dxfId="1515" priority="46" operator="equal">
      <formula>1</formula>
    </cfRule>
  </conditionalFormatting>
  <conditionalFormatting sqref="C411 E411">
    <cfRule type="cellIs" dxfId="1514" priority="45" operator="equal">
      <formula>1</formula>
    </cfRule>
  </conditionalFormatting>
  <conditionalFormatting sqref="C411">
    <cfRule type="cellIs" dxfId="1513" priority="41" operator="equal">
      <formula>3</formula>
    </cfRule>
    <cfRule type="cellIs" dxfId="1512" priority="42" operator="equal">
      <formula>3</formula>
    </cfRule>
    <cfRule type="cellIs" dxfId="1511" priority="43" operator="equal">
      <formula>2</formula>
    </cfRule>
    <cfRule type="cellIs" dxfId="1510" priority="44" operator="equal">
      <formula>1</formula>
    </cfRule>
  </conditionalFormatting>
  <conditionalFormatting sqref="D411">
    <cfRule type="cellIs" dxfId="1509" priority="40" operator="equal">
      <formula>1</formula>
    </cfRule>
  </conditionalFormatting>
  <conditionalFormatting sqref="C416:C417 E416:E417">
    <cfRule type="cellIs" dxfId="1508" priority="39" operator="equal">
      <formula>1</formula>
    </cfRule>
  </conditionalFormatting>
  <conditionalFormatting sqref="C416:C417">
    <cfRule type="cellIs" dxfId="1507" priority="35" operator="equal">
      <formula>3</formula>
    </cfRule>
    <cfRule type="cellIs" dxfId="1506" priority="36" operator="equal">
      <formula>3</formula>
    </cfRule>
    <cfRule type="cellIs" dxfId="1505" priority="37" operator="equal">
      <formula>2</formula>
    </cfRule>
    <cfRule type="cellIs" dxfId="1504" priority="38" operator="equal">
      <formula>1</formula>
    </cfRule>
  </conditionalFormatting>
  <conditionalFormatting sqref="D416:D417">
    <cfRule type="cellIs" dxfId="1503" priority="34" operator="equal">
      <formula>1</formula>
    </cfRule>
  </conditionalFormatting>
  <conditionalFormatting sqref="C422:C423 E422:E423">
    <cfRule type="cellIs" dxfId="1502" priority="33" operator="equal">
      <formula>1</formula>
    </cfRule>
  </conditionalFormatting>
  <conditionalFormatting sqref="C422:C423">
    <cfRule type="cellIs" dxfId="1501" priority="29" operator="equal">
      <formula>3</formula>
    </cfRule>
    <cfRule type="cellIs" dxfId="1500" priority="30" operator="equal">
      <formula>3</formula>
    </cfRule>
    <cfRule type="cellIs" dxfId="1499" priority="31" operator="equal">
      <formula>2</formula>
    </cfRule>
    <cfRule type="cellIs" dxfId="1498" priority="32" operator="equal">
      <formula>1</formula>
    </cfRule>
  </conditionalFormatting>
  <conditionalFormatting sqref="D422:D423">
    <cfRule type="cellIs" dxfId="1497" priority="28" operator="equal">
      <formula>1</formula>
    </cfRule>
  </conditionalFormatting>
  <conditionalFormatting sqref="L689">
    <cfRule type="cellIs" dxfId="1496" priority="27" operator="equal">
      <formula>1</formula>
    </cfRule>
  </conditionalFormatting>
  <conditionalFormatting sqref="I705">
    <cfRule type="cellIs" dxfId="1495" priority="23" operator="equal">
      <formula>1</formula>
    </cfRule>
  </conditionalFormatting>
  <conditionalFormatting sqref="G697:L697">
    <cfRule type="cellIs" dxfId="1494" priority="26" operator="equal">
      <formula>1</formula>
    </cfRule>
  </conditionalFormatting>
  <conditionalFormatting sqref="I704">
    <cfRule type="cellIs" dxfId="1493" priority="25" operator="equal">
      <formula>1</formula>
    </cfRule>
  </conditionalFormatting>
  <conditionalFormatting sqref="I706:I707">
    <cfRule type="cellIs" dxfId="1492" priority="16" operator="equal">
      <formula>1</formula>
    </cfRule>
  </conditionalFormatting>
  <conditionalFormatting sqref="J705:L705">
    <cfRule type="cellIs" dxfId="1491" priority="24" operator="equal">
      <formula>1</formula>
    </cfRule>
  </conditionalFormatting>
  <conditionalFormatting sqref="M706">
    <cfRule type="cellIs" dxfId="1490" priority="19" operator="equal">
      <formula>1</formula>
    </cfRule>
  </conditionalFormatting>
  <conditionalFormatting sqref="G706:H706">
    <cfRule type="cellIs" dxfId="1489" priority="18" operator="equal">
      <formula>1</formula>
    </cfRule>
  </conditionalFormatting>
  <conditionalFormatting sqref="J706:L707 K708:L708">
    <cfRule type="cellIs" dxfId="1488" priority="17" operator="equal">
      <formula>1</formula>
    </cfRule>
  </conditionalFormatting>
  <conditionalFormatting sqref="B707:B709">
    <cfRule type="cellIs" dxfId="1487" priority="15" operator="equal">
      <formula>1</formula>
    </cfRule>
  </conditionalFormatting>
  <conditionalFormatting sqref="J708">
    <cfRule type="cellIs" dxfId="1486" priority="14" operator="equal">
      <formula>1</formula>
    </cfRule>
  </conditionalFormatting>
  <conditionalFormatting sqref="I709">
    <cfRule type="cellIs" dxfId="1485" priority="13" operator="equal">
      <formula>1</formula>
    </cfRule>
  </conditionalFormatting>
  <conditionalFormatting sqref="K709:L709">
    <cfRule type="cellIs" dxfId="1484" priority="12" operator="equal">
      <formula>1</formula>
    </cfRule>
  </conditionalFormatting>
  <conditionalFormatting sqref="J709">
    <cfRule type="cellIs" dxfId="1483" priority="11" operator="equal">
      <formula>1</formula>
    </cfRule>
  </conditionalFormatting>
  <conditionalFormatting sqref="C710:H710 H711">
    <cfRule type="cellIs" dxfId="1482" priority="10" operator="equal">
      <formula>1</formula>
    </cfRule>
  </conditionalFormatting>
  <conditionalFormatting sqref="C710">
    <cfRule type="cellIs" dxfId="1481" priority="6" operator="equal">
      <formula>3</formula>
    </cfRule>
    <cfRule type="cellIs" dxfId="1480" priority="7" operator="equal">
      <formula>3</formula>
    </cfRule>
    <cfRule type="cellIs" dxfId="1479" priority="8" operator="equal">
      <formula>2</formula>
    </cfRule>
    <cfRule type="cellIs" dxfId="1478" priority="9" operator="equal">
      <formula>1</formula>
    </cfRule>
  </conditionalFormatting>
  <conditionalFormatting sqref="B710:B715">
    <cfRule type="cellIs" dxfId="1477" priority="5" operator="equal">
      <formula>1</formula>
    </cfRule>
  </conditionalFormatting>
  <conditionalFormatting sqref="I710:I711">
    <cfRule type="cellIs" dxfId="1476" priority="4" operator="equal">
      <formula>1</formula>
    </cfRule>
  </conditionalFormatting>
  <conditionalFormatting sqref="K710:L711">
    <cfRule type="cellIs" dxfId="1475" priority="3" operator="equal">
      <formula>1</formula>
    </cfRule>
  </conditionalFormatting>
  <conditionalFormatting sqref="J710:J711">
    <cfRule type="cellIs" dxfId="1474" priority="2" operator="equal">
      <formula>1</formula>
    </cfRule>
  </conditionalFormatting>
  <conditionalFormatting sqref="I717:I718">
    <cfRule type="cellIs" dxfId="1473" priority="1" operator="equal">
      <formula>1</formula>
    </cfRule>
  </conditionalFormatting>
  <dataValidations count="6">
    <dataValidation type="list" allowBlank="1" showInputMessage="1" showErrorMessage="1" sqref="D20 E2:E62 E64:E66 E68:E73 E76:E79 E82:E85 E89:E98 E100:E133 E137:E162 E174:E175 D184:E185 E190 E194:E198 E201 E204 E207 E209 E215 E218 E224:E226 E229:E231 E233:E237 E239:E240 E242:E245 D247 E247:E266 E268:E280 E282:E290 E292:E295 E299:E301 E303 E306:E307 E312 E314:E315 E319:E323 E326:E334 E336:E343 E347:E349 E345 E351:E352 E359:E361 E363:E370 E374:E383 E386:E389 E400 E391:E398 E404:E405 D407 D404 D410 D415 E407:E428 E431:E432 E435:E460 E464:E465 E468:E471 E474:E477 E480:E481 E483:E496 E498:E518 E520:E521 E523:E551 E556:E562 E564 E568:E573 E584:E585 E587:E588 E590:E591 E594 E597 E603 E605:E606 E608:E614 E617:E627 E632 E635:E636 D649 D652 E638:E677 E679:E680 E682:E683 E687:E688 E685 E692:E700 E702:E704 D712:E712 E706:E711 E718:E719 E722:E725 D715:E715 E727:E734 E739:E753 E756 E759:E764 E766 E769:E770 E772:E775 E777:E788 E794 E802:E805 E808:E811 E813:E814 E816:E817 E819:E821 E823:E1048576">
      <formula1>SDC</formula1>
    </dataValidation>
    <dataValidation type="list" allowBlank="1" showInputMessage="1" showErrorMessage="1" sqref="D1:D19 E74:E75 E86:E88 E99 D21:D122 E134:E136 D126:D145 E163:E173 E176:E183 E186:E189 D149:D183 E191:E193 E199:E200 E202:E203 E205:E206 E208 E210:E214 E216:E217 E219:E223 E227:E228 E232 E241 E238 E246 D186:D246 E267 D248:D271 D274:D278 E281 E291 E296:E298 E302 E304:E305 D313:E313 E308:E311 D281:D312 D314:D315 D316:E318 E324:E325 E335 E344 E353 E355:E356 E371 E373 D319:D375 E384:E385 E390 D377:D403 D405:D406 D408:D409 D411:D414 E429:E430 E433:E434 E461:E463 E466:E467 E472:E473 E478:E479 E482 E497 E519 D416:D519 E522 D521:D528 D532:D535 E552:E555 E563 E565:E567 E574:E583 D586:E586 D537:D585 D587:D588 D589:E589 D590:D591 E593 D592:E592 E595:E596 E598:E602 E604 E607 E615:E616 E628:E631 E633:E634 E637 D593:D648 D650:D651 D653:D677 E681 D678:E678 E684 E689:E691 E686 E701 E705 D679:D711 E716:E717 E720:E721 E726 D713:E714 E735:E738 E754:E755 E757:E758 E767:E768 E765 E771 E776 E789:E793 E795:E801 E806:E807 E812 E815 E818 E822 D716:D1048576">
      <formula1>LISTE</formula1>
    </dataValidation>
    <dataValidation type="list" allowBlank="1" showInputMessage="1" showErrorMessage="1" sqref="F2:F25 F28:F34 F38:F67 F69:F73 F76:F99 F105:F108 F111:F114 F117:F120 F123:F128 F132:F136 F139:F143 F146:F148 F152:F154 F157:F319 F321:F375 F377:F380 E399 E401:E403 E406 F382:F420 F422:F717 F719:F723 F726:F727 F729:F732 F735:F739 F742:F750 F752 F756:F758 F760:F808 F810:F1048576">
      <formula1>rouepelle</formula1>
    </dataValidation>
    <dataValidation type="list" allowBlank="1" showInputMessage="1" showErrorMessage="1" sqref="I59:I60">
      <formula1>couche</formula1>
    </dataValidation>
    <dataValidation type="list" allowBlank="1" showInputMessage="1" showErrorMessage="1" sqref="L2:L105 L118:L529 L531:L532 L534:L692 L694:L1048576">
      <formula1>stockage</formula1>
    </dataValidation>
    <dataValidation type="list" allowBlank="1" showInputMessage="1" showErrorMessage="1" sqref="C2:C1048576">
      <formula1>poste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nvoi_R0">
                <anchor moveWithCells="1" sizeWithCells="1">
                  <from>
                    <xdr:col>1</xdr:col>
                    <xdr:colOff>85725</xdr:colOff>
                    <xdr:row>0</xdr:row>
                    <xdr:rowOff>57150</xdr:rowOff>
                  </from>
                  <to>
                    <xdr:col>1</xdr:col>
                    <xdr:colOff>857250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Feuil1!$P$16:$P$22</xm:f>
          </x14:formula1>
          <xm:sqref>K1:K275 K280:K282 K284:K1048576</xm:sqref>
        </x14:dataValidation>
        <x14:dataValidation type="list" allowBlank="1" showInputMessage="1" showErrorMessage="1">
          <x14:formula1>
            <xm:f>'C:\Users\sdc\Desktop\[Copie de rapport_R0 20.xlsm]Feuil1'!#REF!</xm:f>
          </x14:formula1>
          <xm:sqref>K276:K279 K283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5" tint="0.39997558519241921"/>
  </sheetPr>
  <dimension ref="A1:Q3055"/>
  <sheetViews>
    <sheetView zoomScale="106" zoomScaleNormal="106" workbookViewId="0">
      <pane xSplit="2" ySplit="1" topLeftCell="C1926" activePane="bottomRight" state="frozen"/>
      <selection activeCell="U383" sqref="U383"/>
      <selection pane="topRight" activeCell="U383" sqref="U383"/>
      <selection pane="bottomLeft" activeCell="U383" sqref="U383"/>
      <selection pane="bottomRight" activeCell="K1943" sqref="K1943"/>
    </sheetView>
  </sheetViews>
  <sheetFormatPr defaultColWidth="11.42578125" defaultRowHeight="15" x14ac:dyDescent="0.25"/>
  <cols>
    <col min="1" max="1" width="0.28515625" style="3" customWidth="1"/>
    <col min="2" max="2" width="13.7109375" style="3" customWidth="1"/>
    <col min="3" max="3" width="10.28515625" style="195" customWidth="1"/>
    <col min="4" max="4" width="0.140625" style="195" customWidth="1"/>
    <col min="5" max="5" width="8.5703125" style="195" customWidth="1"/>
    <col min="6" max="6" width="7.42578125" style="204" customWidth="1"/>
    <col min="7" max="7" width="7" style="202" customWidth="1"/>
    <col min="8" max="8" width="18" style="230" customWidth="1"/>
    <col min="9" max="9" width="18" style="229" customWidth="1"/>
    <col min="10" max="10" width="46.5703125" style="229" customWidth="1"/>
    <col min="11" max="11" width="77.140625" style="176" customWidth="1"/>
    <col min="12" max="16384" width="11.42578125" style="3"/>
  </cols>
  <sheetData>
    <row r="1" spans="2:11" ht="51.75" customHeight="1" x14ac:dyDescent="0.25">
      <c r="B1" s="34" t="s">
        <v>241</v>
      </c>
      <c r="C1" s="34" t="s">
        <v>242</v>
      </c>
      <c r="D1" s="188" t="s">
        <v>498</v>
      </c>
      <c r="E1" s="34" t="s">
        <v>267</v>
      </c>
      <c r="F1" s="203" t="s">
        <v>268</v>
      </c>
      <c r="G1" s="189" t="s">
        <v>269</v>
      </c>
      <c r="H1" s="228" t="s">
        <v>270</v>
      </c>
      <c r="I1" s="228" t="s">
        <v>272</v>
      </c>
      <c r="J1" s="228" t="s">
        <v>61</v>
      </c>
      <c r="K1" s="190" t="s">
        <v>273</v>
      </c>
    </row>
    <row r="2" spans="2:11" x14ac:dyDescent="0.25">
      <c r="B2" s="235">
        <v>44926</v>
      </c>
      <c r="C2" s="195">
        <v>3</v>
      </c>
      <c r="E2" s="238">
        <v>0.99652777777777779</v>
      </c>
      <c r="F2" s="204">
        <v>6.9444444444444441E-3</v>
      </c>
      <c r="G2" s="193">
        <f t="shared" ref="G2:G33" si="0">IFERROR(IF(E2&gt;F2,((F2+B5+1)-(E2+B5))*24,HOUR(F2-E2)+MINUTE(F2-E2)/60),"")</f>
        <v>0.24999999994179234</v>
      </c>
      <c r="H2" s="273" t="s">
        <v>55</v>
      </c>
      <c r="I2" s="230" t="s">
        <v>509</v>
      </c>
      <c r="J2" s="231" t="s">
        <v>203</v>
      </c>
    </row>
    <row r="3" spans="2:11" x14ac:dyDescent="0.25">
      <c r="B3" s="235">
        <v>44926</v>
      </c>
      <c r="C3" s="195">
        <v>3</v>
      </c>
      <c r="E3" s="238">
        <v>1.3888888888888888E-2</v>
      </c>
      <c r="F3" s="204">
        <v>2.7777777777777776E-2</v>
      </c>
      <c r="G3" s="193">
        <f t="shared" si="0"/>
        <v>0.33333333333333331</v>
      </c>
      <c r="H3" s="273" t="s">
        <v>195</v>
      </c>
      <c r="I3" s="230" t="s">
        <v>509</v>
      </c>
      <c r="J3" s="231" t="s">
        <v>213</v>
      </c>
      <c r="K3" s="176" t="s">
        <v>639</v>
      </c>
    </row>
    <row r="4" spans="2:11" x14ac:dyDescent="0.25">
      <c r="B4" s="235">
        <v>44926</v>
      </c>
      <c r="C4" s="233">
        <v>3</v>
      </c>
      <c r="E4" s="238">
        <v>0.27083333333333331</v>
      </c>
      <c r="F4" s="204">
        <v>0.29166666666666669</v>
      </c>
      <c r="G4" s="193">
        <f t="shared" si="0"/>
        <v>0.5</v>
      </c>
      <c r="H4" s="273" t="s">
        <v>55</v>
      </c>
      <c r="I4" s="230" t="s">
        <v>509</v>
      </c>
      <c r="J4" s="231" t="s">
        <v>114</v>
      </c>
    </row>
    <row r="5" spans="2:11" x14ac:dyDescent="0.25">
      <c r="B5" s="235">
        <v>44927</v>
      </c>
      <c r="C5" s="195">
        <v>1</v>
      </c>
      <c r="E5" s="238">
        <v>0.29166666666666669</v>
      </c>
      <c r="F5" s="204">
        <v>0.30069444444444443</v>
      </c>
      <c r="G5" s="193">
        <f t="shared" si="0"/>
        <v>0.21666666666666667</v>
      </c>
      <c r="H5" s="273" t="s">
        <v>55</v>
      </c>
      <c r="I5" s="230" t="s">
        <v>509</v>
      </c>
      <c r="J5" s="231" t="s">
        <v>114</v>
      </c>
    </row>
    <row r="6" spans="2:11" x14ac:dyDescent="0.25">
      <c r="B6" s="235">
        <v>44927</v>
      </c>
      <c r="C6" s="233">
        <v>1</v>
      </c>
      <c r="E6" s="238">
        <v>0.34236111111111112</v>
      </c>
      <c r="F6" s="204">
        <v>0.3527777777777778</v>
      </c>
      <c r="G6" s="193">
        <f t="shared" si="0"/>
        <v>0.25</v>
      </c>
      <c r="H6" s="273" t="s">
        <v>192</v>
      </c>
      <c r="I6" s="230" t="s">
        <v>511</v>
      </c>
      <c r="J6" s="231" t="s">
        <v>69</v>
      </c>
    </row>
    <row r="7" spans="2:11" x14ac:dyDescent="0.25">
      <c r="B7" s="235">
        <v>44927</v>
      </c>
      <c r="C7" s="233">
        <v>1</v>
      </c>
      <c r="E7" s="238">
        <v>0.4548611111111111</v>
      </c>
      <c r="F7" s="204">
        <v>0.46527777777777773</v>
      </c>
      <c r="G7" s="193">
        <f t="shared" si="0"/>
        <v>0.25</v>
      </c>
      <c r="H7" s="273" t="s">
        <v>55</v>
      </c>
      <c r="I7" s="230" t="s">
        <v>509</v>
      </c>
      <c r="J7" s="231" t="s">
        <v>203</v>
      </c>
    </row>
    <row r="8" spans="2:11" x14ac:dyDescent="0.25">
      <c r="B8" s="235">
        <v>44927</v>
      </c>
      <c r="C8" s="233">
        <v>1</v>
      </c>
      <c r="E8" s="238">
        <v>0.46527777777777773</v>
      </c>
      <c r="F8" s="204">
        <v>0.52152777777777781</v>
      </c>
      <c r="G8" s="193">
        <f t="shared" si="0"/>
        <v>1.35</v>
      </c>
      <c r="H8" s="273" t="s">
        <v>147</v>
      </c>
      <c r="I8" s="230" t="s">
        <v>509</v>
      </c>
      <c r="J8" s="231" t="s">
        <v>86</v>
      </c>
      <c r="K8" s="176" t="s">
        <v>830</v>
      </c>
    </row>
    <row r="9" spans="2:11" x14ac:dyDescent="0.25">
      <c r="B9" s="235">
        <v>44927</v>
      </c>
      <c r="C9" s="233">
        <v>2</v>
      </c>
      <c r="E9" s="238">
        <v>0.70138888888888884</v>
      </c>
      <c r="F9" s="204">
        <v>0.71388888888888891</v>
      </c>
      <c r="G9" s="193">
        <f t="shared" si="0"/>
        <v>0.3</v>
      </c>
      <c r="H9" s="273" t="s">
        <v>55</v>
      </c>
      <c r="I9" s="230" t="s">
        <v>509</v>
      </c>
      <c r="J9" s="231" t="s">
        <v>203</v>
      </c>
    </row>
    <row r="10" spans="2:11" x14ac:dyDescent="0.25">
      <c r="B10" s="235">
        <v>44927</v>
      </c>
      <c r="C10" s="195">
        <v>3</v>
      </c>
      <c r="E10" s="238">
        <v>2.0833333333333332E-2</v>
      </c>
      <c r="F10" s="204">
        <v>3.125E-2</v>
      </c>
      <c r="G10" s="193">
        <f t="shared" si="0"/>
        <v>0.25</v>
      </c>
      <c r="H10" s="273" t="s">
        <v>55</v>
      </c>
      <c r="I10" s="230" t="s">
        <v>509</v>
      </c>
      <c r="J10" s="231" t="s">
        <v>211</v>
      </c>
    </row>
    <row r="11" spans="2:11" x14ac:dyDescent="0.25">
      <c r="B11" s="235">
        <v>44927</v>
      </c>
      <c r="C11" s="195">
        <v>3</v>
      </c>
      <c r="E11" s="238">
        <v>3.125E-2</v>
      </c>
      <c r="F11" s="204">
        <v>5.2083333333333336E-2</v>
      </c>
      <c r="G11" s="193">
        <f t="shared" si="0"/>
        <v>0.5</v>
      </c>
      <c r="H11" s="273" t="s">
        <v>204</v>
      </c>
      <c r="I11" s="230" t="s">
        <v>509</v>
      </c>
      <c r="J11" s="231" t="s">
        <v>499</v>
      </c>
      <c r="K11" s="176" t="s">
        <v>716</v>
      </c>
    </row>
    <row r="12" spans="2:11" x14ac:dyDescent="0.25">
      <c r="B12" s="235">
        <v>44927</v>
      </c>
      <c r="C12" s="195">
        <v>3</v>
      </c>
      <c r="E12" s="238">
        <v>0.27777777777777779</v>
      </c>
      <c r="F12" s="204">
        <v>0.29166666666666669</v>
      </c>
      <c r="G12" s="193">
        <f t="shared" si="0"/>
        <v>0.33333333333333331</v>
      </c>
      <c r="H12" s="273" t="s">
        <v>55</v>
      </c>
      <c r="I12" s="230" t="s">
        <v>509</v>
      </c>
      <c r="J12" s="231" t="s">
        <v>203</v>
      </c>
    </row>
    <row r="13" spans="2:11" x14ac:dyDescent="0.25">
      <c r="B13" s="235">
        <v>44928</v>
      </c>
      <c r="C13" s="195">
        <v>1</v>
      </c>
      <c r="E13" s="238">
        <v>0.3444444444444445</v>
      </c>
      <c r="F13" s="204">
        <v>0.35694444444444445</v>
      </c>
      <c r="G13" s="193">
        <f t="shared" si="0"/>
        <v>0.3</v>
      </c>
      <c r="H13" s="273" t="s">
        <v>55</v>
      </c>
      <c r="I13" s="230" t="s">
        <v>509</v>
      </c>
      <c r="J13" s="231" t="s">
        <v>211</v>
      </c>
    </row>
    <row r="14" spans="2:11" x14ac:dyDescent="0.25">
      <c r="B14" s="235">
        <v>44928</v>
      </c>
      <c r="C14" s="233">
        <v>1</v>
      </c>
      <c r="E14" s="238">
        <v>0.35694444444444445</v>
      </c>
      <c r="F14" s="204">
        <v>0.36180555555555555</v>
      </c>
      <c r="G14" s="193">
        <f t="shared" si="0"/>
        <v>0.11666666666666667</v>
      </c>
      <c r="H14" s="273" t="s">
        <v>55</v>
      </c>
      <c r="I14" s="230" t="s">
        <v>513</v>
      </c>
      <c r="J14" s="231" t="s">
        <v>573</v>
      </c>
    </row>
    <row r="15" spans="2:11" x14ac:dyDescent="0.25">
      <c r="B15" s="235">
        <v>44928</v>
      </c>
      <c r="C15" s="233">
        <v>1</v>
      </c>
      <c r="E15" s="238">
        <v>0.42291666666666666</v>
      </c>
      <c r="F15" s="204">
        <v>0.43333333333333335</v>
      </c>
      <c r="G15" s="193">
        <f t="shared" si="0"/>
        <v>0.25</v>
      </c>
      <c r="H15" s="230" t="s">
        <v>195</v>
      </c>
      <c r="I15" s="230" t="s">
        <v>509</v>
      </c>
      <c r="J15" s="231" t="s">
        <v>206</v>
      </c>
    </row>
    <row r="16" spans="2:11" x14ac:dyDescent="0.25">
      <c r="B16" s="235">
        <v>44928</v>
      </c>
      <c r="C16" s="233">
        <v>1</v>
      </c>
      <c r="E16" s="238">
        <v>0.49305555555555558</v>
      </c>
      <c r="F16" s="204">
        <v>0.53680555555555554</v>
      </c>
      <c r="G16" s="193">
        <f t="shared" si="0"/>
        <v>1.05</v>
      </c>
      <c r="H16" s="230" t="s">
        <v>174</v>
      </c>
      <c r="I16" s="230" t="s">
        <v>510</v>
      </c>
      <c r="J16" s="231" t="s">
        <v>590</v>
      </c>
    </row>
    <row r="17" spans="2:11" x14ac:dyDescent="0.25">
      <c r="B17" s="235">
        <v>44928</v>
      </c>
      <c r="C17" s="233">
        <v>1</v>
      </c>
      <c r="E17" s="238">
        <v>0.54375000000000007</v>
      </c>
      <c r="F17" s="204">
        <v>0.55694444444444446</v>
      </c>
      <c r="G17" s="193">
        <f t="shared" si="0"/>
        <v>0.31666666666666665</v>
      </c>
      <c r="H17" s="230" t="s">
        <v>55</v>
      </c>
      <c r="I17" s="230" t="s">
        <v>511</v>
      </c>
      <c r="J17" s="231" t="s">
        <v>200</v>
      </c>
      <c r="K17" s="176" t="s">
        <v>649</v>
      </c>
    </row>
    <row r="18" spans="2:11" x14ac:dyDescent="0.25">
      <c r="B18" s="235">
        <v>44928</v>
      </c>
      <c r="C18" s="233">
        <v>1</v>
      </c>
      <c r="E18" s="238">
        <v>0.57013888888888886</v>
      </c>
      <c r="F18" s="204">
        <v>0.5805555555555556</v>
      </c>
      <c r="G18" s="193">
        <f t="shared" si="0"/>
        <v>0.25</v>
      </c>
      <c r="H18" s="230" t="s">
        <v>195</v>
      </c>
      <c r="I18" s="230" t="s">
        <v>509</v>
      </c>
      <c r="J18" s="231" t="s">
        <v>213</v>
      </c>
    </row>
    <row r="19" spans="2:11" x14ac:dyDescent="0.25">
      <c r="B19" s="235">
        <v>44928</v>
      </c>
      <c r="C19" s="195">
        <v>2</v>
      </c>
      <c r="E19" s="238">
        <v>0.68402777777777779</v>
      </c>
      <c r="F19" s="204">
        <v>0.71180555555555547</v>
      </c>
      <c r="G19" s="193">
        <f t="shared" si="0"/>
        <v>0.66666666666666663</v>
      </c>
      <c r="H19" s="233" t="s">
        <v>651</v>
      </c>
      <c r="I19" s="230" t="s">
        <v>509</v>
      </c>
      <c r="J19" s="231" t="s">
        <v>114</v>
      </c>
    </row>
    <row r="20" spans="2:11" x14ac:dyDescent="0.25">
      <c r="B20" s="235">
        <v>44928</v>
      </c>
      <c r="C20" s="195">
        <v>2</v>
      </c>
      <c r="E20" s="238">
        <v>0.90833333333333333</v>
      </c>
      <c r="F20" s="204">
        <v>0.9277777777777777</v>
      </c>
      <c r="G20" s="193">
        <f t="shared" si="0"/>
        <v>0.46666666666666667</v>
      </c>
      <c r="H20" s="230" t="s">
        <v>55</v>
      </c>
      <c r="I20" s="230" t="s">
        <v>509</v>
      </c>
      <c r="J20" s="231" t="s">
        <v>211</v>
      </c>
    </row>
    <row r="21" spans="2:11" x14ac:dyDescent="0.25">
      <c r="B21" s="235">
        <v>44928</v>
      </c>
      <c r="C21" s="233">
        <v>2</v>
      </c>
      <c r="E21" s="238">
        <v>0.93958333333333333</v>
      </c>
      <c r="F21" s="204">
        <v>0.94652777777777775</v>
      </c>
      <c r="G21" s="193">
        <f t="shared" si="0"/>
        <v>0.16666666666666666</v>
      </c>
      <c r="H21" s="230" t="s">
        <v>55</v>
      </c>
      <c r="I21" s="230" t="s">
        <v>509</v>
      </c>
      <c r="J21" s="231" t="s">
        <v>114</v>
      </c>
    </row>
    <row r="22" spans="2:11" x14ac:dyDescent="0.25">
      <c r="B22" s="235">
        <v>44928</v>
      </c>
      <c r="C22" s="233">
        <v>2</v>
      </c>
      <c r="E22" s="238">
        <v>0.94652777777777775</v>
      </c>
      <c r="F22" s="204">
        <v>0.95000000000000007</v>
      </c>
      <c r="G22" s="193">
        <f t="shared" si="0"/>
        <v>8.3333333333333329E-2</v>
      </c>
      <c r="H22" s="230" t="s">
        <v>147</v>
      </c>
      <c r="I22" s="230" t="s">
        <v>511</v>
      </c>
      <c r="J22" s="231" t="s">
        <v>758</v>
      </c>
      <c r="K22" s="279" t="s">
        <v>660</v>
      </c>
    </row>
    <row r="23" spans="2:11" x14ac:dyDescent="0.25">
      <c r="B23" s="235">
        <v>44928</v>
      </c>
      <c r="C23" s="233">
        <v>3</v>
      </c>
      <c r="E23" s="238">
        <v>0.98749999999999993</v>
      </c>
      <c r="F23" s="204">
        <v>0.99444444444444446</v>
      </c>
      <c r="G23" s="193">
        <f t="shared" si="0"/>
        <v>0.16666666666666666</v>
      </c>
      <c r="H23" s="230" t="s">
        <v>172</v>
      </c>
      <c r="I23" s="230" t="s">
        <v>510</v>
      </c>
      <c r="J23" s="231" t="s">
        <v>621</v>
      </c>
      <c r="K23" s="279" t="s">
        <v>667</v>
      </c>
    </row>
    <row r="24" spans="2:11" x14ac:dyDescent="0.25">
      <c r="B24" s="235">
        <v>44928</v>
      </c>
      <c r="C24" s="233">
        <v>3</v>
      </c>
      <c r="E24" s="238">
        <v>0.99444444444444446</v>
      </c>
      <c r="F24" s="204">
        <v>0.99791666666666667</v>
      </c>
      <c r="G24" s="193">
        <f t="shared" si="0"/>
        <v>8.3333333333333329E-2</v>
      </c>
      <c r="H24" s="230" t="s">
        <v>147</v>
      </c>
      <c r="I24" s="230" t="s">
        <v>511</v>
      </c>
      <c r="J24" s="231" t="s">
        <v>758</v>
      </c>
      <c r="K24" s="279" t="s">
        <v>660</v>
      </c>
    </row>
    <row r="25" spans="2:11" x14ac:dyDescent="0.25">
      <c r="B25" s="235">
        <v>44928</v>
      </c>
      <c r="C25" s="233">
        <v>3</v>
      </c>
      <c r="E25" s="238">
        <v>0.27777777777777779</v>
      </c>
      <c r="F25" s="204">
        <v>0.28958333333333336</v>
      </c>
      <c r="G25" s="193">
        <f t="shared" si="0"/>
        <v>0.28333333333333333</v>
      </c>
      <c r="H25" s="230" t="s">
        <v>55</v>
      </c>
      <c r="I25" s="230" t="s">
        <v>509</v>
      </c>
      <c r="J25" s="231" t="s">
        <v>114</v>
      </c>
    </row>
    <row r="26" spans="2:11" x14ac:dyDescent="0.25">
      <c r="B26" s="235">
        <v>44929</v>
      </c>
      <c r="C26" s="233">
        <v>1</v>
      </c>
      <c r="E26" s="238">
        <v>0.34166666666666662</v>
      </c>
      <c r="F26" s="204">
        <v>0.35486111111111113</v>
      </c>
      <c r="G26" s="193">
        <f t="shared" si="0"/>
        <v>0.31666666666666665</v>
      </c>
      <c r="H26" s="273" t="s">
        <v>55</v>
      </c>
      <c r="I26" s="230" t="s">
        <v>509</v>
      </c>
      <c r="J26" s="231" t="s">
        <v>203</v>
      </c>
    </row>
    <row r="27" spans="2:11" x14ac:dyDescent="0.25">
      <c r="B27" s="235">
        <v>44929</v>
      </c>
      <c r="C27" s="233">
        <v>1</v>
      </c>
      <c r="E27" s="238">
        <v>0.3611111111111111</v>
      </c>
      <c r="F27" s="204">
        <v>0.37222222222222223</v>
      </c>
      <c r="G27" s="193">
        <f t="shared" si="0"/>
        <v>0.26666666666666666</v>
      </c>
      <c r="H27" s="273" t="s">
        <v>55</v>
      </c>
      <c r="I27" s="230" t="s">
        <v>509</v>
      </c>
      <c r="J27" s="231" t="s">
        <v>203</v>
      </c>
    </row>
    <row r="28" spans="2:11" x14ac:dyDescent="0.25">
      <c r="B28" s="235">
        <v>44929</v>
      </c>
      <c r="C28" s="233">
        <v>1</v>
      </c>
      <c r="E28" s="238">
        <v>0.42986111111111108</v>
      </c>
      <c r="F28" s="204">
        <v>0.44236111111111115</v>
      </c>
      <c r="G28" s="193">
        <f t="shared" si="0"/>
        <v>0.3</v>
      </c>
      <c r="H28" s="230" t="s">
        <v>170</v>
      </c>
      <c r="I28" s="230" t="s">
        <v>510</v>
      </c>
      <c r="J28" s="233" t="s">
        <v>666</v>
      </c>
      <c r="K28" s="176" t="s">
        <v>121</v>
      </c>
    </row>
    <row r="29" spans="2:11" x14ac:dyDescent="0.25">
      <c r="B29" s="235">
        <v>44929</v>
      </c>
      <c r="C29" s="233">
        <v>1</v>
      </c>
      <c r="E29" s="238">
        <v>0.4548611111111111</v>
      </c>
      <c r="F29" s="204">
        <v>0.46527777777777773</v>
      </c>
      <c r="G29" s="193">
        <f t="shared" si="0"/>
        <v>0.25</v>
      </c>
      <c r="H29" s="230" t="s">
        <v>176</v>
      </c>
      <c r="I29" s="230" t="s">
        <v>510</v>
      </c>
      <c r="J29" s="231" t="s">
        <v>222</v>
      </c>
    </row>
    <row r="30" spans="2:11" x14ac:dyDescent="0.25">
      <c r="B30" s="235">
        <v>44929</v>
      </c>
      <c r="C30" s="233">
        <v>1</v>
      </c>
      <c r="E30" s="238">
        <v>0.48125000000000001</v>
      </c>
      <c r="F30" s="204">
        <v>0.49513888888888885</v>
      </c>
      <c r="G30" s="193">
        <f t="shared" si="0"/>
        <v>0.33333333333333331</v>
      </c>
      <c r="H30" s="273" t="s">
        <v>55</v>
      </c>
      <c r="I30" s="230" t="s">
        <v>509</v>
      </c>
      <c r="J30" s="231" t="s">
        <v>203</v>
      </c>
    </row>
    <row r="31" spans="2:11" x14ac:dyDescent="0.25">
      <c r="B31" s="235">
        <v>44929</v>
      </c>
      <c r="C31" s="195">
        <v>1</v>
      </c>
      <c r="E31" s="238">
        <v>0.53472222222222221</v>
      </c>
      <c r="F31" s="204">
        <v>0.55208333333333337</v>
      </c>
      <c r="G31" s="193">
        <f t="shared" si="0"/>
        <v>0.41666666666666669</v>
      </c>
      <c r="H31" s="230" t="s">
        <v>55</v>
      </c>
      <c r="I31" s="230" t="s">
        <v>509</v>
      </c>
      <c r="J31" s="231" t="s">
        <v>211</v>
      </c>
      <c r="K31" s="176" t="s">
        <v>669</v>
      </c>
    </row>
    <row r="32" spans="2:11" x14ac:dyDescent="0.25">
      <c r="B32" s="235">
        <v>44929</v>
      </c>
      <c r="C32" s="195">
        <v>1</v>
      </c>
      <c r="E32" s="238">
        <v>0.57638888888888895</v>
      </c>
      <c r="F32" s="204">
        <v>0.58680555555555558</v>
      </c>
      <c r="G32" s="193">
        <f t="shared" si="0"/>
        <v>0.25</v>
      </c>
      <c r="H32" s="230" t="s">
        <v>204</v>
      </c>
      <c r="I32" s="230" t="s">
        <v>511</v>
      </c>
      <c r="J32" s="231" t="s">
        <v>200</v>
      </c>
      <c r="K32" s="176" t="s">
        <v>670</v>
      </c>
    </row>
    <row r="33" spans="2:11" x14ac:dyDescent="0.25">
      <c r="B33" s="235">
        <v>44929</v>
      </c>
      <c r="C33" s="195">
        <v>2</v>
      </c>
      <c r="E33" s="238">
        <v>0.65277777777777779</v>
      </c>
      <c r="F33" s="204">
        <v>0.66319444444444442</v>
      </c>
      <c r="G33" s="193">
        <f t="shared" si="0"/>
        <v>0.25</v>
      </c>
      <c r="H33" s="230" t="s">
        <v>152</v>
      </c>
      <c r="I33" s="230" t="s">
        <v>510</v>
      </c>
      <c r="J33" s="231" t="s">
        <v>183</v>
      </c>
      <c r="K33" s="176" t="s">
        <v>121</v>
      </c>
    </row>
    <row r="34" spans="2:11" x14ac:dyDescent="0.25">
      <c r="B34" s="235">
        <v>44929</v>
      </c>
      <c r="C34" s="195">
        <v>2</v>
      </c>
      <c r="E34" s="238">
        <v>0.66666666666666663</v>
      </c>
      <c r="F34" s="204">
        <v>0.67708333333333337</v>
      </c>
      <c r="G34" s="193">
        <f t="shared" ref="G34:G65" si="1">IFERROR(IF(E34&gt;F34,((F34+B37+1)-(E34+B37))*24,HOUR(F34-E34)+MINUTE(F34-E34)/60),"")</f>
        <v>0.25</v>
      </c>
      <c r="H34" s="230" t="s">
        <v>55</v>
      </c>
      <c r="I34" s="230" t="s">
        <v>509</v>
      </c>
      <c r="J34" s="231" t="s">
        <v>203</v>
      </c>
    </row>
    <row r="35" spans="2:11" x14ac:dyDescent="0.25">
      <c r="B35" s="235">
        <v>44929</v>
      </c>
      <c r="C35" s="195">
        <v>2</v>
      </c>
      <c r="E35" s="238">
        <v>0.70833333333333337</v>
      </c>
      <c r="F35" s="204">
        <v>0.71875</v>
      </c>
      <c r="G35" s="193">
        <f t="shared" si="1"/>
        <v>0.25</v>
      </c>
      <c r="H35" s="230" t="s">
        <v>152</v>
      </c>
      <c r="I35" s="230" t="s">
        <v>510</v>
      </c>
      <c r="J35" s="231" t="s">
        <v>183</v>
      </c>
      <c r="K35" s="176" t="s">
        <v>121</v>
      </c>
    </row>
    <row r="36" spans="2:11" x14ac:dyDescent="0.25">
      <c r="B36" s="235">
        <v>44929</v>
      </c>
      <c r="C36" s="195">
        <v>2</v>
      </c>
      <c r="E36" s="238">
        <v>0.85</v>
      </c>
      <c r="F36" s="204">
        <v>0.86388888888888893</v>
      </c>
      <c r="G36" s="193">
        <f t="shared" si="1"/>
        <v>0.33333333333333331</v>
      </c>
      <c r="H36" s="230" t="s">
        <v>204</v>
      </c>
      <c r="I36" s="230" t="s">
        <v>509</v>
      </c>
      <c r="J36" s="231" t="s">
        <v>600</v>
      </c>
      <c r="K36" s="176" t="s">
        <v>673</v>
      </c>
    </row>
    <row r="37" spans="2:11" x14ac:dyDescent="0.25">
      <c r="B37" s="235">
        <v>44929</v>
      </c>
      <c r="C37" s="195">
        <v>2</v>
      </c>
      <c r="E37" s="238">
        <v>0.91875000000000007</v>
      </c>
      <c r="F37" s="204">
        <v>0.9291666666666667</v>
      </c>
      <c r="G37" s="193">
        <f t="shared" si="1"/>
        <v>0.25</v>
      </c>
      <c r="H37" s="230" t="s">
        <v>152</v>
      </c>
      <c r="I37" s="230" t="s">
        <v>510</v>
      </c>
      <c r="J37" s="231" t="s">
        <v>183</v>
      </c>
      <c r="K37" s="176" t="s">
        <v>717</v>
      </c>
    </row>
    <row r="38" spans="2:11" x14ac:dyDescent="0.25">
      <c r="B38" s="235">
        <v>44929</v>
      </c>
      <c r="C38" s="233">
        <v>2</v>
      </c>
      <c r="E38" s="238">
        <v>0.94166666666666676</v>
      </c>
      <c r="F38" s="204">
        <v>0.95486111111111116</v>
      </c>
      <c r="G38" s="193">
        <f t="shared" si="1"/>
        <v>0.31666666666666665</v>
      </c>
      <c r="H38" s="230" t="s">
        <v>55</v>
      </c>
      <c r="I38" s="230" t="s">
        <v>509</v>
      </c>
      <c r="J38" s="231" t="s">
        <v>114</v>
      </c>
    </row>
    <row r="39" spans="2:11" x14ac:dyDescent="0.25">
      <c r="B39" s="235">
        <v>44929</v>
      </c>
      <c r="C39" s="195">
        <v>3</v>
      </c>
      <c r="E39" s="238">
        <v>0.97430555555555554</v>
      </c>
      <c r="F39" s="204">
        <v>0.98263888888888884</v>
      </c>
      <c r="G39" s="193">
        <f t="shared" si="1"/>
        <v>0.2</v>
      </c>
      <c r="H39" s="230" t="s">
        <v>55</v>
      </c>
      <c r="I39" s="230" t="s">
        <v>509</v>
      </c>
      <c r="J39" s="231" t="s">
        <v>211</v>
      </c>
    </row>
    <row r="40" spans="2:11" x14ac:dyDescent="0.25">
      <c r="B40" s="235">
        <v>44929</v>
      </c>
      <c r="C40" s="233">
        <v>3</v>
      </c>
      <c r="E40" s="238">
        <v>0.98263888888888884</v>
      </c>
      <c r="F40" s="204">
        <v>0.98472222222222217</v>
      </c>
      <c r="G40" s="193">
        <f t="shared" si="1"/>
        <v>0.05</v>
      </c>
      <c r="H40" s="230" t="s">
        <v>147</v>
      </c>
      <c r="I40" s="230" t="s">
        <v>511</v>
      </c>
      <c r="J40" s="231" t="s">
        <v>758</v>
      </c>
      <c r="K40" s="279" t="s">
        <v>660</v>
      </c>
    </row>
    <row r="41" spans="2:11" x14ac:dyDescent="0.25">
      <c r="B41" s="235">
        <v>44929</v>
      </c>
      <c r="C41" s="233">
        <v>3</v>
      </c>
      <c r="E41" s="238">
        <v>0.12222222222222223</v>
      </c>
      <c r="F41" s="204">
        <v>0.12708333333333333</v>
      </c>
      <c r="G41" s="193">
        <f t="shared" si="1"/>
        <v>0.11666666666666667</v>
      </c>
      <c r="H41" s="230" t="s">
        <v>152</v>
      </c>
      <c r="I41" s="230" t="s">
        <v>510</v>
      </c>
      <c r="J41" s="231" t="s">
        <v>183</v>
      </c>
      <c r="K41" s="176" t="s">
        <v>121</v>
      </c>
    </row>
    <row r="42" spans="2:11" x14ac:dyDescent="0.25">
      <c r="B42" s="235">
        <v>44929</v>
      </c>
      <c r="C42" s="233">
        <v>3</v>
      </c>
      <c r="E42" s="238">
        <v>0.12708333333333333</v>
      </c>
      <c r="F42" s="204">
        <v>0.13263888888888889</v>
      </c>
      <c r="G42" s="193">
        <f t="shared" si="1"/>
        <v>0.13333333333333333</v>
      </c>
      <c r="H42" s="230" t="s">
        <v>147</v>
      </c>
      <c r="I42" s="230" t="s">
        <v>511</v>
      </c>
      <c r="J42" s="231" t="s">
        <v>758</v>
      </c>
      <c r="K42" s="279" t="s">
        <v>660</v>
      </c>
    </row>
    <row r="43" spans="2:11" x14ac:dyDescent="0.25">
      <c r="B43" s="235">
        <v>44929</v>
      </c>
      <c r="C43" s="233">
        <v>3</v>
      </c>
      <c r="E43" s="238">
        <v>0.27847222222222223</v>
      </c>
      <c r="F43" s="204">
        <v>0.29166666666666669</v>
      </c>
      <c r="G43" s="193">
        <f t="shared" si="1"/>
        <v>0.31666666666666665</v>
      </c>
      <c r="H43" s="230" t="s">
        <v>55</v>
      </c>
      <c r="I43" s="230" t="s">
        <v>509</v>
      </c>
      <c r="J43" s="231" t="s">
        <v>114</v>
      </c>
    </row>
    <row r="44" spans="2:11" x14ac:dyDescent="0.25">
      <c r="B44" s="235">
        <v>44930</v>
      </c>
      <c r="C44" s="195">
        <v>1</v>
      </c>
      <c r="E44" s="238">
        <v>0.29166666666666669</v>
      </c>
      <c r="F44" s="204">
        <v>0.29375000000000001</v>
      </c>
      <c r="G44" s="193">
        <f t="shared" si="1"/>
        <v>0.05</v>
      </c>
      <c r="H44" s="230" t="s">
        <v>55</v>
      </c>
      <c r="I44" s="230" t="s">
        <v>509</v>
      </c>
      <c r="J44" s="231" t="s">
        <v>114</v>
      </c>
    </row>
    <row r="45" spans="2:11" x14ac:dyDescent="0.25">
      <c r="B45" s="235">
        <v>44930</v>
      </c>
      <c r="C45" s="233">
        <v>1</v>
      </c>
      <c r="E45" s="238">
        <v>0.30208333333333331</v>
      </c>
      <c r="F45" s="204">
        <v>0.625</v>
      </c>
      <c r="G45" s="193">
        <f t="shared" si="1"/>
        <v>7.75</v>
      </c>
      <c r="I45" s="230" t="s">
        <v>156</v>
      </c>
      <c r="J45" s="231" t="s">
        <v>149</v>
      </c>
      <c r="K45" s="176" t="s">
        <v>674</v>
      </c>
    </row>
    <row r="46" spans="2:11" x14ac:dyDescent="0.25">
      <c r="B46" s="235">
        <v>44930</v>
      </c>
      <c r="C46" s="195">
        <v>2</v>
      </c>
      <c r="E46" s="238">
        <v>0.625</v>
      </c>
      <c r="F46" s="204">
        <v>0.95833333333333337</v>
      </c>
      <c r="G46" s="193">
        <f t="shared" si="1"/>
        <v>8</v>
      </c>
      <c r="I46" s="230" t="s">
        <v>156</v>
      </c>
      <c r="J46" s="231" t="s">
        <v>149</v>
      </c>
      <c r="K46" s="176" t="s">
        <v>674</v>
      </c>
    </row>
    <row r="47" spans="2:11" x14ac:dyDescent="0.25">
      <c r="B47" s="235">
        <v>44930</v>
      </c>
      <c r="C47" s="195">
        <v>3</v>
      </c>
      <c r="E47" s="238">
        <v>0.95833333333333337</v>
      </c>
      <c r="F47" s="204">
        <v>0.29166666666666669</v>
      </c>
      <c r="G47" s="193">
        <f t="shared" si="1"/>
        <v>7.9999999998835847</v>
      </c>
      <c r="I47" s="230" t="s">
        <v>156</v>
      </c>
      <c r="J47" s="231" t="s">
        <v>149</v>
      </c>
      <c r="K47" s="176" t="s">
        <v>674</v>
      </c>
    </row>
    <row r="48" spans="2:11" x14ac:dyDescent="0.25">
      <c r="B48" s="235">
        <v>44931</v>
      </c>
      <c r="C48" s="195">
        <v>1</v>
      </c>
      <c r="E48" s="238">
        <v>0.29166666666666669</v>
      </c>
      <c r="F48" s="204">
        <v>0.625</v>
      </c>
      <c r="G48" s="193">
        <f t="shared" si="1"/>
        <v>8</v>
      </c>
      <c r="I48" s="230" t="s">
        <v>156</v>
      </c>
      <c r="J48" s="231" t="s">
        <v>149</v>
      </c>
      <c r="K48" s="176" t="s">
        <v>674</v>
      </c>
    </row>
    <row r="49" spans="2:11" x14ac:dyDescent="0.25">
      <c r="B49" s="235">
        <v>44931</v>
      </c>
      <c r="C49" s="195">
        <v>2</v>
      </c>
      <c r="E49" s="238">
        <v>0.625</v>
      </c>
      <c r="F49" s="204">
        <v>0.95833333333333337</v>
      </c>
      <c r="G49" s="193">
        <f t="shared" si="1"/>
        <v>8</v>
      </c>
      <c r="I49" s="230" t="s">
        <v>156</v>
      </c>
      <c r="J49" s="231" t="s">
        <v>149</v>
      </c>
      <c r="K49" s="176" t="s">
        <v>674</v>
      </c>
    </row>
    <row r="50" spans="2:11" x14ac:dyDescent="0.25">
      <c r="B50" s="235">
        <v>44931</v>
      </c>
      <c r="C50" s="195">
        <v>3</v>
      </c>
      <c r="E50" s="238">
        <v>0.95833333333333337</v>
      </c>
      <c r="F50" s="204">
        <v>0.29166666666666669</v>
      </c>
      <c r="G50" s="193">
        <f t="shared" si="1"/>
        <v>7.9999999998835847</v>
      </c>
      <c r="I50" s="230" t="s">
        <v>156</v>
      </c>
      <c r="J50" s="231" t="s">
        <v>149</v>
      </c>
      <c r="K50" s="176" t="s">
        <v>674</v>
      </c>
    </row>
    <row r="51" spans="2:11" x14ac:dyDescent="0.25">
      <c r="B51" s="235">
        <v>44932</v>
      </c>
      <c r="C51" s="195">
        <v>1</v>
      </c>
      <c r="E51" s="238">
        <v>0.29166666666666669</v>
      </c>
      <c r="F51" s="204">
        <v>0.35416666666666669</v>
      </c>
      <c r="G51" s="193">
        <f t="shared" si="1"/>
        <v>1.5</v>
      </c>
      <c r="I51" s="230" t="s">
        <v>156</v>
      </c>
      <c r="J51" s="231" t="s">
        <v>149</v>
      </c>
      <c r="K51" s="176" t="s">
        <v>674</v>
      </c>
    </row>
    <row r="52" spans="2:11" x14ac:dyDescent="0.25">
      <c r="B52" s="235">
        <v>44932</v>
      </c>
      <c r="C52" s="195">
        <v>1</v>
      </c>
      <c r="E52" s="238">
        <v>0.38750000000000001</v>
      </c>
      <c r="F52" s="204">
        <v>0.39930555555555558</v>
      </c>
      <c r="G52" s="193">
        <f t="shared" si="1"/>
        <v>0.28333333333333333</v>
      </c>
      <c r="H52" s="230" t="s">
        <v>195</v>
      </c>
      <c r="I52" s="230" t="s">
        <v>509</v>
      </c>
      <c r="J52" s="231" t="s">
        <v>213</v>
      </c>
    </row>
    <row r="53" spans="2:11" x14ac:dyDescent="0.25">
      <c r="B53" s="235">
        <v>44932</v>
      </c>
      <c r="C53" s="195">
        <v>1</v>
      </c>
      <c r="E53" s="238">
        <v>0.46180555555555558</v>
      </c>
      <c r="F53" s="204">
        <v>0.47222222222222227</v>
      </c>
      <c r="G53" s="193">
        <f t="shared" si="1"/>
        <v>0.25</v>
      </c>
      <c r="H53" s="230" t="s">
        <v>158</v>
      </c>
      <c r="I53" s="230" t="s">
        <v>509</v>
      </c>
      <c r="J53" s="231" t="s">
        <v>495</v>
      </c>
    </row>
    <row r="54" spans="2:11" x14ac:dyDescent="0.25">
      <c r="B54" s="235">
        <v>44932</v>
      </c>
      <c r="C54" s="233">
        <v>1</v>
      </c>
      <c r="E54" s="238">
        <v>0.47222222222222227</v>
      </c>
      <c r="F54" s="204">
        <v>0.51388888888888895</v>
      </c>
      <c r="G54" s="193">
        <f t="shared" si="1"/>
        <v>1</v>
      </c>
      <c r="H54" s="230" t="s">
        <v>201</v>
      </c>
      <c r="I54" s="230" t="s">
        <v>509</v>
      </c>
      <c r="J54" s="231" t="s">
        <v>110</v>
      </c>
      <c r="K54" s="176" t="s">
        <v>868</v>
      </c>
    </row>
    <row r="55" spans="2:11" x14ac:dyDescent="0.25">
      <c r="B55" s="235">
        <v>44932</v>
      </c>
      <c r="C55" s="233">
        <v>1</v>
      </c>
      <c r="E55" s="238">
        <v>0.52638888888888891</v>
      </c>
      <c r="F55" s="204">
        <v>0.53749999999999998</v>
      </c>
      <c r="G55" s="193">
        <f t="shared" si="1"/>
        <v>0.26666666666666666</v>
      </c>
      <c r="H55" s="230" t="s">
        <v>55</v>
      </c>
      <c r="I55" s="230" t="s">
        <v>509</v>
      </c>
      <c r="J55" s="231" t="s">
        <v>203</v>
      </c>
    </row>
    <row r="56" spans="2:11" x14ac:dyDescent="0.25">
      <c r="B56" s="235">
        <v>44932</v>
      </c>
      <c r="C56" s="233">
        <v>1</v>
      </c>
      <c r="E56" s="238">
        <v>0.6020833333333333</v>
      </c>
      <c r="F56" s="204">
        <v>0.61249999999999993</v>
      </c>
      <c r="G56" s="193">
        <f t="shared" si="1"/>
        <v>0.25</v>
      </c>
      <c r="H56" s="230" t="s">
        <v>195</v>
      </c>
      <c r="I56" s="230" t="s">
        <v>511</v>
      </c>
      <c r="J56" s="233" t="s">
        <v>757</v>
      </c>
      <c r="K56" s="176" t="s">
        <v>679</v>
      </c>
    </row>
    <row r="57" spans="2:11" x14ac:dyDescent="0.25">
      <c r="B57" s="235">
        <v>44932</v>
      </c>
      <c r="C57" s="233">
        <v>1</v>
      </c>
      <c r="E57" s="238">
        <v>0.61249999999999993</v>
      </c>
      <c r="F57" s="204">
        <v>0.61458333333333337</v>
      </c>
      <c r="G57" s="193">
        <f t="shared" si="1"/>
        <v>0.05</v>
      </c>
      <c r="H57" s="230" t="s">
        <v>55</v>
      </c>
      <c r="I57" s="230" t="s">
        <v>509</v>
      </c>
      <c r="J57" s="231" t="s">
        <v>114</v>
      </c>
    </row>
    <row r="58" spans="2:11" x14ac:dyDescent="0.25">
      <c r="B58" s="235">
        <v>44932</v>
      </c>
      <c r="C58" s="233">
        <v>1</v>
      </c>
      <c r="E58" s="238">
        <v>0.61458333333333337</v>
      </c>
      <c r="F58" s="204">
        <v>0.625</v>
      </c>
      <c r="G58" s="193">
        <f t="shared" si="1"/>
        <v>0.25</v>
      </c>
      <c r="H58" s="230" t="s">
        <v>195</v>
      </c>
      <c r="I58" s="230" t="s">
        <v>511</v>
      </c>
      <c r="J58" s="233" t="s">
        <v>757</v>
      </c>
      <c r="K58" s="176" t="s">
        <v>679</v>
      </c>
    </row>
    <row r="59" spans="2:11" x14ac:dyDescent="0.25">
      <c r="B59" s="235">
        <v>44932</v>
      </c>
      <c r="C59" s="195">
        <v>2</v>
      </c>
      <c r="E59" s="238">
        <v>0.625</v>
      </c>
      <c r="F59" s="204">
        <v>0.63888888888888895</v>
      </c>
      <c r="G59" s="193">
        <f t="shared" si="1"/>
        <v>0.33333333333333331</v>
      </c>
      <c r="H59" s="230" t="s">
        <v>195</v>
      </c>
      <c r="I59" s="230" t="s">
        <v>511</v>
      </c>
      <c r="J59" s="233" t="s">
        <v>757</v>
      </c>
      <c r="K59" s="176" t="s">
        <v>679</v>
      </c>
    </row>
    <row r="60" spans="2:11" x14ac:dyDescent="0.25">
      <c r="B60" s="235">
        <v>44932</v>
      </c>
      <c r="C60" s="195">
        <v>2</v>
      </c>
      <c r="E60" s="238">
        <v>0.64930555555555558</v>
      </c>
      <c r="F60" s="204">
        <v>0.65972222222222221</v>
      </c>
      <c r="G60" s="193">
        <f t="shared" si="1"/>
        <v>0.25</v>
      </c>
      <c r="H60" s="230" t="s">
        <v>195</v>
      </c>
      <c r="I60" s="230" t="s">
        <v>509</v>
      </c>
      <c r="J60" s="231" t="s">
        <v>110</v>
      </c>
      <c r="K60" s="176" t="s">
        <v>869</v>
      </c>
    </row>
    <row r="61" spans="2:11" x14ac:dyDescent="0.25">
      <c r="B61" s="235">
        <v>44932</v>
      </c>
      <c r="C61" s="195">
        <v>2</v>
      </c>
      <c r="E61" s="238">
        <v>0.67361111111111116</v>
      </c>
      <c r="F61" s="204">
        <v>0.6875</v>
      </c>
      <c r="G61" s="193">
        <f t="shared" si="1"/>
        <v>0.33333333333333331</v>
      </c>
      <c r="H61" s="230" t="s">
        <v>55</v>
      </c>
      <c r="I61" s="230" t="s">
        <v>509</v>
      </c>
      <c r="J61" s="231" t="s">
        <v>211</v>
      </c>
      <c r="K61" s="176" t="s">
        <v>684</v>
      </c>
    </row>
    <row r="62" spans="2:11" x14ac:dyDescent="0.25">
      <c r="B62" s="235">
        <v>44932</v>
      </c>
      <c r="C62" s="195">
        <v>2</v>
      </c>
      <c r="E62" s="238">
        <v>0.71875</v>
      </c>
      <c r="F62" s="204">
        <v>0.72916666666666663</v>
      </c>
      <c r="G62" s="193">
        <f t="shared" si="1"/>
        <v>0.25</v>
      </c>
      <c r="H62" s="230" t="s">
        <v>55</v>
      </c>
      <c r="I62" s="230" t="s">
        <v>509</v>
      </c>
      <c r="J62" s="231" t="s">
        <v>203</v>
      </c>
      <c r="K62" s="279" t="s">
        <v>660</v>
      </c>
    </row>
    <row r="63" spans="2:11" x14ac:dyDescent="0.25">
      <c r="B63" s="235">
        <v>44932</v>
      </c>
      <c r="C63" s="195">
        <v>2</v>
      </c>
      <c r="E63" s="238">
        <v>0.74305555555555547</v>
      </c>
      <c r="F63" s="204">
        <v>0.75347222222222221</v>
      </c>
      <c r="G63" s="193">
        <f t="shared" si="1"/>
        <v>0.25</v>
      </c>
      <c r="H63" s="230" t="s">
        <v>174</v>
      </c>
      <c r="I63" s="230" t="s">
        <v>511</v>
      </c>
      <c r="J63" s="231" t="s">
        <v>213</v>
      </c>
      <c r="K63" s="176" t="s">
        <v>870</v>
      </c>
    </row>
    <row r="64" spans="2:11" x14ac:dyDescent="0.25">
      <c r="B64" s="235">
        <v>44932</v>
      </c>
      <c r="C64" s="233">
        <v>2</v>
      </c>
      <c r="E64" s="238">
        <v>0.80902777777777779</v>
      </c>
      <c r="F64" s="204">
        <v>0.81944444444444453</v>
      </c>
      <c r="G64" s="193">
        <f t="shared" si="1"/>
        <v>0.25</v>
      </c>
      <c r="H64" s="230" t="s">
        <v>55</v>
      </c>
      <c r="I64" s="230" t="s">
        <v>509</v>
      </c>
      <c r="J64" s="231" t="s">
        <v>203</v>
      </c>
      <c r="K64" s="279" t="s">
        <v>660</v>
      </c>
    </row>
    <row r="65" spans="2:11" x14ac:dyDescent="0.25">
      <c r="B65" s="235">
        <v>44932</v>
      </c>
      <c r="C65" s="233">
        <v>2</v>
      </c>
      <c r="E65" s="238">
        <v>0.82986111111111116</v>
      </c>
      <c r="F65" s="280">
        <v>0.84027777777777779</v>
      </c>
      <c r="G65" s="193">
        <f t="shared" si="1"/>
        <v>0.25</v>
      </c>
      <c r="H65" s="230" t="s">
        <v>55</v>
      </c>
      <c r="I65" s="230" t="s">
        <v>509</v>
      </c>
      <c r="J65" s="231" t="s">
        <v>203</v>
      </c>
      <c r="K65" s="279" t="s">
        <v>660</v>
      </c>
    </row>
    <row r="66" spans="2:11" x14ac:dyDescent="0.25">
      <c r="B66" s="235">
        <v>44932</v>
      </c>
      <c r="C66" s="195">
        <v>2</v>
      </c>
      <c r="E66" s="238">
        <v>0.92708333333333337</v>
      </c>
      <c r="F66" s="204">
        <v>0.95833333333333337</v>
      </c>
      <c r="G66" s="193">
        <f>IFERROR(IF(E66&gt;F66,((F66+B69+1)-(E66+B69))*24,HOUR(F66-E66)+MINUTE(F66-E66)/60),"")</f>
        <v>0.75</v>
      </c>
      <c r="H66" s="230" t="s">
        <v>55</v>
      </c>
      <c r="I66" s="230" t="s">
        <v>509</v>
      </c>
      <c r="J66" s="231" t="s">
        <v>211</v>
      </c>
      <c r="K66" s="176" t="s">
        <v>685</v>
      </c>
    </row>
    <row r="67" spans="2:11" x14ac:dyDescent="0.25">
      <c r="B67" s="235">
        <v>44932</v>
      </c>
      <c r="C67" s="195">
        <v>3</v>
      </c>
      <c r="E67" s="238">
        <v>0.95833333333333337</v>
      </c>
      <c r="F67" s="204">
        <v>0.97569444444444453</v>
      </c>
      <c r="G67" s="193">
        <f>IFERROR(IF(E67&gt;F67,((F67+B70+1)-(E67+B70))*24,HOUR(F67-E67)+MINUTE(F67-E67)/60),"")</f>
        <v>0.41666666666666669</v>
      </c>
      <c r="H67" s="230" t="s">
        <v>55</v>
      </c>
      <c r="I67" s="230" t="s">
        <v>509</v>
      </c>
      <c r="J67" s="231" t="s">
        <v>211</v>
      </c>
      <c r="K67" s="176" t="s">
        <v>685</v>
      </c>
    </row>
    <row r="68" spans="2:11" x14ac:dyDescent="0.25">
      <c r="B68" s="235">
        <v>44932</v>
      </c>
      <c r="C68" s="195">
        <v>3</v>
      </c>
      <c r="E68" s="238">
        <v>0.19444444444444445</v>
      </c>
      <c r="F68" s="204">
        <v>0.20486111111111113</v>
      </c>
      <c r="G68" s="193">
        <f>IFERROR(IF(E68&gt;F68,((F68+B71+1)-(E68+B71))*24,HOUR(F68-E68)+MINUTE(F68-E68)/60),"")</f>
        <v>0.25</v>
      </c>
      <c r="H68" s="230" t="s">
        <v>55</v>
      </c>
      <c r="I68" s="230" t="s">
        <v>509</v>
      </c>
      <c r="J68" s="231" t="s">
        <v>203</v>
      </c>
      <c r="K68" s="279" t="s">
        <v>660</v>
      </c>
    </row>
    <row r="69" spans="2:11" x14ac:dyDescent="0.25">
      <c r="B69" s="235">
        <v>44932</v>
      </c>
      <c r="C69" s="233">
        <v>3</v>
      </c>
      <c r="E69" s="238">
        <v>0.27638888888888885</v>
      </c>
      <c r="F69" s="204">
        <v>0.29166666666666669</v>
      </c>
      <c r="G69" s="193">
        <f>IFERROR(IF(E69&gt;F69,((F69+B72+1)-(E69+B72))*24,HOUR(F69-E69)+MINUTE(F69-E69)/60),"")</f>
        <v>0.36666666666666664</v>
      </c>
      <c r="H69" s="230" t="s">
        <v>55</v>
      </c>
      <c r="I69" s="230" t="s">
        <v>509</v>
      </c>
      <c r="J69" s="231" t="s">
        <v>114</v>
      </c>
    </row>
    <row r="70" spans="2:11" x14ac:dyDescent="0.25">
      <c r="B70" s="235">
        <v>44933</v>
      </c>
      <c r="C70" s="195">
        <v>1</v>
      </c>
      <c r="E70" s="238">
        <v>0.29166666666666669</v>
      </c>
      <c r="F70" s="204">
        <v>0.2951388888888889</v>
      </c>
      <c r="G70" s="193">
        <f>IFERROR(IF(E70&gt;F70,((F70+B73+1)-(E70+B73))*24,HOUR(F70-E70)+MINUTE(F70-E70)/60),"")</f>
        <v>8.3333333333333329E-2</v>
      </c>
      <c r="H70" s="230" t="s">
        <v>55</v>
      </c>
      <c r="I70" s="230" t="s">
        <v>509</v>
      </c>
      <c r="J70" s="231" t="s">
        <v>114</v>
      </c>
    </row>
    <row r="71" spans="2:11" x14ac:dyDescent="0.25">
      <c r="B71" s="235">
        <v>44933</v>
      </c>
      <c r="C71" s="233">
        <v>1</v>
      </c>
      <c r="E71" s="238">
        <v>0.30902777777777779</v>
      </c>
      <c r="F71" s="204">
        <v>0.31944444444444448</v>
      </c>
      <c r="G71" s="193">
        <f>IFERROR(IF(E71&gt;F71,((F71+B75+1)-(E71+B75))*24,HOUR(F71-E71)+MINUTE(F71-E71)/60),"")</f>
        <v>0.25</v>
      </c>
      <c r="H71" s="230" t="s">
        <v>55</v>
      </c>
      <c r="I71" s="230" t="s">
        <v>509</v>
      </c>
      <c r="J71" s="231" t="s">
        <v>203</v>
      </c>
      <c r="K71" s="176" t="s">
        <v>688</v>
      </c>
    </row>
    <row r="72" spans="2:11" x14ac:dyDescent="0.25">
      <c r="B72" s="235">
        <v>44933</v>
      </c>
      <c r="C72" s="233">
        <v>1</v>
      </c>
      <c r="E72" s="238">
        <v>0.36736111111111108</v>
      </c>
      <c r="F72" s="204">
        <v>0.37916666666666665</v>
      </c>
      <c r="G72" s="193">
        <f>IFERROR(IF(E72&gt;F72,((F72+B76+1)-(E72+B76))*24,HOUR(F72-E72)+MINUTE(F72-E72)/60),"")</f>
        <v>0.28333333333333333</v>
      </c>
      <c r="H72" s="230" t="s">
        <v>55</v>
      </c>
      <c r="I72" s="230" t="s">
        <v>509</v>
      </c>
      <c r="J72" s="231" t="s">
        <v>203</v>
      </c>
      <c r="K72" s="176" t="s">
        <v>688</v>
      </c>
    </row>
    <row r="73" spans="2:11" x14ac:dyDescent="0.25">
      <c r="B73" s="235">
        <v>44933</v>
      </c>
      <c r="C73" s="233">
        <v>1</v>
      </c>
      <c r="E73" s="238">
        <v>0.3972222222222222</v>
      </c>
      <c r="F73" s="204">
        <v>0.40902777777777777</v>
      </c>
      <c r="G73" s="193">
        <f>IFERROR(IF(E73&gt;F73,((F73+B77+1)-(E73+B77))*24,HOUR(F73-E73)+MINUTE(F73-E73)/60),"")</f>
        <v>0.28333333333333333</v>
      </c>
      <c r="H73" s="230" t="s">
        <v>55</v>
      </c>
      <c r="I73" s="230" t="s">
        <v>509</v>
      </c>
      <c r="J73" s="231" t="s">
        <v>203</v>
      </c>
      <c r="K73" s="176" t="s">
        <v>688</v>
      </c>
    </row>
    <row r="74" spans="2:11" s="233" customFormat="1" x14ac:dyDescent="0.25">
      <c r="B74" s="235">
        <v>44933</v>
      </c>
      <c r="C74" s="233">
        <v>1</v>
      </c>
      <c r="E74" s="238">
        <v>0.42708333333333331</v>
      </c>
      <c r="F74" s="204">
        <v>0.43402777777777773</v>
      </c>
      <c r="G74" s="193">
        <f>IFERROR(IF(E74&gt;F74,((F74+B78+1)-(E74+B78))*24,HOUR(F74-E74)+MINUTE(F74-E74)/60),"")</f>
        <v>0.16666666666666666</v>
      </c>
      <c r="H74" s="230" t="s">
        <v>55</v>
      </c>
      <c r="I74" s="230" t="s">
        <v>509</v>
      </c>
      <c r="J74" s="231" t="s">
        <v>213</v>
      </c>
      <c r="K74" s="176" t="s">
        <v>689</v>
      </c>
    </row>
    <row r="75" spans="2:11" x14ac:dyDescent="0.25">
      <c r="B75" s="235">
        <v>44933</v>
      </c>
      <c r="C75" s="233">
        <v>1</v>
      </c>
      <c r="E75" s="238">
        <v>0.4513888888888889</v>
      </c>
      <c r="F75" s="204">
        <v>0.46180555555555558</v>
      </c>
      <c r="G75" s="193">
        <f t="shared" ref="G75:G106" si="2">IFERROR(IF(E75&gt;F75,((F75+B78+1)-(E75+B78))*24,HOUR(F75-E75)+MINUTE(F75-E75)/60),"")</f>
        <v>0.25</v>
      </c>
      <c r="H75" s="230" t="s">
        <v>55</v>
      </c>
      <c r="I75" s="230" t="s">
        <v>509</v>
      </c>
      <c r="J75" s="231" t="s">
        <v>211</v>
      </c>
    </row>
    <row r="76" spans="2:11" x14ac:dyDescent="0.25">
      <c r="B76" s="235">
        <v>44933</v>
      </c>
      <c r="C76" s="233">
        <v>1</v>
      </c>
      <c r="E76" s="238">
        <v>0.46180555555555558</v>
      </c>
      <c r="F76" s="204">
        <v>0.47569444444444442</v>
      </c>
      <c r="G76" s="193">
        <f t="shared" si="2"/>
        <v>0.33333333333333331</v>
      </c>
      <c r="H76" s="230" t="s">
        <v>147</v>
      </c>
      <c r="I76" s="230" t="s">
        <v>509</v>
      </c>
      <c r="J76" s="231" t="s">
        <v>86</v>
      </c>
    </row>
    <row r="77" spans="2:11" x14ac:dyDescent="0.25">
      <c r="B77" s="235">
        <v>44933</v>
      </c>
      <c r="C77" s="233">
        <v>1</v>
      </c>
      <c r="E77" s="238">
        <v>0.48749999999999999</v>
      </c>
      <c r="F77" s="204">
        <v>0.5083333333333333</v>
      </c>
      <c r="G77" s="193">
        <f t="shared" si="2"/>
        <v>0.5</v>
      </c>
      <c r="H77" s="230" t="s">
        <v>55</v>
      </c>
      <c r="I77" s="230" t="s">
        <v>509</v>
      </c>
      <c r="J77" s="231" t="s">
        <v>213</v>
      </c>
      <c r="K77" s="176" t="s">
        <v>690</v>
      </c>
    </row>
    <row r="78" spans="2:11" x14ac:dyDescent="0.25">
      <c r="B78" s="235">
        <v>44933</v>
      </c>
      <c r="C78" s="233">
        <v>1</v>
      </c>
      <c r="E78" s="238">
        <v>0.60972222222222217</v>
      </c>
      <c r="F78" s="204">
        <v>0.625</v>
      </c>
      <c r="G78" s="193">
        <f t="shared" si="2"/>
        <v>0.36666666666666664</v>
      </c>
      <c r="H78" s="230" t="s">
        <v>55</v>
      </c>
      <c r="I78" s="230" t="s">
        <v>509</v>
      </c>
      <c r="J78" s="231" t="s">
        <v>203</v>
      </c>
    </row>
    <row r="79" spans="2:11" x14ac:dyDescent="0.25">
      <c r="B79" s="235">
        <v>44933</v>
      </c>
      <c r="C79" s="233">
        <v>2</v>
      </c>
      <c r="E79" s="238">
        <v>0.625</v>
      </c>
      <c r="F79" s="204">
        <v>0.63541666666666663</v>
      </c>
      <c r="G79" s="193">
        <f t="shared" si="2"/>
        <v>0.25</v>
      </c>
      <c r="H79" s="230" t="s">
        <v>195</v>
      </c>
      <c r="I79" s="230" t="s">
        <v>509</v>
      </c>
      <c r="J79" s="231" t="s">
        <v>206</v>
      </c>
    </row>
    <row r="80" spans="2:11" x14ac:dyDescent="0.25">
      <c r="B80" s="235">
        <v>44933</v>
      </c>
      <c r="C80" s="195">
        <v>2</v>
      </c>
      <c r="E80" s="238">
        <v>0.66666666666666663</v>
      </c>
      <c r="F80" s="204">
        <v>0.75</v>
      </c>
      <c r="G80" s="193">
        <f t="shared" si="2"/>
        <v>2</v>
      </c>
      <c r="H80" s="230" t="s">
        <v>55</v>
      </c>
      <c r="I80" s="230" t="s">
        <v>509</v>
      </c>
      <c r="J80" s="231" t="s">
        <v>213</v>
      </c>
      <c r="K80" s="176" t="s">
        <v>692</v>
      </c>
    </row>
    <row r="81" spans="2:11" x14ac:dyDescent="0.25">
      <c r="B81" s="235">
        <v>44933</v>
      </c>
      <c r="C81" s="195">
        <v>2</v>
      </c>
      <c r="E81" s="238">
        <v>0.77430555555555547</v>
      </c>
      <c r="F81" s="204">
        <v>0.79166666666666663</v>
      </c>
      <c r="G81" s="193">
        <f t="shared" si="2"/>
        <v>0.41666666666666669</v>
      </c>
      <c r="H81" s="230" t="s">
        <v>55</v>
      </c>
      <c r="I81" s="230" t="s">
        <v>509</v>
      </c>
      <c r="J81" s="231" t="s">
        <v>211</v>
      </c>
      <c r="K81" s="176" t="s">
        <v>685</v>
      </c>
    </row>
    <row r="82" spans="2:11" x14ac:dyDescent="0.25">
      <c r="B82" s="235">
        <v>44933</v>
      </c>
      <c r="C82" s="195">
        <v>2</v>
      </c>
      <c r="E82" s="238">
        <v>0.92361111111111116</v>
      </c>
      <c r="F82" s="204">
        <v>0.9375</v>
      </c>
      <c r="G82" s="193">
        <f t="shared" si="2"/>
        <v>0.33333333333333331</v>
      </c>
      <c r="H82" s="230" t="s">
        <v>195</v>
      </c>
      <c r="I82" s="230" t="s">
        <v>509</v>
      </c>
      <c r="J82" s="231" t="s">
        <v>110</v>
      </c>
      <c r="K82" s="176" t="s">
        <v>809</v>
      </c>
    </row>
    <row r="83" spans="2:11" x14ac:dyDescent="0.25">
      <c r="B83" s="235">
        <v>44933</v>
      </c>
      <c r="C83" s="195">
        <v>2</v>
      </c>
      <c r="E83" s="238">
        <v>0.94791666666666663</v>
      </c>
      <c r="F83" s="204">
        <v>0.95833333333333337</v>
      </c>
      <c r="G83" s="193">
        <f t="shared" si="2"/>
        <v>0.25</v>
      </c>
      <c r="H83" s="230" t="s">
        <v>55</v>
      </c>
      <c r="I83" s="230" t="s">
        <v>509</v>
      </c>
      <c r="J83" s="231" t="s">
        <v>114</v>
      </c>
    </row>
    <row r="84" spans="2:11" x14ac:dyDescent="0.25">
      <c r="B84" s="235">
        <v>44933</v>
      </c>
      <c r="C84" s="195">
        <v>3</v>
      </c>
      <c r="E84" s="238">
        <v>0.95833333333333337</v>
      </c>
      <c r="F84" s="204">
        <v>0.96527777777777779</v>
      </c>
      <c r="G84" s="193">
        <f t="shared" si="2"/>
        <v>0.16666666666666666</v>
      </c>
      <c r="H84" s="230" t="s">
        <v>55</v>
      </c>
      <c r="I84" s="230" t="s">
        <v>509</v>
      </c>
      <c r="J84" s="231" t="s">
        <v>114</v>
      </c>
    </row>
    <row r="85" spans="2:11" x14ac:dyDescent="0.25">
      <c r="B85" s="235">
        <v>44933</v>
      </c>
      <c r="C85" s="195">
        <v>3</v>
      </c>
      <c r="E85" s="238">
        <v>0.97569444444444453</v>
      </c>
      <c r="F85" s="204">
        <v>3.472222222222222E-3</v>
      </c>
      <c r="G85" s="193">
        <f t="shared" si="2"/>
        <v>0.6666666665696539</v>
      </c>
      <c r="H85" s="230" t="s">
        <v>195</v>
      </c>
      <c r="I85" s="230" t="s">
        <v>509</v>
      </c>
      <c r="J85" s="231" t="s">
        <v>110</v>
      </c>
    </row>
    <row r="86" spans="2:11" x14ac:dyDescent="0.25">
      <c r="B86" s="235">
        <v>44933</v>
      </c>
      <c r="C86" s="195">
        <v>3</v>
      </c>
      <c r="E86" s="238">
        <v>2.7777777777777776E-2</v>
      </c>
      <c r="F86" s="204">
        <v>4.1666666666666664E-2</v>
      </c>
      <c r="G86" s="193">
        <f t="shared" si="2"/>
        <v>0.33333333333333331</v>
      </c>
      <c r="H86" s="230" t="s">
        <v>55</v>
      </c>
      <c r="I86" s="230" t="s">
        <v>509</v>
      </c>
      <c r="J86" s="231" t="s">
        <v>211</v>
      </c>
      <c r="K86" s="176" t="s">
        <v>684</v>
      </c>
    </row>
    <row r="87" spans="2:11" x14ac:dyDescent="0.25">
      <c r="B87" s="235">
        <v>44933</v>
      </c>
      <c r="C87" s="233">
        <v>3</v>
      </c>
      <c r="E87" s="238">
        <v>5.9027777777777783E-2</v>
      </c>
      <c r="F87" s="204">
        <v>7.2916666666666671E-2</v>
      </c>
      <c r="G87" s="193">
        <f t="shared" si="2"/>
        <v>0.33333333333333331</v>
      </c>
      <c r="H87" s="230" t="s">
        <v>195</v>
      </c>
      <c r="I87" s="230" t="s">
        <v>509</v>
      </c>
      <c r="J87" s="231" t="s">
        <v>110</v>
      </c>
      <c r="K87" s="176" t="s">
        <v>871</v>
      </c>
    </row>
    <row r="88" spans="2:11" x14ac:dyDescent="0.25">
      <c r="B88" s="235">
        <v>44933</v>
      </c>
      <c r="C88" s="195">
        <v>3</v>
      </c>
      <c r="E88" s="238">
        <v>0.15972222222222224</v>
      </c>
      <c r="F88" s="204">
        <v>0.17013888888888887</v>
      </c>
      <c r="G88" s="193">
        <f t="shared" si="2"/>
        <v>0.25</v>
      </c>
      <c r="H88" s="230" t="s">
        <v>152</v>
      </c>
      <c r="I88" s="230" t="s">
        <v>510</v>
      </c>
      <c r="J88" s="231" t="s">
        <v>183</v>
      </c>
      <c r="K88" s="176" t="s">
        <v>720</v>
      </c>
    </row>
    <row r="89" spans="2:11" x14ac:dyDescent="0.25">
      <c r="B89" s="235">
        <v>44933</v>
      </c>
      <c r="C89" s="233">
        <v>3</v>
      </c>
      <c r="E89" s="238">
        <v>0.27430555555555552</v>
      </c>
      <c r="F89" s="204">
        <v>0.29166666666666669</v>
      </c>
      <c r="G89" s="193">
        <f t="shared" si="2"/>
        <v>0.41666666666666669</v>
      </c>
      <c r="H89" s="230" t="s">
        <v>55</v>
      </c>
      <c r="I89" s="230" t="s">
        <v>509</v>
      </c>
      <c r="J89" s="231" t="s">
        <v>114</v>
      </c>
    </row>
    <row r="90" spans="2:11" x14ac:dyDescent="0.25">
      <c r="B90" s="235">
        <v>44934</v>
      </c>
      <c r="C90" s="195">
        <v>1</v>
      </c>
      <c r="E90" s="238">
        <v>0.29166666666666669</v>
      </c>
      <c r="F90" s="204">
        <v>0.35000000000000003</v>
      </c>
      <c r="G90" s="193">
        <f t="shared" si="2"/>
        <v>1.4</v>
      </c>
      <c r="H90" s="230" t="s">
        <v>55</v>
      </c>
      <c r="I90" s="230" t="s">
        <v>509</v>
      </c>
      <c r="J90" s="231" t="s">
        <v>114</v>
      </c>
    </row>
    <row r="91" spans="2:11" x14ac:dyDescent="0.25">
      <c r="B91" s="235">
        <v>44934</v>
      </c>
      <c r="C91" s="233">
        <v>1</v>
      </c>
      <c r="E91" s="238">
        <v>0.38611111111111113</v>
      </c>
      <c r="F91" s="204">
        <v>0.3972222222222222</v>
      </c>
      <c r="G91" s="193">
        <f t="shared" si="2"/>
        <v>0.26666666666666666</v>
      </c>
      <c r="H91" s="230" t="s">
        <v>55</v>
      </c>
      <c r="I91" s="230" t="s">
        <v>509</v>
      </c>
      <c r="J91" s="231" t="s">
        <v>203</v>
      </c>
      <c r="K91" s="176" t="s">
        <v>642</v>
      </c>
    </row>
    <row r="92" spans="2:11" x14ac:dyDescent="0.25">
      <c r="B92" s="235">
        <v>44934</v>
      </c>
      <c r="C92" s="233">
        <v>1</v>
      </c>
      <c r="E92" s="238">
        <v>0.43194444444444446</v>
      </c>
      <c r="F92" s="204">
        <v>0.44305555555555554</v>
      </c>
      <c r="G92" s="193">
        <f t="shared" si="2"/>
        <v>0.26666666666666666</v>
      </c>
      <c r="H92" s="230" t="s">
        <v>195</v>
      </c>
      <c r="I92" s="230" t="s">
        <v>509</v>
      </c>
      <c r="J92" s="231" t="s">
        <v>499</v>
      </c>
    </row>
    <row r="93" spans="2:11" x14ac:dyDescent="0.25">
      <c r="B93" s="235">
        <v>44934</v>
      </c>
      <c r="C93" s="233">
        <v>1</v>
      </c>
      <c r="E93" s="238">
        <v>0.44791666666666669</v>
      </c>
      <c r="F93" s="204">
        <v>0.45902777777777781</v>
      </c>
      <c r="G93" s="193">
        <f t="shared" si="2"/>
        <v>0.26666666666666666</v>
      </c>
      <c r="H93" s="230" t="s">
        <v>55</v>
      </c>
      <c r="I93" s="230" t="s">
        <v>509</v>
      </c>
      <c r="J93" s="231" t="s">
        <v>203</v>
      </c>
      <c r="K93" s="176" t="s">
        <v>642</v>
      </c>
    </row>
    <row r="94" spans="2:11" x14ac:dyDescent="0.25">
      <c r="B94" s="235">
        <v>44934</v>
      </c>
      <c r="C94" s="233">
        <v>1</v>
      </c>
      <c r="E94" s="238">
        <v>0.6166666666666667</v>
      </c>
      <c r="F94" s="204">
        <v>0.625</v>
      </c>
      <c r="G94" s="193">
        <f t="shared" si="2"/>
        <v>0.2</v>
      </c>
      <c r="H94" s="230" t="s">
        <v>55</v>
      </c>
      <c r="I94" s="230" t="s">
        <v>509</v>
      </c>
      <c r="J94" s="231" t="s">
        <v>114</v>
      </c>
    </row>
    <row r="95" spans="2:11" x14ac:dyDescent="0.25">
      <c r="B95" s="235">
        <v>44934</v>
      </c>
      <c r="C95" s="195">
        <v>2</v>
      </c>
      <c r="E95" s="238">
        <v>0.625</v>
      </c>
      <c r="F95" s="204">
        <v>0.63611111111111118</v>
      </c>
      <c r="G95" s="193">
        <f t="shared" si="2"/>
        <v>0.26666666666666666</v>
      </c>
      <c r="H95" s="230" t="s">
        <v>195</v>
      </c>
      <c r="I95" s="230" t="s">
        <v>509</v>
      </c>
      <c r="J95" s="231" t="s">
        <v>110</v>
      </c>
      <c r="K95" s="176" t="s">
        <v>809</v>
      </c>
    </row>
    <row r="96" spans="2:11" x14ac:dyDescent="0.25">
      <c r="B96" s="235">
        <v>44934</v>
      </c>
      <c r="C96" s="195">
        <v>2</v>
      </c>
      <c r="E96" s="238">
        <v>0.68402777777777779</v>
      </c>
      <c r="F96" s="204">
        <v>0.69444444444444453</v>
      </c>
      <c r="G96" s="193">
        <f t="shared" si="2"/>
        <v>0.25</v>
      </c>
      <c r="H96" s="230" t="s">
        <v>55</v>
      </c>
      <c r="I96" s="230" t="s">
        <v>509</v>
      </c>
      <c r="J96" s="231" t="s">
        <v>203</v>
      </c>
    </row>
    <row r="97" spans="2:11" x14ac:dyDescent="0.25">
      <c r="B97" s="235">
        <v>44934</v>
      </c>
      <c r="C97" s="195">
        <v>2</v>
      </c>
      <c r="E97" s="238">
        <v>0.75</v>
      </c>
      <c r="F97" s="204">
        <v>0.76388888888888884</v>
      </c>
      <c r="G97" s="193">
        <f t="shared" si="2"/>
        <v>0.33333333333333331</v>
      </c>
      <c r="H97" s="230" t="s">
        <v>55</v>
      </c>
      <c r="I97" s="230" t="s">
        <v>509</v>
      </c>
      <c r="J97" s="231" t="s">
        <v>211</v>
      </c>
      <c r="K97" s="176" t="s">
        <v>684</v>
      </c>
    </row>
    <row r="98" spans="2:11" x14ac:dyDescent="0.25">
      <c r="B98" s="235">
        <v>44934</v>
      </c>
      <c r="C98" s="195">
        <v>2</v>
      </c>
      <c r="E98" s="238">
        <v>0.86111111111111116</v>
      </c>
      <c r="F98" s="204">
        <v>0.87847222222222221</v>
      </c>
      <c r="G98" s="193">
        <f t="shared" si="2"/>
        <v>0.41666666666666669</v>
      </c>
      <c r="H98" s="230" t="s">
        <v>195</v>
      </c>
      <c r="I98" s="230" t="s">
        <v>511</v>
      </c>
      <c r="J98" s="233" t="s">
        <v>757</v>
      </c>
      <c r="K98" s="176" t="s">
        <v>872</v>
      </c>
    </row>
    <row r="99" spans="2:11" x14ac:dyDescent="0.25">
      <c r="B99" s="235">
        <v>44934</v>
      </c>
      <c r="C99" s="195">
        <v>2</v>
      </c>
      <c r="E99" s="238">
        <v>0.94097222222222221</v>
      </c>
      <c r="F99" s="204">
        <v>0.95833333333333337</v>
      </c>
      <c r="G99" s="193">
        <f t="shared" si="2"/>
        <v>0.41666666666666669</v>
      </c>
      <c r="H99" s="230" t="s">
        <v>195</v>
      </c>
      <c r="I99" s="230" t="s">
        <v>509</v>
      </c>
      <c r="J99" s="231" t="s">
        <v>499</v>
      </c>
    </row>
    <row r="100" spans="2:11" x14ac:dyDescent="0.25">
      <c r="B100" s="235">
        <v>44934</v>
      </c>
      <c r="C100" s="195">
        <v>3</v>
      </c>
      <c r="E100" s="238">
        <v>0.95833333333333337</v>
      </c>
      <c r="F100" s="204">
        <v>0.96527777777777779</v>
      </c>
      <c r="G100" s="193">
        <f t="shared" si="2"/>
        <v>0.16666666666666666</v>
      </c>
      <c r="H100" s="230" t="s">
        <v>55</v>
      </c>
      <c r="I100" s="230" t="s">
        <v>509</v>
      </c>
      <c r="J100" s="231" t="s">
        <v>114</v>
      </c>
    </row>
    <row r="101" spans="2:11" x14ac:dyDescent="0.25">
      <c r="B101" s="235">
        <v>44934</v>
      </c>
      <c r="C101" s="195">
        <v>3</v>
      </c>
      <c r="E101" s="238">
        <v>0.96875</v>
      </c>
      <c r="F101" s="204">
        <v>0.97916666666666663</v>
      </c>
      <c r="G101" s="193">
        <f t="shared" si="2"/>
        <v>0.25</v>
      </c>
      <c r="H101" s="230" t="s">
        <v>152</v>
      </c>
      <c r="I101" s="230" t="s">
        <v>510</v>
      </c>
      <c r="J101" s="231" t="s">
        <v>183</v>
      </c>
      <c r="K101" s="176" t="s">
        <v>721</v>
      </c>
    </row>
    <row r="102" spans="2:11" x14ac:dyDescent="0.25">
      <c r="B102" s="235">
        <v>44934</v>
      </c>
      <c r="C102" s="195">
        <v>3</v>
      </c>
      <c r="E102" s="238">
        <v>0.17013888888888887</v>
      </c>
      <c r="F102" s="204">
        <v>0.18055555555555555</v>
      </c>
      <c r="G102" s="193">
        <f t="shared" si="2"/>
        <v>0.25</v>
      </c>
      <c r="H102" s="230" t="s">
        <v>195</v>
      </c>
      <c r="I102" s="230" t="s">
        <v>509</v>
      </c>
      <c r="J102" s="231" t="s">
        <v>110</v>
      </c>
    </row>
    <row r="103" spans="2:11" x14ac:dyDescent="0.25">
      <c r="B103" s="235">
        <v>44935</v>
      </c>
      <c r="C103" s="195">
        <v>1</v>
      </c>
      <c r="E103" s="238">
        <v>0.42569444444444443</v>
      </c>
      <c r="F103" s="204">
        <v>0.51111111111111118</v>
      </c>
      <c r="G103" s="193">
        <f t="shared" si="2"/>
        <v>2.0499999999999998</v>
      </c>
      <c r="H103" s="230" t="s">
        <v>147</v>
      </c>
      <c r="I103" s="230" t="s">
        <v>509</v>
      </c>
      <c r="J103" s="231" t="s">
        <v>123</v>
      </c>
    </row>
    <row r="104" spans="2:11" x14ac:dyDescent="0.25">
      <c r="B104" s="235">
        <v>44935</v>
      </c>
      <c r="C104" s="233">
        <v>1</v>
      </c>
      <c r="E104" s="238">
        <v>0.59375</v>
      </c>
      <c r="F104" s="204">
        <v>0.60416666666666663</v>
      </c>
      <c r="G104" s="193">
        <f t="shared" si="2"/>
        <v>0.25</v>
      </c>
      <c r="H104" s="230" t="s">
        <v>55</v>
      </c>
      <c r="I104" s="230" t="s">
        <v>509</v>
      </c>
      <c r="J104" s="231" t="s">
        <v>203</v>
      </c>
    </row>
    <row r="105" spans="2:11" x14ac:dyDescent="0.25">
      <c r="B105" s="235">
        <v>44935</v>
      </c>
      <c r="C105" s="233">
        <v>1</v>
      </c>
      <c r="E105" s="238">
        <v>0.60416666666666663</v>
      </c>
      <c r="F105" s="204">
        <v>0.60763888888888895</v>
      </c>
      <c r="G105" s="193">
        <f t="shared" si="2"/>
        <v>8.3333333333333329E-2</v>
      </c>
      <c r="H105" s="230" t="s">
        <v>55</v>
      </c>
      <c r="I105" s="230" t="s">
        <v>509</v>
      </c>
      <c r="J105" s="231" t="s">
        <v>114</v>
      </c>
    </row>
    <row r="106" spans="2:11" x14ac:dyDescent="0.25">
      <c r="B106" s="235">
        <v>44935</v>
      </c>
      <c r="C106" s="195">
        <v>1</v>
      </c>
      <c r="E106" s="238">
        <v>0.61805555555555558</v>
      </c>
      <c r="F106" s="204">
        <v>0.625</v>
      </c>
      <c r="G106" s="193">
        <f t="shared" si="2"/>
        <v>0.16666666666666666</v>
      </c>
      <c r="H106" s="230" t="s">
        <v>55</v>
      </c>
      <c r="I106" s="230" t="s">
        <v>509</v>
      </c>
      <c r="J106" s="231" t="s">
        <v>203</v>
      </c>
      <c r="K106" s="279" t="s">
        <v>704</v>
      </c>
    </row>
    <row r="107" spans="2:11" x14ac:dyDescent="0.25">
      <c r="B107" s="235">
        <v>44935</v>
      </c>
      <c r="C107" s="233">
        <v>2</v>
      </c>
      <c r="E107" s="238">
        <v>0.625</v>
      </c>
      <c r="F107" s="204">
        <v>0.62847222222222221</v>
      </c>
      <c r="G107" s="193">
        <f t="shared" ref="G107:G138" si="3">IFERROR(IF(E107&gt;F107,((F107+B110+1)-(E107+B110))*24,HOUR(F107-E107)+MINUTE(F107-E107)/60),"")</f>
        <v>8.3333333333333329E-2</v>
      </c>
      <c r="H107" s="230" t="s">
        <v>55</v>
      </c>
      <c r="I107" s="230" t="s">
        <v>509</v>
      </c>
      <c r="J107" s="231" t="s">
        <v>203</v>
      </c>
      <c r="K107" s="279" t="s">
        <v>704</v>
      </c>
    </row>
    <row r="108" spans="2:11" x14ac:dyDescent="0.25">
      <c r="B108" s="235">
        <v>44935</v>
      </c>
      <c r="C108" s="233">
        <v>2</v>
      </c>
      <c r="E108" s="238">
        <v>0.66180555555555554</v>
      </c>
      <c r="F108" s="204">
        <v>0.67222222222222217</v>
      </c>
      <c r="G108" s="193">
        <f t="shared" si="3"/>
        <v>0.25</v>
      </c>
      <c r="H108" s="230" t="s">
        <v>55</v>
      </c>
      <c r="I108" s="230" t="s">
        <v>509</v>
      </c>
      <c r="J108" s="231" t="s">
        <v>211</v>
      </c>
      <c r="K108" s="176" t="s">
        <v>684</v>
      </c>
    </row>
    <row r="109" spans="2:11" x14ac:dyDescent="0.25">
      <c r="B109" s="235">
        <v>44935</v>
      </c>
      <c r="C109" s="233">
        <v>2</v>
      </c>
      <c r="E109" s="238">
        <v>0.79861111111111116</v>
      </c>
      <c r="F109" s="204">
        <v>0.8041666666666667</v>
      </c>
      <c r="G109" s="193">
        <f t="shared" si="3"/>
        <v>0.13333333333333333</v>
      </c>
      <c r="H109" s="230" t="s">
        <v>152</v>
      </c>
      <c r="I109" s="230" t="s">
        <v>510</v>
      </c>
      <c r="J109" s="231" t="s">
        <v>183</v>
      </c>
      <c r="K109" s="279" t="s">
        <v>718</v>
      </c>
    </row>
    <row r="110" spans="2:11" x14ac:dyDescent="0.25">
      <c r="B110" s="235">
        <v>44935</v>
      </c>
      <c r="C110" s="233">
        <v>2</v>
      </c>
      <c r="E110" s="238">
        <v>0.8041666666666667</v>
      </c>
      <c r="F110" s="204">
        <v>0.80902777777777779</v>
      </c>
      <c r="G110" s="193">
        <f t="shared" si="3"/>
        <v>0.11666666666666667</v>
      </c>
      <c r="H110" s="230" t="s">
        <v>147</v>
      </c>
      <c r="I110" s="230" t="s">
        <v>511</v>
      </c>
      <c r="J110" s="231" t="s">
        <v>758</v>
      </c>
      <c r="K110" s="279" t="s">
        <v>660</v>
      </c>
    </row>
    <row r="111" spans="2:11" x14ac:dyDescent="0.25">
      <c r="B111" s="235">
        <v>44935</v>
      </c>
      <c r="C111" s="233">
        <v>2</v>
      </c>
      <c r="E111" s="238">
        <v>0.80902777777777779</v>
      </c>
      <c r="F111" s="204">
        <v>0.81041666666666667</v>
      </c>
      <c r="G111" s="193">
        <f t="shared" si="3"/>
        <v>3.3333333333333333E-2</v>
      </c>
      <c r="H111" s="230" t="s">
        <v>207</v>
      </c>
      <c r="I111" s="230" t="s">
        <v>513</v>
      </c>
      <c r="J111" s="231" t="s">
        <v>154</v>
      </c>
      <c r="K111" s="176" t="s">
        <v>705</v>
      </c>
    </row>
    <row r="112" spans="2:11" x14ac:dyDescent="0.25">
      <c r="B112" s="235">
        <v>44935</v>
      </c>
      <c r="C112" s="233">
        <v>2</v>
      </c>
      <c r="E112" s="238">
        <v>0.85069444444444453</v>
      </c>
      <c r="F112" s="204">
        <v>0.85625000000000007</v>
      </c>
      <c r="G112" s="193">
        <f t="shared" si="3"/>
        <v>0.13333333333333333</v>
      </c>
      <c r="H112" s="230" t="s">
        <v>152</v>
      </c>
      <c r="I112" s="230" t="s">
        <v>510</v>
      </c>
      <c r="J112" s="231" t="s">
        <v>183</v>
      </c>
      <c r="K112" s="279" t="s">
        <v>718</v>
      </c>
    </row>
    <row r="113" spans="2:11" x14ac:dyDescent="0.25">
      <c r="B113" s="235">
        <v>44935</v>
      </c>
      <c r="C113" s="233">
        <v>2</v>
      </c>
      <c r="E113" s="238">
        <v>0.85625000000000007</v>
      </c>
      <c r="F113" s="204">
        <v>0.86111111111111116</v>
      </c>
      <c r="G113" s="193">
        <f t="shared" si="3"/>
        <v>0.11666666666666667</v>
      </c>
      <c r="H113" s="230" t="s">
        <v>147</v>
      </c>
      <c r="I113" s="230" t="s">
        <v>511</v>
      </c>
      <c r="J113" s="231" t="s">
        <v>758</v>
      </c>
      <c r="K113" s="279" t="s">
        <v>660</v>
      </c>
    </row>
    <row r="114" spans="2:11" x14ac:dyDescent="0.25">
      <c r="B114" s="235">
        <v>44935</v>
      </c>
      <c r="C114" s="233">
        <v>2</v>
      </c>
      <c r="E114" s="238">
        <v>0.87569444444444444</v>
      </c>
      <c r="F114" s="204">
        <v>0.8930555555555556</v>
      </c>
      <c r="G114" s="193">
        <f t="shared" si="3"/>
        <v>0.41666666666666669</v>
      </c>
      <c r="H114" s="230" t="s">
        <v>55</v>
      </c>
      <c r="I114" s="230" t="s">
        <v>509</v>
      </c>
      <c r="J114" s="231" t="s">
        <v>211</v>
      </c>
      <c r="K114" s="176" t="s">
        <v>684</v>
      </c>
    </row>
    <row r="115" spans="2:11" x14ac:dyDescent="0.25">
      <c r="B115" s="235">
        <v>44935</v>
      </c>
      <c r="C115" s="233">
        <v>2</v>
      </c>
      <c r="E115" s="238">
        <v>0.9194444444444444</v>
      </c>
      <c r="F115" s="204">
        <v>0.92222222222222217</v>
      </c>
      <c r="G115" s="193">
        <f t="shared" si="3"/>
        <v>6.6666666666666666E-2</v>
      </c>
      <c r="H115" s="230" t="s">
        <v>152</v>
      </c>
      <c r="I115" s="230" t="s">
        <v>510</v>
      </c>
      <c r="J115" s="231" t="s">
        <v>183</v>
      </c>
      <c r="K115" s="279" t="s">
        <v>719</v>
      </c>
    </row>
    <row r="116" spans="2:11" x14ac:dyDescent="0.25">
      <c r="B116" s="235">
        <v>44935</v>
      </c>
      <c r="C116" s="233">
        <v>2</v>
      </c>
      <c r="E116" s="238">
        <v>0.92222222222222217</v>
      </c>
      <c r="F116" s="204">
        <v>0.92986111111111114</v>
      </c>
      <c r="G116" s="193">
        <f t="shared" si="3"/>
        <v>0.18333333333333332</v>
      </c>
      <c r="H116" s="230" t="s">
        <v>147</v>
      </c>
      <c r="I116" s="230" t="s">
        <v>511</v>
      </c>
      <c r="J116" s="231" t="s">
        <v>758</v>
      </c>
      <c r="K116" s="279" t="s">
        <v>660</v>
      </c>
    </row>
    <row r="117" spans="2:11" x14ac:dyDescent="0.25">
      <c r="B117" s="235">
        <v>44935</v>
      </c>
      <c r="C117" s="233">
        <v>2</v>
      </c>
      <c r="E117" s="238">
        <v>0.94791666666666663</v>
      </c>
      <c r="F117" s="204">
        <v>0.95833333333333337</v>
      </c>
      <c r="G117" s="193">
        <f t="shared" si="3"/>
        <v>0.25</v>
      </c>
      <c r="H117" s="230" t="s">
        <v>55</v>
      </c>
      <c r="I117" s="230" t="s">
        <v>509</v>
      </c>
      <c r="J117" s="231" t="s">
        <v>114</v>
      </c>
    </row>
    <row r="118" spans="2:11" x14ac:dyDescent="0.25">
      <c r="B118" s="235">
        <v>44935</v>
      </c>
      <c r="C118" s="195">
        <v>3</v>
      </c>
      <c r="E118" s="238">
        <v>0.95833333333333337</v>
      </c>
      <c r="F118" s="204">
        <v>0.96527777777777779</v>
      </c>
      <c r="G118" s="193">
        <f t="shared" si="3"/>
        <v>0.16666666666666666</v>
      </c>
      <c r="H118" s="230" t="s">
        <v>55</v>
      </c>
      <c r="I118" s="230" t="s">
        <v>509</v>
      </c>
      <c r="J118" s="231" t="s">
        <v>114</v>
      </c>
    </row>
    <row r="119" spans="2:11" x14ac:dyDescent="0.25">
      <c r="B119" s="235">
        <v>44935</v>
      </c>
      <c r="C119" s="195">
        <v>3</v>
      </c>
      <c r="E119" s="238">
        <v>0.98611111111111116</v>
      </c>
      <c r="F119" s="204">
        <v>0.99652777777777779</v>
      </c>
      <c r="G119" s="193">
        <f t="shared" si="3"/>
        <v>0.25</v>
      </c>
      <c r="H119" s="230" t="s">
        <v>152</v>
      </c>
      <c r="I119" s="230" t="s">
        <v>510</v>
      </c>
      <c r="J119" s="231" t="s">
        <v>183</v>
      </c>
      <c r="K119" s="231" t="s">
        <v>495</v>
      </c>
    </row>
    <row r="120" spans="2:11" x14ac:dyDescent="0.25">
      <c r="B120" s="235">
        <v>44935</v>
      </c>
      <c r="C120" s="195">
        <v>3</v>
      </c>
      <c r="E120" s="238">
        <v>0.99652777777777779</v>
      </c>
      <c r="F120" s="204">
        <v>7.6388888888888895E-2</v>
      </c>
      <c r="G120" s="193">
        <f t="shared" si="3"/>
        <v>1.9166666666278616</v>
      </c>
      <c r="H120" s="230" t="s">
        <v>201</v>
      </c>
      <c r="I120" s="230" t="s">
        <v>509</v>
      </c>
      <c r="J120" s="231" t="s">
        <v>213</v>
      </c>
    </row>
    <row r="121" spans="2:11" x14ac:dyDescent="0.25">
      <c r="B121" s="235">
        <v>44935</v>
      </c>
      <c r="C121" s="195">
        <v>3</v>
      </c>
      <c r="E121" s="238">
        <v>0.15972222222222224</v>
      </c>
      <c r="F121" s="204">
        <v>0.1875</v>
      </c>
      <c r="G121" s="193">
        <f t="shared" si="3"/>
        <v>0.66666666666666663</v>
      </c>
      <c r="H121" s="230" t="s">
        <v>55</v>
      </c>
      <c r="I121" s="230" t="s">
        <v>509</v>
      </c>
      <c r="J121" s="231" t="s">
        <v>213</v>
      </c>
    </row>
    <row r="122" spans="2:11" x14ac:dyDescent="0.25">
      <c r="B122" s="235">
        <v>44935</v>
      </c>
      <c r="C122" s="195">
        <v>3</v>
      </c>
      <c r="E122" s="238">
        <v>0.22222222222222221</v>
      </c>
      <c r="F122" s="204">
        <v>0.23263888888888887</v>
      </c>
      <c r="G122" s="193">
        <f t="shared" si="3"/>
        <v>0.25</v>
      </c>
      <c r="H122" s="230" t="s">
        <v>152</v>
      </c>
      <c r="I122" s="230" t="s">
        <v>510</v>
      </c>
      <c r="J122" s="231" t="s">
        <v>183</v>
      </c>
      <c r="K122" s="231" t="s">
        <v>495</v>
      </c>
    </row>
    <row r="123" spans="2:11" x14ac:dyDescent="0.25">
      <c r="B123" s="235">
        <v>44935</v>
      </c>
      <c r="C123" s="195">
        <v>3</v>
      </c>
      <c r="E123" s="238">
        <v>0.2590277777777778</v>
      </c>
      <c r="F123" s="204">
        <v>0.27083333333333331</v>
      </c>
      <c r="G123" s="193">
        <f t="shared" si="3"/>
        <v>0.28333333333333333</v>
      </c>
      <c r="H123" s="230" t="s">
        <v>152</v>
      </c>
      <c r="I123" s="230" t="s">
        <v>510</v>
      </c>
      <c r="J123" s="231" t="s">
        <v>183</v>
      </c>
      <c r="K123" s="231" t="s">
        <v>495</v>
      </c>
    </row>
    <row r="124" spans="2:11" x14ac:dyDescent="0.25">
      <c r="B124" s="235">
        <v>44935</v>
      </c>
      <c r="C124" s="195">
        <v>3</v>
      </c>
      <c r="E124" s="238">
        <v>0.27083333333333331</v>
      </c>
      <c r="F124" s="204">
        <v>0.29166666666666669</v>
      </c>
      <c r="G124" s="193">
        <f t="shared" si="3"/>
        <v>0.5</v>
      </c>
      <c r="H124" s="230" t="s">
        <v>55</v>
      </c>
      <c r="I124" s="230" t="s">
        <v>509</v>
      </c>
      <c r="J124" s="231" t="s">
        <v>114</v>
      </c>
    </row>
    <row r="125" spans="2:11" x14ac:dyDescent="0.25">
      <c r="B125" s="235">
        <v>44936</v>
      </c>
      <c r="C125" s="195">
        <v>1</v>
      </c>
      <c r="E125" s="238">
        <v>0.29166666666666669</v>
      </c>
      <c r="F125" s="204">
        <v>0.2951388888888889</v>
      </c>
      <c r="G125" s="193">
        <f t="shared" si="3"/>
        <v>8.3333333333333329E-2</v>
      </c>
      <c r="H125" s="230" t="s">
        <v>55</v>
      </c>
      <c r="I125" s="230" t="s">
        <v>509</v>
      </c>
      <c r="J125" s="231" t="s">
        <v>114</v>
      </c>
    </row>
    <row r="126" spans="2:11" x14ac:dyDescent="0.25">
      <c r="B126" s="235">
        <v>44936</v>
      </c>
      <c r="C126" s="195">
        <v>1</v>
      </c>
      <c r="E126" s="238">
        <v>0.33680555555555558</v>
      </c>
      <c r="F126" s="204">
        <v>0.35069444444444442</v>
      </c>
      <c r="G126" s="193">
        <f t="shared" si="3"/>
        <v>0.33333333333333331</v>
      </c>
      <c r="H126" s="230" t="s">
        <v>55</v>
      </c>
      <c r="I126" s="230" t="s">
        <v>513</v>
      </c>
      <c r="J126" s="231" t="s">
        <v>573</v>
      </c>
    </row>
    <row r="127" spans="2:11" x14ac:dyDescent="0.25">
      <c r="B127" s="235">
        <v>44936</v>
      </c>
      <c r="C127" s="195">
        <v>1</v>
      </c>
      <c r="E127" s="238">
        <v>0.38541666666666669</v>
      </c>
      <c r="F127" s="204">
        <v>0.39583333333333331</v>
      </c>
      <c r="G127" s="193">
        <f t="shared" si="3"/>
        <v>0.25</v>
      </c>
      <c r="H127" s="230" t="s">
        <v>55</v>
      </c>
      <c r="I127" s="230" t="s">
        <v>509</v>
      </c>
      <c r="J127" s="231" t="s">
        <v>203</v>
      </c>
      <c r="K127" s="279" t="s">
        <v>704</v>
      </c>
    </row>
    <row r="128" spans="2:11" x14ac:dyDescent="0.25">
      <c r="B128" s="235">
        <v>44936</v>
      </c>
      <c r="C128" s="195">
        <v>1</v>
      </c>
      <c r="E128" s="238">
        <v>0.39583333333333331</v>
      </c>
      <c r="F128" s="204">
        <v>0.40277777777777773</v>
      </c>
      <c r="G128" s="193">
        <f t="shared" si="3"/>
        <v>0.16666666666666666</v>
      </c>
      <c r="H128" s="230" t="s">
        <v>201</v>
      </c>
      <c r="I128" s="230" t="s">
        <v>510</v>
      </c>
      <c r="J128" s="231" t="s">
        <v>515</v>
      </c>
    </row>
    <row r="129" spans="2:11" x14ac:dyDescent="0.25">
      <c r="B129" s="235">
        <v>44936</v>
      </c>
      <c r="C129" s="195">
        <v>1</v>
      </c>
      <c r="E129" s="238">
        <v>0.40277777777777773</v>
      </c>
      <c r="F129" s="204">
        <v>0.43055555555555558</v>
      </c>
      <c r="G129" s="193">
        <f t="shared" si="3"/>
        <v>0.66666666666666663</v>
      </c>
      <c r="H129" s="230" t="s">
        <v>187</v>
      </c>
      <c r="I129" s="230" t="s">
        <v>509</v>
      </c>
      <c r="J129" s="231" t="s">
        <v>200</v>
      </c>
      <c r="K129" s="176" t="s">
        <v>873</v>
      </c>
    </row>
    <row r="130" spans="2:11" x14ac:dyDescent="0.25">
      <c r="B130" s="235">
        <v>44936</v>
      </c>
      <c r="C130" s="195">
        <v>1</v>
      </c>
      <c r="E130" s="238">
        <v>0.44444444444444442</v>
      </c>
      <c r="F130" s="204">
        <v>0.45833333333333331</v>
      </c>
      <c r="G130" s="193">
        <f t="shared" si="3"/>
        <v>0.33333333333333331</v>
      </c>
      <c r="H130" s="230" t="s">
        <v>55</v>
      </c>
      <c r="I130" s="230" t="s">
        <v>509</v>
      </c>
      <c r="J130" s="231" t="s">
        <v>213</v>
      </c>
    </row>
    <row r="131" spans="2:11" x14ac:dyDescent="0.25">
      <c r="B131" s="235">
        <v>44936</v>
      </c>
      <c r="C131" s="233">
        <v>1</v>
      </c>
      <c r="E131" s="238">
        <v>0.51388888888888895</v>
      </c>
      <c r="F131" s="204">
        <v>0.52430555555555558</v>
      </c>
      <c r="G131" s="193">
        <f t="shared" si="3"/>
        <v>0.25</v>
      </c>
      <c r="H131" s="230" t="s">
        <v>152</v>
      </c>
      <c r="I131" s="230" t="s">
        <v>510</v>
      </c>
      <c r="J131" s="231" t="s">
        <v>183</v>
      </c>
      <c r="K131" s="231" t="s">
        <v>495</v>
      </c>
    </row>
    <row r="132" spans="2:11" x14ac:dyDescent="0.25">
      <c r="B132" s="235">
        <v>44936</v>
      </c>
      <c r="C132" s="195">
        <v>1</v>
      </c>
      <c r="E132" s="238">
        <v>0.55902777777777779</v>
      </c>
      <c r="F132" s="204">
        <v>0.56597222222222221</v>
      </c>
      <c r="G132" s="193">
        <f t="shared" si="3"/>
        <v>0.16666666666666666</v>
      </c>
      <c r="H132" s="230" t="s">
        <v>195</v>
      </c>
      <c r="I132" s="230" t="s">
        <v>509</v>
      </c>
      <c r="J132" s="231" t="s">
        <v>499</v>
      </c>
      <c r="K132" s="176" t="s">
        <v>874</v>
      </c>
    </row>
    <row r="133" spans="2:11" x14ac:dyDescent="0.25">
      <c r="B133" s="235">
        <v>44936</v>
      </c>
      <c r="C133" s="195">
        <v>1</v>
      </c>
      <c r="E133" s="238">
        <v>0.56597222222222221</v>
      </c>
      <c r="F133" s="204">
        <v>0.57638888888888895</v>
      </c>
      <c r="G133" s="193">
        <f t="shared" si="3"/>
        <v>0.25</v>
      </c>
      <c r="H133" s="230" t="s">
        <v>195</v>
      </c>
      <c r="I133" s="230" t="s">
        <v>511</v>
      </c>
      <c r="J133" s="231" t="s">
        <v>200</v>
      </c>
      <c r="K133" s="176" t="s">
        <v>875</v>
      </c>
    </row>
    <row r="134" spans="2:11" x14ac:dyDescent="0.25">
      <c r="B134" s="235">
        <v>44936</v>
      </c>
      <c r="C134" s="195">
        <v>2</v>
      </c>
      <c r="E134" s="238">
        <v>0.68402777777777779</v>
      </c>
      <c r="F134" s="204">
        <v>0.68680555555555556</v>
      </c>
      <c r="G134" s="193">
        <f t="shared" si="3"/>
        <v>6.6666666666666666E-2</v>
      </c>
      <c r="H134" s="230" t="s">
        <v>207</v>
      </c>
      <c r="I134" s="230" t="s">
        <v>513</v>
      </c>
      <c r="J134" s="231" t="s">
        <v>154</v>
      </c>
      <c r="K134" s="176" t="s">
        <v>876</v>
      </c>
    </row>
    <row r="135" spans="2:11" x14ac:dyDescent="0.25">
      <c r="B135" s="235">
        <v>44936</v>
      </c>
      <c r="C135" s="195">
        <v>2</v>
      </c>
      <c r="E135" s="238">
        <v>0.68680555555555556</v>
      </c>
      <c r="F135" s="204">
        <v>0.69444444444444453</v>
      </c>
      <c r="G135" s="193">
        <f t="shared" si="3"/>
        <v>0.18333333333333332</v>
      </c>
      <c r="H135" s="230" t="s">
        <v>195</v>
      </c>
      <c r="I135" s="230" t="s">
        <v>511</v>
      </c>
      <c r="J135" s="231" t="s">
        <v>758</v>
      </c>
      <c r="K135" s="279" t="s">
        <v>660</v>
      </c>
    </row>
    <row r="136" spans="2:11" x14ac:dyDescent="0.25">
      <c r="B136" s="235">
        <v>44936</v>
      </c>
      <c r="C136" s="233">
        <v>2</v>
      </c>
      <c r="E136" s="238">
        <v>0.69444444444444453</v>
      </c>
      <c r="F136" s="204">
        <v>0.7006944444444444</v>
      </c>
      <c r="G136" s="193">
        <f t="shared" si="3"/>
        <v>0.15</v>
      </c>
      <c r="H136" s="230" t="s">
        <v>152</v>
      </c>
      <c r="I136" s="230" t="s">
        <v>510</v>
      </c>
      <c r="J136" s="231" t="s">
        <v>183</v>
      </c>
      <c r="K136" s="176" t="s">
        <v>723</v>
      </c>
    </row>
    <row r="137" spans="2:11" x14ac:dyDescent="0.25">
      <c r="B137" s="235">
        <v>44936</v>
      </c>
      <c r="C137" s="233">
        <v>2</v>
      </c>
      <c r="E137" s="238">
        <v>0.81805555555555554</v>
      </c>
      <c r="F137" s="204">
        <v>0.82500000000000007</v>
      </c>
      <c r="G137" s="193">
        <f t="shared" si="3"/>
        <v>0.16666666666666666</v>
      </c>
      <c r="H137" s="230" t="s">
        <v>55</v>
      </c>
      <c r="I137" s="230" t="s">
        <v>509</v>
      </c>
      <c r="J137" s="231" t="s">
        <v>211</v>
      </c>
      <c r="K137" s="176" t="s">
        <v>684</v>
      </c>
    </row>
    <row r="138" spans="2:11" x14ac:dyDescent="0.25">
      <c r="B138" s="235">
        <v>44936</v>
      </c>
      <c r="C138" s="233">
        <v>2</v>
      </c>
      <c r="E138" s="238">
        <v>0.82500000000000007</v>
      </c>
      <c r="F138" s="204">
        <v>0.82847222222222217</v>
      </c>
      <c r="G138" s="193">
        <f t="shared" si="3"/>
        <v>8.3333333333333329E-2</v>
      </c>
      <c r="H138" s="230" t="s">
        <v>147</v>
      </c>
      <c r="I138" s="230" t="s">
        <v>511</v>
      </c>
      <c r="J138" s="231" t="s">
        <v>758</v>
      </c>
      <c r="K138" s="279" t="s">
        <v>660</v>
      </c>
    </row>
    <row r="139" spans="2:11" x14ac:dyDescent="0.25">
      <c r="B139" s="235">
        <v>44936</v>
      </c>
      <c r="C139" s="195">
        <v>2</v>
      </c>
      <c r="E139" s="238">
        <v>0.87916666666666676</v>
      </c>
      <c r="F139" s="204">
        <v>0.88958333333333339</v>
      </c>
      <c r="G139" s="193">
        <f t="shared" ref="G139:G170" si="4">IFERROR(IF(E139&gt;F139,((F139+B142+1)-(E139+B142))*24,HOUR(F139-E139)+MINUTE(F139-E139)/60),"")</f>
        <v>0.25</v>
      </c>
      <c r="H139" s="230" t="s">
        <v>147</v>
      </c>
      <c r="I139" s="230" t="s">
        <v>511</v>
      </c>
      <c r="J139" s="231" t="s">
        <v>758</v>
      </c>
      <c r="K139" s="279" t="s">
        <v>660</v>
      </c>
    </row>
    <row r="140" spans="2:11" x14ac:dyDescent="0.25">
      <c r="B140" s="235">
        <v>44936</v>
      </c>
      <c r="C140" s="195">
        <v>2</v>
      </c>
      <c r="E140" s="238">
        <v>0.94097222222222221</v>
      </c>
      <c r="F140" s="204">
        <v>0.95833333333333337</v>
      </c>
      <c r="G140" s="193">
        <f t="shared" si="4"/>
        <v>0.41666666666666669</v>
      </c>
      <c r="H140" s="230" t="s">
        <v>55</v>
      </c>
      <c r="I140" s="230" t="s">
        <v>509</v>
      </c>
      <c r="J140" s="231" t="s">
        <v>114</v>
      </c>
    </row>
    <row r="141" spans="2:11" x14ac:dyDescent="0.25">
      <c r="B141" s="235">
        <v>44936</v>
      </c>
      <c r="C141" s="195">
        <v>3</v>
      </c>
      <c r="E141" s="238">
        <v>0.98819444444444438</v>
      </c>
      <c r="F141" s="204">
        <v>0.99305555555555547</v>
      </c>
      <c r="G141" s="193">
        <f t="shared" si="4"/>
        <v>0.11666666666666667</v>
      </c>
      <c r="H141" s="230" t="s">
        <v>201</v>
      </c>
      <c r="I141" s="230" t="s">
        <v>510</v>
      </c>
      <c r="J141" s="231" t="s">
        <v>515</v>
      </c>
    </row>
    <row r="142" spans="2:11" x14ac:dyDescent="0.25">
      <c r="B142" s="235">
        <v>44936</v>
      </c>
      <c r="C142" s="195">
        <v>3</v>
      </c>
      <c r="E142" s="238">
        <v>0.99305555555555547</v>
      </c>
      <c r="F142" s="204">
        <v>3.472222222222222E-3</v>
      </c>
      <c r="G142" s="193">
        <f t="shared" si="4"/>
        <v>0.24999999994179234</v>
      </c>
      <c r="H142" s="230" t="s">
        <v>152</v>
      </c>
      <c r="I142" s="230" t="s">
        <v>510</v>
      </c>
      <c r="J142" s="231" t="s">
        <v>183</v>
      </c>
    </row>
    <row r="143" spans="2:11" x14ac:dyDescent="0.25">
      <c r="B143" s="235">
        <v>44936</v>
      </c>
      <c r="C143" s="195">
        <v>3</v>
      </c>
      <c r="E143" s="238">
        <v>0.1125</v>
      </c>
      <c r="F143" s="204">
        <v>0.12291666666666667</v>
      </c>
      <c r="G143" s="193">
        <f t="shared" si="4"/>
        <v>0.25</v>
      </c>
      <c r="H143" s="230" t="s">
        <v>55</v>
      </c>
      <c r="I143" s="230" t="s">
        <v>509</v>
      </c>
      <c r="J143" s="231" t="s">
        <v>211</v>
      </c>
    </row>
    <row r="144" spans="2:11" x14ac:dyDescent="0.25">
      <c r="B144" s="235">
        <v>44936</v>
      </c>
      <c r="C144" s="195">
        <v>3</v>
      </c>
      <c r="E144" s="238">
        <v>0.12847222222222224</v>
      </c>
      <c r="F144" s="204">
        <v>0.1388888888888889</v>
      </c>
      <c r="G144" s="193">
        <f t="shared" si="4"/>
        <v>0.25</v>
      </c>
      <c r="H144" s="230" t="s">
        <v>195</v>
      </c>
      <c r="I144" s="230" t="s">
        <v>509</v>
      </c>
      <c r="J144" s="231" t="s">
        <v>499</v>
      </c>
    </row>
    <row r="145" spans="2:11" x14ac:dyDescent="0.25">
      <c r="B145" s="235">
        <v>44936</v>
      </c>
      <c r="C145" s="233">
        <v>3</v>
      </c>
      <c r="E145" s="238">
        <v>0.2673611111111111</v>
      </c>
      <c r="F145" s="204">
        <v>0.27777777777777779</v>
      </c>
      <c r="G145" s="193">
        <f t="shared" si="4"/>
        <v>0.25</v>
      </c>
      <c r="H145" s="230" t="s">
        <v>55</v>
      </c>
      <c r="I145" s="230" t="s">
        <v>509</v>
      </c>
      <c r="J145" s="231" t="s">
        <v>203</v>
      </c>
    </row>
    <row r="146" spans="2:11" x14ac:dyDescent="0.25">
      <c r="B146" s="235">
        <v>44936</v>
      </c>
      <c r="C146" s="233">
        <v>3</v>
      </c>
      <c r="E146" s="238">
        <v>0.27777777777777779</v>
      </c>
      <c r="F146" s="204">
        <v>0.28125</v>
      </c>
      <c r="G146" s="193">
        <f t="shared" si="4"/>
        <v>8.3333333333333329E-2</v>
      </c>
      <c r="H146" s="230" t="s">
        <v>55</v>
      </c>
      <c r="I146" s="230" t="s">
        <v>509</v>
      </c>
      <c r="J146" s="231" t="s">
        <v>114</v>
      </c>
    </row>
    <row r="147" spans="2:11" x14ac:dyDescent="0.25">
      <c r="B147" s="235">
        <v>44937</v>
      </c>
      <c r="C147" s="195">
        <v>1</v>
      </c>
      <c r="E147" s="238">
        <v>0.43402777777777773</v>
      </c>
      <c r="F147" s="204">
        <v>0.4513888888888889</v>
      </c>
      <c r="G147" s="193">
        <f t="shared" si="4"/>
        <v>0.41666666666666669</v>
      </c>
      <c r="H147" s="230" t="s">
        <v>55</v>
      </c>
      <c r="I147" s="230" t="s">
        <v>509</v>
      </c>
      <c r="J147" s="231" t="s">
        <v>211</v>
      </c>
      <c r="K147" s="176" t="s">
        <v>684</v>
      </c>
    </row>
    <row r="148" spans="2:11" x14ac:dyDescent="0.25">
      <c r="B148" s="235">
        <v>44937</v>
      </c>
      <c r="C148" s="195">
        <v>1</v>
      </c>
      <c r="E148" s="238">
        <v>0.46527777777777773</v>
      </c>
      <c r="F148" s="204">
        <v>0.47916666666666669</v>
      </c>
      <c r="G148" s="193">
        <f t="shared" si="4"/>
        <v>0.33333333333333331</v>
      </c>
      <c r="H148" s="230" t="s">
        <v>55</v>
      </c>
      <c r="I148" s="230" t="s">
        <v>510</v>
      </c>
      <c r="J148" s="231" t="s">
        <v>227</v>
      </c>
    </row>
    <row r="149" spans="2:11" x14ac:dyDescent="0.25">
      <c r="B149" s="235">
        <v>44937</v>
      </c>
      <c r="C149" s="195">
        <v>1</v>
      </c>
      <c r="E149" s="238">
        <v>0.47916666666666669</v>
      </c>
      <c r="F149" s="204">
        <v>0.5</v>
      </c>
      <c r="G149" s="193">
        <f t="shared" si="4"/>
        <v>0.5</v>
      </c>
      <c r="H149" s="230" t="s">
        <v>55</v>
      </c>
      <c r="I149" s="230" t="s">
        <v>509</v>
      </c>
      <c r="J149" s="231" t="s">
        <v>114</v>
      </c>
    </row>
    <row r="150" spans="2:11" x14ac:dyDescent="0.25">
      <c r="B150" s="235">
        <v>44937</v>
      </c>
      <c r="C150" s="195">
        <v>1</v>
      </c>
      <c r="E150" s="238">
        <v>0.5</v>
      </c>
      <c r="F150" s="204">
        <v>0.50694444444444442</v>
      </c>
      <c r="G150" s="193">
        <f t="shared" si="4"/>
        <v>0.16666666666666666</v>
      </c>
      <c r="H150" s="230" t="s">
        <v>55</v>
      </c>
      <c r="I150" s="230" t="s">
        <v>510</v>
      </c>
      <c r="J150" s="231" t="s">
        <v>222</v>
      </c>
    </row>
    <row r="151" spans="2:11" x14ac:dyDescent="0.25">
      <c r="B151" s="235">
        <v>44937</v>
      </c>
      <c r="C151" s="195">
        <v>1</v>
      </c>
      <c r="E151" s="238">
        <v>0.56597222222222221</v>
      </c>
      <c r="F151" s="204">
        <v>0.57638888888888895</v>
      </c>
      <c r="G151" s="193">
        <f t="shared" si="4"/>
        <v>0.25</v>
      </c>
      <c r="H151" s="230" t="s">
        <v>55</v>
      </c>
      <c r="I151" s="230" t="s">
        <v>511</v>
      </c>
      <c r="J151" s="231" t="s">
        <v>203</v>
      </c>
    </row>
    <row r="152" spans="2:11" x14ac:dyDescent="0.25">
      <c r="B152" s="235">
        <v>44937</v>
      </c>
      <c r="C152" s="195">
        <v>1</v>
      </c>
      <c r="E152" s="238">
        <v>0.59722222222222221</v>
      </c>
      <c r="F152" s="204">
        <v>0.60763888888888895</v>
      </c>
      <c r="G152" s="193">
        <f t="shared" si="4"/>
        <v>0.25</v>
      </c>
      <c r="H152" s="230" t="s">
        <v>55</v>
      </c>
      <c r="I152" s="230" t="s">
        <v>511</v>
      </c>
      <c r="J152" s="231" t="s">
        <v>203</v>
      </c>
    </row>
    <row r="153" spans="2:11" x14ac:dyDescent="0.25">
      <c r="B153" s="235">
        <v>44937</v>
      </c>
      <c r="C153" s="195">
        <v>1</v>
      </c>
      <c r="E153" s="238">
        <v>0.60763888888888895</v>
      </c>
      <c r="F153" s="204">
        <v>0.625</v>
      </c>
      <c r="G153" s="193">
        <f t="shared" si="4"/>
        <v>0.41666666666666669</v>
      </c>
      <c r="H153" s="230" t="s">
        <v>55</v>
      </c>
      <c r="I153" s="230" t="s">
        <v>509</v>
      </c>
      <c r="J153" s="231" t="s">
        <v>114</v>
      </c>
    </row>
    <row r="154" spans="2:11" x14ac:dyDescent="0.25">
      <c r="B154" s="235">
        <v>44937</v>
      </c>
      <c r="C154" s="233">
        <v>2</v>
      </c>
      <c r="E154" s="238">
        <v>0.625</v>
      </c>
      <c r="F154" s="204">
        <v>0.63888888888888895</v>
      </c>
      <c r="G154" s="193">
        <f t="shared" si="4"/>
        <v>0.33333333333333331</v>
      </c>
      <c r="H154" s="230" t="s">
        <v>55</v>
      </c>
      <c r="I154" s="230" t="s">
        <v>509</v>
      </c>
      <c r="J154" s="231" t="s">
        <v>114</v>
      </c>
    </row>
    <row r="155" spans="2:11" x14ac:dyDescent="0.25">
      <c r="B155" s="235">
        <v>44937</v>
      </c>
      <c r="C155" s="195">
        <v>2</v>
      </c>
      <c r="E155" s="238">
        <v>0.63888888888888895</v>
      </c>
      <c r="F155" s="204">
        <v>0.66319444444444442</v>
      </c>
      <c r="G155" s="193">
        <f t="shared" si="4"/>
        <v>0.58333333333333337</v>
      </c>
      <c r="H155" s="230" t="s">
        <v>55</v>
      </c>
      <c r="I155" s="230" t="s">
        <v>509</v>
      </c>
      <c r="J155" s="231" t="s">
        <v>211</v>
      </c>
    </row>
    <row r="156" spans="2:11" x14ac:dyDescent="0.25">
      <c r="B156" s="235">
        <v>44937</v>
      </c>
      <c r="C156" s="195">
        <v>2</v>
      </c>
      <c r="E156" s="238">
        <v>0.73263888888888884</v>
      </c>
      <c r="F156" s="204">
        <v>0.74722222222222223</v>
      </c>
      <c r="G156" s="193">
        <f t="shared" si="4"/>
        <v>0.35</v>
      </c>
      <c r="H156" s="230" t="s">
        <v>55</v>
      </c>
      <c r="I156" s="230" t="s">
        <v>511</v>
      </c>
      <c r="J156" s="231" t="s">
        <v>203</v>
      </c>
    </row>
    <row r="157" spans="2:11" x14ac:dyDescent="0.25">
      <c r="B157" s="235">
        <v>44937</v>
      </c>
      <c r="C157" s="233">
        <v>2</v>
      </c>
      <c r="E157" s="238">
        <v>0.94444444444444453</v>
      </c>
      <c r="F157" s="204">
        <v>0.95833333333333337</v>
      </c>
      <c r="G157" s="193">
        <f t="shared" si="4"/>
        <v>0.33333333333333331</v>
      </c>
      <c r="H157" s="230" t="s">
        <v>55</v>
      </c>
      <c r="I157" s="230" t="s">
        <v>509</v>
      </c>
      <c r="J157" s="231" t="s">
        <v>211</v>
      </c>
      <c r="K157" s="176" t="s">
        <v>684</v>
      </c>
    </row>
    <row r="158" spans="2:11" x14ac:dyDescent="0.25">
      <c r="B158" s="235">
        <v>44937</v>
      </c>
      <c r="C158" s="195">
        <v>3</v>
      </c>
      <c r="E158" s="238">
        <v>0.95833333333333337</v>
      </c>
      <c r="F158" s="204">
        <v>0.96875</v>
      </c>
      <c r="G158" s="193">
        <f t="shared" si="4"/>
        <v>0.25</v>
      </c>
      <c r="H158" s="230" t="s">
        <v>55</v>
      </c>
      <c r="I158" s="230" t="s">
        <v>509</v>
      </c>
      <c r="J158" s="231" t="s">
        <v>211</v>
      </c>
    </row>
    <row r="159" spans="2:11" x14ac:dyDescent="0.25">
      <c r="B159" s="235">
        <v>44937</v>
      </c>
      <c r="C159" s="195">
        <v>3</v>
      </c>
      <c r="E159" s="238">
        <v>2.5694444444444447E-2</v>
      </c>
      <c r="F159" s="204">
        <v>3.6805555555555557E-2</v>
      </c>
      <c r="G159" s="193">
        <f t="shared" si="4"/>
        <v>0.26666666666666666</v>
      </c>
      <c r="H159" s="230" t="s">
        <v>195</v>
      </c>
      <c r="I159" s="230" t="s">
        <v>509</v>
      </c>
      <c r="J159" s="231" t="s">
        <v>499</v>
      </c>
    </row>
    <row r="160" spans="2:11" x14ac:dyDescent="0.25">
      <c r="B160" s="235">
        <v>44937</v>
      </c>
      <c r="C160" s="195">
        <v>3</v>
      </c>
      <c r="E160" s="238">
        <v>5.347222222222222E-2</v>
      </c>
      <c r="F160" s="204">
        <v>6.9444444444444434E-2</v>
      </c>
      <c r="G160" s="193">
        <f t="shared" si="4"/>
        <v>0.38333333333333336</v>
      </c>
      <c r="H160" s="230" t="s">
        <v>178</v>
      </c>
      <c r="I160" s="230" t="s">
        <v>509</v>
      </c>
      <c r="J160" s="231" t="s">
        <v>213</v>
      </c>
    </row>
    <row r="161" spans="2:11" x14ac:dyDescent="0.25">
      <c r="B161" s="235">
        <v>44937</v>
      </c>
      <c r="C161" s="195">
        <v>3</v>
      </c>
      <c r="E161" s="238">
        <v>0.25</v>
      </c>
      <c r="F161" s="204">
        <v>0.26041666666666669</v>
      </c>
      <c r="G161" s="193">
        <f t="shared" si="4"/>
        <v>0.25</v>
      </c>
      <c r="H161" s="230" t="s">
        <v>158</v>
      </c>
      <c r="I161" s="230" t="s">
        <v>509</v>
      </c>
      <c r="J161" s="231" t="s">
        <v>495</v>
      </c>
    </row>
    <row r="162" spans="2:11" x14ac:dyDescent="0.25">
      <c r="B162" s="235">
        <v>44937</v>
      </c>
      <c r="C162" s="233">
        <v>3</v>
      </c>
      <c r="E162" s="238">
        <v>0.27291666666666664</v>
      </c>
      <c r="F162" s="204">
        <v>0.29166666666666669</v>
      </c>
      <c r="G162" s="193">
        <f t="shared" si="4"/>
        <v>0.45</v>
      </c>
      <c r="H162" s="230" t="s">
        <v>55</v>
      </c>
      <c r="I162" s="230" t="s">
        <v>509</v>
      </c>
      <c r="J162" s="231" t="s">
        <v>114</v>
      </c>
    </row>
    <row r="163" spans="2:11" x14ac:dyDescent="0.25">
      <c r="B163" s="235">
        <v>44938</v>
      </c>
      <c r="C163" s="195">
        <v>1</v>
      </c>
      <c r="E163" s="238">
        <v>0.29166666666666669</v>
      </c>
      <c r="F163" s="204">
        <v>0.30902777777777779</v>
      </c>
      <c r="G163" s="193">
        <f t="shared" si="4"/>
        <v>0.41666666666666669</v>
      </c>
      <c r="H163" s="230" t="s">
        <v>55</v>
      </c>
      <c r="I163" s="230" t="s">
        <v>509</v>
      </c>
      <c r="J163" s="231" t="s">
        <v>114</v>
      </c>
    </row>
    <row r="164" spans="2:11" x14ac:dyDescent="0.25">
      <c r="B164" s="235">
        <v>44938</v>
      </c>
      <c r="C164" s="233">
        <v>1</v>
      </c>
      <c r="E164" s="238">
        <v>0.33333333333333331</v>
      </c>
      <c r="F164" s="204">
        <v>0.34027777777777773</v>
      </c>
      <c r="G164" s="193">
        <f t="shared" si="4"/>
        <v>0.16666666666666666</v>
      </c>
      <c r="H164" s="230" t="s">
        <v>147</v>
      </c>
      <c r="I164" s="230" t="s">
        <v>509</v>
      </c>
      <c r="J164" s="231" t="s">
        <v>240</v>
      </c>
    </row>
    <row r="165" spans="2:11" x14ac:dyDescent="0.25">
      <c r="B165" s="235">
        <v>44938</v>
      </c>
      <c r="C165" s="233">
        <v>1</v>
      </c>
      <c r="E165" s="238">
        <v>0.34027777777777773</v>
      </c>
      <c r="F165" s="204">
        <v>0.35069444444444442</v>
      </c>
      <c r="G165" s="193">
        <f t="shared" si="4"/>
        <v>0.25</v>
      </c>
      <c r="H165" s="230" t="s">
        <v>195</v>
      </c>
      <c r="I165" s="230" t="s">
        <v>509</v>
      </c>
      <c r="J165" s="231" t="s">
        <v>240</v>
      </c>
    </row>
    <row r="166" spans="2:11" x14ac:dyDescent="0.25">
      <c r="B166" s="235">
        <v>44938</v>
      </c>
      <c r="C166" s="233">
        <v>1</v>
      </c>
      <c r="E166" s="238">
        <v>0.35069444444444442</v>
      </c>
      <c r="F166" s="204">
        <v>0.625</v>
      </c>
      <c r="G166" s="193">
        <f t="shared" si="4"/>
        <v>6.583333333333333</v>
      </c>
      <c r="H166" s="231"/>
      <c r="I166" s="230" t="s">
        <v>156</v>
      </c>
      <c r="J166" s="231" t="s">
        <v>149</v>
      </c>
    </row>
    <row r="167" spans="2:11" x14ac:dyDescent="0.25">
      <c r="B167" s="235">
        <v>44938</v>
      </c>
      <c r="C167" s="195">
        <v>2</v>
      </c>
      <c r="E167" s="238">
        <v>0.625</v>
      </c>
      <c r="F167" s="204">
        <v>0.76388888888888884</v>
      </c>
      <c r="G167" s="193">
        <f t="shared" si="4"/>
        <v>3.3333333333333335</v>
      </c>
      <c r="H167" s="231"/>
      <c r="I167" s="230" t="s">
        <v>156</v>
      </c>
      <c r="J167" s="231" t="s">
        <v>149</v>
      </c>
    </row>
    <row r="168" spans="2:11" x14ac:dyDescent="0.25">
      <c r="B168" s="235">
        <v>44938</v>
      </c>
      <c r="C168" s="195">
        <v>2</v>
      </c>
      <c r="E168" s="238">
        <v>0.79861111111111116</v>
      </c>
      <c r="F168" s="204">
        <v>0.80902777777777779</v>
      </c>
      <c r="G168" s="193">
        <f t="shared" si="4"/>
        <v>0.25</v>
      </c>
      <c r="H168" s="230" t="s">
        <v>55</v>
      </c>
      <c r="I168" s="230" t="s">
        <v>513</v>
      </c>
      <c r="J168" s="231" t="s">
        <v>573</v>
      </c>
    </row>
    <row r="169" spans="2:11" x14ac:dyDescent="0.25">
      <c r="B169" s="235">
        <v>44938</v>
      </c>
      <c r="C169" s="233">
        <v>2</v>
      </c>
      <c r="E169" s="238">
        <v>0.82986111111111116</v>
      </c>
      <c r="F169" s="204">
        <v>0.84027777777777779</v>
      </c>
      <c r="G169" s="193">
        <f t="shared" si="4"/>
        <v>0.25</v>
      </c>
      <c r="H169" s="230" t="s">
        <v>55</v>
      </c>
      <c r="I169" s="230" t="s">
        <v>511</v>
      </c>
      <c r="J169" s="231" t="s">
        <v>203</v>
      </c>
    </row>
    <row r="170" spans="2:11" x14ac:dyDescent="0.25">
      <c r="B170" s="235">
        <v>44938</v>
      </c>
      <c r="C170" s="195">
        <v>2</v>
      </c>
      <c r="E170" s="238">
        <v>0.85763888888888884</v>
      </c>
      <c r="F170" s="204">
        <v>0.86805555555555547</v>
      </c>
      <c r="G170" s="193">
        <f t="shared" si="4"/>
        <v>0.25</v>
      </c>
      <c r="H170" s="230" t="s">
        <v>195</v>
      </c>
      <c r="I170" s="230" t="s">
        <v>509</v>
      </c>
      <c r="J170" s="231" t="s">
        <v>110</v>
      </c>
      <c r="K170" s="176" t="s">
        <v>871</v>
      </c>
    </row>
    <row r="171" spans="2:11" x14ac:dyDescent="0.25">
      <c r="B171" s="235">
        <v>44938</v>
      </c>
      <c r="C171" s="195">
        <v>2</v>
      </c>
      <c r="E171" s="238">
        <v>0.94444444444444453</v>
      </c>
      <c r="F171" s="204">
        <v>0.95833333333333337</v>
      </c>
      <c r="G171" s="193">
        <f t="shared" ref="G171:G202" si="5">IFERROR(IF(E171&gt;F171,((F171+B174+1)-(E171+B174))*24,HOUR(F171-E171)+MINUTE(F171-E171)/60),"")</f>
        <v>0.33333333333333331</v>
      </c>
      <c r="H171" s="230" t="s">
        <v>55</v>
      </c>
      <c r="I171" s="230" t="s">
        <v>509</v>
      </c>
      <c r="J171" s="231" t="s">
        <v>114</v>
      </c>
    </row>
    <row r="172" spans="2:11" x14ac:dyDescent="0.25">
      <c r="B172" s="235">
        <v>44938</v>
      </c>
      <c r="C172" s="195">
        <v>3</v>
      </c>
      <c r="E172" s="238">
        <v>0.95833333333333337</v>
      </c>
      <c r="F172" s="204">
        <v>0.96180555555555547</v>
      </c>
      <c r="G172" s="193">
        <f t="shared" si="5"/>
        <v>8.3333333333333329E-2</v>
      </c>
      <c r="H172" s="230" t="s">
        <v>55</v>
      </c>
      <c r="I172" s="230" t="s">
        <v>509</v>
      </c>
      <c r="J172" s="231" t="s">
        <v>114</v>
      </c>
    </row>
    <row r="173" spans="2:11" x14ac:dyDescent="0.25">
      <c r="B173" s="235">
        <v>44938</v>
      </c>
      <c r="C173" s="195">
        <v>3</v>
      </c>
      <c r="E173" s="238">
        <v>7.7777777777777779E-2</v>
      </c>
      <c r="F173" s="204">
        <v>8.6805555555555566E-2</v>
      </c>
      <c r="G173" s="193">
        <f t="shared" si="5"/>
        <v>0.21666666666666667</v>
      </c>
      <c r="H173" s="230" t="s">
        <v>55</v>
      </c>
      <c r="I173" s="230" t="s">
        <v>511</v>
      </c>
      <c r="J173" s="231" t="s">
        <v>203</v>
      </c>
    </row>
    <row r="174" spans="2:11" x14ac:dyDescent="0.25">
      <c r="B174" s="235">
        <v>44938</v>
      </c>
      <c r="C174" s="233">
        <v>3</v>
      </c>
      <c r="E174" s="238">
        <v>0.11458333333333333</v>
      </c>
      <c r="F174" s="204">
        <v>0.125</v>
      </c>
      <c r="G174" s="193">
        <f t="shared" si="5"/>
        <v>0.25</v>
      </c>
      <c r="H174" s="230" t="s">
        <v>55</v>
      </c>
      <c r="I174" s="230" t="s">
        <v>511</v>
      </c>
      <c r="J174" s="231" t="s">
        <v>203</v>
      </c>
    </row>
    <row r="175" spans="2:11" x14ac:dyDescent="0.25">
      <c r="B175" s="235">
        <v>44938</v>
      </c>
      <c r="C175" s="233">
        <v>3</v>
      </c>
      <c r="E175" s="238">
        <v>0.2638888888888889</v>
      </c>
      <c r="F175" s="204">
        <v>0.27430555555555552</v>
      </c>
      <c r="G175" s="193">
        <f t="shared" si="5"/>
        <v>0.25</v>
      </c>
      <c r="H175" s="230" t="s">
        <v>55</v>
      </c>
      <c r="I175" s="230" t="s">
        <v>511</v>
      </c>
      <c r="J175" s="231" t="s">
        <v>203</v>
      </c>
    </row>
    <row r="176" spans="2:11" x14ac:dyDescent="0.25">
      <c r="B176" s="235">
        <v>44938</v>
      </c>
      <c r="C176" s="233">
        <v>3</v>
      </c>
      <c r="E176" s="238">
        <v>0.27430555555555552</v>
      </c>
      <c r="F176" s="204">
        <v>0.29166666666666669</v>
      </c>
      <c r="G176" s="193">
        <f t="shared" si="5"/>
        <v>0.41666666666666669</v>
      </c>
      <c r="H176" s="230" t="s">
        <v>55</v>
      </c>
      <c r="I176" s="230" t="s">
        <v>509</v>
      </c>
      <c r="J176" s="231" t="s">
        <v>114</v>
      </c>
    </row>
    <row r="177" spans="2:11" x14ac:dyDescent="0.25">
      <c r="B177" s="235">
        <v>44939</v>
      </c>
      <c r="C177" s="195">
        <v>1</v>
      </c>
      <c r="E177" s="238">
        <v>0.29166666666666669</v>
      </c>
      <c r="F177" s="204">
        <v>0.30208333333333331</v>
      </c>
      <c r="G177" s="193">
        <f t="shared" si="5"/>
        <v>0.25</v>
      </c>
      <c r="H177" s="230" t="s">
        <v>55</v>
      </c>
      <c r="I177" s="230" t="s">
        <v>509</v>
      </c>
      <c r="J177" s="231" t="s">
        <v>114</v>
      </c>
    </row>
    <row r="178" spans="2:11" x14ac:dyDescent="0.25">
      <c r="B178" s="235">
        <v>44939</v>
      </c>
      <c r="C178" s="195">
        <v>1</v>
      </c>
      <c r="E178" s="238">
        <v>0.30208333333333331</v>
      </c>
      <c r="F178" s="204">
        <v>0.3125</v>
      </c>
      <c r="G178" s="193">
        <f t="shared" si="5"/>
        <v>0.25</v>
      </c>
      <c r="H178" s="230" t="s">
        <v>195</v>
      </c>
      <c r="I178" s="230" t="s">
        <v>509</v>
      </c>
      <c r="J178" s="231" t="s">
        <v>110</v>
      </c>
      <c r="K178" s="176" t="s">
        <v>871</v>
      </c>
    </row>
    <row r="179" spans="2:11" x14ac:dyDescent="0.25">
      <c r="B179" s="235">
        <v>44939</v>
      </c>
      <c r="C179" s="195">
        <v>1</v>
      </c>
      <c r="E179" s="238">
        <v>0.44097222222222227</v>
      </c>
      <c r="F179" s="204">
        <v>0.4513888888888889</v>
      </c>
      <c r="G179" s="193">
        <f t="shared" si="5"/>
        <v>0.25</v>
      </c>
      <c r="H179" s="230" t="s">
        <v>201</v>
      </c>
      <c r="I179" s="230" t="s">
        <v>510</v>
      </c>
      <c r="J179" s="231" t="s">
        <v>515</v>
      </c>
    </row>
    <row r="180" spans="2:11" x14ac:dyDescent="0.25">
      <c r="B180" s="235">
        <v>44939</v>
      </c>
      <c r="C180" s="195">
        <v>1</v>
      </c>
      <c r="E180" s="238">
        <v>0.4861111111111111</v>
      </c>
      <c r="F180" s="204">
        <v>0.49652777777777773</v>
      </c>
      <c r="G180" s="193">
        <f t="shared" si="5"/>
        <v>0.25</v>
      </c>
      <c r="H180" s="230" t="s">
        <v>55</v>
      </c>
      <c r="I180" s="230" t="s">
        <v>511</v>
      </c>
      <c r="J180" s="231" t="s">
        <v>203</v>
      </c>
    </row>
    <row r="181" spans="2:11" x14ac:dyDescent="0.25">
      <c r="B181" s="235">
        <v>44939</v>
      </c>
      <c r="C181" s="195">
        <v>1</v>
      </c>
      <c r="E181" s="238">
        <v>0.59375</v>
      </c>
      <c r="F181" s="204">
        <v>0.625</v>
      </c>
      <c r="G181" s="193">
        <f t="shared" si="5"/>
        <v>0.75</v>
      </c>
      <c r="H181" s="230" t="s">
        <v>55</v>
      </c>
      <c r="I181" s="230" t="s">
        <v>509</v>
      </c>
      <c r="J181" s="231" t="s">
        <v>211</v>
      </c>
      <c r="K181" s="176" t="s">
        <v>684</v>
      </c>
    </row>
    <row r="182" spans="2:11" x14ac:dyDescent="0.25">
      <c r="B182" s="235">
        <v>44939</v>
      </c>
      <c r="C182" s="195">
        <v>2</v>
      </c>
      <c r="E182" s="238">
        <v>0.625</v>
      </c>
      <c r="F182" s="204">
        <v>0.63888888888888895</v>
      </c>
      <c r="G182" s="193">
        <f t="shared" si="5"/>
        <v>0.33333333333333331</v>
      </c>
      <c r="H182" s="230" t="s">
        <v>55</v>
      </c>
      <c r="I182" s="230" t="s">
        <v>509</v>
      </c>
      <c r="J182" s="231" t="s">
        <v>211</v>
      </c>
      <c r="K182" s="176" t="s">
        <v>684</v>
      </c>
    </row>
    <row r="183" spans="2:11" s="233" customFormat="1" x14ac:dyDescent="0.25">
      <c r="B183" s="235">
        <v>44939</v>
      </c>
      <c r="C183" s="233">
        <v>2</v>
      </c>
      <c r="E183" s="238">
        <v>0.64722222222222225</v>
      </c>
      <c r="F183" s="204">
        <v>0.66111111111111109</v>
      </c>
      <c r="G183" s="193">
        <f t="shared" si="5"/>
        <v>0.33333333333333331</v>
      </c>
      <c r="H183" s="230" t="s">
        <v>195</v>
      </c>
      <c r="I183" s="230" t="s">
        <v>509</v>
      </c>
      <c r="J183" s="231" t="s">
        <v>110</v>
      </c>
      <c r="K183" s="176" t="s">
        <v>809</v>
      </c>
    </row>
    <row r="184" spans="2:11" x14ac:dyDescent="0.25">
      <c r="B184" s="235">
        <v>44939</v>
      </c>
      <c r="C184" s="195">
        <v>2</v>
      </c>
      <c r="E184" s="238">
        <v>0.76041666666666663</v>
      </c>
      <c r="F184" s="204">
        <v>0.77222222222222225</v>
      </c>
      <c r="G184" s="193">
        <f t="shared" si="5"/>
        <v>0.28333333333333333</v>
      </c>
      <c r="H184" s="230" t="s">
        <v>55</v>
      </c>
      <c r="I184" s="230" t="s">
        <v>511</v>
      </c>
      <c r="J184" s="231" t="s">
        <v>203</v>
      </c>
    </row>
    <row r="185" spans="2:11" x14ac:dyDescent="0.25">
      <c r="B185" s="235">
        <v>44939</v>
      </c>
      <c r="C185" s="195">
        <v>2</v>
      </c>
      <c r="E185" s="238">
        <v>0.79166666666666663</v>
      </c>
      <c r="F185" s="204">
        <v>0.80972222222222223</v>
      </c>
      <c r="G185" s="193">
        <f t="shared" si="5"/>
        <v>0.43333333333333335</v>
      </c>
      <c r="H185" s="230" t="s">
        <v>55</v>
      </c>
      <c r="I185" s="230" t="s">
        <v>509</v>
      </c>
      <c r="J185" s="231" t="s">
        <v>211</v>
      </c>
      <c r="K185" s="176" t="s">
        <v>684</v>
      </c>
    </row>
    <row r="186" spans="2:11" x14ac:dyDescent="0.25">
      <c r="B186" s="235">
        <v>44939</v>
      </c>
      <c r="C186" s="195">
        <v>2</v>
      </c>
      <c r="E186" s="238">
        <v>0.93611111111111101</v>
      </c>
      <c r="F186" s="204">
        <v>0.94791666666666663</v>
      </c>
      <c r="G186" s="193">
        <f t="shared" si="5"/>
        <v>0.28333333333333333</v>
      </c>
      <c r="H186" s="230" t="s">
        <v>55</v>
      </c>
      <c r="I186" s="230" t="s">
        <v>511</v>
      </c>
      <c r="J186" s="231" t="s">
        <v>203</v>
      </c>
    </row>
    <row r="187" spans="2:11" x14ac:dyDescent="0.25">
      <c r="B187" s="235">
        <v>44939</v>
      </c>
      <c r="C187" s="195">
        <v>2</v>
      </c>
      <c r="E187" s="238">
        <v>0.94791666666666663</v>
      </c>
      <c r="F187" s="204">
        <v>0.95833333333333337</v>
      </c>
      <c r="G187" s="193">
        <f t="shared" si="5"/>
        <v>0.25</v>
      </c>
      <c r="H187" s="230" t="s">
        <v>204</v>
      </c>
      <c r="I187" s="230" t="s">
        <v>509</v>
      </c>
      <c r="J187" s="231" t="s">
        <v>114</v>
      </c>
    </row>
    <row r="188" spans="2:11" x14ac:dyDescent="0.25">
      <c r="B188" s="235">
        <v>44939</v>
      </c>
      <c r="C188" s="195">
        <v>3</v>
      </c>
      <c r="E188" s="238">
        <v>0.95833333333333337</v>
      </c>
      <c r="F188" s="204">
        <v>0.96111111111111114</v>
      </c>
      <c r="G188" s="193">
        <f t="shared" si="5"/>
        <v>6.6666666666666666E-2</v>
      </c>
      <c r="H188" s="230" t="s">
        <v>204</v>
      </c>
      <c r="I188" s="230" t="s">
        <v>509</v>
      </c>
      <c r="J188" s="231" t="s">
        <v>114</v>
      </c>
    </row>
    <row r="189" spans="2:11" x14ac:dyDescent="0.25">
      <c r="B189" s="235">
        <v>44939</v>
      </c>
      <c r="C189" s="195">
        <v>3</v>
      </c>
      <c r="E189" s="238">
        <v>0</v>
      </c>
      <c r="F189" s="204">
        <v>1.0416666666666666E-2</v>
      </c>
      <c r="G189" s="193">
        <f t="shared" si="5"/>
        <v>0.25</v>
      </c>
      <c r="H189" s="230" t="s">
        <v>55</v>
      </c>
      <c r="I189" s="230" t="s">
        <v>511</v>
      </c>
      <c r="J189" s="231" t="s">
        <v>203</v>
      </c>
    </row>
    <row r="190" spans="2:11" x14ac:dyDescent="0.25">
      <c r="B190" s="235">
        <v>44939</v>
      </c>
      <c r="C190" s="233">
        <v>3</v>
      </c>
      <c r="E190" s="238">
        <v>0.16666666666666666</v>
      </c>
      <c r="F190" s="204">
        <v>0.18055555555555555</v>
      </c>
      <c r="G190" s="193">
        <f t="shared" si="5"/>
        <v>0.33333333333333331</v>
      </c>
      <c r="H190" s="230" t="s">
        <v>195</v>
      </c>
      <c r="I190" s="230" t="s">
        <v>509</v>
      </c>
      <c r="J190" s="231" t="s">
        <v>213</v>
      </c>
    </row>
    <row r="191" spans="2:11" x14ac:dyDescent="0.25">
      <c r="B191" s="235">
        <v>44939</v>
      </c>
      <c r="C191" s="233">
        <v>3</v>
      </c>
      <c r="E191" s="238">
        <v>0.19583333333333333</v>
      </c>
      <c r="F191" s="204">
        <v>0.20625000000000002</v>
      </c>
      <c r="G191" s="193">
        <f t="shared" si="5"/>
        <v>0.25</v>
      </c>
      <c r="H191" s="230" t="s">
        <v>55</v>
      </c>
      <c r="I191" s="230" t="s">
        <v>509</v>
      </c>
      <c r="J191" s="231" t="s">
        <v>211</v>
      </c>
      <c r="K191" s="176" t="s">
        <v>684</v>
      </c>
    </row>
    <row r="192" spans="2:11" x14ac:dyDescent="0.25">
      <c r="B192" s="235">
        <v>44939</v>
      </c>
      <c r="C192" s="233">
        <v>3</v>
      </c>
      <c r="E192" s="238">
        <v>0.27499999999999997</v>
      </c>
      <c r="F192" s="204">
        <v>0.29166666666666669</v>
      </c>
      <c r="G192" s="193">
        <f t="shared" si="5"/>
        <v>0.4</v>
      </c>
      <c r="H192" s="230" t="s">
        <v>55</v>
      </c>
      <c r="I192" s="230" t="s">
        <v>509</v>
      </c>
      <c r="J192" s="231" t="s">
        <v>114</v>
      </c>
    </row>
    <row r="193" spans="2:11" x14ac:dyDescent="0.25">
      <c r="B193" s="235">
        <v>44940</v>
      </c>
      <c r="C193" s="195">
        <v>1</v>
      </c>
      <c r="E193" s="238">
        <v>0.29166666666666669</v>
      </c>
      <c r="F193" s="204">
        <v>0.32777777777777778</v>
      </c>
      <c r="G193" s="193">
        <f t="shared" si="5"/>
        <v>0.8666666666666667</v>
      </c>
      <c r="H193" s="230" t="s">
        <v>55</v>
      </c>
      <c r="I193" s="230" t="s">
        <v>509</v>
      </c>
      <c r="J193" s="231" t="s">
        <v>114</v>
      </c>
    </row>
    <row r="194" spans="2:11" x14ac:dyDescent="0.25">
      <c r="B194" s="235">
        <v>44940</v>
      </c>
      <c r="C194" s="195">
        <v>1</v>
      </c>
      <c r="E194" s="238">
        <v>0.33333333333333331</v>
      </c>
      <c r="F194" s="204">
        <v>0.35416666666666669</v>
      </c>
      <c r="G194" s="193">
        <f t="shared" si="5"/>
        <v>0.5</v>
      </c>
      <c r="H194" s="230" t="s">
        <v>147</v>
      </c>
      <c r="I194" s="230" t="s">
        <v>509</v>
      </c>
      <c r="J194" s="231" t="s">
        <v>114</v>
      </c>
      <c r="K194" s="176" t="s">
        <v>750</v>
      </c>
    </row>
    <row r="195" spans="2:11" x14ac:dyDescent="0.25">
      <c r="B195" s="235">
        <v>44940</v>
      </c>
      <c r="C195" s="233">
        <v>1</v>
      </c>
      <c r="E195" s="238">
        <v>0.42708333333333331</v>
      </c>
      <c r="F195" s="204">
        <v>0.45833333333333331</v>
      </c>
      <c r="G195" s="193">
        <f t="shared" si="5"/>
        <v>0.75</v>
      </c>
      <c r="H195" s="230" t="s">
        <v>176</v>
      </c>
      <c r="I195" s="230" t="s">
        <v>510</v>
      </c>
      <c r="J195" s="231" t="s">
        <v>619</v>
      </c>
    </row>
    <row r="196" spans="2:11" x14ac:dyDescent="0.25">
      <c r="B196" s="235">
        <v>44940</v>
      </c>
      <c r="C196" s="233">
        <v>1</v>
      </c>
      <c r="E196" s="238">
        <v>0.45833333333333331</v>
      </c>
      <c r="F196" s="204">
        <v>0.5</v>
      </c>
      <c r="G196" s="193">
        <f t="shared" si="5"/>
        <v>1</v>
      </c>
      <c r="H196" s="230" t="s">
        <v>201</v>
      </c>
      <c r="I196" s="230" t="s">
        <v>509</v>
      </c>
      <c r="J196" s="231" t="s">
        <v>548</v>
      </c>
    </row>
    <row r="197" spans="2:11" x14ac:dyDescent="0.25">
      <c r="B197" s="235">
        <v>44940</v>
      </c>
      <c r="C197" s="233">
        <v>1</v>
      </c>
      <c r="D197" s="233"/>
      <c r="E197" s="238">
        <v>0.60069444444444442</v>
      </c>
      <c r="F197" s="204">
        <v>0.625</v>
      </c>
      <c r="G197" s="193">
        <f t="shared" si="5"/>
        <v>0.58333333333333337</v>
      </c>
      <c r="H197" s="230" t="s">
        <v>201</v>
      </c>
      <c r="I197" s="230" t="s">
        <v>510</v>
      </c>
      <c r="J197" s="231" t="s">
        <v>90</v>
      </c>
      <c r="K197" s="176" t="s">
        <v>877</v>
      </c>
    </row>
    <row r="198" spans="2:11" x14ac:dyDescent="0.25">
      <c r="B198" s="235">
        <v>44940</v>
      </c>
      <c r="C198" s="233">
        <v>2</v>
      </c>
      <c r="D198" s="233"/>
      <c r="E198" s="238">
        <v>0.625</v>
      </c>
      <c r="F198" s="204">
        <v>0.70833333333333337</v>
      </c>
      <c r="G198" s="193">
        <f t="shared" si="5"/>
        <v>2</v>
      </c>
      <c r="H198" s="230" t="s">
        <v>201</v>
      </c>
      <c r="I198" s="230" t="s">
        <v>510</v>
      </c>
      <c r="J198" s="231" t="s">
        <v>90</v>
      </c>
      <c r="K198" s="176" t="s">
        <v>877</v>
      </c>
    </row>
    <row r="199" spans="2:11" x14ac:dyDescent="0.25">
      <c r="B199" s="235">
        <v>44940</v>
      </c>
      <c r="C199" s="233">
        <v>2</v>
      </c>
      <c r="D199" s="233"/>
      <c r="E199" s="238">
        <v>0.76388888888888884</v>
      </c>
      <c r="F199" s="204">
        <v>0.77430555555555547</v>
      </c>
      <c r="G199" s="193">
        <f t="shared" si="5"/>
        <v>0.25</v>
      </c>
      <c r="H199" s="230" t="s">
        <v>55</v>
      </c>
      <c r="I199" s="230" t="s">
        <v>511</v>
      </c>
      <c r="J199" s="231" t="s">
        <v>203</v>
      </c>
    </row>
    <row r="200" spans="2:11" x14ac:dyDescent="0.25">
      <c r="B200" s="235">
        <v>44940</v>
      </c>
      <c r="C200" s="195">
        <v>2</v>
      </c>
      <c r="E200" s="238">
        <v>0.89236111111111116</v>
      </c>
      <c r="F200" s="204">
        <v>0.90277777777777779</v>
      </c>
      <c r="G200" s="193">
        <f t="shared" si="5"/>
        <v>0.25</v>
      </c>
      <c r="H200" s="230" t="s">
        <v>55</v>
      </c>
      <c r="I200" s="230" t="s">
        <v>511</v>
      </c>
      <c r="J200" s="231" t="s">
        <v>203</v>
      </c>
    </row>
    <row r="201" spans="2:11" ht="18" customHeight="1" x14ac:dyDescent="0.25">
      <c r="B201" s="235">
        <v>44940</v>
      </c>
      <c r="C201" s="195">
        <v>2</v>
      </c>
      <c r="E201" s="238">
        <v>0.94444444444444453</v>
      </c>
      <c r="F201" s="204">
        <v>0.95833333333333337</v>
      </c>
      <c r="G201" s="193">
        <f t="shared" si="5"/>
        <v>0.33333333333333331</v>
      </c>
      <c r="H201" s="230" t="s">
        <v>55</v>
      </c>
      <c r="I201" s="230" t="s">
        <v>509</v>
      </c>
      <c r="J201" s="231" t="s">
        <v>211</v>
      </c>
      <c r="K201" s="176" t="s">
        <v>684</v>
      </c>
    </row>
    <row r="202" spans="2:11" x14ac:dyDescent="0.25">
      <c r="B202" s="235">
        <v>44940</v>
      </c>
      <c r="C202" s="195">
        <v>3</v>
      </c>
      <c r="E202" s="238">
        <v>0.95833333333333337</v>
      </c>
      <c r="F202" s="204">
        <v>0</v>
      </c>
      <c r="G202" s="193">
        <f t="shared" si="5"/>
        <v>0.99999999994179234</v>
      </c>
      <c r="H202" s="230" t="s">
        <v>55</v>
      </c>
      <c r="I202" s="230" t="s">
        <v>509</v>
      </c>
      <c r="J202" s="231" t="s">
        <v>211</v>
      </c>
    </row>
    <row r="203" spans="2:11" x14ac:dyDescent="0.25">
      <c r="B203" s="235">
        <v>44940</v>
      </c>
      <c r="C203" s="195">
        <v>3</v>
      </c>
      <c r="E203" s="238">
        <v>5.5555555555555558E-3</v>
      </c>
      <c r="F203" s="204">
        <v>1.5972222222222224E-2</v>
      </c>
      <c r="G203" s="193">
        <f t="shared" ref="G203:G230" si="6">IFERROR(IF(E203&gt;F203,((F203+B206+1)-(E203+B206))*24,HOUR(F203-E203)+MINUTE(F203-E203)/60),"")</f>
        <v>0.25</v>
      </c>
      <c r="H203" s="230" t="s">
        <v>207</v>
      </c>
      <c r="I203" s="230" t="s">
        <v>513</v>
      </c>
      <c r="J203" s="231" t="s">
        <v>154</v>
      </c>
    </row>
    <row r="204" spans="2:11" x14ac:dyDescent="0.25">
      <c r="B204" s="235">
        <v>44940</v>
      </c>
      <c r="C204" s="195">
        <v>3</v>
      </c>
      <c r="E204" s="238">
        <v>0.27777777777777779</v>
      </c>
      <c r="F204" s="204">
        <v>0.29166666666666669</v>
      </c>
      <c r="G204" s="193">
        <f t="shared" si="6"/>
        <v>0.33333333333333331</v>
      </c>
      <c r="H204" s="230" t="s">
        <v>55</v>
      </c>
      <c r="I204" s="230" t="s">
        <v>509</v>
      </c>
      <c r="J204" s="231" t="s">
        <v>114</v>
      </c>
    </row>
    <row r="205" spans="2:11" x14ac:dyDescent="0.25">
      <c r="B205" s="235">
        <v>44941</v>
      </c>
      <c r="C205" s="195">
        <v>1</v>
      </c>
      <c r="E205" s="238">
        <v>0.29166666666666669</v>
      </c>
      <c r="F205" s="204">
        <v>0.30555555555555552</v>
      </c>
      <c r="G205" s="193">
        <f t="shared" si="6"/>
        <v>0.33333333333333331</v>
      </c>
      <c r="H205" s="230" t="s">
        <v>55</v>
      </c>
      <c r="I205" s="230" t="s">
        <v>509</v>
      </c>
      <c r="J205" s="231" t="s">
        <v>114</v>
      </c>
    </row>
    <row r="206" spans="2:11" x14ac:dyDescent="0.25">
      <c r="B206" s="235">
        <v>44941</v>
      </c>
      <c r="C206" s="233">
        <v>1</v>
      </c>
      <c r="E206" s="238">
        <v>0.3923611111111111</v>
      </c>
      <c r="F206" s="204">
        <v>0.40625</v>
      </c>
      <c r="G206" s="193">
        <f t="shared" si="6"/>
        <v>0.33333333333333331</v>
      </c>
      <c r="H206" s="230" t="s">
        <v>55</v>
      </c>
      <c r="I206" s="230" t="s">
        <v>509</v>
      </c>
      <c r="J206" s="231" t="s">
        <v>211</v>
      </c>
    </row>
    <row r="207" spans="2:11" x14ac:dyDescent="0.25">
      <c r="B207" s="235">
        <v>44941</v>
      </c>
      <c r="C207" s="233">
        <v>1</v>
      </c>
      <c r="E207" s="238">
        <v>0.46527777777777773</v>
      </c>
      <c r="F207" s="204">
        <v>0.47569444444444442</v>
      </c>
      <c r="G207" s="193">
        <f t="shared" si="6"/>
        <v>0.25</v>
      </c>
      <c r="H207" s="230" t="s">
        <v>55</v>
      </c>
      <c r="I207" s="230" t="s">
        <v>509</v>
      </c>
      <c r="J207" s="231" t="s">
        <v>211</v>
      </c>
    </row>
    <row r="208" spans="2:11" x14ac:dyDescent="0.25">
      <c r="B208" s="235">
        <v>44941</v>
      </c>
      <c r="C208" s="233">
        <v>1</v>
      </c>
      <c r="E208" s="238">
        <v>0.47569444444444442</v>
      </c>
      <c r="F208" s="204">
        <v>0.4826388888888889</v>
      </c>
      <c r="G208" s="193">
        <f t="shared" si="6"/>
        <v>0.16666666666666666</v>
      </c>
      <c r="H208" s="230" t="s">
        <v>195</v>
      </c>
      <c r="I208" s="230" t="s">
        <v>509</v>
      </c>
      <c r="J208" s="231" t="s">
        <v>499</v>
      </c>
      <c r="K208" s="176" t="s">
        <v>878</v>
      </c>
    </row>
    <row r="209" spans="2:11" x14ac:dyDescent="0.25">
      <c r="B209" s="235">
        <v>44941</v>
      </c>
      <c r="C209" s="233">
        <v>1</v>
      </c>
      <c r="E209" s="238">
        <v>0.54166666666666663</v>
      </c>
      <c r="F209" s="204">
        <v>0.55208333333333337</v>
      </c>
      <c r="G209" s="193">
        <f t="shared" si="6"/>
        <v>0.25</v>
      </c>
      <c r="H209" s="230" t="s">
        <v>55</v>
      </c>
      <c r="I209" s="230" t="s">
        <v>511</v>
      </c>
      <c r="J209" s="231" t="s">
        <v>203</v>
      </c>
    </row>
    <row r="210" spans="2:11" x14ac:dyDescent="0.25">
      <c r="B210" s="235">
        <v>44941</v>
      </c>
      <c r="C210" s="195">
        <v>2</v>
      </c>
      <c r="E210" s="238">
        <v>0.64930555555555558</v>
      </c>
      <c r="F210" s="204">
        <v>0.65972222222222221</v>
      </c>
      <c r="G210" s="193">
        <f t="shared" si="6"/>
        <v>0.25</v>
      </c>
      <c r="H210" s="230" t="s">
        <v>55</v>
      </c>
      <c r="I210" s="230" t="s">
        <v>511</v>
      </c>
      <c r="J210" s="231" t="s">
        <v>203</v>
      </c>
    </row>
    <row r="211" spans="2:11" x14ac:dyDescent="0.25">
      <c r="B211" s="235">
        <v>44941</v>
      </c>
      <c r="C211" s="195">
        <v>2</v>
      </c>
      <c r="E211" s="238">
        <v>0.65972222222222221</v>
      </c>
      <c r="F211" s="204">
        <v>0.67013888888888884</v>
      </c>
      <c r="G211" s="193">
        <f t="shared" si="6"/>
        <v>0.25</v>
      </c>
      <c r="H211" s="230" t="s">
        <v>201</v>
      </c>
      <c r="I211" s="230" t="s">
        <v>510</v>
      </c>
      <c r="J211" s="231" t="s">
        <v>515</v>
      </c>
    </row>
    <row r="212" spans="2:11" x14ac:dyDescent="0.25">
      <c r="B212" s="235">
        <v>44941</v>
      </c>
      <c r="C212" s="195">
        <v>2</v>
      </c>
      <c r="E212" s="238">
        <v>0.71875</v>
      </c>
      <c r="F212" s="204">
        <v>0.73263888888888884</v>
      </c>
      <c r="G212" s="193">
        <f t="shared" si="6"/>
        <v>0.33333333333333331</v>
      </c>
      <c r="H212" s="230" t="s">
        <v>158</v>
      </c>
      <c r="I212" s="230" t="s">
        <v>509</v>
      </c>
      <c r="J212" s="231" t="s">
        <v>495</v>
      </c>
      <c r="K212" s="176" t="s">
        <v>879</v>
      </c>
    </row>
    <row r="213" spans="2:11" x14ac:dyDescent="0.25">
      <c r="B213" s="235">
        <v>44941</v>
      </c>
      <c r="C213" s="195">
        <v>2</v>
      </c>
      <c r="E213" s="238">
        <v>0.73958333333333337</v>
      </c>
      <c r="F213" s="204">
        <v>0.75</v>
      </c>
      <c r="G213" s="193">
        <f t="shared" si="6"/>
        <v>0.25</v>
      </c>
      <c r="H213" s="230" t="s">
        <v>55</v>
      </c>
      <c r="I213" s="230" t="s">
        <v>511</v>
      </c>
      <c r="J213" s="231" t="s">
        <v>203</v>
      </c>
    </row>
    <row r="214" spans="2:11" x14ac:dyDescent="0.25">
      <c r="B214" s="235">
        <v>44941</v>
      </c>
      <c r="C214" s="195">
        <v>2</v>
      </c>
      <c r="E214" s="238">
        <v>0.78125</v>
      </c>
      <c r="F214" s="204">
        <v>0.79166666666666663</v>
      </c>
      <c r="G214" s="193">
        <f t="shared" si="6"/>
        <v>0.25</v>
      </c>
      <c r="H214" s="230" t="s">
        <v>55</v>
      </c>
      <c r="I214" s="230" t="s">
        <v>511</v>
      </c>
      <c r="J214" s="231" t="s">
        <v>203</v>
      </c>
    </row>
    <row r="215" spans="2:11" x14ac:dyDescent="0.25">
      <c r="B215" s="235">
        <v>44941</v>
      </c>
      <c r="C215" s="195">
        <v>2</v>
      </c>
      <c r="E215" s="238">
        <v>0.82291666666666663</v>
      </c>
      <c r="F215" s="204">
        <v>0.83333333333333337</v>
      </c>
      <c r="G215" s="193">
        <f t="shared" si="6"/>
        <v>0.25</v>
      </c>
      <c r="H215" s="230" t="s">
        <v>55</v>
      </c>
      <c r="I215" s="230" t="s">
        <v>511</v>
      </c>
      <c r="J215" s="231" t="s">
        <v>203</v>
      </c>
    </row>
    <row r="216" spans="2:11" x14ac:dyDescent="0.25">
      <c r="B216" s="235">
        <v>44941</v>
      </c>
      <c r="C216" s="195">
        <v>2</v>
      </c>
      <c r="E216" s="238">
        <v>0.84375</v>
      </c>
      <c r="F216" s="204">
        <v>0.875</v>
      </c>
      <c r="G216" s="193">
        <f t="shared" si="6"/>
        <v>0.75</v>
      </c>
      <c r="H216" s="230" t="s">
        <v>55</v>
      </c>
      <c r="I216" s="230" t="s">
        <v>509</v>
      </c>
      <c r="J216" s="233" t="s">
        <v>775</v>
      </c>
      <c r="K216" s="176" t="s">
        <v>880</v>
      </c>
    </row>
    <row r="217" spans="2:11" x14ac:dyDescent="0.25">
      <c r="B217" s="235">
        <v>44941</v>
      </c>
      <c r="C217" s="195">
        <v>2</v>
      </c>
      <c r="E217" s="238">
        <v>0.90625</v>
      </c>
      <c r="F217" s="204">
        <v>0.91666666666666663</v>
      </c>
      <c r="G217" s="193">
        <f t="shared" si="6"/>
        <v>0.25</v>
      </c>
      <c r="H217" s="230" t="s">
        <v>55</v>
      </c>
      <c r="I217" s="230" t="s">
        <v>511</v>
      </c>
      <c r="J217" s="231" t="s">
        <v>203</v>
      </c>
    </row>
    <row r="218" spans="2:11" x14ac:dyDescent="0.25">
      <c r="B218" s="235">
        <v>44941</v>
      </c>
      <c r="C218" s="195">
        <v>2</v>
      </c>
      <c r="E218" s="238">
        <v>0.9375</v>
      </c>
      <c r="F218" s="204">
        <v>0.95833333333333337</v>
      </c>
      <c r="G218" s="193">
        <f t="shared" si="6"/>
        <v>0.5</v>
      </c>
      <c r="H218" s="230" t="s">
        <v>158</v>
      </c>
      <c r="I218" s="230" t="s">
        <v>509</v>
      </c>
      <c r="J218" s="231" t="s">
        <v>495</v>
      </c>
      <c r="K218" s="176" t="s">
        <v>879</v>
      </c>
    </row>
    <row r="219" spans="2:11" x14ac:dyDescent="0.25">
      <c r="B219" s="235">
        <v>44941</v>
      </c>
      <c r="C219" s="195">
        <v>3</v>
      </c>
      <c r="E219" s="238">
        <v>0.95833333333333337</v>
      </c>
      <c r="F219" s="204">
        <v>0.97291666666666676</v>
      </c>
      <c r="G219" s="193">
        <f t="shared" si="6"/>
        <v>0.35</v>
      </c>
      <c r="H219" s="230" t="s">
        <v>158</v>
      </c>
      <c r="I219" s="230" t="s">
        <v>509</v>
      </c>
      <c r="J219" s="231" t="s">
        <v>495</v>
      </c>
      <c r="K219" s="176" t="s">
        <v>879</v>
      </c>
    </row>
    <row r="220" spans="2:11" x14ac:dyDescent="0.25">
      <c r="B220" s="235">
        <v>44941</v>
      </c>
      <c r="C220" s="233">
        <v>3</v>
      </c>
      <c r="E220" s="238">
        <v>0.99583333333333324</v>
      </c>
      <c r="F220" s="204">
        <v>2.2916666666666669E-2</v>
      </c>
      <c r="G220" s="193">
        <f t="shared" si="6"/>
        <v>0.65000000002328306</v>
      </c>
      <c r="H220" s="230" t="s">
        <v>55</v>
      </c>
      <c r="I220" s="230" t="s">
        <v>509</v>
      </c>
      <c r="J220" s="231" t="s">
        <v>211</v>
      </c>
    </row>
    <row r="221" spans="2:11" x14ac:dyDescent="0.25">
      <c r="B221" s="235">
        <v>44941</v>
      </c>
      <c r="C221" s="233">
        <v>3</v>
      </c>
      <c r="E221" s="238">
        <v>9.375E-2</v>
      </c>
      <c r="F221" s="204">
        <v>0.1111111111111111</v>
      </c>
      <c r="G221" s="193">
        <f t="shared" si="6"/>
        <v>0.41666666666666669</v>
      </c>
      <c r="H221" s="230" t="s">
        <v>158</v>
      </c>
      <c r="I221" s="230" t="s">
        <v>509</v>
      </c>
      <c r="J221" s="231" t="s">
        <v>495</v>
      </c>
    </row>
    <row r="222" spans="2:11" x14ac:dyDescent="0.25">
      <c r="B222" s="235">
        <v>44941</v>
      </c>
      <c r="C222" s="233">
        <v>3</v>
      </c>
      <c r="E222" s="238">
        <v>0.13194444444444445</v>
      </c>
      <c r="F222" s="204">
        <v>0.1423611111111111</v>
      </c>
      <c r="G222" s="193">
        <f t="shared" si="6"/>
        <v>0.25</v>
      </c>
      <c r="H222" s="230" t="s">
        <v>195</v>
      </c>
      <c r="I222" s="230" t="s">
        <v>509</v>
      </c>
      <c r="J222" s="231" t="s">
        <v>213</v>
      </c>
    </row>
    <row r="223" spans="2:11" x14ac:dyDescent="0.25">
      <c r="B223" s="235">
        <v>44941</v>
      </c>
      <c r="C223" s="233">
        <v>3</v>
      </c>
      <c r="E223" s="238">
        <v>0.19166666666666665</v>
      </c>
      <c r="F223" s="204">
        <v>0.20486111111111113</v>
      </c>
      <c r="G223" s="193">
        <f t="shared" si="6"/>
        <v>0.31666666666666665</v>
      </c>
      <c r="H223" s="230" t="s">
        <v>158</v>
      </c>
      <c r="I223" s="230" t="s">
        <v>509</v>
      </c>
      <c r="J223" s="231" t="s">
        <v>495</v>
      </c>
    </row>
    <row r="224" spans="2:11" x14ac:dyDescent="0.25">
      <c r="B224" s="235">
        <v>44941</v>
      </c>
      <c r="C224" s="233">
        <v>3</v>
      </c>
      <c r="E224" s="238">
        <v>0.24861111111111112</v>
      </c>
      <c r="F224" s="204">
        <v>0.2590277777777778</v>
      </c>
      <c r="G224" s="193">
        <f t="shared" si="6"/>
        <v>0.25</v>
      </c>
      <c r="H224" s="230" t="s">
        <v>158</v>
      </c>
      <c r="I224" s="230" t="s">
        <v>509</v>
      </c>
      <c r="J224" s="231" t="s">
        <v>495</v>
      </c>
    </row>
    <row r="225" spans="2:11" x14ac:dyDescent="0.25">
      <c r="B225" s="235">
        <v>44941</v>
      </c>
      <c r="C225" s="233">
        <v>3</v>
      </c>
      <c r="E225" s="238">
        <v>0.27499999999999997</v>
      </c>
      <c r="F225" s="204">
        <v>0.29166666666666669</v>
      </c>
      <c r="G225" s="193">
        <f t="shared" si="6"/>
        <v>0.4</v>
      </c>
      <c r="H225" s="230" t="s">
        <v>55</v>
      </c>
      <c r="I225" s="230" t="s">
        <v>509</v>
      </c>
      <c r="J225" s="231" t="s">
        <v>114</v>
      </c>
    </row>
    <row r="226" spans="2:11" x14ac:dyDescent="0.25">
      <c r="B226" s="235">
        <v>44942</v>
      </c>
      <c r="C226" s="195">
        <v>1</v>
      </c>
      <c r="E226" s="238">
        <v>0.29166666666666669</v>
      </c>
      <c r="F226" s="204">
        <v>0.30416666666666664</v>
      </c>
      <c r="G226" s="193">
        <f t="shared" si="6"/>
        <v>0.3</v>
      </c>
      <c r="H226" s="230" t="s">
        <v>55</v>
      </c>
      <c r="I226" s="230" t="s">
        <v>509</v>
      </c>
      <c r="J226" s="231" t="s">
        <v>114</v>
      </c>
    </row>
    <row r="227" spans="2:11" x14ac:dyDescent="0.25">
      <c r="B227" s="235">
        <v>44942</v>
      </c>
      <c r="C227" s="233">
        <v>1</v>
      </c>
      <c r="E227" s="238">
        <v>0.30902777777777779</v>
      </c>
      <c r="F227" s="204">
        <v>0.31944444444444448</v>
      </c>
      <c r="G227" s="193">
        <f t="shared" si="6"/>
        <v>0.25</v>
      </c>
      <c r="H227" s="230" t="s">
        <v>158</v>
      </c>
      <c r="I227" s="230" t="s">
        <v>509</v>
      </c>
      <c r="J227" s="231" t="s">
        <v>495</v>
      </c>
    </row>
    <row r="228" spans="2:11" x14ac:dyDescent="0.25">
      <c r="B228" s="235">
        <v>44942</v>
      </c>
      <c r="C228" s="233">
        <v>1</v>
      </c>
      <c r="E228" s="238">
        <v>0.39583333333333331</v>
      </c>
      <c r="F228" s="204">
        <v>0.39930555555555558</v>
      </c>
      <c r="G228" s="193">
        <f t="shared" si="6"/>
        <v>8.3333333333333329E-2</v>
      </c>
      <c r="H228" s="230" t="s">
        <v>55</v>
      </c>
      <c r="I228" s="230" t="s">
        <v>509</v>
      </c>
      <c r="J228" s="231" t="s">
        <v>211</v>
      </c>
    </row>
    <row r="229" spans="2:11" x14ac:dyDescent="0.25">
      <c r="B229" s="235">
        <v>44942</v>
      </c>
      <c r="C229" s="233">
        <v>1</v>
      </c>
      <c r="E229" s="238">
        <v>0.39930555555555558</v>
      </c>
      <c r="F229" s="204">
        <v>0.40625</v>
      </c>
      <c r="G229" s="193">
        <f t="shared" si="6"/>
        <v>0.16666666666666666</v>
      </c>
      <c r="H229" s="230" t="s">
        <v>147</v>
      </c>
      <c r="I229" s="230" t="s">
        <v>511</v>
      </c>
      <c r="J229" s="231" t="s">
        <v>758</v>
      </c>
      <c r="K229" s="176" t="s">
        <v>756</v>
      </c>
    </row>
    <row r="230" spans="2:11" x14ac:dyDescent="0.25">
      <c r="B230" s="235">
        <v>44942</v>
      </c>
      <c r="C230" s="233">
        <v>1</v>
      </c>
      <c r="E230" s="238">
        <v>0.40625</v>
      </c>
      <c r="F230" s="204">
        <v>0.43055555555555558</v>
      </c>
      <c r="G230" s="193">
        <f t="shared" si="6"/>
        <v>0.58333333333333337</v>
      </c>
      <c r="H230" s="230" t="s">
        <v>55</v>
      </c>
      <c r="I230" s="230" t="s">
        <v>510</v>
      </c>
      <c r="J230" s="231" t="s">
        <v>222</v>
      </c>
    </row>
    <row r="231" spans="2:11" x14ac:dyDescent="0.25">
      <c r="B231" s="235">
        <v>44942</v>
      </c>
      <c r="C231" s="233">
        <v>1</v>
      </c>
      <c r="E231" s="238">
        <v>0.46875</v>
      </c>
      <c r="F231" s="204">
        <v>0.47916666666666669</v>
      </c>
      <c r="G231" s="193">
        <f>IFERROR(IF(E231&gt;F231,((F231+B235+1)-(E231+B235))*24,HOUR(F231-E231)+MINUTE(F231-E231)/60),"")</f>
        <v>0.25</v>
      </c>
      <c r="H231" s="230" t="s">
        <v>195</v>
      </c>
      <c r="I231" s="230" t="s">
        <v>509</v>
      </c>
      <c r="J231" s="231" t="s">
        <v>499</v>
      </c>
    </row>
    <row r="232" spans="2:11" x14ac:dyDescent="0.25">
      <c r="B232" s="235">
        <v>44942</v>
      </c>
      <c r="C232" s="233">
        <v>1</v>
      </c>
      <c r="E232" s="238">
        <v>0.53263888888888888</v>
      </c>
      <c r="F232" s="204">
        <v>0.56388888888888888</v>
      </c>
      <c r="G232" s="193">
        <f>IFERROR(IF(E232&gt;F232,((F232+B236+1)-(E232+B236))*24,HOUR(F232-E232)+MINUTE(F232-E232)/60),"")</f>
        <v>0.75</v>
      </c>
      <c r="H232" s="230" t="s">
        <v>207</v>
      </c>
      <c r="I232" s="230" t="s">
        <v>513</v>
      </c>
      <c r="J232" s="231" t="s">
        <v>154</v>
      </c>
    </row>
    <row r="233" spans="2:11" x14ac:dyDescent="0.25">
      <c r="B233" s="235">
        <v>44942</v>
      </c>
      <c r="C233" s="233">
        <v>1</v>
      </c>
      <c r="E233" s="238">
        <v>0.61805555555555558</v>
      </c>
      <c r="F233" s="204">
        <v>0.625</v>
      </c>
      <c r="G233" s="193">
        <f>IFERROR(IF(E233&gt;F233,((F233+B237+1)-(E233+B237))*24,HOUR(F233-E233)+MINUTE(F233-E233)/60),"")</f>
        <v>0.16666666666666666</v>
      </c>
      <c r="H233" s="230" t="s">
        <v>195</v>
      </c>
      <c r="I233" s="230" t="s">
        <v>509</v>
      </c>
      <c r="J233" s="231" t="s">
        <v>110</v>
      </c>
      <c r="K233" s="176" t="s">
        <v>809</v>
      </c>
    </row>
    <row r="234" spans="2:11" s="233" customFormat="1" x14ac:dyDescent="0.25">
      <c r="B234" s="235">
        <v>44942</v>
      </c>
      <c r="C234" s="233">
        <v>2</v>
      </c>
      <c r="E234" s="238">
        <v>0.625</v>
      </c>
      <c r="F234" s="204">
        <v>0.63541666666666663</v>
      </c>
      <c r="G234" s="193">
        <f>IFERROR(IF(E234&gt;F234,((F234+B238+1)-(E234+B238))*24,HOUR(F234-E234)+MINUTE(F234-E234)/60),"")</f>
        <v>0.25</v>
      </c>
      <c r="H234" s="230" t="s">
        <v>195</v>
      </c>
      <c r="I234" s="230" t="s">
        <v>509</v>
      </c>
      <c r="J234" s="231" t="s">
        <v>110</v>
      </c>
      <c r="K234" s="176"/>
    </row>
    <row r="235" spans="2:11" x14ac:dyDescent="0.25">
      <c r="B235" s="235">
        <v>44942</v>
      </c>
      <c r="C235" s="195">
        <v>2</v>
      </c>
      <c r="E235" s="238">
        <v>0.63888888888888895</v>
      </c>
      <c r="F235" s="204">
        <v>0.65694444444444444</v>
      </c>
      <c r="G235" s="193">
        <f t="shared" ref="G235:G266" si="7">IFERROR(IF(E235&gt;F235,((F235+B238+1)-(E235+B238))*24,HOUR(F235-E235)+MINUTE(F235-E235)/60),"")</f>
        <v>0.43333333333333335</v>
      </c>
      <c r="H235" s="230" t="s">
        <v>55</v>
      </c>
      <c r="I235" s="230" t="s">
        <v>509</v>
      </c>
      <c r="J235" s="282" t="s">
        <v>211</v>
      </c>
      <c r="K235" s="231"/>
    </row>
    <row r="236" spans="2:11" x14ac:dyDescent="0.25">
      <c r="B236" s="235">
        <v>44942</v>
      </c>
      <c r="C236" s="195">
        <v>2</v>
      </c>
      <c r="E236" s="238">
        <v>0.69444444444444453</v>
      </c>
      <c r="F236" s="204">
        <v>0.70694444444444438</v>
      </c>
      <c r="G236" s="193">
        <f t="shared" si="7"/>
        <v>0.3</v>
      </c>
      <c r="H236" s="230" t="s">
        <v>55</v>
      </c>
      <c r="I236" s="230" t="s">
        <v>511</v>
      </c>
      <c r="J236" s="231" t="s">
        <v>203</v>
      </c>
    </row>
    <row r="237" spans="2:11" x14ac:dyDescent="0.25">
      <c r="B237" s="235">
        <v>44942</v>
      </c>
      <c r="C237" s="195">
        <v>2</v>
      </c>
      <c r="E237" s="238">
        <v>0.85069444444444453</v>
      </c>
      <c r="F237" s="204">
        <v>0.86458333333333337</v>
      </c>
      <c r="G237" s="193">
        <f t="shared" si="7"/>
        <v>0.33333333333333331</v>
      </c>
      <c r="H237" s="230" t="s">
        <v>150</v>
      </c>
      <c r="I237" s="230" t="s">
        <v>509</v>
      </c>
      <c r="J237" s="282" t="s">
        <v>206</v>
      </c>
      <c r="K237" s="231" t="s">
        <v>206</v>
      </c>
    </row>
    <row r="238" spans="2:11" x14ac:dyDescent="0.25">
      <c r="B238" s="235">
        <v>44942</v>
      </c>
      <c r="C238" s="195">
        <v>2</v>
      </c>
      <c r="E238" s="238">
        <v>0.93055555555555547</v>
      </c>
      <c r="F238" s="204">
        <v>0.94027777777777777</v>
      </c>
      <c r="G238" s="193">
        <f t="shared" si="7"/>
        <v>0.23333333333333334</v>
      </c>
      <c r="H238" s="230" t="s">
        <v>158</v>
      </c>
      <c r="I238" s="230" t="s">
        <v>509</v>
      </c>
      <c r="J238" s="231" t="s">
        <v>495</v>
      </c>
      <c r="K238" s="176" t="s">
        <v>881</v>
      </c>
    </row>
    <row r="239" spans="2:11" x14ac:dyDescent="0.25">
      <c r="B239" s="235">
        <v>44942</v>
      </c>
      <c r="C239" s="195">
        <v>2</v>
      </c>
      <c r="E239" s="238">
        <v>0.94097222222222221</v>
      </c>
      <c r="F239" s="204">
        <v>0.95138888888888884</v>
      </c>
      <c r="G239" s="193">
        <f t="shared" si="7"/>
        <v>0.25</v>
      </c>
      <c r="H239" s="230" t="s">
        <v>55</v>
      </c>
      <c r="I239" s="230" t="s">
        <v>509</v>
      </c>
      <c r="J239" s="231" t="s">
        <v>114</v>
      </c>
    </row>
    <row r="240" spans="2:11" x14ac:dyDescent="0.25">
      <c r="B240" s="235">
        <v>44942</v>
      </c>
      <c r="C240" s="195">
        <v>2</v>
      </c>
      <c r="E240" s="238">
        <v>0.95138888888888884</v>
      </c>
      <c r="F240" s="204">
        <v>0.95833333333333337</v>
      </c>
      <c r="G240" s="193">
        <f t="shared" si="7"/>
        <v>0.16666666666666666</v>
      </c>
      <c r="H240" s="230" t="s">
        <v>150</v>
      </c>
      <c r="I240" s="230" t="s">
        <v>509</v>
      </c>
      <c r="J240" s="282" t="s">
        <v>206</v>
      </c>
      <c r="K240" s="231" t="s">
        <v>206</v>
      </c>
    </row>
    <row r="241" spans="2:11" x14ac:dyDescent="0.25">
      <c r="B241" s="235">
        <v>44942</v>
      </c>
      <c r="C241" s="195">
        <v>3</v>
      </c>
      <c r="E241" s="238">
        <v>0.95833333333333337</v>
      </c>
      <c r="F241" s="204">
        <v>0.96875</v>
      </c>
      <c r="G241" s="193">
        <f t="shared" si="7"/>
        <v>0.25</v>
      </c>
      <c r="H241" s="230" t="s">
        <v>150</v>
      </c>
      <c r="I241" s="230" t="s">
        <v>509</v>
      </c>
      <c r="J241" s="282" t="s">
        <v>206</v>
      </c>
      <c r="K241" s="231" t="s">
        <v>206</v>
      </c>
    </row>
    <row r="242" spans="2:11" x14ac:dyDescent="0.25">
      <c r="B242" s="235">
        <v>44942</v>
      </c>
      <c r="C242" s="233">
        <v>3</v>
      </c>
      <c r="E242" s="238">
        <v>3.8194444444444441E-2</v>
      </c>
      <c r="F242" s="204">
        <v>7.6388888888888895E-2</v>
      </c>
      <c r="G242" s="193">
        <f t="shared" si="7"/>
        <v>0.91666666666666663</v>
      </c>
      <c r="H242" s="230" t="s">
        <v>55</v>
      </c>
      <c r="I242" s="230" t="s">
        <v>509</v>
      </c>
      <c r="J242" s="231" t="s">
        <v>211</v>
      </c>
      <c r="K242" s="176" t="s">
        <v>684</v>
      </c>
    </row>
    <row r="243" spans="2:11" x14ac:dyDescent="0.25">
      <c r="B243" s="235">
        <v>44942</v>
      </c>
      <c r="C243" s="195">
        <v>3</v>
      </c>
      <c r="E243" s="238">
        <v>0.12152777777777778</v>
      </c>
      <c r="F243" s="204">
        <v>0.13194444444444445</v>
      </c>
      <c r="G243" s="193">
        <f t="shared" si="7"/>
        <v>0.25</v>
      </c>
      <c r="H243" s="230" t="s">
        <v>55</v>
      </c>
      <c r="I243" s="230" t="s">
        <v>511</v>
      </c>
      <c r="J243" s="231" t="s">
        <v>203</v>
      </c>
    </row>
    <row r="244" spans="2:11" x14ac:dyDescent="0.25">
      <c r="B244" s="235">
        <v>44942</v>
      </c>
      <c r="C244" s="233">
        <v>3</v>
      </c>
      <c r="E244" s="238">
        <v>0.13194444444444445</v>
      </c>
      <c r="F244" s="204">
        <v>0.1423611111111111</v>
      </c>
      <c r="G244" s="193">
        <f t="shared" si="7"/>
        <v>0.25</v>
      </c>
      <c r="H244" s="230" t="s">
        <v>207</v>
      </c>
      <c r="I244" s="230" t="s">
        <v>513</v>
      </c>
      <c r="J244" s="231" t="s">
        <v>154</v>
      </c>
      <c r="K244" s="176" t="s">
        <v>865</v>
      </c>
    </row>
    <row r="245" spans="2:11" x14ac:dyDescent="0.25">
      <c r="B245" s="235">
        <v>44942</v>
      </c>
      <c r="C245" s="195">
        <v>3</v>
      </c>
      <c r="E245" s="238">
        <v>0.17708333333333334</v>
      </c>
      <c r="F245" s="204">
        <v>0.19444444444444445</v>
      </c>
      <c r="G245" s="193">
        <f t="shared" si="7"/>
        <v>0.41666666666666669</v>
      </c>
      <c r="H245" s="230" t="s">
        <v>195</v>
      </c>
      <c r="I245" s="230" t="s">
        <v>509</v>
      </c>
      <c r="J245" s="231" t="s">
        <v>499</v>
      </c>
      <c r="K245" s="176" t="s">
        <v>882</v>
      </c>
    </row>
    <row r="246" spans="2:11" x14ac:dyDescent="0.25">
      <c r="B246" s="235">
        <v>44942</v>
      </c>
      <c r="C246" s="195">
        <v>3</v>
      </c>
      <c r="E246" s="238">
        <v>0.24652777777777779</v>
      </c>
      <c r="F246" s="204">
        <v>0.2673611111111111</v>
      </c>
      <c r="G246" s="193">
        <f t="shared" si="7"/>
        <v>0.5</v>
      </c>
      <c r="H246" s="230" t="s">
        <v>55</v>
      </c>
      <c r="I246" s="230" t="s">
        <v>509</v>
      </c>
      <c r="J246" s="231" t="s">
        <v>211</v>
      </c>
      <c r="K246" s="176" t="s">
        <v>684</v>
      </c>
    </row>
    <row r="247" spans="2:11" x14ac:dyDescent="0.25">
      <c r="B247" s="235">
        <v>44942</v>
      </c>
      <c r="C247" s="233">
        <v>3</v>
      </c>
      <c r="E247" s="238">
        <v>0.27430555555555552</v>
      </c>
      <c r="F247" s="204">
        <v>0.29166666666666669</v>
      </c>
      <c r="G247" s="193">
        <f t="shared" si="7"/>
        <v>0.41666666666666669</v>
      </c>
      <c r="H247" s="230" t="s">
        <v>55</v>
      </c>
      <c r="I247" s="230" t="s">
        <v>509</v>
      </c>
      <c r="J247" s="231" t="s">
        <v>114</v>
      </c>
    </row>
    <row r="248" spans="2:11" x14ac:dyDescent="0.25">
      <c r="B248" s="235">
        <v>44943</v>
      </c>
      <c r="C248" s="195">
        <v>1</v>
      </c>
      <c r="E248" s="238">
        <v>0.29166666666666669</v>
      </c>
      <c r="F248" s="204">
        <v>0.2951388888888889</v>
      </c>
      <c r="G248" s="193">
        <f t="shared" si="7"/>
        <v>8.3333333333333329E-2</v>
      </c>
      <c r="H248" s="230" t="s">
        <v>55</v>
      </c>
      <c r="I248" s="230" t="s">
        <v>509</v>
      </c>
      <c r="J248" s="231" t="s">
        <v>114</v>
      </c>
    </row>
    <row r="249" spans="2:11" x14ac:dyDescent="0.25">
      <c r="B249" s="235">
        <v>44943</v>
      </c>
      <c r="C249" s="233">
        <v>1</v>
      </c>
      <c r="E249" s="238">
        <v>0.35416666666666669</v>
      </c>
      <c r="F249" s="204">
        <v>0.36319444444444443</v>
      </c>
      <c r="G249" s="193">
        <f t="shared" si="7"/>
        <v>0.21666666666666667</v>
      </c>
      <c r="H249" s="230" t="s">
        <v>158</v>
      </c>
      <c r="I249" s="230" t="s">
        <v>509</v>
      </c>
      <c r="J249" s="231" t="s">
        <v>495</v>
      </c>
    </row>
    <row r="250" spans="2:11" x14ac:dyDescent="0.25">
      <c r="B250" s="235">
        <v>44943</v>
      </c>
      <c r="C250" s="233">
        <v>1</v>
      </c>
      <c r="E250" s="238">
        <v>0.36319444444444443</v>
      </c>
      <c r="F250" s="204">
        <v>0.375</v>
      </c>
      <c r="G250" s="193">
        <f t="shared" si="7"/>
        <v>0.28333333333333333</v>
      </c>
      <c r="H250" s="230" t="s">
        <v>195</v>
      </c>
      <c r="I250" s="230" t="s">
        <v>509</v>
      </c>
      <c r="J250" s="231" t="s">
        <v>110</v>
      </c>
    </row>
    <row r="251" spans="2:11" x14ac:dyDescent="0.25">
      <c r="B251" s="235">
        <v>44943</v>
      </c>
      <c r="C251" s="233">
        <v>1</v>
      </c>
      <c r="E251" s="238">
        <v>0.40138888888888885</v>
      </c>
      <c r="F251" s="204">
        <v>0.41180555555555554</v>
      </c>
      <c r="G251" s="193">
        <f t="shared" si="7"/>
        <v>0.25</v>
      </c>
      <c r="H251" s="230" t="s">
        <v>167</v>
      </c>
      <c r="I251" s="230" t="s">
        <v>510</v>
      </c>
      <c r="J251" s="231" t="s">
        <v>222</v>
      </c>
    </row>
    <row r="252" spans="2:11" x14ac:dyDescent="0.25">
      <c r="B252" s="235">
        <v>44943</v>
      </c>
      <c r="C252" s="233">
        <v>1</v>
      </c>
      <c r="E252" s="238">
        <v>0.48958333333333331</v>
      </c>
      <c r="F252" s="204">
        <v>0.51736111111111105</v>
      </c>
      <c r="G252" s="193">
        <f t="shared" si="7"/>
        <v>0.66666666666666663</v>
      </c>
      <c r="H252" s="230" t="s">
        <v>195</v>
      </c>
      <c r="I252" s="230" t="s">
        <v>511</v>
      </c>
      <c r="J252" s="233" t="s">
        <v>757</v>
      </c>
    </row>
    <row r="253" spans="2:11" x14ac:dyDescent="0.25">
      <c r="B253" s="235">
        <v>44943</v>
      </c>
      <c r="C253" s="233">
        <v>1</v>
      </c>
      <c r="E253" s="238">
        <v>0.55625000000000002</v>
      </c>
      <c r="F253" s="204">
        <v>0.56666666666666665</v>
      </c>
      <c r="G253" s="193">
        <f t="shared" si="7"/>
        <v>0.25</v>
      </c>
      <c r="H253" s="230" t="s">
        <v>158</v>
      </c>
      <c r="I253" s="230" t="s">
        <v>509</v>
      </c>
      <c r="J253" s="231" t="s">
        <v>495</v>
      </c>
      <c r="K253" s="176" t="s">
        <v>642</v>
      </c>
    </row>
    <row r="254" spans="2:11" x14ac:dyDescent="0.25">
      <c r="B254" s="235">
        <v>44943</v>
      </c>
      <c r="C254" s="233">
        <v>1</v>
      </c>
      <c r="E254" s="238">
        <v>0.60416666666666663</v>
      </c>
      <c r="F254" s="204">
        <v>0.61458333333333337</v>
      </c>
      <c r="G254" s="193">
        <f t="shared" si="7"/>
        <v>0.25</v>
      </c>
      <c r="H254" s="230" t="s">
        <v>158</v>
      </c>
      <c r="I254" s="230" t="s">
        <v>509</v>
      </c>
      <c r="J254" s="231" t="s">
        <v>495</v>
      </c>
      <c r="K254" s="176" t="s">
        <v>642</v>
      </c>
    </row>
    <row r="255" spans="2:11" x14ac:dyDescent="0.25">
      <c r="B255" s="235">
        <v>44943</v>
      </c>
      <c r="C255" s="233">
        <v>1</v>
      </c>
      <c r="E255" s="238">
        <v>0.6166666666666667</v>
      </c>
      <c r="F255" s="204">
        <v>0.625</v>
      </c>
      <c r="G255" s="193">
        <f t="shared" si="7"/>
        <v>0.2</v>
      </c>
      <c r="H255" s="230" t="s">
        <v>55</v>
      </c>
      <c r="I255" s="230" t="s">
        <v>509</v>
      </c>
      <c r="J255" s="231" t="s">
        <v>114</v>
      </c>
    </row>
    <row r="256" spans="2:11" x14ac:dyDescent="0.25">
      <c r="B256" s="235">
        <v>44943</v>
      </c>
      <c r="C256" s="195">
        <v>2</v>
      </c>
      <c r="E256" s="238">
        <v>0.65625</v>
      </c>
      <c r="F256" s="204">
        <v>0.68055555555555547</v>
      </c>
      <c r="G256" s="193">
        <f t="shared" si="7"/>
        <v>0.58333333333333337</v>
      </c>
      <c r="H256" s="230" t="s">
        <v>55</v>
      </c>
      <c r="I256" s="230" t="s">
        <v>509</v>
      </c>
      <c r="J256" s="231" t="s">
        <v>211</v>
      </c>
    </row>
    <row r="257" spans="2:11" x14ac:dyDescent="0.25">
      <c r="B257" s="235">
        <v>44943</v>
      </c>
      <c r="C257" s="233">
        <v>2</v>
      </c>
      <c r="E257" s="238">
        <v>0.68055555555555547</v>
      </c>
      <c r="F257" s="204">
        <v>0.69097222222222221</v>
      </c>
      <c r="G257" s="193">
        <f t="shared" si="7"/>
        <v>0.25</v>
      </c>
      <c r="H257" s="230" t="s">
        <v>198</v>
      </c>
      <c r="I257" s="230" t="s">
        <v>511</v>
      </c>
      <c r="J257" s="231" t="s">
        <v>97</v>
      </c>
    </row>
    <row r="258" spans="2:11" x14ac:dyDescent="0.25">
      <c r="B258" s="235">
        <v>44943</v>
      </c>
      <c r="C258" s="233">
        <v>2</v>
      </c>
      <c r="E258" s="238">
        <v>0.69166666666666676</v>
      </c>
      <c r="F258" s="204">
        <v>0.70277777777777783</v>
      </c>
      <c r="G258" s="193">
        <f t="shared" si="7"/>
        <v>0.26666666666666666</v>
      </c>
      <c r="H258" s="230" t="s">
        <v>158</v>
      </c>
      <c r="I258" s="230" t="s">
        <v>509</v>
      </c>
      <c r="J258" s="231" t="s">
        <v>495</v>
      </c>
    </row>
    <row r="259" spans="2:11" x14ac:dyDescent="0.25">
      <c r="B259" s="235">
        <v>44943</v>
      </c>
      <c r="C259" s="233">
        <v>2</v>
      </c>
      <c r="E259" s="238">
        <v>0.75694444444444453</v>
      </c>
      <c r="F259" s="204">
        <v>0.78194444444444444</v>
      </c>
      <c r="G259" s="193">
        <f t="shared" si="7"/>
        <v>0.6</v>
      </c>
      <c r="H259" s="230" t="s">
        <v>195</v>
      </c>
      <c r="I259" s="230" t="s">
        <v>509</v>
      </c>
      <c r="J259" s="231" t="s">
        <v>499</v>
      </c>
    </row>
    <row r="260" spans="2:11" x14ac:dyDescent="0.25">
      <c r="B260" s="235">
        <v>44943</v>
      </c>
      <c r="C260" s="233">
        <v>2</v>
      </c>
      <c r="E260" s="238">
        <v>0.84861111111111109</v>
      </c>
      <c r="F260" s="204">
        <v>0.85902777777777783</v>
      </c>
      <c r="G260" s="193">
        <f t="shared" si="7"/>
        <v>0.25</v>
      </c>
      <c r="H260" s="230" t="s">
        <v>158</v>
      </c>
      <c r="I260" s="230" t="s">
        <v>509</v>
      </c>
      <c r="J260" s="231" t="s">
        <v>495</v>
      </c>
    </row>
    <row r="261" spans="2:11" x14ac:dyDescent="0.25">
      <c r="B261" s="235">
        <v>44943</v>
      </c>
      <c r="C261" s="233">
        <v>2</v>
      </c>
      <c r="E261" s="238">
        <v>0.91388888888888886</v>
      </c>
      <c r="F261" s="204">
        <v>0.9243055555555556</v>
      </c>
      <c r="G261" s="193">
        <f t="shared" si="7"/>
        <v>0.25</v>
      </c>
      <c r="H261" s="230" t="s">
        <v>158</v>
      </c>
      <c r="I261" s="230" t="s">
        <v>509</v>
      </c>
      <c r="J261" s="231" t="s">
        <v>495</v>
      </c>
    </row>
    <row r="262" spans="2:11" x14ac:dyDescent="0.25">
      <c r="B262" s="235">
        <v>44943</v>
      </c>
      <c r="C262" s="233">
        <v>2</v>
      </c>
      <c r="E262" s="238">
        <v>0.94305555555555554</v>
      </c>
      <c r="F262" s="204">
        <v>0.95833333333333337</v>
      </c>
      <c r="G262" s="193">
        <f t="shared" si="7"/>
        <v>0.36666666666666664</v>
      </c>
      <c r="H262" s="230" t="s">
        <v>55</v>
      </c>
      <c r="I262" s="230" t="s">
        <v>509</v>
      </c>
      <c r="J262" s="231" t="s">
        <v>114</v>
      </c>
    </row>
    <row r="263" spans="2:11" s="196" customFormat="1" x14ac:dyDescent="0.25">
      <c r="B263" s="199">
        <v>44943</v>
      </c>
      <c r="C263" s="196">
        <v>3</v>
      </c>
      <c r="E263" s="277">
        <v>0.95833333333333337</v>
      </c>
      <c r="F263" s="283">
        <v>0.96527777777777779</v>
      </c>
      <c r="G263" s="193">
        <f t="shared" si="7"/>
        <v>0.16666666666666666</v>
      </c>
      <c r="H263" s="231" t="s">
        <v>55</v>
      </c>
      <c r="I263" s="230" t="s">
        <v>509</v>
      </c>
      <c r="J263" s="231" t="s">
        <v>114</v>
      </c>
      <c r="K263" s="192"/>
    </row>
    <row r="264" spans="2:11" s="196" customFormat="1" x14ac:dyDescent="0.25">
      <c r="B264" s="199">
        <v>44943</v>
      </c>
      <c r="C264" s="196">
        <v>3</v>
      </c>
      <c r="E264" s="277">
        <v>0.98611111111111116</v>
      </c>
      <c r="F264" s="283">
        <v>1.3888888888888888E-2</v>
      </c>
      <c r="G264" s="193">
        <f t="shared" si="7"/>
        <v>0.66666666674427688</v>
      </c>
      <c r="H264" s="231" t="s">
        <v>158</v>
      </c>
      <c r="I264" s="230" t="s">
        <v>509</v>
      </c>
      <c r="J264" s="231" t="s">
        <v>495</v>
      </c>
      <c r="K264" s="192" t="s">
        <v>642</v>
      </c>
    </row>
    <row r="265" spans="2:11" s="196" customFormat="1" x14ac:dyDescent="0.25">
      <c r="B265" s="199">
        <v>44943</v>
      </c>
      <c r="C265" s="196">
        <v>3</v>
      </c>
      <c r="E265" s="277">
        <v>7.9861111111111105E-2</v>
      </c>
      <c r="F265" s="283">
        <v>9.0277777777777776E-2</v>
      </c>
      <c r="G265" s="193">
        <f t="shared" si="7"/>
        <v>0.25</v>
      </c>
      <c r="H265" s="231" t="s">
        <v>55</v>
      </c>
      <c r="I265" s="231" t="s">
        <v>511</v>
      </c>
      <c r="J265" s="231" t="s">
        <v>203</v>
      </c>
      <c r="K265" s="192"/>
    </row>
    <row r="266" spans="2:11" s="196" customFormat="1" x14ac:dyDescent="0.25">
      <c r="B266" s="199">
        <v>44943</v>
      </c>
      <c r="C266" s="196">
        <v>3</v>
      </c>
      <c r="E266" s="277">
        <v>0.10416666666666667</v>
      </c>
      <c r="F266" s="283">
        <v>0.11458333333333333</v>
      </c>
      <c r="G266" s="193">
        <f t="shared" si="7"/>
        <v>0.25</v>
      </c>
      <c r="H266" s="231" t="s">
        <v>55</v>
      </c>
      <c r="I266" s="231" t="s">
        <v>511</v>
      </c>
      <c r="J266" s="231" t="s">
        <v>203</v>
      </c>
      <c r="K266" s="192"/>
    </row>
    <row r="267" spans="2:11" s="196" customFormat="1" x14ac:dyDescent="0.25">
      <c r="B267" s="199">
        <v>44943</v>
      </c>
      <c r="C267" s="196">
        <v>3</v>
      </c>
      <c r="E267" s="277">
        <v>0.18055555555555555</v>
      </c>
      <c r="F267" s="283">
        <v>0.19791666666666666</v>
      </c>
      <c r="G267" s="193">
        <f t="shared" ref="G267:G293" si="8">IFERROR(IF(E267&gt;F267,((F267+B270+1)-(E267+B270))*24,HOUR(F267-E267)+MINUTE(F267-E267)/60),"")</f>
        <v>0.41666666666666669</v>
      </c>
      <c r="H267" s="231" t="s">
        <v>55</v>
      </c>
      <c r="I267" s="230" t="s">
        <v>509</v>
      </c>
      <c r="J267" s="231" t="s">
        <v>211</v>
      </c>
      <c r="K267" s="192" t="s">
        <v>684</v>
      </c>
    </row>
    <row r="268" spans="2:11" s="196" customFormat="1" x14ac:dyDescent="0.25">
      <c r="B268" s="199">
        <v>44943</v>
      </c>
      <c r="C268" s="196">
        <v>3</v>
      </c>
      <c r="E268" s="277">
        <v>0.22569444444444445</v>
      </c>
      <c r="F268" s="283">
        <v>0.23611111111111113</v>
      </c>
      <c r="G268" s="193">
        <f t="shared" si="8"/>
        <v>0.25</v>
      </c>
      <c r="H268" s="231" t="s">
        <v>55</v>
      </c>
      <c r="I268" s="231" t="s">
        <v>511</v>
      </c>
      <c r="J268" s="231" t="s">
        <v>203</v>
      </c>
      <c r="K268" s="192"/>
    </row>
    <row r="269" spans="2:11" s="196" customFormat="1" x14ac:dyDescent="0.25">
      <c r="B269" s="199">
        <v>44943</v>
      </c>
      <c r="C269" s="196">
        <v>3</v>
      </c>
      <c r="E269" s="277">
        <v>0.27430555555555552</v>
      </c>
      <c r="F269" s="283">
        <v>0.28472222222222221</v>
      </c>
      <c r="G269" s="193">
        <f t="shared" si="8"/>
        <v>0.25</v>
      </c>
      <c r="H269" s="231" t="s">
        <v>55</v>
      </c>
      <c r="I269" s="231" t="s">
        <v>511</v>
      </c>
      <c r="J269" s="231" t="s">
        <v>203</v>
      </c>
      <c r="K269" s="192"/>
    </row>
    <row r="270" spans="2:11" s="196" customFormat="1" x14ac:dyDescent="0.25">
      <c r="B270" s="199">
        <v>44943</v>
      </c>
      <c r="C270" s="196">
        <v>3</v>
      </c>
      <c r="E270" s="277">
        <v>0.28472222222222221</v>
      </c>
      <c r="F270" s="283">
        <v>0.29166666666666669</v>
      </c>
      <c r="G270" s="193">
        <f t="shared" si="8"/>
        <v>0.16666666666666666</v>
      </c>
      <c r="H270" s="231" t="s">
        <v>55</v>
      </c>
      <c r="I270" s="230" t="s">
        <v>509</v>
      </c>
      <c r="J270" s="231" t="s">
        <v>114</v>
      </c>
      <c r="K270" s="192"/>
    </row>
    <row r="271" spans="2:11" s="196" customFormat="1" x14ac:dyDescent="0.25">
      <c r="B271" s="199">
        <v>44944</v>
      </c>
      <c r="C271" s="196">
        <v>1</v>
      </c>
      <c r="E271" s="277">
        <v>0.29166666666666669</v>
      </c>
      <c r="F271" s="283">
        <v>0.30208333333333331</v>
      </c>
      <c r="G271" s="193">
        <f t="shared" si="8"/>
        <v>0.25</v>
      </c>
      <c r="H271" s="231" t="s">
        <v>55</v>
      </c>
      <c r="I271" s="230" t="s">
        <v>509</v>
      </c>
      <c r="J271" s="231" t="s">
        <v>114</v>
      </c>
      <c r="K271" s="192"/>
    </row>
    <row r="272" spans="2:11" s="196" customFormat="1" x14ac:dyDescent="0.25">
      <c r="B272" s="199">
        <v>44944</v>
      </c>
      <c r="C272" s="196">
        <v>1</v>
      </c>
      <c r="E272" s="277">
        <v>0.34930555555555554</v>
      </c>
      <c r="F272" s="284">
        <v>0.36458333333333331</v>
      </c>
      <c r="G272" s="193">
        <f t="shared" si="8"/>
        <v>0.36666666666666664</v>
      </c>
      <c r="H272" s="231" t="s">
        <v>55</v>
      </c>
      <c r="I272" s="230" t="s">
        <v>509</v>
      </c>
      <c r="J272" s="196" t="s">
        <v>775</v>
      </c>
      <c r="K272" s="192"/>
    </row>
    <row r="273" spans="2:11" s="196" customFormat="1" x14ac:dyDescent="0.25">
      <c r="B273" s="199">
        <v>44944</v>
      </c>
      <c r="C273" s="196">
        <v>1</v>
      </c>
      <c r="E273" s="277">
        <v>0.53749999999999998</v>
      </c>
      <c r="F273" s="283">
        <v>0.54861111111111105</v>
      </c>
      <c r="G273" s="193">
        <f t="shared" si="8"/>
        <v>0.26666666666666666</v>
      </c>
      <c r="H273" s="231" t="s">
        <v>55</v>
      </c>
      <c r="I273" s="230" t="s">
        <v>509</v>
      </c>
      <c r="J273" s="231" t="s">
        <v>211</v>
      </c>
      <c r="K273" s="192"/>
    </row>
    <row r="274" spans="2:11" s="196" customFormat="1" x14ac:dyDescent="0.25">
      <c r="B274" s="199">
        <v>44944</v>
      </c>
      <c r="C274" s="196">
        <v>1</v>
      </c>
      <c r="E274" s="277">
        <v>0.55902777777777779</v>
      </c>
      <c r="F274" s="283">
        <v>0.57013888888888886</v>
      </c>
      <c r="G274" s="193">
        <f t="shared" si="8"/>
        <v>0.26666666666666666</v>
      </c>
      <c r="H274" s="231" t="s">
        <v>195</v>
      </c>
      <c r="I274" s="230" t="s">
        <v>509</v>
      </c>
      <c r="J274" s="231" t="s">
        <v>110</v>
      </c>
      <c r="K274" s="192"/>
    </row>
    <row r="275" spans="2:11" s="196" customFormat="1" x14ac:dyDescent="0.25">
      <c r="B275" s="199">
        <v>44944</v>
      </c>
      <c r="C275" s="196">
        <v>2</v>
      </c>
      <c r="E275" s="277">
        <v>0.62708333333333333</v>
      </c>
      <c r="F275" s="284">
        <v>0.63888888888888895</v>
      </c>
      <c r="G275" s="193">
        <f t="shared" si="8"/>
        <v>0.28333333333333333</v>
      </c>
      <c r="H275" s="231" t="s">
        <v>195</v>
      </c>
      <c r="I275" s="231" t="s">
        <v>511</v>
      </c>
      <c r="J275" s="233" t="s">
        <v>757</v>
      </c>
      <c r="K275" s="192" t="s">
        <v>872</v>
      </c>
    </row>
    <row r="276" spans="2:11" s="196" customFormat="1" x14ac:dyDescent="0.25">
      <c r="B276" s="199">
        <v>44944</v>
      </c>
      <c r="C276" s="196">
        <v>2</v>
      </c>
      <c r="E276" s="277">
        <v>0.68055555555555547</v>
      </c>
      <c r="F276" s="283">
        <v>0.69236111111111109</v>
      </c>
      <c r="G276" s="193">
        <f t="shared" si="8"/>
        <v>0.28333333333333333</v>
      </c>
      <c r="H276" s="231" t="s">
        <v>201</v>
      </c>
      <c r="I276" s="230" t="s">
        <v>509</v>
      </c>
      <c r="J276" s="231" t="s">
        <v>611</v>
      </c>
      <c r="K276" s="192"/>
    </row>
    <row r="277" spans="2:11" s="196" customFormat="1" x14ac:dyDescent="0.25">
      <c r="B277" s="199">
        <v>44944</v>
      </c>
      <c r="C277" s="196">
        <v>2</v>
      </c>
      <c r="E277" s="277">
        <v>0.69444444444444453</v>
      </c>
      <c r="F277" s="283">
        <v>0.69791666666666663</v>
      </c>
      <c r="G277" s="193">
        <f t="shared" si="8"/>
        <v>8.3333333333333329E-2</v>
      </c>
      <c r="H277" s="231" t="s">
        <v>158</v>
      </c>
      <c r="I277" s="230" t="s">
        <v>509</v>
      </c>
      <c r="J277" s="231" t="s">
        <v>495</v>
      </c>
      <c r="K277" s="192"/>
    </row>
    <row r="278" spans="2:11" s="196" customFormat="1" x14ac:dyDescent="0.25">
      <c r="B278" s="199">
        <v>44944</v>
      </c>
      <c r="C278" s="196">
        <v>2</v>
      </c>
      <c r="E278" s="277">
        <v>0.71736111111111101</v>
      </c>
      <c r="F278" s="283">
        <v>0.72916666666666663</v>
      </c>
      <c r="G278" s="193">
        <f t="shared" si="8"/>
        <v>0.28333333333333333</v>
      </c>
      <c r="H278" s="231" t="s">
        <v>195</v>
      </c>
      <c r="I278" s="230" t="s">
        <v>509</v>
      </c>
      <c r="J278" s="231" t="s">
        <v>110</v>
      </c>
      <c r="K278" s="192"/>
    </row>
    <row r="279" spans="2:11" s="196" customFormat="1" x14ac:dyDescent="0.25">
      <c r="B279" s="199">
        <v>44944</v>
      </c>
      <c r="C279" s="196">
        <v>2</v>
      </c>
      <c r="E279" s="277">
        <v>0.9458333333333333</v>
      </c>
      <c r="F279" s="283">
        <v>0.95833333333333337</v>
      </c>
      <c r="G279" s="193">
        <f t="shared" si="8"/>
        <v>0.3</v>
      </c>
      <c r="H279" s="231" t="s">
        <v>55</v>
      </c>
      <c r="I279" s="230" t="s">
        <v>509</v>
      </c>
      <c r="J279" s="231" t="s">
        <v>114</v>
      </c>
      <c r="K279" s="192"/>
    </row>
    <row r="280" spans="2:11" x14ac:dyDescent="0.25">
      <c r="B280" s="235">
        <v>44944</v>
      </c>
      <c r="C280" s="195">
        <v>3</v>
      </c>
      <c r="E280" s="238">
        <v>0.95833333333333337</v>
      </c>
      <c r="F280" s="204">
        <v>0.97222222222222221</v>
      </c>
      <c r="G280" s="193">
        <f t="shared" si="8"/>
        <v>0.33333333333333331</v>
      </c>
      <c r="H280" s="230" t="s">
        <v>158</v>
      </c>
      <c r="I280" s="230" t="s">
        <v>509</v>
      </c>
      <c r="J280" s="231" t="s">
        <v>206</v>
      </c>
    </row>
    <row r="281" spans="2:11" x14ac:dyDescent="0.25">
      <c r="B281" s="235">
        <v>44944</v>
      </c>
      <c r="C281" s="195">
        <v>3</v>
      </c>
      <c r="E281" s="238">
        <v>0.99305555555555547</v>
      </c>
      <c r="F281" s="204">
        <v>1.3888888888888888E-2</v>
      </c>
      <c r="G281" s="193">
        <f t="shared" si="8"/>
        <v>0.50000000005820766</v>
      </c>
      <c r="H281" s="230" t="s">
        <v>55</v>
      </c>
      <c r="I281" s="230" t="s">
        <v>509</v>
      </c>
      <c r="J281" s="231" t="s">
        <v>211</v>
      </c>
      <c r="K281" s="176" t="s">
        <v>684</v>
      </c>
    </row>
    <row r="282" spans="2:11" x14ac:dyDescent="0.25">
      <c r="B282" s="235">
        <v>44944</v>
      </c>
      <c r="C282" s="195">
        <v>3</v>
      </c>
      <c r="E282" s="238">
        <v>0.19444444444444445</v>
      </c>
      <c r="F282" s="204">
        <v>0.20486111111111113</v>
      </c>
      <c r="G282" s="193">
        <f t="shared" si="8"/>
        <v>0.25</v>
      </c>
      <c r="H282" s="230" t="s">
        <v>55</v>
      </c>
      <c r="I282" s="230" t="s">
        <v>511</v>
      </c>
      <c r="J282" s="231" t="s">
        <v>203</v>
      </c>
    </row>
    <row r="283" spans="2:11" x14ac:dyDescent="0.25">
      <c r="B283" s="235">
        <v>44944</v>
      </c>
      <c r="C283" s="233">
        <v>3</v>
      </c>
      <c r="E283" s="238">
        <v>0.27152777777777776</v>
      </c>
      <c r="F283" s="204">
        <v>0.29166666666666669</v>
      </c>
      <c r="G283" s="193">
        <f t="shared" si="8"/>
        <v>0.48333333333333334</v>
      </c>
      <c r="H283" s="230" t="s">
        <v>55</v>
      </c>
      <c r="I283" s="230" t="s">
        <v>509</v>
      </c>
      <c r="J283" s="231" t="s">
        <v>114</v>
      </c>
    </row>
    <row r="284" spans="2:11" x14ac:dyDescent="0.25">
      <c r="B284" s="235">
        <v>44945</v>
      </c>
      <c r="C284" s="195">
        <v>1</v>
      </c>
      <c r="E284" s="238">
        <v>0.32291666666666669</v>
      </c>
      <c r="F284" s="204">
        <v>0.33333333333333331</v>
      </c>
      <c r="G284" s="193">
        <f t="shared" si="8"/>
        <v>0.25</v>
      </c>
      <c r="H284" s="230" t="s">
        <v>55</v>
      </c>
      <c r="I284" s="230" t="s">
        <v>513</v>
      </c>
      <c r="J284" s="231" t="s">
        <v>573</v>
      </c>
    </row>
    <row r="285" spans="2:11" x14ac:dyDescent="0.25">
      <c r="B285" s="235">
        <v>44945</v>
      </c>
      <c r="C285" s="233">
        <v>1</v>
      </c>
      <c r="E285" s="238">
        <v>0.33333333333333331</v>
      </c>
      <c r="F285" s="204">
        <v>0.33819444444444446</v>
      </c>
      <c r="G285" s="193">
        <f t="shared" si="8"/>
        <v>0.11666666666666667</v>
      </c>
      <c r="H285" s="230" t="s">
        <v>150</v>
      </c>
      <c r="I285" s="230" t="s">
        <v>509</v>
      </c>
      <c r="J285" s="231" t="s">
        <v>206</v>
      </c>
    </row>
    <row r="286" spans="2:11" x14ac:dyDescent="0.25">
      <c r="B286" s="235">
        <v>44945</v>
      </c>
      <c r="C286" s="233">
        <v>1</v>
      </c>
      <c r="E286" s="238">
        <v>0.37708333333333338</v>
      </c>
      <c r="F286" s="204">
        <v>0.38055555555555554</v>
      </c>
      <c r="G286" s="193">
        <f t="shared" si="8"/>
        <v>8.3333333333333329E-2</v>
      </c>
      <c r="H286" s="231" t="s">
        <v>55</v>
      </c>
      <c r="I286" s="230" t="s">
        <v>509</v>
      </c>
      <c r="J286" s="231" t="s">
        <v>203</v>
      </c>
    </row>
    <row r="287" spans="2:11" x14ac:dyDescent="0.25">
      <c r="B287" s="235">
        <v>44945</v>
      </c>
      <c r="C287" s="233">
        <v>1</v>
      </c>
      <c r="E287" s="238">
        <v>0.38055555555555554</v>
      </c>
      <c r="F287" s="204">
        <v>0.38819444444444445</v>
      </c>
      <c r="G287" s="193">
        <f t="shared" si="8"/>
        <v>0.18333333333333332</v>
      </c>
      <c r="H287" s="230" t="s">
        <v>55</v>
      </c>
      <c r="I287" s="230" t="s">
        <v>511</v>
      </c>
      <c r="J287" s="231" t="s">
        <v>758</v>
      </c>
    </row>
    <row r="288" spans="2:11" x14ac:dyDescent="0.25">
      <c r="B288" s="235">
        <v>44945</v>
      </c>
      <c r="C288" s="233">
        <v>1</v>
      </c>
      <c r="E288" s="238">
        <v>0.45347222222222222</v>
      </c>
      <c r="F288" s="204">
        <v>0.47361111111111115</v>
      </c>
      <c r="G288" s="193">
        <f t="shared" si="8"/>
        <v>0.48333333333333334</v>
      </c>
      <c r="H288" s="231" t="s">
        <v>195</v>
      </c>
      <c r="I288" s="231" t="s">
        <v>511</v>
      </c>
      <c r="J288" s="233" t="s">
        <v>757</v>
      </c>
    </row>
    <row r="289" spans="2:11" x14ac:dyDescent="0.25">
      <c r="B289" s="235">
        <v>44945</v>
      </c>
      <c r="C289" s="233">
        <v>1</v>
      </c>
      <c r="E289" s="238">
        <v>0.48333333333333334</v>
      </c>
      <c r="F289" s="204">
        <v>0.5131944444444444</v>
      </c>
      <c r="G289" s="193">
        <f t="shared" si="8"/>
        <v>0.71666666666666667</v>
      </c>
      <c r="H289" s="230" t="s">
        <v>55</v>
      </c>
      <c r="I289" s="230" t="s">
        <v>509</v>
      </c>
      <c r="J289" s="231" t="s">
        <v>211</v>
      </c>
    </row>
    <row r="290" spans="2:11" x14ac:dyDescent="0.25">
      <c r="B290" s="235">
        <v>44945</v>
      </c>
      <c r="C290" s="233">
        <v>1</v>
      </c>
      <c r="E290" s="238">
        <v>0.55555555555555558</v>
      </c>
      <c r="F290" s="204">
        <v>0.55902777777777779</v>
      </c>
      <c r="G290" s="193">
        <f t="shared" si="8"/>
        <v>8.3333333333333329E-2</v>
      </c>
      <c r="H290" s="231" t="s">
        <v>55</v>
      </c>
      <c r="I290" s="230" t="s">
        <v>509</v>
      </c>
      <c r="J290" s="231" t="s">
        <v>203</v>
      </c>
    </row>
    <row r="291" spans="2:11" x14ac:dyDescent="0.25">
      <c r="B291" s="235">
        <v>44945</v>
      </c>
      <c r="C291" s="233">
        <v>1</v>
      </c>
      <c r="E291" s="238">
        <v>0.55902777777777779</v>
      </c>
      <c r="F291" s="204">
        <v>0.56736111111111109</v>
      </c>
      <c r="G291" s="193">
        <f t="shared" si="8"/>
        <v>0.2</v>
      </c>
      <c r="H291" s="230" t="s">
        <v>55</v>
      </c>
      <c r="I291" s="230" t="s">
        <v>511</v>
      </c>
      <c r="J291" s="231" t="s">
        <v>758</v>
      </c>
    </row>
    <row r="292" spans="2:11" x14ac:dyDescent="0.25">
      <c r="B292" s="235">
        <v>44945</v>
      </c>
      <c r="C292" s="233">
        <v>1</v>
      </c>
      <c r="E292" s="238">
        <v>0.6</v>
      </c>
      <c r="F292" s="204">
        <v>0.625</v>
      </c>
      <c r="G292" s="193">
        <f t="shared" si="8"/>
        <v>0.6</v>
      </c>
      <c r="H292" s="230" t="s">
        <v>55</v>
      </c>
      <c r="I292" s="230" t="s">
        <v>509</v>
      </c>
      <c r="J292" s="231" t="s">
        <v>211</v>
      </c>
      <c r="K292" s="176" t="s">
        <v>780</v>
      </c>
    </row>
    <row r="293" spans="2:11" x14ac:dyDescent="0.25">
      <c r="B293" s="235">
        <v>44945</v>
      </c>
      <c r="C293" s="195">
        <v>2</v>
      </c>
      <c r="D293" s="195">
        <v>2</v>
      </c>
      <c r="E293" s="238">
        <v>0.625</v>
      </c>
      <c r="F293" s="204">
        <v>0.65972222222222221</v>
      </c>
      <c r="G293" s="193">
        <f t="shared" si="8"/>
        <v>0.83333333333333337</v>
      </c>
      <c r="H293" s="230" t="s">
        <v>55</v>
      </c>
      <c r="I293" s="230" t="s">
        <v>509</v>
      </c>
      <c r="J293" s="231" t="s">
        <v>211</v>
      </c>
      <c r="K293" s="176" t="s">
        <v>780</v>
      </c>
    </row>
    <row r="294" spans="2:11" x14ac:dyDescent="0.25">
      <c r="B294" s="235">
        <v>44945</v>
      </c>
      <c r="C294" s="195">
        <v>2</v>
      </c>
      <c r="E294" s="238">
        <v>0.71527777777777779</v>
      </c>
      <c r="F294" s="204">
        <v>0.72569444444444453</v>
      </c>
      <c r="G294" s="193">
        <f>IFERROR(IF(E294&gt;F294,((F294+B298+1)-(E294+B298))*24,HOUR(F294-E294)+MINUTE(F294-E294)/60),"")</f>
        <v>0.25</v>
      </c>
      <c r="H294" s="230" t="s">
        <v>207</v>
      </c>
      <c r="I294" s="230" t="s">
        <v>513</v>
      </c>
      <c r="J294" s="231" t="s">
        <v>154</v>
      </c>
    </row>
    <row r="295" spans="2:11" x14ac:dyDescent="0.25">
      <c r="B295" s="235">
        <v>44945</v>
      </c>
      <c r="C295" s="195">
        <v>2</v>
      </c>
      <c r="E295" s="238">
        <v>0.72569444444444453</v>
      </c>
      <c r="F295" s="204">
        <v>0.74513888888888891</v>
      </c>
      <c r="G295" s="193">
        <f>IFERROR(IF(E295&gt;F295,((F295+B299+1)-(E295+B299))*24,HOUR(F295-E295)+MINUTE(F295-E295)/60),"")</f>
        <v>0.46666666666666667</v>
      </c>
      <c r="H295" s="230" t="s">
        <v>201</v>
      </c>
      <c r="I295" s="230" t="s">
        <v>511</v>
      </c>
      <c r="J295" s="231" t="s">
        <v>97</v>
      </c>
      <c r="K295" s="176" t="s">
        <v>883</v>
      </c>
    </row>
    <row r="296" spans="2:11" x14ac:dyDescent="0.25">
      <c r="B296" s="235">
        <v>44945</v>
      </c>
      <c r="C296" s="195">
        <v>2</v>
      </c>
      <c r="E296" s="238">
        <v>0.8520833333333333</v>
      </c>
      <c r="F296" s="204">
        <v>0.86319444444444438</v>
      </c>
      <c r="G296" s="193">
        <f>IFERROR(IF(E296&gt;F296,((F296+B300+1)-(E296+B300))*24,HOUR(F296-E296)+MINUTE(F296-E296)/60),"")</f>
        <v>0.26666666666666666</v>
      </c>
      <c r="H296" s="231" t="s">
        <v>55</v>
      </c>
      <c r="I296" s="230" t="s">
        <v>509</v>
      </c>
      <c r="J296" s="231" t="s">
        <v>203</v>
      </c>
    </row>
    <row r="297" spans="2:11" s="233" customFormat="1" x14ac:dyDescent="0.25">
      <c r="B297" s="235">
        <v>44945</v>
      </c>
      <c r="C297" s="233">
        <v>2</v>
      </c>
      <c r="E297" s="238">
        <v>0.94444444444444453</v>
      </c>
      <c r="F297" s="204">
        <v>0.95833333333333337</v>
      </c>
      <c r="G297" s="193">
        <f>IFERROR(IF(E297&gt;F297,((F297+B301+1)-(E297+B301))*24,HOUR(F297-E297)+MINUTE(F297-E297)/60),"")</f>
        <v>0.33333333333333331</v>
      </c>
      <c r="H297" s="230" t="s">
        <v>55</v>
      </c>
      <c r="I297" s="230" t="s">
        <v>509</v>
      </c>
      <c r="J297" s="231" t="s">
        <v>211</v>
      </c>
      <c r="K297" s="176"/>
    </row>
    <row r="298" spans="2:11" x14ac:dyDescent="0.25">
      <c r="B298" s="235">
        <v>44945</v>
      </c>
      <c r="C298" s="195">
        <v>3</v>
      </c>
      <c r="E298" s="238">
        <v>0.95833333333333337</v>
      </c>
      <c r="F298" s="204">
        <v>0.97222222222222221</v>
      </c>
      <c r="G298" s="193">
        <f t="shared" ref="G298:G329" si="9">IFERROR(IF(E298&gt;F298,((F298+B301+1)-(E298+B301))*24,HOUR(F298-E298)+MINUTE(F298-E298)/60),"")</f>
        <v>0.33333333333333331</v>
      </c>
      <c r="H298" s="230" t="s">
        <v>55</v>
      </c>
      <c r="I298" s="230" t="s">
        <v>509</v>
      </c>
      <c r="J298" s="231" t="s">
        <v>211</v>
      </c>
    </row>
    <row r="299" spans="2:11" x14ac:dyDescent="0.25">
      <c r="B299" s="235">
        <v>44945</v>
      </c>
      <c r="C299" s="195">
        <v>3</v>
      </c>
      <c r="E299" s="238">
        <v>4.5138888888888888E-2</v>
      </c>
      <c r="F299" s="204">
        <v>5.5555555555555552E-2</v>
      </c>
      <c r="G299" s="193">
        <f t="shared" si="9"/>
        <v>0.25</v>
      </c>
      <c r="H299" s="231" t="s">
        <v>55</v>
      </c>
      <c r="I299" s="231" t="s">
        <v>511</v>
      </c>
      <c r="J299" s="231" t="s">
        <v>203</v>
      </c>
    </row>
    <row r="300" spans="2:11" x14ac:dyDescent="0.25">
      <c r="B300" s="235">
        <v>44945</v>
      </c>
      <c r="C300" s="195">
        <v>3</v>
      </c>
      <c r="E300" s="238">
        <v>9.7222222222222224E-2</v>
      </c>
      <c r="F300" s="204">
        <v>0.1076388888888889</v>
      </c>
      <c r="G300" s="193">
        <f t="shared" si="9"/>
        <v>0.25</v>
      </c>
      <c r="H300" s="231" t="s">
        <v>55</v>
      </c>
      <c r="I300" s="231" t="s">
        <v>511</v>
      </c>
      <c r="J300" s="231" t="s">
        <v>203</v>
      </c>
    </row>
    <row r="301" spans="2:11" x14ac:dyDescent="0.25">
      <c r="B301" s="235">
        <v>44945</v>
      </c>
      <c r="C301" s="195">
        <v>3</v>
      </c>
      <c r="E301" s="238">
        <v>0.15277777777777776</v>
      </c>
      <c r="F301" s="204">
        <v>0.16319444444444445</v>
      </c>
      <c r="G301" s="193">
        <f t="shared" si="9"/>
        <v>0.25</v>
      </c>
      <c r="H301" s="231" t="s">
        <v>55</v>
      </c>
      <c r="I301" s="231" t="s">
        <v>511</v>
      </c>
      <c r="J301" s="231" t="s">
        <v>203</v>
      </c>
    </row>
    <row r="302" spans="2:11" x14ac:dyDescent="0.25">
      <c r="B302" s="235">
        <v>44945</v>
      </c>
      <c r="C302" s="195">
        <v>3</v>
      </c>
      <c r="E302" s="238">
        <v>0.17361111111111113</v>
      </c>
      <c r="F302" s="204">
        <v>0.18402777777777779</v>
      </c>
      <c r="G302" s="193">
        <f t="shared" si="9"/>
        <v>0.25</v>
      </c>
      <c r="H302" s="231" t="s">
        <v>55</v>
      </c>
      <c r="I302" s="231" t="s">
        <v>511</v>
      </c>
      <c r="J302" s="231" t="s">
        <v>203</v>
      </c>
    </row>
    <row r="303" spans="2:11" x14ac:dyDescent="0.25">
      <c r="B303" s="235">
        <v>44945</v>
      </c>
      <c r="C303" s="233">
        <v>3</v>
      </c>
      <c r="E303" s="238">
        <v>0.27083333333333331</v>
      </c>
      <c r="F303" s="204">
        <v>0.29166666666666669</v>
      </c>
      <c r="G303" s="193">
        <f t="shared" si="9"/>
        <v>0.5</v>
      </c>
      <c r="H303" s="230" t="s">
        <v>55</v>
      </c>
      <c r="I303" s="230" t="s">
        <v>509</v>
      </c>
      <c r="J303" s="231" t="s">
        <v>114</v>
      </c>
    </row>
    <row r="304" spans="2:11" x14ac:dyDescent="0.25">
      <c r="B304" s="235">
        <v>44946</v>
      </c>
      <c r="C304" s="195">
        <v>1</v>
      </c>
      <c r="E304" s="238">
        <v>0.29166666666666669</v>
      </c>
      <c r="F304" s="204">
        <v>0.2986111111111111</v>
      </c>
      <c r="G304" s="193">
        <f t="shared" si="9"/>
        <v>0.16666666666666666</v>
      </c>
      <c r="H304" s="230" t="s">
        <v>55</v>
      </c>
      <c r="I304" s="230" t="s">
        <v>509</v>
      </c>
      <c r="J304" s="231" t="s">
        <v>114</v>
      </c>
    </row>
    <row r="305" spans="2:11" x14ac:dyDescent="0.25">
      <c r="B305" s="235">
        <v>44946</v>
      </c>
      <c r="C305" s="233">
        <v>1</v>
      </c>
      <c r="E305" s="238">
        <v>0.30902777777777779</v>
      </c>
      <c r="F305" s="204">
        <v>0.3215277777777778</v>
      </c>
      <c r="G305" s="193">
        <f t="shared" si="9"/>
        <v>0.3</v>
      </c>
      <c r="H305" s="230" t="s">
        <v>195</v>
      </c>
      <c r="I305" s="230" t="s">
        <v>509</v>
      </c>
      <c r="J305" s="231" t="s">
        <v>110</v>
      </c>
      <c r="K305" s="176" t="s">
        <v>784</v>
      </c>
    </row>
    <row r="306" spans="2:11" x14ac:dyDescent="0.25">
      <c r="B306" s="235">
        <v>44946</v>
      </c>
      <c r="C306" s="233">
        <v>1</v>
      </c>
      <c r="E306" s="238">
        <v>0.34513888888888888</v>
      </c>
      <c r="F306" s="204">
        <v>0.36388888888888887</v>
      </c>
      <c r="G306" s="193">
        <f t="shared" si="9"/>
        <v>0.45</v>
      </c>
      <c r="H306" s="230" t="s">
        <v>195</v>
      </c>
      <c r="I306" s="230" t="s">
        <v>509</v>
      </c>
      <c r="J306" s="231" t="s">
        <v>110</v>
      </c>
      <c r="K306" s="176" t="s">
        <v>784</v>
      </c>
    </row>
    <row r="307" spans="2:11" x14ac:dyDescent="0.25">
      <c r="B307" s="235">
        <v>44946</v>
      </c>
      <c r="C307" s="233">
        <v>1</v>
      </c>
      <c r="E307" s="238">
        <v>0.37708333333333338</v>
      </c>
      <c r="F307" s="204">
        <v>0.39930555555555558</v>
      </c>
      <c r="G307" s="193">
        <f t="shared" si="9"/>
        <v>0.53333333333333333</v>
      </c>
      <c r="H307" s="230" t="s">
        <v>55</v>
      </c>
      <c r="I307" s="230" t="s">
        <v>509</v>
      </c>
      <c r="J307" s="231" t="s">
        <v>211</v>
      </c>
    </row>
    <row r="308" spans="2:11" x14ac:dyDescent="0.25">
      <c r="B308" s="235">
        <v>44946</v>
      </c>
      <c r="C308" s="233">
        <v>1</v>
      </c>
      <c r="E308" s="238">
        <v>0.39930555555555558</v>
      </c>
      <c r="F308" s="204">
        <v>0.42430555555555555</v>
      </c>
      <c r="G308" s="193">
        <f t="shared" si="9"/>
        <v>0.6</v>
      </c>
      <c r="H308" s="230" t="s">
        <v>55</v>
      </c>
      <c r="I308" s="230" t="s">
        <v>510</v>
      </c>
      <c r="J308" s="231" t="s">
        <v>517</v>
      </c>
      <c r="K308" s="176" t="s">
        <v>884</v>
      </c>
    </row>
    <row r="309" spans="2:11" x14ac:dyDescent="0.25">
      <c r="B309" s="235">
        <v>44946</v>
      </c>
      <c r="C309" s="233">
        <v>1</v>
      </c>
      <c r="E309" s="238">
        <v>0.47916666666666669</v>
      </c>
      <c r="F309" s="204">
        <v>0.49722222222222223</v>
      </c>
      <c r="G309" s="193">
        <f t="shared" si="9"/>
        <v>0.43333333333333335</v>
      </c>
      <c r="H309" s="230" t="s">
        <v>55</v>
      </c>
      <c r="I309" s="230" t="s">
        <v>509</v>
      </c>
      <c r="J309" s="231" t="s">
        <v>211</v>
      </c>
    </row>
    <row r="310" spans="2:11" x14ac:dyDescent="0.25">
      <c r="B310" s="235">
        <v>44946</v>
      </c>
      <c r="C310" s="233">
        <v>1</v>
      </c>
      <c r="E310" s="238">
        <v>0.60625000000000007</v>
      </c>
      <c r="F310" s="204">
        <v>0.60972222222222217</v>
      </c>
      <c r="G310" s="193">
        <f t="shared" si="9"/>
        <v>8.3333333333333329E-2</v>
      </c>
      <c r="H310" s="231" t="s">
        <v>55</v>
      </c>
      <c r="I310" s="230" t="s">
        <v>509</v>
      </c>
      <c r="J310" s="231" t="s">
        <v>203</v>
      </c>
    </row>
    <row r="311" spans="2:11" x14ac:dyDescent="0.25">
      <c r="B311" s="235">
        <v>44946</v>
      </c>
      <c r="C311" s="233">
        <v>1</v>
      </c>
      <c r="E311" s="238">
        <v>0.60972222222222217</v>
      </c>
      <c r="F311" s="204">
        <v>0.6166666666666667</v>
      </c>
      <c r="G311" s="193">
        <f t="shared" si="9"/>
        <v>0.16666666666666666</v>
      </c>
      <c r="H311" s="230" t="s">
        <v>55</v>
      </c>
      <c r="I311" s="230" t="s">
        <v>511</v>
      </c>
      <c r="J311" s="231" t="s">
        <v>758</v>
      </c>
    </row>
    <row r="312" spans="2:11" x14ac:dyDescent="0.25">
      <c r="B312" s="235">
        <v>44946</v>
      </c>
      <c r="C312" s="233">
        <v>1</v>
      </c>
      <c r="E312" s="238">
        <v>0.6166666666666667</v>
      </c>
      <c r="F312" s="204">
        <v>0.625</v>
      </c>
      <c r="G312" s="193">
        <f t="shared" si="9"/>
        <v>0.2</v>
      </c>
      <c r="H312" s="230" t="s">
        <v>55</v>
      </c>
      <c r="I312" s="230" t="s">
        <v>509</v>
      </c>
      <c r="J312" s="231" t="s">
        <v>114</v>
      </c>
    </row>
    <row r="313" spans="2:11" x14ac:dyDescent="0.25">
      <c r="B313" s="235">
        <v>44946</v>
      </c>
      <c r="C313" s="195">
        <v>2</v>
      </c>
      <c r="E313" s="238">
        <v>0.625</v>
      </c>
      <c r="F313" s="204">
        <v>0.64861111111111114</v>
      </c>
      <c r="G313" s="193">
        <f t="shared" si="9"/>
        <v>0.56666666666666665</v>
      </c>
      <c r="H313" s="230" t="s">
        <v>55</v>
      </c>
      <c r="I313" s="230" t="s">
        <v>509</v>
      </c>
      <c r="J313" s="231" t="s">
        <v>114</v>
      </c>
    </row>
    <row r="314" spans="2:11" x14ac:dyDescent="0.25">
      <c r="B314" s="235">
        <v>44946</v>
      </c>
      <c r="C314" s="195">
        <v>2</v>
      </c>
      <c r="E314" s="238">
        <v>0.7729166666666667</v>
      </c>
      <c r="F314" s="204">
        <v>0.78263888888888899</v>
      </c>
      <c r="G314" s="193">
        <f t="shared" si="9"/>
        <v>0.23333333333333334</v>
      </c>
      <c r="H314" s="231" t="s">
        <v>55</v>
      </c>
      <c r="I314" s="230" t="s">
        <v>509</v>
      </c>
      <c r="J314" s="231" t="s">
        <v>203</v>
      </c>
    </row>
    <row r="315" spans="2:11" x14ac:dyDescent="0.25">
      <c r="B315" s="235">
        <v>44946</v>
      </c>
      <c r="C315" s="195">
        <v>2</v>
      </c>
      <c r="E315" s="238">
        <v>0.78263888888888899</v>
      </c>
      <c r="F315" s="204">
        <v>0.79166666666666663</v>
      </c>
      <c r="G315" s="193">
        <f t="shared" si="9"/>
        <v>0.21666666666666667</v>
      </c>
      <c r="H315" s="230" t="s">
        <v>207</v>
      </c>
      <c r="I315" s="230" t="s">
        <v>513</v>
      </c>
      <c r="J315" s="231" t="s">
        <v>154</v>
      </c>
      <c r="K315" s="176" t="s">
        <v>864</v>
      </c>
    </row>
    <row r="316" spans="2:11" x14ac:dyDescent="0.25">
      <c r="B316" s="235">
        <v>44946</v>
      </c>
      <c r="C316" s="233">
        <v>2</v>
      </c>
      <c r="E316" s="238">
        <v>0.875</v>
      </c>
      <c r="F316" s="204">
        <v>0.89583333333333337</v>
      </c>
      <c r="G316" s="193">
        <f t="shared" si="9"/>
        <v>0.5</v>
      </c>
      <c r="H316" s="230" t="s">
        <v>176</v>
      </c>
      <c r="I316" s="230" t="s">
        <v>510</v>
      </c>
      <c r="J316" s="231" t="s">
        <v>621</v>
      </c>
    </row>
    <row r="317" spans="2:11" x14ac:dyDescent="0.25">
      <c r="B317" s="235">
        <v>44946</v>
      </c>
      <c r="C317" s="195">
        <v>2</v>
      </c>
      <c r="E317" s="238">
        <v>0.9243055555555556</v>
      </c>
      <c r="F317" s="204">
        <v>0.93611111111111101</v>
      </c>
      <c r="G317" s="193">
        <f t="shared" si="9"/>
        <v>0.28333333333333333</v>
      </c>
      <c r="H317" s="230" t="s">
        <v>176</v>
      </c>
      <c r="I317" s="230" t="s">
        <v>510</v>
      </c>
      <c r="J317" s="231" t="s">
        <v>621</v>
      </c>
    </row>
    <row r="318" spans="2:11" x14ac:dyDescent="0.25">
      <c r="B318" s="235">
        <v>44946</v>
      </c>
      <c r="C318" s="195">
        <v>2</v>
      </c>
      <c r="E318" s="238">
        <v>0.94444444444444453</v>
      </c>
      <c r="F318" s="204">
        <v>0.95833333333333337</v>
      </c>
      <c r="G318" s="193">
        <f t="shared" si="9"/>
        <v>0.33333333333333331</v>
      </c>
      <c r="H318" s="230" t="s">
        <v>55</v>
      </c>
      <c r="I318" s="230" t="s">
        <v>509</v>
      </c>
      <c r="J318" s="231" t="s">
        <v>114</v>
      </c>
    </row>
    <row r="319" spans="2:11" x14ac:dyDescent="0.25">
      <c r="B319" s="235">
        <v>44946</v>
      </c>
      <c r="C319" s="195">
        <v>3</v>
      </c>
      <c r="E319" s="238">
        <v>0.95833333333333337</v>
      </c>
      <c r="F319" s="204">
        <v>0.98958333333333337</v>
      </c>
      <c r="G319" s="193">
        <f t="shared" si="9"/>
        <v>0.75</v>
      </c>
      <c r="H319" s="230" t="s">
        <v>176</v>
      </c>
      <c r="I319" s="230" t="s">
        <v>510</v>
      </c>
      <c r="J319" s="231" t="s">
        <v>621</v>
      </c>
    </row>
    <row r="320" spans="2:11" x14ac:dyDescent="0.25">
      <c r="B320" s="235">
        <v>44946</v>
      </c>
      <c r="C320" s="195">
        <v>3</v>
      </c>
      <c r="E320" s="238">
        <v>1.3888888888888888E-2</v>
      </c>
      <c r="F320" s="204">
        <v>2.4305555555555556E-2</v>
      </c>
      <c r="G320" s="193">
        <f t="shared" si="9"/>
        <v>0.25</v>
      </c>
      <c r="H320" s="230" t="s">
        <v>178</v>
      </c>
      <c r="I320" s="230" t="s">
        <v>511</v>
      </c>
      <c r="J320" s="231" t="s">
        <v>213</v>
      </c>
      <c r="K320" s="176" t="s">
        <v>885</v>
      </c>
    </row>
    <row r="321" spans="2:11" x14ac:dyDescent="0.25">
      <c r="B321" s="235">
        <v>44946</v>
      </c>
      <c r="C321" s="195">
        <v>3</v>
      </c>
      <c r="E321" s="238">
        <v>4.8611111111111112E-2</v>
      </c>
      <c r="F321" s="204">
        <v>6.9444444444444434E-2</v>
      </c>
      <c r="G321" s="193">
        <f t="shared" si="9"/>
        <v>0.5</v>
      </c>
      <c r="H321" s="230" t="s">
        <v>55</v>
      </c>
      <c r="I321" s="230" t="s">
        <v>509</v>
      </c>
      <c r="J321" s="231" t="s">
        <v>211</v>
      </c>
      <c r="K321" s="176" t="s">
        <v>684</v>
      </c>
    </row>
    <row r="322" spans="2:11" x14ac:dyDescent="0.25">
      <c r="B322" s="235">
        <v>44946</v>
      </c>
      <c r="C322" s="233">
        <v>3</v>
      </c>
      <c r="E322" s="238">
        <v>7.9861111111111105E-2</v>
      </c>
      <c r="F322" s="204">
        <v>9.0277777777777776E-2</v>
      </c>
      <c r="G322" s="193">
        <f t="shared" si="9"/>
        <v>0.25</v>
      </c>
      <c r="H322" s="231" t="s">
        <v>55</v>
      </c>
      <c r="I322" s="230" t="s">
        <v>509</v>
      </c>
      <c r="J322" s="231" t="s">
        <v>203</v>
      </c>
    </row>
    <row r="323" spans="2:11" x14ac:dyDescent="0.25">
      <c r="B323" s="235">
        <v>44946</v>
      </c>
      <c r="C323" s="233">
        <v>3</v>
      </c>
      <c r="E323" s="238">
        <v>0.1111111111111111</v>
      </c>
      <c r="F323" s="204">
        <v>0.12152777777777778</v>
      </c>
      <c r="G323" s="193">
        <f t="shared" si="9"/>
        <v>0.25</v>
      </c>
      <c r="H323" s="230" t="s">
        <v>178</v>
      </c>
      <c r="I323" s="230" t="s">
        <v>511</v>
      </c>
      <c r="J323" s="231" t="s">
        <v>213</v>
      </c>
      <c r="K323" s="176" t="s">
        <v>885</v>
      </c>
    </row>
    <row r="324" spans="2:11" x14ac:dyDescent="0.25">
      <c r="B324" s="235">
        <v>44946</v>
      </c>
      <c r="C324" s="233">
        <v>3</v>
      </c>
      <c r="E324" s="238">
        <v>0.12847222222222224</v>
      </c>
      <c r="F324" s="204">
        <v>0.1388888888888889</v>
      </c>
      <c r="G324" s="193">
        <f t="shared" si="9"/>
        <v>0.25</v>
      </c>
      <c r="H324" s="231" t="s">
        <v>55</v>
      </c>
      <c r="I324" s="230" t="s">
        <v>509</v>
      </c>
      <c r="J324" s="231" t="s">
        <v>203</v>
      </c>
    </row>
    <row r="325" spans="2:11" x14ac:dyDescent="0.25">
      <c r="B325" s="235">
        <v>44946</v>
      </c>
      <c r="C325" s="233">
        <v>3</v>
      </c>
      <c r="E325" s="238">
        <v>0.18402777777777779</v>
      </c>
      <c r="F325" s="204">
        <v>0.19444444444444445</v>
      </c>
      <c r="G325" s="193">
        <f t="shared" si="9"/>
        <v>0.25</v>
      </c>
      <c r="H325" s="230" t="s">
        <v>55</v>
      </c>
      <c r="I325" s="230" t="s">
        <v>509</v>
      </c>
      <c r="J325" s="231" t="s">
        <v>211</v>
      </c>
      <c r="K325" s="176" t="s">
        <v>684</v>
      </c>
    </row>
    <row r="326" spans="2:11" x14ac:dyDescent="0.25">
      <c r="B326" s="235">
        <v>44946</v>
      </c>
      <c r="C326" s="195">
        <v>3</v>
      </c>
      <c r="E326" s="286">
        <v>0.19444444444444445</v>
      </c>
      <c r="F326" s="287">
        <v>0.20486111111111113</v>
      </c>
      <c r="G326" s="193">
        <f t="shared" si="9"/>
        <v>0.25</v>
      </c>
      <c r="H326" s="230" t="s">
        <v>204</v>
      </c>
      <c r="I326" s="230" t="s">
        <v>509</v>
      </c>
      <c r="J326" s="231" t="s">
        <v>211</v>
      </c>
      <c r="K326" s="176" t="s">
        <v>886</v>
      </c>
    </row>
    <row r="327" spans="2:11" x14ac:dyDescent="0.25">
      <c r="B327" s="235">
        <v>44946</v>
      </c>
      <c r="C327" s="195">
        <v>3</v>
      </c>
      <c r="E327" s="238">
        <v>0.25694444444444448</v>
      </c>
      <c r="F327" s="204">
        <v>0.2673611111111111</v>
      </c>
      <c r="G327" s="193">
        <f t="shared" si="9"/>
        <v>0.25</v>
      </c>
      <c r="H327" s="231" t="s">
        <v>55</v>
      </c>
      <c r="I327" s="230" t="s">
        <v>509</v>
      </c>
      <c r="J327" s="231" t="s">
        <v>203</v>
      </c>
    </row>
    <row r="328" spans="2:11" x14ac:dyDescent="0.25">
      <c r="B328" s="235">
        <v>44946</v>
      </c>
      <c r="C328" s="233">
        <v>3</v>
      </c>
      <c r="E328" s="238">
        <v>0.27291666666666664</v>
      </c>
      <c r="F328" s="204">
        <v>0.29166666666666669</v>
      </c>
      <c r="G328" s="193">
        <f t="shared" si="9"/>
        <v>0.45</v>
      </c>
      <c r="H328" s="230" t="s">
        <v>55</v>
      </c>
      <c r="I328" s="230" t="s">
        <v>509</v>
      </c>
      <c r="J328" s="231" t="s">
        <v>114</v>
      </c>
    </row>
    <row r="329" spans="2:11" x14ac:dyDescent="0.25">
      <c r="B329" s="235">
        <v>44947</v>
      </c>
      <c r="C329" s="195">
        <v>1</v>
      </c>
      <c r="E329" s="238">
        <v>0.29166666666666669</v>
      </c>
      <c r="F329" s="204">
        <v>0.32291666666666669</v>
      </c>
      <c r="G329" s="193">
        <f t="shared" si="9"/>
        <v>0.75</v>
      </c>
      <c r="H329" s="230" t="s">
        <v>55</v>
      </c>
      <c r="I329" s="230" t="s">
        <v>509</v>
      </c>
      <c r="J329" s="231" t="s">
        <v>114</v>
      </c>
    </row>
    <row r="330" spans="2:11" x14ac:dyDescent="0.25">
      <c r="B330" s="235">
        <v>44947</v>
      </c>
      <c r="C330" s="233">
        <v>1</v>
      </c>
      <c r="E330" s="238">
        <v>0.35833333333333334</v>
      </c>
      <c r="F330" s="204">
        <v>0.36874999999999997</v>
      </c>
      <c r="G330" s="193">
        <f t="shared" ref="G330:G361" si="10">IFERROR(IF(E330&gt;F330,((F330+B333+1)-(E330+B333))*24,HOUR(F330-E330)+MINUTE(F330-E330)/60),"")</f>
        <v>0.25</v>
      </c>
      <c r="H330" s="230" t="s">
        <v>195</v>
      </c>
      <c r="I330" s="230" t="s">
        <v>509</v>
      </c>
      <c r="J330" s="231" t="s">
        <v>110</v>
      </c>
    </row>
    <row r="331" spans="2:11" x14ac:dyDescent="0.25">
      <c r="B331" s="235">
        <v>44947</v>
      </c>
      <c r="C331" s="233">
        <v>1</v>
      </c>
      <c r="E331" s="238">
        <v>0.37291666666666662</v>
      </c>
      <c r="F331" s="204">
        <v>0.37638888888888888</v>
      </c>
      <c r="G331" s="193">
        <f t="shared" si="10"/>
        <v>8.3333333333333329E-2</v>
      </c>
      <c r="H331" s="231" t="s">
        <v>55</v>
      </c>
      <c r="I331" s="230" t="s">
        <v>509</v>
      </c>
      <c r="J331" s="231" t="s">
        <v>203</v>
      </c>
    </row>
    <row r="332" spans="2:11" x14ac:dyDescent="0.25">
      <c r="B332" s="235">
        <v>44947</v>
      </c>
      <c r="C332" s="233">
        <v>1</v>
      </c>
      <c r="E332" s="238">
        <v>0.37638888888888888</v>
      </c>
      <c r="F332" s="204">
        <v>0.3840277777777778</v>
      </c>
      <c r="G332" s="193">
        <f t="shared" si="10"/>
        <v>0.18333333333333332</v>
      </c>
      <c r="H332" s="230" t="s">
        <v>55</v>
      </c>
      <c r="I332" s="230" t="s">
        <v>511</v>
      </c>
      <c r="J332" s="231" t="s">
        <v>758</v>
      </c>
    </row>
    <row r="333" spans="2:11" x14ac:dyDescent="0.25">
      <c r="B333" s="235">
        <v>44947</v>
      </c>
      <c r="C333" s="233">
        <v>1</v>
      </c>
      <c r="E333" s="238">
        <v>0.40625</v>
      </c>
      <c r="F333" s="204">
        <v>0.40972222222222227</v>
      </c>
      <c r="G333" s="193">
        <f t="shared" si="10"/>
        <v>8.3333333333333329E-2</v>
      </c>
      <c r="H333" s="231" t="s">
        <v>55</v>
      </c>
      <c r="I333" s="230" t="s">
        <v>509</v>
      </c>
      <c r="J333" s="231" t="s">
        <v>203</v>
      </c>
    </row>
    <row r="334" spans="2:11" x14ac:dyDescent="0.25">
      <c r="B334" s="235">
        <v>44947</v>
      </c>
      <c r="C334" s="233">
        <v>1</v>
      </c>
      <c r="E334" s="238">
        <v>0.40972222222222227</v>
      </c>
      <c r="F334" s="204">
        <v>0.41666666666666669</v>
      </c>
      <c r="G334" s="193">
        <f t="shared" si="10"/>
        <v>0.16666666666666666</v>
      </c>
      <c r="H334" s="230" t="s">
        <v>55</v>
      </c>
      <c r="I334" s="230" t="s">
        <v>511</v>
      </c>
      <c r="J334" s="231" t="s">
        <v>758</v>
      </c>
    </row>
    <row r="335" spans="2:11" x14ac:dyDescent="0.25">
      <c r="B335" s="235">
        <v>44947</v>
      </c>
      <c r="C335" s="233">
        <v>1</v>
      </c>
      <c r="E335" s="238">
        <v>0.46180555555555558</v>
      </c>
      <c r="F335" s="204">
        <v>0.49722222222222223</v>
      </c>
      <c r="G335" s="193">
        <f t="shared" si="10"/>
        <v>0.85</v>
      </c>
      <c r="H335" s="230" t="s">
        <v>55</v>
      </c>
      <c r="I335" s="230" t="s">
        <v>509</v>
      </c>
      <c r="J335" s="231" t="s">
        <v>211</v>
      </c>
    </row>
    <row r="336" spans="2:11" x14ac:dyDescent="0.25">
      <c r="B336" s="235">
        <v>44947</v>
      </c>
      <c r="C336" s="233">
        <v>1</v>
      </c>
      <c r="E336" s="238">
        <v>0.61249999999999993</v>
      </c>
      <c r="F336" s="204">
        <v>0.625</v>
      </c>
      <c r="G336" s="193">
        <f t="shared" si="10"/>
        <v>0.3</v>
      </c>
      <c r="H336" s="230" t="s">
        <v>55</v>
      </c>
      <c r="I336" s="230" t="s">
        <v>509</v>
      </c>
      <c r="J336" s="231" t="s">
        <v>114</v>
      </c>
    </row>
    <row r="337" spans="2:11" x14ac:dyDescent="0.25">
      <c r="B337" s="235">
        <v>44947</v>
      </c>
      <c r="C337" s="195">
        <v>2</v>
      </c>
      <c r="E337" s="238">
        <v>0.625</v>
      </c>
      <c r="F337" s="204">
        <v>0.63263888888888886</v>
      </c>
      <c r="G337" s="193">
        <f t="shared" si="10"/>
        <v>0.18333333333333332</v>
      </c>
      <c r="H337" s="230" t="s">
        <v>204</v>
      </c>
      <c r="I337" s="230" t="s">
        <v>509</v>
      </c>
      <c r="J337" s="231" t="s">
        <v>114</v>
      </c>
    </row>
    <row r="338" spans="2:11" x14ac:dyDescent="0.25">
      <c r="B338" s="235">
        <v>44947</v>
      </c>
      <c r="C338" s="195">
        <v>2</v>
      </c>
      <c r="E338" s="238">
        <v>0.7055555555555556</v>
      </c>
      <c r="F338" s="204">
        <v>0.71805555555555556</v>
      </c>
      <c r="G338" s="193">
        <f t="shared" si="10"/>
        <v>0.3</v>
      </c>
      <c r="H338" s="230" t="s">
        <v>55</v>
      </c>
      <c r="I338" s="230" t="s">
        <v>509</v>
      </c>
      <c r="J338" s="231" t="s">
        <v>211</v>
      </c>
    </row>
    <row r="339" spans="2:11" x14ac:dyDescent="0.25">
      <c r="B339" s="235">
        <v>44947</v>
      </c>
      <c r="C339" s="195">
        <v>2</v>
      </c>
      <c r="E339" s="238">
        <v>0.88888888888888884</v>
      </c>
      <c r="F339" s="204">
        <v>0.91111111111111109</v>
      </c>
      <c r="G339" s="193">
        <f t="shared" si="10"/>
        <v>0.53333333333333333</v>
      </c>
      <c r="H339" s="230" t="s">
        <v>55</v>
      </c>
      <c r="I339" s="230" t="s">
        <v>509</v>
      </c>
      <c r="J339" s="231" t="s">
        <v>211</v>
      </c>
    </row>
    <row r="340" spans="2:11" x14ac:dyDescent="0.25">
      <c r="B340" s="235">
        <v>44947</v>
      </c>
      <c r="C340" s="195">
        <v>2</v>
      </c>
      <c r="E340" s="238">
        <v>0.94236111111111109</v>
      </c>
      <c r="F340" s="204">
        <v>0.95833333333333337</v>
      </c>
      <c r="G340" s="193">
        <f t="shared" si="10"/>
        <v>0.38333333333333336</v>
      </c>
      <c r="H340" s="230" t="s">
        <v>55</v>
      </c>
      <c r="I340" s="230" t="s">
        <v>509</v>
      </c>
      <c r="J340" s="231" t="s">
        <v>114</v>
      </c>
    </row>
    <row r="341" spans="2:11" x14ac:dyDescent="0.25">
      <c r="B341" s="235">
        <v>44947</v>
      </c>
      <c r="C341" s="195">
        <v>3</v>
      </c>
      <c r="E341" s="238">
        <v>0.95833333333333337</v>
      </c>
      <c r="F341" s="204">
        <v>0.96875</v>
      </c>
      <c r="G341" s="193">
        <f t="shared" si="10"/>
        <v>0.25</v>
      </c>
      <c r="H341" s="230" t="s">
        <v>55</v>
      </c>
      <c r="I341" s="230" t="s">
        <v>509</v>
      </c>
      <c r="J341" s="231" t="s">
        <v>114</v>
      </c>
    </row>
    <row r="342" spans="2:11" x14ac:dyDescent="0.25">
      <c r="B342" s="235">
        <v>44947</v>
      </c>
      <c r="C342" s="233">
        <v>3</v>
      </c>
      <c r="E342" s="238">
        <v>0</v>
      </c>
      <c r="F342" s="204">
        <v>3.0555555555555555E-2</v>
      </c>
      <c r="G342" s="193">
        <f t="shared" si="10"/>
        <v>0.73333333333333328</v>
      </c>
      <c r="H342" s="230" t="s">
        <v>55</v>
      </c>
      <c r="I342" s="230" t="s">
        <v>509</v>
      </c>
      <c r="J342" s="196" t="s">
        <v>775</v>
      </c>
      <c r="K342" s="176" t="s">
        <v>887</v>
      </c>
    </row>
    <row r="343" spans="2:11" x14ac:dyDescent="0.25">
      <c r="B343" s="235">
        <v>44947</v>
      </c>
      <c r="C343" s="233">
        <v>3</v>
      </c>
      <c r="E343" s="238">
        <v>0.1423611111111111</v>
      </c>
      <c r="F343" s="204">
        <v>0.15277777777777776</v>
      </c>
      <c r="G343" s="193">
        <f t="shared" si="10"/>
        <v>0.25</v>
      </c>
      <c r="H343" s="230" t="s">
        <v>55</v>
      </c>
      <c r="I343" s="230" t="s">
        <v>509</v>
      </c>
      <c r="J343" s="231" t="s">
        <v>211</v>
      </c>
      <c r="K343" s="176" t="s">
        <v>800</v>
      </c>
    </row>
    <row r="344" spans="2:11" x14ac:dyDescent="0.25">
      <c r="B344" s="235">
        <v>44947</v>
      </c>
      <c r="C344" s="195">
        <v>3</v>
      </c>
      <c r="E344" s="238">
        <v>0.17013888888888887</v>
      </c>
      <c r="F344" s="204">
        <v>0.18055555555555555</v>
      </c>
      <c r="G344" s="193">
        <f t="shared" si="10"/>
        <v>0.25</v>
      </c>
      <c r="H344" s="231" t="s">
        <v>55</v>
      </c>
      <c r="I344" s="231" t="s">
        <v>511</v>
      </c>
      <c r="J344" s="231" t="s">
        <v>203</v>
      </c>
    </row>
    <row r="345" spans="2:11" x14ac:dyDescent="0.25">
      <c r="B345" s="235">
        <v>44947</v>
      </c>
      <c r="C345" s="195">
        <v>3</v>
      </c>
      <c r="E345" s="238">
        <v>0.27083333333333331</v>
      </c>
      <c r="F345" s="204">
        <v>0.29166666666666669</v>
      </c>
      <c r="G345" s="193">
        <f t="shared" si="10"/>
        <v>0.5</v>
      </c>
      <c r="H345" s="230" t="s">
        <v>55</v>
      </c>
      <c r="I345" s="230" t="s">
        <v>509</v>
      </c>
      <c r="J345" s="231" t="s">
        <v>114</v>
      </c>
    </row>
    <row r="346" spans="2:11" x14ac:dyDescent="0.25">
      <c r="B346" s="235">
        <v>44948</v>
      </c>
      <c r="C346" s="195">
        <v>1</v>
      </c>
      <c r="E346" s="238">
        <v>0.29166666666666669</v>
      </c>
      <c r="F346" s="204">
        <v>0.36805555555555558</v>
      </c>
      <c r="G346" s="193">
        <f t="shared" si="10"/>
        <v>1.8333333333333335</v>
      </c>
      <c r="H346" s="230" t="s">
        <v>55</v>
      </c>
      <c r="I346" s="230" t="s">
        <v>509</v>
      </c>
      <c r="J346" s="231" t="s">
        <v>114</v>
      </c>
    </row>
    <row r="347" spans="2:11" x14ac:dyDescent="0.25">
      <c r="B347" s="235">
        <v>44948</v>
      </c>
      <c r="C347" s="233">
        <v>1</v>
      </c>
      <c r="E347" s="238">
        <v>0.37916666666666665</v>
      </c>
      <c r="F347" s="204">
        <v>0.39652777777777781</v>
      </c>
      <c r="G347" s="193">
        <f t="shared" si="10"/>
        <v>0.41666666666666669</v>
      </c>
      <c r="H347" s="230" t="s">
        <v>201</v>
      </c>
      <c r="I347" s="230" t="s">
        <v>509</v>
      </c>
      <c r="J347" s="231" t="s">
        <v>213</v>
      </c>
    </row>
    <row r="348" spans="2:11" x14ac:dyDescent="0.25">
      <c r="B348" s="235">
        <v>44948</v>
      </c>
      <c r="C348" s="233">
        <v>1</v>
      </c>
      <c r="E348" s="238">
        <v>0.39652777777777781</v>
      </c>
      <c r="F348" s="204">
        <v>0.40416666666666662</v>
      </c>
      <c r="G348" s="193">
        <f t="shared" si="10"/>
        <v>0.18333333333333332</v>
      </c>
      <c r="H348" s="230" t="s">
        <v>178</v>
      </c>
      <c r="I348" s="230" t="s">
        <v>509</v>
      </c>
      <c r="J348" s="231" t="s">
        <v>213</v>
      </c>
    </row>
    <row r="349" spans="2:11" x14ac:dyDescent="0.25">
      <c r="B349" s="235">
        <v>44948</v>
      </c>
      <c r="C349" s="233">
        <v>1</v>
      </c>
      <c r="E349" s="238">
        <v>0.54861111111111105</v>
      </c>
      <c r="F349" s="204">
        <v>0.55347222222222225</v>
      </c>
      <c r="G349" s="193">
        <f t="shared" si="10"/>
        <v>0.11666666666666667</v>
      </c>
      <c r="H349" s="231" t="s">
        <v>55</v>
      </c>
      <c r="I349" s="230" t="s">
        <v>509</v>
      </c>
      <c r="J349" s="231" t="s">
        <v>203</v>
      </c>
    </row>
    <row r="350" spans="2:11" x14ac:dyDescent="0.25">
      <c r="B350" s="235">
        <v>44948</v>
      </c>
      <c r="C350" s="233">
        <v>1</v>
      </c>
      <c r="E350" s="238">
        <v>0.55347222222222225</v>
      </c>
      <c r="F350" s="204">
        <v>0.56111111111111112</v>
      </c>
      <c r="G350" s="193">
        <f t="shared" si="10"/>
        <v>0.18333333333333332</v>
      </c>
      <c r="H350" s="230" t="s">
        <v>55</v>
      </c>
      <c r="I350" s="230" t="s">
        <v>511</v>
      </c>
      <c r="J350" s="231" t="s">
        <v>758</v>
      </c>
    </row>
    <row r="351" spans="2:11" x14ac:dyDescent="0.25">
      <c r="B351" s="235">
        <v>44948</v>
      </c>
      <c r="C351" s="233">
        <v>1</v>
      </c>
      <c r="E351" s="238">
        <v>0.56388888888888888</v>
      </c>
      <c r="F351" s="204">
        <v>0.57777777777777783</v>
      </c>
      <c r="G351" s="193">
        <f t="shared" si="10"/>
        <v>0.33333333333333331</v>
      </c>
      <c r="H351" s="230" t="s">
        <v>55</v>
      </c>
      <c r="I351" s="230" t="s">
        <v>510</v>
      </c>
      <c r="J351" s="231" t="s">
        <v>517</v>
      </c>
      <c r="K351" s="176" t="s">
        <v>801</v>
      </c>
    </row>
    <row r="352" spans="2:11" x14ac:dyDescent="0.25">
      <c r="B352" s="235">
        <v>44948</v>
      </c>
      <c r="C352" s="233">
        <v>1</v>
      </c>
      <c r="E352" s="238">
        <v>0.61319444444444449</v>
      </c>
      <c r="F352" s="204">
        <v>0.625</v>
      </c>
      <c r="G352" s="193">
        <f t="shared" si="10"/>
        <v>0.28333333333333333</v>
      </c>
      <c r="H352" s="230" t="s">
        <v>55</v>
      </c>
      <c r="I352" s="230" t="s">
        <v>509</v>
      </c>
      <c r="J352" s="231" t="s">
        <v>114</v>
      </c>
    </row>
    <row r="353" spans="2:11" x14ac:dyDescent="0.25">
      <c r="B353" s="235">
        <v>44948</v>
      </c>
      <c r="C353" s="195">
        <v>2</v>
      </c>
      <c r="E353" s="238">
        <v>0.625</v>
      </c>
      <c r="F353" s="204">
        <v>0.63194444444444442</v>
      </c>
      <c r="G353" s="193">
        <f t="shared" si="10"/>
        <v>0.16666666666666666</v>
      </c>
      <c r="H353" s="230" t="s">
        <v>55</v>
      </c>
      <c r="I353" s="230" t="s">
        <v>509</v>
      </c>
      <c r="J353" s="231" t="s">
        <v>114</v>
      </c>
    </row>
    <row r="354" spans="2:11" x14ac:dyDescent="0.25">
      <c r="B354" s="235">
        <v>44948</v>
      </c>
      <c r="C354" s="195">
        <v>2</v>
      </c>
      <c r="E354" s="238">
        <v>0.69305555555555554</v>
      </c>
      <c r="F354" s="204">
        <v>0.71111111111111114</v>
      </c>
      <c r="G354" s="193">
        <f t="shared" si="10"/>
        <v>0.43333333333333335</v>
      </c>
      <c r="H354" s="230" t="s">
        <v>55</v>
      </c>
      <c r="I354" s="230" t="s">
        <v>509</v>
      </c>
      <c r="J354" s="231" t="s">
        <v>211</v>
      </c>
      <c r="K354" s="176" t="s">
        <v>802</v>
      </c>
    </row>
    <row r="355" spans="2:11" x14ac:dyDescent="0.25">
      <c r="B355" s="235">
        <v>44948</v>
      </c>
      <c r="C355" s="195">
        <v>2</v>
      </c>
      <c r="E355" s="238">
        <v>0.71805555555555556</v>
      </c>
      <c r="F355" s="204">
        <v>0.72291666666666676</v>
      </c>
      <c r="G355" s="193">
        <f t="shared" si="10"/>
        <v>0.11666666666666667</v>
      </c>
      <c r="H355" s="230" t="s">
        <v>195</v>
      </c>
      <c r="I355" s="230" t="s">
        <v>509</v>
      </c>
      <c r="J355" s="231" t="s">
        <v>206</v>
      </c>
    </row>
    <row r="356" spans="2:11" x14ac:dyDescent="0.25">
      <c r="B356" s="235">
        <v>44948</v>
      </c>
      <c r="C356" s="195">
        <v>2</v>
      </c>
      <c r="E356" s="238">
        <v>0.72291666666666676</v>
      </c>
      <c r="F356" s="204">
        <v>0.72986111111111107</v>
      </c>
      <c r="G356" s="193">
        <f t="shared" si="10"/>
        <v>0.16666666666666666</v>
      </c>
      <c r="H356" s="230" t="s">
        <v>55</v>
      </c>
      <c r="I356" s="230" t="s">
        <v>511</v>
      </c>
      <c r="J356" s="231" t="s">
        <v>758</v>
      </c>
    </row>
    <row r="357" spans="2:11" x14ac:dyDescent="0.25">
      <c r="B357" s="235">
        <v>44948</v>
      </c>
      <c r="C357" s="195">
        <v>2</v>
      </c>
      <c r="E357" s="238">
        <v>0.77777777777777779</v>
      </c>
      <c r="F357" s="204">
        <v>0.78125</v>
      </c>
      <c r="G357" s="193">
        <f t="shared" si="10"/>
        <v>8.3333333333333329E-2</v>
      </c>
      <c r="H357" s="230" t="s">
        <v>150</v>
      </c>
      <c r="I357" s="230" t="s">
        <v>509</v>
      </c>
      <c r="J357" s="231" t="s">
        <v>206</v>
      </c>
      <c r="K357" s="176" t="s">
        <v>888</v>
      </c>
    </row>
    <row r="358" spans="2:11" x14ac:dyDescent="0.25">
      <c r="B358" s="235">
        <v>44948</v>
      </c>
      <c r="C358" s="195">
        <v>2</v>
      </c>
      <c r="E358" s="238">
        <v>0.78125</v>
      </c>
      <c r="F358" s="204">
        <v>0.78819444444444453</v>
      </c>
      <c r="G358" s="193">
        <f t="shared" si="10"/>
        <v>0.16666666666666666</v>
      </c>
      <c r="H358" s="230" t="s">
        <v>55</v>
      </c>
      <c r="I358" s="230" t="s">
        <v>511</v>
      </c>
      <c r="J358" s="231" t="s">
        <v>758</v>
      </c>
    </row>
    <row r="359" spans="2:11" x14ac:dyDescent="0.25">
      <c r="B359" s="235">
        <v>44948</v>
      </c>
      <c r="C359" s="195">
        <v>2</v>
      </c>
      <c r="E359" s="238">
        <v>0.83333333333333337</v>
      </c>
      <c r="F359" s="204">
        <v>0.84375</v>
      </c>
      <c r="G359" s="193">
        <f t="shared" si="10"/>
        <v>0.25</v>
      </c>
      <c r="H359" s="230" t="s">
        <v>55</v>
      </c>
      <c r="I359" s="230" t="s">
        <v>509</v>
      </c>
      <c r="J359" s="231" t="s">
        <v>203</v>
      </c>
      <c r="K359" s="176" t="s">
        <v>804</v>
      </c>
    </row>
    <row r="360" spans="2:11" x14ac:dyDescent="0.25">
      <c r="B360" s="235">
        <v>44948</v>
      </c>
      <c r="C360" s="195">
        <v>2</v>
      </c>
      <c r="E360" s="238">
        <v>0.86458333333333337</v>
      </c>
      <c r="F360" s="204">
        <v>0.875</v>
      </c>
      <c r="G360" s="193">
        <f t="shared" si="10"/>
        <v>0.25</v>
      </c>
      <c r="H360" s="230" t="s">
        <v>55</v>
      </c>
      <c r="I360" s="230" t="s">
        <v>509</v>
      </c>
      <c r="J360" s="231" t="s">
        <v>203</v>
      </c>
      <c r="K360" s="176" t="s">
        <v>804</v>
      </c>
    </row>
    <row r="361" spans="2:11" x14ac:dyDescent="0.25">
      <c r="B361" s="235">
        <v>44948</v>
      </c>
      <c r="C361" s="195">
        <v>2</v>
      </c>
      <c r="E361" s="238">
        <v>0.94791666666666663</v>
      </c>
      <c r="F361" s="204">
        <v>0.95833333333333337</v>
      </c>
      <c r="G361" s="193">
        <f t="shared" si="10"/>
        <v>0.25</v>
      </c>
      <c r="H361" s="230" t="s">
        <v>55</v>
      </c>
      <c r="I361" s="230" t="s">
        <v>509</v>
      </c>
      <c r="J361" s="231" t="s">
        <v>211</v>
      </c>
      <c r="K361" s="176" t="s">
        <v>802</v>
      </c>
    </row>
    <row r="362" spans="2:11" x14ac:dyDescent="0.25">
      <c r="B362" s="235">
        <v>44948</v>
      </c>
      <c r="C362" s="195">
        <v>3</v>
      </c>
      <c r="E362" s="238">
        <v>0.95833333333333337</v>
      </c>
      <c r="F362" s="204">
        <v>0.97916666666666663</v>
      </c>
      <c r="G362" s="193">
        <f t="shared" ref="G362:G372" si="11">IFERROR(IF(E362&gt;F362,((F362+B365+1)-(E362+B365))*24,HOUR(F362-E362)+MINUTE(F362-E362)/60),"")</f>
        <v>0.5</v>
      </c>
      <c r="H362" s="230" t="s">
        <v>55</v>
      </c>
      <c r="I362" s="230" t="s">
        <v>509</v>
      </c>
      <c r="J362" s="231" t="s">
        <v>211</v>
      </c>
      <c r="K362" s="176" t="s">
        <v>802</v>
      </c>
    </row>
    <row r="363" spans="2:11" x14ac:dyDescent="0.25">
      <c r="B363" s="235">
        <v>44948</v>
      </c>
      <c r="C363" s="195">
        <v>3</v>
      </c>
      <c r="E363" s="238">
        <v>0.10069444444444443</v>
      </c>
      <c r="F363" s="204">
        <v>0.1111111111111111</v>
      </c>
      <c r="G363" s="193">
        <f t="shared" si="11"/>
        <v>0.25</v>
      </c>
      <c r="H363" s="230" t="s">
        <v>55</v>
      </c>
      <c r="I363" s="230" t="s">
        <v>509</v>
      </c>
      <c r="J363" s="231" t="s">
        <v>203</v>
      </c>
      <c r="K363" s="176" t="s">
        <v>804</v>
      </c>
    </row>
    <row r="364" spans="2:11" x14ac:dyDescent="0.25">
      <c r="B364" s="235">
        <v>44948</v>
      </c>
      <c r="C364" s="195">
        <v>3</v>
      </c>
      <c r="E364" s="238">
        <v>0.21180555555555555</v>
      </c>
      <c r="F364" s="204">
        <v>0.22916666666666666</v>
      </c>
      <c r="G364" s="193">
        <f t="shared" si="11"/>
        <v>0.41666666666666669</v>
      </c>
      <c r="H364" s="230" t="s">
        <v>195</v>
      </c>
      <c r="I364" s="230" t="s">
        <v>509</v>
      </c>
      <c r="J364" s="231" t="s">
        <v>206</v>
      </c>
      <c r="K364" s="176" t="s">
        <v>889</v>
      </c>
    </row>
    <row r="365" spans="2:11" x14ac:dyDescent="0.25">
      <c r="B365" s="235">
        <v>44948</v>
      </c>
      <c r="C365" s="233">
        <v>3</v>
      </c>
      <c r="E365" s="238">
        <v>0.27430555555555552</v>
      </c>
      <c r="F365" s="204">
        <v>0.29166666666666669</v>
      </c>
      <c r="G365" s="193">
        <f t="shared" si="11"/>
        <v>0.41666666666666669</v>
      </c>
      <c r="H365" s="230" t="s">
        <v>55</v>
      </c>
      <c r="I365" s="230" t="s">
        <v>509</v>
      </c>
      <c r="J365" s="231" t="s">
        <v>211</v>
      </c>
      <c r="K365" s="176" t="s">
        <v>802</v>
      </c>
    </row>
    <row r="366" spans="2:11" x14ac:dyDescent="0.25">
      <c r="B366" s="235">
        <v>44948</v>
      </c>
      <c r="C366" s="195">
        <v>1</v>
      </c>
      <c r="E366" s="238">
        <v>0.29166666666666669</v>
      </c>
      <c r="F366" s="204">
        <v>0.30972222222222223</v>
      </c>
      <c r="G366" s="193">
        <f t="shared" si="11"/>
        <v>0.43333333333333335</v>
      </c>
      <c r="H366" s="230" t="s">
        <v>55</v>
      </c>
      <c r="I366" s="230" t="s">
        <v>511</v>
      </c>
      <c r="J366" s="231" t="s">
        <v>118</v>
      </c>
    </row>
    <row r="367" spans="2:11" x14ac:dyDescent="0.25">
      <c r="B367" s="235">
        <v>44949</v>
      </c>
      <c r="C367" s="195">
        <v>1</v>
      </c>
      <c r="E367" s="238">
        <v>0.375</v>
      </c>
      <c r="F367" s="204">
        <v>0.39097222222222222</v>
      </c>
      <c r="G367" s="193">
        <f t="shared" si="11"/>
        <v>0.38333333333333336</v>
      </c>
      <c r="H367" s="230" t="s">
        <v>195</v>
      </c>
      <c r="I367" s="230" t="s">
        <v>509</v>
      </c>
      <c r="J367" s="231" t="s">
        <v>110</v>
      </c>
      <c r="K367" s="176" t="s">
        <v>809</v>
      </c>
    </row>
    <row r="368" spans="2:11" x14ac:dyDescent="0.25">
      <c r="B368" s="235">
        <v>44949</v>
      </c>
      <c r="C368" s="195">
        <v>1</v>
      </c>
      <c r="E368" s="238">
        <v>0.42083333333333334</v>
      </c>
      <c r="F368" s="204">
        <v>0.43124999999999997</v>
      </c>
      <c r="G368" s="193">
        <f t="shared" si="11"/>
        <v>0.25</v>
      </c>
      <c r="H368" s="230" t="s">
        <v>195</v>
      </c>
      <c r="I368" s="230" t="s">
        <v>509</v>
      </c>
      <c r="J368" s="231" t="s">
        <v>499</v>
      </c>
    </row>
    <row r="369" spans="2:11" x14ac:dyDescent="0.25">
      <c r="B369" s="235">
        <v>44949</v>
      </c>
      <c r="C369" s="195">
        <v>1</v>
      </c>
      <c r="E369" s="238">
        <v>0.43124999999999997</v>
      </c>
      <c r="F369" s="204">
        <v>0.44930555555555557</v>
      </c>
      <c r="G369" s="193">
        <f t="shared" si="11"/>
        <v>0.43333333333333335</v>
      </c>
      <c r="H369" s="230" t="s">
        <v>176</v>
      </c>
      <c r="I369" s="230" t="s">
        <v>510</v>
      </c>
      <c r="J369" s="231" t="s">
        <v>222</v>
      </c>
    </row>
    <row r="370" spans="2:11" x14ac:dyDescent="0.25">
      <c r="B370" s="235">
        <v>44949</v>
      </c>
      <c r="C370" s="195">
        <v>1</v>
      </c>
      <c r="E370" s="238">
        <v>0.61249999999999993</v>
      </c>
      <c r="F370" s="204">
        <v>0.625</v>
      </c>
      <c r="G370" s="193">
        <f t="shared" si="11"/>
        <v>0.3</v>
      </c>
      <c r="H370" s="230" t="s">
        <v>55</v>
      </c>
      <c r="I370" s="230" t="s">
        <v>509</v>
      </c>
      <c r="J370" s="231" t="s">
        <v>114</v>
      </c>
    </row>
    <row r="371" spans="2:11" x14ac:dyDescent="0.25">
      <c r="B371" s="235">
        <v>44949</v>
      </c>
      <c r="C371" s="195">
        <v>2</v>
      </c>
      <c r="E371" s="238">
        <v>0.625</v>
      </c>
      <c r="F371" s="204">
        <v>0.63194444444444442</v>
      </c>
      <c r="G371" s="193">
        <f t="shared" si="11"/>
        <v>0.16666666666666666</v>
      </c>
      <c r="H371" s="230" t="s">
        <v>55</v>
      </c>
      <c r="I371" s="230" t="s">
        <v>509</v>
      </c>
      <c r="J371" s="231" t="s">
        <v>114</v>
      </c>
    </row>
    <row r="372" spans="2:11" x14ac:dyDescent="0.25">
      <c r="B372" s="235">
        <v>44949</v>
      </c>
      <c r="C372" s="195">
        <v>2</v>
      </c>
      <c r="E372" s="238">
        <v>0.68055555555555547</v>
      </c>
      <c r="F372" s="204">
        <v>0.69444444444444453</v>
      </c>
      <c r="G372" s="193">
        <f t="shared" si="11"/>
        <v>0.33333333333333331</v>
      </c>
      <c r="H372" s="230" t="s">
        <v>55</v>
      </c>
      <c r="I372" s="230" t="s">
        <v>509</v>
      </c>
      <c r="J372" s="231" t="s">
        <v>211</v>
      </c>
      <c r="K372" s="176" t="s">
        <v>802</v>
      </c>
    </row>
    <row r="373" spans="2:11" x14ac:dyDescent="0.25">
      <c r="B373" s="235">
        <v>44949</v>
      </c>
      <c r="C373" s="195">
        <v>2</v>
      </c>
      <c r="E373" s="238">
        <v>0.88541666666666663</v>
      </c>
      <c r="F373" s="280">
        <v>0.90625</v>
      </c>
      <c r="G373" s="193">
        <f>IFERROR(IF(E373&gt;F373,((F373+E376B376+1)-(E373+B376))*24,HOUR(F373-E373)+MINUTE(F373-E373)/60),"")</f>
        <v>0.5</v>
      </c>
      <c r="H373" s="230" t="s">
        <v>55</v>
      </c>
      <c r="I373" s="230" t="s">
        <v>509</v>
      </c>
      <c r="J373" s="231" t="s">
        <v>211</v>
      </c>
      <c r="K373" s="176" t="s">
        <v>802</v>
      </c>
    </row>
    <row r="374" spans="2:11" x14ac:dyDescent="0.25">
      <c r="B374" s="235">
        <v>44949</v>
      </c>
      <c r="C374" s="195">
        <v>2</v>
      </c>
      <c r="E374" s="238">
        <v>0.90972222222222221</v>
      </c>
      <c r="F374" s="204">
        <v>0.92013888888888884</v>
      </c>
      <c r="G374" s="193">
        <f>IFERROR(IF(E374&gt;F374,((F374+E376B376+1)-(E374+B377))*24,HOUR(F374-E374)+MINUTE(F374-E374)/60),"")</f>
        <v>0.25</v>
      </c>
      <c r="H374" s="230" t="s">
        <v>55</v>
      </c>
      <c r="I374" s="230" t="s">
        <v>509</v>
      </c>
      <c r="J374" s="231" t="s">
        <v>203</v>
      </c>
      <c r="K374" s="176" t="s">
        <v>804</v>
      </c>
    </row>
    <row r="375" spans="2:11" x14ac:dyDescent="0.25">
      <c r="B375" s="235">
        <v>44949</v>
      </c>
      <c r="C375" s="195">
        <v>2</v>
      </c>
      <c r="E375" s="238">
        <v>0.94374999999999998</v>
      </c>
      <c r="F375" s="204">
        <v>0.9555555555555556</v>
      </c>
      <c r="G375" s="193">
        <f>IFERROR(IF(E375&gt;F375,((F375+E376B376+1)-(E375+B378))*24,HOUR(F375-E375)+MINUTE(F375-E375)/60),"")</f>
        <v>0.28333333333333333</v>
      </c>
      <c r="H375" s="230" t="s">
        <v>55</v>
      </c>
      <c r="I375" s="230" t="s">
        <v>509</v>
      </c>
      <c r="J375" s="231" t="s">
        <v>114</v>
      </c>
    </row>
    <row r="376" spans="2:11" x14ac:dyDescent="0.25">
      <c r="B376" s="235">
        <v>44949</v>
      </c>
      <c r="C376" s="195">
        <v>3</v>
      </c>
      <c r="E376" s="238">
        <v>4.1666666666666664E-2</v>
      </c>
      <c r="F376" s="204">
        <v>5.5555555555555552E-2</v>
      </c>
      <c r="G376" s="193">
        <f>IFERROR(IF(E376&gt;F376,((F376+E376B376+1)-(E376+B379))*24,HOUR(F376-E376)+MINUTE(F376-E376)/60),"")</f>
        <v>0.33333333333333331</v>
      </c>
      <c r="H376" s="231" t="s">
        <v>158</v>
      </c>
      <c r="I376" s="230" t="s">
        <v>513</v>
      </c>
      <c r="J376" s="231" t="s">
        <v>495</v>
      </c>
      <c r="K376" s="176" t="s">
        <v>688</v>
      </c>
    </row>
    <row r="377" spans="2:11" x14ac:dyDescent="0.25">
      <c r="B377" s="235">
        <v>44949</v>
      </c>
      <c r="C377" s="195">
        <v>3</v>
      </c>
      <c r="E377" s="238">
        <v>0.18194444444444444</v>
      </c>
      <c r="F377" s="204">
        <v>0.19444444444444445</v>
      </c>
      <c r="G377" s="193">
        <f>IFERROR(IF(E377&gt;F377,((F377+E376B376+1)-(E377+B380))*24,HOUR(F377-E377)+MINUTE(F377-E377)/60),"")</f>
        <v>0.3</v>
      </c>
      <c r="H377" s="231" t="s">
        <v>158</v>
      </c>
      <c r="I377" s="230" t="s">
        <v>513</v>
      </c>
      <c r="J377" s="231" t="s">
        <v>495</v>
      </c>
      <c r="K377" s="176" t="s">
        <v>688</v>
      </c>
    </row>
    <row r="378" spans="2:11" x14ac:dyDescent="0.25">
      <c r="B378" s="235">
        <v>44949</v>
      </c>
      <c r="C378" s="195">
        <v>3</v>
      </c>
      <c r="E378" s="238">
        <v>0.2638888888888889</v>
      </c>
      <c r="F378" s="204">
        <v>0.27499999999999997</v>
      </c>
      <c r="G378" s="193">
        <f>IFERROR(IF(E378&gt;F378,((F378+E376B376+1)-(E378+B381))*24,HOUR(F378-E378)+MINUTE(F378-E378)/60),"")</f>
        <v>0.26666666666666666</v>
      </c>
      <c r="H378" s="231" t="s">
        <v>158</v>
      </c>
      <c r="I378" s="230" t="s">
        <v>513</v>
      </c>
      <c r="J378" s="231" t="s">
        <v>495</v>
      </c>
      <c r="K378" s="176" t="s">
        <v>688</v>
      </c>
    </row>
    <row r="379" spans="2:11" x14ac:dyDescent="0.25">
      <c r="B379" s="235">
        <v>44949</v>
      </c>
      <c r="C379" s="195">
        <v>3</v>
      </c>
      <c r="E379" s="238">
        <v>0.27499999999999997</v>
      </c>
      <c r="F379" s="204">
        <v>0.29166666666666669</v>
      </c>
      <c r="G379" s="193">
        <f>IFERROR(IF(E379&gt;F379,((F379+E376B376+1)-(E379+B382))*24,HOUR(F379-E379)+MINUTE(F379-E379)/60),"")</f>
        <v>0.4</v>
      </c>
      <c r="H379" s="230" t="s">
        <v>55</v>
      </c>
      <c r="I379" s="230" t="s">
        <v>509</v>
      </c>
      <c r="J379" s="231" t="s">
        <v>114</v>
      </c>
    </row>
    <row r="380" spans="2:11" x14ac:dyDescent="0.25">
      <c r="B380" s="235">
        <v>44950</v>
      </c>
      <c r="C380" s="195">
        <v>1</v>
      </c>
      <c r="E380" s="238">
        <v>0.29166666666666669</v>
      </c>
      <c r="F380" s="204">
        <v>0.2986111111111111</v>
      </c>
      <c r="G380" s="193">
        <f>IFERROR(IF(E380&gt;F380,((F380+E376B376+1)-(E380+B383))*24,HOUR(F380-E380)+MINUTE(F380-E380)/60),"")</f>
        <v>0.16666666666666666</v>
      </c>
      <c r="H380" s="230" t="s">
        <v>150</v>
      </c>
      <c r="I380" s="230" t="s">
        <v>509</v>
      </c>
      <c r="J380" s="231" t="s">
        <v>206</v>
      </c>
    </row>
    <row r="381" spans="2:11" x14ac:dyDescent="0.25">
      <c r="B381" s="235">
        <v>44950</v>
      </c>
      <c r="C381" s="195">
        <v>1</v>
      </c>
      <c r="E381" s="238">
        <v>0.37708333333333338</v>
      </c>
      <c r="F381" s="204">
        <v>0.39583333333333331</v>
      </c>
      <c r="G381" s="193">
        <f>IFERROR(IF(E381&gt;F381,((F381+E376B376+1)-(E381+B384))*24,HOUR(F381-E381)+MINUTE(F381-E381)/60),"")</f>
        <v>0.45</v>
      </c>
      <c r="H381" s="230" t="s">
        <v>55</v>
      </c>
      <c r="I381" s="230" t="s">
        <v>511</v>
      </c>
      <c r="J381" s="231" t="s">
        <v>203</v>
      </c>
    </row>
    <row r="382" spans="2:11" x14ac:dyDescent="0.25">
      <c r="B382" s="235">
        <v>44950</v>
      </c>
      <c r="C382" s="233">
        <v>1</v>
      </c>
      <c r="E382" s="238">
        <v>0.40972222222222227</v>
      </c>
      <c r="F382" s="204">
        <v>0.4236111111111111</v>
      </c>
      <c r="G382" s="193">
        <f>IFERROR(IF(E382&gt;F382,((F382+E376B376+1)-(E382+B385))*24,HOUR(F382-E382)+MINUTE(F382-E382)/60),"")</f>
        <v>0.33333333333333331</v>
      </c>
      <c r="H382" s="230" t="s">
        <v>55</v>
      </c>
      <c r="I382" s="230" t="s">
        <v>510</v>
      </c>
      <c r="J382" s="231" t="s">
        <v>222</v>
      </c>
    </row>
    <row r="383" spans="2:11" x14ac:dyDescent="0.25">
      <c r="B383" s="235">
        <v>44950</v>
      </c>
      <c r="C383" s="233">
        <v>1</v>
      </c>
      <c r="E383" s="238">
        <v>0.53611111111111109</v>
      </c>
      <c r="F383" s="204">
        <v>0.54166666666666663</v>
      </c>
      <c r="G383" s="193">
        <f>IFERROR(IF(E383&gt;F383,((F383+E376B376+1)-(E383+B386))*24,HOUR(F383-E383)+MINUTE(F383-E383)/60),"")</f>
        <v>0.13333333333333333</v>
      </c>
      <c r="H383" s="230" t="s">
        <v>55</v>
      </c>
      <c r="I383" s="230" t="s">
        <v>509</v>
      </c>
      <c r="J383" s="231" t="s">
        <v>211</v>
      </c>
    </row>
    <row r="384" spans="2:11" x14ac:dyDescent="0.25">
      <c r="B384" s="235">
        <v>44950</v>
      </c>
      <c r="C384" s="195">
        <v>1</v>
      </c>
      <c r="E384" s="238">
        <v>0.58680555555555558</v>
      </c>
      <c r="F384" s="204">
        <v>0.59722222222222221</v>
      </c>
      <c r="G384" s="193">
        <f>IFERROR(IF(E384&gt;F384,((F384+E376B376+1)-(E384+B387))*24,HOUR(F384-E384)+MINUTE(F384-E384)/60),"")</f>
        <v>0.25</v>
      </c>
      <c r="H384" s="230" t="s">
        <v>55</v>
      </c>
      <c r="I384" s="230" t="s">
        <v>511</v>
      </c>
      <c r="J384" s="231" t="s">
        <v>203</v>
      </c>
    </row>
    <row r="385" spans="2:11" x14ac:dyDescent="0.25">
      <c r="B385" s="235">
        <v>44950</v>
      </c>
      <c r="C385" s="195">
        <v>1</v>
      </c>
      <c r="E385" s="238">
        <v>0.60416666666666663</v>
      </c>
      <c r="F385" s="204">
        <v>0.625</v>
      </c>
      <c r="G385" s="193">
        <f>IFERROR(IF(E385&gt;F385,((F385+E376B376+1)-(E385+B388))*24,HOUR(F385-E385)+MINUTE(F385-E385)/60),"")</f>
        <v>0.5</v>
      </c>
      <c r="H385" s="230" t="s">
        <v>55</v>
      </c>
      <c r="I385" s="230" t="s">
        <v>509</v>
      </c>
      <c r="J385" s="231" t="s">
        <v>114</v>
      </c>
    </row>
    <row r="386" spans="2:11" x14ac:dyDescent="0.25">
      <c r="B386" s="235">
        <v>44950</v>
      </c>
      <c r="C386" s="195">
        <v>2</v>
      </c>
      <c r="E386" s="238">
        <v>0.625</v>
      </c>
      <c r="F386" s="204">
        <v>0.63541666666666663</v>
      </c>
      <c r="G386" s="193">
        <f>IFERROR(IF(E386&gt;F386,((F386+E376B376+1)-(E386+B389))*24,HOUR(F386-E386)+MINUTE(F386-E386)/60),"")</f>
        <v>0.25</v>
      </c>
      <c r="H386" s="230" t="s">
        <v>55</v>
      </c>
      <c r="I386" s="230" t="s">
        <v>509</v>
      </c>
      <c r="J386" s="231" t="s">
        <v>114</v>
      </c>
    </row>
    <row r="387" spans="2:11" x14ac:dyDescent="0.25">
      <c r="B387" s="235">
        <v>44950</v>
      </c>
      <c r="C387" s="195">
        <v>2</v>
      </c>
      <c r="E387" s="238">
        <v>0.64930555555555558</v>
      </c>
      <c r="F387" s="204">
        <v>0.74305555555555547</v>
      </c>
      <c r="G387" s="193">
        <f>IFERROR(IF(E387&gt;F387,((F387+E376B376+1)-(E387+B390))*24,HOUR(F387-E387)+MINUTE(F387-E387)/60),"")</f>
        <v>2.25</v>
      </c>
      <c r="H387" s="230" t="s">
        <v>204</v>
      </c>
      <c r="I387" s="230" t="s">
        <v>509</v>
      </c>
      <c r="J387" s="231" t="s">
        <v>126</v>
      </c>
      <c r="K387" s="176" t="s">
        <v>890</v>
      </c>
    </row>
    <row r="388" spans="2:11" x14ac:dyDescent="0.25">
      <c r="B388" s="235">
        <v>44950</v>
      </c>
      <c r="C388" s="233">
        <v>2</v>
      </c>
      <c r="E388" s="238">
        <v>0.77430555555555547</v>
      </c>
      <c r="F388" s="204">
        <v>0.79166666666666663</v>
      </c>
      <c r="G388" s="193">
        <f>IFERROR(IF(E388&gt;F388,((F388+E376B376+1)-(E388+B391))*24,HOUR(F388-E388)+MINUTE(F388-E388)/60),"")</f>
        <v>0.41666666666666669</v>
      </c>
      <c r="H388" s="230" t="s">
        <v>55</v>
      </c>
      <c r="I388" s="230" t="s">
        <v>509</v>
      </c>
      <c r="J388" s="231" t="s">
        <v>211</v>
      </c>
      <c r="K388" s="176" t="s">
        <v>820</v>
      </c>
    </row>
    <row r="389" spans="2:11" x14ac:dyDescent="0.25">
      <c r="B389" s="235">
        <v>44950</v>
      </c>
      <c r="C389" s="195">
        <v>2</v>
      </c>
      <c r="E389" s="238">
        <v>0.86805555555555547</v>
      </c>
      <c r="F389" s="204">
        <v>0.87847222222222221</v>
      </c>
      <c r="G389" s="193">
        <f>IFERROR(IF(E389&gt;F389,((F389+E376B376+1)-(E389+B392))*24,HOUR(F389-E389)+MINUTE(F389-E389)/60),"")</f>
        <v>0.25</v>
      </c>
      <c r="H389" s="230" t="s">
        <v>142</v>
      </c>
      <c r="I389" s="230" t="s">
        <v>509</v>
      </c>
      <c r="J389" s="231" t="s">
        <v>611</v>
      </c>
    </row>
    <row r="390" spans="2:11" x14ac:dyDescent="0.25">
      <c r="B390" s="235">
        <v>44950</v>
      </c>
      <c r="C390" s="233">
        <v>2</v>
      </c>
      <c r="E390" s="238">
        <v>0.90972222222222221</v>
      </c>
      <c r="F390" s="204">
        <v>0.92013888888888884</v>
      </c>
      <c r="G390" s="193">
        <f>IFERROR(IF(E390&gt;F390,((F390+E376B376+1)-(E390+B393))*24,HOUR(F390-E390)+MINUTE(F390-E390)/60),"")</f>
        <v>0.25</v>
      </c>
      <c r="H390" s="230" t="s">
        <v>142</v>
      </c>
      <c r="I390" s="230" t="s">
        <v>509</v>
      </c>
      <c r="J390" s="231" t="s">
        <v>611</v>
      </c>
    </row>
    <row r="391" spans="2:11" x14ac:dyDescent="0.25">
      <c r="B391" s="235">
        <v>44950</v>
      </c>
      <c r="C391" s="195">
        <v>2</v>
      </c>
      <c r="E391" s="238">
        <v>0.94444444444444453</v>
      </c>
      <c r="F391" s="204">
        <v>0.95833333333333337</v>
      </c>
      <c r="G391" s="193">
        <f>IFERROR(IF(E391&gt;F391,((F391+E376B376+1)-(E391+B394))*24,HOUR(F391-E391)+MINUTE(F391-E391)/60),"")</f>
        <v>0.33333333333333331</v>
      </c>
      <c r="H391" s="230" t="s">
        <v>55</v>
      </c>
      <c r="I391" s="230" t="s">
        <v>509</v>
      </c>
      <c r="J391" s="231" t="s">
        <v>203</v>
      </c>
    </row>
    <row r="392" spans="2:11" x14ac:dyDescent="0.25">
      <c r="B392" s="235">
        <v>44950</v>
      </c>
      <c r="C392" s="195">
        <v>3</v>
      </c>
      <c r="E392" s="238">
        <v>0.95833333333333337</v>
      </c>
      <c r="F392" s="204">
        <v>0.97569444444444453</v>
      </c>
      <c r="G392" s="193">
        <f>IFERROR(IF(E392&gt;F392,((F392+E376B376+1)-(E392+B395))*24,HOUR(F392-E392)+MINUTE(F392-E392)/60),"")</f>
        <v>0.41666666666666669</v>
      </c>
      <c r="H392" s="230" t="s">
        <v>55</v>
      </c>
      <c r="I392" s="230" t="s">
        <v>509</v>
      </c>
      <c r="J392" s="231" t="s">
        <v>211</v>
      </c>
    </row>
    <row r="393" spans="2:11" x14ac:dyDescent="0.25">
      <c r="B393" s="235">
        <v>44950</v>
      </c>
      <c r="C393" s="195">
        <v>3</v>
      </c>
      <c r="E393" s="238">
        <v>0.97569444444444453</v>
      </c>
      <c r="F393" s="204">
        <v>0.99305555555555547</v>
      </c>
      <c r="G393" s="193">
        <f>IFERROR(IF(E393&gt;F393,((F393+E376B376+1)-(E393+B396))*24,HOUR(F393-E393)+MINUTE(F393-E393)/60),"")</f>
        <v>0.41666666666666669</v>
      </c>
      <c r="H393" s="230" t="s">
        <v>198</v>
      </c>
      <c r="I393" s="230" t="s">
        <v>511</v>
      </c>
      <c r="J393" s="231" t="s">
        <v>213</v>
      </c>
      <c r="K393" s="176" t="s">
        <v>891</v>
      </c>
    </row>
    <row r="394" spans="2:11" x14ac:dyDescent="0.25">
      <c r="B394" s="235">
        <v>44950</v>
      </c>
      <c r="C394" s="195">
        <v>3</v>
      </c>
      <c r="E394" s="238">
        <v>2.0833333333333332E-2</v>
      </c>
      <c r="F394" s="204">
        <v>3.125E-2</v>
      </c>
      <c r="G394" s="193">
        <f>IFERROR(IF(E394&gt;F394,((F394+E376B376+1)-(E394+B397))*24,HOUR(F394-E394)+MINUTE(F394-E394)/60),"")</f>
        <v>0.25</v>
      </c>
      <c r="H394" s="230" t="s">
        <v>142</v>
      </c>
      <c r="I394" s="230" t="s">
        <v>509</v>
      </c>
      <c r="J394" s="231" t="s">
        <v>611</v>
      </c>
    </row>
    <row r="395" spans="2:11" x14ac:dyDescent="0.25">
      <c r="B395" s="235">
        <v>44950</v>
      </c>
      <c r="C395" s="195">
        <v>3</v>
      </c>
      <c r="E395" s="238">
        <v>0.22916666666666666</v>
      </c>
      <c r="F395" s="204">
        <v>0.24652777777777779</v>
      </c>
      <c r="G395" s="193">
        <f>IFERROR(IF(E395&gt;F395,((F395+E376B376+1)-(E395+B398))*24,HOUR(F395-E395)+MINUTE(F395-E395)/60),"")</f>
        <v>0.41666666666666669</v>
      </c>
      <c r="H395" s="230" t="s">
        <v>195</v>
      </c>
      <c r="I395" s="230" t="s">
        <v>509</v>
      </c>
      <c r="J395" s="231" t="s">
        <v>213</v>
      </c>
    </row>
    <row r="396" spans="2:11" x14ac:dyDescent="0.25">
      <c r="B396" s="235">
        <v>44950</v>
      </c>
      <c r="C396" s="195">
        <v>3</v>
      </c>
      <c r="E396" s="238">
        <v>0.24652777777777779</v>
      </c>
      <c r="F396" s="204">
        <v>0.25694444444444448</v>
      </c>
      <c r="G396" s="193">
        <f>IFERROR(IF(E396&gt;F396,((F396+E376B376+1)-(E396+B399))*24,HOUR(F396-E396)+MINUTE(F396-E396)/60),"")</f>
        <v>0.25</v>
      </c>
      <c r="H396" s="230" t="s">
        <v>195</v>
      </c>
      <c r="I396" s="230" t="s">
        <v>511</v>
      </c>
      <c r="J396" s="231" t="s">
        <v>758</v>
      </c>
      <c r="K396" s="176" t="s">
        <v>892</v>
      </c>
    </row>
    <row r="397" spans="2:11" x14ac:dyDescent="0.25">
      <c r="B397" s="235">
        <v>44950</v>
      </c>
      <c r="C397" s="195">
        <v>3</v>
      </c>
      <c r="E397" s="238">
        <v>0.27847222222222223</v>
      </c>
      <c r="F397" s="204">
        <v>0.29166666666666669</v>
      </c>
      <c r="G397" s="193">
        <f>IFERROR(IF(E397&gt;F397,((F397+E376B376+1)-(E397+B400))*24,HOUR(F397-E397)+MINUTE(F397-E397)/60),"")</f>
        <v>0.31666666666666665</v>
      </c>
      <c r="H397" s="230" t="s">
        <v>55</v>
      </c>
      <c r="I397" s="230" t="s">
        <v>509</v>
      </c>
      <c r="J397" s="231" t="s">
        <v>114</v>
      </c>
    </row>
    <row r="398" spans="2:11" x14ac:dyDescent="0.25">
      <c r="B398" s="235">
        <v>44951</v>
      </c>
      <c r="C398" s="195">
        <v>1</v>
      </c>
      <c r="E398" s="238">
        <v>0.3923611111111111</v>
      </c>
      <c r="F398" s="204">
        <v>0.40277777777777773</v>
      </c>
      <c r="G398" s="193">
        <f>IFERROR(IF(E398&gt;F398,((F398+E376B376+1)-(E398+B401))*24,HOUR(F398-E398)+MINUTE(F398-E398)/60),"")</f>
        <v>0.25</v>
      </c>
      <c r="H398" s="230" t="s">
        <v>142</v>
      </c>
      <c r="I398" s="230" t="s">
        <v>509</v>
      </c>
      <c r="J398" s="231" t="s">
        <v>611</v>
      </c>
    </row>
    <row r="399" spans="2:11" x14ac:dyDescent="0.25">
      <c r="B399" s="235">
        <v>44951</v>
      </c>
      <c r="C399" s="195">
        <v>1</v>
      </c>
      <c r="E399" s="238">
        <v>0.40972222222222227</v>
      </c>
      <c r="F399" s="204">
        <v>0.5</v>
      </c>
      <c r="G399" s="193">
        <f>IFERROR(IF(E399&gt;F399,((F399+E376B376+1)-(E399+B402))*24,HOUR(F399-E399)+MINUTE(F399-E399)/60),"")</f>
        <v>2.1666666666666665</v>
      </c>
      <c r="H399" s="230" t="s">
        <v>142</v>
      </c>
      <c r="I399" s="230" t="s">
        <v>509</v>
      </c>
      <c r="J399" s="231" t="s">
        <v>614</v>
      </c>
      <c r="K399" s="176" t="s">
        <v>824</v>
      </c>
    </row>
    <row r="400" spans="2:11" x14ac:dyDescent="0.25">
      <c r="B400" s="235">
        <v>44951</v>
      </c>
      <c r="C400" s="195">
        <v>1</v>
      </c>
      <c r="E400" s="238">
        <v>0.55347222222222225</v>
      </c>
      <c r="F400" s="204">
        <v>0.56458333333333333</v>
      </c>
      <c r="G400" s="193">
        <f>IFERROR(IF(E400&gt;F400,((F400+E376B376+1)-(E400+B403))*24,HOUR(F400-E400)+MINUTE(F400-E400)/60),"")</f>
        <v>0.26666666666666666</v>
      </c>
      <c r="H400" s="230" t="s">
        <v>55</v>
      </c>
      <c r="I400" s="230" t="s">
        <v>509</v>
      </c>
      <c r="J400" s="231" t="s">
        <v>203</v>
      </c>
    </row>
    <row r="401" spans="2:11" x14ac:dyDescent="0.25">
      <c r="B401" s="235">
        <v>44951</v>
      </c>
      <c r="C401" s="195">
        <v>1</v>
      </c>
      <c r="E401" s="238">
        <v>0.60902777777777783</v>
      </c>
      <c r="F401" s="204">
        <v>0.62152777777777779</v>
      </c>
      <c r="G401" s="193">
        <f>IFERROR(IF(E401&gt;F401,((F401+E376B376+1)-(E401+B404))*24,HOUR(F401-E401)+MINUTE(F401-E401)/60),"")</f>
        <v>0.3</v>
      </c>
      <c r="H401" s="230" t="s">
        <v>55</v>
      </c>
      <c r="I401" s="230" t="s">
        <v>509</v>
      </c>
      <c r="J401" s="231" t="s">
        <v>114</v>
      </c>
    </row>
    <row r="402" spans="2:11" x14ac:dyDescent="0.25">
      <c r="B402" s="235">
        <v>44951</v>
      </c>
      <c r="C402" s="195">
        <v>2</v>
      </c>
      <c r="E402" s="238">
        <v>0.66041666666666665</v>
      </c>
      <c r="F402" s="204">
        <v>0.67361111111111116</v>
      </c>
      <c r="G402" s="193">
        <f>IFERROR(IF(E402&gt;F402,((F402+E376B376+1)-(E402+B405))*24,HOUR(F402-E402)+MINUTE(F402-E402)/60),"")</f>
        <v>0.31666666666666665</v>
      </c>
      <c r="H402" s="230" t="s">
        <v>55</v>
      </c>
      <c r="I402" s="230" t="s">
        <v>509</v>
      </c>
      <c r="J402" s="231" t="s">
        <v>211</v>
      </c>
      <c r="K402" s="176" t="s">
        <v>684</v>
      </c>
    </row>
    <row r="403" spans="2:11" x14ac:dyDescent="0.25">
      <c r="B403" s="235">
        <v>44951</v>
      </c>
      <c r="C403" s="195">
        <v>2</v>
      </c>
      <c r="E403" s="238">
        <v>0.73472222222222217</v>
      </c>
      <c r="F403" s="204">
        <v>0.74513888888888891</v>
      </c>
      <c r="G403" s="193">
        <f>IFERROR(IF(E403&gt;F403,((F403+E376B376+1)-(E403+B406))*24,HOUR(F403-E403)+MINUTE(F403-E403)/60),"")</f>
        <v>0.25</v>
      </c>
      <c r="H403" s="230" t="s">
        <v>195</v>
      </c>
      <c r="I403" s="230" t="s">
        <v>509</v>
      </c>
      <c r="J403" s="231" t="s">
        <v>110</v>
      </c>
      <c r="K403" s="176" t="s">
        <v>893</v>
      </c>
    </row>
    <row r="404" spans="2:11" x14ac:dyDescent="0.25">
      <c r="B404" s="235">
        <v>44951</v>
      </c>
      <c r="C404" s="195">
        <v>2</v>
      </c>
      <c r="E404" s="238">
        <v>0.77777777777777779</v>
      </c>
      <c r="F404" s="204">
        <v>0.79027777777777775</v>
      </c>
      <c r="G404" s="193">
        <f>IFERROR(IF(E404&gt;F404,((F404+E376B376+1)-(E404+B407))*24,HOUR(F404-E404)+MINUTE(F404-E404)/60),"")</f>
        <v>0.3</v>
      </c>
      <c r="H404" s="230" t="s">
        <v>55</v>
      </c>
      <c r="I404" s="230" t="s">
        <v>509</v>
      </c>
      <c r="J404" s="231" t="s">
        <v>211</v>
      </c>
      <c r="K404" s="176" t="s">
        <v>684</v>
      </c>
    </row>
    <row r="405" spans="2:11" x14ac:dyDescent="0.25">
      <c r="B405" s="235">
        <v>44951</v>
      </c>
      <c r="C405" s="233">
        <v>2</v>
      </c>
      <c r="E405" s="238">
        <v>0.81874999999999998</v>
      </c>
      <c r="F405" s="204">
        <v>0.82986111111111116</v>
      </c>
      <c r="G405" s="193">
        <f>IFERROR(IF(E405&gt;F405,((F405+E376B376+1)-(E405+B408))*24,HOUR(F405-E405)+MINUTE(F405-E405)/60),"")</f>
        <v>0.26666666666666666</v>
      </c>
      <c r="H405" s="230" t="s">
        <v>55</v>
      </c>
      <c r="I405" s="230" t="s">
        <v>509</v>
      </c>
      <c r="J405" s="231" t="s">
        <v>203</v>
      </c>
    </row>
    <row r="406" spans="2:11" x14ac:dyDescent="0.25">
      <c r="B406" s="235">
        <v>44951</v>
      </c>
      <c r="C406" s="233">
        <v>2</v>
      </c>
      <c r="E406" s="238">
        <v>0.85</v>
      </c>
      <c r="F406" s="204">
        <v>0.86111111111111116</v>
      </c>
      <c r="G406" s="193">
        <f>IFERROR(IF(E406&gt;F406,((F406+E376B376+1)-(E406+B409))*24,HOUR(F406-E406)+MINUTE(F406-E406)/60),"")</f>
        <v>0.26666666666666666</v>
      </c>
      <c r="H406" s="231" t="s">
        <v>158</v>
      </c>
      <c r="I406" s="230" t="s">
        <v>509</v>
      </c>
      <c r="J406" s="231" t="s">
        <v>495</v>
      </c>
    </row>
    <row r="407" spans="2:11" x14ac:dyDescent="0.25">
      <c r="B407" s="235">
        <v>44951</v>
      </c>
      <c r="C407" s="233">
        <v>2</v>
      </c>
      <c r="E407" s="238">
        <v>0.8833333333333333</v>
      </c>
      <c r="F407" s="204">
        <v>0.89374999999999993</v>
      </c>
      <c r="G407" s="193">
        <f>IFERROR(IF(E407&gt;F407,((F407+E376B376+1)-(E407+B410))*24,HOUR(F407-E407)+MINUTE(F407-E407)/60),"")</f>
        <v>0.25</v>
      </c>
      <c r="H407" s="230" t="s">
        <v>55</v>
      </c>
      <c r="I407" s="230" t="s">
        <v>509</v>
      </c>
      <c r="J407" s="231" t="s">
        <v>203</v>
      </c>
    </row>
    <row r="408" spans="2:11" x14ac:dyDescent="0.25">
      <c r="B408" s="235">
        <v>44951</v>
      </c>
      <c r="C408" s="233">
        <v>2</v>
      </c>
      <c r="E408" s="238">
        <v>0.93194444444444446</v>
      </c>
      <c r="F408" s="204">
        <v>0.94305555555555554</v>
      </c>
      <c r="G408" s="193">
        <f>IFERROR(IF(E408&gt;F408,((F408+E376B376+1)-(E408+B411))*24,HOUR(F408-E408)+MINUTE(F408-E408)/60),"")</f>
        <v>0.26666666666666666</v>
      </c>
      <c r="H408" s="230" t="s">
        <v>55</v>
      </c>
      <c r="I408" s="230" t="s">
        <v>509</v>
      </c>
      <c r="J408" s="231" t="s">
        <v>203</v>
      </c>
    </row>
    <row r="409" spans="2:11" x14ac:dyDescent="0.25">
      <c r="B409" s="235">
        <v>44951</v>
      </c>
      <c r="C409" s="233">
        <v>2</v>
      </c>
      <c r="E409" s="238">
        <v>0.94305555555555554</v>
      </c>
      <c r="F409" s="204">
        <v>0.95833333333333337</v>
      </c>
      <c r="G409" s="193">
        <f>IFERROR(IF(E409&gt;F409,((F409+E376B376+1)-(E409+B412))*24,HOUR(F409-E409)+MINUTE(F409-E409)/60),"")</f>
        <v>0.36666666666666664</v>
      </c>
      <c r="H409" s="230" t="s">
        <v>55</v>
      </c>
      <c r="I409" s="230" t="s">
        <v>509</v>
      </c>
      <c r="J409" s="231" t="s">
        <v>114</v>
      </c>
    </row>
    <row r="410" spans="2:11" x14ac:dyDescent="0.25">
      <c r="B410" s="235">
        <v>44951</v>
      </c>
      <c r="C410" s="195">
        <v>3</v>
      </c>
      <c r="E410" s="238">
        <v>6.2499999999999995E-3</v>
      </c>
      <c r="F410" s="204">
        <v>1.6666666666666666E-2</v>
      </c>
      <c r="G410" s="193">
        <f>IFERROR(IF(E410&gt;F410,((F410+E376B376+1)-(E410+B413))*24,HOUR(F410-E410)+MINUTE(F410-E410)/60),"")</f>
        <v>0.25</v>
      </c>
      <c r="H410" s="231" t="s">
        <v>158</v>
      </c>
      <c r="I410" s="230" t="s">
        <v>509</v>
      </c>
      <c r="J410" s="231" t="s">
        <v>495</v>
      </c>
    </row>
    <row r="411" spans="2:11" x14ac:dyDescent="0.25">
      <c r="B411" s="235">
        <v>44951</v>
      </c>
      <c r="C411" s="195">
        <v>3</v>
      </c>
      <c r="E411" s="238">
        <v>3.2638888888888891E-2</v>
      </c>
      <c r="F411" s="204">
        <v>4.3750000000000004E-2</v>
      </c>
      <c r="G411" s="193">
        <f>IFERROR(IF(E411&gt;F411,((F411+E376B376+1)-(E411+B414))*24,HOUR(F411-E411)+MINUTE(F411-E411)/60),"")</f>
        <v>0.26666666666666666</v>
      </c>
      <c r="H411" s="230" t="s">
        <v>55</v>
      </c>
      <c r="I411" s="230" t="s">
        <v>509</v>
      </c>
      <c r="J411" s="231" t="s">
        <v>203</v>
      </c>
    </row>
    <row r="412" spans="2:11" x14ac:dyDescent="0.25">
      <c r="B412" s="235">
        <v>44951</v>
      </c>
      <c r="C412" s="195">
        <v>3</v>
      </c>
      <c r="E412" s="238">
        <v>0.14166666666666666</v>
      </c>
      <c r="F412" s="204">
        <v>0.16666666666666666</v>
      </c>
      <c r="G412" s="193">
        <f>IFERROR(IF(E412&gt;F412,((F412+E376B376+1)-(E412+B415))*24,HOUR(F412-E412)+MINUTE(F412-E412)/60),"")</f>
        <v>0.6</v>
      </c>
      <c r="H412" s="230" t="s">
        <v>195</v>
      </c>
      <c r="I412" s="230" t="s">
        <v>509</v>
      </c>
      <c r="J412" s="231" t="s">
        <v>213</v>
      </c>
    </row>
    <row r="413" spans="2:11" x14ac:dyDescent="0.25">
      <c r="B413" s="235">
        <v>44951</v>
      </c>
      <c r="C413" s="195">
        <v>3</v>
      </c>
      <c r="E413" s="238">
        <v>0.18611111111111112</v>
      </c>
      <c r="F413" s="204">
        <v>0.20694444444444446</v>
      </c>
      <c r="G413" s="193">
        <f>IFERROR(IF(E413&gt;F413,((F413+E376B376+1)-(E413+B416))*24,HOUR(F413-E413)+MINUTE(F413-E413)/60),"")</f>
        <v>0.5</v>
      </c>
      <c r="H413" s="230" t="s">
        <v>55</v>
      </c>
      <c r="I413" s="230" t="s">
        <v>509</v>
      </c>
      <c r="J413" s="231" t="s">
        <v>211</v>
      </c>
      <c r="K413" s="176" t="s">
        <v>829</v>
      </c>
    </row>
    <row r="414" spans="2:11" x14ac:dyDescent="0.25">
      <c r="B414" s="235">
        <v>44951</v>
      </c>
      <c r="C414" s="195">
        <v>3</v>
      </c>
      <c r="E414" s="238">
        <v>0.27083333333333331</v>
      </c>
      <c r="F414" s="204">
        <v>0.28125</v>
      </c>
      <c r="G414" s="193">
        <f>IFERROR(IF(E414&gt;F414,((F414+E376B376+1)-(E414+B417))*24,HOUR(F414-E414)+MINUTE(F414-E414)/60),"")</f>
        <v>0.25</v>
      </c>
      <c r="H414" s="230" t="s">
        <v>55</v>
      </c>
      <c r="I414" s="230" t="s">
        <v>509</v>
      </c>
      <c r="J414" s="231" t="s">
        <v>203</v>
      </c>
    </row>
    <row r="415" spans="2:11" x14ac:dyDescent="0.25">
      <c r="B415" s="235">
        <v>44951</v>
      </c>
      <c r="C415" s="195">
        <v>3</v>
      </c>
      <c r="E415" s="238">
        <v>0.28125</v>
      </c>
      <c r="F415" s="204">
        <v>0.29166666666666669</v>
      </c>
      <c r="G415" s="193">
        <f>IFERROR(IF(E415&gt;F415,((F415+E376B376+1)-(E415+B418))*24,HOUR(F415-E415)+MINUTE(F415-E415)/60),"")</f>
        <v>0.25</v>
      </c>
      <c r="H415" s="230" t="s">
        <v>55</v>
      </c>
      <c r="I415" s="230" t="s">
        <v>509</v>
      </c>
      <c r="J415" s="231" t="s">
        <v>114</v>
      </c>
    </row>
    <row r="416" spans="2:11" x14ac:dyDescent="0.25">
      <c r="B416" s="235">
        <v>44952</v>
      </c>
      <c r="C416" s="195">
        <v>1</v>
      </c>
      <c r="E416" s="238">
        <v>0.29166666666666669</v>
      </c>
      <c r="F416" s="204">
        <v>0.3</v>
      </c>
      <c r="G416" s="193">
        <f>IFERROR(IF(E416&gt;F416,((F416+E376B376+1)-(E416+B419))*24,HOUR(F416-E416)+MINUTE(F416-E416)/60),"")</f>
        <v>0.2</v>
      </c>
      <c r="H416" s="230" t="s">
        <v>55</v>
      </c>
      <c r="I416" s="230" t="s">
        <v>509</v>
      </c>
      <c r="J416" s="231" t="s">
        <v>114</v>
      </c>
    </row>
    <row r="417" spans="2:11" x14ac:dyDescent="0.25">
      <c r="B417" s="235">
        <v>44952</v>
      </c>
      <c r="C417" s="233">
        <v>1</v>
      </c>
      <c r="E417" s="238">
        <v>0.36388888888888887</v>
      </c>
      <c r="F417" s="204">
        <v>0.375</v>
      </c>
      <c r="G417" s="193">
        <f>IFERROR(IF(E417&gt;F417,((F417+E376B376+1)-(E417+B420))*24,HOUR(F417-E417)+MINUTE(F417-E417)/60),"")</f>
        <v>0.26666666666666666</v>
      </c>
      <c r="H417" s="230" t="s">
        <v>55</v>
      </c>
      <c r="I417" s="230" t="s">
        <v>509</v>
      </c>
      <c r="J417" s="231" t="s">
        <v>203</v>
      </c>
    </row>
    <row r="418" spans="2:11" x14ac:dyDescent="0.25">
      <c r="B418" s="235">
        <v>44952</v>
      </c>
      <c r="C418" s="233">
        <v>1</v>
      </c>
      <c r="E418" s="238">
        <v>0.41666666666666669</v>
      </c>
      <c r="F418" s="204">
        <v>0.42708333333333331</v>
      </c>
      <c r="G418" s="193">
        <f>IFERROR(IF(E418&gt;F418,((F418+E376B376+1)-(E418+B421))*24,HOUR(F418-E418)+MINUTE(F418-E418)/60),"")</f>
        <v>0.25</v>
      </c>
      <c r="H418" s="230" t="s">
        <v>55</v>
      </c>
      <c r="I418" s="230" t="s">
        <v>509</v>
      </c>
      <c r="J418" s="231" t="s">
        <v>211</v>
      </c>
    </row>
    <row r="419" spans="2:11" x14ac:dyDescent="0.25">
      <c r="B419" s="235">
        <v>44952</v>
      </c>
      <c r="C419" s="233">
        <v>1</v>
      </c>
      <c r="E419" s="238">
        <v>0.42708333333333331</v>
      </c>
      <c r="F419" s="204">
        <v>0.44097222222222227</v>
      </c>
      <c r="G419" s="193">
        <f>IFERROR(IF(E419&gt;F419,((F419+E376B376+1)-(E419+B422))*24,HOUR(F419-E419)+MINUTE(F419-E419)/60),"")</f>
        <v>0.33333333333333331</v>
      </c>
      <c r="H419" s="230" t="s">
        <v>195</v>
      </c>
      <c r="I419" s="230" t="s">
        <v>509</v>
      </c>
      <c r="J419" s="231" t="s">
        <v>123</v>
      </c>
    </row>
    <row r="420" spans="2:11" x14ac:dyDescent="0.25">
      <c r="B420" s="235">
        <v>44952</v>
      </c>
      <c r="C420" s="195">
        <v>1</v>
      </c>
      <c r="E420" s="238">
        <v>0.44097222222222227</v>
      </c>
      <c r="F420" s="204">
        <v>0.46458333333333335</v>
      </c>
      <c r="G420" s="193">
        <f>IFERROR(IF(E420&gt;F420,((F420+E376B376+1)-(E420+B424))*24,HOUR(F420-E420)+MINUTE(F420-E420)/60),"")</f>
        <v>0.56666666666666665</v>
      </c>
      <c r="H420" s="230" t="s">
        <v>152</v>
      </c>
      <c r="I420" s="230" t="s">
        <v>510</v>
      </c>
      <c r="J420" s="231" t="s">
        <v>222</v>
      </c>
    </row>
    <row r="421" spans="2:11" x14ac:dyDescent="0.25">
      <c r="B421" s="235">
        <v>44952</v>
      </c>
      <c r="C421" s="195">
        <v>1</v>
      </c>
      <c r="E421" s="238">
        <v>0.46458333333333335</v>
      </c>
      <c r="F421" s="204">
        <v>0.54236111111111118</v>
      </c>
      <c r="G421" s="193">
        <f>IFERROR(IF(E421&gt;F421,((F421+E376B376+1)-(E421+B425))*24,HOUR(F421-E421)+MINUTE(F421-E421)/60),"")</f>
        <v>1.8666666666666667</v>
      </c>
      <c r="H421" s="230" t="s">
        <v>55</v>
      </c>
      <c r="I421" s="230" t="s">
        <v>509</v>
      </c>
      <c r="J421" s="231" t="s">
        <v>123</v>
      </c>
    </row>
    <row r="422" spans="2:11" x14ac:dyDescent="0.25">
      <c r="B422" s="235">
        <v>44952</v>
      </c>
      <c r="C422" s="195">
        <v>1</v>
      </c>
      <c r="E422" s="238">
        <v>0.62152777777777779</v>
      </c>
      <c r="F422" s="204">
        <v>0.625</v>
      </c>
      <c r="G422" s="193">
        <f>IFERROR(IF(E422&gt;F422,((F422+E376B376+1)-(E422+B426))*24,HOUR(F422-E422)+MINUTE(F422-E422)/60),"")</f>
        <v>8.3333333333333329E-2</v>
      </c>
      <c r="H422" s="230" t="s">
        <v>55</v>
      </c>
      <c r="I422" s="230" t="s">
        <v>509</v>
      </c>
      <c r="J422" s="231" t="s">
        <v>114</v>
      </c>
    </row>
    <row r="423" spans="2:11" s="233" customFormat="1" x14ac:dyDescent="0.25">
      <c r="B423" s="235">
        <v>44952</v>
      </c>
      <c r="C423" s="233">
        <v>2</v>
      </c>
      <c r="E423" s="238">
        <v>0.625</v>
      </c>
      <c r="F423" s="204">
        <v>0.62986111111111109</v>
      </c>
      <c r="G423" s="193">
        <f>IFERROR(IF(E423&gt;F423,((F423+E376B376+1)-(E423+B427))*24,HOUR(F423-E423)+MINUTE(F423-E423)/60),"")</f>
        <v>0.11666666666666667</v>
      </c>
      <c r="H423" s="230" t="s">
        <v>55</v>
      </c>
      <c r="I423" s="230" t="s">
        <v>509</v>
      </c>
      <c r="J423" s="231" t="s">
        <v>114</v>
      </c>
      <c r="K423" s="176"/>
    </row>
    <row r="424" spans="2:11" x14ac:dyDescent="0.25">
      <c r="B424" s="235">
        <v>44952</v>
      </c>
      <c r="C424" s="195">
        <v>2</v>
      </c>
      <c r="E424" s="238">
        <v>0.72013888888888899</v>
      </c>
      <c r="F424" s="204">
        <v>0.74305555555555547</v>
      </c>
      <c r="G424" s="193">
        <f>IFERROR(IF(E424&gt;F424,((F424+E376B376+1)-(E424+B427))*24,HOUR(F424-E424)+MINUTE(F424-E424)/60),"")</f>
        <v>0.55000000000000004</v>
      </c>
      <c r="H424" s="230" t="s">
        <v>55</v>
      </c>
      <c r="I424" s="230" t="s">
        <v>509</v>
      </c>
      <c r="J424" s="231" t="s">
        <v>211</v>
      </c>
    </row>
    <row r="425" spans="2:11" x14ac:dyDescent="0.25">
      <c r="B425" s="235">
        <v>44952</v>
      </c>
      <c r="C425" s="233">
        <v>2</v>
      </c>
      <c r="E425" s="238">
        <v>0.74444444444444446</v>
      </c>
      <c r="F425" s="204">
        <v>0.77430555555555547</v>
      </c>
      <c r="G425" s="193">
        <f>IFERROR(IF(E425&gt;F425,((F425+E376B376+1)-(E425+B428))*24,HOUR(F425-E425)+MINUTE(F425-E425)/60),"")</f>
        <v>0.71666666666666667</v>
      </c>
      <c r="H425" s="230" t="s">
        <v>55</v>
      </c>
      <c r="I425" s="230" t="s">
        <v>510</v>
      </c>
      <c r="J425" s="231" t="s">
        <v>213</v>
      </c>
      <c r="K425" s="176" t="s">
        <v>894</v>
      </c>
    </row>
    <row r="426" spans="2:11" x14ac:dyDescent="0.25">
      <c r="B426" s="235">
        <v>44952</v>
      </c>
      <c r="C426" s="233">
        <v>2</v>
      </c>
      <c r="E426" s="238">
        <v>0.84861111111111109</v>
      </c>
      <c r="F426" s="204">
        <v>0.86111111111111116</v>
      </c>
      <c r="G426" s="193">
        <f>IFERROR(IF(E426&gt;F426,((F426+E376B376+1)-(E426+B429))*24,HOUR(F426-E426)+MINUTE(F426-E426)/60),"")</f>
        <v>0.3</v>
      </c>
      <c r="H426" s="230" t="s">
        <v>55</v>
      </c>
      <c r="I426" s="230" t="s">
        <v>510</v>
      </c>
      <c r="J426" s="231" t="s">
        <v>213</v>
      </c>
      <c r="K426" s="176" t="s">
        <v>894</v>
      </c>
    </row>
    <row r="427" spans="2:11" x14ac:dyDescent="0.25">
      <c r="B427" s="235">
        <v>44952</v>
      </c>
      <c r="C427" s="195">
        <v>2</v>
      </c>
      <c r="E427" s="238">
        <v>0.94861111111111107</v>
      </c>
      <c r="F427" s="204">
        <v>0.95833333333333337</v>
      </c>
      <c r="G427" s="193">
        <f>IFERROR(IF(E427&gt;F427,((F427+E376B376+1)-(E427+B430))*24,HOUR(F427-E427)+MINUTE(F427-E427)/60),"")</f>
        <v>0.23333333333333334</v>
      </c>
      <c r="H427" s="230" t="s">
        <v>55</v>
      </c>
      <c r="I427" s="230" t="s">
        <v>509</v>
      </c>
      <c r="J427" s="231" t="s">
        <v>114</v>
      </c>
    </row>
    <row r="428" spans="2:11" x14ac:dyDescent="0.25">
      <c r="B428" s="235">
        <v>44952</v>
      </c>
      <c r="C428" s="195">
        <v>3</v>
      </c>
      <c r="E428" s="238">
        <v>0.95833333333333337</v>
      </c>
      <c r="F428" s="204">
        <v>0.97013888888888899</v>
      </c>
      <c r="G428" s="193">
        <f>IFERROR(IF(E428&gt;F428,((F428+E376B376+1)-(E428+B431))*24,HOUR(F428-E428)+MINUTE(F428-E428)/60),"")</f>
        <v>0.28333333333333333</v>
      </c>
      <c r="H428" s="230" t="s">
        <v>198</v>
      </c>
      <c r="I428" s="230" t="s">
        <v>511</v>
      </c>
      <c r="J428" s="231" t="s">
        <v>213</v>
      </c>
    </row>
    <row r="429" spans="2:11" x14ac:dyDescent="0.25">
      <c r="B429" s="235">
        <v>44952</v>
      </c>
      <c r="C429" s="195">
        <v>3</v>
      </c>
      <c r="E429" s="238">
        <v>0.97013888888888899</v>
      </c>
      <c r="F429" s="204">
        <v>0.97638888888888886</v>
      </c>
      <c r="G429" s="193">
        <f>IFERROR(IF(E429&gt;F429,((F429+E376B376+1)-(E429+B432))*24,HOUR(F429-E429)+MINUTE(F429-E429)/60),"")</f>
        <v>0.15</v>
      </c>
      <c r="H429" s="230" t="s">
        <v>195</v>
      </c>
      <c r="I429" s="230" t="s">
        <v>509</v>
      </c>
      <c r="J429" s="231" t="s">
        <v>213</v>
      </c>
      <c r="K429" s="176" t="s">
        <v>834</v>
      </c>
    </row>
    <row r="430" spans="2:11" x14ac:dyDescent="0.25">
      <c r="B430" s="235">
        <v>44952</v>
      </c>
      <c r="C430" s="195">
        <v>3</v>
      </c>
      <c r="D430" s="238">
        <v>5.2083333333333336E-2</v>
      </c>
      <c r="E430" s="238">
        <v>5.2083333333333336E-2</v>
      </c>
      <c r="F430" s="204">
        <v>6.25E-2</v>
      </c>
      <c r="G430" s="193">
        <f>IFERROR(IF(E430&gt;F430,((F430+E376B376+1)-(E430+B433))*24,HOUR(F430-E430)+MINUTE(F430-E430)/60),"")</f>
        <v>0.25</v>
      </c>
      <c r="H430" s="230" t="s">
        <v>55</v>
      </c>
      <c r="I430" s="230" t="s">
        <v>509</v>
      </c>
      <c r="J430" s="231" t="s">
        <v>203</v>
      </c>
    </row>
    <row r="431" spans="2:11" x14ac:dyDescent="0.25">
      <c r="B431" s="235">
        <v>44952</v>
      </c>
      <c r="C431" s="195">
        <v>3</v>
      </c>
      <c r="E431" s="238">
        <v>0.24652777777777779</v>
      </c>
      <c r="F431" s="204">
        <v>0.2638888888888889</v>
      </c>
      <c r="G431" s="193">
        <f>IFERROR(IF(E431&gt;F431,((F431+E376B376+1)-(E431+B434))*24,HOUR(F431-E431)+MINUTE(F431-E431)/60),"")</f>
        <v>0.41666666666666669</v>
      </c>
      <c r="H431" s="230" t="s">
        <v>55</v>
      </c>
      <c r="I431" s="230" t="s">
        <v>509</v>
      </c>
      <c r="J431" s="231" t="s">
        <v>211</v>
      </c>
    </row>
    <row r="432" spans="2:11" x14ac:dyDescent="0.25">
      <c r="B432" s="235">
        <v>44952</v>
      </c>
      <c r="C432" s="195">
        <v>3</v>
      </c>
      <c r="E432" s="238">
        <v>0.27430555555555552</v>
      </c>
      <c r="F432" s="204">
        <v>0.28472222222222221</v>
      </c>
      <c r="G432" s="193">
        <f>IFERROR(IF(E432&gt;F432,((F432+E376B376+1)-(E432+B435))*24,HOUR(F432-E432)+MINUTE(F432-E432)/60),"")</f>
        <v>0.25</v>
      </c>
      <c r="H432" s="230" t="s">
        <v>178</v>
      </c>
      <c r="I432" s="230" t="s">
        <v>509</v>
      </c>
      <c r="J432" s="231" t="s">
        <v>604</v>
      </c>
    </row>
    <row r="433" spans="2:11" x14ac:dyDescent="0.25">
      <c r="B433" s="235">
        <v>44952</v>
      </c>
      <c r="C433" s="195">
        <v>1</v>
      </c>
      <c r="E433" s="238">
        <v>0.28472222222222221</v>
      </c>
      <c r="F433" s="204">
        <v>0.29166666666666669</v>
      </c>
      <c r="G433" s="193">
        <f>IFERROR(IF(E433&gt;F433,((F433+E376B376+1)-(E433+B437))*24,HOUR(F433-E433)+MINUTE(F433-E433)/60),"")</f>
        <v>0.16666666666666666</v>
      </c>
      <c r="H433" s="230" t="s">
        <v>55</v>
      </c>
      <c r="I433" s="230" t="s">
        <v>509</v>
      </c>
      <c r="J433" s="231" t="s">
        <v>114</v>
      </c>
    </row>
    <row r="434" spans="2:11" x14ac:dyDescent="0.25">
      <c r="B434" s="235">
        <v>44953</v>
      </c>
      <c r="C434" s="195">
        <v>1</v>
      </c>
      <c r="E434" s="238">
        <v>0.29166666666666669</v>
      </c>
      <c r="F434" s="204">
        <v>0.30208333333333331</v>
      </c>
      <c r="G434" s="193">
        <f>IFERROR(IF(E434&gt;F434,((F434+E376B376+1)-(E434+B438))*24,HOUR(F434-E434)+MINUTE(F434-E434)/60),"")</f>
        <v>0.25</v>
      </c>
      <c r="H434" s="230" t="s">
        <v>55</v>
      </c>
      <c r="I434" s="230" t="s">
        <v>509</v>
      </c>
      <c r="J434" s="231" t="s">
        <v>114</v>
      </c>
    </row>
    <row r="435" spans="2:11" s="233" customFormat="1" x14ac:dyDescent="0.25">
      <c r="B435" s="235">
        <v>44953</v>
      </c>
      <c r="C435" s="233">
        <v>1</v>
      </c>
      <c r="E435" s="238">
        <v>0.30208333333333331</v>
      </c>
      <c r="F435" s="204">
        <v>0.3125</v>
      </c>
      <c r="G435" s="193">
        <f>IFERROR(IF(E435&gt;F435,((F435+E376B376+1)-(E435+B439))*24,HOUR(F435-E435)+MINUTE(F435-E435)/60),"")</f>
        <v>0.25</v>
      </c>
      <c r="H435" s="230" t="s">
        <v>55</v>
      </c>
      <c r="I435" s="230" t="s">
        <v>509</v>
      </c>
      <c r="J435" s="231" t="s">
        <v>211</v>
      </c>
      <c r="K435" s="176"/>
    </row>
    <row r="436" spans="2:11" s="233" customFormat="1" x14ac:dyDescent="0.25">
      <c r="B436" s="235">
        <v>44953</v>
      </c>
      <c r="C436" s="233">
        <v>1</v>
      </c>
      <c r="E436" s="238">
        <v>0.3125</v>
      </c>
      <c r="F436" s="204">
        <v>0.31944444444444448</v>
      </c>
      <c r="G436" s="193">
        <f>IFERROR(IF(E436&gt;F436,((F436+E376B376+1)-(E436+B440))*24,HOUR(F436-E436)+MINUTE(F436-E436)/60),"")</f>
        <v>0.16666666666666666</v>
      </c>
      <c r="H436" s="230" t="s">
        <v>181</v>
      </c>
      <c r="I436" s="230" t="s">
        <v>509</v>
      </c>
      <c r="J436" s="231" t="s">
        <v>604</v>
      </c>
      <c r="K436" s="176"/>
    </row>
    <row r="437" spans="2:11" x14ac:dyDescent="0.25">
      <c r="B437" s="235">
        <v>44953</v>
      </c>
      <c r="C437" s="233">
        <v>1</v>
      </c>
      <c r="E437" s="238">
        <v>0.32500000000000001</v>
      </c>
      <c r="F437" s="204">
        <v>0.3347222222222222</v>
      </c>
      <c r="G437" s="193">
        <f>IFERROR(IF(E437&gt;F437,((F437+E376B376+1)-(E437+B441))*24,HOUR(F437-E437)+MINUTE(F437-E437)/60),"")</f>
        <v>0.23333333333333334</v>
      </c>
      <c r="H437" s="230" t="s">
        <v>181</v>
      </c>
      <c r="I437" s="230" t="s">
        <v>509</v>
      </c>
      <c r="J437" s="231" t="s">
        <v>604</v>
      </c>
    </row>
    <row r="438" spans="2:11" x14ac:dyDescent="0.25">
      <c r="B438" s="235">
        <v>44953</v>
      </c>
      <c r="C438" s="233">
        <v>1</v>
      </c>
      <c r="E438" s="238">
        <v>0.33888888888888885</v>
      </c>
      <c r="F438" s="204">
        <v>0.35069444444444442</v>
      </c>
      <c r="G438" s="193">
        <f>IFERROR(IF(E438&gt;F438,((F438+E376B376+1)-(E438+B443))*24,HOUR(F438-E438)+MINUTE(F438-E438)/60),"")</f>
        <v>0.28333333333333333</v>
      </c>
      <c r="H438" s="230" t="s">
        <v>55</v>
      </c>
      <c r="I438" s="230" t="s">
        <v>509</v>
      </c>
      <c r="J438" s="231" t="s">
        <v>203</v>
      </c>
    </row>
    <row r="439" spans="2:11" x14ac:dyDescent="0.25">
      <c r="B439" s="235">
        <v>44953</v>
      </c>
      <c r="C439" s="233">
        <v>1</v>
      </c>
      <c r="E439" s="238">
        <v>0.38680555555555557</v>
      </c>
      <c r="F439" s="204">
        <v>0.40208333333333335</v>
      </c>
      <c r="G439" s="193">
        <f>IFERROR(IF(E439&gt;F439,((F439+E376B376+1)-(E439+B444))*24,HOUR(F439-E439)+MINUTE(F439-E439)/60),"")</f>
        <v>0.36666666666666664</v>
      </c>
      <c r="H439" s="230" t="s">
        <v>195</v>
      </c>
      <c r="I439" s="230" t="s">
        <v>509</v>
      </c>
      <c r="J439" s="231" t="s">
        <v>110</v>
      </c>
    </row>
    <row r="440" spans="2:11" x14ac:dyDescent="0.25">
      <c r="B440" s="235">
        <v>44953</v>
      </c>
      <c r="C440" s="233">
        <v>1</v>
      </c>
      <c r="E440" s="238">
        <v>0.40972222222222227</v>
      </c>
      <c r="F440" s="204">
        <v>0.4284722222222222</v>
      </c>
      <c r="G440" s="193">
        <f>IFERROR(IF(E440&gt;F440,((F440+E376B376+1)-(E440+B445))*24,HOUR(F440-E440)+MINUTE(F440-E440)/60),"")</f>
        <v>0.45</v>
      </c>
      <c r="H440" s="230" t="s">
        <v>55</v>
      </c>
      <c r="I440" s="230" t="s">
        <v>509</v>
      </c>
      <c r="J440" s="231" t="s">
        <v>203</v>
      </c>
    </row>
    <row r="441" spans="2:11" x14ac:dyDescent="0.25">
      <c r="B441" s="235">
        <v>44953</v>
      </c>
      <c r="C441" s="233">
        <v>1</v>
      </c>
      <c r="E441" s="238">
        <v>0.58124999999999993</v>
      </c>
      <c r="F441" s="204">
        <v>0.625</v>
      </c>
      <c r="G441" s="193">
        <f>IFERROR(IF(E441&gt;F441,((F441+E376B376+1)-(E441+B446))*24,HOUR(F441-E441)+MINUTE(F441-E441)/60),"")</f>
        <v>1.05</v>
      </c>
      <c r="H441" s="230" t="s">
        <v>55</v>
      </c>
      <c r="I441" s="230" t="s">
        <v>509</v>
      </c>
      <c r="J441" s="231" t="s">
        <v>211</v>
      </c>
      <c r="K441" s="176" t="s">
        <v>895</v>
      </c>
    </row>
    <row r="442" spans="2:11" s="233" customFormat="1" x14ac:dyDescent="0.25">
      <c r="B442" s="235">
        <v>44953</v>
      </c>
      <c r="C442" s="233">
        <v>2</v>
      </c>
      <c r="E442" s="238">
        <v>0.625</v>
      </c>
      <c r="F442" s="204">
        <v>0.63124999999999998</v>
      </c>
      <c r="G442" s="193">
        <f>IFERROR(IF(E442&gt;F442,((F442+E376B376+1)-(E442+B447))*24,HOUR(F442-E442)+MINUTE(F442-E442)/60),"")</f>
        <v>0.15</v>
      </c>
      <c r="H442" s="230" t="s">
        <v>55</v>
      </c>
      <c r="I442" s="230" t="s">
        <v>509</v>
      </c>
      <c r="J442" s="231" t="s">
        <v>211</v>
      </c>
      <c r="K442" s="176"/>
    </row>
    <row r="443" spans="2:11" x14ac:dyDescent="0.25">
      <c r="B443" s="235">
        <v>44953</v>
      </c>
      <c r="C443" s="195">
        <v>2</v>
      </c>
      <c r="E443" s="238">
        <v>0.64722222222222225</v>
      </c>
      <c r="F443" s="204">
        <v>0.65763888888888888</v>
      </c>
      <c r="G443" s="193">
        <f>IFERROR(IF(E443&gt;F443,((F443+E376B376+1)-(E443+B447))*24,HOUR(F443-E443)+MINUTE(F443-E443)/60),"")</f>
        <v>0.25</v>
      </c>
      <c r="H443" s="231" t="s">
        <v>158</v>
      </c>
      <c r="I443" s="230" t="s">
        <v>509</v>
      </c>
      <c r="J443" s="231" t="s">
        <v>495</v>
      </c>
      <c r="K443" s="176" t="s">
        <v>896</v>
      </c>
    </row>
    <row r="444" spans="2:11" x14ac:dyDescent="0.25">
      <c r="B444" s="235">
        <v>44953</v>
      </c>
      <c r="C444" s="195">
        <v>2</v>
      </c>
      <c r="E444" s="238">
        <v>0.77638888888888891</v>
      </c>
      <c r="F444" s="204">
        <v>0.78680555555555554</v>
      </c>
      <c r="G444" s="193">
        <f>IFERROR(IF(E444&gt;F444,((F444+E376B376+1)-(E444+B448))*24,HOUR(F444-E444)+MINUTE(F444-E444)/60),"")</f>
        <v>0.25</v>
      </c>
      <c r="H444" s="231" t="s">
        <v>158</v>
      </c>
      <c r="I444" s="230" t="s">
        <v>509</v>
      </c>
      <c r="J444" s="231" t="s">
        <v>495</v>
      </c>
      <c r="K444" s="176" t="s">
        <v>896</v>
      </c>
    </row>
    <row r="445" spans="2:11" x14ac:dyDescent="0.25">
      <c r="B445" s="235">
        <v>44953</v>
      </c>
      <c r="C445" s="195">
        <v>2</v>
      </c>
      <c r="E445" s="238">
        <v>0.78680555555555554</v>
      </c>
      <c r="F445" s="204">
        <v>0.80208333333333337</v>
      </c>
      <c r="G445" s="193">
        <f>IFERROR(IF(E445&gt;F445,((F445+E376B376+1)-(E445+B449))*24,HOUR(F445-E445)+MINUTE(F445-E445)/60),"")</f>
        <v>0.36666666666666664</v>
      </c>
      <c r="H445" s="230" t="s">
        <v>55</v>
      </c>
      <c r="I445" s="230" t="s">
        <v>509</v>
      </c>
      <c r="J445" s="231" t="s">
        <v>211</v>
      </c>
    </row>
    <row r="446" spans="2:11" x14ac:dyDescent="0.25">
      <c r="B446" s="235">
        <v>44953</v>
      </c>
      <c r="C446" s="195">
        <v>2</v>
      </c>
      <c r="E446" s="238">
        <v>0.9458333333333333</v>
      </c>
      <c r="F446" s="204">
        <v>0.95833333333333337</v>
      </c>
      <c r="G446" s="193">
        <f>IFERROR(IF(E446&gt;F446,((F446+E376B376+1)-(E446+B450))*24,HOUR(F446-E446)+MINUTE(F446-E446)/60),"")</f>
        <v>0.3</v>
      </c>
      <c r="H446" s="230" t="s">
        <v>55</v>
      </c>
      <c r="I446" s="230" t="s">
        <v>509</v>
      </c>
      <c r="J446" s="231" t="s">
        <v>114</v>
      </c>
    </row>
    <row r="447" spans="2:11" x14ac:dyDescent="0.25">
      <c r="B447" s="235">
        <v>44953</v>
      </c>
      <c r="C447" s="195">
        <v>3</v>
      </c>
      <c r="E447" s="238">
        <v>0.97222222222222221</v>
      </c>
      <c r="F447" s="204">
        <v>0.98402777777777783</v>
      </c>
      <c r="G447" s="193">
        <f>IFERROR(IF(E447&gt;F447,((F447+E376B376+1)-(E447+B451))*24,HOUR(F447-E447)+MINUTE(F447-E447)/60),"")</f>
        <v>0.28333333333333333</v>
      </c>
      <c r="H447" s="230" t="s">
        <v>142</v>
      </c>
      <c r="I447" s="230" t="s">
        <v>511</v>
      </c>
      <c r="J447" s="231" t="s">
        <v>200</v>
      </c>
    </row>
    <row r="448" spans="2:11" x14ac:dyDescent="0.25">
      <c r="B448" s="235">
        <v>44953</v>
      </c>
      <c r="C448" s="195">
        <v>3</v>
      </c>
      <c r="E448" s="238">
        <v>2.0833333333333332E-2</v>
      </c>
      <c r="F448" s="204">
        <v>3.125E-2</v>
      </c>
      <c r="G448" s="193">
        <f>IFERROR(IF(E448&gt;F448,((F448+E376B376+1)-(E448+B452))*24,HOUR(F448-E448)+MINUTE(F448-E448)/60),"")</f>
        <v>0.25</v>
      </c>
      <c r="H448" s="230" t="s">
        <v>176</v>
      </c>
      <c r="I448" s="230" t="s">
        <v>511</v>
      </c>
      <c r="J448" s="231" t="s">
        <v>200</v>
      </c>
      <c r="K448" s="176" t="s">
        <v>688</v>
      </c>
    </row>
    <row r="449" spans="2:11" x14ac:dyDescent="0.25">
      <c r="B449" s="235">
        <v>44953</v>
      </c>
      <c r="C449" s="195">
        <v>3</v>
      </c>
      <c r="E449" s="238">
        <v>5.8333333333333327E-2</v>
      </c>
      <c r="F449" s="204">
        <v>6.8749999999999992E-2</v>
      </c>
      <c r="G449" s="193">
        <f>IFERROR(IF(E449&gt;F449,((F449+E376B376+1)-(E449+B453))*24,HOUR(F449-E449)+MINUTE(F449-E449)/60),"")</f>
        <v>0.25</v>
      </c>
      <c r="H449" s="230" t="s">
        <v>55</v>
      </c>
      <c r="I449" s="230" t="s">
        <v>511</v>
      </c>
      <c r="J449" s="231" t="s">
        <v>203</v>
      </c>
    </row>
    <row r="450" spans="2:11" x14ac:dyDescent="0.25">
      <c r="B450" s="235">
        <v>44953</v>
      </c>
      <c r="C450" s="195">
        <v>3</v>
      </c>
      <c r="E450" s="238">
        <v>0.1875</v>
      </c>
      <c r="F450" s="204">
        <v>0.19791666666666666</v>
      </c>
      <c r="G450" s="193">
        <f>IFERROR(IF(E450&gt;F450,((F450+E376B376+1)-(E450+B454))*24,HOUR(F450-E450)+MINUTE(F450-E450)/60),"")</f>
        <v>0.25</v>
      </c>
      <c r="H450" s="230" t="s">
        <v>55</v>
      </c>
      <c r="I450" s="230" t="s">
        <v>509</v>
      </c>
      <c r="J450" s="231" t="s">
        <v>211</v>
      </c>
    </row>
    <row r="451" spans="2:11" x14ac:dyDescent="0.25">
      <c r="B451" s="235">
        <v>44953</v>
      </c>
      <c r="C451" s="195">
        <v>3</v>
      </c>
      <c r="E451" s="238">
        <v>0.2673611111111111</v>
      </c>
      <c r="F451" s="204">
        <v>0.27777777777777779</v>
      </c>
      <c r="G451" s="193">
        <f>IFERROR(IF(E451&gt;F451,((F451+E376B376+1)-(E451+B455))*24,HOUR(F451-E451)+MINUTE(F451-E451)/60),"")</f>
        <v>0.25</v>
      </c>
      <c r="H451" s="230" t="s">
        <v>55</v>
      </c>
      <c r="I451" s="230" t="s">
        <v>511</v>
      </c>
      <c r="J451" s="231" t="s">
        <v>203</v>
      </c>
    </row>
    <row r="452" spans="2:11" x14ac:dyDescent="0.25">
      <c r="B452" s="235">
        <v>44953</v>
      </c>
      <c r="C452" s="195">
        <v>3</v>
      </c>
      <c r="E452" s="238">
        <v>0.27777777777777779</v>
      </c>
      <c r="F452" s="204">
        <v>0.29166666666666669</v>
      </c>
      <c r="G452" s="193">
        <f>IFERROR(IF(E452&gt;F452,((F452+E376B376+1)-(E452+B456))*24,HOUR(F452-E452)+MINUTE(F452-E452)/60),"")</f>
        <v>0.33333333333333331</v>
      </c>
      <c r="H452" s="230" t="s">
        <v>55</v>
      </c>
      <c r="I452" s="230" t="s">
        <v>509</v>
      </c>
      <c r="J452" s="231" t="s">
        <v>114</v>
      </c>
    </row>
    <row r="453" spans="2:11" x14ac:dyDescent="0.25">
      <c r="B453" s="235">
        <v>44954</v>
      </c>
      <c r="C453" s="195">
        <v>1</v>
      </c>
      <c r="E453" s="238">
        <v>0.29166666666666669</v>
      </c>
      <c r="F453" s="204">
        <v>0.31527777777777777</v>
      </c>
      <c r="G453" s="193">
        <f>IFERROR(IF(E453&gt;F453,((F453+E376B376+1)-(E453+B457))*24,HOUR(F453-E453)+MINUTE(F453-E453)/60),"")</f>
        <v>0.56666666666666665</v>
      </c>
      <c r="H453" s="230" t="s">
        <v>55</v>
      </c>
      <c r="I453" s="230" t="s">
        <v>509</v>
      </c>
      <c r="J453" s="231" t="s">
        <v>114</v>
      </c>
    </row>
    <row r="454" spans="2:11" x14ac:dyDescent="0.25">
      <c r="B454" s="235">
        <v>44954</v>
      </c>
      <c r="C454" s="195">
        <v>1</v>
      </c>
      <c r="E454" s="238">
        <v>0.375</v>
      </c>
      <c r="F454" s="204">
        <v>0.50416666666666665</v>
      </c>
      <c r="G454" s="193">
        <f>IFERROR(IF(E454&gt;F454,((F454+E376B376+1)-(E454+B458))*24,HOUR(F454-E454)+MINUTE(F454-E454)/60),"")</f>
        <v>3.1</v>
      </c>
      <c r="H454" s="230" t="s">
        <v>204</v>
      </c>
      <c r="I454" s="230" t="s">
        <v>509</v>
      </c>
      <c r="J454" s="231" t="s">
        <v>126</v>
      </c>
    </row>
    <row r="455" spans="2:11" x14ac:dyDescent="0.25">
      <c r="B455" s="235">
        <v>44954</v>
      </c>
      <c r="C455" s="195">
        <v>1</v>
      </c>
      <c r="E455" s="238">
        <v>0.53402777777777777</v>
      </c>
      <c r="F455" s="204">
        <v>0.5444444444444444</v>
      </c>
      <c r="G455" s="193">
        <f>IFERROR(IF(E455&gt;F455,((F455+E376B376+1)-(E455+B459))*24,HOUR(F455-E455)+MINUTE(F455-E455)/60),"")</f>
        <v>0.25</v>
      </c>
      <c r="H455" s="230" t="s">
        <v>207</v>
      </c>
      <c r="I455" s="230" t="s">
        <v>513</v>
      </c>
      <c r="J455" s="231" t="s">
        <v>154</v>
      </c>
      <c r="K455" s="176" t="s">
        <v>864</v>
      </c>
    </row>
    <row r="456" spans="2:11" x14ac:dyDescent="0.25">
      <c r="B456" s="235">
        <v>44954</v>
      </c>
      <c r="C456" s="233">
        <v>1</v>
      </c>
      <c r="E456" s="238">
        <v>0.60416666666666663</v>
      </c>
      <c r="F456" s="204">
        <v>0.625</v>
      </c>
      <c r="G456" s="193">
        <f>IFERROR(IF(E456&gt;F456,((F456+E376B376+1)-(E456+B460))*24,HOUR(F456-E456)+MINUTE(F456-E456)/60),"")</f>
        <v>0.5</v>
      </c>
      <c r="H456" s="230" t="s">
        <v>55</v>
      </c>
      <c r="I456" s="230" t="s">
        <v>509</v>
      </c>
      <c r="J456" s="231" t="s">
        <v>114</v>
      </c>
    </row>
    <row r="457" spans="2:11" x14ac:dyDescent="0.25">
      <c r="B457" s="235">
        <v>44954</v>
      </c>
      <c r="C457" s="195">
        <v>2</v>
      </c>
      <c r="E457" s="238">
        <v>0.625</v>
      </c>
      <c r="F457" s="204">
        <v>0.62847222222222221</v>
      </c>
      <c r="G457" s="193">
        <f>IFERROR(IF(E457&gt;F457,((F457+E376B376+1)-(E457+B461))*24,HOUR(F457-E457)+MINUTE(F457-E457)/60),"")</f>
        <v>8.3333333333333329E-2</v>
      </c>
      <c r="H457" s="230" t="s">
        <v>55</v>
      </c>
      <c r="I457" s="230" t="s">
        <v>509</v>
      </c>
      <c r="J457" s="231" t="s">
        <v>114</v>
      </c>
    </row>
    <row r="458" spans="2:11" x14ac:dyDescent="0.25">
      <c r="B458" s="235">
        <v>44954</v>
      </c>
      <c r="C458" s="195">
        <v>2</v>
      </c>
      <c r="E458" s="238">
        <v>0.65625</v>
      </c>
      <c r="F458" s="204">
        <v>0.66666666666666663</v>
      </c>
      <c r="G458" s="193">
        <f>IFERROR(IF(E458&gt;F458,((F458+E376B376+1)-(E458+B462))*24,HOUR(F458-E458)+MINUTE(F458-E458)/60),"")</f>
        <v>0.25</v>
      </c>
      <c r="H458" s="230" t="s">
        <v>55</v>
      </c>
      <c r="I458" s="230" t="s">
        <v>511</v>
      </c>
      <c r="J458" s="231" t="s">
        <v>203</v>
      </c>
    </row>
    <row r="459" spans="2:11" x14ac:dyDescent="0.25">
      <c r="B459" s="235">
        <v>44954</v>
      </c>
      <c r="C459" s="195">
        <v>2</v>
      </c>
      <c r="E459" s="238">
        <v>0.68055555555555547</v>
      </c>
      <c r="F459" s="204">
        <v>0.69097222222222221</v>
      </c>
      <c r="G459" s="193">
        <f>IFERROR(IF(E459&gt;F459,((F459+E376B376+1)-(E459+B463))*24,HOUR(F459-E459)+MINUTE(F459-E459)/60),"")</f>
        <v>0.25</v>
      </c>
      <c r="H459" s="230" t="s">
        <v>55</v>
      </c>
      <c r="I459" s="230" t="s">
        <v>511</v>
      </c>
      <c r="J459" s="231" t="s">
        <v>203</v>
      </c>
    </row>
    <row r="460" spans="2:11" x14ac:dyDescent="0.25">
      <c r="B460" s="235">
        <v>44954</v>
      </c>
      <c r="C460" s="233">
        <v>2</v>
      </c>
      <c r="E460" s="238">
        <v>0.73263888888888884</v>
      </c>
      <c r="F460" s="204">
        <v>0.74305555555555547</v>
      </c>
      <c r="G460" s="193">
        <f>IFERROR(IF(E460&gt;F460,((F460+E376B376+1)-(E460+B464))*24,HOUR(F460-E460)+MINUTE(F460-E460)/60),"")</f>
        <v>0.25</v>
      </c>
      <c r="H460" s="230" t="s">
        <v>55</v>
      </c>
      <c r="I460" s="230" t="s">
        <v>511</v>
      </c>
      <c r="J460" s="231" t="s">
        <v>203</v>
      </c>
    </row>
    <row r="461" spans="2:11" x14ac:dyDescent="0.25">
      <c r="B461" s="235">
        <v>44954</v>
      </c>
      <c r="C461" s="195">
        <v>2</v>
      </c>
      <c r="E461" s="238">
        <v>0.77083333333333337</v>
      </c>
      <c r="F461" s="204">
        <v>0.78125</v>
      </c>
      <c r="G461" s="193">
        <f>IFERROR(IF(E461&gt;F461,((F461+E376B376+1)-(E461+B465))*24,HOUR(F461-E461)+MINUTE(F461-E461)/60),"")</f>
        <v>0.25</v>
      </c>
      <c r="H461" s="230" t="s">
        <v>55</v>
      </c>
      <c r="I461" s="230" t="s">
        <v>509</v>
      </c>
      <c r="J461" s="231" t="s">
        <v>211</v>
      </c>
    </row>
    <row r="462" spans="2:11" x14ac:dyDescent="0.25">
      <c r="B462" s="235">
        <v>44954</v>
      </c>
      <c r="C462" s="195">
        <v>2</v>
      </c>
      <c r="E462" s="238">
        <v>0.88888888888888884</v>
      </c>
      <c r="F462" s="204">
        <v>0.89930555555555547</v>
      </c>
      <c r="G462" s="193">
        <f>IFERROR(IF(E462&gt;F462,((F462+E376B376+1)-(E462+B466))*24,HOUR(F462-E462)+MINUTE(F462-E462)/60),"")</f>
        <v>0.25</v>
      </c>
      <c r="H462" s="230" t="s">
        <v>55</v>
      </c>
      <c r="I462" s="230" t="s">
        <v>511</v>
      </c>
      <c r="J462" s="231" t="s">
        <v>203</v>
      </c>
    </row>
    <row r="463" spans="2:11" x14ac:dyDescent="0.25">
      <c r="B463" s="235">
        <v>44954</v>
      </c>
      <c r="C463" s="195">
        <v>2</v>
      </c>
      <c r="E463" s="238">
        <v>0.94444444444444453</v>
      </c>
      <c r="F463" s="204">
        <v>0.95833333333333337</v>
      </c>
      <c r="G463" s="193">
        <f>IFERROR(IF(E463&gt;F463,((F463+E376B376+1)-(E463+B467))*24,HOUR(F463-E463)+MINUTE(F463-E463)/60),"")</f>
        <v>0.33333333333333331</v>
      </c>
      <c r="H463" s="230" t="s">
        <v>55</v>
      </c>
      <c r="I463" s="230" t="s">
        <v>509</v>
      </c>
      <c r="J463" s="231" t="s">
        <v>114</v>
      </c>
    </row>
    <row r="464" spans="2:11" x14ac:dyDescent="0.25">
      <c r="B464" s="235">
        <v>44954</v>
      </c>
      <c r="C464" s="195">
        <v>3</v>
      </c>
      <c r="E464" s="238">
        <v>0.97777777777777775</v>
      </c>
      <c r="F464" s="204">
        <v>1.0048611111111112</v>
      </c>
      <c r="G464" s="193">
        <f>IFERROR(IF(E464&gt;F464,((F464+E376B376+1)-(E464+B468))*24,HOUR(F464-E464)+MINUTE(F464-E464)/60),"")</f>
        <v>0.65</v>
      </c>
      <c r="H464" s="231" t="s">
        <v>152</v>
      </c>
      <c r="I464" s="230" t="s">
        <v>511</v>
      </c>
      <c r="J464" s="231" t="s">
        <v>118</v>
      </c>
      <c r="K464" s="176" t="s">
        <v>867</v>
      </c>
    </row>
    <row r="465" spans="2:11" x14ac:dyDescent="0.25">
      <c r="B465" s="235">
        <v>44954</v>
      </c>
      <c r="C465" s="233">
        <v>3</v>
      </c>
      <c r="D465" s="233"/>
      <c r="E465" s="238">
        <v>0.16319444444444445</v>
      </c>
      <c r="F465" s="204">
        <v>0.17361111111111113</v>
      </c>
      <c r="G465" s="193">
        <f>IFERROR(IF(E465&gt;F465,((F465+E376B376+1)-(E465+B469))*24,HOUR(F465-E465)+MINUTE(F465-E465)/60),"")</f>
        <v>0.25</v>
      </c>
      <c r="H465" s="230" t="s">
        <v>55</v>
      </c>
      <c r="I465" s="230" t="s">
        <v>511</v>
      </c>
      <c r="J465" s="231" t="s">
        <v>203</v>
      </c>
    </row>
    <row r="466" spans="2:11" x14ac:dyDescent="0.25">
      <c r="B466" s="235">
        <v>44954</v>
      </c>
      <c r="C466" s="233">
        <v>3</v>
      </c>
      <c r="D466" s="233"/>
      <c r="E466" s="238">
        <v>0.27777777777777779</v>
      </c>
      <c r="F466" s="204">
        <v>0.29166666666666669</v>
      </c>
      <c r="G466" s="193">
        <f>IFERROR(IF(E466&gt;F466,((F466+E376B376+1)-(E466+B470))*24,HOUR(F466-E466)+MINUTE(F466-E466)/60),"")</f>
        <v>0.33333333333333331</v>
      </c>
      <c r="H466" s="230" t="s">
        <v>55</v>
      </c>
      <c r="I466" s="230" t="s">
        <v>511</v>
      </c>
      <c r="J466" s="231" t="s">
        <v>203</v>
      </c>
    </row>
    <row r="467" spans="2:11" x14ac:dyDescent="0.25">
      <c r="B467" s="235">
        <v>44955</v>
      </c>
      <c r="C467" s="233">
        <v>1</v>
      </c>
      <c r="D467" s="233"/>
      <c r="E467" s="238">
        <v>0.29166666666666669</v>
      </c>
      <c r="F467" s="204">
        <v>0.3125</v>
      </c>
      <c r="G467" s="193">
        <f>IFERROR(IF(E467&gt;F467,((F467+E376B376+1)-(E467+B471))*24,HOUR(F467-E467)+MINUTE(F467-E467)/60),"")</f>
        <v>0.5</v>
      </c>
      <c r="H467" s="230" t="s">
        <v>55</v>
      </c>
      <c r="I467" s="230" t="s">
        <v>509</v>
      </c>
      <c r="J467" s="231" t="s">
        <v>114</v>
      </c>
    </row>
    <row r="468" spans="2:11" x14ac:dyDescent="0.25">
      <c r="B468" s="235">
        <v>44955</v>
      </c>
      <c r="C468" s="233">
        <v>1</v>
      </c>
      <c r="D468" s="233"/>
      <c r="E468" s="238">
        <v>0.3125</v>
      </c>
      <c r="F468" s="204">
        <v>0.35416666666666669</v>
      </c>
      <c r="G468" s="193">
        <f>IFERROR(IF(E468&gt;F468,((F468+E376B376+1)-(E468+B472))*24,HOUR(F468-E468)+MINUTE(F468-E468)/60),"")</f>
        <v>1</v>
      </c>
      <c r="H468" s="230" t="s">
        <v>158</v>
      </c>
      <c r="I468" s="230" t="s">
        <v>509</v>
      </c>
      <c r="J468" s="231" t="s">
        <v>563</v>
      </c>
    </row>
    <row r="469" spans="2:11" x14ac:dyDescent="0.25">
      <c r="B469" s="235">
        <v>44955</v>
      </c>
      <c r="C469" s="233">
        <v>1</v>
      </c>
      <c r="D469" s="233"/>
      <c r="E469" s="238">
        <v>0.3611111111111111</v>
      </c>
      <c r="F469" s="204">
        <v>0.37847222222222227</v>
      </c>
      <c r="G469" s="193">
        <f>IFERROR(IF(E469&gt;F469,((F469+E376B376+1)-(E469+B473))*24,HOUR(F469-E469)+MINUTE(F469-E469)/60),"")</f>
        <v>0.41666666666666669</v>
      </c>
      <c r="H469" s="230" t="s">
        <v>55</v>
      </c>
      <c r="I469" s="230" t="s">
        <v>511</v>
      </c>
      <c r="J469" s="231" t="s">
        <v>118</v>
      </c>
    </row>
    <row r="470" spans="2:11" x14ac:dyDescent="0.25">
      <c r="B470" s="235">
        <v>44955</v>
      </c>
      <c r="C470" s="233">
        <v>1</v>
      </c>
      <c r="D470" s="233"/>
      <c r="E470" s="238">
        <v>0.37847222222222227</v>
      </c>
      <c r="F470" s="204">
        <v>0.4201388888888889</v>
      </c>
      <c r="G470" s="193">
        <f>IFERROR(IF(E470&gt;F470,((F470+E376B376+1)-(E470+B474))*24,HOUR(F470-E470)+MINUTE(F470-E470)/60),"")</f>
        <v>1</v>
      </c>
      <c r="H470" s="230" t="s">
        <v>158</v>
      </c>
      <c r="I470" s="230" t="s">
        <v>512</v>
      </c>
      <c r="J470" s="231" t="s">
        <v>106</v>
      </c>
      <c r="K470" s="176" t="s">
        <v>897</v>
      </c>
    </row>
    <row r="471" spans="2:11" x14ac:dyDescent="0.25">
      <c r="B471" s="235">
        <v>44955</v>
      </c>
      <c r="C471" s="233">
        <v>1</v>
      </c>
      <c r="D471" s="233"/>
      <c r="E471" s="238">
        <v>0.57291666666666663</v>
      </c>
      <c r="F471" s="204">
        <v>0.58333333333333337</v>
      </c>
      <c r="G471" s="193">
        <f>IFERROR(IF(E471&gt;F471,((F471+E376B376+1)-(E471+B475))*24,HOUR(F471-E471)+MINUTE(F471-E471)/60),"")</f>
        <v>0.25</v>
      </c>
      <c r="H471" s="230" t="s">
        <v>55</v>
      </c>
      <c r="I471" s="230" t="s">
        <v>509</v>
      </c>
      <c r="J471" s="231" t="s">
        <v>211</v>
      </c>
    </row>
    <row r="472" spans="2:11" x14ac:dyDescent="0.25">
      <c r="B472" s="235">
        <v>44955</v>
      </c>
      <c r="C472" s="233">
        <v>1</v>
      </c>
      <c r="D472" s="233"/>
      <c r="E472" s="238">
        <v>0.60763888888888895</v>
      </c>
      <c r="F472" s="204">
        <v>0.625</v>
      </c>
      <c r="G472" s="193">
        <f>IFERROR(IF(E472&gt;F472,((F472+E376B376+1)-(E472+B476))*24,HOUR(F472-E472)+MINUTE(F472-E472)/60),"")</f>
        <v>0.41666666666666669</v>
      </c>
      <c r="H472" s="230" t="s">
        <v>55</v>
      </c>
      <c r="I472" s="230" t="s">
        <v>509</v>
      </c>
      <c r="J472" s="231" t="s">
        <v>114</v>
      </c>
    </row>
    <row r="473" spans="2:11" x14ac:dyDescent="0.25">
      <c r="B473" s="235">
        <v>44955</v>
      </c>
      <c r="C473" s="233">
        <v>2</v>
      </c>
      <c r="D473" s="233"/>
      <c r="E473" s="238">
        <v>0.65972222222222221</v>
      </c>
      <c r="F473" s="204">
        <v>0.67013888888888884</v>
      </c>
      <c r="G473" s="193">
        <f>IFERROR(IF(E473&gt;F473,((F473+E376B376+1)-(E473+B477))*24,HOUR(F473-E473)+MINUTE(F473-E473)/60),"")</f>
        <v>0.25</v>
      </c>
      <c r="H473" s="230" t="s">
        <v>55</v>
      </c>
      <c r="I473" s="230" t="s">
        <v>511</v>
      </c>
      <c r="J473" s="231" t="s">
        <v>203</v>
      </c>
    </row>
    <row r="474" spans="2:11" x14ac:dyDescent="0.25">
      <c r="B474" s="235">
        <v>44955</v>
      </c>
      <c r="C474" s="233">
        <v>2</v>
      </c>
      <c r="D474" s="233"/>
      <c r="E474" s="238">
        <v>0.75347222222222221</v>
      </c>
      <c r="F474" s="204">
        <v>0.76388888888888884</v>
      </c>
      <c r="G474" s="193">
        <f>IFERROR(IF(E474&gt;F474,((F474+E376B376+1)-(E474+B478))*24,HOUR(F474-E474)+MINUTE(F474-E474)/60),"")</f>
        <v>0.25</v>
      </c>
      <c r="H474" s="230" t="s">
        <v>195</v>
      </c>
      <c r="I474" s="230" t="s">
        <v>511</v>
      </c>
      <c r="J474" s="231" t="s">
        <v>69</v>
      </c>
      <c r="K474" s="176" t="s">
        <v>898</v>
      </c>
    </row>
    <row r="475" spans="2:11" x14ac:dyDescent="0.25">
      <c r="B475" s="235">
        <v>44955</v>
      </c>
      <c r="C475" s="233">
        <v>2</v>
      </c>
      <c r="D475" s="233"/>
      <c r="E475" s="238">
        <v>0.77430555555555547</v>
      </c>
      <c r="F475" s="204">
        <v>0.78472222222222221</v>
      </c>
      <c r="G475" s="193">
        <f>IFERROR(IF(E475&gt;F475,((F475+E376B376+1)-(E475+B479))*24,HOUR(F475-E475)+MINUTE(F475-E475)/60),"")</f>
        <v>0.25</v>
      </c>
      <c r="H475" s="230" t="s">
        <v>207</v>
      </c>
      <c r="I475" s="230" t="s">
        <v>513</v>
      </c>
      <c r="J475" s="231" t="s">
        <v>154</v>
      </c>
      <c r="K475" s="176" t="s">
        <v>866</v>
      </c>
    </row>
    <row r="476" spans="2:11" x14ac:dyDescent="0.25">
      <c r="B476" s="235">
        <v>44955</v>
      </c>
      <c r="C476" s="195">
        <v>2</v>
      </c>
      <c r="E476" s="238">
        <v>0.89583333333333337</v>
      </c>
      <c r="F476" s="204">
        <v>0.90625</v>
      </c>
      <c r="G476" s="193">
        <f>IFERROR(IF(E476&gt;F476,((F476+E376B376+1)-(E476+B480))*24,HOUR(F476-E476)+MINUTE(F476-E476)/60),"")</f>
        <v>0.25</v>
      </c>
      <c r="H476" s="230" t="s">
        <v>147</v>
      </c>
      <c r="I476" s="230" t="s">
        <v>511</v>
      </c>
      <c r="J476" s="231" t="s">
        <v>69</v>
      </c>
      <c r="K476" s="176" t="s">
        <v>898</v>
      </c>
    </row>
    <row r="477" spans="2:11" x14ac:dyDescent="0.25">
      <c r="B477" s="235">
        <v>44955</v>
      </c>
      <c r="C477" s="233">
        <v>2</v>
      </c>
      <c r="E477" s="238">
        <v>0.94097222222222221</v>
      </c>
      <c r="F477" s="204">
        <v>0.95833333333333337</v>
      </c>
      <c r="G477" s="193">
        <f>IFERROR(IF(E477&gt;F477,((F477+E376B376+1)-(E477+B481))*24,HOUR(F477-E477)+MINUTE(F477-E477)/60),"")</f>
        <v>0.41666666666666669</v>
      </c>
      <c r="H477" s="230" t="s">
        <v>55</v>
      </c>
      <c r="I477" s="230" t="s">
        <v>509</v>
      </c>
      <c r="J477" s="231" t="s">
        <v>114</v>
      </c>
    </row>
    <row r="478" spans="2:11" x14ac:dyDescent="0.25">
      <c r="B478" s="235">
        <v>44955</v>
      </c>
      <c r="C478" s="195">
        <v>3</v>
      </c>
      <c r="E478" s="238">
        <v>0.95833333333333337</v>
      </c>
      <c r="F478" s="204">
        <v>0.97916666666666663</v>
      </c>
      <c r="G478" s="193">
        <f>IFERROR(IF(E478&gt;F478,((F478+E376B376+1)-(E478+B482))*24,HOUR(F478-E478)+MINUTE(F478-E478)/60),"")</f>
        <v>0.5</v>
      </c>
      <c r="H478" s="230" t="s">
        <v>55</v>
      </c>
      <c r="I478" s="230" t="s">
        <v>513</v>
      </c>
      <c r="J478" s="231" t="s">
        <v>529</v>
      </c>
    </row>
    <row r="479" spans="2:11" x14ac:dyDescent="0.25">
      <c r="B479" s="235">
        <v>44955</v>
      </c>
      <c r="C479" s="195">
        <v>3</v>
      </c>
      <c r="E479" s="238">
        <v>0.97916666666666663</v>
      </c>
      <c r="F479" s="204">
        <v>0.99097222222222225</v>
      </c>
      <c r="G479" s="193">
        <f>IFERROR(IF(E479&gt;F479,((F479+E376B376+1)-(E479+B483))*24,HOUR(F479-E479)+MINUTE(F479-E479)/60),"")</f>
        <v>0.28333333333333333</v>
      </c>
      <c r="H479" s="230" t="s">
        <v>55</v>
      </c>
      <c r="I479" s="230" t="s">
        <v>509</v>
      </c>
      <c r="J479" s="231" t="s">
        <v>211</v>
      </c>
    </row>
    <row r="480" spans="2:11" x14ac:dyDescent="0.25">
      <c r="B480" s="235">
        <v>44955</v>
      </c>
      <c r="C480" s="195">
        <v>3</v>
      </c>
      <c r="E480" s="238">
        <v>1.0416666666666666E-2</v>
      </c>
      <c r="F480" s="204">
        <v>2.9861111111111113E-2</v>
      </c>
      <c r="G480" s="193">
        <f>IFERROR(IF(E480&gt;F480,((F480+E376B376+1)-(E480+B484))*24,HOUR(F480-E480)+MINUTE(F480-E480)/60),"")</f>
        <v>0.46666666666666667</v>
      </c>
      <c r="H480" s="230" t="s">
        <v>55</v>
      </c>
      <c r="I480" s="230" t="s">
        <v>509</v>
      </c>
      <c r="J480" s="231" t="s">
        <v>598</v>
      </c>
      <c r="K480" s="176" t="s">
        <v>899</v>
      </c>
    </row>
    <row r="481" spans="2:12" x14ac:dyDescent="0.25">
      <c r="B481" s="235">
        <v>44955</v>
      </c>
      <c r="C481" s="195">
        <v>3</v>
      </c>
      <c r="E481" s="238">
        <v>0.27916666666666667</v>
      </c>
      <c r="F481" s="204">
        <v>0.29166666666666669</v>
      </c>
      <c r="G481" s="193">
        <f>IFERROR(IF(E481&gt;F481,((F481+E376B376+1)-(E481+B485))*24,HOUR(F481-E481)+MINUTE(F481-E481)/60),"")</f>
        <v>0.3</v>
      </c>
      <c r="H481" s="230" t="s">
        <v>55</v>
      </c>
      <c r="I481" s="230" t="s">
        <v>509</v>
      </c>
      <c r="J481" s="231" t="s">
        <v>114</v>
      </c>
    </row>
    <row r="482" spans="2:12" x14ac:dyDescent="0.25">
      <c r="B482" s="235">
        <v>44956</v>
      </c>
      <c r="C482" s="195">
        <v>1</v>
      </c>
      <c r="E482" s="238">
        <v>0.29166666666666669</v>
      </c>
      <c r="F482" s="204">
        <v>0.375</v>
      </c>
      <c r="G482" s="193">
        <f>IFERROR(IF(E482&gt;F482,((F482+E376B376+1)-(E482+B486))*24,HOUR(F482-E482)+MINUTE(F482-E482)/60),"")</f>
        <v>2</v>
      </c>
      <c r="H482" s="230" t="s">
        <v>55</v>
      </c>
      <c r="I482" s="230" t="s">
        <v>513</v>
      </c>
      <c r="J482" s="231" t="s">
        <v>229</v>
      </c>
    </row>
    <row r="483" spans="2:12" x14ac:dyDescent="0.25">
      <c r="B483" s="235">
        <v>44956</v>
      </c>
      <c r="C483" s="195">
        <v>1</v>
      </c>
      <c r="E483" s="238">
        <v>0.375</v>
      </c>
      <c r="F483" s="204">
        <v>0.42499999999999999</v>
      </c>
      <c r="G483" s="193">
        <f>IFERROR(IF(E483&gt;F483,((F483+E376B376+1)-(E483+B487))*24,HOUR(F483-E483)+MINUTE(F483-E483)/60),"")</f>
        <v>1.2</v>
      </c>
      <c r="H483" s="230" t="s">
        <v>55</v>
      </c>
      <c r="I483" s="230" t="s">
        <v>509</v>
      </c>
      <c r="J483" s="231" t="s">
        <v>211</v>
      </c>
    </row>
    <row r="484" spans="2:12" x14ac:dyDescent="0.25">
      <c r="B484" s="235">
        <v>44956</v>
      </c>
      <c r="C484" s="195">
        <v>1</v>
      </c>
      <c r="E484" s="238">
        <v>0.46458333333333335</v>
      </c>
      <c r="F484" s="204">
        <v>0.47916666666666669</v>
      </c>
      <c r="G484" s="193">
        <f>IFERROR(IF(E484&gt;F484,((F484+E376B376+1)-(E484+B488))*24,HOUR(F484-E484)+MINUTE(F484-E484)/60),"")</f>
        <v>0.35</v>
      </c>
      <c r="H484" s="230" t="s">
        <v>55</v>
      </c>
      <c r="I484" s="230" t="s">
        <v>510</v>
      </c>
      <c r="J484" s="231" t="s">
        <v>624</v>
      </c>
      <c r="K484" s="176" t="s">
        <v>900</v>
      </c>
    </row>
    <row r="485" spans="2:12" x14ac:dyDescent="0.25">
      <c r="B485" s="235">
        <v>44956</v>
      </c>
      <c r="C485" s="195">
        <v>1</v>
      </c>
      <c r="E485" s="238">
        <v>0.47916666666666669</v>
      </c>
      <c r="F485" s="204">
        <v>0.625</v>
      </c>
      <c r="G485" s="193">
        <f>IFERROR(IF(E485&gt;F485,((F485+E376B376+1)-(E485+B489))*24,HOUR(F485-E485)+MINUTE(F485-E485)/60),"")</f>
        <v>3.5</v>
      </c>
      <c r="I485" s="230" t="s">
        <v>156</v>
      </c>
      <c r="J485" s="231" t="s">
        <v>149</v>
      </c>
    </row>
    <row r="486" spans="2:12" x14ac:dyDescent="0.25">
      <c r="B486" s="235">
        <v>44956</v>
      </c>
      <c r="C486" s="195">
        <v>2</v>
      </c>
      <c r="E486" s="238">
        <v>0.625</v>
      </c>
      <c r="F486" s="204">
        <v>0.95833333333333337</v>
      </c>
      <c r="G486" s="193">
        <f>IFERROR(IF(E486&gt;F486,((F486+E376B376+1)-(E486+B490))*24,HOUR(F486-E486)+MINUTE(F486-E486)/60),"")</f>
        <v>8</v>
      </c>
      <c r="I486" s="230" t="s">
        <v>156</v>
      </c>
      <c r="J486" s="231" t="s">
        <v>149</v>
      </c>
    </row>
    <row r="487" spans="2:12" x14ac:dyDescent="0.25">
      <c r="B487" s="235">
        <v>44956</v>
      </c>
      <c r="C487" s="195">
        <v>3</v>
      </c>
      <c r="E487" s="238">
        <v>0.95833333333333337</v>
      </c>
      <c r="F487" s="204">
        <v>0.29166666666666669</v>
      </c>
      <c r="G487" s="193">
        <v>8</v>
      </c>
      <c r="I487" s="230" t="s">
        <v>156</v>
      </c>
      <c r="J487" s="231" t="s">
        <v>149</v>
      </c>
    </row>
    <row r="488" spans="2:12" x14ac:dyDescent="0.25">
      <c r="B488" s="235">
        <v>44957</v>
      </c>
      <c r="C488" s="195">
        <v>1</v>
      </c>
      <c r="E488" s="238">
        <v>0.29166666666666669</v>
      </c>
      <c r="F488" s="204">
        <v>0.625</v>
      </c>
      <c r="G488" s="193">
        <f>IFERROR(IF(E488&gt;F488,((F488+E376B376+1)-(E488+B492))*24,HOUR(F488-E488)+MINUTE(F488-E488)/60),"")</f>
        <v>8</v>
      </c>
      <c r="I488" s="230" t="s">
        <v>156</v>
      </c>
      <c r="J488" s="231" t="s">
        <v>149</v>
      </c>
    </row>
    <row r="489" spans="2:12" x14ac:dyDescent="0.25">
      <c r="B489" s="235">
        <v>44957</v>
      </c>
      <c r="C489" s="195">
        <v>3</v>
      </c>
      <c r="E489" s="238">
        <v>0.96875</v>
      </c>
      <c r="F489" s="204">
        <v>0.98263888888888884</v>
      </c>
      <c r="G489" s="193">
        <f>IFERROR(IF(E489&gt;F489,((F489+E376B376+1)-(E489+B493))*24,HOUR(F489-E489)+MINUTE(F489-E489)/60),"")</f>
        <v>0.33333333333333331</v>
      </c>
      <c r="H489" s="230" t="s">
        <v>55</v>
      </c>
      <c r="I489" s="230" t="s">
        <v>509</v>
      </c>
      <c r="J489" s="231" t="s">
        <v>211</v>
      </c>
    </row>
    <row r="490" spans="2:12" x14ac:dyDescent="0.25">
      <c r="B490" s="235">
        <v>44957</v>
      </c>
      <c r="C490" s="195">
        <v>3</v>
      </c>
      <c r="E490" s="238">
        <v>0.98611111111111116</v>
      </c>
      <c r="F490" s="204">
        <v>0.99652777777777779</v>
      </c>
      <c r="G490" s="193">
        <f>IFERROR(IF(E490&gt;F490,((F490+E376B376+1)-(E490+B494))*24,HOUR(F490-E490)+MINUTE(F490-E490)/60),"")</f>
        <v>0.25</v>
      </c>
      <c r="H490" s="273" t="s">
        <v>184</v>
      </c>
      <c r="I490" s="230" t="s">
        <v>509</v>
      </c>
      <c r="J490" s="231" t="s">
        <v>213</v>
      </c>
      <c r="K490" s="176" t="s">
        <v>853</v>
      </c>
      <c r="L490" s="176" t="s">
        <v>834</v>
      </c>
    </row>
    <row r="491" spans="2:12" x14ac:dyDescent="0.25">
      <c r="B491" s="235">
        <v>44957</v>
      </c>
      <c r="C491" s="195">
        <v>3</v>
      </c>
      <c r="E491" s="238">
        <v>0.12152777777777778</v>
      </c>
      <c r="F491" s="204">
        <v>0.13194444444444445</v>
      </c>
      <c r="G491" s="193">
        <f>IFERROR(IF(E491&gt;F491,((F491+E376B376+1)-(E491+B495))*24,HOUR(F491-E491)+MINUTE(F491-E491)/60),"")</f>
        <v>0.25</v>
      </c>
      <c r="H491" s="230" t="s">
        <v>55</v>
      </c>
      <c r="I491" s="230" t="s">
        <v>511</v>
      </c>
      <c r="J491" s="231" t="s">
        <v>203</v>
      </c>
    </row>
    <row r="492" spans="2:12" x14ac:dyDescent="0.25">
      <c r="B492" s="235">
        <v>44957</v>
      </c>
      <c r="C492" s="233">
        <v>3</v>
      </c>
      <c r="E492" s="238">
        <v>0.25555555555555559</v>
      </c>
      <c r="F492" s="204">
        <v>0.2638888888888889</v>
      </c>
      <c r="G492" s="193">
        <f>IFERROR(IF(E492&gt;F492,((F492+E376B376+1)-(E492+B496))*24,HOUR(F492-E492)+MINUTE(F492-E492)/60),"")</f>
        <v>0.2</v>
      </c>
      <c r="H492" s="230" t="s">
        <v>187</v>
      </c>
      <c r="I492" s="230" t="s">
        <v>511</v>
      </c>
      <c r="J492" s="231" t="s">
        <v>200</v>
      </c>
    </row>
    <row r="493" spans="2:12" x14ac:dyDescent="0.25">
      <c r="B493" s="235">
        <v>44957</v>
      </c>
      <c r="C493" s="195">
        <v>3</v>
      </c>
      <c r="E493" s="238">
        <v>0.27430555555555552</v>
      </c>
      <c r="F493" s="204">
        <v>0.29166666666666669</v>
      </c>
      <c r="G493" s="193">
        <f>IFERROR(IF(E493&gt;F493,((F493+E376B376+1)-(E493+B498))*24,HOUR(F493-E493)+MINUTE(F493-E493)/60),"")</f>
        <v>0.41666666666666669</v>
      </c>
      <c r="H493" s="230" t="s">
        <v>55</v>
      </c>
      <c r="I493" s="230" t="s">
        <v>509</v>
      </c>
      <c r="J493" s="231" t="s">
        <v>114</v>
      </c>
    </row>
    <row r="494" spans="2:12" x14ac:dyDescent="0.25">
      <c r="B494" s="235">
        <v>44958</v>
      </c>
      <c r="C494" s="195">
        <v>1</v>
      </c>
      <c r="E494" s="238">
        <v>0.29166666666666669</v>
      </c>
      <c r="F494" s="204">
        <v>0.625</v>
      </c>
      <c r="G494" s="193">
        <f>IFERROR(IF(E494&gt;F494,((F494+E376B376+1)-(E494+B499))*24,HOUR(F494-E494)+MINUTE(F494-E494)/60),"")</f>
        <v>8</v>
      </c>
      <c r="I494" s="230" t="s">
        <v>513</v>
      </c>
      <c r="J494" s="231" t="s">
        <v>114</v>
      </c>
    </row>
    <row r="495" spans="2:12" x14ac:dyDescent="0.25">
      <c r="B495" s="235">
        <v>44958</v>
      </c>
      <c r="C495" s="195">
        <v>2</v>
      </c>
      <c r="E495" s="238">
        <v>0.625</v>
      </c>
      <c r="F495" s="204">
        <v>0.95833333333333337</v>
      </c>
      <c r="G495" s="193">
        <f>IFERROR(IF(E495&gt;F495,((F495+E376B376+1)-(E495+B500))*24,HOUR(F495-E495)+MINUTE(F495-E495)/60),"")</f>
        <v>8</v>
      </c>
      <c r="I495" s="230" t="s">
        <v>513</v>
      </c>
      <c r="J495" s="233" t="s">
        <v>862</v>
      </c>
      <c r="K495" s="176" t="s">
        <v>863</v>
      </c>
    </row>
    <row r="496" spans="2:12" x14ac:dyDescent="0.25">
      <c r="B496" s="235">
        <v>44958</v>
      </c>
      <c r="C496" s="195">
        <v>3</v>
      </c>
      <c r="E496" s="238">
        <v>0.95833333333333337</v>
      </c>
      <c r="F496" s="204">
        <v>0.29166666666666669</v>
      </c>
      <c r="G496" s="193">
        <v>8</v>
      </c>
      <c r="I496" s="230" t="s">
        <v>513</v>
      </c>
      <c r="J496" s="233" t="s">
        <v>862</v>
      </c>
      <c r="K496" s="176" t="s">
        <v>863</v>
      </c>
    </row>
    <row r="497" spans="2:11" s="233" customFormat="1" x14ac:dyDescent="0.25">
      <c r="B497" s="235">
        <v>44959</v>
      </c>
      <c r="C497" s="233">
        <v>1</v>
      </c>
      <c r="E497" s="238">
        <v>0.29166666666666669</v>
      </c>
      <c r="F497" s="204">
        <v>0.625</v>
      </c>
      <c r="G497" s="193">
        <f>IFERROR(IF(E497&gt;F497,((F497+E376B376+1)-(E497+B501))*24,HOUR(F497-E497)+MINUTE(F497-E497)/60),"")</f>
        <v>8</v>
      </c>
      <c r="H497" s="230"/>
      <c r="I497" s="230" t="s">
        <v>513</v>
      </c>
      <c r="J497" s="233" t="s">
        <v>862</v>
      </c>
      <c r="K497" s="176" t="s">
        <v>863</v>
      </c>
    </row>
    <row r="498" spans="2:11" x14ac:dyDescent="0.25">
      <c r="B498" s="235">
        <v>44959</v>
      </c>
      <c r="C498" s="195">
        <v>2</v>
      </c>
      <c r="E498" s="238">
        <v>0.625</v>
      </c>
      <c r="F498" s="204">
        <v>0.95833333333333337</v>
      </c>
      <c r="G498" s="193">
        <f>IFERROR(IF(E498&gt;F498,((F498+E376B376+1)-(E498+B502))*24,HOUR(F498-E498)+MINUTE(F498-E498)/60),"")</f>
        <v>8</v>
      </c>
      <c r="I498" s="230" t="s">
        <v>513</v>
      </c>
      <c r="J498" s="233" t="s">
        <v>862</v>
      </c>
      <c r="K498" s="176" t="s">
        <v>863</v>
      </c>
    </row>
    <row r="499" spans="2:11" x14ac:dyDescent="0.25">
      <c r="B499" s="235">
        <v>44959</v>
      </c>
      <c r="C499" s="195">
        <v>3</v>
      </c>
      <c r="E499" s="238">
        <v>0.95833333333333337</v>
      </c>
      <c r="F499" s="204">
        <v>0.29166666666666669</v>
      </c>
      <c r="G499" s="193">
        <v>8</v>
      </c>
      <c r="I499" s="230" t="s">
        <v>513</v>
      </c>
      <c r="J499" s="233" t="s">
        <v>862</v>
      </c>
      <c r="K499" s="176" t="s">
        <v>863</v>
      </c>
    </row>
    <row r="500" spans="2:11" x14ac:dyDescent="0.25">
      <c r="B500" s="235">
        <v>44960</v>
      </c>
      <c r="C500" s="195">
        <v>1</v>
      </c>
      <c r="E500" s="238">
        <v>0.29166666666666669</v>
      </c>
      <c r="F500" s="204">
        <v>0.625</v>
      </c>
      <c r="G500" s="193">
        <f>IFERROR(IF(E500&gt;F500,((F500+E376B376+1)-(E500+B504))*24,HOUR(F500-E500)+MINUTE(F500-E500)/60),"")</f>
        <v>8</v>
      </c>
      <c r="I500" s="230" t="s">
        <v>513</v>
      </c>
      <c r="J500" s="233" t="s">
        <v>862</v>
      </c>
      <c r="K500" s="176" t="s">
        <v>863</v>
      </c>
    </row>
    <row r="501" spans="2:11" x14ac:dyDescent="0.25">
      <c r="B501" s="235">
        <v>44960</v>
      </c>
      <c r="C501" s="195">
        <v>2</v>
      </c>
      <c r="E501" s="238">
        <v>0.625</v>
      </c>
      <c r="F501" s="204">
        <v>0.95833333333333337</v>
      </c>
      <c r="G501" s="193">
        <f>IFERROR(IF(E501&gt;F501,((F501+E376B376+1)-(E501+B505))*24,HOUR(F501-E501)+MINUTE(F501-E501)/60),"")</f>
        <v>8</v>
      </c>
      <c r="I501" s="230" t="s">
        <v>513</v>
      </c>
      <c r="J501" s="233" t="s">
        <v>862</v>
      </c>
      <c r="K501" s="176" t="s">
        <v>863</v>
      </c>
    </row>
    <row r="502" spans="2:11" x14ac:dyDescent="0.25">
      <c r="B502" s="235">
        <v>44960</v>
      </c>
      <c r="C502" s="195">
        <v>3</v>
      </c>
      <c r="E502" s="238">
        <v>0.95833333333333337</v>
      </c>
      <c r="F502" s="204">
        <v>0.29166666666666669</v>
      </c>
      <c r="G502" s="193">
        <v>8</v>
      </c>
      <c r="I502" s="230" t="s">
        <v>513</v>
      </c>
      <c r="J502" s="233" t="s">
        <v>862</v>
      </c>
      <c r="K502" s="176" t="s">
        <v>863</v>
      </c>
    </row>
    <row r="503" spans="2:11" x14ac:dyDescent="0.25">
      <c r="B503" s="235">
        <v>44961</v>
      </c>
      <c r="C503" s="195">
        <v>1</v>
      </c>
      <c r="E503" s="238">
        <v>0.29166666666666669</v>
      </c>
      <c r="F503" s="204">
        <v>0.625</v>
      </c>
      <c r="G503" s="193">
        <v>8</v>
      </c>
      <c r="I503" s="230" t="s">
        <v>513</v>
      </c>
      <c r="J503" s="233" t="s">
        <v>862</v>
      </c>
      <c r="K503" s="176" t="s">
        <v>863</v>
      </c>
    </row>
    <row r="504" spans="2:11" x14ac:dyDescent="0.25">
      <c r="B504" s="235">
        <v>44961</v>
      </c>
      <c r="C504" s="233">
        <v>2</v>
      </c>
      <c r="D504" s="233"/>
      <c r="E504" s="238">
        <v>0.625</v>
      </c>
      <c r="F504" s="204">
        <v>0.95833333333333337</v>
      </c>
      <c r="G504" s="193">
        <f>IFERROR(IF(E504&gt;F504,((F504+E376B376+1)-(E504+B508))*24,HOUR(F504-E504)+MINUTE(F504-E504)/60),"")</f>
        <v>8</v>
      </c>
      <c r="I504" s="230" t="s">
        <v>513</v>
      </c>
      <c r="J504" s="233" t="s">
        <v>862</v>
      </c>
      <c r="K504" s="176" t="s">
        <v>863</v>
      </c>
    </row>
    <row r="505" spans="2:11" x14ac:dyDescent="0.25">
      <c r="B505" s="235">
        <v>44961</v>
      </c>
      <c r="C505" s="233">
        <v>3</v>
      </c>
      <c r="D505" s="233"/>
      <c r="E505" s="238">
        <v>0.95833333333333337</v>
      </c>
      <c r="F505" s="204">
        <v>0.29166666666666669</v>
      </c>
      <c r="G505" s="193">
        <v>8</v>
      </c>
      <c r="I505" s="230" t="s">
        <v>513</v>
      </c>
      <c r="J505" s="233" t="s">
        <v>862</v>
      </c>
      <c r="K505" s="176" t="s">
        <v>863</v>
      </c>
    </row>
    <row r="506" spans="2:11" x14ac:dyDescent="0.25">
      <c r="B506" s="235">
        <v>44962</v>
      </c>
      <c r="C506" s="195">
        <v>1</v>
      </c>
      <c r="E506" s="238">
        <v>0.29166666666666669</v>
      </c>
      <c r="F506" s="204">
        <v>0.625</v>
      </c>
      <c r="G506" s="193">
        <v>8</v>
      </c>
      <c r="I506" s="230" t="s">
        <v>513</v>
      </c>
      <c r="J506" s="233" t="s">
        <v>862</v>
      </c>
      <c r="K506" s="176" t="s">
        <v>863</v>
      </c>
    </row>
    <row r="507" spans="2:11" x14ac:dyDescent="0.25">
      <c r="B507" s="235">
        <v>44962</v>
      </c>
      <c r="C507" s="195">
        <v>2</v>
      </c>
      <c r="E507" s="238">
        <v>0.625</v>
      </c>
      <c r="F507" s="204">
        <v>0.95833333333333337</v>
      </c>
      <c r="G507" s="193">
        <v>8</v>
      </c>
      <c r="I507" s="230" t="s">
        <v>513</v>
      </c>
      <c r="J507" s="233" t="s">
        <v>862</v>
      </c>
      <c r="K507" s="176" t="s">
        <v>863</v>
      </c>
    </row>
    <row r="508" spans="2:11" x14ac:dyDescent="0.25">
      <c r="B508" s="235">
        <v>44962</v>
      </c>
      <c r="C508" s="195">
        <v>3</v>
      </c>
      <c r="E508" s="238">
        <v>0.95833333333333337</v>
      </c>
      <c r="F508" s="204">
        <v>0.29166666666666669</v>
      </c>
      <c r="G508" s="193">
        <v>8</v>
      </c>
      <c r="I508" s="230" t="s">
        <v>513</v>
      </c>
      <c r="J508" s="233" t="s">
        <v>862</v>
      </c>
      <c r="K508" s="176" t="s">
        <v>863</v>
      </c>
    </row>
    <row r="509" spans="2:11" x14ac:dyDescent="0.25">
      <c r="B509" s="235">
        <v>44963</v>
      </c>
      <c r="C509" s="195">
        <v>1</v>
      </c>
      <c r="E509" s="238">
        <v>0.29166666666666669</v>
      </c>
      <c r="F509" s="204">
        <v>0.625</v>
      </c>
      <c r="G509" s="193">
        <v>8</v>
      </c>
      <c r="I509" s="230" t="s">
        <v>513</v>
      </c>
      <c r="J509" s="233" t="s">
        <v>862</v>
      </c>
      <c r="K509" s="176" t="s">
        <v>863</v>
      </c>
    </row>
    <row r="510" spans="2:11" x14ac:dyDescent="0.25">
      <c r="B510" s="235">
        <v>44963</v>
      </c>
      <c r="C510" s="195">
        <v>2</v>
      </c>
      <c r="E510" s="238">
        <v>0.625</v>
      </c>
      <c r="F510" s="204">
        <v>0.95833333333333337</v>
      </c>
      <c r="G510" s="193">
        <v>8</v>
      </c>
      <c r="I510" s="230" t="s">
        <v>513</v>
      </c>
      <c r="J510" s="233" t="s">
        <v>862</v>
      </c>
      <c r="K510" s="176" t="s">
        <v>863</v>
      </c>
    </row>
    <row r="511" spans="2:11" x14ac:dyDescent="0.25">
      <c r="B511" s="235">
        <v>44963</v>
      </c>
      <c r="C511" s="233">
        <v>3</v>
      </c>
      <c r="D511" s="233"/>
      <c r="E511" s="238">
        <v>0.95833333333333337</v>
      </c>
      <c r="F511" s="204">
        <v>0.29166666666666669</v>
      </c>
      <c r="G511" s="193">
        <v>8</v>
      </c>
      <c r="I511" s="230" t="s">
        <v>513</v>
      </c>
      <c r="J511" s="233" t="s">
        <v>862</v>
      </c>
      <c r="K511" s="176" t="s">
        <v>863</v>
      </c>
    </row>
    <row r="512" spans="2:11" x14ac:dyDescent="0.25">
      <c r="B512" s="235">
        <v>44964</v>
      </c>
      <c r="C512" s="195">
        <v>1</v>
      </c>
      <c r="E512" s="238">
        <v>0.29166666666666669</v>
      </c>
      <c r="F512" s="204">
        <v>0.625</v>
      </c>
      <c r="G512" s="193">
        <v>8</v>
      </c>
      <c r="I512" s="230" t="s">
        <v>513</v>
      </c>
      <c r="J512" s="233" t="s">
        <v>862</v>
      </c>
      <c r="K512" s="176" t="s">
        <v>863</v>
      </c>
    </row>
    <row r="513" spans="2:12" x14ac:dyDescent="0.25">
      <c r="B513" s="235">
        <v>44964</v>
      </c>
      <c r="C513" s="195">
        <v>2</v>
      </c>
      <c r="E513" s="238">
        <v>0.625</v>
      </c>
      <c r="F513" s="204">
        <v>0.95833333333333337</v>
      </c>
      <c r="G513" s="193">
        <v>8</v>
      </c>
      <c r="I513" s="230" t="s">
        <v>513</v>
      </c>
      <c r="J513" s="233" t="s">
        <v>862</v>
      </c>
      <c r="K513" s="176" t="s">
        <v>863</v>
      </c>
    </row>
    <row r="514" spans="2:12" x14ac:dyDescent="0.25">
      <c r="B514" s="235">
        <v>44964</v>
      </c>
      <c r="C514" s="233">
        <v>3</v>
      </c>
      <c r="D514" s="233"/>
      <c r="E514" s="238">
        <v>0.95833333333333337</v>
      </c>
      <c r="F514" s="204">
        <v>0.29166666666666669</v>
      </c>
      <c r="G514" s="193">
        <v>8</v>
      </c>
      <c r="I514" s="230" t="s">
        <v>513</v>
      </c>
      <c r="J514" s="233" t="s">
        <v>862</v>
      </c>
      <c r="K514" s="176" t="s">
        <v>863</v>
      </c>
    </row>
    <row r="515" spans="2:12" x14ac:dyDescent="0.25">
      <c r="B515" s="235">
        <v>44965</v>
      </c>
      <c r="C515" s="233">
        <v>1</v>
      </c>
      <c r="D515" s="233"/>
      <c r="E515" s="238">
        <v>0.29166666666666669</v>
      </c>
      <c r="F515" s="204">
        <v>0.625</v>
      </c>
      <c r="G515" s="193">
        <v>8</v>
      </c>
      <c r="I515" s="230" t="s">
        <v>513</v>
      </c>
      <c r="J515" s="233" t="s">
        <v>862</v>
      </c>
      <c r="K515" s="176" t="s">
        <v>863</v>
      </c>
    </row>
    <row r="516" spans="2:12" x14ac:dyDescent="0.25">
      <c r="B516" s="235">
        <v>44965</v>
      </c>
      <c r="C516" s="233">
        <v>2</v>
      </c>
      <c r="D516" s="233"/>
      <c r="E516" s="238">
        <v>0.625</v>
      </c>
      <c r="F516" s="204">
        <v>0.95833333333333337</v>
      </c>
      <c r="G516" s="193">
        <v>8</v>
      </c>
      <c r="I516" s="230" t="s">
        <v>513</v>
      </c>
      <c r="J516" s="233" t="s">
        <v>862</v>
      </c>
      <c r="K516" s="176" t="s">
        <v>863</v>
      </c>
    </row>
    <row r="517" spans="2:12" x14ac:dyDescent="0.25">
      <c r="B517" s="235">
        <v>44965</v>
      </c>
      <c r="C517" s="233">
        <v>3</v>
      </c>
      <c r="D517" s="233"/>
      <c r="E517" s="238">
        <v>0.95833333333333337</v>
      </c>
      <c r="F517" s="204">
        <v>0.29166666666666669</v>
      </c>
      <c r="G517" s="193">
        <v>8</v>
      </c>
      <c r="I517" s="230" t="s">
        <v>513</v>
      </c>
      <c r="J517" s="233" t="s">
        <v>862</v>
      </c>
      <c r="K517" s="176" t="s">
        <v>863</v>
      </c>
    </row>
    <row r="518" spans="2:12" s="233" customFormat="1" x14ac:dyDescent="0.25">
      <c r="B518" s="235">
        <v>44966</v>
      </c>
      <c r="C518" s="233">
        <v>1</v>
      </c>
      <c r="E518" s="238">
        <v>0.29166666666666669</v>
      </c>
      <c r="F518" s="204">
        <v>0.625</v>
      </c>
      <c r="G518" s="193">
        <f>IFERROR(IF(E518&gt;F518,((F518+E376B376+1)-(E518+B523))*24,HOUR(F518-E518)+MINUTE(F518-E518)/60),"")</f>
        <v>8</v>
      </c>
      <c r="H518" s="230"/>
      <c r="I518" s="230" t="s">
        <v>513</v>
      </c>
      <c r="J518" s="233" t="s">
        <v>862</v>
      </c>
      <c r="K518" s="176" t="s">
        <v>863</v>
      </c>
    </row>
    <row r="519" spans="2:12" x14ac:dyDescent="0.25">
      <c r="B519" s="235">
        <v>44966</v>
      </c>
      <c r="C519" s="195">
        <v>2</v>
      </c>
      <c r="E519" s="238">
        <v>0.625</v>
      </c>
      <c r="F519" s="204">
        <v>0.66666666666666663</v>
      </c>
      <c r="G519" s="193">
        <f>IFERROR(IF(E519&gt;F519,((F519+E376B376+1)-(E519+B524))*24,HOUR(F519-E519)+MINUTE(F519-E519)/60),"")</f>
        <v>1</v>
      </c>
      <c r="I519" s="230" t="s">
        <v>513</v>
      </c>
      <c r="J519" s="233" t="s">
        <v>862</v>
      </c>
      <c r="K519" s="176" t="s">
        <v>863</v>
      </c>
    </row>
    <row r="520" spans="2:12" x14ac:dyDescent="0.25">
      <c r="B520" s="235">
        <v>44966</v>
      </c>
      <c r="C520" s="233">
        <v>2</v>
      </c>
      <c r="E520" s="238">
        <v>0.70833333333333337</v>
      </c>
      <c r="F520" s="204">
        <v>0.72222222222222221</v>
      </c>
      <c r="G520" s="193">
        <f>IFERROR(IF(E520&gt;F520,((F520+E376B376+1)-(E520+B525))*24,HOUR(F520-E520)+MINUTE(F520-E520)/60),"")</f>
        <v>0.33333333333333331</v>
      </c>
      <c r="H520" s="230" t="s">
        <v>195</v>
      </c>
      <c r="I520" s="230" t="s">
        <v>509</v>
      </c>
      <c r="J520" s="231" t="s">
        <v>110</v>
      </c>
      <c r="K520" s="176" t="s">
        <v>909</v>
      </c>
    </row>
    <row r="521" spans="2:12" x14ac:dyDescent="0.25">
      <c r="B521" s="235">
        <v>44966</v>
      </c>
      <c r="C521" s="233">
        <v>2</v>
      </c>
      <c r="E521" s="238">
        <v>0.76041666666666663</v>
      </c>
      <c r="F521" s="204">
        <v>0.77083333333333337</v>
      </c>
      <c r="G521" s="193">
        <f>IFERROR(IF(E521&gt;F521,((F521+E376B376+1)-(E521+B526))*24,HOUR(F521-E521)+MINUTE(F521-E521)/60),"")</f>
        <v>0.25</v>
      </c>
      <c r="H521" s="230" t="s">
        <v>147</v>
      </c>
      <c r="I521" s="230" t="s">
        <v>509</v>
      </c>
      <c r="J521" s="231" t="s">
        <v>110</v>
      </c>
    </row>
    <row r="522" spans="2:12" x14ac:dyDescent="0.25">
      <c r="B522" s="235">
        <v>44966</v>
      </c>
      <c r="C522" s="195">
        <v>2</v>
      </c>
      <c r="E522" s="238">
        <v>0.77083333333333337</v>
      </c>
      <c r="F522" s="204">
        <v>0.79861111111111116</v>
      </c>
      <c r="G522" s="193">
        <f>IFERROR(IF(E522&gt;F522,((F522+E376B376+1)-(E522+B527))*24,HOUR(F522-E522)+MINUTE(F522-E522)/60),"")</f>
        <v>0.66666666666666663</v>
      </c>
      <c r="H522" s="230" t="s">
        <v>55</v>
      </c>
      <c r="I522" s="230" t="s">
        <v>509</v>
      </c>
      <c r="J522" s="231" t="s">
        <v>110</v>
      </c>
    </row>
    <row r="523" spans="2:12" x14ac:dyDescent="0.25">
      <c r="B523" s="235">
        <v>44966</v>
      </c>
      <c r="C523" s="195">
        <v>2</v>
      </c>
      <c r="E523" s="238">
        <v>0.84097222222222223</v>
      </c>
      <c r="F523" s="204">
        <v>0.8534722222222223</v>
      </c>
      <c r="G523" s="193">
        <f>IFERROR(IF(E523&gt;F523,((F523+E376B376+1)-(E523+B528))*24,HOUR(F523-E523)+MINUTE(F523-E523)/60),"")</f>
        <v>0.3</v>
      </c>
      <c r="H523" s="230" t="s">
        <v>158</v>
      </c>
      <c r="I523" s="230" t="s">
        <v>509</v>
      </c>
      <c r="J523" s="231" t="s">
        <v>495</v>
      </c>
      <c r="K523" s="176" t="s">
        <v>910</v>
      </c>
    </row>
    <row r="524" spans="2:12" x14ac:dyDescent="0.25">
      <c r="B524" s="235">
        <v>44966</v>
      </c>
      <c r="C524" s="195">
        <v>2</v>
      </c>
      <c r="E524" s="238">
        <v>0.86805555555555547</v>
      </c>
      <c r="F524" s="204">
        <v>0.87916666666666676</v>
      </c>
      <c r="G524" s="193">
        <f>IFERROR(IF(E524&gt;F524,((F524+E376B376+1)-(E524+B529))*24,HOUR(F524-E524)+MINUTE(F524-E524)/60),"")</f>
        <v>0.26666666666666666</v>
      </c>
      <c r="H524" s="230" t="s">
        <v>158</v>
      </c>
      <c r="I524" s="230" t="s">
        <v>509</v>
      </c>
      <c r="J524" s="231" t="s">
        <v>495</v>
      </c>
      <c r="K524" s="176" t="s">
        <v>910</v>
      </c>
    </row>
    <row r="525" spans="2:12" x14ac:dyDescent="0.25">
      <c r="B525" s="235">
        <v>44966</v>
      </c>
      <c r="C525" s="195">
        <v>2</v>
      </c>
      <c r="E525" s="238">
        <v>0.89861111111111114</v>
      </c>
      <c r="F525" s="204">
        <v>0.90972222222222221</v>
      </c>
      <c r="G525" s="193">
        <f>IFERROR(IF(E525&gt;F525,((F525+E376B376+1)-(E525+B530))*24,HOUR(F525-E525)+MINUTE(F525-E525)/60),"")</f>
        <v>0.26666666666666666</v>
      </c>
      <c r="H525" s="230" t="s">
        <v>158</v>
      </c>
      <c r="I525" s="230" t="s">
        <v>509</v>
      </c>
      <c r="J525" s="231" t="s">
        <v>495</v>
      </c>
      <c r="K525" s="176" t="s">
        <v>910</v>
      </c>
      <c r="L525" s="231" t="s">
        <v>495</v>
      </c>
    </row>
    <row r="526" spans="2:12" x14ac:dyDescent="0.25">
      <c r="B526" s="235">
        <v>44966</v>
      </c>
      <c r="C526" s="195">
        <v>2</v>
      </c>
      <c r="E526" s="238">
        <v>0.93194444444444446</v>
      </c>
      <c r="F526" s="204">
        <v>0.94236111111111109</v>
      </c>
      <c r="G526" s="193">
        <f>IFERROR(IF(E526&gt;F526,((F526+E376B376+1)-(E526+B531))*24,HOUR(F526-E526)+MINUTE(F526-E526)/60),"")</f>
        <v>0.25</v>
      </c>
      <c r="H526" s="230" t="s">
        <v>158</v>
      </c>
      <c r="I526" s="230" t="s">
        <v>509</v>
      </c>
      <c r="J526" s="231" t="s">
        <v>495</v>
      </c>
      <c r="K526" s="176" t="s">
        <v>910</v>
      </c>
    </row>
    <row r="527" spans="2:12" x14ac:dyDescent="0.25">
      <c r="B527" s="235">
        <v>44966</v>
      </c>
      <c r="C527" s="195">
        <v>3</v>
      </c>
      <c r="E527" s="238">
        <v>0.96111111111111114</v>
      </c>
      <c r="F527" s="204">
        <v>0.9770833333333333</v>
      </c>
      <c r="G527" s="193">
        <f>IFERROR(IF(E527&gt;F527,((F527+E376B376+1)-(E527+B532))*24,HOUR(F527-E527)+MINUTE(F527-E527)/60),"")</f>
        <v>0.38333333333333336</v>
      </c>
      <c r="H527" s="230" t="s">
        <v>195</v>
      </c>
      <c r="I527" s="230" t="s">
        <v>509</v>
      </c>
      <c r="J527" s="231" t="s">
        <v>110</v>
      </c>
      <c r="K527" s="176" t="s">
        <v>909</v>
      </c>
    </row>
    <row r="528" spans="2:12" x14ac:dyDescent="0.25">
      <c r="B528" s="235">
        <v>44966</v>
      </c>
      <c r="C528" s="195">
        <v>3</v>
      </c>
      <c r="E528" s="238">
        <v>0.98333333333333339</v>
      </c>
      <c r="F528" s="204">
        <v>0.99513888888888891</v>
      </c>
      <c r="G528" s="193">
        <f>IFERROR(IF(E528&gt;F528,((F528+E376B376+1)-(E528+B533))*24,HOUR(F528-E528)+MINUTE(F528-E528)/60),"")</f>
        <v>0.28333333333333333</v>
      </c>
      <c r="H528" s="230" t="s">
        <v>55</v>
      </c>
      <c r="I528" s="230" t="s">
        <v>511</v>
      </c>
      <c r="J528" s="231" t="s">
        <v>203</v>
      </c>
    </row>
    <row r="529" spans="2:11" x14ac:dyDescent="0.25">
      <c r="B529" s="235">
        <v>44966</v>
      </c>
      <c r="C529" s="233">
        <v>3</v>
      </c>
      <c r="E529" s="238">
        <v>2.361111111111111E-2</v>
      </c>
      <c r="F529" s="280">
        <v>3.5416666666666666E-2</v>
      </c>
      <c r="G529" s="193">
        <f>IFERROR(IF(E529&gt;F529,((F529+E376B376+1)-(E529+B534))*24,HOUR(F529-E529)+MINUTE(F529-E529)/60),"")</f>
        <v>0.28333333333333333</v>
      </c>
      <c r="H529" s="230" t="s">
        <v>158</v>
      </c>
      <c r="I529" s="230" t="s">
        <v>509</v>
      </c>
      <c r="J529" s="231" t="s">
        <v>495</v>
      </c>
      <c r="K529" s="176" t="s">
        <v>910</v>
      </c>
    </row>
    <row r="530" spans="2:11" x14ac:dyDescent="0.25">
      <c r="B530" s="235">
        <v>44966</v>
      </c>
      <c r="C530" s="195">
        <v>3</v>
      </c>
      <c r="E530" s="238">
        <v>5.347222222222222E-2</v>
      </c>
      <c r="F530" s="204">
        <v>6.458333333333334E-2</v>
      </c>
      <c r="G530" s="193">
        <f>IFERROR(IF(E530&gt;F530,((F530+E376B376+1)-(E530+B535))*24,HOUR(F530-E530)+MINUTE(F530-E530)/60),"")</f>
        <v>0.26666666666666666</v>
      </c>
      <c r="H530" s="230" t="s">
        <v>158</v>
      </c>
      <c r="I530" s="230" t="s">
        <v>509</v>
      </c>
      <c r="J530" s="231" t="s">
        <v>495</v>
      </c>
      <c r="K530" s="176" t="s">
        <v>910</v>
      </c>
    </row>
    <row r="531" spans="2:11" x14ac:dyDescent="0.25">
      <c r="B531" s="235">
        <v>44966</v>
      </c>
      <c r="C531" s="195">
        <v>3</v>
      </c>
      <c r="E531" s="238">
        <v>8.819444444444445E-2</v>
      </c>
      <c r="F531" s="204">
        <v>0.1013888888888889</v>
      </c>
      <c r="G531" s="193">
        <f>IFERROR(IF(E531&gt;F531,((F531+E376B376+1)-(E531+B536))*24,HOUR(F531-E531)+MINUTE(F531-E531)/60),"")</f>
        <v>0.31666666666666665</v>
      </c>
      <c r="H531" s="230" t="s">
        <v>158</v>
      </c>
      <c r="I531" s="230" t="s">
        <v>509</v>
      </c>
      <c r="J531" s="231" t="s">
        <v>495</v>
      </c>
      <c r="K531" s="176" t="s">
        <v>910</v>
      </c>
    </row>
    <row r="532" spans="2:11" x14ac:dyDescent="0.25">
      <c r="B532" s="235">
        <v>44966</v>
      </c>
      <c r="C532" s="195">
        <v>3</v>
      </c>
      <c r="E532" s="238">
        <v>0.12152777777777778</v>
      </c>
      <c r="F532" s="204">
        <v>0.13263888888888889</v>
      </c>
      <c r="G532" s="193">
        <f>IFERROR(IF(E532&gt;F532,((F532+E376B376+1)-(E532+B537))*24,HOUR(F532-E532)+MINUTE(F532-E532)/60),"")</f>
        <v>0.26666666666666666</v>
      </c>
      <c r="H532" s="230" t="s">
        <v>158</v>
      </c>
      <c r="I532" s="230" t="s">
        <v>509</v>
      </c>
      <c r="J532" s="231" t="s">
        <v>495</v>
      </c>
      <c r="K532" s="176" t="s">
        <v>910</v>
      </c>
    </row>
    <row r="533" spans="2:11" x14ac:dyDescent="0.25">
      <c r="B533" s="235">
        <v>44966</v>
      </c>
      <c r="C533" s="195">
        <v>3</v>
      </c>
      <c r="E533" s="238">
        <v>0.15833333333333333</v>
      </c>
      <c r="F533" s="204">
        <v>0.17013888888888887</v>
      </c>
      <c r="G533" s="193">
        <f>IFERROR(IF(E533&gt;F533,((F533+E376B376+1)-(E533+B538))*24,HOUR(F533-E533)+MINUTE(F533-E533)/60),"")</f>
        <v>0.28333333333333333</v>
      </c>
      <c r="H533" s="230" t="s">
        <v>158</v>
      </c>
      <c r="I533" s="230" t="s">
        <v>509</v>
      </c>
      <c r="J533" s="231" t="s">
        <v>495</v>
      </c>
      <c r="K533" s="176" t="s">
        <v>910</v>
      </c>
    </row>
    <row r="534" spans="2:11" x14ac:dyDescent="0.25">
      <c r="B534" s="235">
        <v>44966</v>
      </c>
      <c r="C534" s="195">
        <v>3</v>
      </c>
      <c r="E534" s="238">
        <v>0.19166666666666665</v>
      </c>
      <c r="F534" s="280">
        <v>0.20277777777777781</v>
      </c>
      <c r="G534" s="193">
        <f>IFERROR(IF(E534&gt;F534,((F534+E376B376+1)-(E534+B539))*24,HOUR(F534-E534)+MINUTE(F534-E534)/60),"")</f>
        <v>0.26666666666666666</v>
      </c>
      <c r="H534" s="230" t="s">
        <v>158</v>
      </c>
      <c r="I534" s="230" t="s">
        <v>509</v>
      </c>
      <c r="J534" s="231" t="s">
        <v>495</v>
      </c>
      <c r="K534" s="176" t="s">
        <v>910</v>
      </c>
    </row>
    <row r="535" spans="2:11" x14ac:dyDescent="0.25">
      <c r="B535" s="235">
        <v>44966</v>
      </c>
      <c r="C535" s="233">
        <v>3</v>
      </c>
      <c r="E535" s="238">
        <v>0.22013888888888888</v>
      </c>
      <c r="F535" s="204">
        <v>0.23333333333333331</v>
      </c>
      <c r="G535" s="193">
        <f>IFERROR(IF(E535&gt;F535,((F535+E376B376+1)-(E535+B540))*24,HOUR(F535-E535)+MINUTE(F535-E535)/60),"")</f>
        <v>0.31666666666666665</v>
      </c>
      <c r="H535" s="230" t="s">
        <v>158</v>
      </c>
      <c r="I535" s="230" t="s">
        <v>509</v>
      </c>
      <c r="J535" s="231" t="s">
        <v>495</v>
      </c>
      <c r="K535" s="176" t="s">
        <v>910</v>
      </c>
    </row>
    <row r="536" spans="2:11" x14ac:dyDescent="0.25">
      <c r="B536" s="235">
        <v>44966</v>
      </c>
      <c r="C536" s="195">
        <v>3</v>
      </c>
      <c r="E536" s="238">
        <v>0.25208333333333333</v>
      </c>
      <c r="F536" s="204">
        <v>0.26319444444444445</v>
      </c>
      <c r="G536" s="193">
        <f>IFERROR(IF(E536&gt;F536,((F536+E376B376+1)-(E536+B541))*24,HOUR(F536-E536)+MINUTE(F536-E536)/60),"")</f>
        <v>0.26666666666666666</v>
      </c>
      <c r="H536" s="230" t="s">
        <v>158</v>
      </c>
      <c r="I536" s="230" t="s">
        <v>509</v>
      </c>
      <c r="J536" s="231" t="s">
        <v>495</v>
      </c>
      <c r="K536" s="176" t="s">
        <v>910</v>
      </c>
    </row>
    <row r="537" spans="2:11" x14ac:dyDescent="0.25">
      <c r="B537" s="235">
        <v>44966</v>
      </c>
      <c r="C537" s="195">
        <v>3</v>
      </c>
      <c r="E537" s="238">
        <v>0.27361111111111108</v>
      </c>
      <c r="F537" s="204">
        <v>0.29166666666666669</v>
      </c>
      <c r="G537" s="193">
        <f>IFERROR(IF(E537&gt;F537,((F537+E376B376+1)-(E537+B542))*24,HOUR(F537-E537)+MINUTE(F537-E537)/60),"")</f>
        <v>0.43333333333333335</v>
      </c>
      <c r="H537" s="230" t="s">
        <v>55</v>
      </c>
      <c r="I537" s="230" t="s">
        <v>509</v>
      </c>
      <c r="J537" s="231" t="s">
        <v>114</v>
      </c>
    </row>
    <row r="538" spans="2:11" x14ac:dyDescent="0.25">
      <c r="B538" s="235">
        <v>44967</v>
      </c>
      <c r="C538" s="195">
        <v>1</v>
      </c>
      <c r="E538" s="238">
        <v>0.29166666666666669</v>
      </c>
      <c r="F538" s="204">
        <v>0.30486111111111108</v>
      </c>
      <c r="G538" s="193">
        <f>IFERROR(IF(E538&gt;F538,((F538+E376B376+1)-(E538+B543))*24,HOUR(F538-E538)+MINUTE(F538-E538)/60),"")</f>
        <v>0.31666666666666665</v>
      </c>
      <c r="H538" s="230" t="s">
        <v>55</v>
      </c>
      <c r="I538" s="230" t="s">
        <v>509</v>
      </c>
      <c r="J538" s="231" t="s">
        <v>114</v>
      </c>
    </row>
    <row r="539" spans="2:11" x14ac:dyDescent="0.25">
      <c r="B539" s="235">
        <v>44967</v>
      </c>
      <c r="C539" s="195">
        <v>1</v>
      </c>
      <c r="E539" s="238">
        <v>0.3125</v>
      </c>
      <c r="F539" s="204">
        <v>0.32291666666666669</v>
      </c>
      <c r="G539" s="193">
        <f>IFERROR(IF(E539&gt;F539,((F539+E376B376+1)-(E539+B544))*24,HOUR(F539-E539)+MINUTE(F539-E539)/60),"")</f>
        <v>0.25</v>
      </c>
      <c r="H539" s="230" t="s">
        <v>55</v>
      </c>
      <c r="I539" s="230" t="s">
        <v>509</v>
      </c>
      <c r="J539" s="231" t="s">
        <v>203</v>
      </c>
    </row>
    <row r="540" spans="2:11" x14ac:dyDescent="0.25">
      <c r="B540" s="235">
        <v>44967</v>
      </c>
      <c r="C540" s="195">
        <v>1</v>
      </c>
      <c r="E540" s="238">
        <v>0.36944444444444446</v>
      </c>
      <c r="F540" s="204">
        <v>0.51388888888888895</v>
      </c>
      <c r="G540" s="193">
        <f>IFERROR(IF(E540&gt;F540,((F540+E376B376+1)-(E540+B545))*24,HOUR(F540-E540)+MINUTE(F540-E540)/60),"")</f>
        <v>3.4666666666666668</v>
      </c>
      <c r="H540" s="230" t="s">
        <v>158</v>
      </c>
      <c r="I540" s="230" t="s">
        <v>509</v>
      </c>
      <c r="J540" s="231" t="s">
        <v>206</v>
      </c>
      <c r="K540" s="176" t="s">
        <v>913</v>
      </c>
    </row>
    <row r="541" spans="2:11" x14ac:dyDescent="0.25">
      <c r="B541" s="235">
        <v>44967</v>
      </c>
      <c r="C541" s="195">
        <v>1</v>
      </c>
      <c r="E541" s="238">
        <v>0.61111111111111105</v>
      </c>
      <c r="F541" s="204">
        <v>0.625</v>
      </c>
      <c r="G541" s="193">
        <f>IFERROR(IF(E541&gt;F541,((F541+E376B376+1)-(E541+B546))*24,HOUR(F541-E541)+MINUTE(F541-E541)/60),"")</f>
        <v>0.33333333333333331</v>
      </c>
      <c r="H541" s="230" t="s">
        <v>55</v>
      </c>
      <c r="I541" s="230" t="s">
        <v>509</v>
      </c>
      <c r="J541" s="231" t="s">
        <v>114</v>
      </c>
    </row>
    <row r="542" spans="2:11" x14ac:dyDescent="0.25">
      <c r="B542" s="235">
        <v>44967</v>
      </c>
      <c r="C542" s="195">
        <v>2</v>
      </c>
      <c r="E542" s="238">
        <v>0.63888888888888895</v>
      </c>
      <c r="F542" s="204">
        <v>0.65625</v>
      </c>
      <c r="G542" s="193">
        <f>IFERROR(IF(E542&gt;F542,((F542+E376B376+1)-(E542+B547))*24,HOUR(F542-E542)+MINUTE(F542-E542)/60),"")</f>
        <v>0.41666666666666669</v>
      </c>
      <c r="H542" s="230" t="s">
        <v>55</v>
      </c>
      <c r="I542" s="230" t="s">
        <v>509</v>
      </c>
      <c r="J542" s="231" t="s">
        <v>211</v>
      </c>
    </row>
    <row r="543" spans="2:11" x14ac:dyDescent="0.25">
      <c r="B543" s="235">
        <v>44967</v>
      </c>
      <c r="C543" s="195">
        <v>2</v>
      </c>
      <c r="E543" s="238">
        <v>0.65625</v>
      </c>
      <c r="F543" s="204">
        <v>0.66319444444444442</v>
      </c>
      <c r="G543" s="193">
        <f>IFERROR(IF(E543&gt;F543,((F543+E376B376+1)-(E543+B548))*24,HOUR(F543-E543)+MINUTE(F543-E543)/60),"")</f>
        <v>0.16666666666666666</v>
      </c>
      <c r="H543" s="230" t="s">
        <v>195</v>
      </c>
      <c r="I543" s="230" t="s">
        <v>509</v>
      </c>
      <c r="J543" s="231" t="s">
        <v>499</v>
      </c>
    </row>
    <row r="544" spans="2:11" x14ac:dyDescent="0.25">
      <c r="B544" s="235">
        <v>44967</v>
      </c>
      <c r="C544" s="233">
        <v>2</v>
      </c>
      <c r="E544" s="238">
        <v>0.68541666666666667</v>
      </c>
      <c r="F544" s="204">
        <v>0.69652777777777775</v>
      </c>
      <c r="G544" s="193">
        <f>IFERROR(IF(E544&gt;F544,((F544+E376B376+1)-(E544+B549))*24,HOUR(F544-E544)+MINUTE(F544-E544)/60),"")</f>
        <v>0.26666666666666666</v>
      </c>
      <c r="H544" s="230" t="s">
        <v>55</v>
      </c>
      <c r="I544" s="230" t="s">
        <v>509</v>
      </c>
      <c r="J544" s="231" t="s">
        <v>203</v>
      </c>
    </row>
    <row r="545" spans="2:11" x14ac:dyDescent="0.25">
      <c r="B545" s="235">
        <v>44967</v>
      </c>
      <c r="C545" s="195">
        <v>2</v>
      </c>
      <c r="E545" s="238">
        <v>0.73125000000000007</v>
      </c>
      <c r="F545" s="204">
        <v>0.73402777777777783</v>
      </c>
      <c r="G545" s="193">
        <f>IFERROR(IF(E545&gt;F545,((F545+E376B376+1)-(E545+B550))*24,HOUR(F545-E545)+MINUTE(F545-E545)/60),"")</f>
        <v>6.6666666666666666E-2</v>
      </c>
      <c r="H545" s="230" t="s">
        <v>195</v>
      </c>
      <c r="I545" s="230" t="s">
        <v>509</v>
      </c>
      <c r="J545" s="231" t="s">
        <v>499</v>
      </c>
    </row>
    <row r="546" spans="2:11" x14ac:dyDescent="0.25">
      <c r="B546" s="235">
        <v>44967</v>
      </c>
      <c r="C546" s="233">
        <v>2</v>
      </c>
      <c r="E546" s="238">
        <v>0.73402777777777783</v>
      </c>
      <c r="F546" s="204">
        <v>0.74305555555555547</v>
      </c>
      <c r="G546" s="193">
        <f>IFERROR(IF(E546&gt;F546,((F546+E376B376+1)-(E546+B551))*24,HOUR(F546-E546)+MINUTE(F546-E546)/60),"")</f>
        <v>0.21666666666666667</v>
      </c>
      <c r="H546" s="230" t="s">
        <v>158</v>
      </c>
      <c r="I546" s="230" t="s">
        <v>509</v>
      </c>
      <c r="J546" s="231" t="s">
        <v>495</v>
      </c>
    </row>
    <row r="547" spans="2:11" x14ac:dyDescent="0.25">
      <c r="B547" s="235">
        <v>44967</v>
      </c>
      <c r="C547" s="233">
        <v>2</v>
      </c>
      <c r="E547" s="238">
        <v>0.94097222222222221</v>
      </c>
      <c r="F547" s="204">
        <v>0.95138888888888884</v>
      </c>
      <c r="G547" s="193">
        <f>IFERROR(IF(E547&gt;F547,((F547+E376B376+1)-(E547+B552))*24,HOUR(F547-E547)+MINUTE(F547-E547)/60),"")</f>
        <v>0.25</v>
      </c>
      <c r="H547" s="230" t="s">
        <v>55</v>
      </c>
      <c r="I547" s="230" t="s">
        <v>509</v>
      </c>
      <c r="J547" s="231" t="s">
        <v>160</v>
      </c>
    </row>
    <row r="548" spans="2:11" x14ac:dyDescent="0.25">
      <c r="B548" s="235">
        <v>44967</v>
      </c>
      <c r="C548" s="233">
        <v>3</v>
      </c>
      <c r="E548" s="238">
        <v>4.8611111111111112E-2</v>
      </c>
      <c r="F548" s="204">
        <v>5.9027777777777783E-2</v>
      </c>
      <c r="G548" s="193">
        <f>IFERROR(IF(E548&gt;F548,((F548+E376B376+1)-(E548+B553))*24,HOUR(F548-E548)+MINUTE(F548-E548)/60),"")</f>
        <v>0.25</v>
      </c>
      <c r="H548" s="230" t="s">
        <v>142</v>
      </c>
      <c r="I548" s="230" t="s">
        <v>509</v>
      </c>
      <c r="J548" s="231" t="s">
        <v>213</v>
      </c>
    </row>
    <row r="549" spans="2:11" x14ac:dyDescent="0.25">
      <c r="B549" s="235">
        <v>44967</v>
      </c>
      <c r="C549" s="195">
        <v>3</v>
      </c>
      <c r="E549" s="238">
        <v>0.16666666666666666</v>
      </c>
      <c r="F549" s="204">
        <v>0.18055555555555555</v>
      </c>
      <c r="G549" s="193">
        <f>IFERROR(IF(E549&gt;F549,((F549+E376B376+1)-(E549+B554))*24,HOUR(F549-E549)+MINUTE(F549-E549)/60),"")</f>
        <v>0.33333333333333331</v>
      </c>
      <c r="H549" s="230" t="s">
        <v>142</v>
      </c>
      <c r="I549" s="230" t="s">
        <v>509</v>
      </c>
      <c r="J549" s="231" t="s">
        <v>213</v>
      </c>
    </row>
    <row r="550" spans="2:11" x14ac:dyDescent="0.25">
      <c r="B550" s="235">
        <v>44967</v>
      </c>
      <c r="C550" s="195">
        <v>3</v>
      </c>
      <c r="E550" s="238">
        <v>0.1875</v>
      </c>
      <c r="F550" s="204">
        <v>0.29166666666666669</v>
      </c>
      <c r="G550" s="193">
        <f>IFERROR(IF(E550&gt;F550,((F550+E376B376+1)-(E550+B555))*24,HOUR(F550-E550)+MINUTE(F550-E550)/60),"")</f>
        <v>2.5</v>
      </c>
      <c r="H550" s="230" t="s">
        <v>142</v>
      </c>
      <c r="I550" s="230" t="s">
        <v>509</v>
      </c>
      <c r="J550" s="231" t="s">
        <v>213</v>
      </c>
    </row>
    <row r="551" spans="2:11" x14ac:dyDescent="0.25">
      <c r="B551" s="235">
        <v>44968</v>
      </c>
      <c r="C551" s="195">
        <v>1</v>
      </c>
      <c r="E551" s="238">
        <v>0.29166666666666669</v>
      </c>
      <c r="F551" s="204">
        <v>0.43055555555555558</v>
      </c>
      <c r="G551" s="193">
        <f>IFERROR(IF(E551&gt;F551,((F551+E376B376+1)-(E551+B556))*24,HOUR(F551-E551)+MINUTE(F551-E551)/60),"")</f>
        <v>3.3333333333333335</v>
      </c>
      <c r="H551" s="230" t="s">
        <v>142</v>
      </c>
      <c r="I551" s="230" t="s">
        <v>509</v>
      </c>
      <c r="J551" s="231" t="s">
        <v>213</v>
      </c>
      <c r="K551" s="176" t="s">
        <v>915</v>
      </c>
    </row>
    <row r="552" spans="2:11" x14ac:dyDescent="0.25">
      <c r="B552" s="235">
        <v>44968</v>
      </c>
      <c r="C552" s="195">
        <v>1</v>
      </c>
      <c r="E552" s="238">
        <v>0.47569444444444442</v>
      </c>
      <c r="F552" s="204">
        <v>0.4861111111111111</v>
      </c>
      <c r="G552" s="193">
        <f>IFERROR(IF(E552&gt;F552,((F552+E376B376+1)-(E552+B557))*24,HOUR(F552-E552)+MINUTE(F552-E552)/60),"")</f>
        <v>0.25</v>
      </c>
      <c r="H552" s="230" t="s">
        <v>195</v>
      </c>
      <c r="I552" s="230" t="s">
        <v>509</v>
      </c>
      <c r="J552" s="231" t="s">
        <v>499</v>
      </c>
    </row>
    <row r="553" spans="2:11" x14ac:dyDescent="0.25">
      <c r="B553" s="235">
        <v>44968</v>
      </c>
      <c r="C553" s="195">
        <v>1</v>
      </c>
      <c r="E553" s="238">
        <v>0.49305555555555558</v>
      </c>
      <c r="F553" s="204">
        <v>0.50486111111111109</v>
      </c>
      <c r="G553" s="193">
        <f>IFERROR(IF(E553&gt;F553,((F553+E376B376+1)-(E553+B558))*24,HOUR(F553-E553)+MINUTE(F553-E553)/60),"")</f>
        <v>0.28333333333333333</v>
      </c>
      <c r="H553" s="230" t="s">
        <v>201</v>
      </c>
      <c r="I553" s="230" t="s">
        <v>510</v>
      </c>
      <c r="J553" s="231" t="s">
        <v>515</v>
      </c>
      <c r="K553" s="176" t="s">
        <v>917</v>
      </c>
    </row>
    <row r="554" spans="2:11" x14ac:dyDescent="0.25">
      <c r="B554" s="235">
        <v>44968</v>
      </c>
      <c r="C554" s="195">
        <v>1</v>
      </c>
      <c r="E554" s="238">
        <v>0.61111111111111105</v>
      </c>
      <c r="F554" s="204">
        <v>0.625</v>
      </c>
      <c r="G554" s="193">
        <f>IFERROR(IF(E554&gt;F554,((F554+E376B376+1)-(E554+B559))*24,HOUR(F554-E554)+MINUTE(F554-E554)/60),"")</f>
        <v>0.33333333333333331</v>
      </c>
      <c r="H554" s="230" t="s">
        <v>55</v>
      </c>
      <c r="I554" s="230" t="s">
        <v>509</v>
      </c>
      <c r="J554" s="231" t="s">
        <v>114</v>
      </c>
    </row>
    <row r="555" spans="2:11" x14ac:dyDescent="0.25">
      <c r="B555" s="235">
        <v>44968</v>
      </c>
      <c r="C555" s="195">
        <v>2</v>
      </c>
      <c r="E555" s="238">
        <v>0.625</v>
      </c>
      <c r="F555" s="204">
        <v>0.63888888888888895</v>
      </c>
      <c r="G555" s="193">
        <f>IFERROR(IF(E555&gt;F555,((F555+E376B376+1)-(E555+B560))*24,HOUR(F555-E555)+MINUTE(F555-E555)/60),"")</f>
        <v>0.33333333333333331</v>
      </c>
      <c r="H555" s="230" t="s">
        <v>55</v>
      </c>
      <c r="I555" s="230" t="s">
        <v>509</v>
      </c>
      <c r="J555" s="231" t="s">
        <v>114</v>
      </c>
    </row>
    <row r="556" spans="2:11" x14ac:dyDescent="0.25">
      <c r="B556" s="235">
        <v>44968</v>
      </c>
      <c r="C556" s="195">
        <v>2</v>
      </c>
      <c r="E556" s="238">
        <v>0.65</v>
      </c>
      <c r="F556" s="204">
        <v>0.66249999999999998</v>
      </c>
      <c r="G556" s="193">
        <f>IFERROR(IF(E556&gt;F556,((F556+E376B376+1)-(E556+B561))*24,HOUR(F556-E556)+MINUTE(F556-E556)/60),"")</f>
        <v>0.3</v>
      </c>
      <c r="H556" s="230" t="s">
        <v>55</v>
      </c>
      <c r="I556" s="230" t="s">
        <v>509</v>
      </c>
      <c r="J556" s="231" t="s">
        <v>211</v>
      </c>
    </row>
    <row r="557" spans="2:11" x14ac:dyDescent="0.25">
      <c r="B557" s="235">
        <v>44968</v>
      </c>
      <c r="C557" s="233">
        <v>2</v>
      </c>
      <c r="E557" s="238">
        <v>0.89236111111111116</v>
      </c>
      <c r="F557" s="204">
        <v>0.90347222222222223</v>
      </c>
      <c r="G557" s="193">
        <f>IFERROR(IF(E557&gt;F557,((F557+E376B376+1)-(E557+B562))*24,HOUR(F557-E557)+MINUTE(F557-E557)/60),"")</f>
        <v>0.26666666666666666</v>
      </c>
      <c r="H557" s="230" t="s">
        <v>55</v>
      </c>
      <c r="I557" s="230" t="s">
        <v>511</v>
      </c>
      <c r="J557" s="231" t="s">
        <v>203</v>
      </c>
    </row>
    <row r="558" spans="2:11" x14ac:dyDescent="0.25">
      <c r="B558" s="235">
        <v>44968</v>
      </c>
      <c r="C558" s="233">
        <v>3</v>
      </c>
      <c r="E558" s="238">
        <v>1.0416666666666666E-2</v>
      </c>
      <c r="F558" s="204">
        <v>2.4305555555555556E-2</v>
      </c>
      <c r="G558" s="193">
        <f>IFERROR(IF(E558&gt;F558,((F558+E376B376+1)-(E558+B563))*24,HOUR(F558-E558)+MINUTE(F558-E558)/60),"")</f>
        <v>0.33333333333333331</v>
      </c>
      <c r="H558" s="230" t="s">
        <v>55</v>
      </c>
      <c r="I558" s="230" t="s">
        <v>509</v>
      </c>
      <c r="J558" s="231" t="s">
        <v>211</v>
      </c>
      <c r="K558" s="176" t="s">
        <v>684</v>
      </c>
    </row>
    <row r="559" spans="2:11" x14ac:dyDescent="0.25">
      <c r="B559" s="235">
        <v>44968</v>
      </c>
      <c r="C559" s="195">
        <v>3</v>
      </c>
      <c r="E559" s="238">
        <v>4.5138888888888888E-2</v>
      </c>
      <c r="F559" s="204">
        <v>7.6388888888888895E-2</v>
      </c>
      <c r="G559" s="193">
        <f>IFERROR(IF(E559&gt;F559,((F559+E376B376+1)-(E559+B564))*24,HOUR(F559-E559)+MINUTE(F559-E559)/60),"")</f>
        <v>0.75</v>
      </c>
      <c r="H559" s="230" t="s">
        <v>55</v>
      </c>
      <c r="I559" s="230" t="s">
        <v>509</v>
      </c>
      <c r="J559" s="231" t="s">
        <v>213</v>
      </c>
    </row>
    <row r="560" spans="2:11" x14ac:dyDescent="0.25">
      <c r="B560" s="235">
        <v>44968</v>
      </c>
      <c r="C560" s="233">
        <v>3</v>
      </c>
      <c r="E560" s="238">
        <v>0.19444444444444445</v>
      </c>
      <c r="F560" s="204">
        <v>0.20486111111111113</v>
      </c>
      <c r="G560" s="193">
        <f>IFERROR(IF(E560&gt;F560,((F560+E376B376+1)-(E560+B565))*24,HOUR(F560-E560)+MINUTE(F560-E560)/60),"")</f>
        <v>0.25</v>
      </c>
      <c r="H560" s="230" t="s">
        <v>55</v>
      </c>
      <c r="I560" s="230" t="s">
        <v>511</v>
      </c>
      <c r="J560" s="231" t="s">
        <v>203</v>
      </c>
    </row>
    <row r="561" spans="2:11" x14ac:dyDescent="0.25">
      <c r="B561" s="235">
        <v>44968</v>
      </c>
      <c r="C561" s="195">
        <v>3</v>
      </c>
      <c r="E561" s="238">
        <v>0.2673611111111111</v>
      </c>
      <c r="F561" s="204">
        <v>0.27777777777777779</v>
      </c>
      <c r="G561" s="193">
        <f>IFERROR(IF(E561&gt;F561,((F561+E376B376+1)-(E561+B566))*24,HOUR(F561-E561)+MINUTE(F561-E561)/60),"")</f>
        <v>0.25</v>
      </c>
      <c r="H561" s="230" t="s">
        <v>195</v>
      </c>
      <c r="I561" s="230" t="s">
        <v>509</v>
      </c>
      <c r="J561" s="231" t="s">
        <v>110</v>
      </c>
      <c r="K561" s="176" t="s">
        <v>909</v>
      </c>
    </row>
    <row r="562" spans="2:11" x14ac:dyDescent="0.25">
      <c r="B562" s="235">
        <v>44968</v>
      </c>
      <c r="C562" s="195">
        <v>3</v>
      </c>
      <c r="E562" s="238">
        <v>0.27777777777777779</v>
      </c>
      <c r="F562" s="204">
        <v>0.29166666666666669</v>
      </c>
      <c r="G562" s="193">
        <f>IFERROR(IF(E562&gt;F562,((F562+E376B376+1)-(E562+B567))*24,HOUR(F562-E562)+MINUTE(F562-E562)/60),"")</f>
        <v>0.33333333333333331</v>
      </c>
      <c r="H562" s="230" t="s">
        <v>55</v>
      </c>
      <c r="I562" s="230" t="s">
        <v>509</v>
      </c>
      <c r="J562" s="231" t="s">
        <v>114</v>
      </c>
    </row>
    <row r="563" spans="2:11" x14ac:dyDescent="0.25">
      <c r="B563" s="235">
        <v>44969</v>
      </c>
      <c r="C563" s="195">
        <v>1</v>
      </c>
      <c r="E563" s="238">
        <v>0.29166666666666669</v>
      </c>
      <c r="F563" s="204">
        <v>0.31944444444444448</v>
      </c>
      <c r="G563" s="193">
        <f>IFERROR(IF(E563&gt;F563,((F563+E376B376+1)-(E563+B568))*24,HOUR(F563-E563)+MINUTE(F563-E563)/60),"")</f>
        <v>0.66666666666666663</v>
      </c>
      <c r="H563" s="230" t="s">
        <v>55</v>
      </c>
      <c r="I563" s="230" t="s">
        <v>509</v>
      </c>
      <c r="J563" s="231" t="s">
        <v>114</v>
      </c>
    </row>
    <row r="564" spans="2:11" x14ac:dyDescent="0.25">
      <c r="B564" s="235">
        <v>44969</v>
      </c>
      <c r="C564" s="195">
        <v>1</v>
      </c>
      <c r="E564" s="238">
        <v>0.33402777777777781</v>
      </c>
      <c r="F564" s="204">
        <v>0.34722222222222227</v>
      </c>
      <c r="G564" s="193">
        <f>IFERROR(IF(E564&gt;F564,((F564+E376B376+1)-(E564+B569))*24,HOUR(F564-E564)+MINUTE(F564-E564)/60),"")</f>
        <v>0.31666666666666665</v>
      </c>
      <c r="H564" s="230" t="s">
        <v>55</v>
      </c>
      <c r="I564" s="230" t="s">
        <v>509</v>
      </c>
      <c r="J564" s="231" t="s">
        <v>211</v>
      </c>
    </row>
    <row r="565" spans="2:11" x14ac:dyDescent="0.25">
      <c r="B565" s="235">
        <v>44969</v>
      </c>
      <c r="C565" s="195">
        <v>1</v>
      </c>
      <c r="E565" s="238">
        <v>0.35555555555555557</v>
      </c>
      <c r="F565" s="204">
        <v>0.36944444444444446</v>
      </c>
      <c r="G565" s="193">
        <f>IFERROR(IF(E565&gt;F565,((F565+E376B376+1)-(E565+B570))*24,HOUR(F565-E565)+MINUTE(F565-E565)/60),"")</f>
        <v>0.33333333333333331</v>
      </c>
      <c r="H565" s="230" t="s">
        <v>167</v>
      </c>
      <c r="I565" s="230" t="s">
        <v>511</v>
      </c>
      <c r="J565" s="231" t="s">
        <v>200</v>
      </c>
      <c r="K565" s="176" t="s">
        <v>925</v>
      </c>
    </row>
    <row r="566" spans="2:11" x14ac:dyDescent="0.25">
      <c r="B566" s="235">
        <v>44969</v>
      </c>
      <c r="C566" s="195">
        <v>1</v>
      </c>
      <c r="E566" s="238">
        <v>0.40902777777777777</v>
      </c>
      <c r="F566" s="204">
        <v>0.41944444444444445</v>
      </c>
      <c r="G566" s="193">
        <f>IFERROR(IF(E566&gt;F566,((F566+E376B376+1)-(E566+B571))*24,HOUR(F566-E566)+MINUTE(F566-E566)/60),"")</f>
        <v>0.25</v>
      </c>
      <c r="H566" s="230" t="s">
        <v>195</v>
      </c>
      <c r="I566" s="230" t="s">
        <v>509</v>
      </c>
      <c r="J566" s="231" t="s">
        <v>206</v>
      </c>
      <c r="K566" s="176" t="s">
        <v>922</v>
      </c>
    </row>
    <row r="567" spans="2:11" x14ac:dyDescent="0.25">
      <c r="B567" s="235">
        <v>44969</v>
      </c>
      <c r="C567" s="195">
        <v>1</v>
      </c>
      <c r="E567" s="238">
        <v>0.61597222222222225</v>
      </c>
      <c r="F567" s="204">
        <v>0.625</v>
      </c>
      <c r="G567" s="193">
        <f>IFERROR(IF(E567&gt;F567,((F567+E376B376+1)-(E567+B572))*24,HOUR(F567-E567)+MINUTE(F567-E567)/60),"")</f>
        <v>0.21666666666666667</v>
      </c>
      <c r="H567" s="230" t="s">
        <v>55</v>
      </c>
      <c r="I567" s="230" t="s">
        <v>509</v>
      </c>
      <c r="J567" s="231" t="s">
        <v>114</v>
      </c>
    </row>
    <row r="568" spans="2:11" x14ac:dyDescent="0.25">
      <c r="B568" s="235">
        <v>44969</v>
      </c>
      <c r="C568" s="195">
        <v>2</v>
      </c>
      <c r="E568" s="238">
        <v>0.625</v>
      </c>
      <c r="F568" s="204">
        <v>0.64027777777777783</v>
      </c>
      <c r="G568" s="193">
        <f>IFERROR(IF(E568&gt;F568,((F568+E376B376+1)-(E568+B573))*24,HOUR(F568-E568)+MINUTE(F568-E568)/60),"")</f>
        <v>0.36666666666666664</v>
      </c>
      <c r="H568" s="230" t="s">
        <v>55</v>
      </c>
      <c r="I568" s="230" t="s">
        <v>509</v>
      </c>
      <c r="J568" s="231" t="s">
        <v>114</v>
      </c>
    </row>
    <row r="569" spans="2:11" x14ac:dyDescent="0.25">
      <c r="B569" s="235">
        <v>44969</v>
      </c>
      <c r="C569" s="195">
        <v>2</v>
      </c>
      <c r="E569" s="238">
        <v>0.79513888888888884</v>
      </c>
      <c r="F569" s="204">
        <v>0.80555555555555547</v>
      </c>
      <c r="G569" s="193">
        <f>IFERROR(IF(E569&gt;F569,((F569+E376B376+1)-(E569+B574))*24,HOUR(F569-E569)+MINUTE(F569-E569)/60),"")</f>
        <v>0.25</v>
      </c>
      <c r="H569" s="230" t="s">
        <v>55</v>
      </c>
      <c r="I569" s="230" t="s">
        <v>511</v>
      </c>
      <c r="J569" s="231" t="s">
        <v>203</v>
      </c>
    </row>
    <row r="570" spans="2:11" x14ac:dyDescent="0.25">
      <c r="B570" s="235">
        <v>44969</v>
      </c>
      <c r="C570" s="233">
        <v>2</v>
      </c>
      <c r="E570" s="238">
        <v>0.85625000000000007</v>
      </c>
      <c r="F570" s="204">
        <v>0.8666666666666667</v>
      </c>
      <c r="G570" s="193">
        <f>IFERROR(IF(E570&gt;F570,((F570+E376B376+1)-(E570+B575))*24,HOUR(F570-E570)+MINUTE(F570-E570)/60),"")</f>
        <v>0.25</v>
      </c>
      <c r="H570" s="230" t="s">
        <v>195</v>
      </c>
      <c r="I570" s="230" t="s">
        <v>509</v>
      </c>
      <c r="J570" s="231" t="s">
        <v>206</v>
      </c>
    </row>
    <row r="571" spans="2:11" x14ac:dyDescent="0.25">
      <c r="B571" s="235">
        <v>44969</v>
      </c>
      <c r="C571" s="195">
        <v>3</v>
      </c>
      <c r="E571" s="238">
        <v>0</v>
      </c>
      <c r="F571" s="204">
        <v>1.3888888888888888E-2</v>
      </c>
      <c r="G571" s="193">
        <f>IFERROR(IF(E571&gt;F571,((F571+E376B376+1)-(E571+B576))*24,HOUR(F571-E571)+MINUTE(F571-E571)/60),"")</f>
        <v>0.33333333333333331</v>
      </c>
      <c r="H571" s="230" t="s">
        <v>204</v>
      </c>
      <c r="I571" s="230" t="s">
        <v>509</v>
      </c>
      <c r="J571" s="231" t="s">
        <v>604</v>
      </c>
      <c r="K571" s="176" t="s">
        <v>937</v>
      </c>
    </row>
    <row r="572" spans="2:11" x14ac:dyDescent="0.25">
      <c r="B572" s="235">
        <v>44969</v>
      </c>
      <c r="C572" s="195">
        <v>3</v>
      </c>
      <c r="E572" s="238">
        <v>0.27430555555555552</v>
      </c>
      <c r="F572" s="204">
        <v>0.29166666666666669</v>
      </c>
      <c r="G572" s="193">
        <f>IFERROR(IF(E572&gt;F572,((F572+E376B376+1)-(E572+B577))*24,HOUR(F572-E572)+MINUTE(F572-E572)/60),"")</f>
        <v>0.41666666666666669</v>
      </c>
      <c r="H572" s="230" t="s">
        <v>55</v>
      </c>
      <c r="I572" s="230" t="s">
        <v>509</v>
      </c>
      <c r="J572" s="231" t="s">
        <v>114</v>
      </c>
    </row>
    <row r="573" spans="2:11" x14ac:dyDescent="0.25">
      <c r="B573" s="235">
        <v>44970</v>
      </c>
      <c r="C573" s="195">
        <v>1</v>
      </c>
      <c r="E573" s="238">
        <v>0.29166666666666669</v>
      </c>
      <c r="F573" s="204">
        <v>0.29583333333333334</v>
      </c>
      <c r="G573" s="193">
        <f>IFERROR(IF(E573&gt;F573,((F573+E376B376+1)-(E573+B578))*24,HOUR(F573-E573)+MINUTE(F573-E573)/60),"")</f>
        <v>0.1</v>
      </c>
      <c r="H573" s="230" t="s">
        <v>55</v>
      </c>
      <c r="I573" s="230" t="s">
        <v>509</v>
      </c>
      <c r="J573" s="231" t="s">
        <v>114</v>
      </c>
    </row>
    <row r="574" spans="2:11" x14ac:dyDescent="0.25">
      <c r="B574" s="235">
        <v>44970</v>
      </c>
      <c r="C574" s="233">
        <v>1</v>
      </c>
      <c r="E574" s="238">
        <v>0.3611111111111111</v>
      </c>
      <c r="F574" s="204">
        <v>0.37222222222222223</v>
      </c>
      <c r="G574" s="193">
        <f>IFERROR(IF(E574&gt;F574,((F574+E376B376+1)-(E574+B579))*24,HOUR(F574-E574)+MINUTE(F574-E574)/60),"")</f>
        <v>0.26666666666666666</v>
      </c>
      <c r="H574" s="230" t="s">
        <v>55</v>
      </c>
      <c r="I574" s="230" t="s">
        <v>511</v>
      </c>
      <c r="J574" s="231" t="s">
        <v>203</v>
      </c>
    </row>
    <row r="575" spans="2:11" x14ac:dyDescent="0.25">
      <c r="B575" s="235">
        <v>44970</v>
      </c>
      <c r="C575" s="233">
        <v>1</v>
      </c>
      <c r="E575" s="238">
        <v>0.39374999999999999</v>
      </c>
      <c r="F575" s="204">
        <v>0.45208333333333334</v>
      </c>
      <c r="G575" s="193">
        <f>IFERROR(IF(E575&gt;F575,((F575+E376B376+1)-(E575+B580))*24,HOUR(F575-E575)+MINUTE(F575-E575)/60),"")</f>
        <v>1.4</v>
      </c>
      <c r="H575" s="230" t="s">
        <v>55</v>
      </c>
      <c r="I575" s="230" t="s">
        <v>510</v>
      </c>
      <c r="J575" s="231" t="s">
        <v>222</v>
      </c>
    </row>
    <row r="576" spans="2:11" x14ac:dyDescent="0.25">
      <c r="B576" s="235">
        <v>44970</v>
      </c>
      <c r="C576" s="233">
        <v>1</v>
      </c>
      <c r="E576" s="238">
        <v>0.5083333333333333</v>
      </c>
      <c r="F576" s="204">
        <v>0.52083333333333337</v>
      </c>
      <c r="G576" s="193">
        <f>IFERROR(IF(E576&gt;F576,((F576+E376B376+1)-(E576+B581))*24,HOUR(F576-E576)+MINUTE(F576-E576)/60),"")</f>
        <v>0.3</v>
      </c>
      <c r="H576" s="230" t="s">
        <v>201</v>
      </c>
      <c r="I576" s="230" t="s">
        <v>510</v>
      </c>
      <c r="J576" s="231" t="s">
        <v>515</v>
      </c>
    </row>
    <row r="577" spans="2:10" x14ac:dyDescent="0.25">
      <c r="B577" s="235">
        <v>44970</v>
      </c>
      <c r="C577" s="233">
        <v>1</v>
      </c>
      <c r="E577" s="238">
        <v>0.60625000000000007</v>
      </c>
      <c r="F577" s="204">
        <v>0.61944444444444446</v>
      </c>
      <c r="G577" s="193">
        <f>IFERROR(IF(E577&gt;F577,((F577+E376B376+1)-(E577+B582))*24,HOUR(F577-E577)+MINUTE(F577-E577)/60),"")</f>
        <v>0.31666666666666665</v>
      </c>
      <c r="H577" s="230" t="s">
        <v>55</v>
      </c>
      <c r="I577" s="230" t="s">
        <v>509</v>
      </c>
      <c r="J577" s="231" t="s">
        <v>114</v>
      </c>
    </row>
    <row r="578" spans="2:10" x14ac:dyDescent="0.25">
      <c r="B578" s="235">
        <v>44970</v>
      </c>
      <c r="C578" s="195">
        <v>2</v>
      </c>
      <c r="E578" s="238">
        <v>0.63194444444444442</v>
      </c>
      <c r="F578" s="204">
        <v>0.65833333333333333</v>
      </c>
      <c r="G578" s="193">
        <f>IFERROR(IF(E578&gt;F578,((F578+E376B376+1)-(E578+B583))*24,HOUR(F578-E578)+MINUTE(F578-E578)/60),"")</f>
        <v>0.6333333333333333</v>
      </c>
      <c r="H578" s="230" t="s">
        <v>55</v>
      </c>
      <c r="I578" s="230" t="s">
        <v>509</v>
      </c>
      <c r="J578" s="231" t="s">
        <v>211</v>
      </c>
    </row>
    <row r="579" spans="2:10" x14ac:dyDescent="0.25">
      <c r="B579" s="235">
        <v>44970</v>
      </c>
      <c r="C579" s="195">
        <v>2</v>
      </c>
      <c r="E579" s="238">
        <v>0.73749999999999993</v>
      </c>
      <c r="F579" s="204">
        <v>0.89930555555555547</v>
      </c>
      <c r="G579" s="193">
        <f>IFERROR(IF(E579&gt;F579,((F579+E376B376+1)-(E579+B584))*24,HOUR(F579-E579)+MINUTE(F579-E579)/60),"")</f>
        <v>3.8833333333333333</v>
      </c>
      <c r="H579" s="230" t="s">
        <v>158</v>
      </c>
      <c r="I579" s="230" t="s">
        <v>513</v>
      </c>
      <c r="J579" s="231" t="s">
        <v>582</v>
      </c>
    </row>
    <row r="580" spans="2:10" x14ac:dyDescent="0.25">
      <c r="B580" s="235">
        <v>44970</v>
      </c>
      <c r="C580" s="233">
        <v>2</v>
      </c>
      <c r="E580" s="238">
        <v>0.94444444444444453</v>
      </c>
      <c r="F580" s="204">
        <v>0.95833333333333337</v>
      </c>
      <c r="G580" s="193">
        <f>IFERROR(IF(E580&gt;F580,((F580+E376B376+1)-(E580+B585))*24,HOUR(F580-E580)+MINUTE(F580-E580)/60),"")</f>
        <v>0.33333333333333331</v>
      </c>
      <c r="H580" s="230" t="s">
        <v>55</v>
      </c>
      <c r="I580" s="230" t="s">
        <v>509</v>
      </c>
      <c r="J580" s="231" t="s">
        <v>114</v>
      </c>
    </row>
    <row r="581" spans="2:10" x14ac:dyDescent="0.25">
      <c r="B581" s="235">
        <v>44970</v>
      </c>
      <c r="C581" s="195">
        <v>3</v>
      </c>
      <c r="D581" s="233"/>
      <c r="E581" s="238">
        <v>0.17361111111111113</v>
      </c>
      <c r="F581" s="204">
        <v>0.18402777777777779</v>
      </c>
      <c r="G581" s="193">
        <f>IFERROR(IF(E581&gt;F581,((F581+E376B376+1)-(E581+B586))*24,HOUR(F581-E581)+MINUTE(F581-E581)/60),"")</f>
        <v>0.25</v>
      </c>
      <c r="H581" s="230" t="s">
        <v>204</v>
      </c>
      <c r="I581" s="230" t="s">
        <v>509</v>
      </c>
      <c r="J581" s="231" t="s">
        <v>604</v>
      </c>
    </row>
    <row r="582" spans="2:10" x14ac:dyDescent="0.25">
      <c r="B582" s="235">
        <v>44970</v>
      </c>
      <c r="C582" s="195">
        <v>3</v>
      </c>
      <c r="E582" s="238">
        <v>0.1875</v>
      </c>
      <c r="F582" s="204">
        <v>0.19791666666666666</v>
      </c>
      <c r="G582" s="193">
        <f>IFERROR(IF(E582&gt;F582,((F582+E376B376+1)-(E582+B587))*24,HOUR(F582-E582)+MINUTE(F582-E582)/60),"")</f>
        <v>0.25</v>
      </c>
      <c r="H582" s="230" t="s">
        <v>204</v>
      </c>
      <c r="I582" s="230" t="s">
        <v>509</v>
      </c>
      <c r="J582" s="231" t="s">
        <v>604</v>
      </c>
    </row>
    <row r="583" spans="2:10" x14ac:dyDescent="0.25">
      <c r="B583" s="235">
        <v>44970</v>
      </c>
      <c r="C583" s="195">
        <v>3</v>
      </c>
      <c r="E583" s="238">
        <v>0.25</v>
      </c>
      <c r="F583" s="204">
        <v>0.26041666666666669</v>
      </c>
      <c r="G583" s="193">
        <f>IFERROR(IF(E583&gt;F583,((F583+E376B376+1)-(E583+B588))*24,HOUR(F583-E583)+MINUTE(F583-E583)/60),"")</f>
        <v>0.25</v>
      </c>
      <c r="H583" s="230" t="s">
        <v>204</v>
      </c>
      <c r="I583" s="230" t="s">
        <v>509</v>
      </c>
      <c r="J583" s="231" t="s">
        <v>604</v>
      </c>
    </row>
    <row r="584" spans="2:10" x14ac:dyDescent="0.25">
      <c r="B584" s="235">
        <v>44970</v>
      </c>
      <c r="C584" s="195">
        <v>3</v>
      </c>
      <c r="E584" s="238">
        <v>0.27083333333333331</v>
      </c>
      <c r="F584" s="204">
        <v>0.29166666666666669</v>
      </c>
      <c r="G584" s="193">
        <f>IFERROR(IF(E584&gt;F584,((F584+E376B376+1)-(E584+B589))*24,HOUR(F584-E584)+MINUTE(F584-E584)/60),"")</f>
        <v>0.5</v>
      </c>
      <c r="H584" s="230" t="s">
        <v>55</v>
      </c>
      <c r="I584" s="230" t="s">
        <v>509</v>
      </c>
      <c r="J584" s="231" t="s">
        <v>114</v>
      </c>
    </row>
    <row r="585" spans="2:10" x14ac:dyDescent="0.25">
      <c r="B585" s="235">
        <v>44971</v>
      </c>
      <c r="C585" s="195">
        <v>1</v>
      </c>
      <c r="E585" s="238">
        <v>0.29166666666666669</v>
      </c>
      <c r="F585" s="204">
        <v>0.29444444444444445</v>
      </c>
      <c r="G585" s="193">
        <f>IFERROR(IF(E585&gt;F585,((F585+E376B376+1)-(E585+B590))*24,HOUR(F585-E585)+MINUTE(F585-E585)/60),"")</f>
        <v>6.6666666666666666E-2</v>
      </c>
      <c r="H585" s="230" t="s">
        <v>55</v>
      </c>
      <c r="I585" s="230" t="s">
        <v>509</v>
      </c>
      <c r="J585" s="231" t="s">
        <v>114</v>
      </c>
    </row>
    <row r="586" spans="2:10" x14ac:dyDescent="0.25">
      <c r="B586" s="235">
        <v>44971</v>
      </c>
      <c r="C586" s="233">
        <v>1</v>
      </c>
      <c r="E586" s="238">
        <v>0.31180555555555556</v>
      </c>
      <c r="F586" s="204">
        <v>0.32222222222222224</v>
      </c>
      <c r="G586" s="193">
        <f>IFERROR(IF(E586&gt;F586,((F586+E376B376+1)-(E586+B591))*24,HOUR(F586-E586)+MINUTE(F586-E586)/60),"")</f>
        <v>0.25</v>
      </c>
      <c r="H586" s="230" t="s">
        <v>204</v>
      </c>
      <c r="I586" s="230" t="s">
        <v>509</v>
      </c>
      <c r="J586" s="231" t="s">
        <v>604</v>
      </c>
    </row>
    <row r="587" spans="2:10" x14ac:dyDescent="0.25">
      <c r="B587" s="235">
        <v>44971</v>
      </c>
      <c r="C587" s="233">
        <v>1</v>
      </c>
      <c r="E587" s="238">
        <v>0.32222222222222224</v>
      </c>
      <c r="F587" s="204">
        <v>0.32847222222222222</v>
      </c>
      <c r="G587" s="193">
        <f>IFERROR(IF(E587&gt;F587,((F587+E376B376+1)-(E587+B592))*24,HOUR(F587-E587)+MINUTE(F587-E587)/60),"")</f>
        <v>0.15</v>
      </c>
      <c r="H587" s="230" t="s">
        <v>158</v>
      </c>
      <c r="I587" s="230" t="s">
        <v>509</v>
      </c>
      <c r="J587" s="231" t="s">
        <v>604</v>
      </c>
    </row>
    <row r="588" spans="2:10" x14ac:dyDescent="0.25">
      <c r="B588" s="235">
        <v>44971</v>
      </c>
      <c r="C588" s="233">
        <v>1</v>
      </c>
      <c r="E588" s="238">
        <v>0.33333333333333331</v>
      </c>
      <c r="F588" s="204">
        <v>0.625</v>
      </c>
      <c r="G588" s="193">
        <f>IFERROR(IF(E588&gt;F588,((F588+E376B376+1)-(E588+B593))*24,HOUR(F588-E588)+MINUTE(F588-E588)/60),"")</f>
        <v>7</v>
      </c>
      <c r="I588" s="230" t="s">
        <v>156</v>
      </c>
      <c r="J588" s="231" t="s">
        <v>149</v>
      </c>
    </row>
    <row r="589" spans="2:10" x14ac:dyDescent="0.25">
      <c r="B589" s="235">
        <v>44971</v>
      </c>
      <c r="C589" s="195">
        <v>2</v>
      </c>
      <c r="E589" s="238">
        <v>0.625</v>
      </c>
      <c r="F589" s="204">
        <v>0.95833333333333337</v>
      </c>
      <c r="G589" s="193">
        <f>IFERROR(IF(E589&gt;F589,((F589+E376B376+1)-(E589+B594))*24,HOUR(F589-E589)+MINUTE(F589-E589)/60),"")</f>
        <v>8</v>
      </c>
      <c r="I589" s="230" t="s">
        <v>156</v>
      </c>
      <c r="J589" s="231" t="s">
        <v>149</v>
      </c>
    </row>
    <row r="590" spans="2:10" x14ac:dyDescent="0.25">
      <c r="B590" s="235">
        <v>44971</v>
      </c>
      <c r="C590" s="195">
        <v>3</v>
      </c>
      <c r="E590" s="238">
        <v>0.95833333333333337</v>
      </c>
      <c r="F590" s="204">
        <v>44972.291666666664</v>
      </c>
      <c r="G590" s="193">
        <f>IFERROR(IF(E590&gt;F590,((F590+E376B376+1)-(E590+B595))*24,HOUR(F590-E590)+MINUTE(F590-E590)/60),"")</f>
        <v>8</v>
      </c>
      <c r="I590" s="230" t="s">
        <v>513</v>
      </c>
      <c r="J590" s="231" t="s">
        <v>582</v>
      </c>
    </row>
    <row r="591" spans="2:10" x14ac:dyDescent="0.25">
      <c r="B591" s="235">
        <v>44972</v>
      </c>
      <c r="C591" s="195">
        <v>1</v>
      </c>
      <c r="E591" s="238">
        <v>0.29166666666666669</v>
      </c>
      <c r="F591" s="204">
        <v>0.625</v>
      </c>
      <c r="G591" s="193">
        <f>IFERROR(IF(E591&gt;F591,((F591+E376B376+1)-(E591+B597))*24,HOUR(F591-E591)+MINUTE(F591-E591)/60),"")</f>
        <v>8</v>
      </c>
      <c r="I591" s="230" t="s">
        <v>513</v>
      </c>
      <c r="J591" s="231" t="s">
        <v>582</v>
      </c>
    </row>
    <row r="592" spans="2:10" x14ac:dyDescent="0.25">
      <c r="B592" s="235">
        <v>44972</v>
      </c>
      <c r="C592" s="195">
        <v>2</v>
      </c>
      <c r="E592" s="238">
        <v>0.625</v>
      </c>
      <c r="F592" s="204">
        <v>0.95833333333333337</v>
      </c>
      <c r="G592" s="193">
        <f>IFERROR(IF(E592&gt;F592,((F592+E376B376+1)-(E592+B598))*24,HOUR(F592-E592)+MINUTE(F592-E592)/60),"")</f>
        <v>8</v>
      </c>
      <c r="I592" s="230" t="s">
        <v>513</v>
      </c>
      <c r="J592" s="231" t="s">
        <v>582</v>
      </c>
    </row>
    <row r="593" spans="2:11" x14ac:dyDescent="0.25">
      <c r="B593" s="235">
        <v>44972</v>
      </c>
      <c r="C593" s="195">
        <v>3</v>
      </c>
      <c r="E593" s="238">
        <v>0.95833333333333337</v>
      </c>
      <c r="F593" s="204">
        <v>0.29166666666666669</v>
      </c>
      <c r="G593" s="193">
        <v>8</v>
      </c>
      <c r="I593" s="230" t="s">
        <v>513</v>
      </c>
      <c r="J593" s="231" t="s">
        <v>582</v>
      </c>
    </row>
    <row r="594" spans="2:11" x14ac:dyDescent="0.25">
      <c r="B594" s="235">
        <v>44973</v>
      </c>
      <c r="C594" s="195">
        <v>1</v>
      </c>
      <c r="E594" s="238">
        <v>0.29166666666666669</v>
      </c>
      <c r="F594" s="204">
        <v>0.625</v>
      </c>
      <c r="G594" s="193">
        <f>IFERROR(IF(E594&gt;F594,((F594+E376B376+1)-(E594+B600))*24,HOUR(F594-E594)+MINUTE(F594-E594)/60),"")</f>
        <v>8</v>
      </c>
      <c r="I594" s="230" t="s">
        <v>513</v>
      </c>
      <c r="J594" s="231" t="s">
        <v>582</v>
      </c>
    </row>
    <row r="595" spans="2:11" x14ac:dyDescent="0.25">
      <c r="B595" s="235">
        <v>44973</v>
      </c>
      <c r="C595" s="195">
        <v>2</v>
      </c>
      <c r="E595" s="238">
        <v>0.625</v>
      </c>
      <c r="F595" s="204">
        <v>0.95833333333333337</v>
      </c>
      <c r="G595" s="193">
        <f>IFERROR(IF(E595&gt;F595,((F595+E376B376+1)-(E595+B601))*24,HOUR(F595-E595)+MINUTE(F595-E595)/60),"")</f>
        <v>8</v>
      </c>
      <c r="I595" s="230" t="s">
        <v>513</v>
      </c>
      <c r="J595" s="231" t="s">
        <v>582</v>
      </c>
    </row>
    <row r="596" spans="2:11" s="233" customFormat="1" x14ac:dyDescent="0.25">
      <c r="B596" s="235">
        <v>44973</v>
      </c>
      <c r="C596" s="233">
        <v>3</v>
      </c>
      <c r="E596" s="238">
        <v>0.95833333333333337</v>
      </c>
      <c r="F596" s="204">
        <v>44973.291666666664</v>
      </c>
      <c r="G596" s="193">
        <f>IFERROR(IF(E596&gt;F596,((F596+E376B376+1)-(E596+B602))*24,HOUR(F596-E596)+MINUTE(F596-E596)/60),"")</f>
        <v>8</v>
      </c>
      <c r="H596" s="230"/>
      <c r="I596" s="230" t="s">
        <v>513</v>
      </c>
      <c r="J596" s="231" t="s">
        <v>582</v>
      </c>
      <c r="K596" s="176"/>
    </row>
    <row r="597" spans="2:11" x14ac:dyDescent="0.25">
      <c r="B597" s="235">
        <v>44974</v>
      </c>
      <c r="C597" s="195">
        <v>1</v>
      </c>
      <c r="E597" s="238">
        <v>0.29166666666666669</v>
      </c>
      <c r="F597" s="204">
        <v>0.39374999999999999</v>
      </c>
      <c r="G597" s="193">
        <f>IFERROR(IF(E597&gt;F597,((F597+E376B376+1)-(E597+B602))*24,HOUR(F597-E597)+MINUTE(F597-E597)/60),"")</f>
        <v>2.4500000000000002</v>
      </c>
      <c r="I597" s="230" t="s">
        <v>513</v>
      </c>
      <c r="J597" s="231" t="s">
        <v>582</v>
      </c>
    </row>
    <row r="598" spans="2:11" x14ac:dyDescent="0.25">
      <c r="B598" s="235">
        <v>44974</v>
      </c>
      <c r="C598" s="233">
        <v>1</v>
      </c>
      <c r="E598" s="238">
        <v>0.42708333333333331</v>
      </c>
      <c r="F598" s="204">
        <v>0.4375</v>
      </c>
      <c r="G598" s="193">
        <f>IFERROR(IF(E598&gt;F598,((F598+E376B376+1)-(E598+B603))*24,HOUR(F598-E598)+MINUTE(F598-E598)/60),"")</f>
        <v>0.25</v>
      </c>
      <c r="H598" s="230" t="s">
        <v>201</v>
      </c>
      <c r="I598" s="289" t="s">
        <v>513</v>
      </c>
      <c r="J598" s="231" t="s">
        <v>154</v>
      </c>
    </row>
    <row r="599" spans="2:11" x14ac:dyDescent="0.25">
      <c r="B599" s="235">
        <v>44974</v>
      </c>
      <c r="C599" s="233">
        <v>1</v>
      </c>
      <c r="E599" s="238">
        <v>0.59375</v>
      </c>
      <c r="F599" s="204">
        <v>0.60416666666666663</v>
      </c>
      <c r="G599" s="193">
        <f>IFERROR(IF(E599&gt;F599,((F599+E376B376+1)-(E599+B604))*24,HOUR(F599-E599)+MINUTE(F599-E599)/60),"")</f>
        <v>0.25</v>
      </c>
      <c r="H599" s="230" t="s">
        <v>195</v>
      </c>
      <c r="I599" s="230" t="s">
        <v>509</v>
      </c>
      <c r="J599" s="231" t="s">
        <v>110</v>
      </c>
    </row>
    <row r="600" spans="2:11" x14ac:dyDescent="0.25">
      <c r="B600" s="235">
        <v>44974</v>
      </c>
      <c r="C600" s="233">
        <v>1</v>
      </c>
      <c r="E600" s="238">
        <v>0.60972222222222217</v>
      </c>
      <c r="F600" s="204">
        <v>0.625</v>
      </c>
      <c r="G600" s="288">
        <f>IFERROR(IF(E600&gt;F600,((F600+E376B376+1)-(E600+B605))*24,HOUR(F600-E600)+MINUTE(F600-E600)/60),"")</f>
        <v>0.36666666666666664</v>
      </c>
      <c r="H600" s="230" t="s">
        <v>55</v>
      </c>
      <c r="I600" s="230" t="s">
        <v>509</v>
      </c>
      <c r="J600" s="231" t="s">
        <v>114</v>
      </c>
    </row>
    <row r="601" spans="2:11" x14ac:dyDescent="0.25">
      <c r="B601" s="235">
        <v>44974</v>
      </c>
      <c r="C601" s="195">
        <v>2</v>
      </c>
      <c r="E601" s="238">
        <v>0.625</v>
      </c>
      <c r="F601" s="204">
        <v>0.63194444444444442</v>
      </c>
      <c r="G601" s="193">
        <f>IFERROR(IF(E601&gt;F601,((F601+E376B376+1)-(E601+B606))*24,HOUR(F601-E601)+MINUTE(F601-E601)/60),"")</f>
        <v>0.16666666666666666</v>
      </c>
      <c r="H601" s="230" t="s">
        <v>55</v>
      </c>
      <c r="I601" s="230" t="s">
        <v>509</v>
      </c>
      <c r="J601" s="231" t="s">
        <v>114</v>
      </c>
    </row>
    <row r="602" spans="2:11" x14ac:dyDescent="0.25">
      <c r="B602" s="235">
        <v>44974</v>
      </c>
      <c r="C602" s="233">
        <v>2</v>
      </c>
      <c r="E602" s="238">
        <v>0.91666666666666663</v>
      </c>
      <c r="F602" s="204">
        <v>0.92708333333333337</v>
      </c>
      <c r="G602" s="193">
        <f>IFERROR(IF(E602&gt;F602,((F602+E376B376+1)-(E602+B607))*24,HOUR(F602-E602)+MINUTE(F602-E602)/60),"")</f>
        <v>0.25</v>
      </c>
      <c r="H602" s="230" t="s">
        <v>195</v>
      </c>
      <c r="I602" s="230" t="s">
        <v>509</v>
      </c>
      <c r="J602" s="231" t="s">
        <v>110</v>
      </c>
      <c r="K602" s="176" t="s">
        <v>922</v>
      </c>
    </row>
    <row r="603" spans="2:11" x14ac:dyDescent="0.25">
      <c r="B603" s="235">
        <v>44974</v>
      </c>
      <c r="C603" s="195">
        <v>2</v>
      </c>
      <c r="E603" s="238">
        <v>0.93194444444444446</v>
      </c>
      <c r="F603" s="204">
        <v>0.94236111111111109</v>
      </c>
      <c r="G603" s="288">
        <f>IFERROR(IF(E603&gt;F603,((F603+E376B376+1)-(E603+B608))*24,HOUR(F603-E603)+MINUTE(F603-E603)/60),"")</f>
        <v>0.25</v>
      </c>
      <c r="H603" s="230" t="s">
        <v>55</v>
      </c>
      <c r="I603" s="230" t="s">
        <v>509</v>
      </c>
      <c r="J603" s="231" t="s">
        <v>203</v>
      </c>
    </row>
    <row r="604" spans="2:11" x14ac:dyDescent="0.25">
      <c r="B604" s="235">
        <v>44974</v>
      </c>
      <c r="C604" s="195">
        <v>2</v>
      </c>
      <c r="E604" s="238">
        <v>0.94236111111111109</v>
      </c>
      <c r="F604" s="204">
        <v>0.95763888888888893</v>
      </c>
      <c r="G604" s="288">
        <f>IFERROR(IF(E604&gt;F604,((F604+E376B376+1)-(E604+B609))*24,HOUR(F604-E604)+MINUTE(F604-E604)/60),"")</f>
        <v>0.36666666666666664</v>
      </c>
      <c r="H604" s="230" t="s">
        <v>55</v>
      </c>
      <c r="I604" s="230" t="s">
        <v>509</v>
      </c>
      <c r="J604" s="231" t="s">
        <v>211</v>
      </c>
    </row>
    <row r="605" spans="2:11" x14ac:dyDescent="0.25">
      <c r="B605" s="235">
        <v>44974</v>
      </c>
      <c r="C605" s="195">
        <v>3</v>
      </c>
      <c r="E605" s="238">
        <v>6.25E-2</v>
      </c>
      <c r="F605" s="204">
        <v>7.2916666666666671E-2</v>
      </c>
      <c r="G605" s="193">
        <f>IFERROR(IF(E605&gt;F605,((F605+E376B376+1)-(E605+B610))*24,HOUR(F605-E605)+MINUTE(F605-E605)/60),"")</f>
        <v>0.25</v>
      </c>
      <c r="H605" s="230" t="s">
        <v>195</v>
      </c>
      <c r="I605" s="230" t="s">
        <v>509</v>
      </c>
      <c r="J605" s="231" t="s">
        <v>110</v>
      </c>
    </row>
    <row r="606" spans="2:11" x14ac:dyDescent="0.25">
      <c r="B606" s="235">
        <v>44974</v>
      </c>
      <c r="C606" s="195">
        <v>3</v>
      </c>
      <c r="D606" s="195">
        <v>1.1340277777777776</v>
      </c>
      <c r="E606" s="238">
        <v>9.2361111111111116E-2</v>
      </c>
      <c r="F606" s="204">
        <v>0.10208333333333335</v>
      </c>
      <c r="G606" s="193">
        <f>IFERROR(IF(E606&gt;F606,((F606+E376B376+1)-(E606+B611))*24,HOUR(F606-E606)+MINUTE(F606-E606)/60),"")</f>
        <v>0.23333333333333334</v>
      </c>
      <c r="H606" s="230" t="s">
        <v>55</v>
      </c>
      <c r="I606" s="230" t="s">
        <v>509</v>
      </c>
      <c r="J606" s="231" t="s">
        <v>203</v>
      </c>
    </row>
    <row r="607" spans="2:11" x14ac:dyDescent="0.25">
      <c r="B607" s="235">
        <v>44974</v>
      </c>
      <c r="C607" s="195">
        <v>3</v>
      </c>
      <c r="E607" s="238">
        <v>0.10208333333333335</v>
      </c>
      <c r="F607" s="204">
        <v>0.125</v>
      </c>
      <c r="G607" s="193">
        <f>IFERROR(IF(E607&gt;F607,((F607+E376B376+1)-(E607+B612))*24,HOUR(F607-E607)+MINUTE(F607-E607)/60),"")</f>
        <v>0.55000000000000004</v>
      </c>
      <c r="H607" s="230" t="s">
        <v>192</v>
      </c>
      <c r="I607" s="230" t="s">
        <v>509</v>
      </c>
      <c r="J607" s="231" t="s">
        <v>110</v>
      </c>
    </row>
    <row r="608" spans="2:11" x14ac:dyDescent="0.25">
      <c r="B608" s="235">
        <v>44974</v>
      </c>
      <c r="C608" s="195">
        <v>3</v>
      </c>
      <c r="E608" s="238">
        <v>0.16319444444444445</v>
      </c>
      <c r="F608" s="204">
        <v>0.18055555555555555</v>
      </c>
      <c r="G608" s="193">
        <f>IFERROR(IF(E608&gt;F608,((F608+E376B376+1)-(E608+B613))*24,HOUR(F608-E608)+MINUTE(F608-E608)/60),"")</f>
        <v>0.41666666666666669</v>
      </c>
      <c r="H608" s="230" t="s">
        <v>204</v>
      </c>
      <c r="I608" s="230" t="s">
        <v>511</v>
      </c>
      <c r="J608" s="231" t="s">
        <v>558</v>
      </c>
    </row>
    <row r="609" spans="2:11" x14ac:dyDescent="0.25">
      <c r="B609" s="235">
        <v>44974</v>
      </c>
      <c r="C609" s="195">
        <v>3</v>
      </c>
      <c r="E609" s="238">
        <v>0.27152777777777776</v>
      </c>
      <c r="F609" s="204">
        <v>0.28194444444444444</v>
      </c>
      <c r="G609" s="193">
        <f>IFERROR(IF(E609&gt;F609,((F609+E376B376+1)-(E609+B614))*24,HOUR(F609-E609)+MINUTE(F609-E609)/60),"")</f>
        <v>0.25</v>
      </c>
      <c r="H609" s="230" t="s">
        <v>55</v>
      </c>
      <c r="I609" s="230" t="s">
        <v>509</v>
      </c>
      <c r="J609" s="231" t="s">
        <v>203</v>
      </c>
    </row>
    <row r="610" spans="2:11" x14ac:dyDescent="0.25">
      <c r="B610" s="235">
        <v>44974</v>
      </c>
      <c r="C610" s="195">
        <v>3</v>
      </c>
      <c r="E610" s="238">
        <v>0.28194444444444444</v>
      </c>
      <c r="F610" s="204">
        <v>0.29166666666666669</v>
      </c>
      <c r="G610" s="193">
        <f>IFERROR(IF(E610&gt;F610,((F610+E376B376+1)-(E610+B615))*24,HOUR(F610-E610)+MINUTE(F610-E610)/60),"")</f>
        <v>0.23333333333333334</v>
      </c>
      <c r="H610" s="230" t="s">
        <v>55</v>
      </c>
      <c r="I610" s="230" t="s">
        <v>509</v>
      </c>
      <c r="J610" s="231" t="s">
        <v>114</v>
      </c>
    </row>
    <row r="611" spans="2:11" x14ac:dyDescent="0.25">
      <c r="B611" s="235">
        <v>44975</v>
      </c>
      <c r="C611" s="195">
        <v>1</v>
      </c>
      <c r="E611" s="238">
        <v>0.29166666666666669</v>
      </c>
      <c r="F611" s="204">
        <v>0.30208333333333331</v>
      </c>
      <c r="G611" s="193">
        <f>IFERROR(IF(E611&gt;F611,((F611+E376B376+1)-(E611+B616))*24,HOUR(F611-E611)+MINUTE(F611-E611)/60),"")</f>
        <v>0.25</v>
      </c>
      <c r="H611" s="230" t="s">
        <v>55</v>
      </c>
      <c r="I611" s="230" t="s">
        <v>509</v>
      </c>
      <c r="J611" s="231" t="s">
        <v>114</v>
      </c>
    </row>
    <row r="612" spans="2:11" x14ac:dyDescent="0.25">
      <c r="B612" s="235">
        <v>44975</v>
      </c>
      <c r="C612" s="233">
        <v>1</v>
      </c>
      <c r="E612" s="238">
        <v>0.31944444444444448</v>
      </c>
      <c r="F612" s="204">
        <v>0.3298611111111111</v>
      </c>
      <c r="G612" s="193">
        <f>IFERROR(IF(E612&gt;F612,((F612+E376B376+1)-(E612+B617))*24,HOUR(F612-E612)+MINUTE(F612-E612)/60),"")</f>
        <v>0.25</v>
      </c>
      <c r="H612" s="230" t="s">
        <v>55</v>
      </c>
      <c r="I612" s="230" t="s">
        <v>509</v>
      </c>
      <c r="J612" s="231" t="s">
        <v>203</v>
      </c>
    </row>
    <row r="613" spans="2:11" x14ac:dyDescent="0.25">
      <c r="B613" s="235">
        <v>44975</v>
      </c>
      <c r="C613" s="233">
        <v>1</v>
      </c>
      <c r="E613" s="238">
        <v>0.3347222222222222</v>
      </c>
      <c r="F613" s="204">
        <v>0.34722222222222227</v>
      </c>
      <c r="G613" s="193">
        <f>IFERROR(IF(E613&gt;F613,((F613+E376B376+1)-(E613+B618))*24,HOUR(F613-E613)+MINUTE(F613-E613)/60),"")</f>
        <v>0.3</v>
      </c>
      <c r="H613" s="230" t="s">
        <v>204</v>
      </c>
      <c r="I613" s="230" t="s">
        <v>511</v>
      </c>
      <c r="J613" s="231" t="s">
        <v>527</v>
      </c>
    </row>
    <row r="614" spans="2:11" x14ac:dyDescent="0.25">
      <c r="B614" s="235">
        <v>44975</v>
      </c>
      <c r="C614" s="233">
        <v>1</v>
      </c>
      <c r="E614" s="238">
        <v>0.34722222222222227</v>
      </c>
      <c r="F614" s="204">
        <v>0.36527777777777781</v>
      </c>
      <c r="G614" s="193">
        <f>IFERROR(IF(E614&gt;F614,((F614+E376B376+1)-(E614+B619))*24,HOUR(F614-E614)+MINUTE(F614-E614)/60),"")</f>
        <v>0.43333333333333335</v>
      </c>
      <c r="H614" s="230" t="s">
        <v>178</v>
      </c>
      <c r="I614" s="230" t="s">
        <v>509</v>
      </c>
      <c r="J614" s="231" t="s">
        <v>213</v>
      </c>
    </row>
    <row r="615" spans="2:11" x14ac:dyDescent="0.25">
      <c r="B615" s="235">
        <v>44975</v>
      </c>
      <c r="C615" s="233">
        <v>1</v>
      </c>
      <c r="E615" s="238">
        <v>0.36527777777777781</v>
      </c>
      <c r="F615" s="204">
        <v>0.375</v>
      </c>
      <c r="G615" s="193">
        <f>IFERROR(IF(E615&gt;F615,((F615+E376B376+1)-(E615+B620))*24,HOUR(F615-E615)+MINUTE(F615-E615)/60),"")</f>
        <v>0.23333333333333334</v>
      </c>
      <c r="H615" s="230" t="s">
        <v>147</v>
      </c>
      <c r="I615" s="230" t="s">
        <v>509</v>
      </c>
      <c r="J615" s="231" t="s">
        <v>614</v>
      </c>
      <c r="K615" s="176" t="s">
        <v>938</v>
      </c>
    </row>
    <row r="616" spans="2:11" x14ac:dyDescent="0.25">
      <c r="B616" s="235">
        <v>44975</v>
      </c>
      <c r="C616" s="195">
        <v>1</v>
      </c>
      <c r="E616" s="238">
        <v>0.41319444444444442</v>
      </c>
      <c r="F616" s="204">
        <v>0.4236111111111111</v>
      </c>
      <c r="G616" s="193">
        <f>IFERROR(IF(E616&gt;F616,((F616+E376B376+1)-(E616+B621))*24,HOUR(F616-E616)+MINUTE(F616-E616)/60),"")</f>
        <v>0.25</v>
      </c>
      <c r="H616" s="230" t="s">
        <v>195</v>
      </c>
      <c r="I616" s="230" t="s">
        <v>509</v>
      </c>
      <c r="J616" s="231" t="s">
        <v>110</v>
      </c>
    </row>
    <row r="617" spans="2:11" x14ac:dyDescent="0.25">
      <c r="B617" s="235">
        <v>44975</v>
      </c>
      <c r="C617" s="233">
        <v>1</v>
      </c>
      <c r="E617" s="238">
        <v>0.48541666666666666</v>
      </c>
      <c r="F617" s="204">
        <v>0.49583333333333335</v>
      </c>
      <c r="G617" s="193">
        <f>IFERROR(IF(E617&gt;F617,((F617+E376B376+1)-(E617+B622))*24,HOUR(F617-E617)+MINUTE(F617-E617)/60),"")</f>
        <v>0.25</v>
      </c>
      <c r="H617" s="230" t="s">
        <v>55</v>
      </c>
      <c r="I617" s="230" t="s">
        <v>509</v>
      </c>
      <c r="J617" s="231" t="s">
        <v>203</v>
      </c>
    </row>
    <row r="618" spans="2:11" x14ac:dyDescent="0.25">
      <c r="B618" s="235">
        <v>44975</v>
      </c>
      <c r="C618" s="233">
        <v>1</v>
      </c>
      <c r="E618" s="238">
        <v>0.6</v>
      </c>
      <c r="F618" s="204">
        <v>0.61041666666666672</v>
      </c>
      <c r="G618" s="193">
        <f>IFERROR(IF(E618&gt;F618,((F618+E376B376+1)-(E618+B623))*24,HOUR(F618-E618)+MINUTE(F618-E618)/60),"")</f>
        <v>0.25</v>
      </c>
      <c r="H618" s="230" t="s">
        <v>55</v>
      </c>
      <c r="I618" s="230" t="s">
        <v>509</v>
      </c>
      <c r="J618" s="231" t="s">
        <v>203</v>
      </c>
    </row>
    <row r="619" spans="2:11" x14ac:dyDescent="0.25">
      <c r="B619" s="235">
        <v>44975</v>
      </c>
      <c r="C619" s="233">
        <v>1</v>
      </c>
      <c r="E619" s="238">
        <v>0.61041666666666672</v>
      </c>
      <c r="F619" s="204">
        <v>0.61388888888888882</v>
      </c>
      <c r="G619" s="193">
        <f>IFERROR(IF(E619&gt;F619,((F619+E376B376+1)-(E619+B624))*24,HOUR(F619-E619)+MINUTE(F619-E619)/60),"")</f>
        <v>8.3333333333333329E-2</v>
      </c>
      <c r="H619" s="230" t="s">
        <v>55</v>
      </c>
      <c r="I619" s="230" t="s">
        <v>509</v>
      </c>
      <c r="J619" s="231" t="s">
        <v>114</v>
      </c>
    </row>
    <row r="620" spans="2:11" x14ac:dyDescent="0.25">
      <c r="B620" s="235">
        <v>44975</v>
      </c>
      <c r="C620" s="195">
        <v>2</v>
      </c>
      <c r="E620" s="238">
        <v>0.63888888888888895</v>
      </c>
      <c r="F620" s="204">
        <v>0.64930555555555558</v>
      </c>
      <c r="G620" s="193">
        <f>IFERROR(IF(E620&gt;F620,((F620+E376B376+1)-(E620+B625))*24,HOUR(F620-E620)+MINUTE(F620-E620)/60),"")</f>
        <v>0.25</v>
      </c>
      <c r="H620" s="230" t="s">
        <v>195</v>
      </c>
      <c r="I620" s="230" t="s">
        <v>509</v>
      </c>
      <c r="J620" s="231" t="s">
        <v>110</v>
      </c>
      <c r="K620" s="176" t="s">
        <v>922</v>
      </c>
    </row>
    <row r="621" spans="2:11" x14ac:dyDescent="0.25">
      <c r="B621" s="235">
        <v>44975</v>
      </c>
      <c r="C621" s="195">
        <v>2</v>
      </c>
      <c r="E621" s="238">
        <v>0.70833333333333337</v>
      </c>
      <c r="F621" s="204">
        <v>0.71875</v>
      </c>
      <c r="G621" s="193">
        <f>IFERROR(IF(E621&gt;F621,((F621+E376B376+1)-(E621+B626))*24,HOUR(F621-E621)+MINUTE(F621-E621)/60),"")</f>
        <v>0.25</v>
      </c>
      <c r="H621" s="230" t="s">
        <v>195</v>
      </c>
      <c r="I621" s="230" t="s">
        <v>509</v>
      </c>
      <c r="J621" s="231" t="s">
        <v>110</v>
      </c>
      <c r="K621" s="176" t="s">
        <v>922</v>
      </c>
    </row>
    <row r="622" spans="2:11" x14ac:dyDescent="0.25">
      <c r="B622" s="235">
        <v>44975</v>
      </c>
      <c r="C622" s="195">
        <v>2</v>
      </c>
      <c r="E622" s="238">
        <v>0.71875</v>
      </c>
      <c r="F622" s="204">
        <v>0.77777777777777779</v>
      </c>
      <c r="G622" s="193">
        <f>IFERROR(IF(E622&gt;F622,((F622+E376B376+1)-(E622+B627))*24,HOUR(F622-E622)+MINUTE(F622-E622)/60),"")</f>
        <v>1.4166666666666667</v>
      </c>
      <c r="H622" s="230" t="s">
        <v>204</v>
      </c>
      <c r="I622" s="230" t="s">
        <v>511</v>
      </c>
      <c r="J622" s="231" t="s">
        <v>118</v>
      </c>
      <c r="K622" s="176" t="s">
        <v>943</v>
      </c>
    </row>
    <row r="623" spans="2:11" x14ac:dyDescent="0.25">
      <c r="B623" s="235">
        <v>44975</v>
      </c>
      <c r="C623" s="233">
        <v>2</v>
      </c>
      <c r="E623" s="238">
        <v>0.87152777777777779</v>
      </c>
      <c r="F623" s="204">
        <v>0.88888888888888884</v>
      </c>
      <c r="G623" s="193">
        <f>IFERROR(IF(E623&gt;F623,((F623+E376B376+1)-(E623+B628))*24,HOUR(F623-E623)+MINUTE(F623-E623)/60),"")</f>
        <v>0.41666666666666669</v>
      </c>
      <c r="H623" s="230" t="s">
        <v>55</v>
      </c>
      <c r="I623" s="230" t="s">
        <v>509</v>
      </c>
      <c r="J623" s="231" t="s">
        <v>211</v>
      </c>
      <c r="K623" s="176" t="s">
        <v>684</v>
      </c>
    </row>
    <row r="624" spans="2:11" x14ac:dyDescent="0.25">
      <c r="B624" s="235">
        <v>44975</v>
      </c>
      <c r="C624" s="233">
        <v>2</v>
      </c>
      <c r="E624" s="238">
        <v>0.89236111111111116</v>
      </c>
      <c r="F624" s="204">
        <v>0.95833333333333337</v>
      </c>
      <c r="G624" s="193">
        <f>IFERROR(IF(E624&gt;F624,((F624+E376B376+1)-(E624+B629))*24,HOUR(F624-E624)+MINUTE(F624-E624)/60),"")</f>
        <v>1.5833333333333335</v>
      </c>
      <c r="H624" s="230" t="s">
        <v>204</v>
      </c>
      <c r="I624" s="230" t="s">
        <v>511</v>
      </c>
      <c r="J624" s="231" t="s">
        <v>118</v>
      </c>
      <c r="K624" s="176" t="s">
        <v>943</v>
      </c>
    </row>
    <row r="625" spans="2:11" x14ac:dyDescent="0.25">
      <c r="B625" s="235">
        <v>44975</v>
      </c>
      <c r="C625" s="195">
        <v>3</v>
      </c>
      <c r="E625" s="238">
        <v>0.95833333333333337</v>
      </c>
      <c r="F625" s="280">
        <v>44976.291666666664</v>
      </c>
      <c r="G625" s="193">
        <f>IFERROR(IF(E625&gt;F625,((F625+E376B376+1)-(E625+B630))*24,HOUR(F625-E625)+MINUTE(F625-E625)/60),"")</f>
        <v>8</v>
      </c>
      <c r="H625" s="230" t="s">
        <v>204</v>
      </c>
      <c r="I625" s="230" t="s">
        <v>511</v>
      </c>
      <c r="J625" s="231" t="s">
        <v>118</v>
      </c>
      <c r="K625" s="176" t="s">
        <v>943</v>
      </c>
    </row>
    <row r="626" spans="2:11" x14ac:dyDescent="0.25">
      <c r="B626" s="235">
        <v>44976</v>
      </c>
      <c r="C626" s="195">
        <v>1</v>
      </c>
      <c r="E626" s="238">
        <v>0.29166666666666669</v>
      </c>
      <c r="F626" s="204">
        <v>0.34027777777777773</v>
      </c>
      <c r="G626" s="193">
        <f>IFERROR(IF(E626&gt;F626,((F626+E376B376+1)-(E626+B631))*24,HOUR(F626-E626)+MINUTE(F626-E626)/60),"")</f>
        <v>1.1666666666666667</v>
      </c>
      <c r="H626" s="230" t="s">
        <v>204</v>
      </c>
      <c r="I626" s="230" t="s">
        <v>511</v>
      </c>
      <c r="J626" s="231" t="s">
        <v>118</v>
      </c>
      <c r="K626" s="176" t="s">
        <v>943</v>
      </c>
    </row>
    <row r="627" spans="2:11" x14ac:dyDescent="0.25">
      <c r="B627" s="235">
        <v>44976</v>
      </c>
      <c r="C627" s="233">
        <v>1</v>
      </c>
      <c r="E627" s="238">
        <v>0.34027777777777773</v>
      </c>
      <c r="F627" s="204">
        <v>0.35416666666666669</v>
      </c>
      <c r="G627" s="193">
        <f>IFERROR(IF(E627&gt;F627,((F627+E376B376+1)-(E627+B632))*24,HOUR(F627-E627)+MINUTE(F627-E627)/60),"")</f>
        <v>0.33333333333333331</v>
      </c>
      <c r="H627" s="230" t="s">
        <v>55</v>
      </c>
      <c r="I627" s="230" t="s">
        <v>509</v>
      </c>
      <c r="J627" s="231" t="s">
        <v>203</v>
      </c>
    </row>
    <row r="628" spans="2:11" x14ac:dyDescent="0.25">
      <c r="B628" s="235">
        <v>44976</v>
      </c>
      <c r="C628" s="233">
        <v>1</v>
      </c>
      <c r="E628" s="238">
        <v>0.35416666666666669</v>
      </c>
      <c r="F628" s="204">
        <v>0.4236111111111111</v>
      </c>
      <c r="G628" s="193">
        <f>IFERROR(IF(E628&gt;F628,((F628+E376B376+1)-(E628+B633))*24,HOUR(F628-E628)+MINUTE(F628-E628)/60),"")</f>
        <v>1.6666666666666665</v>
      </c>
      <c r="H628" s="230" t="s">
        <v>204</v>
      </c>
      <c r="I628" s="230" t="s">
        <v>511</v>
      </c>
      <c r="J628" s="231" t="s">
        <v>118</v>
      </c>
      <c r="K628" s="176" t="s">
        <v>943</v>
      </c>
    </row>
    <row r="629" spans="2:11" x14ac:dyDescent="0.25">
      <c r="B629" s="235">
        <v>44976</v>
      </c>
      <c r="C629" s="233">
        <v>1</v>
      </c>
      <c r="E629" s="238">
        <v>0.52847222222222223</v>
      </c>
      <c r="F629" s="204">
        <v>0.53888888888888886</v>
      </c>
      <c r="G629" s="193">
        <f>IFERROR(IF(E629&gt;F629,((F629+E376B376+1)-(E629+B634))*24,HOUR(F629-E629)+MINUTE(F629-E629)/60),"")</f>
        <v>0.25</v>
      </c>
      <c r="H629" s="230" t="s">
        <v>55</v>
      </c>
      <c r="I629" s="230" t="s">
        <v>509</v>
      </c>
      <c r="J629" s="231" t="s">
        <v>203</v>
      </c>
    </row>
    <row r="630" spans="2:11" x14ac:dyDescent="0.25">
      <c r="B630" s="235">
        <v>44976</v>
      </c>
      <c r="C630" s="233">
        <v>1</v>
      </c>
      <c r="E630" s="238">
        <v>0.57638888888888895</v>
      </c>
      <c r="F630" s="204">
        <v>0.58680555555555558</v>
      </c>
      <c r="G630" s="193">
        <f>IFERROR(IF(E630&gt;F630,((F630+E376B376+1)-(E630+B635))*24,HOUR(F630-E630)+MINUTE(F630-E630)/60),"")</f>
        <v>0.25</v>
      </c>
      <c r="H630" s="230" t="s">
        <v>172</v>
      </c>
      <c r="I630" s="230" t="s">
        <v>510</v>
      </c>
      <c r="J630" s="231" t="s">
        <v>621</v>
      </c>
      <c r="K630" s="176" t="s">
        <v>495</v>
      </c>
    </row>
    <row r="631" spans="2:11" x14ac:dyDescent="0.25">
      <c r="B631" s="235">
        <v>44976</v>
      </c>
      <c r="C631" s="233">
        <v>1</v>
      </c>
      <c r="E631" s="238">
        <v>0.60069444444444442</v>
      </c>
      <c r="F631" s="280">
        <v>0.61111111111111105</v>
      </c>
      <c r="G631" s="193">
        <f>IFERROR(IF(E631&gt;F631,((F631+E376B376+1)-(E631+B636))*24,HOUR(F631-E631)+MINUTE(F631-E631)/60),"")</f>
        <v>0.25</v>
      </c>
      <c r="H631" s="230" t="s">
        <v>172</v>
      </c>
      <c r="I631" s="230" t="s">
        <v>510</v>
      </c>
      <c r="J631" s="231" t="s">
        <v>621</v>
      </c>
      <c r="K631" s="176" t="s">
        <v>495</v>
      </c>
    </row>
    <row r="632" spans="2:11" x14ac:dyDescent="0.25">
      <c r="B632" s="235">
        <v>44976</v>
      </c>
      <c r="C632" s="233">
        <v>1</v>
      </c>
      <c r="E632" s="238">
        <v>0.61111111111111105</v>
      </c>
      <c r="F632" s="204">
        <v>0.625</v>
      </c>
      <c r="G632" s="193">
        <f>IFERROR(IF(E632&gt;F632,((F632+E376B376+1)-(E632+B637))*24,HOUR(F632-E632)+MINUTE(F632-E632)/60),"")</f>
        <v>0.33333333333333331</v>
      </c>
      <c r="H632" s="230" t="s">
        <v>55</v>
      </c>
      <c r="I632" s="230" t="s">
        <v>509</v>
      </c>
      <c r="J632" s="231" t="s">
        <v>114</v>
      </c>
    </row>
    <row r="633" spans="2:11" x14ac:dyDescent="0.25">
      <c r="B633" s="235">
        <v>44976</v>
      </c>
      <c r="C633" s="195">
        <v>2</v>
      </c>
      <c r="E633" s="238">
        <v>0.65972222222222221</v>
      </c>
      <c r="F633" s="204">
        <v>0.67013888888888884</v>
      </c>
      <c r="G633" s="193">
        <f>IFERROR(IF(E633&gt;F633,((F633+E376B376+1)-(E633+B638))*24,HOUR(F633-E633)+MINUTE(F633-E633)/60),"")</f>
        <v>0.25</v>
      </c>
      <c r="H633" s="230" t="s">
        <v>172</v>
      </c>
      <c r="I633" s="230" t="s">
        <v>510</v>
      </c>
      <c r="J633" s="231" t="s">
        <v>621</v>
      </c>
      <c r="K633" s="176" t="s">
        <v>495</v>
      </c>
    </row>
    <row r="634" spans="2:11" x14ac:dyDescent="0.25">
      <c r="B634" s="235">
        <v>44976</v>
      </c>
      <c r="C634" s="195">
        <v>2</v>
      </c>
      <c r="E634" s="238">
        <v>0.69444444444444453</v>
      </c>
      <c r="F634" s="204">
        <v>0.70486111111111116</v>
      </c>
      <c r="G634" s="193">
        <f>IFERROR(IF(E634&gt;F634,((F634+E376B376+1)-(E634+B639))*24,HOUR(F634-E634)+MINUTE(F634-E634)/60),"")</f>
        <v>0.25</v>
      </c>
      <c r="H634" s="230" t="s">
        <v>172</v>
      </c>
      <c r="I634" s="230" t="s">
        <v>510</v>
      </c>
      <c r="J634" s="231" t="s">
        <v>621</v>
      </c>
      <c r="K634" s="176" t="s">
        <v>495</v>
      </c>
    </row>
    <row r="635" spans="2:11" x14ac:dyDescent="0.25">
      <c r="B635" s="235">
        <v>44976</v>
      </c>
      <c r="C635" s="195">
        <v>2</v>
      </c>
      <c r="E635" s="238">
        <v>0.73958333333333337</v>
      </c>
      <c r="F635" s="204">
        <v>0.75</v>
      </c>
      <c r="G635" s="193">
        <f>IFERROR(IF(E635&gt;F635,((F635+E376B376+1)-(E635+B640))*24,HOUR(F635-E635)+MINUTE(F635-E635)/60),"")</f>
        <v>0.25</v>
      </c>
      <c r="H635" s="230" t="s">
        <v>172</v>
      </c>
      <c r="I635" s="230" t="s">
        <v>510</v>
      </c>
      <c r="J635" s="231" t="s">
        <v>621</v>
      </c>
      <c r="K635" s="176" t="s">
        <v>495</v>
      </c>
    </row>
    <row r="636" spans="2:11" x14ac:dyDescent="0.25">
      <c r="B636" s="235">
        <v>44976</v>
      </c>
      <c r="C636" s="195">
        <v>2</v>
      </c>
      <c r="E636" s="238">
        <v>0.77430555555555547</v>
      </c>
      <c r="F636" s="204">
        <v>0.78472222222222221</v>
      </c>
      <c r="G636" s="193">
        <f>IFERROR(IF(E636&gt;F636,((F636+E376B376+1)-(E636+B641))*24,HOUR(F636-E636)+MINUTE(F636-E636)/60),"")</f>
        <v>0.25</v>
      </c>
      <c r="H636" s="230" t="s">
        <v>172</v>
      </c>
      <c r="I636" s="230" t="s">
        <v>510</v>
      </c>
      <c r="J636" s="231" t="s">
        <v>621</v>
      </c>
      <c r="K636" s="176" t="s">
        <v>495</v>
      </c>
    </row>
    <row r="637" spans="2:11" x14ac:dyDescent="0.25">
      <c r="B637" s="235">
        <v>44976</v>
      </c>
      <c r="C637" s="195">
        <v>2</v>
      </c>
      <c r="E637" s="238">
        <v>0.83333333333333337</v>
      </c>
      <c r="F637" s="204">
        <v>0.80208333333333337</v>
      </c>
      <c r="G637" s="193">
        <v>0.25</v>
      </c>
      <c r="H637" s="230" t="s">
        <v>172</v>
      </c>
      <c r="I637" s="230" t="s">
        <v>510</v>
      </c>
      <c r="J637" s="231" t="s">
        <v>621</v>
      </c>
      <c r="K637" s="231" t="s">
        <v>495</v>
      </c>
    </row>
    <row r="638" spans="2:11" x14ac:dyDescent="0.25">
      <c r="B638" s="235">
        <v>44976</v>
      </c>
      <c r="C638" s="195">
        <v>2</v>
      </c>
      <c r="E638" s="238">
        <v>0.87847222222222221</v>
      </c>
      <c r="F638" s="204">
        <v>0.93055555555555547</v>
      </c>
      <c r="G638" s="193">
        <f>IFERROR(IF(E638&gt;F638,((F638+E376B376+1)-(E638+B643))*24,HOUR(F638-E638)+MINUTE(F638-E638)/60),"")</f>
        <v>1.25</v>
      </c>
      <c r="H638" s="230" t="s">
        <v>204</v>
      </c>
      <c r="I638" s="230" t="s">
        <v>511</v>
      </c>
      <c r="J638" s="231" t="s">
        <v>118</v>
      </c>
      <c r="K638" s="176" t="s">
        <v>943</v>
      </c>
    </row>
    <row r="639" spans="2:11" x14ac:dyDescent="0.25">
      <c r="B639" s="235">
        <v>44976</v>
      </c>
      <c r="C639" s="195">
        <v>2</v>
      </c>
      <c r="E639" s="238">
        <v>0.94444444444444453</v>
      </c>
      <c r="F639" s="204">
        <v>0.9555555555555556</v>
      </c>
      <c r="G639" s="193">
        <f>IFERROR(IF(E639&gt;F639,((F639+E376B376+1)-(E639+B644))*24,HOUR(F639-E639)+MINUTE(F639-E639)/60),"")</f>
        <v>0.26666666666666666</v>
      </c>
      <c r="H639" s="230" t="s">
        <v>55</v>
      </c>
      <c r="I639" s="230" t="s">
        <v>509</v>
      </c>
      <c r="J639" s="231" t="s">
        <v>203</v>
      </c>
    </row>
    <row r="640" spans="2:11" x14ac:dyDescent="0.25">
      <c r="B640" s="235">
        <v>44976</v>
      </c>
      <c r="C640" s="195">
        <v>3</v>
      </c>
      <c r="E640" s="238">
        <v>0.9784722222222223</v>
      </c>
      <c r="F640" s="204">
        <v>0.98888888888888893</v>
      </c>
      <c r="G640" s="193">
        <f>IFERROR(IF(E640&gt;F640,((F640+E376B376+1)-(E640+B645))*24,HOUR(F640-E640)+MINUTE(F640-E640)/60),"")</f>
        <v>0.25</v>
      </c>
      <c r="H640" s="230" t="s">
        <v>172</v>
      </c>
      <c r="I640" s="230" t="s">
        <v>510</v>
      </c>
      <c r="J640" s="231" t="s">
        <v>621</v>
      </c>
      <c r="K640" s="176" t="s">
        <v>495</v>
      </c>
    </row>
    <row r="641" spans="2:11" x14ac:dyDescent="0.25">
      <c r="B641" s="235">
        <v>44976</v>
      </c>
      <c r="C641" s="195">
        <v>3</v>
      </c>
      <c r="E641" s="238">
        <v>1.7361111111111112E-2</v>
      </c>
      <c r="F641" s="204">
        <v>2.7777777777777776E-2</v>
      </c>
      <c r="G641" s="193">
        <f>IFERROR(IF(E641&gt;F641,((F641+E376B376+1)-(E641+B646))*24,HOUR(F641-E641)+MINUTE(F641-E641)/60),"")</f>
        <v>0.25</v>
      </c>
      <c r="H641" s="230" t="s">
        <v>172</v>
      </c>
      <c r="I641" s="230" t="s">
        <v>510</v>
      </c>
      <c r="J641" s="231" t="s">
        <v>621</v>
      </c>
      <c r="K641" s="176" t="s">
        <v>495</v>
      </c>
    </row>
    <row r="642" spans="2:11" x14ac:dyDescent="0.25">
      <c r="B642" s="235">
        <v>44976</v>
      </c>
      <c r="C642" s="195">
        <v>3</v>
      </c>
      <c r="E642" s="238">
        <v>5.5555555555555552E-2</v>
      </c>
      <c r="F642" s="204">
        <v>6.5972222222222224E-2</v>
      </c>
      <c r="G642" s="193">
        <f>IFERROR(IF(E642&gt;F642,((F642+E376B376+1)-(E642+B647))*24,HOUR(F642-E642)+MINUTE(F642-E642)/60),"")</f>
        <v>0.25</v>
      </c>
      <c r="H642" s="230" t="s">
        <v>172</v>
      </c>
      <c r="I642" s="230" t="s">
        <v>510</v>
      </c>
      <c r="J642" s="231" t="s">
        <v>621</v>
      </c>
      <c r="K642" s="176" t="s">
        <v>495</v>
      </c>
    </row>
    <row r="643" spans="2:11" x14ac:dyDescent="0.25">
      <c r="B643" s="235">
        <v>44976</v>
      </c>
      <c r="C643" s="195">
        <v>3</v>
      </c>
      <c r="E643" s="238">
        <v>7.4999999999999997E-2</v>
      </c>
      <c r="F643" s="204">
        <v>0.12638888888888888</v>
      </c>
      <c r="G643" s="193">
        <f>IFERROR(IF(E643&gt;F643,((F643+E376B376+1)-(E643+B648))*24,HOUR(F643-E643)+MINUTE(F643-E643)/60),"")</f>
        <v>1.2333333333333334</v>
      </c>
      <c r="H643" s="230" t="s">
        <v>147</v>
      </c>
      <c r="I643" s="230" t="s">
        <v>511</v>
      </c>
      <c r="J643" s="231" t="s">
        <v>69</v>
      </c>
      <c r="K643" s="176" t="s">
        <v>947</v>
      </c>
    </row>
    <row r="644" spans="2:11" x14ac:dyDescent="0.25">
      <c r="B644" s="235">
        <v>44976</v>
      </c>
      <c r="C644" s="233">
        <v>3</v>
      </c>
      <c r="E644" s="238">
        <v>0.27430555555555552</v>
      </c>
      <c r="F644" s="204">
        <v>0.28472222222222221</v>
      </c>
      <c r="G644" s="193">
        <f>IFERROR(IF(E644&gt;F644,((F644+E376B376+1)-(E644+B649))*24,HOUR(F644-E644)+MINUTE(F644-E644)/60),"")</f>
        <v>0.25</v>
      </c>
      <c r="H644" s="230" t="s">
        <v>55</v>
      </c>
      <c r="I644" s="230" t="s">
        <v>509</v>
      </c>
      <c r="J644" s="231" t="s">
        <v>203</v>
      </c>
    </row>
    <row r="645" spans="2:11" x14ac:dyDescent="0.25">
      <c r="B645" s="235">
        <v>44976</v>
      </c>
      <c r="C645" s="233">
        <v>3</v>
      </c>
      <c r="E645" s="238">
        <v>0.28472222222222221</v>
      </c>
      <c r="F645" s="204">
        <v>0.29166666666666669</v>
      </c>
      <c r="G645" s="193">
        <f>IFERROR(IF(E645&gt;F645,((F645+E376B376+1)-(E645+B650))*24,HOUR(F645-E645)+MINUTE(F645-E645)/60),"")</f>
        <v>0.16666666666666666</v>
      </c>
      <c r="H645" s="230" t="s">
        <v>55</v>
      </c>
      <c r="I645" s="230" t="s">
        <v>509</v>
      </c>
      <c r="J645" s="231" t="s">
        <v>114</v>
      </c>
    </row>
    <row r="646" spans="2:11" x14ac:dyDescent="0.25">
      <c r="B646" s="235">
        <v>44977</v>
      </c>
      <c r="C646" s="195">
        <v>1</v>
      </c>
      <c r="E646" s="238">
        <v>0.29166666666666669</v>
      </c>
      <c r="F646" s="204">
        <v>0.30694444444444441</v>
      </c>
      <c r="G646" s="193">
        <f>IFERROR(IF(E646&gt;F646,((F646+E376B376+1)-(E646+B651))*24,HOUR(F646-E646)+MINUTE(F646-E646)/60),"")</f>
        <v>0.36666666666666664</v>
      </c>
      <c r="H646" s="230" t="s">
        <v>55</v>
      </c>
      <c r="I646" s="230" t="s">
        <v>509</v>
      </c>
      <c r="J646" s="231" t="s">
        <v>114</v>
      </c>
    </row>
    <row r="647" spans="2:11" x14ac:dyDescent="0.25">
      <c r="B647" s="235">
        <v>44977</v>
      </c>
      <c r="C647" s="233">
        <v>1</v>
      </c>
      <c r="E647" s="238">
        <v>0.31666666666666665</v>
      </c>
      <c r="F647" s="204">
        <v>0.32777777777777778</v>
      </c>
      <c r="G647" s="193">
        <f>IFERROR(IF(E647&gt;F647,((F647+E376B376+1)-(E647+B652))*24,HOUR(F647-E647)+MINUTE(F647-E647)/60),"")</f>
        <v>0.26666666666666666</v>
      </c>
      <c r="H647" s="230" t="s">
        <v>55</v>
      </c>
      <c r="I647" s="230" t="s">
        <v>509</v>
      </c>
      <c r="J647" s="231" t="s">
        <v>203</v>
      </c>
    </row>
    <row r="648" spans="2:11" x14ac:dyDescent="0.25">
      <c r="B648" s="235">
        <v>44977</v>
      </c>
      <c r="C648" s="233">
        <v>1</v>
      </c>
      <c r="E648" s="238">
        <v>0.37708333333333338</v>
      </c>
      <c r="F648" s="204">
        <v>0.40625</v>
      </c>
      <c r="G648" s="193">
        <f>IFERROR(IF(E648&gt;F648,((F648+E376B376+1)-(E648+B653))*24,HOUR(F648-E648)+MINUTE(F648-E648)/60),"")</f>
        <v>0.7</v>
      </c>
      <c r="H648" s="230" t="s">
        <v>192</v>
      </c>
      <c r="I648" s="230" t="s">
        <v>510</v>
      </c>
      <c r="J648" s="231" t="s">
        <v>183</v>
      </c>
      <c r="K648" s="176" t="s">
        <v>949</v>
      </c>
    </row>
    <row r="649" spans="2:11" x14ac:dyDescent="0.25">
      <c r="B649" s="235">
        <v>44977</v>
      </c>
      <c r="C649" s="233">
        <v>1</v>
      </c>
      <c r="E649" s="238">
        <v>0.40625</v>
      </c>
      <c r="F649" s="204">
        <v>0.42708333333333331</v>
      </c>
      <c r="G649" s="193">
        <f>IFERROR(IF(E649&gt;F649,((F649+E376B376+1)-(E649+B654))*24,HOUR(F649-E649)+MINUTE(F649-E649)/60),"")</f>
        <v>0.5</v>
      </c>
      <c r="H649" s="230" t="s">
        <v>176</v>
      </c>
      <c r="I649" s="230" t="s">
        <v>510</v>
      </c>
      <c r="J649" s="231" t="s">
        <v>590</v>
      </c>
    </row>
    <row r="650" spans="2:11" x14ac:dyDescent="0.25">
      <c r="B650" s="235">
        <v>44977</v>
      </c>
      <c r="C650" s="233">
        <v>1</v>
      </c>
      <c r="E650" s="238">
        <v>0.42708333333333331</v>
      </c>
      <c r="F650" s="204">
        <v>0.44097222222222227</v>
      </c>
      <c r="G650" s="193">
        <f>IFERROR(IF(E650&gt;F650,((F650+E376B376+1)-(E650+B655))*24,HOUR(F650-E650)+MINUTE(F650-E650)/60),"")</f>
        <v>0.33333333333333331</v>
      </c>
      <c r="H650" s="230" t="s">
        <v>187</v>
      </c>
      <c r="I650" s="230" t="s">
        <v>511</v>
      </c>
      <c r="J650" s="231" t="s">
        <v>97</v>
      </c>
    </row>
    <row r="651" spans="2:11" x14ac:dyDescent="0.25">
      <c r="B651" s="235">
        <v>44977</v>
      </c>
      <c r="C651" s="233">
        <v>1</v>
      </c>
      <c r="E651" s="238">
        <v>0.44097222222222227</v>
      </c>
      <c r="F651" s="204">
        <v>0.625</v>
      </c>
      <c r="G651" s="193">
        <f>IFERROR(IF(E651&gt;F651,((F651+E376B376+1)-(E651+B656))*24,HOUR(F651-E651)+MINUTE(F651-E651)/60),"")</f>
        <v>4.416666666666667</v>
      </c>
      <c r="H651" s="230" t="s">
        <v>55</v>
      </c>
      <c r="I651" s="230" t="s">
        <v>510</v>
      </c>
      <c r="J651" s="231" t="s">
        <v>227</v>
      </c>
      <c r="K651" s="176" t="s">
        <v>950</v>
      </c>
    </row>
    <row r="652" spans="2:11" x14ac:dyDescent="0.25">
      <c r="B652" s="235">
        <v>44977</v>
      </c>
      <c r="C652" s="195">
        <v>2</v>
      </c>
      <c r="E652" s="238">
        <v>0.625</v>
      </c>
      <c r="F652" s="204">
        <v>0.70833333333333337</v>
      </c>
      <c r="G652" s="193">
        <f>IFERROR(IF(E652&gt;F652,((F652+E376B376+1)-(E652+B657))*24,HOUR(F652-E652)+MINUTE(F652-E652)/60),"")</f>
        <v>2</v>
      </c>
      <c r="H652" s="230" t="s">
        <v>55</v>
      </c>
      <c r="I652" s="230" t="s">
        <v>510</v>
      </c>
      <c r="J652" s="231" t="s">
        <v>227</v>
      </c>
    </row>
    <row r="653" spans="2:11" x14ac:dyDescent="0.25">
      <c r="B653" s="235">
        <v>44977</v>
      </c>
      <c r="C653" s="195">
        <v>2</v>
      </c>
      <c r="E653" s="238">
        <v>0.92013888888888884</v>
      </c>
      <c r="F653" s="204">
        <v>0.95833333333333337</v>
      </c>
      <c r="G653" s="193">
        <f>IFERROR(IF(E653&gt;F653,((F653+E376B376+1)-(E653+B658))*24,HOUR(F653-E653)+MINUTE(F653-E653)/60),"")</f>
        <v>0.91666666666666663</v>
      </c>
      <c r="H653" s="230" t="s">
        <v>55</v>
      </c>
      <c r="I653" s="230" t="s">
        <v>510</v>
      </c>
      <c r="J653" s="231" t="s">
        <v>227</v>
      </c>
    </row>
    <row r="654" spans="2:11" x14ac:dyDescent="0.25">
      <c r="B654" s="235">
        <v>44977</v>
      </c>
      <c r="C654" s="195">
        <v>3</v>
      </c>
      <c r="E654" s="238">
        <v>0.95833333333333337</v>
      </c>
      <c r="F654" s="204">
        <v>0.29166666666666669</v>
      </c>
      <c r="G654" s="193">
        <v>8</v>
      </c>
      <c r="H654" s="230" t="s">
        <v>55</v>
      </c>
      <c r="I654" s="230" t="s">
        <v>510</v>
      </c>
      <c r="J654" s="231" t="s">
        <v>227</v>
      </c>
      <c r="K654" s="176" t="s">
        <v>951</v>
      </c>
    </row>
    <row r="655" spans="2:11" x14ac:dyDescent="0.25">
      <c r="B655" s="235">
        <v>44978</v>
      </c>
      <c r="C655" s="195">
        <v>1</v>
      </c>
      <c r="E655" s="238">
        <v>0.29166666666666669</v>
      </c>
      <c r="F655" s="204">
        <v>0.35416666666666669</v>
      </c>
      <c r="G655" s="193">
        <f>IFERROR(IF(E655&gt;F655,((F655+E376B376+1)-(E655+B660))*24,HOUR(F655-E655)+MINUTE(F655-E655)/60),"")</f>
        <v>1.5</v>
      </c>
      <c r="H655" s="230" t="s">
        <v>55</v>
      </c>
      <c r="I655" s="230" t="s">
        <v>510</v>
      </c>
      <c r="J655" s="231" t="s">
        <v>227</v>
      </c>
    </row>
    <row r="656" spans="2:11" x14ac:dyDescent="0.25">
      <c r="B656" s="235">
        <v>44978</v>
      </c>
      <c r="C656" s="195">
        <v>1</v>
      </c>
      <c r="E656" s="238">
        <v>0.44097222222222227</v>
      </c>
      <c r="F656" s="204">
        <v>0.52083333333333337</v>
      </c>
      <c r="G656" s="193">
        <f>IFERROR(IF(E656&gt;F656,((F656+E376B376+1)-(E656+B661))*24,HOUR(F656-E656)+MINUTE(F656-E656)/60),"")</f>
        <v>1.9166666666666665</v>
      </c>
      <c r="H656" s="230" t="s">
        <v>176</v>
      </c>
      <c r="I656" s="230" t="s">
        <v>510</v>
      </c>
      <c r="J656" s="231" t="s">
        <v>609</v>
      </c>
    </row>
    <row r="657" spans="2:17" x14ac:dyDescent="0.25">
      <c r="B657" s="235">
        <v>44978</v>
      </c>
      <c r="C657" s="195">
        <v>1</v>
      </c>
      <c r="E657" s="238">
        <v>0.55486111111111114</v>
      </c>
      <c r="F657" s="204">
        <v>0.57013888888888886</v>
      </c>
      <c r="G657" s="193">
        <f>IFERROR(IF(E657&gt;F657,((F657+E376B376+1)-(E657+B662))*24,HOUR(F657-E657)+MINUTE(F657-E657)/60),"")</f>
        <v>0.36666666666666664</v>
      </c>
      <c r="H657" s="230" t="s">
        <v>142</v>
      </c>
      <c r="I657" s="230" t="s">
        <v>509</v>
      </c>
      <c r="J657" s="231" t="s">
        <v>206</v>
      </c>
    </row>
    <row r="658" spans="2:17" x14ac:dyDescent="0.25">
      <c r="B658" s="235">
        <v>44978</v>
      </c>
      <c r="C658" s="195">
        <v>1</v>
      </c>
      <c r="E658" s="238">
        <v>0.60069444444444442</v>
      </c>
      <c r="F658" s="204">
        <v>0.625</v>
      </c>
      <c r="G658" s="193">
        <f>IFERROR(IF(E658&gt;F658,((F658+E376B376+1)-(E658+B663))*24,HOUR(F658-E658)+MINUTE(F658-E658)/60),"")</f>
        <v>0.58333333333333337</v>
      </c>
      <c r="H658" s="230" t="s">
        <v>55</v>
      </c>
      <c r="I658" s="230" t="s">
        <v>510</v>
      </c>
      <c r="J658" s="231" t="s">
        <v>227</v>
      </c>
    </row>
    <row r="659" spans="2:17" x14ac:dyDescent="0.25">
      <c r="B659" s="235">
        <v>44978</v>
      </c>
      <c r="C659" s="195">
        <v>2</v>
      </c>
      <c r="E659" s="238">
        <v>0.625</v>
      </c>
      <c r="F659" s="204">
        <v>0.65902777777777777</v>
      </c>
      <c r="G659" s="193">
        <f>IFERROR(IF(E659&gt;F659,((F659+E376B376+1)-(E659+B664))*24,HOUR(F659-E659)+MINUTE(F659-E659)/60),"")</f>
        <v>0.81666666666666665</v>
      </c>
      <c r="H659" s="230" t="s">
        <v>55</v>
      </c>
      <c r="I659" s="230" t="s">
        <v>510</v>
      </c>
      <c r="J659" s="231" t="s">
        <v>227</v>
      </c>
    </row>
    <row r="660" spans="2:17" x14ac:dyDescent="0.25">
      <c r="B660" s="235">
        <v>44978</v>
      </c>
      <c r="C660" s="195">
        <v>2</v>
      </c>
      <c r="E660" s="238">
        <v>0.68958333333333333</v>
      </c>
      <c r="F660" s="204">
        <v>0.70000000000000007</v>
      </c>
      <c r="G660" s="193">
        <f>IFERROR(IF(E660&gt;F660,((F660+E376B376+1)-(E660+B665))*24,HOUR(F660-E660)+MINUTE(F660-E660)/60),"")</f>
        <v>0.25</v>
      </c>
      <c r="H660" s="230" t="s">
        <v>172</v>
      </c>
      <c r="I660" s="230" t="s">
        <v>510</v>
      </c>
      <c r="J660" s="231" t="s">
        <v>621</v>
      </c>
      <c r="K660" s="176" t="s">
        <v>495</v>
      </c>
      <c r="Q660" s="3">
        <f>'les arrets'!C153</f>
        <v>1</v>
      </c>
    </row>
    <row r="661" spans="2:17" x14ac:dyDescent="0.25">
      <c r="B661" s="235">
        <v>44978</v>
      </c>
      <c r="C661" s="195">
        <v>2</v>
      </c>
      <c r="E661" s="238">
        <v>0.74097222222222225</v>
      </c>
      <c r="F661" s="204">
        <v>0.76041666666666663</v>
      </c>
      <c r="G661" s="193">
        <f>IFERROR(IF(E661&gt;F661,((F661+E376B376+1)-(E661+B666))*24,HOUR(F661-E661)+MINUTE(F661-E661)/60),"")</f>
        <v>0.46666666666666667</v>
      </c>
      <c r="H661" s="230" t="s">
        <v>142</v>
      </c>
      <c r="I661" s="230" t="s">
        <v>509</v>
      </c>
      <c r="J661" s="231" t="s">
        <v>206</v>
      </c>
      <c r="K661" s="176" t="s">
        <v>955</v>
      </c>
    </row>
    <row r="662" spans="2:17" x14ac:dyDescent="0.25">
      <c r="B662" s="235">
        <v>44978</v>
      </c>
      <c r="C662" s="195">
        <v>2</v>
      </c>
      <c r="E662" s="238">
        <v>0.95277777777777783</v>
      </c>
      <c r="F662" s="204">
        <v>0.95833333333333337</v>
      </c>
      <c r="G662" s="193">
        <f>IFERROR(IF(E662&gt;F662,((F662+E376B376+1)-(E662+B667))*24,HOUR(F662-E662)+MINUTE(F662-E662)/60),"")</f>
        <v>0.13333333333333333</v>
      </c>
      <c r="H662" s="230" t="s">
        <v>55</v>
      </c>
      <c r="I662" s="230" t="s">
        <v>510</v>
      </c>
      <c r="J662" s="231" t="s">
        <v>227</v>
      </c>
      <c r="K662" s="176" t="s">
        <v>356</v>
      </c>
    </row>
    <row r="663" spans="2:17" x14ac:dyDescent="0.25">
      <c r="B663" s="235">
        <v>44978</v>
      </c>
      <c r="C663" s="195">
        <v>3</v>
      </c>
      <c r="E663" s="238">
        <v>0.96180555555555547</v>
      </c>
      <c r="F663" s="280">
        <v>0.98333333333333339</v>
      </c>
      <c r="G663" s="193">
        <f>IFERROR(IF(E663&gt;F663,((F663+E376B376+1)-(E663+B668))*24,HOUR(F663-E663)+MINUTE(F663-E663)/60),"")</f>
        <v>0.51666666666666672</v>
      </c>
      <c r="H663" s="230" t="s">
        <v>55</v>
      </c>
      <c r="I663" s="230" t="s">
        <v>510</v>
      </c>
      <c r="J663" s="231" t="s">
        <v>227</v>
      </c>
      <c r="K663" s="176" t="s">
        <v>356</v>
      </c>
    </row>
    <row r="664" spans="2:17" x14ac:dyDescent="0.25">
      <c r="B664" s="235">
        <v>44978</v>
      </c>
      <c r="C664" s="195">
        <v>3</v>
      </c>
      <c r="E664" s="238">
        <v>0.26180555555555557</v>
      </c>
      <c r="F664" s="204">
        <v>0.29166666666666669</v>
      </c>
      <c r="G664" s="193">
        <f>IFERROR(IF(E664&gt;F664,((F664+E376B376+1)-(E664+B669))*24,HOUR(F664-E664)+MINUTE(F664-E664)/60),"")</f>
        <v>0.71666666666666667</v>
      </c>
      <c r="H664" s="230" t="s">
        <v>55</v>
      </c>
      <c r="I664" s="230" t="s">
        <v>510</v>
      </c>
      <c r="J664" s="231" t="s">
        <v>227</v>
      </c>
      <c r="K664" s="176" t="s">
        <v>356</v>
      </c>
    </row>
    <row r="665" spans="2:17" x14ac:dyDescent="0.25">
      <c r="B665" s="235">
        <v>44979</v>
      </c>
      <c r="C665" s="195">
        <v>1</v>
      </c>
      <c r="E665" s="238">
        <v>0.29166666666666669</v>
      </c>
      <c r="F665" s="204">
        <v>0.31944444444444448</v>
      </c>
      <c r="G665" s="193">
        <f>IFERROR(IF(E665&gt;F665,((F665+E376B376+1)-(E665+B670))*24,HOUR(F665-E665)+MINUTE(F665-E665)/60),"")</f>
        <v>0.66666666666666663</v>
      </c>
      <c r="H665" s="230" t="s">
        <v>55</v>
      </c>
      <c r="I665" s="230" t="s">
        <v>510</v>
      </c>
      <c r="J665" s="231" t="s">
        <v>227</v>
      </c>
      <c r="K665" s="176" t="s">
        <v>356</v>
      </c>
    </row>
    <row r="666" spans="2:17" x14ac:dyDescent="0.25">
      <c r="B666" s="235">
        <v>44979</v>
      </c>
      <c r="C666" s="195">
        <v>1</v>
      </c>
      <c r="E666" s="238">
        <v>0.37152777777777773</v>
      </c>
      <c r="F666" s="204">
        <v>0.53125</v>
      </c>
      <c r="G666" s="193">
        <f>IFERROR(IF(E666&gt;F666,((F666+E376B376+1)-(E666+B671))*24,HOUR(F666-E666)+MINUTE(F666-E666)/60),"")</f>
        <v>3.8333333333333335</v>
      </c>
      <c r="I666" s="230" t="s">
        <v>513</v>
      </c>
      <c r="J666" s="231" t="s">
        <v>141</v>
      </c>
      <c r="K666" s="176" t="s">
        <v>674</v>
      </c>
    </row>
    <row r="667" spans="2:17" x14ac:dyDescent="0.25">
      <c r="B667" s="235">
        <v>44979</v>
      </c>
      <c r="C667" s="195">
        <v>1</v>
      </c>
      <c r="E667" s="238">
        <v>0.53125</v>
      </c>
      <c r="F667" s="204">
        <v>0.57291666666666663</v>
      </c>
      <c r="G667" s="193">
        <f>IFERROR(IF(E667&gt;F667,((F667+E376B376+1)-(E667+B672))*24,HOUR(F667-E667)+MINUTE(F667-E667)/60),"")</f>
        <v>1</v>
      </c>
      <c r="H667" s="230" t="s">
        <v>55</v>
      </c>
      <c r="I667" s="230" t="s">
        <v>510</v>
      </c>
      <c r="J667" s="231" t="s">
        <v>227</v>
      </c>
      <c r="K667" s="176" t="s">
        <v>356</v>
      </c>
    </row>
    <row r="668" spans="2:17" x14ac:dyDescent="0.25">
      <c r="B668" s="235">
        <v>44979</v>
      </c>
      <c r="C668" s="195">
        <v>1</v>
      </c>
      <c r="E668" s="238">
        <v>0.60416666666666663</v>
      </c>
      <c r="F668" s="204">
        <v>0.625</v>
      </c>
      <c r="G668" s="193">
        <f>IFERROR(IF(E668&gt;F668,((F668+E376B376+1)-(E668+B674))*24,HOUR(F668-E668)+MINUTE(F668-E668)/60),"")</f>
        <v>0.5</v>
      </c>
      <c r="H668" s="230" t="s">
        <v>55</v>
      </c>
      <c r="I668" s="230" t="s">
        <v>510</v>
      </c>
      <c r="J668" s="231" t="s">
        <v>227</v>
      </c>
      <c r="K668" s="176" t="s">
        <v>356</v>
      </c>
    </row>
    <row r="669" spans="2:17" x14ac:dyDescent="0.25">
      <c r="B669" s="235">
        <v>44979</v>
      </c>
      <c r="C669" s="195">
        <v>2</v>
      </c>
      <c r="E669" s="238">
        <v>0.625</v>
      </c>
      <c r="F669" s="204">
        <v>0.66319444444444442</v>
      </c>
      <c r="G669" s="193">
        <f>IFERROR(IF(E669&gt;F669,((F669+E376B376+1)-(E669+B675))*24,HOUR(F669-E669)+MINUTE(F669-E669)/60),"")</f>
        <v>0.91666666666666663</v>
      </c>
      <c r="H669" s="230" t="s">
        <v>55</v>
      </c>
      <c r="I669" s="230" t="s">
        <v>509</v>
      </c>
      <c r="J669" s="231" t="s">
        <v>211</v>
      </c>
    </row>
    <row r="670" spans="2:17" x14ac:dyDescent="0.25">
      <c r="B670" s="235">
        <v>44979</v>
      </c>
      <c r="C670" s="195">
        <v>2</v>
      </c>
      <c r="E670" s="238">
        <v>0.83888888888888891</v>
      </c>
      <c r="F670" s="204">
        <v>0.85</v>
      </c>
      <c r="G670" s="193">
        <f>IFERROR(IF(E670&gt;F670,((F670+E376B376+1)-(E670+B676))*24,HOUR(F670-E670)+MINUTE(F670-E670)/60),"")</f>
        <v>0.26666666666666666</v>
      </c>
      <c r="H670" s="230" t="s">
        <v>55</v>
      </c>
      <c r="I670" s="230" t="s">
        <v>509</v>
      </c>
      <c r="J670" s="231" t="s">
        <v>203</v>
      </c>
    </row>
    <row r="671" spans="2:17" x14ac:dyDescent="0.25">
      <c r="B671" s="235">
        <v>44979</v>
      </c>
      <c r="C671" s="195">
        <v>2</v>
      </c>
      <c r="E671" s="238">
        <v>0.875</v>
      </c>
      <c r="F671" s="204">
        <v>0.88888888888888884</v>
      </c>
      <c r="G671" s="193">
        <f>IFERROR(IF(E671&gt;F671,((F671+E376B376+1)-(E671+B677))*24,HOUR(F671-E671)+MINUTE(F671-E671)/60),"")</f>
        <v>0.33333333333333331</v>
      </c>
      <c r="H671" s="230" t="s">
        <v>55</v>
      </c>
      <c r="I671" s="230" t="s">
        <v>509</v>
      </c>
      <c r="J671" s="231" t="s">
        <v>211</v>
      </c>
    </row>
    <row r="672" spans="2:17" x14ac:dyDescent="0.25">
      <c r="B672" s="235">
        <v>44979</v>
      </c>
      <c r="C672" s="195">
        <v>2</v>
      </c>
      <c r="E672" s="238">
        <v>0.94444444444444453</v>
      </c>
      <c r="F672" s="204">
        <v>0.95833333333333337</v>
      </c>
      <c r="G672" s="193">
        <f>IFERROR(IF(E672&gt;F672,((F672+E376B376+1)-(E672+B678))*24,HOUR(F672-E672)+MINUTE(F672-E672)/60),"")</f>
        <v>0.33333333333333331</v>
      </c>
      <c r="H672" s="230" t="s">
        <v>55</v>
      </c>
      <c r="I672" s="230" t="s">
        <v>509</v>
      </c>
      <c r="J672" s="231" t="s">
        <v>114</v>
      </c>
    </row>
    <row r="673" spans="2:11" s="233" customFormat="1" x14ac:dyDescent="0.25">
      <c r="B673" s="235">
        <v>44979</v>
      </c>
      <c r="C673" s="233">
        <v>3</v>
      </c>
      <c r="E673" s="238">
        <v>0.95833333333333337</v>
      </c>
      <c r="F673" s="204">
        <v>0.96180555555555547</v>
      </c>
      <c r="G673" s="193">
        <f>IFERROR(IF(E673&gt;F673,((F673+E376B376+1)-(E673+B679))*24,HOUR(F673-E673)+MINUTE(F673-E673)/60),"")</f>
        <v>8.3333333333333329E-2</v>
      </c>
      <c r="H673" s="230" t="s">
        <v>55</v>
      </c>
      <c r="I673" s="230" t="s">
        <v>509</v>
      </c>
      <c r="J673" s="231" t="s">
        <v>114</v>
      </c>
      <c r="K673" s="176"/>
    </row>
    <row r="674" spans="2:11" s="233" customFormat="1" x14ac:dyDescent="0.25">
      <c r="B674" s="235">
        <v>44979</v>
      </c>
      <c r="C674" s="233">
        <v>3</v>
      </c>
      <c r="E674" s="238">
        <v>0.20833333333333334</v>
      </c>
      <c r="F674" s="204">
        <v>0.22569444444444445</v>
      </c>
      <c r="G674" s="193">
        <f>IFERROR(IF(E674&gt;F674,((F674+E376B376+1)-(E674+B680))*24,HOUR(F674-E674)+MINUTE(F674-E674)/60),"")</f>
        <v>0.41666666666666669</v>
      </c>
      <c r="H674" s="230" t="s">
        <v>142</v>
      </c>
      <c r="I674" s="230" t="s">
        <v>509</v>
      </c>
      <c r="J674" s="231" t="s">
        <v>611</v>
      </c>
      <c r="K674" s="176"/>
    </row>
    <row r="675" spans="2:11" s="233" customFormat="1" x14ac:dyDescent="0.25">
      <c r="B675" s="235">
        <v>44979</v>
      </c>
      <c r="C675" s="233">
        <v>3</v>
      </c>
      <c r="E675" s="238">
        <v>0.24861111111111112</v>
      </c>
      <c r="F675" s="204">
        <v>0.2638888888888889</v>
      </c>
      <c r="G675" s="193">
        <f>IFERROR(IF(E675&gt;F675,((F675+E376B376+1)-(E675+B681))*24,HOUR(F675-E675)+MINUTE(F675-E675)/60),"")</f>
        <v>0.36666666666666664</v>
      </c>
      <c r="H675" s="230" t="s">
        <v>55</v>
      </c>
      <c r="I675" s="230" t="s">
        <v>509</v>
      </c>
      <c r="J675" s="231" t="s">
        <v>211</v>
      </c>
      <c r="K675" s="176"/>
    </row>
    <row r="676" spans="2:11" s="233" customFormat="1" x14ac:dyDescent="0.25">
      <c r="B676" s="235">
        <v>44979</v>
      </c>
      <c r="C676" s="233">
        <v>3</v>
      </c>
      <c r="E676" s="238">
        <v>0.27430555555555552</v>
      </c>
      <c r="F676" s="204">
        <v>0.29166666666666669</v>
      </c>
      <c r="G676" s="193">
        <f>IFERROR(IF(E676&gt;F676,((F676+E376B376+1)-(E676+B682))*24,HOUR(F676-E676)+MINUTE(F676-E676)/60),"")</f>
        <v>0.41666666666666669</v>
      </c>
      <c r="H676" s="230" t="s">
        <v>55</v>
      </c>
      <c r="I676" s="230" t="s">
        <v>509</v>
      </c>
      <c r="J676" s="231" t="s">
        <v>114</v>
      </c>
      <c r="K676" s="176"/>
    </row>
    <row r="677" spans="2:11" x14ac:dyDescent="0.25">
      <c r="B677" s="235">
        <v>44980</v>
      </c>
      <c r="C677" s="195">
        <v>1</v>
      </c>
      <c r="E677" s="238">
        <v>0.29166666666666669</v>
      </c>
      <c r="F677" s="204">
        <v>0.31458333333333333</v>
      </c>
      <c r="G677" s="193">
        <f>IFERROR(IF(E677&gt;F677,((F677+E376B376+1)-(E677+B683))*24,HOUR(F677-E677)+MINUTE(F677-E677)/60),"")</f>
        <v>0.55000000000000004</v>
      </c>
      <c r="H677" s="230" t="s">
        <v>55</v>
      </c>
      <c r="I677" s="230" t="s">
        <v>509</v>
      </c>
      <c r="J677" s="231" t="s">
        <v>114</v>
      </c>
    </row>
    <row r="678" spans="2:11" x14ac:dyDescent="0.25">
      <c r="B678" s="235">
        <v>44980</v>
      </c>
      <c r="C678" s="233">
        <v>1</v>
      </c>
      <c r="E678" s="238">
        <v>0.3611111111111111</v>
      </c>
      <c r="F678" s="204">
        <v>0.38541666666666669</v>
      </c>
      <c r="G678" s="193">
        <f>IFERROR(IF(E678&gt;F678,((F678+E376B376+1)-(E678+B684))*24,HOUR(F678-E678)+MINUTE(F678-E678)/60),"")</f>
        <v>0.58333333333333337</v>
      </c>
      <c r="H678" s="230" t="s">
        <v>55</v>
      </c>
      <c r="I678" s="230" t="s">
        <v>510</v>
      </c>
      <c r="J678" s="231" t="s">
        <v>222</v>
      </c>
    </row>
    <row r="679" spans="2:11" x14ac:dyDescent="0.25">
      <c r="B679" s="235">
        <v>44980</v>
      </c>
      <c r="C679" s="233">
        <v>1</v>
      </c>
      <c r="E679" s="238">
        <v>0.38541666666666669</v>
      </c>
      <c r="F679" s="204">
        <v>0.39305555555555555</v>
      </c>
      <c r="G679" s="193">
        <f>IFERROR(IF(E679&gt;F679,((F679+E376B376+1)-(E679+B685))*24,HOUR(F679-E679)+MINUTE(F679-E679)/60),"")</f>
        <v>0.18333333333333332</v>
      </c>
      <c r="H679" s="230" t="s">
        <v>55</v>
      </c>
      <c r="I679" s="230" t="s">
        <v>509</v>
      </c>
      <c r="J679" s="231" t="s">
        <v>211</v>
      </c>
    </row>
    <row r="680" spans="2:11" x14ac:dyDescent="0.25">
      <c r="B680" s="235">
        <v>44980</v>
      </c>
      <c r="C680" s="233">
        <v>1</v>
      </c>
      <c r="E680" s="238">
        <v>0.43541666666666662</v>
      </c>
      <c r="F680" s="204">
        <v>0.43888888888888888</v>
      </c>
      <c r="G680" s="193">
        <f>IFERROR(IF(E680&gt;F680,((F680+E376B376+1)-(E680+B686))*24,HOUR(F680-E680)+MINUTE(F680-E680)/60),"")</f>
        <v>8.3333333333333329E-2</v>
      </c>
      <c r="H680" s="230" t="s">
        <v>55</v>
      </c>
      <c r="I680" s="230" t="s">
        <v>509</v>
      </c>
      <c r="J680" s="231" t="s">
        <v>203</v>
      </c>
    </row>
    <row r="681" spans="2:11" x14ac:dyDescent="0.25">
      <c r="B681" s="235">
        <v>44980</v>
      </c>
      <c r="C681" s="233">
        <v>1</v>
      </c>
      <c r="E681" s="238">
        <v>0.43888888888888888</v>
      </c>
      <c r="F681" s="204">
        <v>0.4458333333333333</v>
      </c>
      <c r="G681" s="193">
        <f>IFERROR(IF(E681&gt;F681,((F681+E376B376+1)-(E681+B687))*24,HOUR(F681-E681)+MINUTE(F681-E681)/60),"")</f>
        <v>0.16666666666666666</v>
      </c>
      <c r="H681" s="230" t="s">
        <v>55</v>
      </c>
      <c r="I681" s="230" t="s">
        <v>511</v>
      </c>
      <c r="J681" s="231" t="s">
        <v>758</v>
      </c>
    </row>
    <row r="682" spans="2:11" x14ac:dyDescent="0.25">
      <c r="B682" s="235">
        <v>44980</v>
      </c>
      <c r="C682" s="233">
        <v>1</v>
      </c>
      <c r="E682" s="238">
        <v>0.4458333333333333</v>
      </c>
      <c r="F682" s="204">
        <v>0.625</v>
      </c>
      <c r="G682" s="193">
        <f>IFERROR(IF(E682&gt;F682,((F682+E376B376+1)-(E682+B688))*24,HOUR(F682-E682)+MINUTE(F682-E682)/60),"")</f>
        <v>4.3</v>
      </c>
      <c r="H682" s="230" t="s">
        <v>55</v>
      </c>
      <c r="I682" s="230" t="s">
        <v>510</v>
      </c>
      <c r="J682" s="231" t="s">
        <v>603</v>
      </c>
    </row>
    <row r="683" spans="2:11" x14ac:dyDescent="0.25">
      <c r="B683" s="235">
        <v>44980</v>
      </c>
      <c r="C683" s="195">
        <v>2</v>
      </c>
      <c r="E683" s="238">
        <v>0.625</v>
      </c>
      <c r="F683" s="204">
        <v>0.64930555555555558</v>
      </c>
      <c r="G683" s="193">
        <f>IFERROR(IF(E683&gt;F683,((F683+E376B376+1)-(E683+B689))*24,HOUR(F683-E683)+MINUTE(F683-E683)/60),"")</f>
        <v>0.58333333333333337</v>
      </c>
      <c r="H683" s="230" t="s">
        <v>55</v>
      </c>
      <c r="I683" s="230" t="s">
        <v>510</v>
      </c>
      <c r="J683" s="231" t="s">
        <v>603</v>
      </c>
    </row>
    <row r="684" spans="2:11" x14ac:dyDescent="0.25">
      <c r="B684" s="235">
        <v>44980</v>
      </c>
      <c r="C684" s="195">
        <v>2</v>
      </c>
      <c r="E684" s="238">
        <v>0.94861111111111107</v>
      </c>
      <c r="F684" s="204">
        <v>0.95833333333333337</v>
      </c>
      <c r="G684" s="193">
        <f>IFERROR(IF(E684&gt;F684,((F684+E376B376+1)-(E684+B690))*24,HOUR(F684-E684)+MINUTE(F684-E684)/60),"")</f>
        <v>0.23333333333333334</v>
      </c>
      <c r="H684" s="230" t="s">
        <v>55</v>
      </c>
      <c r="I684" s="230" t="s">
        <v>510</v>
      </c>
      <c r="J684" s="231" t="s">
        <v>603</v>
      </c>
      <c r="K684" s="176" t="s">
        <v>356</v>
      </c>
    </row>
    <row r="685" spans="2:11" x14ac:dyDescent="0.25">
      <c r="B685" s="235">
        <v>44980</v>
      </c>
      <c r="C685" s="195">
        <v>3</v>
      </c>
      <c r="E685" s="238">
        <v>0.95833333333333337</v>
      </c>
      <c r="F685" s="204">
        <v>44981.291666666664</v>
      </c>
      <c r="G685" s="193">
        <f>IFERROR(IF(E685&gt;F685,((F685+E376B376+1)-(E685+B691))*24,HOUR(F685-E685)+MINUTE(F685-E685)/60),"")</f>
        <v>8</v>
      </c>
      <c r="H685" s="230" t="s">
        <v>55</v>
      </c>
      <c r="I685" s="230" t="s">
        <v>513</v>
      </c>
      <c r="J685" s="231" t="s">
        <v>229</v>
      </c>
      <c r="K685" s="176" t="s">
        <v>965</v>
      </c>
    </row>
    <row r="686" spans="2:11" x14ac:dyDescent="0.25">
      <c r="B686" s="235">
        <v>44981</v>
      </c>
      <c r="C686" s="195">
        <v>1</v>
      </c>
      <c r="E686" s="238">
        <v>0.29166666666666669</v>
      </c>
      <c r="F686" s="204">
        <v>0.3576388888888889</v>
      </c>
      <c r="G686" s="193">
        <f>IFERROR(IF(E686&gt;F686,((F686+E376B376+1)-(E686+B692))*24,HOUR(F686-E686)+MINUTE(F686-E686)/60),"")</f>
        <v>1.5833333333333335</v>
      </c>
      <c r="H686" s="230" t="s">
        <v>55</v>
      </c>
      <c r="I686" s="230" t="s">
        <v>513</v>
      </c>
      <c r="J686" s="231" t="s">
        <v>229</v>
      </c>
      <c r="K686" s="176" t="s">
        <v>965</v>
      </c>
    </row>
    <row r="687" spans="2:11" x14ac:dyDescent="0.25">
      <c r="B687" s="235">
        <v>44981</v>
      </c>
      <c r="C687" s="195">
        <v>1</v>
      </c>
      <c r="E687" s="238">
        <v>0.38541666666666669</v>
      </c>
      <c r="F687" s="204">
        <v>0.39930555555555558</v>
      </c>
      <c r="G687" s="193">
        <f>IFERROR(IF(E687&gt;F687,((F687+E376B376+1)-(E687+B693))*24,HOUR(F687-E687)+MINUTE(F687-E687)/60),"")</f>
        <v>0.33333333333333331</v>
      </c>
      <c r="H687" s="230" t="s">
        <v>172</v>
      </c>
      <c r="I687" s="230" t="s">
        <v>510</v>
      </c>
      <c r="J687" s="231" t="s">
        <v>621</v>
      </c>
      <c r="K687" s="176" t="s">
        <v>495</v>
      </c>
    </row>
    <row r="688" spans="2:11" x14ac:dyDescent="0.25">
      <c r="B688" s="235">
        <v>44981</v>
      </c>
      <c r="C688" s="195">
        <v>1</v>
      </c>
      <c r="E688" s="238">
        <v>0.4375</v>
      </c>
      <c r="F688" s="204">
        <v>0.4513888888888889</v>
      </c>
      <c r="G688" s="193">
        <f>IFERROR(IF(E688&gt;F688,((F688+E376B376+1)-(E688+B695))*24,HOUR(F688-E688)+MINUTE(F688-E688)/60),"")</f>
        <v>0.33333333333333331</v>
      </c>
      <c r="H688" s="230" t="s">
        <v>195</v>
      </c>
      <c r="I688" s="230" t="s">
        <v>509</v>
      </c>
      <c r="J688" s="231" t="s">
        <v>110</v>
      </c>
      <c r="K688" s="176" t="s">
        <v>922</v>
      </c>
    </row>
    <row r="689" spans="2:11" x14ac:dyDescent="0.25">
      <c r="B689" s="235">
        <v>44981</v>
      </c>
      <c r="C689" s="195">
        <v>1</v>
      </c>
      <c r="E689" s="238">
        <v>0.5</v>
      </c>
      <c r="F689" s="204">
        <v>0.52083333333333337</v>
      </c>
      <c r="G689" s="193">
        <f>IFERROR(IF(E689&gt;F689,((F689+E376B376+1)-(E689+B696))*24,HOUR(F689-E689)+MINUTE(F689-E689)/60),"")</f>
        <v>0.5</v>
      </c>
      <c r="H689" s="230" t="s">
        <v>55</v>
      </c>
      <c r="I689" s="230" t="s">
        <v>510</v>
      </c>
      <c r="J689" s="231" t="s">
        <v>227</v>
      </c>
      <c r="K689" s="176" t="s">
        <v>494</v>
      </c>
    </row>
    <row r="690" spans="2:11" x14ac:dyDescent="0.25">
      <c r="B690" s="235">
        <v>44981</v>
      </c>
      <c r="C690" s="195">
        <v>1</v>
      </c>
      <c r="E690" s="238">
        <v>0.57638888888888895</v>
      </c>
      <c r="F690" s="204">
        <v>0.58680555555555558</v>
      </c>
      <c r="G690" s="193">
        <f>IFERROR(IF(E690&gt;F690,((F690+E376B376+1)-(E690+B697))*24,HOUR(F690-E690)+MINUTE(F690-E690)/60),"")</f>
        <v>0.25</v>
      </c>
      <c r="H690" s="230" t="s">
        <v>198</v>
      </c>
      <c r="I690" s="230" t="s">
        <v>510</v>
      </c>
      <c r="J690" s="231" t="s">
        <v>515</v>
      </c>
    </row>
    <row r="691" spans="2:11" x14ac:dyDescent="0.25">
      <c r="B691" s="235">
        <v>44981</v>
      </c>
      <c r="C691" s="195">
        <v>1</v>
      </c>
      <c r="E691" s="238">
        <v>0.59375</v>
      </c>
      <c r="F691" s="204">
        <v>0.625</v>
      </c>
      <c r="G691" s="193">
        <f>IFERROR(IF(E691&gt;F691,((F691+E376B376+1)-(E691+B698))*24,HOUR(F691-E691)+MINUTE(F691-E691)/60),"")</f>
        <v>0.75</v>
      </c>
      <c r="H691" s="230" t="s">
        <v>55</v>
      </c>
      <c r="I691" s="230" t="s">
        <v>510</v>
      </c>
      <c r="J691" s="231" t="s">
        <v>227</v>
      </c>
      <c r="K691" s="176" t="s">
        <v>494</v>
      </c>
    </row>
    <row r="692" spans="2:11" x14ac:dyDescent="0.25">
      <c r="B692" s="235">
        <v>44981</v>
      </c>
      <c r="C692" s="195">
        <v>2</v>
      </c>
      <c r="E692" s="238">
        <v>0.625</v>
      </c>
      <c r="F692" s="204">
        <v>0.64583333333333337</v>
      </c>
      <c r="G692" s="193">
        <f>IFERROR(IF(E692&gt;F692,((F692+E376B376+1)-(E692+B699))*24,HOUR(F692-E692)+MINUTE(F692-E692)/60),"")</f>
        <v>0.5</v>
      </c>
      <c r="H692" s="230" t="s">
        <v>55</v>
      </c>
      <c r="I692" s="230" t="s">
        <v>510</v>
      </c>
      <c r="J692" s="231" t="s">
        <v>227</v>
      </c>
      <c r="K692" s="176" t="s">
        <v>494</v>
      </c>
    </row>
    <row r="693" spans="2:11" x14ac:dyDescent="0.25">
      <c r="B693" s="235">
        <v>44981</v>
      </c>
      <c r="C693" s="195">
        <v>2</v>
      </c>
      <c r="E693" s="238">
        <v>0.67083333333333339</v>
      </c>
      <c r="F693" s="204">
        <v>0.70486111111111116</v>
      </c>
      <c r="G693" s="193">
        <f>IFERROR(IF(E693&gt;F693,((F693+E376B376+1)-(E693+B700))*24,HOUR(F693-E693)+MINUTE(F693-E693)/60),"")</f>
        <v>0.81666666666666665</v>
      </c>
      <c r="H693" s="230" t="s">
        <v>142</v>
      </c>
      <c r="I693" s="230" t="s">
        <v>509</v>
      </c>
      <c r="J693" s="231" t="s">
        <v>611</v>
      </c>
      <c r="K693" s="176" t="s">
        <v>899</v>
      </c>
    </row>
    <row r="694" spans="2:11" s="233" customFormat="1" x14ac:dyDescent="0.25">
      <c r="B694" s="235">
        <v>44981</v>
      </c>
      <c r="C694" s="233">
        <v>3</v>
      </c>
      <c r="E694" s="238">
        <v>0.95833333333333337</v>
      </c>
      <c r="F694" s="204">
        <v>0.99305555555555547</v>
      </c>
      <c r="G694" s="193">
        <f>IFERROR(IF(E694&gt;F694,((F694+E376B376+1)-(E694+B701))*24,HOUR(F694-E694)+MINUTE(F694-E694)/60),"")</f>
        <v>0.83333333333333337</v>
      </c>
      <c r="H694" s="230" t="s">
        <v>55</v>
      </c>
      <c r="I694" s="230" t="s">
        <v>510</v>
      </c>
      <c r="J694" s="231" t="s">
        <v>227</v>
      </c>
      <c r="K694" s="176" t="s">
        <v>494</v>
      </c>
    </row>
    <row r="695" spans="2:11" x14ac:dyDescent="0.25">
      <c r="B695" s="235">
        <v>44981</v>
      </c>
      <c r="C695" s="195">
        <v>3</v>
      </c>
      <c r="E695" s="238">
        <v>0.1388888888888889</v>
      </c>
      <c r="F695" s="204">
        <v>0.14930555555555555</v>
      </c>
      <c r="G695" s="193">
        <f>IFERROR(IF(E695&gt;F695,((F695+E376B376+1)-(E695+B701))*24,HOUR(F695-E695)+MINUTE(F695-E695)/60),"")</f>
        <v>0.25</v>
      </c>
      <c r="H695" s="230" t="s">
        <v>204</v>
      </c>
      <c r="I695" s="230" t="s">
        <v>509</v>
      </c>
      <c r="J695" s="231" t="s">
        <v>499</v>
      </c>
    </row>
    <row r="696" spans="2:11" x14ac:dyDescent="0.25">
      <c r="B696" s="235">
        <v>44981</v>
      </c>
      <c r="C696" s="195">
        <v>3</v>
      </c>
      <c r="E696" s="238">
        <v>0.27291666666666664</v>
      </c>
      <c r="F696" s="204">
        <v>0.29166666666666669</v>
      </c>
      <c r="G696" s="193">
        <f>IFERROR(IF(E696&gt;F696,((F696+E376B376+1)-(E696+B702))*24,HOUR(F696-E696)+MINUTE(F696-E696)/60),"")</f>
        <v>0.45</v>
      </c>
      <c r="H696" s="230" t="s">
        <v>55</v>
      </c>
      <c r="I696" s="230" t="s">
        <v>510</v>
      </c>
      <c r="J696" s="231" t="s">
        <v>603</v>
      </c>
      <c r="K696" s="176" t="s">
        <v>356</v>
      </c>
    </row>
    <row r="697" spans="2:11" x14ac:dyDescent="0.25">
      <c r="B697" s="235">
        <v>44982</v>
      </c>
      <c r="C697" s="195">
        <v>1</v>
      </c>
      <c r="E697" s="238">
        <v>0.29166666666666669</v>
      </c>
      <c r="F697" s="204">
        <v>0.47222222222222227</v>
      </c>
      <c r="G697" s="193">
        <f>IFERROR(IF(E697&gt;F697,((F697+E376B376+1)-(E697+B703))*24,HOUR(F697-E697)+MINUTE(F697-E697)/60),"")</f>
        <v>4.333333333333333</v>
      </c>
      <c r="H697" s="230" t="s">
        <v>142</v>
      </c>
      <c r="I697" s="230" t="s">
        <v>509</v>
      </c>
      <c r="J697" s="231" t="s">
        <v>213</v>
      </c>
      <c r="K697" s="176" t="s">
        <v>966</v>
      </c>
    </row>
    <row r="698" spans="2:11" x14ac:dyDescent="0.25">
      <c r="B698" s="235">
        <v>44982</v>
      </c>
      <c r="C698" s="195">
        <v>1</v>
      </c>
      <c r="E698" s="238">
        <v>0.47916666666666669</v>
      </c>
      <c r="F698" s="204">
        <v>0.50694444444444442</v>
      </c>
      <c r="G698" s="193">
        <f>IFERROR(IF(E698&gt;F698,((F698+E376B376+1)-(E698+B704))*24,HOUR(F698-E698)+MINUTE(F698-E698)/60),"")</f>
        <v>0.66666666666666663</v>
      </c>
      <c r="H698" s="230" t="s">
        <v>195</v>
      </c>
      <c r="I698" s="230" t="s">
        <v>509</v>
      </c>
      <c r="J698" s="231" t="s">
        <v>86</v>
      </c>
    </row>
    <row r="699" spans="2:11" x14ac:dyDescent="0.25">
      <c r="B699" s="235">
        <v>44982</v>
      </c>
      <c r="C699" s="195">
        <v>1</v>
      </c>
      <c r="E699" s="238">
        <v>0.60069444444444442</v>
      </c>
      <c r="F699" s="204">
        <v>0.625</v>
      </c>
      <c r="G699" s="193">
        <f>IFERROR(IF(E699&gt;F699,((F699+E376B376+1)-(E699+B705))*24,HOUR(F699-E699)+MINUTE(F699-E699)/60),"")</f>
        <v>0.58333333333333337</v>
      </c>
      <c r="H699" s="230" t="s">
        <v>55</v>
      </c>
      <c r="I699" s="230" t="s">
        <v>510</v>
      </c>
      <c r="J699" s="231" t="s">
        <v>603</v>
      </c>
      <c r="K699" s="176" t="s">
        <v>356</v>
      </c>
    </row>
    <row r="700" spans="2:11" x14ac:dyDescent="0.25">
      <c r="B700" s="235">
        <v>44982</v>
      </c>
      <c r="C700" s="195">
        <v>2</v>
      </c>
      <c r="D700" s="238">
        <v>0.625</v>
      </c>
      <c r="E700" s="238">
        <v>0.625</v>
      </c>
      <c r="F700" s="204">
        <v>0.65833333333333333</v>
      </c>
      <c r="G700" s="193">
        <f>IFERROR(IF(E700&gt;F700,((F700+E376B376+1)-(E700+B707))*24,HOUR(F700-E700)+MINUTE(F700-E700)/60),"")</f>
        <v>0.8</v>
      </c>
      <c r="H700" s="230" t="s">
        <v>55</v>
      </c>
      <c r="I700" s="230" t="s">
        <v>510</v>
      </c>
      <c r="J700" s="231" t="s">
        <v>603</v>
      </c>
      <c r="K700" s="176" t="s">
        <v>356</v>
      </c>
    </row>
    <row r="701" spans="2:11" x14ac:dyDescent="0.25">
      <c r="B701" s="235">
        <v>44982</v>
      </c>
      <c r="C701" s="195">
        <v>2</v>
      </c>
      <c r="E701" s="238">
        <v>0.95138888888888884</v>
      </c>
      <c r="F701" s="204">
        <v>0.95833333333333337</v>
      </c>
      <c r="G701" s="193">
        <f>IFERROR(IF(E701&gt;F701,((F701+E376B376+1)-(E701+B708))*24,HOUR(F701-E701)+MINUTE(F701-E701)/60),"")</f>
        <v>0.16666666666666666</v>
      </c>
      <c r="H701" s="230" t="s">
        <v>55</v>
      </c>
      <c r="I701" s="230" t="s">
        <v>510</v>
      </c>
      <c r="J701" s="231" t="s">
        <v>227</v>
      </c>
      <c r="K701" s="176" t="s">
        <v>356</v>
      </c>
    </row>
    <row r="702" spans="2:11" x14ac:dyDescent="0.25">
      <c r="B702" s="235">
        <v>44982</v>
      </c>
      <c r="C702" s="195">
        <v>3</v>
      </c>
      <c r="E702" s="238">
        <v>0.95833333333333337</v>
      </c>
      <c r="F702" s="204">
        <v>0.98541666666666661</v>
      </c>
      <c r="G702" s="193">
        <f>IFERROR(IF(E702&gt;F702,((F702+E376B376+1)-(E702+B713))*24,HOUR(F702-E702)+MINUTE(F702-E702)/60),"")</f>
        <v>0.65</v>
      </c>
      <c r="H702" s="230" t="s">
        <v>55</v>
      </c>
      <c r="I702" s="230" t="s">
        <v>510</v>
      </c>
      <c r="J702" s="231" t="s">
        <v>227</v>
      </c>
      <c r="K702" s="176" t="s">
        <v>356</v>
      </c>
    </row>
    <row r="703" spans="2:11" x14ac:dyDescent="0.25">
      <c r="B703" s="235">
        <v>44982</v>
      </c>
      <c r="C703" s="195">
        <v>3</v>
      </c>
      <c r="E703" s="238">
        <v>0.27291666666666664</v>
      </c>
      <c r="F703" s="204">
        <v>0.29166666666666669</v>
      </c>
      <c r="G703" s="193">
        <f>IFERROR(IF(E703&gt;F703,((F703+E376B376+1)-(E703+B710))*24,HOUR(F703-E703)+MINUTE(F703-E703)/60),"")</f>
        <v>0.45</v>
      </c>
      <c r="H703" s="230" t="s">
        <v>55</v>
      </c>
      <c r="I703" s="230" t="s">
        <v>510</v>
      </c>
      <c r="J703" s="231" t="s">
        <v>227</v>
      </c>
      <c r="K703" s="176" t="s">
        <v>356</v>
      </c>
    </row>
    <row r="704" spans="2:11" x14ac:dyDescent="0.25">
      <c r="B704" s="235">
        <v>44983</v>
      </c>
      <c r="C704" s="195">
        <v>1</v>
      </c>
      <c r="E704" s="238">
        <v>0.29166666666666669</v>
      </c>
      <c r="F704" s="204">
        <v>0.54166666666666663</v>
      </c>
      <c r="G704" s="193">
        <f>IFERROR(IF(E704&gt;F704,((F704+E376B376+1)-(E704+B711))*24,HOUR(F704-E704)+MINUTE(F704-E704)/60),"")</f>
        <v>6</v>
      </c>
      <c r="H704" s="230" t="s">
        <v>204</v>
      </c>
      <c r="I704" s="230" t="s">
        <v>509</v>
      </c>
      <c r="J704" s="231" t="s">
        <v>126</v>
      </c>
      <c r="K704" s="176" t="s">
        <v>967</v>
      </c>
    </row>
    <row r="705" spans="2:11" x14ac:dyDescent="0.25">
      <c r="B705" s="235">
        <v>44983</v>
      </c>
      <c r="C705" s="195">
        <v>1</v>
      </c>
      <c r="E705" s="238">
        <v>0.5625</v>
      </c>
      <c r="F705" s="204">
        <v>0.59375</v>
      </c>
      <c r="G705" s="193">
        <f>IFERROR(IF(E705&gt;F705,((F705+E376B376+1)-(E705+B712))*24,HOUR(F705-E705)+MINUTE(F705-E705)/60),"")</f>
        <v>0.75</v>
      </c>
      <c r="H705" s="230" t="s">
        <v>55</v>
      </c>
      <c r="I705" s="230" t="s">
        <v>510</v>
      </c>
      <c r="J705" s="231" t="s">
        <v>227</v>
      </c>
      <c r="K705" s="176" t="s">
        <v>968</v>
      </c>
    </row>
    <row r="706" spans="2:11" s="233" customFormat="1" x14ac:dyDescent="0.25">
      <c r="B706" s="235">
        <v>44983</v>
      </c>
      <c r="C706" s="233">
        <v>1</v>
      </c>
      <c r="E706" s="238">
        <v>0.61805555555555558</v>
      </c>
      <c r="F706" s="204">
        <v>0.625</v>
      </c>
      <c r="G706" s="193">
        <f>IFERROR(IF(E706&gt;F706,((F706+E376B376+1)-(E706+B713))*24,HOUR(F706-E706)+MINUTE(F706-E706)/60),"")</f>
        <v>0.16666666666666666</v>
      </c>
      <c r="H706" s="230" t="s">
        <v>158</v>
      </c>
      <c r="I706" s="230" t="s">
        <v>513</v>
      </c>
      <c r="J706" s="231" t="s">
        <v>534</v>
      </c>
      <c r="K706" s="176" t="s">
        <v>971</v>
      </c>
    </row>
    <row r="707" spans="2:11" x14ac:dyDescent="0.25">
      <c r="B707" s="235">
        <v>44983</v>
      </c>
      <c r="C707" s="233">
        <v>2</v>
      </c>
      <c r="E707" s="238">
        <v>0.625</v>
      </c>
      <c r="F707" s="204">
        <v>0.63194444444444442</v>
      </c>
      <c r="G707" s="193">
        <f>IFERROR(IF(E707&gt;F707,((F707+E376B376+1)-(E707+B713))*24,HOUR(F707-E707)+MINUTE(F707-E707)/60),"")</f>
        <v>0.16666666666666666</v>
      </c>
      <c r="H707" s="230" t="s">
        <v>158</v>
      </c>
      <c r="I707" s="230" t="s">
        <v>513</v>
      </c>
      <c r="J707" s="231" t="s">
        <v>534</v>
      </c>
      <c r="K707" s="176" t="s">
        <v>971</v>
      </c>
    </row>
    <row r="708" spans="2:11" x14ac:dyDescent="0.25">
      <c r="B708" s="235">
        <v>44983</v>
      </c>
      <c r="C708" s="233">
        <v>2</v>
      </c>
      <c r="E708" s="238">
        <v>0.64583333333333337</v>
      </c>
      <c r="F708" s="204">
        <v>0.68194444444444446</v>
      </c>
      <c r="G708" s="193">
        <f>IFERROR(IF(E708&gt;F708,((F708+E376B376+1)-(E708+B714))*24,HOUR(F708-E708)+MINUTE(F708-E708)/60),"")</f>
        <v>0.8666666666666667</v>
      </c>
      <c r="H708" s="230" t="s">
        <v>55</v>
      </c>
      <c r="I708" s="230" t="s">
        <v>510</v>
      </c>
      <c r="J708" s="231" t="s">
        <v>227</v>
      </c>
      <c r="K708" s="176" t="s">
        <v>972</v>
      </c>
    </row>
    <row r="709" spans="2:11" x14ac:dyDescent="0.25">
      <c r="B709" s="235">
        <v>44983</v>
      </c>
      <c r="C709" s="233">
        <v>2</v>
      </c>
      <c r="E709" s="238">
        <v>0.89444444444444438</v>
      </c>
      <c r="F709" s="204">
        <v>0.95833333333333337</v>
      </c>
      <c r="G709" s="193">
        <f>IFERROR(IF(E709&gt;F709,((F709+E376B376+1)-(E709+B715))*24,HOUR(F709-E709)+MINUTE(F709-E709)/60),"")</f>
        <v>1.5333333333333332</v>
      </c>
      <c r="H709" s="230" t="s">
        <v>55</v>
      </c>
      <c r="I709" s="230" t="s">
        <v>510</v>
      </c>
      <c r="J709" s="231" t="s">
        <v>227</v>
      </c>
      <c r="K709" s="176" t="s">
        <v>973</v>
      </c>
    </row>
    <row r="710" spans="2:11" x14ac:dyDescent="0.25">
      <c r="B710" s="235">
        <v>44983</v>
      </c>
      <c r="C710" s="233">
        <v>3</v>
      </c>
      <c r="E710" s="238">
        <v>0.95833333333333337</v>
      </c>
      <c r="F710" s="204">
        <v>0.9784722222222223</v>
      </c>
      <c r="G710" s="193">
        <f>IFERROR(IF(E710&gt;F710,((F710+E376B376+1)-(E710+B716))*24,HOUR(F710-E710)+MINUTE(F710-E710)/60),"")</f>
        <v>0.48333333333333334</v>
      </c>
      <c r="H710" s="230" t="s">
        <v>55</v>
      </c>
      <c r="I710" s="230" t="s">
        <v>510</v>
      </c>
      <c r="J710" s="231" t="s">
        <v>227</v>
      </c>
      <c r="K710" s="176" t="s">
        <v>973</v>
      </c>
    </row>
    <row r="711" spans="2:11" x14ac:dyDescent="0.25">
      <c r="B711" s="235">
        <v>44983</v>
      </c>
      <c r="C711" s="233">
        <v>3</v>
      </c>
      <c r="D711" s="233"/>
      <c r="E711" s="238">
        <v>0.20138888888888887</v>
      </c>
      <c r="F711" s="204">
        <v>0.23055555555555554</v>
      </c>
      <c r="G711" s="193">
        <f>IFERROR(IF(E711&gt;F711,((F711+E376B376+1)-(E711+B717))*24,HOUR(F711-E711)+MINUTE(F711-E711)/60),"")</f>
        <v>0.7</v>
      </c>
      <c r="H711" s="230" t="s">
        <v>55</v>
      </c>
      <c r="I711" s="230" t="s">
        <v>510</v>
      </c>
      <c r="J711" s="231" t="s">
        <v>227</v>
      </c>
      <c r="K711" s="176" t="s">
        <v>974</v>
      </c>
    </row>
    <row r="712" spans="2:11" x14ac:dyDescent="0.25">
      <c r="B712" s="235">
        <v>44983</v>
      </c>
      <c r="C712" s="233">
        <v>3</v>
      </c>
      <c r="E712" s="238">
        <v>0.2722222222222222</v>
      </c>
      <c r="F712" s="204">
        <v>0.29166666666666669</v>
      </c>
      <c r="G712" s="193">
        <f>IFERROR(IF(E712&gt;F712,((F712+E376B376+1)-(E712+B718))*24,HOUR(F712-E712)+MINUTE(F712-E712)/60),"")</f>
        <v>0.46666666666666667</v>
      </c>
      <c r="H712" s="230" t="s">
        <v>55</v>
      </c>
      <c r="I712" s="230" t="s">
        <v>510</v>
      </c>
      <c r="J712" s="231" t="s">
        <v>227</v>
      </c>
      <c r="K712" s="176" t="s">
        <v>356</v>
      </c>
    </row>
    <row r="713" spans="2:11" x14ac:dyDescent="0.25">
      <c r="B713" s="235">
        <v>44984</v>
      </c>
      <c r="C713" s="233">
        <v>1</v>
      </c>
      <c r="E713" s="238">
        <v>0.29166666666666669</v>
      </c>
      <c r="F713" s="204">
        <v>0.3833333333333333</v>
      </c>
      <c r="G713" s="193">
        <f>IFERROR(IF(E713&gt;F713,((F713+E376B376+1)-(E713+B719))*24,HOUR(F713-E713)+MINUTE(F713-E713)/60),"")</f>
        <v>2.2000000000000002</v>
      </c>
      <c r="H713" s="230" t="s">
        <v>55</v>
      </c>
      <c r="I713" s="230" t="s">
        <v>510</v>
      </c>
      <c r="J713" s="231" t="s">
        <v>227</v>
      </c>
      <c r="K713" s="176" t="s">
        <v>356</v>
      </c>
    </row>
    <row r="714" spans="2:11" x14ac:dyDescent="0.25">
      <c r="B714" s="235">
        <v>44984</v>
      </c>
      <c r="C714" s="195">
        <v>1</v>
      </c>
      <c r="E714" s="238">
        <v>0.53888888888888886</v>
      </c>
      <c r="F714" s="204">
        <v>0.58333333333333337</v>
      </c>
      <c r="G714" s="193">
        <f>IFERROR(IF(E714&gt;F714,((F714+E376B376+1)-(E714+B720))*24,HOUR(F714-E714)+MINUTE(F714-E714)/60),"")</f>
        <v>1.0666666666666667</v>
      </c>
      <c r="H714" s="230" t="s">
        <v>55</v>
      </c>
      <c r="I714" s="230" t="s">
        <v>510</v>
      </c>
      <c r="J714" s="231" t="s">
        <v>227</v>
      </c>
      <c r="K714" s="176" t="s">
        <v>976</v>
      </c>
    </row>
    <row r="715" spans="2:11" x14ac:dyDescent="0.25">
      <c r="B715" s="235">
        <v>44984</v>
      </c>
      <c r="C715" s="195">
        <v>1</v>
      </c>
      <c r="E715" s="238">
        <v>0.61111111111111105</v>
      </c>
      <c r="F715" s="204">
        <v>0.625</v>
      </c>
      <c r="G715" s="193">
        <f>IFERROR(IF(E715&gt;F715,((F715+E376B376+1)-(E715+B721))*24,HOUR(F715-E715)+MINUTE(F715-E715)/60),"")</f>
        <v>0.33333333333333331</v>
      </c>
      <c r="H715" s="230" t="s">
        <v>55</v>
      </c>
      <c r="I715" s="230" t="s">
        <v>510</v>
      </c>
      <c r="J715" s="231" t="s">
        <v>227</v>
      </c>
      <c r="K715" s="176" t="s">
        <v>356</v>
      </c>
    </row>
    <row r="716" spans="2:11" x14ac:dyDescent="0.25">
      <c r="B716" s="235">
        <v>44984</v>
      </c>
      <c r="C716" s="233">
        <v>2</v>
      </c>
      <c r="E716" s="238">
        <v>0.625</v>
      </c>
      <c r="F716" s="204">
        <v>0.65972222222222221</v>
      </c>
      <c r="G716" s="193">
        <f>IFERROR(IF(E716&gt;F716,((F716+E376B376+1)-(E716+B722))*24,HOUR(F716-E716)+MINUTE(F716-E716)/60),"")</f>
        <v>0.83333333333333337</v>
      </c>
      <c r="H716" s="230" t="s">
        <v>55</v>
      </c>
      <c r="I716" s="230" t="s">
        <v>510</v>
      </c>
      <c r="J716" s="231" t="s">
        <v>227</v>
      </c>
      <c r="K716" s="176" t="s">
        <v>356</v>
      </c>
    </row>
    <row r="717" spans="2:11" x14ac:dyDescent="0.25">
      <c r="B717" s="235">
        <v>44984</v>
      </c>
      <c r="C717" s="233">
        <v>2</v>
      </c>
      <c r="E717" s="238">
        <v>0.69097222222222221</v>
      </c>
      <c r="F717" s="204">
        <v>0.70208333333333339</v>
      </c>
      <c r="G717" s="193">
        <f>IFERROR(IF(E717&gt;F717,((F717+E376B376+1)-(E717+B723))*24,HOUR(F717-E717)+MINUTE(F717-E717)/60),"")</f>
        <v>0.26666666666666666</v>
      </c>
      <c r="H717" s="230" t="s">
        <v>195</v>
      </c>
      <c r="I717" s="230" t="s">
        <v>509</v>
      </c>
      <c r="J717" s="231" t="s">
        <v>110</v>
      </c>
    </row>
    <row r="718" spans="2:11" x14ac:dyDescent="0.25">
      <c r="B718" s="235">
        <v>44984</v>
      </c>
      <c r="C718" s="233">
        <v>2</v>
      </c>
      <c r="E718" s="238">
        <v>0.94097222222222221</v>
      </c>
      <c r="F718" s="204">
        <v>0.95833333333333337</v>
      </c>
      <c r="G718" s="193">
        <f>IFERROR(IF(E718&gt;F718,((F718+E376B376+1)-(E718+B724))*24,HOUR(F718-E718)+MINUTE(F718-E718)/60),"")</f>
        <v>0.41666666666666669</v>
      </c>
      <c r="H718" s="230" t="s">
        <v>55</v>
      </c>
      <c r="I718" s="230" t="s">
        <v>510</v>
      </c>
      <c r="J718" s="231" t="s">
        <v>227</v>
      </c>
      <c r="K718" s="176" t="s">
        <v>356</v>
      </c>
    </row>
    <row r="719" spans="2:11" x14ac:dyDescent="0.25">
      <c r="B719" s="235">
        <v>44984</v>
      </c>
      <c r="C719" s="195">
        <v>3</v>
      </c>
      <c r="E719" s="238">
        <v>0.95833333333333337</v>
      </c>
      <c r="F719" s="204">
        <v>0.98958333333333337</v>
      </c>
      <c r="G719" s="193">
        <f>IFERROR(IF(E719&gt;F719,((F719+E376B376+1)-(E719+B725))*24,HOUR(F719-E719)+MINUTE(F719-E719)/60),"")</f>
        <v>0.75</v>
      </c>
      <c r="H719" s="230" t="s">
        <v>55</v>
      </c>
      <c r="I719" s="230" t="s">
        <v>510</v>
      </c>
      <c r="J719" s="231" t="s">
        <v>227</v>
      </c>
      <c r="K719" s="176" t="s">
        <v>356</v>
      </c>
    </row>
    <row r="720" spans="2:11" x14ac:dyDescent="0.25">
      <c r="B720" s="235">
        <v>44984</v>
      </c>
      <c r="C720" s="195">
        <v>3</v>
      </c>
      <c r="E720" s="238">
        <v>0.20833333333333334</v>
      </c>
      <c r="F720" s="204">
        <v>0.29166666666666669</v>
      </c>
      <c r="G720" s="193">
        <f>IFERROR(IF(E720&gt;F720,((F720+E376B376+1)-(E720+B726))*24,HOUR(F720-E720)+MINUTE(F720-E720)/60),"")</f>
        <v>2</v>
      </c>
      <c r="H720" s="230" t="s">
        <v>55</v>
      </c>
      <c r="I720" s="230" t="s">
        <v>510</v>
      </c>
      <c r="J720" s="231" t="s">
        <v>227</v>
      </c>
      <c r="K720" s="176" t="s">
        <v>356</v>
      </c>
    </row>
    <row r="721" spans="2:11" x14ac:dyDescent="0.25">
      <c r="B721" s="235">
        <v>44985</v>
      </c>
      <c r="C721" s="195">
        <v>1</v>
      </c>
      <c r="D721" s="238">
        <v>0.29166666666666669</v>
      </c>
      <c r="E721" s="238">
        <v>0.29166666666666669</v>
      </c>
      <c r="F721" s="280">
        <v>0.31597222222222221</v>
      </c>
      <c r="G721" s="193">
        <f>IFERROR(IF(E721&gt;F721,((F721+E376B376+1)-(E721+B727))*24,HOUR(F721-E721)+MINUTE(F721-E721)/60),"")</f>
        <v>0.58333333333333337</v>
      </c>
      <c r="H721" s="230" t="s">
        <v>55</v>
      </c>
      <c r="I721" s="230" t="s">
        <v>510</v>
      </c>
      <c r="J721" s="231" t="s">
        <v>227</v>
      </c>
      <c r="K721" s="176" t="s">
        <v>356</v>
      </c>
    </row>
    <row r="722" spans="2:11" x14ac:dyDescent="0.25">
      <c r="B722" s="235">
        <v>44985</v>
      </c>
      <c r="C722" s="195">
        <v>1</v>
      </c>
      <c r="E722" s="238">
        <v>0.375</v>
      </c>
      <c r="F722" s="204">
        <v>0.625</v>
      </c>
      <c r="G722" s="193">
        <f>IFERROR(IF(E722&gt;F722,((F722+E376B376+1)-(E722+B728))*24,HOUR(F722-E722)+MINUTE(F722-E722)/60),"")</f>
        <v>6</v>
      </c>
      <c r="H722" s="230" t="s">
        <v>55</v>
      </c>
      <c r="I722" s="230" t="s">
        <v>510</v>
      </c>
      <c r="J722" s="231" t="s">
        <v>227</v>
      </c>
      <c r="K722" s="176" t="s">
        <v>978</v>
      </c>
    </row>
    <row r="723" spans="2:11" x14ac:dyDescent="0.25">
      <c r="B723" s="235">
        <v>44985</v>
      </c>
      <c r="C723" s="233">
        <v>2</v>
      </c>
      <c r="E723" s="238">
        <v>0.625</v>
      </c>
      <c r="F723" s="204">
        <v>0.72083333333333333</v>
      </c>
      <c r="G723" s="193">
        <f>IFERROR(IF(E723&gt;F723,((F723+E376B376+1)-(E723+B729))*24,HOUR(F723-E723)+MINUTE(F723-E723)/60),"")</f>
        <v>2.2999999999999998</v>
      </c>
      <c r="H723" s="230" t="s">
        <v>55</v>
      </c>
      <c r="I723" s="230" t="s">
        <v>510</v>
      </c>
      <c r="J723" s="231" t="s">
        <v>227</v>
      </c>
      <c r="K723" s="176" t="s">
        <v>978</v>
      </c>
    </row>
    <row r="724" spans="2:11" x14ac:dyDescent="0.25">
      <c r="B724" s="235">
        <v>44985</v>
      </c>
      <c r="C724" s="233">
        <v>2</v>
      </c>
      <c r="E724" s="238">
        <v>0.93333333333333324</v>
      </c>
      <c r="F724" s="204">
        <v>0.95833333333333337</v>
      </c>
      <c r="G724" s="193">
        <f>IFERROR(IF(E724&gt;F724,((F724+E376B376+1)-(E724+B730))*24,HOUR(F724-E724)+MINUTE(F724-E724)/60),"")</f>
        <v>0.6</v>
      </c>
      <c r="H724" s="230" t="s">
        <v>55</v>
      </c>
      <c r="I724" s="230" t="s">
        <v>510</v>
      </c>
      <c r="J724" s="231" t="s">
        <v>227</v>
      </c>
      <c r="K724" s="176" t="s">
        <v>356</v>
      </c>
    </row>
    <row r="725" spans="2:11" x14ac:dyDescent="0.25">
      <c r="B725" s="235">
        <v>44985</v>
      </c>
      <c r="C725" s="233">
        <v>3</v>
      </c>
      <c r="E725" s="238">
        <v>0.95833333333333337</v>
      </c>
      <c r="F725" s="204">
        <v>0.98958333333333337</v>
      </c>
      <c r="G725" s="193">
        <f>IFERROR(IF(E725&gt;F725,((F725+E376B376+1)-(E725+B731))*24,HOUR(F725-E725)+MINUTE(F725-E725)/60),"")</f>
        <v>0.75</v>
      </c>
      <c r="H725" s="230" t="s">
        <v>55</v>
      </c>
      <c r="I725" s="230" t="s">
        <v>510</v>
      </c>
      <c r="J725" s="231" t="s">
        <v>227</v>
      </c>
      <c r="K725" s="176" t="s">
        <v>356</v>
      </c>
    </row>
    <row r="726" spans="2:11" x14ac:dyDescent="0.25">
      <c r="B726" s="235">
        <v>44985</v>
      </c>
      <c r="C726" s="233">
        <v>3</v>
      </c>
      <c r="E726" s="238">
        <v>0.27430555555555552</v>
      </c>
      <c r="F726" s="204">
        <v>0.29166666666666669</v>
      </c>
      <c r="G726" s="193">
        <f>IFERROR(IF(E726&gt;F726,((F726+E376B376+1)-(E726+B732))*24,HOUR(F726-E726)+MINUTE(F726-E726)/60),"")</f>
        <v>0.41666666666666669</v>
      </c>
      <c r="H726" s="230" t="s">
        <v>55</v>
      </c>
      <c r="I726" s="230" t="s">
        <v>510</v>
      </c>
      <c r="J726" s="231" t="s">
        <v>227</v>
      </c>
      <c r="K726" s="176" t="s">
        <v>356</v>
      </c>
    </row>
    <row r="727" spans="2:11" x14ac:dyDescent="0.25">
      <c r="B727" s="235">
        <v>44986</v>
      </c>
      <c r="C727" s="195">
        <v>1</v>
      </c>
      <c r="E727" s="238">
        <v>0.29166666666666669</v>
      </c>
      <c r="F727" s="204">
        <v>0.625</v>
      </c>
      <c r="G727" s="193">
        <f>IFERROR(IF(E727&gt;F727,((F727+E376B376+1)-(E727+B733))*24,HOUR(F727-E727)+MINUTE(F727-E727)/60),"")</f>
        <v>8</v>
      </c>
      <c r="I727" s="230" t="s">
        <v>156</v>
      </c>
      <c r="J727" s="231" t="s">
        <v>149</v>
      </c>
    </row>
    <row r="728" spans="2:11" x14ac:dyDescent="0.25">
      <c r="B728" s="235">
        <v>44986</v>
      </c>
      <c r="C728" s="195">
        <v>2</v>
      </c>
      <c r="D728" s="233"/>
      <c r="E728" s="238">
        <v>0.625</v>
      </c>
      <c r="F728" s="204">
        <v>0.68402777777777779</v>
      </c>
      <c r="G728" s="193">
        <f>IFERROR(IF(E728&gt;F728,((F728+E376B376+1)-(E728+B734))*24,HOUR(F728-E728)+MINUTE(F728-E728)/60),"")</f>
        <v>1.4166666666666667</v>
      </c>
      <c r="I728" s="230" t="s">
        <v>156</v>
      </c>
      <c r="J728" s="231" t="s">
        <v>149</v>
      </c>
      <c r="K728" s="176" t="s">
        <v>982</v>
      </c>
    </row>
    <row r="729" spans="2:11" x14ac:dyDescent="0.25">
      <c r="B729" s="235">
        <v>44986</v>
      </c>
      <c r="C729" s="233">
        <v>2</v>
      </c>
      <c r="E729" s="238">
        <v>0.93402777777777779</v>
      </c>
      <c r="F729" s="204">
        <v>0.95833333333333337</v>
      </c>
      <c r="G729" s="193">
        <f>IFERROR(IF(E729&gt;F729,((F729+E376B376+1)-(E729+B735))*24,HOUR(F729-E729)+MINUTE(F729-E729)/60),"")</f>
        <v>0.58333333333333337</v>
      </c>
      <c r="H729" s="230" t="s">
        <v>55</v>
      </c>
      <c r="I729" s="230" t="s">
        <v>510</v>
      </c>
      <c r="J729" s="231" t="s">
        <v>227</v>
      </c>
      <c r="K729" s="176" t="s">
        <v>356</v>
      </c>
    </row>
    <row r="730" spans="2:11" x14ac:dyDescent="0.25">
      <c r="B730" s="235">
        <v>44986</v>
      </c>
      <c r="C730" s="233">
        <v>3</v>
      </c>
      <c r="E730" s="238">
        <v>0.95833333333333337</v>
      </c>
      <c r="F730" s="204">
        <v>0.98611111111111116</v>
      </c>
      <c r="G730" s="193">
        <f>IFERROR(IF(E730&gt;F730,((F730+E376B376+1)-(E730+B736))*24,HOUR(F730-E730)+MINUTE(F730-E730)/60),"")</f>
        <v>0.66666666666666663</v>
      </c>
      <c r="H730" s="230" t="s">
        <v>55</v>
      </c>
      <c r="I730" s="230" t="s">
        <v>510</v>
      </c>
      <c r="J730" s="231" t="s">
        <v>227</v>
      </c>
      <c r="K730" s="176" t="s">
        <v>356</v>
      </c>
    </row>
    <row r="731" spans="2:11" x14ac:dyDescent="0.25">
      <c r="B731" s="235">
        <v>44986</v>
      </c>
      <c r="C731" s="195">
        <v>3</v>
      </c>
      <c r="E731" s="238">
        <v>6.9444444444444434E-2</v>
      </c>
      <c r="F731" s="204">
        <v>9.375E-2</v>
      </c>
      <c r="G731" s="193">
        <f>IFERROR(IF(E731&gt;F731,((F731+E376B376+1)-(E731+B737))*24,HOUR(F731-E731)+MINUTE(F731-E731)/60),"")</f>
        <v>0.58333333333333337</v>
      </c>
      <c r="H731" s="230" t="s">
        <v>55</v>
      </c>
      <c r="I731" s="230" t="s">
        <v>510</v>
      </c>
      <c r="J731" s="231" t="s">
        <v>227</v>
      </c>
      <c r="K731" s="176" t="s">
        <v>356</v>
      </c>
    </row>
    <row r="732" spans="2:11" x14ac:dyDescent="0.25">
      <c r="B732" s="235">
        <v>44986</v>
      </c>
      <c r="C732" s="233">
        <v>3</v>
      </c>
      <c r="E732" s="238">
        <v>0.27777777777777779</v>
      </c>
      <c r="F732" s="204">
        <v>0.29166666666666669</v>
      </c>
      <c r="G732" s="193">
        <f>IFERROR(IF(E732&gt;F732,((F732+E376B376+1)-(E732+B738))*24,HOUR(F732-E732)+MINUTE(F732-E732)/60),"")</f>
        <v>0.33333333333333331</v>
      </c>
      <c r="H732" s="230" t="s">
        <v>55</v>
      </c>
      <c r="I732" s="230" t="s">
        <v>510</v>
      </c>
      <c r="J732" s="231" t="s">
        <v>227</v>
      </c>
    </row>
    <row r="733" spans="2:11" x14ac:dyDescent="0.25">
      <c r="B733" s="235">
        <v>44987</v>
      </c>
      <c r="C733" s="195">
        <v>1</v>
      </c>
      <c r="E733" s="238">
        <v>0.29166666666666669</v>
      </c>
      <c r="F733" s="204">
        <v>0.33194444444444443</v>
      </c>
      <c r="G733" s="193">
        <f>IFERROR(IF(E733&gt;F733,((F733+E376B376+1)-(E733+B739))*24,HOUR(F733-E733)+MINUTE(F733-E733)/60),"")</f>
        <v>0.96666666666666667</v>
      </c>
      <c r="H733" s="230" t="s">
        <v>55</v>
      </c>
      <c r="I733" s="230" t="s">
        <v>510</v>
      </c>
      <c r="J733" s="231" t="s">
        <v>227</v>
      </c>
      <c r="K733" s="176" t="s">
        <v>356</v>
      </c>
    </row>
    <row r="734" spans="2:11" x14ac:dyDescent="0.25">
      <c r="B734" s="235">
        <v>44987</v>
      </c>
      <c r="C734" s="233">
        <v>1</v>
      </c>
      <c r="E734" s="238">
        <v>0.36736111111111108</v>
      </c>
      <c r="F734" s="280">
        <v>0.39583333333333331</v>
      </c>
      <c r="G734" s="193">
        <f>IFERROR(IF(E734&gt;F734,((F734+E376B376+1)-(E734+B740))*24,HOUR(F734-E734)+MINUTE(F734-E734)/60),"")</f>
        <v>0.68333333333333335</v>
      </c>
      <c r="H734" s="230" t="s">
        <v>142</v>
      </c>
      <c r="I734" s="230" t="s">
        <v>509</v>
      </c>
      <c r="J734" s="231" t="s">
        <v>600</v>
      </c>
    </row>
    <row r="735" spans="2:11" x14ac:dyDescent="0.25">
      <c r="B735" s="235">
        <v>44987</v>
      </c>
      <c r="C735" s="233">
        <v>1</v>
      </c>
      <c r="E735" s="238">
        <v>0.39583333333333331</v>
      </c>
      <c r="F735" s="204">
        <v>0.42777777777777781</v>
      </c>
      <c r="G735" s="193">
        <f>IFERROR(IF(E735&gt;F735,((F735+E376B376+1)-(E735+#REF!))*24,HOUR(F735-E735)+MINUTE(F735-E735)/60),"")</f>
        <v>0.76666666666666672</v>
      </c>
      <c r="H735" s="230" t="s">
        <v>55</v>
      </c>
      <c r="I735" s="230" t="s">
        <v>510</v>
      </c>
      <c r="J735" s="231" t="s">
        <v>227</v>
      </c>
      <c r="K735" s="176" t="s">
        <v>984</v>
      </c>
    </row>
    <row r="736" spans="2:11" x14ac:dyDescent="0.25">
      <c r="B736" s="235">
        <v>44987</v>
      </c>
      <c r="C736" s="233">
        <v>1</v>
      </c>
      <c r="E736" s="238">
        <v>0.42777777777777781</v>
      </c>
      <c r="F736" s="204">
        <v>0.44097222222222227</v>
      </c>
      <c r="G736" s="193">
        <f>IFERROR(IF(E736&gt;F736,((F736+E376B376+1)-(E736+B741))*24,HOUR(F736-E736)+MINUTE(F736-E736)/60),"")</f>
        <v>0.31666666666666665</v>
      </c>
      <c r="H736" s="230" t="s">
        <v>167</v>
      </c>
      <c r="I736" s="230" t="s">
        <v>510</v>
      </c>
      <c r="J736" s="231" t="s">
        <v>596</v>
      </c>
      <c r="K736" s="176" t="s">
        <v>983</v>
      </c>
    </row>
    <row r="737" spans="2:11" x14ac:dyDescent="0.25">
      <c r="B737" s="235">
        <v>44987</v>
      </c>
      <c r="C737" s="195">
        <v>1</v>
      </c>
      <c r="E737" s="238">
        <v>0.60277777777777775</v>
      </c>
      <c r="F737" s="204">
        <v>0.625</v>
      </c>
      <c r="G737" s="193">
        <f>IFERROR(IF(E737&gt;F737,((F737+E376B376+1)-(E737+B742))*24,HOUR(F737-E737)+MINUTE(F737-E737)/60),"")</f>
        <v>0.53333333333333333</v>
      </c>
      <c r="H737" s="230" t="s">
        <v>55</v>
      </c>
      <c r="I737" s="230" t="s">
        <v>510</v>
      </c>
      <c r="J737" s="231" t="s">
        <v>227</v>
      </c>
      <c r="K737" s="176" t="s">
        <v>356</v>
      </c>
    </row>
    <row r="738" spans="2:11" x14ac:dyDescent="0.25">
      <c r="B738" s="235">
        <v>44987</v>
      </c>
      <c r="C738" s="233">
        <v>2</v>
      </c>
      <c r="E738" s="238">
        <v>0.625</v>
      </c>
      <c r="F738" s="204">
        <v>0.66111111111111109</v>
      </c>
      <c r="G738" s="193">
        <f>IFERROR(IF(E738&gt;F738,((F738+E376B376+1)-(E738+B743))*24,HOUR(F738-E738)+MINUTE(F738-E738)/60),"")</f>
        <v>0.8666666666666667</v>
      </c>
      <c r="H738" s="230" t="s">
        <v>55</v>
      </c>
      <c r="I738" s="230" t="s">
        <v>510</v>
      </c>
      <c r="J738" s="231" t="s">
        <v>227</v>
      </c>
      <c r="K738" s="176" t="s">
        <v>356</v>
      </c>
    </row>
    <row r="739" spans="2:11" x14ac:dyDescent="0.25">
      <c r="B739" s="235">
        <v>44987</v>
      </c>
      <c r="C739" s="233">
        <v>2</v>
      </c>
      <c r="E739" s="238">
        <v>0.86388888888888893</v>
      </c>
      <c r="F739" s="204">
        <v>0.95833333333333337</v>
      </c>
      <c r="G739" s="193">
        <f>IFERROR(IF(E739&gt;F739,((F739+E376B376+1)-(E739+B744))*24,HOUR(F739-E739)+MINUTE(F739-E739)/60),"")</f>
        <v>2.2666666666666666</v>
      </c>
      <c r="H739" s="230" t="s">
        <v>55</v>
      </c>
      <c r="I739" s="230" t="s">
        <v>510</v>
      </c>
      <c r="J739" s="231" t="s">
        <v>227</v>
      </c>
      <c r="K739" s="176" t="s">
        <v>985</v>
      </c>
    </row>
    <row r="740" spans="2:11" x14ac:dyDescent="0.25">
      <c r="B740" s="235">
        <v>44987</v>
      </c>
      <c r="C740" s="195">
        <v>3</v>
      </c>
      <c r="E740" s="238">
        <v>0.95833333333333337</v>
      </c>
      <c r="F740" s="204">
        <v>44988.291666666664</v>
      </c>
      <c r="G740" s="193">
        <f>IFERROR(IF(E740&gt;F740,((F740+E376B376+1)-(E740+B745))*24,HOUR(F740-E740)+MINUTE(F740-E740)/60),"")</f>
        <v>8</v>
      </c>
      <c r="H740" s="230" t="s">
        <v>55</v>
      </c>
      <c r="I740" s="230" t="s">
        <v>510</v>
      </c>
      <c r="J740" s="231" t="s">
        <v>227</v>
      </c>
      <c r="K740" s="176" t="s">
        <v>985</v>
      </c>
    </row>
    <row r="741" spans="2:11" x14ac:dyDescent="0.25">
      <c r="B741" s="235">
        <v>44988</v>
      </c>
      <c r="C741" s="195">
        <v>1</v>
      </c>
      <c r="E741" s="238">
        <v>0.29166666666666669</v>
      </c>
      <c r="F741" s="204">
        <v>0.625</v>
      </c>
      <c r="G741" s="193">
        <f>IFERROR(IF(E741&gt;F741,((F741+E376B376+1)-(E741+B747))*24,HOUR(F741-E741)+MINUTE(F741-E741)/60),"")</f>
        <v>8</v>
      </c>
      <c r="I741" s="230" t="s">
        <v>513</v>
      </c>
      <c r="J741" s="230" t="s">
        <v>141</v>
      </c>
      <c r="K741" s="176" t="s">
        <v>986</v>
      </c>
    </row>
    <row r="742" spans="2:11" x14ac:dyDescent="0.25">
      <c r="B742" s="235">
        <v>44988</v>
      </c>
      <c r="C742" s="195">
        <v>2</v>
      </c>
      <c r="E742" s="238">
        <v>0.625</v>
      </c>
      <c r="F742" s="204">
        <v>0.95833333333333337</v>
      </c>
      <c r="G742" s="193">
        <f>IFERROR(IF(E742&gt;F742,((F742+E376B376+1)-(E742+B748))*24,HOUR(F742-E742)+MINUTE(F742-E742)/60),"")</f>
        <v>8</v>
      </c>
      <c r="I742" s="230" t="s">
        <v>513</v>
      </c>
      <c r="J742" s="230" t="s">
        <v>141</v>
      </c>
      <c r="K742" s="176" t="s">
        <v>986</v>
      </c>
    </row>
    <row r="743" spans="2:11" x14ac:dyDescent="0.25">
      <c r="B743" s="235">
        <v>44988</v>
      </c>
      <c r="C743" s="195">
        <v>3</v>
      </c>
      <c r="E743" s="238">
        <v>0.95833333333333337</v>
      </c>
      <c r="F743" s="204">
        <v>44989.291666666664</v>
      </c>
      <c r="G743" s="193">
        <f>IFERROR(IF(E743&gt;F743,((F743+E376B376+1)-(E743+B749))*24,HOUR(F743-E743)+MINUTE(F743-E743)/60),"")</f>
        <v>8</v>
      </c>
      <c r="I743" s="230" t="s">
        <v>513</v>
      </c>
      <c r="J743" s="230" t="s">
        <v>141</v>
      </c>
      <c r="K743" s="176" t="s">
        <v>986</v>
      </c>
    </row>
    <row r="744" spans="2:11" x14ac:dyDescent="0.25">
      <c r="B744" s="235">
        <v>44989</v>
      </c>
      <c r="C744" s="195">
        <v>1</v>
      </c>
      <c r="E744" s="238">
        <v>0.29166666666666669</v>
      </c>
      <c r="F744" s="204">
        <v>0.625</v>
      </c>
      <c r="G744" s="193">
        <f>IFERROR(IF(E744&gt;F744,((F744+E376B376+1)-(E744+B750))*24,HOUR(F744-E744)+MINUTE(F744-E744)/60),"")</f>
        <v>8</v>
      </c>
      <c r="I744" s="230" t="s">
        <v>513</v>
      </c>
      <c r="J744" s="230" t="s">
        <v>141</v>
      </c>
    </row>
    <row r="745" spans="2:11" x14ac:dyDescent="0.25">
      <c r="B745" s="235">
        <v>44989</v>
      </c>
      <c r="C745" s="195">
        <v>2</v>
      </c>
      <c r="E745" s="238">
        <v>0.625</v>
      </c>
      <c r="F745" s="204">
        <v>0.95833333333333337</v>
      </c>
      <c r="G745" s="193">
        <f>IFERROR(IF(E745&gt;F745,((F745+E376B376+1)-(E745+B751))*24,HOUR(F745-E745)+MINUTE(F745-E745)/60),"")</f>
        <v>8</v>
      </c>
      <c r="I745" s="230" t="s">
        <v>513</v>
      </c>
      <c r="J745" s="230" t="s">
        <v>141</v>
      </c>
    </row>
    <row r="746" spans="2:11" x14ac:dyDescent="0.25">
      <c r="B746" s="235">
        <v>44989</v>
      </c>
      <c r="C746" s="195">
        <v>3</v>
      </c>
      <c r="E746" s="238">
        <v>0.95833333333333337</v>
      </c>
      <c r="F746" s="204">
        <v>0.29166666666666669</v>
      </c>
      <c r="G746" s="193">
        <v>8</v>
      </c>
      <c r="I746" s="230" t="s">
        <v>513</v>
      </c>
      <c r="J746" s="230" t="s">
        <v>141</v>
      </c>
    </row>
    <row r="747" spans="2:11" x14ac:dyDescent="0.25">
      <c r="B747" s="235">
        <v>44990</v>
      </c>
      <c r="C747" s="233">
        <v>1</v>
      </c>
      <c r="E747" s="238">
        <v>0.29166666666666669</v>
      </c>
      <c r="F747" s="204">
        <v>0.625</v>
      </c>
      <c r="G747" s="193">
        <v>8</v>
      </c>
      <c r="I747" s="230" t="s">
        <v>513</v>
      </c>
      <c r="J747" s="230" t="s">
        <v>141</v>
      </c>
    </row>
    <row r="748" spans="2:11" x14ac:dyDescent="0.25">
      <c r="B748" s="235">
        <v>44990</v>
      </c>
      <c r="C748" s="233">
        <v>2</v>
      </c>
      <c r="E748" s="238">
        <v>0.625</v>
      </c>
      <c r="F748" s="204">
        <v>0.95833333333333337</v>
      </c>
      <c r="G748" s="193">
        <v>8</v>
      </c>
      <c r="I748" s="230" t="s">
        <v>513</v>
      </c>
      <c r="J748" s="230" t="s">
        <v>141</v>
      </c>
    </row>
    <row r="749" spans="2:11" x14ac:dyDescent="0.25">
      <c r="B749" s="235">
        <v>44990</v>
      </c>
      <c r="C749" s="233">
        <v>3</v>
      </c>
      <c r="E749" s="238">
        <v>0.95833333333333337</v>
      </c>
      <c r="F749" s="204">
        <v>0.29166666666666669</v>
      </c>
      <c r="G749" s="193">
        <v>8</v>
      </c>
      <c r="I749" s="230" t="s">
        <v>513</v>
      </c>
      <c r="J749" s="230" t="s">
        <v>141</v>
      </c>
    </row>
    <row r="750" spans="2:11" x14ac:dyDescent="0.25">
      <c r="B750" s="235">
        <v>44991</v>
      </c>
      <c r="C750" s="195">
        <v>1</v>
      </c>
      <c r="D750" s="233"/>
      <c r="E750" s="238">
        <v>0.29166666666666669</v>
      </c>
      <c r="F750" s="204">
        <v>0.625</v>
      </c>
      <c r="G750" s="193">
        <v>8</v>
      </c>
      <c r="I750" s="230" t="s">
        <v>513</v>
      </c>
      <c r="J750" s="230" t="s">
        <v>141</v>
      </c>
    </row>
    <row r="751" spans="2:11" x14ac:dyDescent="0.25">
      <c r="B751" s="235">
        <v>44991</v>
      </c>
      <c r="C751" s="195">
        <v>2</v>
      </c>
      <c r="E751" s="238">
        <v>0.625</v>
      </c>
      <c r="F751" s="204">
        <v>0.95833333333333337</v>
      </c>
      <c r="G751" s="193">
        <v>8</v>
      </c>
      <c r="I751" s="230" t="s">
        <v>513</v>
      </c>
      <c r="J751" s="230" t="s">
        <v>141</v>
      </c>
    </row>
    <row r="752" spans="2:11" x14ac:dyDescent="0.25">
      <c r="B752" s="235">
        <v>44991</v>
      </c>
      <c r="C752" s="195">
        <v>3</v>
      </c>
      <c r="E752" s="238">
        <v>0.95833333333333337</v>
      </c>
      <c r="F752" s="204">
        <v>0.29166666666666669</v>
      </c>
      <c r="G752" s="193">
        <v>8</v>
      </c>
      <c r="I752" s="230" t="s">
        <v>513</v>
      </c>
      <c r="J752" s="230" t="s">
        <v>141</v>
      </c>
    </row>
    <row r="753" spans="2:11" x14ac:dyDescent="0.25">
      <c r="B753" s="235">
        <v>44992</v>
      </c>
      <c r="C753" s="195">
        <v>1</v>
      </c>
      <c r="E753" s="238">
        <v>0.29166666666666669</v>
      </c>
      <c r="F753" s="204">
        <v>0.625</v>
      </c>
      <c r="G753" s="193">
        <v>8</v>
      </c>
      <c r="I753" s="230" t="s">
        <v>513</v>
      </c>
      <c r="J753" s="230" t="s">
        <v>141</v>
      </c>
    </row>
    <row r="754" spans="2:11" x14ac:dyDescent="0.25">
      <c r="B754" s="235">
        <v>44992</v>
      </c>
      <c r="C754" s="195">
        <v>2</v>
      </c>
      <c r="E754" s="238">
        <v>0.625</v>
      </c>
      <c r="F754" s="204">
        <v>0.95833333333333337</v>
      </c>
      <c r="G754" s="193">
        <v>8</v>
      </c>
      <c r="I754" s="230" t="s">
        <v>513</v>
      </c>
      <c r="J754" s="230" t="s">
        <v>141</v>
      </c>
    </row>
    <row r="755" spans="2:11" x14ac:dyDescent="0.25">
      <c r="B755" s="235">
        <v>44992</v>
      </c>
      <c r="C755" s="195">
        <v>3</v>
      </c>
      <c r="E755" s="238">
        <v>0.95833333333333337</v>
      </c>
      <c r="F755" s="204">
        <v>0.29166666666666669</v>
      </c>
      <c r="G755" s="193">
        <v>8</v>
      </c>
      <c r="I755" s="230" t="s">
        <v>513</v>
      </c>
      <c r="J755" s="230" t="s">
        <v>141</v>
      </c>
    </row>
    <row r="756" spans="2:11" x14ac:dyDescent="0.25">
      <c r="B756" s="235">
        <v>44993</v>
      </c>
      <c r="C756" s="195">
        <v>1</v>
      </c>
      <c r="E756" s="238">
        <v>0.29166666666666669</v>
      </c>
      <c r="F756" s="204">
        <v>0.625</v>
      </c>
      <c r="G756" s="193">
        <v>8</v>
      </c>
      <c r="I756" s="230" t="s">
        <v>513</v>
      </c>
      <c r="J756" s="230" t="s">
        <v>141</v>
      </c>
    </row>
    <row r="757" spans="2:11" x14ac:dyDescent="0.25">
      <c r="B757" s="235">
        <v>44993</v>
      </c>
      <c r="C757" s="195">
        <v>2</v>
      </c>
      <c r="E757" s="238">
        <v>0.625</v>
      </c>
      <c r="F757" s="204">
        <v>0.66666666666666663</v>
      </c>
      <c r="G757" s="193">
        <f>IFERROR(IF(E757&gt;F757,((F757+E376B376+1)-(E757+B762))*24,HOUR(F757-E757)+MINUTE(F757-E757)/60),"")</f>
        <v>1</v>
      </c>
      <c r="I757" s="230" t="s">
        <v>513</v>
      </c>
      <c r="J757" s="230" t="s">
        <v>141</v>
      </c>
      <c r="K757" s="176" t="s">
        <v>987</v>
      </c>
    </row>
    <row r="758" spans="2:11" x14ac:dyDescent="0.25">
      <c r="B758" s="235">
        <v>44993</v>
      </c>
      <c r="C758" s="233">
        <v>2</v>
      </c>
      <c r="E758" s="238">
        <v>0.66666666666666663</v>
      </c>
      <c r="F758" s="204">
        <v>0.72916666666666663</v>
      </c>
      <c r="G758" s="193">
        <f>IFERROR(IF(E758&gt;F758,((F758+E376B376+1)-(E758+B763))*24,HOUR(F758-E758)+MINUTE(F758-E758)/60),"")</f>
        <v>1.5</v>
      </c>
      <c r="H758" s="230" t="s">
        <v>55</v>
      </c>
      <c r="I758" s="230" t="s">
        <v>510</v>
      </c>
      <c r="J758" s="231" t="s">
        <v>227</v>
      </c>
      <c r="K758" s="176" t="s">
        <v>990</v>
      </c>
    </row>
    <row r="759" spans="2:11" x14ac:dyDescent="0.25">
      <c r="B759" s="235">
        <v>44993</v>
      </c>
      <c r="C759" s="195">
        <v>2</v>
      </c>
      <c r="E759" s="238">
        <v>0.94444444444444453</v>
      </c>
      <c r="F759" s="204">
        <v>0.95833333333333337</v>
      </c>
      <c r="G759" s="193">
        <f>IFERROR(IF(E759&gt;F759,((F759+E376B376+1)-(E759+B764))*24,HOUR(F759-E759)+MINUTE(F759-E759)/60),"")</f>
        <v>0.33333333333333331</v>
      </c>
      <c r="H759" s="230" t="s">
        <v>55</v>
      </c>
      <c r="I759" s="230" t="s">
        <v>510</v>
      </c>
      <c r="J759" s="231" t="s">
        <v>227</v>
      </c>
      <c r="K759" s="176" t="s">
        <v>356</v>
      </c>
    </row>
    <row r="760" spans="2:11" x14ac:dyDescent="0.25">
      <c r="B760" s="235">
        <v>44993</v>
      </c>
      <c r="C760" s="195">
        <v>3</v>
      </c>
      <c r="E760" s="238">
        <v>0.95833333333333337</v>
      </c>
      <c r="F760" s="204">
        <v>44994.291666666664</v>
      </c>
      <c r="G760" s="193">
        <f>IFERROR(IF(E760&gt;F760,((F760+E376B376+1)-(E760+B765))*24,HOUR(F760-E760)+MINUTE(F760-E760)/60),"")</f>
        <v>8</v>
      </c>
      <c r="H760" s="230" t="s">
        <v>55</v>
      </c>
      <c r="I760" s="230" t="s">
        <v>510</v>
      </c>
      <c r="J760" s="231" t="s">
        <v>227</v>
      </c>
      <c r="K760" s="176" t="s">
        <v>989</v>
      </c>
    </row>
    <row r="761" spans="2:11" x14ac:dyDescent="0.25">
      <c r="B761" s="235">
        <v>44994</v>
      </c>
      <c r="C761" s="195">
        <v>1</v>
      </c>
      <c r="E761" s="238">
        <v>0.29166666666666669</v>
      </c>
      <c r="F761" s="204">
        <v>0.31597222222222221</v>
      </c>
      <c r="G761" s="193">
        <f>IFERROR(IF(E761&gt;F761,((F761+E376B376+1)-(E761+B766))*24,HOUR(F761-E761)+MINUTE(F761-E761)/60),"")</f>
        <v>0.58333333333333337</v>
      </c>
      <c r="H761" s="230" t="s">
        <v>55</v>
      </c>
      <c r="I761" s="230" t="s">
        <v>510</v>
      </c>
      <c r="J761" s="231" t="s">
        <v>227</v>
      </c>
    </row>
    <row r="762" spans="2:11" x14ac:dyDescent="0.25">
      <c r="B762" s="235">
        <v>44994</v>
      </c>
      <c r="C762" s="233">
        <v>1</v>
      </c>
      <c r="E762" s="238">
        <v>0.31597222222222221</v>
      </c>
      <c r="F762" s="204">
        <v>0.32777777777777778</v>
      </c>
      <c r="G762" s="193">
        <f>IFERROR(IF(E762&gt;F762,((F762+E376B376+1)-(E762+B767))*24,HOUR(F762-E762)+MINUTE(F762-E762)/60),"")</f>
        <v>0.28333333333333333</v>
      </c>
      <c r="H762" s="230" t="s">
        <v>158</v>
      </c>
      <c r="I762" s="230" t="s">
        <v>513</v>
      </c>
      <c r="J762" s="233" t="s">
        <v>991</v>
      </c>
      <c r="K762" s="176" t="s">
        <v>992</v>
      </c>
    </row>
    <row r="763" spans="2:11" x14ac:dyDescent="0.25">
      <c r="B763" s="235">
        <v>44994</v>
      </c>
      <c r="C763" s="233">
        <v>1</v>
      </c>
      <c r="E763" s="238">
        <v>0.33611111111111108</v>
      </c>
      <c r="F763" s="204">
        <v>0.37013888888888885</v>
      </c>
      <c r="G763" s="193">
        <f>IFERROR(IF(E763&gt;F763,((F763+E376B376+1)-(E763+B768))*24,HOUR(F763-E763)+MINUTE(F763-E763)/60),"")</f>
        <v>0.81666666666666665</v>
      </c>
      <c r="H763" s="230" t="s">
        <v>195</v>
      </c>
      <c r="I763" s="230" t="s">
        <v>509</v>
      </c>
      <c r="J763" s="231" t="s">
        <v>110</v>
      </c>
    </row>
    <row r="764" spans="2:11" x14ac:dyDescent="0.25">
      <c r="B764" s="235">
        <v>44994</v>
      </c>
      <c r="C764" s="233">
        <v>1</v>
      </c>
      <c r="E764" s="238">
        <v>0.56527777777777777</v>
      </c>
      <c r="F764" s="204">
        <v>0.57708333333333328</v>
      </c>
      <c r="G764" s="193">
        <f>IFERROR(IF(E764&gt;F764,((F764+E376B376+1)-(E764+B769))*24,HOUR(F764-E764)+MINUTE(F764-E764)/60),"")</f>
        <v>0.28333333333333333</v>
      </c>
      <c r="H764" s="230" t="s">
        <v>204</v>
      </c>
      <c r="I764" s="230" t="s">
        <v>511</v>
      </c>
      <c r="J764" s="233" t="s">
        <v>994</v>
      </c>
      <c r="K764" s="176" t="s">
        <v>995</v>
      </c>
    </row>
    <row r="765" spans="2:11" x14ac:dyDescent="0.25">
      <c r="B765" s="235">
        <v>44994</v>
      </c>
      <c r="C765" s="233">
        <v>1</v>
      </c>
      <c r="E765" s="238">
        <v>0.61041666666666672</v>
      </c>
      <c r="F765" s="204">
        <v>0.625</v>
      </c>
      <c r="G765" s="193">
        <f>IFERROR(IF(E765&gt;F765,((F765+E376B376+1)-(E765+B770))*24,HOUR(F765-E765)+MINUTE(F765-E765)/60),"")</f>
        <v>0.35</v>
      </c>
      <c r="H765" s="230" t="s">
        <v>55</v>
      </c>
      <c r="I765" s="230" t="s">
        <v>510</v>
      </c>
      <c r="J765" s="231" t="s">
        <v>227</v>
      </c>
      <c r="K765" s="176" t="s">
        <v>356</v>
      </c>
    </row>
    <row r="766" spans="2:11" x14ac:dyDescent="0.25">
      <c r="B766" s="235">
        <v>44994</v>
      </c>
      <c r="C766" s="195">
        <v>2</v>
      </c>
      <c r="E766" s="238">
        <v>0.625</v>
      </c>
      <c r="F766" s="204">
        <v>0.95833333333333337</v>
      </c>
      <c r="G766" s="193">
        <f>IFERROR(IF(E766&gt;F766,((F766+E376B376+1)-(E766+B771))*24,HOUR(F766-E766)+MINUTE(F766-E766)/60),"")</f>
        <v>8</v>
      </c>
      <c r="H766" s="230" t="s">
        <v>55</v>
      </c>
      <c r="I766" s="230" t="s">
        <v>510</v>
      </c>
      <c r="J766" s="231" t="s">
        <v>227</v>
      </c>
      <c r="K766" s="176" t="s">
        <v>356</v>
      </c>
    </row>
    <row r="767" spans="2:11" x14ac:dyDescent="0.25">
      <c r="B767" s="235">
        <v>44994</v>
      </c>
      <c r="C767" s="233">
        <v>3</v>
      </c>
      <c r="D767" s="238">
        <v>0.95833333333333337</v>
      </c>
      <c r="E767" s="238">
        <v>0.95833333333333337</v>
      </c>
      <c r="F767" s="204">
        <v>44995.291666666664</v>
      </c>
      <c r="G767" s="193">
        <f>IFERROR(IF(E767&gt;F767,((F767+E376B376+1)-(E767+B772))*24,HOUR(F767-E767)+MINUTE(F767-E767)/60),"")</f>
        <v>8</v>
      </c>
      <c r="H767" s="230" t="s">
        <v>55</v>
      </c>
      <c r="I767" s="230" t="s">
        <v>510</v>
      </c>
      <c r="J767" s="231" t="s">
        <v>227</v>
      </c>
      <c r="K767" s="176" t="s">
        <v>356</v>
      </c>
    </row>
    <row r="768" spans="2:11" x14ac:dyDescent="0.25">
      <c r="B768" s="235">
        <v>44995</v>
      </c>
      <c r="C768" s="195">
        <v>1</v>
      </c>
      <c r="E768" s="238">
        <v>0.29166666666666669</v>
      </c>
      <c r="F768" s="204">
        <v>0.625</v>
      </c>
      <c r="G768" s="193">
        <f>IFERROR(IF(E768&gt;F768,((F768+E376B376+1)-(E768+B773))*24,HOUR(F768-E768)+MINUTE(F768-E768)/60),"")</f>
        <v>8</v>
      </c>
      <c r="H768" s="230" t="s">
        <v>55</v>
      </c>
      <c r="I768" s="230" t="s">
        <v>510</v>
      </c>
      <c r="J768" s="231" t="s">
        <v>227</v>
      </c>
      <c r="K768" s="176" t="s">
        <v>356</v>
      </c>
    </row>
    <row r="769" spans="2:11" x14ac:dyDescent="0.25">
      <c r="B769" s="235">
        <v>44995</v>
      </c>
      <c r="C769" s="195">
        <v>2</v>
      </c>
      <c r="E769" s="238">
        <v>0.625</v>
      </c>
      <c r="F769" s="204">
        <v>0.76388888888888884</v>
      </c>
      <c r="G769" s="193">
        <f>IFERROR(IF(E769&gt;F769,((F769+E376B376+1)-(E769+B774))*24,HOUR(F769-E769)+MINUTE(F769-E769)/60),"")</f>
        <v>3.3333333333333335</v>
      </c>
      <c r="H769" s="230" t="s">
        <v>55</v>
      </c>
      <c r="I769" s="230" t="s">
        <v>510</v>
      </c>
      <c r="J769" s="231" t="s">
        <v>227</v>
      </c>
      <c r="K769" s="176" t="s">
        <v>356</v>
      </c>
    </row>
    <row r="770" spans="2:11" x14ac:dyDescent="0.25">
      <c r="B770" s="235">
        <v>44995</v>
      </c>
      <c r="C770" s="195">
        <v>2</v>
      </c>
      <c r="E770" s="238">
        <v>0.76388888888888884</v>
      </c>
      <c r="F770" s="204">
        <v>0.77777777777777779</v>
      </c>
      <c r="G770" s="193">
        <f>IFERROR(IF(E770&gt;F770,((F770+E376B376+1)-(E770+B775))*24,HOUR(F770-E770)+MINUTE(F770-E770)/60),"")</f>
        <v>0.33333333333333331</v>
      </c>
      <c r="H770" s="230" t="s">
        <v>142</v>
      </c>
      <c r="I770" s="230" t="s">
        <v>511</v>
      </c>
      <c r="J770" s="231" t="s">
        <v>115</v>
      </c>
    </row>
    <row r="771" spans="2:11" x14ac:dyDescent="0.25">
      <c r="B771" s="235">
        <v>44995</v>
      </c>
      <c r="C771" s="195">
        <v>2</v>
      </c>
      <c r="E771" s="238">
        <v>0.84722222222222221</v>
      </c>
      <c r="F771" s="204">
        <v>0.95833333333333337</v>
      </c>
      <c r="G771" s="193">
        <f>IFERROR(IF(E771&gt;F771,((F771+E376B376+1)-(E771+B776))*24,HOUR(F771-E771)+MINUTE(F771-E771)/60),"")</f>
        <v>2.6666666666666665</v>
      </c>
      <c r="H771" s="230" t="s">
        <v>55</v>
      </c>
      <c r="I771" s="230" t="s">
        <v>510</v>
      </c>
      <c r="J771" s="231" t="s">
        <v>227</v>
      </c>
      <c r="K771" s="176" t="s">
        <v>989</v>
      </c>
    </row>
    <row r="772" spans="2:11" x14ac:dyDescent="0.25">
      <c r="B772" s="235">
        <v>44995</v>
      </c>
      <c r="C772" s="195">
        <v>3</v>
      </c>
      <c r="E772" s="238">
        <v>0.95833333333333337</v>
      </c>
      <c r="F772" s="204">
        <v>44996.291666666664</v>
      </c>
      <c r="G772" s="193">
        <f>IFERROR(IF(E772&gt;F772,((F772+E376B376+1)-(E772+B777))*24,HOUR(F772-E772)+MINUTE(F772-E772)/60),"")</f>
        <v>8</v>
      </c>
      <c r="H772" s="230" t="s">
        <v>55</v>
      </c>
      <c r="I772" s="230" t="s">
        <v>510</v>
      </c>
      <c r="J772" s="231" t="s">
        <v>227</v>
      </c>
      <c r="K772" s="176" t="s">
        <v>989</v>
      </c>
    </row>
    <row r="773" spans="2:11" x14ac:dyDescent="0.25">
      <c r="B773" s="235">
        <v>44996</v>
      </c>
      <c r="C773" s="195">
        <v>1</v>
      </c>
      <c r="E773" s="238">
        <v>0.29166666666666669</v>
      </c>
      <c r="F773" s="204">
        <v>0.3263888888888889</v>
      </c>
      <c r="G773" s="193">
        <f>IFERROR(IF(E773&gt;F773,((F773+E376B376+1)-(E773+B778))*24,HOUR(F773-E773)+MINUTE(F773-E773)/60),"")</f>
        <v>0.83333333333333337</v>
      </c>
      <c r="H773" s="230" t="s">
        <v>55</v>
      </c>
      <c r="I773" s="230" t="s">
        <v>510</v>
      </c>
      <c r="J773" s="231" t="s">
        <v>227</v>
      </c>
      <c r="K773" s="176" t="s">
        <v>989</v>
      </c>
    </row>
    <row r="774" spans="2:11" x14ac:dyDescent="0.25">
      <c r="B774" s="235">
        <v>44996</v>
      </c>
      <c r="C774" s="233">
        <v>1</v>
      </c>
      <c r="E774" s="238">
        <v>0.39583333333333331</v>
      </c>
      <c r="F774" s="204">
        <v>0.44791666666666669</v>
      </c>
      <c r="G774" s="193">
        <f>IFERROR(IF(E774&gt;F774,((F774+E376B376+1)-(E774+B779))*24,HOUR(F774-E774)+MINUTE(F774-E774)/60),"")</f>
        <v>1.25</v>
      </c>
      <c r="H774" s="230" t="s">
        <v>147</v>
      </c>
      <c r="I774" s="230" t="s">
        <v>511</v>
      </c>
      <c r="J774" s="231" t="s">
        <v>525</v>
      </c>
      <c r="K774" s="176" t="s">
        <v>92</v>
      </c>
    </row>
    <row r="775" spans="2:11" x14ac:dyDescent="0.25">
      <c r="B775" s="235">
        <v>44996</v>
      </c>
      <c r="C775" s="233">
        <v>1</v>
      </c>
      <c r="E775" s="238">
        <v>0.59583333333333333</v>
      </c>
      <c r="F775" s="204">
        <v>0.625</v>
      </c>
      <c r="G775" s="193">
        <f>IFERROR(IF(E775&gt;F775,((F775+E376B376+1)-(E775+B780))*24,HOUR(F775-E775)+MINUTE(F775-E775)/60),"")</f>
        <v>0.7</v>
      </c>
      <c r="H775" s="230" t="s">
        <v>55</v>
      </c>
      <c r="I775" s="230" t="s">
        <v>510</v>
      </c>
      <c r="J775" s="231" t="s">
        <v>227</v>
      </c>
      <c r="K775" s="176" t="s">
        <v>356</v>
      </c>
    </row>
    <row r="776" spans="2:11" x14ac:dyDescent="0.25">
      <c r="B776" s="235">
        <v>44996</v>
      </c>
      <c r="C776" s="195">
        <v>2</v>
      </c>
      <c r="E776" s="238">
        <v>0.625</v>
      </c>
      <c r="F776" s="204">
        <v>0.64722222222222225</v>
      </c>
      <c r="G776" s="193">
        <f>IFERROR(IF(E776&gt;F776,((F776+E376B376+1)-(E776+B781))*24,HOUR(F776-E776)+MINUTE(F776-E776)/60),"")</f>
        <v>0.53333333333333333</v>
      </c>
      <c r="H776" s="230" t="s">
        <v>55</v>
      </c>
      <c r="I776" s="230" t="s">
        <v>510</v>
      </c>
      <c r="J776" s="231" t="s">
        <v>227</v>
      </c>
      <c r="K776" s="176" t="s">
        <v>356</v>
      </c>
    </row>
    <row r="777" spans="2:11" x14ac:dyDescent="0.25">
      <c r="B777" s="235">
        <v>44996</v>
      </c>
      <c r="C777" s="195">
        <v>2</v>
      </c>
      <c r="E777" s="238">
        <v>0.70833333333333337</v>
      </c>
      <c r="F777" s="204">
        <v>0.71875</v>
      </c>
      <c r="G777" s="193">
        <f>IFERROR(IF(E777&gt;F777,((F777+E376B376+1)-(E777+B782))*24,HOUR(F777-E777)+MINUTE(F777-E777)/60),"")</f>
        <v>0.25</v>
      </c>
      <c r="H777" s="230" t="s">
        <v>147</v>
      </c>
      <c r="I777" s="230" t="s">
        <v>511</v>
      </c>
      <c r="J777" s="231" t="s">
        <v>115</v>
      </c>
      <c r="K777" s="176" t="s">
        <v>999</v>
      </c>
    </row>
    <row r="778" spans="2:11" x14ac:dyDescent="0.25">
      <c r="B778" s="235">
        <v>44996</v>
      </c>
      <c r="C778" s="195">
        <v>2</v>
      </c>
      <c r="E778" s="238">
        <v>0.86805555555555547</v>
      </c>
      <c r="F778" s="204">
        <v>0.95833333333333337</v>
      </c>
      <c r="G778" s="193">
        <f>IFERROR(IF(E778&gt;F778,((F778+E376B376+1)-(E778+B783))*24,HOUR(F778-E778)+MINUTE(F778-E778)/60),"")</f>
        <v>2.1666666666666665</v>
      </c>
      <c r="H778" s="230" t="s">
        <v>55</v>
      </c>
      <c r="I778" s="230" t="s">
        <v>510</v>
      </c>
      <c r="J778" s="231" t="s">
        <v>227</v>
      </c>
      <c r="K778" s="176" t="s">
        <v>989</v>
      </c>
    </row>
    <row r="779" spans="2:11" x14ac:dyDescent="0.25">
      <c r="B779" s="235">
        <v>44996</v>
      </c>
      <c r="C779" s="195">
        <v>3</v>
      </c>
      <c r="E779" s="238">
        <v>0.95833333333333337</v>
      </c>
      <c r="F779" s="204">
        <v>44997.291666666664</v>
      </c>
      <c r="G779" s="193">
        <f>IFERROR(IF(E779&gt;F779,((F779+E376B376+1)-(E779+B784))*24,HOUR(F779-E779)+MINUTE(F779-E779)/60),"")</f>
        <v>8</v>
      </c>
      <c r="H779" s="230" t="s">
        <v>55</v>
      </c>
      <c r="I779" s="230" t="s">
        <v>510</v>
      </c>
      <c r="J779" s="231" t="s">
        <v>227</v>
      </c>
      <c r="K779" s="176" t="s">
        <v>989</v>
      </c>
    </row>
    <row r="780" spans="2:11" x14ac:dyDescent="0.25">
      <c r="B780" s="235">
        <v>44997</v>
      </c>
      <c r="C780" s="195">
        <v>1</v>
      </c>
      <c r="E780" s="238">
        <v>0.29166666666666669</v>
      </c>
      <c r="F780" s="204">
        <v>0.625</v>
      </c>
      <c r="G780" s="193">
        <f>IFERROR(IF(E780&gt;F780,((F780+E376B376+1)-(E780+B785))*24,HOUR(F780-E780)+MINUTE(F780-E780)/60),"")</f>
        <v>8</v>
      </c>
      <c r="I780" s="230" t="s">
        <v>513</v>
      </c>
      <c r="J780" s="230" t="s">
        <v>141</v>
      </c>
    </row>
    <row r="781" spans="2:11" x14ac:dyDescent="0.25">
      <c r="B781" s="235">
        <v>44997</v>
      </c>
      <c r="C781" s="195">
        <v>2</v>
      </c>
      <c r="E781" s="238">
        <v>0.625</v>
      </c>
      <c r="F781" s="204">
        <v>0.95833333333333337</v>
      </c>
      <c r="G781" s="193">
        <f>IFERROR(IF(E781&gt;F781,((F781+E376B376+1)-(E781+B786))*24,HOUR(F781-E781)+MINUTE(F781-E781)/60),"")</f>
        <v>8</v>
      </c>
      <c r="I781" s="230" t="s">
        <v>513</v>
      </c>
      <c r="J781" s="230" t="s">
        <v>141</v>
      </c>
      <c r="K781" s="176" t="s">
        <v>1000</v>
      </c>
    </row>
    <row r="782" spans="2:11" x14ac:dyDescent="0.25">
      <c r="B782" s="235">
        <v>44997</v>
      </c>
      <c r="C782" s="195">
        <v>3</v>
      </c>
      <c r="E782" s="238">
        <v>0.95833333333333337</v>
      </c>
      <c r="F782" s="280">
        <v>44998.291666666664</v>
      </c>
      <c r="G782" s="193">
        <f>IFERROR(IF(E782&gt;F782,((F782+E376B376+1)-(E782+B787))*24,HOUR(F782-E782)+MINUTE(F782-E782)/60),"")</f>
        <v>8</v>
      </c>
      <c r="I782" s="230" t="s">
        <v>513</v>
      </c>
      <c r="J782" s="230" t="s">
        <v>141</v>
      </c>
    </row>
    <row r="783" spans="2:11" x14ac:dyDescent="0.25">
      <c r="B783" s="235">
        <v>44998</v>
      </c>
      <c r="C783" s="195">
        <v>1</v>
      </c>
      <c r="E783" s="238">
        <v>0.29166666666666669</v>
      </c>
      <c r="F783" s="204">
        <v>0.625</v>
      </c>
      <c r="G783" s="193">
        <f>IFERROR(IF(E783&gt;F783,((F783+E376B376+1)-(E783+B788))*24,HOUR(F783-E783)+MINUTE(F783-E783)/60),"")</f>
        <v>8</v>
      </c>
      <c r="I783" s="230" t="s">
        <v>513</v>
      </c>
      <c r="J783" s="230" t="s">
        <v>141</v>
      </c>
    </row>
    <row r="784" spans="2:11" x14ac:dyDescent="0.25">
      <c r="B784" s="235">
        <v>44998</v>
      </c>
      <c r="C784" s="195">
        <v>2</v>
      </c>
      <c r="E784" s="238">
        <v>0.625</v>
      </c>
      <c r="F784" s="204">
        <v>0.67499999999999993</v>
      </c>
      <c r="G784" s="193">
        <f>IFERROR(IF(E784&gt;F784,((F784+E376B376+1)-(E784+B789))*24,HOUR(F784-E784)+MINUTE(F784-E784)/60),"")</f>
        <v>1.2</v>
      </c>
      <c r="H784" s="230" t="s">
        <v>55</v>
      </c>
      <c r="I784" s="230" t="s">
        <v>510</v>
      </c>
      <c r="J784" s="231" t="s">
        <v>227</v>
      </c>
      <c r="K784" s="176" t="s">
        <v>1002</v>
      </c>
    </row>
    <row r="785" spans="2:11" x14ac:dyDescent="0.25">
      <c r="B785" s="235">
        <v>44998</v>
      </c>
      <c r="C785" s="233">
        <v>2</v>
      </c>
      <c r="E785" s="238">
        <v>0.85416666666666663</v>
      </c>
      <c r="F785" s="204">
        <v>0.95833333333333337</v>
      </c>
      <c r="G785" s="193">
        <f>IFERROR(IF(E785&gt;F785,((F785+E376B376+1)-(E785+B790))*24,HOUR(F785-E785)+MINUTE(F785-E785)/60),"")</f>
        <v>2.5</v>
      </c>
      <c r="H785" s="230" t="s">
        <v>55</v>
      </c>
      <c r="I785" s="230" t="s">
        <v>510</v>
      </c>
      <c r="J785" s="231" t="s">
        <v>227</v>
      </c>
      <c r="K785" s="176" t="s">
        <v>989</v>
      </c>
    </row>
    <row r="786" spans="2:11" x14ac:dyDescent="0.25">
      <c r="B786" s="235">
        <v>44998</v>
      </c>
      <c r="C786" s="233">
        <v>3</v>
      </c>
      <c r="E786" s="238">
        <v>0.95833333333333337</v>
      </c>
      <c r="F786" s="204">
        <v>0.29166666666666669</v>
      </c>
      <c r="G786" s="193" t="str">
        <f>IFERROR(IF(E786&gt;F786,((F786+E376B376+1)-(E786+B791))*24,HOUR(F786-E786)+MINUTE(F786-E786)/60),"")</f>
        <v/>
      </c>
      <c r="H786" s="230" t="s">
        <v>55</v>
      </c>
      <c r="I786" s="230" t="s">
        <v>510</v>
      </c>
      <c r="J786" s="231" t="s">
        <v>227</v>
      </c>
      <c r="K786" s="176" t="s">
        <v>989</v>
      </c>
    </row>
    <row r="787" spans="2:11" x14ac:dyDescent="0.25">
      <c r="B787" s="235">
        <v>44999</v>
      </c>
      <c r="C787" s="233">
        <v>1</v>
      </c>
      <c r="E787" s="204">
        <v>0.29166666666666669</v>
      </c>
      <c r="F787" s="204">
        <v>0.31944444444444448</v>
      </c>
      <c r="G787" s="193">
        <f>IFERROR(IF(E787&gt;F787,((F787+E376B376+1)-(E787+B792))*24,HOUR(F787-E787)+MINUTE(F787-E787)/60),"")</f>
        <v>0.66666666666666663</v>
      </c>
      <c r="H787" s="230" t="s">
        <v>55</v>
      </c>
      <c r="I787" s="230" t="s">
        <v>510</v>
      </c>
      <c r="J787" s="231" t="s">
        <v>227</v>
      </c>
      <c r="K787" s="176" t="s">
        <v>1005</v>
      </c>
    </row>
    <row r="788" spans="2:11" x14ac:dyDescent="0.25">
      <c r="B788" s="235">
        <v>44999</v>
      </c>
      <c r="C788" s="233">
        <v>1</v>
      </c>
      <c r="E788" s="238">
        <v>0.31944444444444448</v>
      </c>
      <c r="F788" s="204">
        <v>0.3444444444444445</v>
      </c>
      <c r="G788" s="193">
        <f>IFERROR(IF(E788&gt;F788,((F788+E376B376+1)-(E788+B793))*24,HOUR(F788-E788)+MINUTE(F788-E788)/60),"")</f>
        <v>0.6</v>
      </c>
      <c r="H788" s="230" t="s">
        <v>55</v>
      </c>
      <c r="I788" s="230" t="s">
        <v>510</v>
      </c>
      <c r="J788" s="231" t="s">
        <v>227</v>
      </c>
      <c r="K788" s="176" t="s">
        <v>1004</v>
      </c>
    </row>
    <row r="789" spans="2:11" x14ac:dyDescent="0.25">
      <c r="B789" s="235">
        <v>44999</v>
      </c>
      <c r="C789" s="233">
        <v>1</v>
      </c>
      <c r="E789" s="238">
        <v>0.3444444444444445</v>
      </c>
      <c r="F789" s="204">
        <v>0.35416666666666669</v>
      </c>
      <c r="G789" s="193">
        <f>IFERROR(IF(E789&gt;F789,((F789+E376B376+1)-(E789+B794))*24,HOUR(F789-E789)+MINUTE(F789-E789)/60),"")</f>
        <v>0.23333333333333334</v>
      </c>
      <c r="H789" s="230" t="s">
        <v>55</v>
      </c>
      <c r="I789" s="230" t="s">
        <v>510</v>
      </c>
      <c r="J789" s="231" t="s">
        <v>227</v>
      </c>
      <c r="K789" s="176" t="s">
        <v>991</v>
      </c>
    </row>
    <row r="790" spans="2:11" x14ac:dyDescent="0.25">
      <c r="B790" s="235">
        <v>44999</v>
      </c>
      <c r="C790" s="233">
        <v>1</v>
      </c>
      <c r="E790" s="238">
        <v>0.40833333333333338</v>
      </c>
      <c r="F790" s="204">
        <v>0.50069444444444444</v>
      </c>
      <c r="G790" s="193">
        <f>IFERROR(IF(E790&gt;F790,((F790+E376B376+1)-(E790+B795))*24,HOUR(F790-E790)+MINUTE(F790-E790)/60),"")</f>
        <v>2.2166666666666668</v>
      </c>
      <c r="H790" s="230" t="s">
        <v>55</v>
      </c>
      <c r="I790" s="230" t="s">
        <v>510</v>
      </c>
      <c r="J790" s="231" t="s">
        <v>227</v>
      </c>
      <c r="K790" s="176" t="s">
        <v>1009</v>
      </c>
    </row>
    <row r="791" spans="2:11" x14ac:dyDescent="0.25">
      <c r="B791" s="235">
        <v>44999</v>
      </c>
      <c r="C791" s="233">
        <v>1</v>
      </c>
      <c r="E791" s="238">
        <v>0.50069444444444444</v>
      </c>
      <c r="F791" s="204">
        <v>0.51111111111111118</v>
      </c>
      <c r="G791" s="193">
        <f>IFERROR(IF(E791&gt;F791,((F791+E376B376+1)-(E791+B796))*24,HOUR(F791-E791)+MINUTE(F791-E791)/60),"")</f>
        <v>0.25</v>
      </c>
      <c r="H791" s="230" t="s">
        <v>55</v>
      </c>
      <c r="I791" s="230" t="s">
        <v>510</v>
      </c>
      <c r="J791" s="231" t="s">
        <v>227</v>
      </c>
      <c r="K791" s="176" t="s">
        <v>991</v>
      </c>
    </row>
    <row r="792" spans="2:11" x14ac:dyDescent="0.25">
      <c r="B792" s="235">
        <v>44999</v>
      </c>
      <c r="C792" s="233">
        <v>1</v>
      </c>
      <c r="E792" s="238">
        <v>0.59722222222222221</v>
      </c>
      <c r="F792" s="204">
        <v>0.625</v>
      </c>
      <c r="G792" s="193">
        <f>IFERROR(IF(E792&gt;F792,((F792+E376B376+1)-(E792+B797))*24,HOUR(F792-E792)+MINUTE(F792-E792)/60),"")</f>
        <v>0.66666666666666663</v>
      </c>
      <c r="H792" s="230" t="s">
        <v>55</v>
      </c>
      <c r="I792" s="230" t="s">
        <v>510</v>
      </c>
      <c r="J792" s="231" t="s">
        <v>227</v>
      </c>
      <c r="K792" s="176" t="s">
        <v>1011</v>
      </c>
    </row>
    <row r="793" spans="2:11" x14ac:dyDescent="0.25">
      <c r="B793" s="235">
        <v>44999</v>
      </c>
      <c r="C793" s="195">
        <v>2</v>
      </c>
      <c r="E793" s="238">
        <v>0.625</v>
      </c>
      <c r="F793" s="204">
        <v>0.66319444444444442</v>
      </c>
      <c r="G793" s="193">
        <f>IFERROR(IF(E793&gt;F793,((F793+E376B376+1)-(E793+B798))*24,HOUR(F793-E793)+MINUTE(F793-E793)/60),"")</f>
        <v>0.91666666666666663</v>
      </c>
      <c r="H793" s="230" t="s">
        <v>55</v>
      </c>
      <c r="I793" s="230" t="s">
        <v>510</v>
      </c>
      <c r="J793" s="231" t="s">
        <v>227</v>
      </c>
    </row>
    <row r="794" spans="2:11" x14ac:dyDescent="0.25">
      <c r="B794" s="235">
        <v>44999</v>
      </c>
      <c r="C794" s="195">
        <v>2</v>
      </c>
      <c r="E794" s="238">
        <v>0.87361111111111101</v>
      </c>
      <c r="F794" s="204">
        <v>0.95833333333333337</v>
      </c>
      <c r="G794" s="193">
        <f>IFERROR(IF(E794&gt;F794,((F794+E376B376+1)-(E794+B799))*24,HOUR(F794-E794)+MINUTE(F794-E794)/60),"")</f>
        <v>2.0333333333333332</v>
      </c>
      <c r="H794" s="230" t="s">
        <v>55</v>
      </c>
      <c r="I794" s="230" t="s">
        <v>510</v>
      </c>
      <c r="J794" s="231" t="s">
        <v>227</v>
      </c>
      <c r="K794" s="176" t="s">
        <v>1005</v>
      </c>
    </row>
    <row r="795" spans="2:11" x14ac:dyDescent="0.25">
      <c r="B795" s="235">
        <v>44999</v>
      </c>
      <c r="C795" s="195">
        <v>3</v>
      </c>
      <c r="E795" s="238">
        <v>0.95833333333333337</v>
      </c>
      <c r="F795" s="204">
        <v>45000.291666666664</v>
      </c>
      <c r="G795" s="193">
        <f>IFERROR(IF(E795&gt;F795,((F795+E376B376+1)-(E795+B800))*24,HOUR(F795-E795)+MINUTE(F795-E795)/60),"")</f>
        <v>8</v>
      </c>
      <c r="H795" s="230" t="s">
        <v>55</v>
      </c>
      <c r="I795" s="230" t="s">
        <v>510</v>
      </c>
      <c r="J795" s="231" t="s">
        <v>227</v>
      </c>
      <c r="K795" s="176" t="s">
        <v>1005</v>
      </c>
    </row>
    <row r="796" spans="2:11" x14ac:dyDescent="0.25">
      <c r="B796" s="235">
        <v>45000</v>
      </c>
      <c r="C796" s="195">
        <v>1</v>
      </c>
      <c r="E796" s="238">
        <v>0.29166666666666669</v>
      </c>
      <c r="F796" s="204">
        <v>0.32430555555555557</v>
      </c>
      <c r="G796" s="193">
        <f>IFERROR(IF(E796&gt;F796,((F796+E376B376+1)-(E796+B801))*24,HOUR(F796-E796)+MINUTE(F796-E796)/60),"")</f>
        <v>0.78333333333333333</v>
      </c>
      <c r="H796" s="230" t="s">
        <v>55</v>
      </c>
      <c r="I796" s="230" t="s">
        <v>510</v>
      </c>
      <c r="J796" s="231" t="s">
        <v>227</v>
      </c>
      <c r="K796" s="176" t="s">
        <v>1005</v>
      </c>
    </row>
    <row r="797" spans="2:11" x14ac:dyDescent="0.25">
      <c r="B797" s="235">
        <v>45000</v>
      </c>
      <c r="C797" s="233">
        <v>1</v>
      </c>
      <c r="E797" s="238">
        <v>0.32430555555555557</v>
      </c>
      <c r="F797" s="204">
        <v>0.33819444444444446</v>
      </c>
      <c r="G797" s="193">
        <f>IFERROR(IF(E797&gt;F797,((F797+E376B376+1)-(E797+B802))*24,HOUR(F797-E797)+MINUTE(F797-E797)/60),"")</f>
        <v>0.33333333333333331</v>
      </c>
      <c r="H797" s="230" t="s">
        <v>55</v>
      </c>
      <c r="I797" s="230" t="s">
        <v>510</v>
      </c>
      <c r="J797" s="231" t="s">
        <v>227</v>
      </c>
      <c r="K797" s="176" t="s">
        <v>1011</v>
      </c>
    </row>
    <row r="798" spans="2:11" x14ac:dyDescent="0.25">
      <c r="B798" s="235">
        <v>45000</v>
      </c>
      <c r="C798" s="233">
        <v>1</v>
      </c>
      <c r="E798" s="238">
        <v>0.42291666666666666</v>
      </c>
      <c r="F798" s="204">
        <v>0.53888888888888886</v>
      </c>
      <c r="G798" s="193">
        <f>IFERROR(IF(E798&gt;F798,((F798+E376B376+1)-(E798+B803))*24,HOUR(F798-E798)+MINUTE(F798-E798)/60),"")</f>
        <v>2.7833333333333332</v>
      </c>
      <c r="H798" s="230" t="s">
        <v>55</v>
      </c>
      <c r="I798" s="230" t="s">
        <v>510</v>
      </c>
      <c r="J798" s="231" t="s">
        <v>227</v>
      </c>
      <c r="K798" s="176" t="s">
        <v>1012</v>
      </c>
    </row>
    <row r="799" spans="2:11" x14ac:dyDescent="0.25">
      <c r="B799" s="235">
        <v>45000</v>
      </c>
      <c r="C799" s="233">
        <v>1</v>
      </c>
      <c r="E799" s="238">
        <v>0.53888888888888886</v>
      </c>
      <c r="F799" s="204">
        <v>0.55763888888888891</v>
      </c>
      <c r="G799" s="193">
        <f>IFERROR(IF(E799&gt;F799,((F799+E376B376+1)-(E799+B804))*24,HOUR(F799-E799)+MINUTE(F799-E799)/60),"")</f>
        <v>0.45</v>
      </c>
      <c r="H799" s="230" t="s">
        <v>55</v>
      </c>
      <c r="I799" s="230" t="s">
        <v>510</v>
      </c>
      <c r="J799" s="231" t="s">
        <v>227</v>
      </c>
      <c r="K799" s="176" t="s">
        <v>1011</v>
      </c>
    </row>
    <row r="800" spans="2:11" x14ac:dyDescent="0.25">
      <c r="B800" s="235">
        <v>45000</v>
      </c>
      <c r="C800" s="233">
        <v>1</v>
      </c>
      <c r="D800" s="233"/>
      <c r="E800" s="238">
        <v>0.55763888888888891</v>
      </c>
      <c r="F800" s="204">
        <v>0.56805555555555554</v>
      </c>
      <c r="G800" s="193">
        <f>IFERROR(IF(E800&gt;F800,((F800+E376B376+1)-(E800+B805))*24,HOUR(F800-E800)+MINUTE(F800-E800)/60),"")</f>
        <v>0.25</v>
      </c>
      <c r="H800" s="230" t="s">
        <v>55</v>
      </c>
      <c r="I800" s="230" t="s">
        <v>510</v>
      </c>
      <c r="J800" s="231" t="s">
        <v>227</v>
      </c>
      <c r="K800" s="176" t="s">
        <v>1011</v>
      </c>
    </row>
    <row r="801" spans="2:11" x14ac:dyDescent="0.25">
      <c r="B801" s="235">
        <v>45000</v>
      </c>
      <c r="C801" s="195">
        <v>1</v>
      </c>
      <c r="E801" s="238">
        <v>0.61458333333333337</v>
      </c>
      <c r="F801" s="204">
        <v>0.625</v>
      </c>
      <c r="G801" s="193">
        <f>IFERROR(IF(E801&gt;F801,((F801+E376B376+1)-(E801+B806))*24,HOUR(F801-E801)+MINUTE(F801-E801)/60),"")</f>
        <v>0.25</v>
      </c>
      <c r="H801" s="230" t="s">
        <v>55</v>
      </c>
      <c r="I801" s="230" t="s">
        <v>510</v>
      </c>
      <c r="J801" s="231" t="s">
        <v>227</v>
      </c>
      <c r="K801" s="176" t="s">
        <v>1011</v>
      </c>
    </row>
    <row r="802" spans="2:11" x14ac:dyDescent="0.25">
      <c r="B802" s="235">
        <v>45000</v>
      </c>
      <c r="C802" s="195">
        <v>2</v>
      </c>
      <c r="E802" s="238">
        <v>0.625</v>
      </c>
      <c r="F802" s="204">
        <v>0.65277777777777779</v>
      </c>
      <c r="G802" s="193">
        <f>IFERROR(IF(E802&gt;F802,((F802+E376B376+1)-(E802+B807))*24,HOUR(F802-E802)+MINUTE(F802-E802)/60),"")</f>
        <v>0.66666666666666663</v>
      </c>
      <c r="H802" s="230" t="s">
        <v>55</v>
      </c>
      <c r="I802" s="230" t="s">
        <v>510</v>
      </c>
      <c r="J802" s="231" t="s">
        <v>227</v>
      </c>
      <c r="K802" s="176" t="s">
        <v>1011</v>
      </c>
    </row>
    <row r="803" spans="2:11" x14ac:dyDescent="0.25">
      <c r="B803" s="235">
        <v>45000</v>
      </c>
      <c r="C803" s="195">
        <v>2</v>
      </c>
      <c r="E803" s="238">
        <v>0.86805555555555547</v>
      </c>
      <c r="F803" s="204">
        <v>0.95833333333333337</v>
      </c>
      <c r="G803" s="193">
        <f>IFERROR(IF(E803&gt;F803,((F803+E376B376+1)-(E803+B808))*24,HOUR(F803-E803)+MINUTE(F803-E803)/60),"")</f>
        <v>2.1666666666666665</v>
      </c>
      <c r="H803" s="230" t="s">
        <v>55</v>
      </c>
      <c r="I803" s="230" t="s">
        <v>510</v>
      </c>
      <c r="J803" s="231" t="s">
        <v>227</v>
      </c>
      <c r="K803" s="176" t="s">
        <v>1011</v>
      </c>
    </row>
    <row r="804" spans="2:11" x14ac:dyDescent="0.25">
      <c r="B804" s="235">
        <v>45000</v>
      </c>
      <c r="C804" s="195">
        <v>3</v>
      </c>
      <c r="E804" s="238">
        <v>0.95833333333333337</v>
      </c>
      <c r="F804" s="204">
        <v>44942.041666666664</v>
      </c>
      <c r="G804" s="193">
        <f>IFERROR(IF(E804&gt;F804,((F804+E376B376+1)-(E804+B809))*24,HOUR(F804-E804)+MINUTE(F804-E804)/60),"")</f>
        <v>2</v>
      </c>
      <c r="H804" s="230" t="s">
        <v>55</v>
      </c>
      <c r="I804" s="230" t="s">
        <v>510</v>
      </c>
      <c r="J804" s="231" t="s">
        <v>227</v>
      </c>
      <c r="K804" s="176" t="s">
        <v>1005</v>
      </c>
    </row>
    <row r="805" spans="2:11" x14ac:dyDescent="0.25">
      <c r="B805" s="235">
        <v>45000</v>
      </c>
      <c r="C805" s="195">
        <v>3</v>
      </c>
      <c r="E805" s="238">
        <v>6.5972222222222224E-2</v>
      </c>
      <c r="F805" s="204">
        <v>7.9861111111111105E-2</v>
      </c>
      <c r="G805" s="193">
        <f>IFERROR(IF(E805&gt;F805,((F805+E376B376+1)-(E805+B810))*24,HOUR(F805-E805)+MINUTE(F805-E805)/60),"")</f>
        <v>0.33333333333333331</v>
      </c>
      <c r="H805" s="230" t="s">
        <v>55</v>
      </c>
      <c r="I805" s="230" t="s">
        <v>510</v>
      </c>
      <c r="J805" s="231" t="s">
        <v>227</v>
      </c>
      <c r="K805" s="176" t="s">
        <v>1013</v>
      </c>
    </row>
    <row r="806" spans="2:11" x14ac:dyDescent="0.25">
      <c r="B806" s="235">
        <v>45000</v>
      </c>
      <c r="C806" s="195">
        <v>3</v>
      </c>
      <c r="E806" s="238">
        <v>0.11388888888888889</v>
      </c>
      <c r="F806" s="204">
        <v>0.125</v>
      </c>
      <c r="G806" s="193">
        <f>IFERROR(IF(E806&gt;F806,((F806+E376B376+1)-(E806+B811))*24,HOUR(F806-E806)+MINUTE(F806-E806)/60),"")</f>
        <v>0.26666666666666666</v>
      </c>
      <c r="H806" s="230" t="s">
        <v>55</v>
      </c>
      <c r="I806" s="230" t="s">
        <v>510</v>
      </c>
      <c r="J806" s="231" t="s">
        <v>227</v>
      </c>
      <c r="K806" s="176" t="s">
        <v>1011</v>
      </c>
    </row>
    <row r="807" spans="2:11" x14ac:dyDescent="0.25">
      <c r="B807" s="235">
        <v>45000</v>
      </c>
      <c r="C807" s="195">
        <v>3</v>
      </c>
      <c r="E807" s="238">
        <v>0.15277777777777776</v>
      </c>
      <c r="F807" s="204">
        <v>0.16527777777777777</v>
      </c>
      <c r="G807" s="193">
        <f>IFERROR(IF(E807&gt;F807,((F807+E376B376+1)-(E807+B812))*24,HOUR(F807-E807)+MINUTE(F807-E807)/60),"")</f>
        <v>0.3</v>
      </c>
      <c r="H807" s="230" t="s">
        <v>147</v>
      </c>
      <c r="I807" s="230" t="s">
        <v>513</v>
      </c>
      <c r="J807" s="231" t="s">
        <v>146</v>
      </c>
      <c r="K807" s="176" t="s">
        <v>1014</v>
      </c>
    </row>
    <row r="808" spans="2:11" x14ac:dyDescent="0.25">
      <c r="B808" s="235">
        <v>45000</v>
      </c>
      <c r="C808" s="195">
        <v>3</v>
      </c>
      <c r="E808" s="238">
        <v>0.2673611111111111</v>
      </c>
      <c r="F808" s="204">
        <v>0.29166666666666669</v>
      </c>
      <c r="G808" s="193">
        <f>IFERROR(IF(E808&gt;F808,((F808+E376B376+1)-(E808+B813))*24,HOUR(F808-E808)+MINUTE(F808-E808)/60),"")</f>
        <v>0.58333333333333337</v>
      </c>
      <c r="H808" s="230" t="s">
        <v>55</v>
      </c>
      <c r="I808" s="230" t="s">
        <v>510</v>
      </c>
      <c r="J808" s="231" t="s">
        <v>227</v>
      </c>
      <c r="K808" s="176" t="s">
        <v>1011</v>
      </c>
    </row>
    <row r="809" spans="2:11" x14ac:dyDescent="0.25">
      <c r="B809" s="235">
        <v>45001</v>
      </c>
      <c r="C809" s="195">
        <v>1</v>
      </c>
      <c r="E809" s="238">
        <v>0.29166666666666669</v>
      </c>
      <c r="F809" s="204">
        <v>0.50694444444444442</v>
      </c>
      <c r="G809" s="193">
        <f>IFERROR(IF(E809&gt;F809,((F809+E376B376+1)-(E809+B814))*24,HOUR(F809-E809)+MINUTE(F809-E809)/60),"")</f>
        <v>5.166666666666667</v>
      </c>
      <c r="H809" s="230" t="s">
        <v>55</v>
      </c>
      <c r="I809" s="230" t="s">
        <v>510</v>
      </c>
      <c r="J809" s="231" t="s">
        <v>227</v>
      </c>
      <c r="K809" s="176" t="s">
        <v>1011</v>
      </c>
    </row>
    <row r="810" spans="2:11" x14ac:dyDescent="0.25">
      <c r="B810" s="235">
        <v>45001</v>
      </c>
      <c r="C810" s="195">
        <v>1</v>
      </c>
      <c r="E810" s="238">
        <v>0.52083333333333337</v>
      </c>
      <c r="F810" s="204">
        <v>0.53125</v>
      </c>
      <c r="G810" s="193">
        <f>IFERROR(IF(E810&gt;F810,((F810+E376B376+1)-(E810+B815))*24,HOUR(F810-E810)+MINUTE(F810-E810)/60),"")</f>
        <v>0.25</v>
      </c>
      <c r="H810" s="230" t="s">
        <v>55</v>
      </c>
      <c r="I810" s="230" t="s">
        <v>510</v>
      </c>
      <c r="J810" s="231" t="s">
        <v>227</v>
      </c>
      <c r="K810" s="176" t="s">
        <v>1016</v>
      </c>
    </row>
    <row r="811" spans="2:11" x14ac:dyDescent="0.25">
      <c r="B811" s="235">
        <v>45001</v>
      </c>
      <c r="C811" s="195">
        <v>1</v>
      </c>
      <c r="E811" s="238">
        <v>0.60416666666666663</v>
      </c>
      <c r="F811" s="204">
        <v>0.625</v>
      </c>
      <c r="G811" s="193">
        <f>IFERROR(IF(E811&gt;F811,((F811+E376B376+1)-(E811+B816))*24,HOUR(F811-E811)+MINUTE(F811-E811)/60),"")</f>
        <v>0.5</v>
      </c>
      <c r="H811" s="230" t="s">
        <v>55</v>
      </c>
      <c r="I811" s="230" t="s">
        <v>510</v>
      </c>
      <c r="J811" s="231" t="s">
        <v>227</v>
      </c>
    </row>
    <row r="812" spans="2:11" x14ac:dyDescent="0.25">
      <c r="B812" s="235">
        <v>45001</v>
      </c>
      <c r="C812" s="195">
        <v>2</v>
      </c>
      <c r="E812" s="238">
        <v>0.625</v>
      </c>
      <c r="F812" s="204">
        <v>0.6875</v>
      </c>
      <c r="G812" s="193">
        <f>IFERROR(IF(E812&gt;F812,((F812+E376B376+1)-(E812+B817))*24,HOUR(F812-E812)+MINUTE(F812-E812)/60),"")</f>
        <v>1.5</v>
      </c>
      <c r="H812" s="230" t="s">
        <v>55</v>
      </c>
      <c r="I812" s="230" t="s">
        <v>510</v>
      </c>
      <c r="J812" s="231" t="s">
        <v>227</v>
      </c>
    </row>
    <row r="813" spans="2:11" x14ac:dyDescent="0.25">
      <c r="B813" s="235">
        <v>45001</v>
      </c>
      <c r="C813" s="195">
        <v>2</v>
      </c>
      <c r="E813" s="238">
        <v>0.69444444444444453</v>
      </c>
      <c r="F813" s="204">
        <v>0.71875</v>
      </c>
      <c r="G813" s="193">
        <f>IFERROR(IF(E813&gt;F813,((F813+E376B376+1)-(E813+B818))*24,HOUR(F813-E813)+MINUTE(F813-E813)/60),"")</f>
        <v>0.58333333333333337</v>
      </c>
      <c r="H813" s="230" t="s">
        <v>178</v>
      </c>
      <c r="I813" s="230" t="s">
        <v>509</v>
      </c>
      <c r="J813" s="231" t="s">
        <v>213</v>
      </c>
    </row>
    <row r="814" spans="2:11" x14ac:dyDescent="0.25">
      <c r="B814" s="235">
        <v>45001</v>
      </c>
      <c r="C814" s="195">
        <v>2</v>
      </c>
      <c r="E814" s="238">
        <v>0.9375</v>
      </c>
      <c r="F814" s="204">
        <v>0.95833333333333337</v>
      </c>
      <c r="G814" s="193">
        <f>IFERROR(IF(E814&gt;F814,((F814+E376B376+1)-(E814+B819))*24,HOUR(F814-E814)+MINUTE(F814-E814)/60),"")</f>
        <v>0.5</v>
      </c>
      <c r="H814" s="230" t="s">
        <v>55</v>
      </c>
      <c r="I814" s="230" t="s">
        <v>510</v>
      </c>
      <c r="J814" s="231" t="s">
        <v>227</v>
      </c>
      <c r="K814" s="176" t="s">
        <v>1011</v>
      </c>
    </row>
    <row r="815" spans="2:11" x14ac:dyDescent="0.25">
      <c r="B815" s="235">
        <v>45001</v>
      </c>
      <c r="C815" s="195">
        <v>3</v>
      </c>
      <c r="E815" s="238">
        <v>0.95833333333333337</v>
      </c>
      <c r="F815" s="204">
        <v>0.98749999999999993</v>
      </c>
      <c r="G815" s="193">
        <f>IFERROR(IF(E815&gt;F815,((F815+E376B376+1)-(E815+B820))*24,HOUR(F815-E815)+MINUTE(F815-E815)/60),"")</f>
        <v>0.7</v>
      </c>
      <c r="H815" s="230" t="s">
        <v>55</v>
      </c>
      <c r="I815" s="230" t="s">
        <v>510</v>
      </c>
      <c r="J815" s="231" t="s">
        <v>227</v>
      </c>
      <c r="K815" s="176" t="s">
        <v>1011</v>
      </c>
    </row>
    <row r="816" spans="2:11" x14ac:dyDescent="0.25">
      <c r="B816" s="235">
        <v>45001</v>
      </c>
      <c r="C816" s="195">
        <v>3</v>
      </c>
      <c r="E816" s="238">
        <v>0.13680555555555554</v>
      </c>
      <c r="F816" s="204">
        <v>0.14722222222222223</v>
      </c>
      <c r="G816" s="193">
        <f>IFERROR(IF(E816&gt;F816,((F816+E376B376+1)-(E816+B821))*24,HOUR(F816-E816)+MINUTE(F816-E816)/60),"")</f>
        <v>0.25</v>
      </c>
      <c r="H816" s="230" t="s">
        <v>147</v>
      </c>
      <c r="I816" s="339" t="s">
        <v>513</v>
      </c>
      <c r="J816" s="231" t="s">
        <v>146</v>
      </c>
      <c r="K816" s="176" t="s">
        <v>1017</v>
      </c>
    </row>
    <row r="817" spans="2:11" x14ac:dyDescent="0.25">
      <c r="B817" s="235">
        <v>45001</v>
      </c>
      <c r="C817" s="233">
        <v>3</v>
      </c>
      <c r="E817" s="238">
        <v>0.24722222222222223</v>
      </c>
      <c r="F817" s="204">
        <v>0.28125</v>
      </c>
      <c r="G817" s="193">
        <f>IFERROR(IF(E817&gt;F817,((F817+E376B376+1)-(E817+B822))*24,HOUR(F817-E817)+MINUTE(F817-E817)/60),"")</f>
        <v>0.81666666666666665</v>
      </c>
      <c r="H817" s="230" t="s">
        <v>187</v>
      </c>
      <c r="I817" s="230" t="s">
        <v>511</v>
      </c>
      <c r="J817" s="231" t="s">
        <v>200</v>
      </c>
    </row>
    <row r="818" spans="2:11" x14ac:dyDescent="0.25">
      <c r="B818" s="235">
        <v>45001</v>
      </c>
      <c r="C818" s="233">
        <v>3</v>
      </c>
      <c r="E818" s="238">
        <v>0.28125</v>
      </c>
      <c r="F818" s="204">
        <v>0.29166666666666669</v>
      </c>
      <c r="G818" s="193">
        <f>IFERROR(IF(E818&gt;F818,((F818+E376B376+1)-(E818+B823))*24,HOUR(F818-E818)+MINUTE(F818-E818)/60),"")</f>
        <v>0.25</v>
      </c>
      <c r="H818" s="230" t="s">
        <v>187</v>
      </c>
      <c r="I818" s="230" t="s">
        <v>509</v>
      </c>
      <c r="J818" s="231" t="s">
        <v>110</v>
      </c>
    </row>
    <row r="819" spans="2:11" x14ac:dyDescent="0.25">
      <c r="B819" s="235">
        <v>45002</v>
      </c>
      <c r="C819" s="195">
        <v>1</v>
      </c>
      <c r="E819" s="238">
        <v>0.29166666666666669</v>
      </c>
      <c r="F819" s="204">
        <v>0.33333333333333331</v>
      </c>
      <c r="G819" s="193">
        <f>IFERROR(IF(E819&gt;F819,((F819+E376B376+1)-(E819+B824))*24,HOUR(F819-E819)+MINUTE(F819-E819)/60),"")</f>
        <v>1</v>
      </c>
      <c r="H819" s="230" t="s">
        <v>187</v>
      </c>
      <c r="I819" s="230" t="s">
        <v>509</v>
      </c>
      <c r="J819" s="231" t="s">
        <v>110</v>
      </c>
    </row>
    <row r="820" spans="2:11" x14ac:dyDescent="0.25">
      <c r="B820" s="235">
        <v>45002</v>
      </c>
      <c r="C820" s="233">
        <v>1</v>
      </c>
      <c r="E820" s="238">
        <v>0.33333333333333331</v>
      </c>
      <c r="F820" s="204">
        <v>0.39930555555555558</v>
      </c>
      <c r="G820" s="193">
        <f>IFERROR(IF(E820&gt;F820,((F820+E376B376+1)-(E820+B825))*24,HOUR(F820-E820)+MINUTE(F820-E820)/60),"")</f>
        <v>1.5833333333333335</v>
      </c>
      <c r="H820" s="230" t="s">
        <v>204</v>
      </c>
      <c r="I820" s="230" t="s">
        <v>509</v>
      </c>
      <c r="J820" s="231" t="s">
        <v>114</v>
      </c>
    </row>
    <row r="821" spans="2:11" x14ac:dyDescent="0.25">
      <c r="B821" s="235">
        <v>45002</v>
      </c>
      <c r="C821" s="233">
        <v>1</v>
      </c>
      <c r="E821" s="238">
        <v>0.39930555555555558</v>
      </c>
      <c r="F821" s="204">
        <v>0.4069444444444445</v>
      </c>
      <c r="G821" s="193">
        <f>IFERROR(IF(E821&gt;F821,((F821+E376B376+1)-(E821+B826))*24,HOUR(F821-E821)+MINUTE(F821-E821)/60),"")</f>
        <v>0.18333333333333332</v>
      </c>
      <c r="H821" s="230" t="s">
        <v>195</v>
      </c>
      <c r="I821" s="230" t="s">
        <v>509</v>
      </c>
      <c r="J821" s="231" t="s">
        <v>552</v>
      </c>
    </row>
    <row r="822" spans="2:11" x14ac:dyDescent="0.25">
      <c r="B822" s="235">
        <v>45002</v>
      </c>
      <c r="C822" s="233">
        <v>1</v>
      </c>
      <c r="E822" s="238">
        <v>0.4069444444444445</v>
      </c>
      <c r="F822" s="204">
        <v>0.4201388888888889</v>
      </c>
      <c r="G822" s="193">
        <f>IFERROR(IF(E822&gt;F822,((F822+E376B376+1)-(E822+B827))*24,HOUR(F822-E822)+MINUTE(F822-E822)/60),"")</f>
        <v>0.31666666666666665</v>
      </c>
      <c r="H822" s="230" t="s">
        <v>55</v>
      </c>
      <c r="I822" s="230" t="s">
        <v>510</v>
      </c>
      <c r="J822" s="231" t="s">
        <v>227</v>
      </c>
      <c r="K822" s="176" t="s">
        <v>1018</v>
      </c>
    </row>
    <row r="823" spans="2:11" x14ac:dyDescent="0.25">
      <c r="B823" s="235">
        <v>45002</v>
      </c>
      <c r="C823" s="233">
        <v>1</v>
      </c>
      <c r="E823" s="238">
        <v>0.50277777777777777</v>
      </c>
      <c r="F823" s="204">
        <v>0.5131944444444444</v>
      </c>
      <c r="G823" s="193">
        <f>IFERROR(IF(E823&gt;F823,((F823+E376B376+1)-(E823+B828))*24,HOUR(F823-E823)+MINUTE(F823-E823)/60),"")</f>
        <v>0.25</v>
      </c>
      <c r="H823" s="230" t="s">
        <v>195</v>
      </c>
      <c r="I823" s="230" t="s">
        <v>509</v>
      </c>
      <c r="J823" s="231" t="s">
        <v>110</v>
      </c>
    </row>
    <row r="824" spans="2:11" x14ac:dyDescent="0.25">
      <c r="B824" s="235">
        <v>45002</v>
      </c>
      <c r="C824" s="233">
        <v>1</v>
      </c>
      <c r="E824" s="238">
        <v>0.60555555555555551</v>
      </c>
      <c r="F824" s="204">
        <v>0.625</v>
      </c>
      <c r="G824" s="193">
        <f>IFERROR(IF(E824&gt;F824,((F824+E376B376+1)-(E824+B829))*24,HOUR(F824-E824)+MINUTE(F824-E824)/60),"")</f>
        <v>0.46666666666666667</v>
      </c>
      <c r="H824" s="230" t="s">
        <v>55</v>
      </c>
      <c r="I824" s="230" t="s">
        <v>510</v>
      </c>
      <c r="J824" s="231" t="s">
        <v>227</v>
      </c>
      <c r="K824" s="176" t="s">
        <v>1011</v>
      </c>
    </row>
    <row r="825" spans="2:11" x14ac:dyDescent="0.25">
      <c r="B825" s="235">
        <v>45002</v>
      </c>
      <c r="C825" s="195">
        <v>2</v>
      </c>
      <c r="E825" s="238">
        <v>0.625</v>
      </c>
      <c r="F825" s="204">
        <v>0.65625</v>
      </c>
      <c r="G825" s="193">
        <f>IFERROR(IF(E825&gt;F825,((F825+E376B376+1)-(E825+B830))*24,HOUR(F825-E825)+MINUTE(F825-E825)/60),"")</f>
        <v>0.75</v>
      </c>
      <c r="H825" s="230" t="s">
        <v>55</v>
      </c>
      <c r="I825" s="230" t="s">
        <v>510</v>
      </c>
      <c r="J825" s="231" t="s">
        <v>227</v>
      </c>
      <c r="K825" s="176" t="s">
        <v>1011</v>
      </c>
    </row>
    <row r="826" spans="2:11" x14ac:dyDescent="0.25">
      <c r="B826" s="235">
        <v>45002</v>
      </c>
      <c r="C826" s="195">
        <v>2</v>
      </c>
      <c r="E826" s="238">
        <v>0.68402777777777779</v>
      </c>
      <c r="F826" s="204">
        <v>0.69444444444444453</v>
      </c>
      <c r="G826" s="193">
        <f>IFERROR(IF(E826&gt;F826,((F826+E376B376+1)-(E826+B831))*24,HOUR(F826-E826)+MINUTE(F826-E826)/60),"")</f>
        <v>0.25</v>
      </c>
      <c r="H826" s="230" t="s">
        <v>55</v>
      </c>
      <c r="I826" s="230" t="s">
        <v>510</v>
      </c>
      <c r="J826" s="231" t="s">
        <v>227</v>
      </c>
      <c r="K826" s="176" t="s">
        <v>1011</v>
      </c>
    </row>
    <row r="827" spans="2:11" x14ac:dyDescent="0.25">
      <c r="B827" s="235">
        <v>45002</v>
      </c>
      <c r="C827" s="195">
        <v>2</v>
      </c>
      <c r="E827" s="238">
        <v>0.79166666666666663</v>
      </c>
      <c r="F827" s="204">
        <v>0.80902777777777779</v>
      </c>
      <c r="G827" s="193">
        <f>IFERROR(IF(E827&gt;F827,((F827+E376B376+1)-(E827+B832))*24,HOUR(F827-E827)+MINUTE(F827-E827)/60),"")</f>
        <v>0.41666666666666669</v>
      </c>
      <c r="H827" s="230" t="s">
        <v>55</v>
      </c>
      <c r="I827" s="230" t="s">
        <v>510</v>
      </c>
      <c r="J827" s="231" t="s">
        <v>227</v>
      </c>
      <c r="K827" s="176" t="s">
        <v>1011</v>
      </c>
    </row>
    <row r="828" spans="2:11" x14ac:dyDescent="0.25">
      <c r="B828" s="235">
        <v>45002</v>
      </c>
      <c r="C828" s="195">
        <v>2</v>
      </c>
      <c r="E828" s="238">
        <v>0.94444444444444453</v>
      </c>
      <c r="F828" s="204">
        <v>0.95833333333333337</v>
      </c>
      <c r="G828" s="193">
        <f>IFERROR(IF(E828&gt;F828,((F828+E376B376+1)-(E828+B833))*24,HOUR(F828-E828)+MINUTE(F828-E828)/60),"")</f>
        <v>0.33333333333333331</v>
      </c>
      <c r="H828" s="230" t="s">
        <v>55</v>
      </c>
      <c r="I828" s="230" t="s">
        <v>509</v>
      </c>
      <c r="J828" s="231" t="s">
        <v>203</v>
      </c>
    </row>
    <row r="829" spans="2:11" x14ac:dyDescent="0.25">
      <c r="B829" s="235">
        <v>45002</v>
      </c>
      <c r="C829" s="195">
        <v>3</v>
      </c>
      <c r="E829" s="238">
        <v>0.95833333333333337</v>
      </c>
      <c r="F829" s="204">
        <v>0.96527777777777779</v>
      </c>
      <c r="G829" s="193">
        <f>IFERROR(IF(E829&gt;F829,((F829+E376B376+1)-(E829+B834))*24,HOUR(F829-E829)+MINUTE(F829-E829)/60),"")</f>
        <v>0.16666666666666666</v>
      </c>
      <c r="H829" s="230" t="s">
        <v>55</v>
      </c>
      <c r="I829" s="230" t="s">
        <v>509</v>
      </c>
      <c r="J829" s="231" t="s">
        <v>203</v>
      </c>
    </row>
    <row r="830" spans="2:11" x14ac:dyDescent="0.25">
      <c r="B830" s="235">
        <v>45002</v>
      </c>
      <c r="C830" s="195">
        <v>3</v>
      </c>
      <c r="E830" s="238">
        <v>1.9444444444444445E-2</v>
      </c>
      <c r="F830" s="204">
        <v>3.125E-2</v>
      </c>
      <c r="G830" s="193">
        <f>IFERROR(IF(E830&gt;F830,((F830+E376B376+1)-(E830+B835))*24,HOUR(F830-E830)+MINUTE(F830-E830)/60),"")</f>
        <v>0.28333333333333333</v>
      </c>
      <c r="H830" s="230" t="s">
        <v>55</v>
      </c>
      <c r="I830" s="230" t="s">
        <v>509</v>
      </c>
      <c r="J830" s="231" t="s">
        <v>203</v>
      </c>
    </row>
    <row r="831" spans="2:11" x14ac:dyDescent="0.25">
      <c r="B831" s="235">
        <v>45002</v>
      </c>
      <c r="C831" s="195">
        <v>3</v>
      </c>
      <c r="E831" s="238">
        <v>6.458333333333334E-2</v>
      </c>
      <c r="F831" s="204">
        <v>7.4999999999999997E-2</v>
      </c>
      <c r="G831" s="193">
        <f>IFERROR(IF(E831&gt;F831,((F831+E376B376+1)-(E831+B836))*24,HOUR(F831-E831)+MINUTE(F831-E831)/60),"")</f>
        <v>0.25</v>
      </c>
      <c r="H831" s="230" t="s">
        <v>55</v>
      </c>
      <c r="I831" s="230" t="s">
        <v>509</v>
      </c>
      <c r="J831" s="231" t="s">
        <v>203</v>
      </c>
    </row>
    <row r="832" spans="2:11" x14ac:dyDescent="0.25">
      <c r="B832" s="235">
        <v>45002</v>
      </c>
      <c r="C832" s="195">
        <v>3</v>
      </c>
      <c r="E832" s="238">
        <v>0.24652777777777779</v>
      </c>
      <c r="F832" s="204">
        <v>0.25694444444444448</v>
      </c>
      <c r="G832" s="193">
        <f>IFERROR(IF(E832&gt;F832,((F832+E376B376+1)-(E832+B837))*24,HOUR(F832-E832)+MINUTE(F832-E832)/60),"")</f>
        <v>0.25</v>
      </c>
      <c r="H832" s="230" t="s">
        <v>55</v>
      </c>
      <c r="I832" s="230" t="s">
        <v>509</v>
      </c>
      <c r="J832" s="231" t="s">
        <v>203</v>
      </c>
    </row>
    <row r="833" spans="2:11" x14ac:dyDescent="0.25">
      <c r="B833" s="235">
        <v>45002</v>
      </c>
      <c r="C833" s="195">
        <v>3</v>
      </c>
      <c r="D833" s="238">
        <v>0.27777777777777779</v>
      </c>
      <c r="E833" s="238">
        <v>0.27777777777777779</v>
      </c>
      <c r="F833" s="204">
        <v>0.29166666666666669</v>
      </c>
      <c r="G833" s="193">
        <f>IFERROR(IF(E833&gt;F833,((F833+E376B376+1)-(E833+B838))*24,HOUR(F833-E833)+MINUTE(F833-E833)/60),"")</f>
        <v>0.33333333333333331</v>
      </c>
      <c r="H833" s="230" t="s">
        <v>55</v>
      </c>
      <c r="I833" s="230" t="s">
        <v>509</v>
      </c>
      <c r="J833" s="231" t="s">
        <v>114</v>
      </c>
    </row>
    <row r="834" spans="2:11" x14ac:dyDescent="0.25">
      <c r="B834" s="235">
        <v>45003</v>
      </c>
      <c r="C834" s="195">
        <v>1</v>
      </c>
      <c r="E834" s="238">
        <v>0.29166666666666669</v>
      </c>
      <c r="F834" s="204">
        <v>0.30486111111111108</v>
      </c>
      <c r="G834" s="193">
        <f>IFERROR(IF(E834&gt;F834,((F834+E376B376+1)-(E834+B839))*24,HOUR(F834-E834)+MINUTE(F834-E834)/60),"")</f>
        <v>0.31666666666666665</v>
      </c>
      <c r="I834" s="230" t="s">
        <v>513</v>
      </c>
      <c r="J834" s="231" t="s">
        <v>141</v>
      </c>
      <c r="K834" s="176" t="s">
        <v>1021</v>
      </c>
    </row>
    <row r="835" spans="2:11" x14ac:dyDescent="0.25">
      <c r="B835" s="235">
        <v>45003</v>
      </c>
      <c r="C835" s="233">
        <v>1</v>
      </c>
      <c r="E835" s="238">
        <v>0.38125000000000003</v>
      </c>
      <c r="F835" s="204">
        <v>0.58958333333333335</v>
      </c>
      <c r="G835" s="193">
        <f>IFERROR(IF(E835&gt;F835,((F835+E376B376+1)-(E835+B840))*24,HOUR(F835-E835)+MINUTE(F835-E835)/60),"")</f>
        <v>5</v>
      </c>
      <c r="H835" s="230" t="s">
        <v>1025</v>
      </c>
      <c r="I835" s="230" t="s">
        <v>509</v>
      </c>
      <c r="J835" s="231" t="s">
        <v>126</v>
      </c>
      <c r="K835" s="176" t="s">
        <v>1026</v>
      </c>
    </row>
    <row r="836" spans="2:11" x14ac:dyDescent="0.25">
      <c r="B836" s="235">
        <v>45003</v>
      </c>
      <c r="C836" s="233">
        <v>1</v>
      </c>
      <c r="E836" s="238">
        <v>0.59930555555555554</v>
      </c>
      <c r="F836" s="204">
        <v>0.60972222222222217</v>
      </c>
      <c r="G836" s="193">
        <f>IFERROR(IF(E836&gt;F836,((F836+E376B376+1)-(E836+B841))*24,HOUR(F836-E836)+MINUTE(F836-E836)/60),"")</f>
        <v>0.25</v>
      </c>
      <c r="H836" s="230" t="s">
        <v>55</v>
      </c>
      <c r="I836" s="230" t="s">
        <v>511</v>
      </c>
      <c r="J836" s="231" t="s">
        <v>203</v>
      </c>
      <c r="K836" s="279" t="s">
        <v>1027</v>
      </c>
    </row>
    <row r="837" spans="2:11" x14ac:dyDescent="0.25">
      <c r="B837" s="235">
        <v>45003</v>
      </c>
      <c r="C837" s="195">
        <v>2</v>
      </c>
      <c r="E837" s="238">
        <v>0.94097222222222221</v>
      </c>
      <c r="F837" s="204">
        <v>0.95624999999999993</v>
      </c>
      <c r="G837" s="193">
        <f>IFERROR(IF(E837&gt;F837,((F837+E376B376+1)-(E837+B842))*24,HOUR(F837-E837)+MINUTE(F837-E837)/60),"")</f>
        <v>0.36666666666666664</v>
      </c>
      <c r="H837" s="230" t="s">
        <v>55</v>
      </c>
      <c r="I837" s="230" t="s">
        <v>511</v>
      </c>
      <c r="J837" s="231" t="s">
        <v>203</v>
      </c>
      <c r="K837" s="176" t="s">
        <v>1030</v>
      </c>
    </row>
    <row r="838" spans="2:11" x14ac:dyDescent="0.25">
      <c r="B838" s="235">
        <v>45003</v>
      </c>
      <c r="C838" s="195">
        <v>3</v>
      </c>
      <c r="E838" s="238">
        <v>0.9916666666666667</v>
      </c>
      <c r="F838" s="204">
        <v>45004.002083333333</v>
      </c>
      <c r="G838" s="193">
        <f>IFERROR(IF(E838&gt;F838,((F838+E376B376+1)-(E838+B843))*24,HOUR(F838-E838)+MINUTE(F838-E838)/60),"")</f>
        <v>0.25</v>
      </c>
      <c r="H838" s="230" t="s">
        <v>55</v>
      </c>
      <c r="I838" s="230" t="s">
        <v>511</v>
      </c>
      <c r="J838" s="231" t="s">
        <v>203</v>
      </c>
      <c r="K838" s="176" t="s">
        <v>1030</v>
      </c>
    </row>
    <row r="839" spans="2:11" x14ac:dyDescent="0.25">
      <c r="B839" s="235">
        <v>45003</v>
      </c>
      <c r="C839" s="233">
        <v>3</v>
      </c>
      <c r="E839" s="238">
        <v>4.8611111111111112E-2</v>
      </c>
      <c r="F839" s="204">
        <v>9.5138888888888884E-2</v>
      </c>
      <c r="G839" s="193">
        <f>IFERROR(IF(E839&gt;F839,((F839+E376B376+1)-(E839+B844))*24,HOUR(F839-E839)+MINUTE(F839-E839)/60),"")</f>
        <v>1.1166666666666667</v>
      </c>
      <c r="H839" s="230" t="s">
        <v>55</v>
      </c>
      <c r="I839" s="230" t="s">
        <v>510</v>
      </c>
      <c r="J839" s="231" t="s">
        <v>227</v>
      </c>
      <c r="K839" s="176" t="s">
        <v>1029</v>
      </c>
    </row>
    <row r="840" spans="2:11" x14ac:dyDescent="0.25">
      <c r="B840" s="235">
        <v>45003</v>
      </c>
      <c r="C840" s="195">
        <v>3</v>
      </c>
      <c r="E840" s="238">
        <v>0.26944444444444443</v>
      </c>
      <c r="F840" s="204">
        <v>0.29166666666666669</v>
      </c>
      <c r="G840" s="193">
        <f>IFERROR(IF(E840&gt;F840,((F840+E376B376+1)-(E840+B845))*24,HOUR(F840-E840)+MINUTE(F840-E840)/60),"")</f>
        <v>0.53333333333333333</v>
      </c>
      <c r="H840" s="230" t="s">
        <v>55</v>
      </c>
      <c r="I840" s="230" t="s">
        <v>509</v>
      </c>
      <c r="J840" s="231" t="s">
        <v>114</v>
      </c>
    </row>
    <row r="841" spans="2:11" x14ac:dyDescent="0.25">
      <c r="B841" s="235">
        <v>45004</v>
      </c>
      <c r="C841" s="195">
        <v>1</v>
      </c>
      <c r="E841" s="238">
        <v>0.375</v>
      </c>
      <c r="F841" s="204">
        <v>0.38750000000000001</v>
      </c>
      <c r="G841" s="193">
        <f>IFERROR(IF(E841&gt;F841,((F841+E376B376+1)-(E841+B846))*24,HOUR(F841-E841)+MINUTE(F841-E841)/60),"")</f>
        <v>0.3</v>
      </c>
      <c r="H841" s="230" t="s">
        <v>55</v>
      </c>
      <c r="I841" s="230" t="s">
        <v>509</v>
      </c>
      <c r="J841" s="231" t="s">
        <v>203</v>
      </c>
    </row>
    <row r="842" spans="2:11" x14ac:dyDescent="0.25">
      <c r="B842" s="235">
        <v>45004</v>
      </c>
      <c r="C842" s="233">
        <v>1</v>
      </c>
      <c r="E842" s="238">
        <v>0.4055555555555555</v>
      </c>
      <c r="F842" s="204">
        <v>0.41736111111111113</v>
      </c>
      <c r="G842" s="193">
        <f>IFERROR(IF(E842&gt;F842,((F842+E376B376+1)-(E842+B847))*24,HOUR(F842-E842)+MINUTE(F842-E842)/60),"")</f>
        <v>0.28333333333333333</v>
      </c>
      <c r="H842" s="230" t="s">
        <v>55</v>
      </c>
      <c r="I842" s="230" t="s">
        <v>509</v>
      </c>
      <c r="J842" s="231" t="s">
        <v>203</v>
      </c>
    </row>
    <row r="843" spans="2:11" x14ac:dyDescent="0.25">
      <c r="B843" s="235">
        <v>45004</v>
      </c>
      <c r="C843" s="233">
        <v>1</v>
      </c>
      <c r="E843" s="238">
        <v>0.46597222222222223</v>
      </c>
      <c r="F843" s="204">
        <v>0.47916666666666669</v>
      </c>
      <c r="G843" s="193">
        <f>IFERROR(IF(E843&gt;F843,((F843+E376B376+1)-(E843+B848))*24,HOUR(F843-E843)+MINUTE(F843-E843)/60),"")</f>
        <v>0.31666666666666665</v>
      </c>
      <c r="H843" s="230" t="s">
        <v>55</v>
      </c>
      <c r="I843" s="230" t="s">
        <v>509</v>
      </c>
      <c r="J843" s="231" t="s">
        <v>598</v>
      </c>
      <c r="K843" s="176" t="s">
        <v>1033</v>
      </c>
    </row>
    <row r="844" spans="2:11" x14ac:dyDescent="0.25">
      <c r="B844" s="235">
        <v>45004</v>
      </c>
      <c r="C844" s="233">
        <v>1</v>
      </c>
      <c r="E844" s="238">
        <v>0.60763888888888895</v>
      </c>
      <c r="F844" s="204">
        <v>0.625</v>
      </c>
      <c r="G844" s="193">
        <f>IFERROR(IF(E844&gt;F844,((F844+E376B376+1)-(E844+B849))*24,HOUR(F844-E844)+MINUTE(F844-E844)/60),"")</f>
        <v>0.41666666666666669</v>
      </c>
      <c r="H844" s="230" t="s">
        <v>55</v>
      </c>
      <c r="I844" s="230" t="s">
        <v>509</v>
      </c>
      <c r="J844" s="231" t="s">
        <v>114</v>
      </c>
    </row>
    <row r="845" spans="2:11" x14ac:dyDescent="0.25">
      <c r="B845" s="235">
        <v>45004</v>
      </c>
      <c r="C845" s="195">
        <v>2</v>
      </c>
      <c r="E845" s="238">
        <v>0.625</v>
      </c>
      <c r="F845" s="204">
        <v>0.64236111111111105</v>
      </c>
      <c r="G845" s="193">
        <f>IFERROR(IF(E845&gt;F845,((F845+E376B376+1)-(E845+B850))*24,HOUR(F845-E845)+MINUTE(F845-E845)/60),"")</f>
        <v>0.41666666666666669</v>
      </c>
      <c r="H845" s="230" t="s">
        <v>55</v>
      </c>
      <c r="I845" s="230" t="s">
        <v>509</v>
      </c>
      <c r="J845" s="231" t="s">
        <v>114</v>
      </c>
    </row>
    <row r="846" spans="2:11" x14ac:dyDescent="0.25">
      <c r="B846" s="235">
        <v>45004</v>
      </c>
      <c r="C846" s="195">
        <v>2</v>
      </c>
      <c r="E846" s="238">
        <v>0.82291666666666663</v>
      </c>
      <c r="F846" s="204">
        <v>0.86805555555555547</v>
      </c>
      <c r="G846" s="193">
        <f>IFERROR(IF(E846&gt;F846,((F846+E376B376+1)-(E846+B851))*24,HOUR(F846-E846)+MINUTE(F846-E846)/60),"")</f>
        <v>1.0833333333333333</v>
      </c>
      <c r="H846" s="230" t="s">
        <v>55</v>
      </c>
      <c r="I846" s="230" t="s">
        <v>510</v>
      </c>
      <c r="J846" s="231" t="s">
        <v>117</v>
      </c>
    </row>
    <row r="847" spans="2:11" x14ac:dyDescent="0.25">
      <c r="B847" s="235">
        <v>45004</v>
      </c>
      <c r="C847" s="233">
        <v>2</v>
      </c>
      <c r="E847" s="238">
        <v>0.94236111111111109</v>
      </c>
      <c r="F847" s="204">
        <v>0.95833333333333337</v>
      </c>
      <c r="G847" s="193">
        <f>IFERROR(IF(E847&gt;F847,((F847+E376B376+1)-(E847+B852))*24,HOUR(F847-E847)+MINUTE(F847-E847)/60),"")</f>
        <v>0.38333333333333336</v>
      </c>
      <c r="H847" s="230" t="s">
        <v>55</v>
      </c>
      <c r="I847" s="230" t="s">
        <v>509</v>
      </c>
      <c r="J847" s="231" t="s">
        <v>114</v>
      </c>
    </row>
    <row r="848" spans="2:11" x14ac:dyDescent="0.25">
      <c r="B848" s="235">
        <v>45004</v>
      </c>
      <c r="C848" s="233">
        <v>3</v>
      </c>
      <c r="E848" s="238">
        <v>0.9819444444444444</v>
      </c>
      <c r="F848" s="204">
        <v>0.9916666666666667</v>
      </c>
      <c r="G848" s="193">
        <f>IFERROR(IF(E848&gt;F848,((F848+E376B376+1)-(E848+B853))*24,HOUR(F848-E848)+MINUTE(F848-E848)/60),"")</f>
        <v>0.23333333333333334</v>
      </c>
      <c r="H848" s="230" t="s">
        <v>55</v>
      </c>
      <c r="I848" s="230" t="s">
        <v>509</v>
      </c>
      <c r="J848" s="231" t="s">
        <v>211</v>
      </c>
    </row>
    <row r="849" spans="2:11" x14ac:dyDescent="0.25">
      <c r="B849" s="235">
        <v>45004</v>
      </c>
      <c r="C849" s="233">
        <v>3</v>
      </c>
      <c r="E849" s="238">
        <v>6.9444444444444441E-3</v>
      </c>
      <c r="F849" s="204">
        <v>2.013888888888889E-2</v>
      </c>
      <c r="G849" s="193">
        <f>IFERROR(IF(E849&gt;F849,((F849+E376B376+1)-(E849+B854))*24,HOUR(F849-E849)+MINUTE(F849-E849)/60),"")</f>
        <v>0.31666666666666665</v>
      </c>
      <c r="H849" s="230" t="s">
        <v>55</v>
      </c>
      <c r="I849" s="230" t="s">
        <v>509</v>
      </c>
      <c r="J849" s="231" t="s">
        <v>213</v>
      </c>
    </row>
    <row r="850" spans="2:11" x14ac:dyDescent="0.25">
      <c r="B850" s="235">
        <v>45004</v>
      </c>
      <c r="C850" s="233">
        <v>3</v>
      </c>
      <c r="E850" s="238">
        <v>6.3888888888888884E-2</v>
      </c>
      <c r="F850" s="204">
        <v>7.4305555555555555E-2</v>
      </c>
      <c r="G850" s="193">
        <f>IFERROR(IF(E850&gt;F850,((F850+E376B376+1)-(E850+B855))*24,HOUR(F850-E850)+MINUTE(F850-E850)/60),"")</f>
        <v>0.25</v>
      </c>
      <c r="H850" s="230" t="s">
        <v>55</v>
      </c>
      <c r="I850" s="230" t="s">
        <v>509</v>
      </c>
      <c r="J850" s="231" t="s">
        <v>203</v>
      </c>
    </row>
    <row r="851" spans="2:11" x14ac:dyDescent="0.25">
      <c r="B851" s="235">
        <v>45004</v>
      </c>
      <c r="C851" s="233">
        <v>3</v>
      </c>
      <c r="E851" s="238">
        <v>0.27638888888888885</v>
      </c>
      <c r="F851" s="280">
        <v>0.29166666666666669</v>
      </c>
      <c r="G851" s="193">
        <f>IFERROR(IF(E851&gt;F851,((F851+E376B376+1)-(E851+B856))*24,HOUR(F851-E851)+MINUTE(F851-E851)/60),"")</f>
        <v>0.36666666666666664</v>
      </c>
      <c r="H851" s="230" t="s">
        <v>55</v>
      </c>
      <c r="I851" s="230" t="s">
        <v>509</v>
      </c>
      <c r="J851" s="231" t="s">
        <v>114</v>
      </c>
    </row>
    <row r="852" spans="2:11" x14ac:dyDescent="0.25">
      <c r="B852" s="235">
        <v>45005</v>
      </c>
      <c r="C852" s="195">
        <v>1</v>
      </c>
      <c r="E852" s="238">
        <v>0.29166666666666669</v>
      </c>
      <c r="F852" s="204">
        <v>0.2951388888888889</v>
      </c>
      <c r="G852" s="193">
        <f>IFERROR(IF(E852&gt;F852,((F852+E376B376+1)-(E852+B857))*24,HOUR(F852-E852)+MINUTE(F852-E852)/60),"")</f>
        <v>8.3333333333333329E-2</v>
      </c>
      <c r="H852" s="230" t="s">
        <v>55</v>
      </c>
      <c r="I852" s="230" t="s">
        <v>509</v>
      </c>
      <c r="J852" s="231" t="s">
        <v>114</v>
      </c>
    </row>
    <row r="853" spans="2:11" x14ac:dyDescent="0.25">
      <c r="B853" s="235">
        <v>45005</v>
      </c>
      <c r="C853" s="195">
        <v>1</v>
      </c>
      <c r="E853" s="238">
        <v>0.30208333333333331</v>
      </c>
      <c r="F853" s="204">
        <v>0.3125</v>
      </c>
      <c r="G853" s="193">
        <f>IFERROR(IF(E853&gt;F853,((F853+E376B376+1)-(E853+B858))*24,HOUR(F853-E853)+MINUTE(F853-E853)/60),"")</f>
        <v>0.25</v>
      </c>
      <c r="H853" s="230" t="s">
        <v>55</v>
      </c>
      <c r="I853" s="230" t="s">
        <v>510</v>
      </c>
      <c r="J853" s="231" t="s">
        <v>517</v>
      </c>
    </row>
    <row r="854" spans="2:11" x14ac:dyDescent="0.25">
      <c r="B854" s="235">
        <v>45005</v>
      </c>
      <c r="C854" s="195">
        <v>1</v>
      </c>
      <c r="E854" s="238">
        <v>0.3263888888888889</v>
      </c>
      <c r="F854" s="204">
        <v>0.36805555555555558</v>
      </c>
      <c r="G854" s="193">
        <f>IFERROR(IF(E854&gt;F854,((F854+E376B376+1)-(E854+B859))*24,HOUR(F854-E854)+MINUTE(F854-E854)/60),"")</f>
        <v>1</v>
      </c>
      <c r="H854" s="230" t="s">
        <v>55</v>
      </c>
      <c r="I854" s="230" t="s">
        <v>510</v>
      </c>
      <c r="J854" s="231" t="s">
        <v>517</v>
      </c>
    </row>
    <row r="855" spans="2:11" x14ac:dyDescent="0.25">
      <c r="B855" s="235">
        <v>45005</v>
      </c>
      <c r="C855" s="195">
        <v>1</v>
      </c>
      <c r="E855" s="238">
        <v>0.40972222222222227</v>
      </c>
      <c r="F855" s="204">
        <v>0.42083333333333334</v>
      </c>
      <c r="G855" s="193">
        <f>IFERROR(IF(E855&gt;F855,((F855+E376B376+1)-(E855+B860))*24,HOUR(F855-E855)+MINUTE(F855-E855)/60),"")</f>
        <v>0.26666666666666666</v>
      </c>
      <c r="H855" s="230" t="s">
        <v>55</v>
      </c>
      <c r="I855" s="230" t="s">
        <v>511</v>
      </c>
      <c r="J855" s="231" t="s">
        <v>203</v>
      </c>
    </row>
    <row r="856" spans="2:11" x14ac:dyDescent="0.25">
      <c r="B856" s="235">
        <v>45005</v>
      </c>
      <c r="C856" s="195">
        <v>1</v>
      </c>
      <c r="E856" s="238">
        <v>0.52083333333333337</v>
      </c>
      <c r="F856" s="204">
        <v>0.54861111111111105</v>
      </c>
      <c r="G856" s="193">
        <f>IFERROR(IF(E856&gt;F856,((F856+E376B376+1)-(E856+B861))*24,HOUR(F856-E856)+MINUTE(F856-E856)/60),"")</f>
        <v>0.66666666666666663</v>
      </c>
      <c r="H856" s="230" t="s">
        <v>184</v>
      </c>
      <c r="I856" s="230" t="s">
        <v>509</v>
      </c>
      <c r="J856" s="231" t="s">
        <v>213</v>
      </c>
    </row>
    <row r="857" spans="2:11" x14ac:dyDescent="0.25">
      <c r="B857" s="235">
        <v>45005</v>
      </c>
      <c r="C857" s="195">
        <v>1</v>
      </c>
      <c r="E857" s="238">
        <v>0.57986111111111105</v>
      </c>
      <c r="F857" s="204">
        <v>0.59027777777777779</v>
      </c>
      <c r="G857" s="193">
        <f>IFERROR(IF(E857&gt;F857,((F857+E376B376+1)-(E857+B862))*24,HOUR(F857-E857)+MINUTE(F857-E857)/60),"")</f>
        <v>0.25</v>
      </c>
      <c r="H857" s="230" t="s">
        <v>55</v>
      </c>
      <c r="I857" s="230" t="s">
        <v>511</v>
      </c>
      <c r="J857" s="231" t="s">
        <v>203</v>
      </c>
    </row>
    <row r="858" spans="2:11" x14ac:dyDescent="0.25">
      <c r="B858" s="235">
        <v>45005</v>
      </c>
      <c r="C858" s="195">
        <v>1</v>
      </c>
      <c r="E858" s="238">
        <v>0.61388888888888882</v>
      </c>
      <c r="F858" s="204">
        <v>0.625</v>
      </c>
      <c r="G858" s="193">
        <f>IFERROR(IF(E858&gt;F858,((F858+E376B376+1)-(E858+B863))*24,HOUR(F858-E858)+MINUTE(F858-E858)/60),"")</f>
        <v>0.26666666666666666</v>
      </c>
      <c r="H858" s="230" t="s">
        <v>55</v>
      </c>
      <c r="I858" s="230" t="s">
        <v>509</v>
      </c>
      <c r="J858" s="231" t="s">
        <v>114</v>
      </c>
    </row>
    <row r="859" spans="2:11" x14ac:dyDescent="0.25">
      <c r="B859" s="235">
        <v>45005</v>
      </c>
      <c r="C859" s="195">
        <v>2</v>
      </c>
      <c r="E859" s="238">
        <v>0.625</v>
      </c>
      <c r="F859" s="204">
        <v>0.62847222222222221</v>
      </c>
      <c r="G859" s="193">
        <f>IFERROR(IF(E859&gt;F859,((F859+E376B376+1)-(E859+B864))*24,HOUR(F859-E859)+MINUTE(F859-E859)/60),"")</f>
        <v>8.3333333333333329E-2</v>
      </c>
      <c r="H859" s="230" t="s">
        <v>55</v>
      </c>
      <c r="I859" s="230" t="s">
        <v>509</v>
      </c>
      <c r="J859" s="231" t="s">
        <v>114</v>
      </c>
    </row>
    <row r="860" spans="2:11" x14ac:dyDescent="0.25">
      <c r="B860" s="235">
        <v>45005</v>
      </c>
      <c r="C860" s="195">
        <v>2</v>
      </c>
      <c r="E860" s="238">
        <v>0.64166666666666672</v>
      </c>
      <c r="F860" s="204">
        <v>0.65208333333333335</v>
      </c>
      <c r="G860" s="193">
        <f>IFERROR(IF(E860&gt;F860,((F860+E376B376+1)-(E860+B865))*24,HOUR(F860-E860)+MINUTE(F860-E860)/60),"")</f>
        <v>0.25</v>
      </c>
      <c r="H860" s="230" t="s">
        <v>55</v>
      </c>
      <c r="I860" s="230" t="s">
        <v>511</v>
      </c>
      <c r="J860" s="231" t="s">
        <v>203</v>
      </c>
    </row>
    <row r="861" spans="2:11" x14ac:dyDescent="0.25">
      <c r="B861" s="235">
        <v>45005</v>
      </c>
      <c r="C861" s="195">
        <v>2</v>
      </c>
      <c r="E861" s="238">
        <v>0.67708333333333337</v>
      </c>
      <c r="F861" s="204">
        <v>0.6875</v>
      </c>
      <c r="G861" s="193">
        <f>IFERROR(IF(E861&gt;F861,((F861+E376B376+1)-(E861+B866))*24,HOUR(F861-E861)+MINUTE(F861-E861)/60),"")</f>
        <v>0.25</v>
      </c>
      <c r="H861" s="230" t="s">
        <v>55</v>
      </c>
      <c r="I861" s="230" t="s">
        <v>511</v>
      </c>
      <c r="J861" s="231" t="s">
        <v>203</v>
      </c>
    </row>
    <row r="862" spans="2:11" x14ac:dyDescent="0.25">
      <c r="B862" s="235">
        <v>45005</v>
      </c>
      <c r="C862" s="195">
        <v>2</v>
      </c>
      <c r="E862" s="238">
        <v>0.71527777777777779</v>
      </c>
      <c r="F862" s="204">
        <v>0.72569444444444453</v>
      </c>
      <c r="G862" s="193">
        <f>IFERROR(IF(E862&gt;F862,((F862+E376B376+1)-(E862+B867))*24,HOUR(F862-E862)+MINUTE(F862-E862)/60),"")</f>
        <v>0.25</v>
      </c>
      <c r="H862" s="230" t="s">
        <v>55</v>
      </c>
      <c r="I862" s="230" t="s">
        <v>511</v>
      </c>
      <c r="J862" s="231" t="s">
        <v>203</v>
      </c>
    </row>
    <row r="863" spans="2:11" x14ac:dyDescent="0.25">
      <c r="B863" s="235">
        <v>45005</v>
      </c>
      <c r="C863" s="233">
        <v>2</v>
      </c>
      <c r="E863" s="238">
        <v>0.93888888888888899</v>
      </c>
      <c r="F863" s="204">
        <v>0.95138888888888884</v>
      </c>
      <c r="G863" s="193">
        <f>IFERROR(IF(E863&gt;F863,((F863+E376B376+1)-(E863+B868))*24,HOUR(F863-E863)+MINUTE(F863-E863)/60),"")</f>
        <v>0.3</v>
      </c>
      <c r="H863" s="230" t="s">
        <v>55</v>
      </c>
      <c r="I863" s="230" t="s">
        <v>511</v>
      </c>
      <c r="J863" s="231" t="s">
        <v>203</v>
      </c>
    </row>
    <row r="864" spans="2:11" x14ac:dyDescent="0.25">
      <c r="B864" s="235">
        <v>45005</v>
      </c>
      <c r="C864" s="195">
        <v>3</v>
      </c>
      <c r="E864" s="238">
        <v>0.96527777777777779</v>
      </c>
      <c r="F864" s="204">
        <v>0.98263888888888884</v>
      </c>
      <c r="G864" s="193">
        <f>IFERROR(IF(E864&gt;F864,((F864+E376B376+1)-(E864+B869))*24,HOUR(F864-E864)+MINUTE(F864-E864)/60),"")</f>
        <v>0.41666666666666669</v>
      </c>
      <c r="H864" s="230" t="s">
        <v>147</v>
      </c>
      <c r="I864" s="230" t="s">
        <v>511</v>
      </c>
      <c r="J864" s="231" t="s">
        <v>146</v>
      </c>
      <c r="K864" s="176" t="s">
        <v>1046</v>
      </c>
    </row>
    <row r="865" spans="2:11" x14ac:dyDescent="0.25">
      <c r="B865" s="235">
        <v>45005</v>
      </c>
      <c r="C865" s="195">
        <v>3</v>
      </c>
      <c r="E865" s="238">
        <v>3.8194444444444441E-2</v>
      </c>
      <c r="F865" s="204">
        <v>4.8611111111111112E-2</v>
      </c>
      <c r="G865" s="193">
        <f>IFERROR(IF(E865&gt;F865,((F865+E376B376+1)-(E865+B870))*24,HOUR(F865-E865)+MINUTE(F865-E865)/60),"")</f>
        <v>0.25</v>
      </c>
      <c r="H865" s="230" t="s">
        <v>55</v>
      </c>
      <c r="I865" s="230" t="s">
        <v>511</v>
      </c>
      <c r="J865" s="231" t="s">
        <v>203</v>
      </c>
    </row>
    <row r="866" spans="2:11" x14ac:dyDescent="0.25">
      <c r="B866" s="235">
        <v>45005</v>
      </c>
      <c r="C866" s="195">
        <v>3</v>
      </c>
      <c r="D866" s="233"/>
      <c r="E866" s="238">
        <v>9.375E-2</v>
      </c>
      <c r="F866" s="204">
        <v>0.10416666666666667</v>
      </c>
      <c r="G866" s="193">
        <f>IFERROR(IF(E866&gt;F866,((F866+E376B376+1)-(E866+B871))*24,HOUR(F866-E866)+MINUTE(F866-E866)/60),"")</f>
        <v>0.25</v>
      </c>
      <c r="H866" s="230" t="s">
        <v>55</v>
      </c>
      <c r="I866" s="230" t="s">
        <v>511</v>
      </c>
      <c r="J866" s="231" t="s">
        <v>203</v>
      </c>
    </row>
    <row r="867" spans="2:11" x14ac:dyDescent="0.25">
      <c r="B867" s="235">
        <v>45005</v>
      </c>
      <c r="C867" s="195">
        <v>3</v>
      </c>
      <c r="E867" s="238">
        <v>0.13194444444444445</v>
      </c>
      <c r="F867" s="204">
        <v>0.1423611111111111</v>
      </c>
      <c r="G867" s="193">
        <f>IFERROR(IF(E867&gt;F867,((F867+E376B376+1)-(E867+B872))*24,HOUR(F867-E867)+MINUTE(F867-E867)/60),"")</f>
        <v>0.25</v>
      </c>
      <c r="H867" s="230" t="s">
        <v>55</v>
      </c>
      <c r="I867" s="230" t="s">
        <v>511</v>
      </c>
      <c r="J867" s="231" t="s">
        <v>203</v>
      </c>
    </row>
    <row r="868" spans="2:11" x14ac:dyDescent="0.25">
      <c r="B868" s="235">
        <v>45005</v>
      </c>
      <c r="C868" s="195">
        <v>3</v>
      </c>
      <c r="E868" s="238">
        <v>0.20138888888888887</v>
      </c>
      <c r="F868" s="204">
        <v>0.21180555555555555</v>
      </c>
      <c r="G868" s="193">
        <f>IFERROR(IF(E868&gt;F868,((F868+E376B376+1)-(E868+B873))*24,HOUR(F868-E868)+MINUTE(F868-E868)/60),"")</f>
        <v>0.25</v>
      </c>
      <c r="H868" s="230" t="s">
        <v>55</v>
      </c>
      <c r="I868" s="230" t="s">
        <v>511</v>
      </c>
      <c r="J868" s="231" t="s">
        <v>203</v>
      </c>
    </row>
    <row r="869" spans="2:11" x14ac:dyDescent="0.25">
      <c r="B869" s="235">
        <v>45005</v>
      </c>
      <c r="C869" s="195">
        <v>3</v>
      </c>
      <c r="E869" s="238">
        <v>0.22222222222222221</v>
      </c>
      <c r="F869" s="204">
        <v>0.23263888888888887</v>
      </c>
      <c r="G869" s="193">
        <f>IFERROR(IF(E869&gt;F869,((F869+E376B376+1)-(E869+B874))*24,HOUR(F869-E869)+MINUTE(F869-E869)/60),"")</f>
        <v>0.25</v>
      </c>
      <c r="H869" s="230" t="s">
        <v>55</v>
      </c>
      <c r="I869" s="230" t="s">
        <v>511</v>
      </c>
      <c r="J869" s="231" t="s">
        <v>203</v>
      </c>
    </row>
    <row r="870" spans="2:11" x14ac:dyDescent="0.25">
      <c r="B870" s="235">
        <v>45005</v>
      </c>
      <c r="C870" s="195">
        <v>3</v>
      </c>
      <c r="E870" s="238">
        <v>0.27083333333333331</v>
      </c>
      <c r="F870" s="204">
        <v>0.29166666666666669</v>
      </c>
      <c r="G870" s="193">
        <f>IFERROR(IF(E870&gt;F870,((F870+E376B376+1)-(E870+B875))*24,HOUR(F870-E870)+MINUTE(F870-E870)/60),"")</f>
        <v>0.5</v>
      </c>
      <c r="H870" s="230" t="s">
        <v>55</v>
      </c>
      <c r="I870" s="230" t="s">
        <v>509</v>
      </c>
      <c r="J870" s="231" t="s">
        <v>114</v>
      </c>
    </row>
    <row r="871" spans="2:11" x14ac:dyDescent="0.25">
      <c r="B871" s="235">
        <v>45006</v>
      </c>
      <c r="C871" s="195">
        <v>1</v>
      </c>
      <c r="E871" s="238">
        <v>0.29166666666666669</v>
      </c>
      <c r="F871" s="204">
        <v>0.30069444444444443</v>
      </c>
      <c r="G871" s="193">
        <f>IFERROR(IF(E871&gt;F871,((F871+E376B376+1)-(E871+B876))*24,HOUR(F871-E871)+MINUTE(F871-E871)/60),"")</f>
        <v>0.21666666666666667</v>
      </c>
      <c r="H871" s="230" t="s">
        <v>55</v>
      </c>
      <c r="I871" s="230" t="s">
        <v>509</v>
      </c>
      <c r="J871" s="231" t="s">
        <v>114</v>
      </c>
    </row>
    <row r="872" spans="2:11" x14ac:dyDescent="0.25">
      <c r="B872" s="235">
        <v>45006</v>
      </c>
      <c r="C872" s="195">
        <v>1</v>
      </c>
      <c r="E872" s="238">
        <v>0.30694444444444441</v>
      </c>
      <c r="F872" s="204">
        <v>0.31805555555555554</v>
      </c>
      <c r="G872" s="193">
        <f>IFERROR(IF(E872&gt;F872,((F872+E376B376+1)-(E872+B877))*24,HOUR(F872-E872)+MINUTE(F872-E872)/60),"")</f>
        <v>0.26666666666666666</v>
      </c>
      <c r="H872" s="230" t="s">
        <v>204</v>
      </c>
      <c r="I872" s="230" t="s">
        <v>509</v>
      </c>
      <c r="J872" s="231" t="s">
        <v>605</v>
      </c>
      <c r="K872" s="176" t="s">
        <v>1050</v>
      </c>
    </row>
    <row r="873" spans="2:11" x14ac:dyDescent="0.25">
      <c r="B873" s="235">
        <v>45006</v>
      </c>
      <c r="C873" s="195">
        <v>1</v>
      </c>
      <c r="E873" s="238">
        <v>0.31805555555555554</v>
      </c>
      <c r="F873" s="204">
        <v>0.35972222222222222</v>
      </c>
      <c r="G873" s="193">
        <f>IFERROR(IF(E873&gt;F873,((F873+E376B376+1)-(E873+B879))*24,HOUR(F873-E873)+MINUTE(F873-E873)/60),"")</f>
        <v>1</v>
      </c>
      <c r="H873" s="230" t="s">
        <v>55</v>
      </c>
      <c r="I873" s="230" t="s">
        <v>510</v>
      </c>
      <c r="J873" s="231" t="s">
        <v>517</v>
      </c>
    </row>
    <row r="874" spans="2:11" x14ac:dyDescent="0.25">
      <c r="B874" s="235">
        <v>45006</v>
      </c>
      <c r="C874" s="195">
        <v>1</v>
      </c>
      <c r="E874" s="238">
        <v>0.36458333333333331</v>
      </c>
      <c r="F874" s="204">
        <v>0.375</v>
      </c>
      <c r="G874" s="193">
        <f>IFERROR(IF(E874&gt;F874,((F874+E376B376+1)-(E874+B880))*24,HOUR(F874-E874)+MINUTE(F874-E874)/60),"")</f>
        <v>0.25</v>
      </c>
      <c r="H874" s="230" t="s">
        <v>147</v>
      </c>
      <c r="I874" s="230" t="s">
        <v>511</v>
      </c>
      <c r="J874" s="231" t="s">
        <v>525</v>
      </c>
      <c r="K874" s="176" t="s">
        <v>1047</v>
      </c>
    </row>
    <row r="875" spans="2:11" x14ac:dyDescent="0.25">
      <c r="B875" s="235">
        <v>45006</v>
      </c>
      <c r="C875" s="195">
        <v>1</v>
      </c>
      <c r="E875" s="238">
        <v>0.3923611111111111</v>
      </c>
      <c r="F875" s="204">
        <v>0.40625</v>
      </c>
      <c r="G875" s="193">
        <f>IFERROR(IF(E875&gt;F875,((F875+E376B376+1)-(E875+B881))*24,HOUR(F875-E875)+MINUTE(F875-E875)/60),"")</f>
        <v>0.33333333333333331</v>
      </c>
      <c r="H875" s="230" t="s">
        <v>142</v>
      </c>
      <c r="I875" s="230" t="s">
        <v>509</v>
      </c>
      <c r="J875" s="231" t="s">
        <v>611</v>
      </c>
    </row>
    <row r="876" spans="2:11" x14ac:dyDescent="0.25">
      <c r="B876" s="235">
        <v>45006</v>
      </c>
      <c r="C876" s="195">
        <v>1</v>
      </c>
      <c r="E876" s="238">
        <v>0.50347222222222221</v>
      </c>
      <c r="F876" s="204">
        <v>0.51736111111111105</v>
      </c>
      <c r="G876" s="193">
        <f>IFERROR(IF(E876&gt;F876,((F876+E376B376+1)-(E876+B882))*24,HOUR(F876-E876)+MINUTE(F876-E876)/60),"")</f>
        <v>0.33333333333333331</v>
      </c>
      <c r="H876" s="230" t="s">
        <v>195</v>
      </c>
      <c r="I876" s="230" t="s">
        <v>509</v>
      </c>
      <c r="J876" s="231" t="s">
        <v>499</v>
      </c>
    </row>
    <row r="877" spans="2:11" x14ac:dyDescent="0.25">
      <c r="B877" s="235">
        <v>45006</v>
      </c>
      <c r="C877" s="195">
        <v>1</v>
      </c>
      <c r="E877" s="238">
        <v>0.58750000000000002</v>
      </c>
      <c r="F877" s="204">
        <v>0.59791666666666665</v>
      </c>
      <c r="G877" s="193">
        <f>IFERROR(IF(E877&gt;F877,((F877+E376B376+1)-(E877+B883))*24,HOUR(F877-E877)+MINUTE(F877-E877)/60),"")</f>
        <v>0.25</v>
      </c>
      <c r="H877" s="230" t="s">
        <v>147</v>
      </c>
      <c r="I877" s="230" t="s">
        <v>509</v>
      </c>
      <c r="J877" s="231" t="s">
        <v>495</v>
      </c>
    </row>
    <row r="878" spans="2:11" s="233" customFormat="1" x14ac:dyDescent="0.25">
      <c r="B878" s="235">
        <v>45006</v>
      </c>
      <c r="C878" s="233">
        <v>1</v>
      </c>
      <c r="E878" s="315">
        <v>0.61458333333333337</v>
      </c>
      <c r="F878" s="316">
        <v>0.625</v>
      </c>
      <c r="G878" s="288">
        <f>IFERROR(IF(E878&gt;F878,((F878+E376B376+1)-(E878+B884))*24,HOUR(F878-E878)+MINUTE(F878-E878)/60),"")</f>
        <v>0.25</v>
      </c>
      <c r="H878" s="289" t="s">
        <v>55</v>
      </c>
      <c r="I878" s="289" t="s">
        <v>509</v>
      </c>
      <c r="J878" s="289" t="s">
        <v>114</v>
      </c>
      <c r="K878" s="176"/>
    </row>
    <row r="879" spans="2:11" x14ac:dyDescent="0.25">
      <c r="B879" s="235">
        <v>45006</v>
      </c>
      <c r="C879" s="195">
        <v>2</v>
      </c>
      <c r="E879" s="238">
        <v>0.70833333333333337</v>
      </c>
      <c r="F879" s="204">
        <v>0.71875</v>
      </c>
      <c r="G879" s="193">
        <f>IFERROR(IF(E879&gt;F879,((F879+E376B376+1)-(E879+B884))*24,HOUR(F879-E879)+MINUTE(F879-E879)/60),"")</f>
        <v>0.25</v>
      </c>
      <c r="H879" s="230" t="s">
        <v>55</v>
      </c>
      <c r="I879" s="230" t="s">
        <v>511</v>
      </c>
      <c r="J879" s="231" t="s">
        <v>203</v>
      </c>
    </row>
    <row r="880" spans="2:11" x14ac:dyDescent="0.25">
      <c r="B880" s="235">
        <v>45006</v>
      </c>
      <c r="C880" s="195">
        <v>2</v>
      </c>
      <c r="E880" s="238">
        <v>0.84375</v>
      </c>
      <c r="F880" s="204">
        <v>0.85416666666666663</v>
      </c>
      <c r="G880" s="193">
        <f>IFERROR(IF(E880&gt;F880,((F880+E376B376+1)-(E880+B885))*24,HOUR(F880-E880)+MINUTE(F880-E880)/60),"")</f>
        <v>0.25</v>
      </c>
      <c r="H880" s="230" t="s">
        <v>55</v>
      </c>
      <c r="I880" s="230" t="s">
        <v>511</v>
      </c>
      <c r="J880" s="231" t="s">
        <v>203</v>
      </c>
    </row>
    <row r="881" spans="2:11" x14ac:dyDescent="0.25">
      <c r="B881" s="235">
        <v>45006</v>
      </c>
      <c r="C881" s="195">
        <v>2</v>
      </c>
      <c r="E881" s="238">
        <v>0.86249999999999993</v>
      </c>
      <c r="F881" s="204">
        <v>0.87291666666666667</v>
      </c>
      <c r="G881" s="193">
        <f>IFERROR(IF(E881&gt;F881,((F881+E376B376+1)-(E881+B886))*24,HOUR(F881-E881)+MINUTE(F881-E881)/60),"")</f>
        <v>0.25</v>
      </c>
      <c r="H881" s="230" t="s">
        <v>55</v>
      </c>
      <c r="I881" s="230" t="s">
        <v>511</v>
      </c>
      <c r="J881" s="231" t="s">
        <v>203</v>
      </c>
    </row>
    <row r="882" spans="2:11" x14ac:dyDescent="0.25">
      <c r="B882" s="235">
        <v>45006</v>
      </c>
      <c r="C882" s="195">
        <v>2</v>
      </c>
      <c r="E882" s="238">
        <v>0.94305555555555554</v>
      </c>
      <c r="F882" s="204">
        <v>0.95833333333333337</v>
      </c>
      <c r="G882" s="193">
        <f>IFERROR(IF(E882&gt;F882,((F882+E376B376+1)-(E882+B887))*24,HOUR(F882-E882)+MINUTE(F882-E882)/60),"")</f>
        <v>0.36666666666666664</v>
      </c>
      <c r="H882" s="230" t="s">
        <v>55</v>
      </c>
      <c r="I882" s="230" t="s">
        <v>509</v>
      </c>
      <c r="J882" s="231" t="s">
        <v>114</v>
      </c>
    </row>
    <row r="883" spans="2:11" x14ac:dyDescent="0.25">
      <c r="B883" s="235">
        <v>45006</v>
      </c>
      <c r="C883" s="195">
        <v>3</v>
      </c>
      <c r="E883" s="238">
        <v>0.95833333333333337</v>
      </c>
      <c r="F883" s="204">
        <v>0</v>
      </c>
      <c r="G883" s="193">
        <v>1</v>
      </c>
      <c r="H883" s="230" t="s">
        <v>55</v>
      </c>
      <c r="I883" s="230" t="s">
        <v>510</v>
      </c>
      <c r="J883" s="231" t="s">
        <v>227</v>
      </c>
    </row>
    <row r="884" spans="2:11" x14ac:dyDescent="0.25">
      <c r="B884" s="235">
        <v>45006</v>
      </c>
      <c r="C884" s="195">
        <v>3</v>
      </c>
      <c r="E884" s="238">
        <v>9.7222222222222224E-2</v>
      </c>
      <c r="F884" s="204">
        <v>0.1111111111111111</v>
      </c>
      <c r="G884" s="193">
        <f>IFERROR(IF(E884&gt;F884,((F884+E376B376+1)-(E884+B889))*24,HOUR(F884-E884)+MINUTE(F884-E884)/60),"")</f>
        <v>0.33333333333333331</v>
      </c>
      <c r="H884" s="230" t="s">
        <v>55</v>
      </c>
      <c r="I884" s="230" t="s">
        <v>510</v>
      </c>
      <c r="J884" s="231" t="s">
        <v>227</v>
      </c>
      <c r="K884" s="176" t="s">
        <v>356</v>
      </c>
    </row>
    <row r="885" spans="2:11" x14ac:dyDescent="0.25">
      <c r="B885" s="235">
        <v>45006</v>
      </c>
      <c r="C885" s="195">
        <v>3</v>
      </c>
      <c r="E885" s="238">
        <v>0.15972222222222224</v>
      </c>
      <c r="F885" s="204">
        <v>0.29166666666666669</v>
      </c>
      <c r="G885" s="193">
        <f>IFERROR(IF(E885&gt;F885,((F885+E376B376+1)-(E885+B890))*24,HOUR(F885-E885)+MINUTE(F885-E885)/60),"")</f>
        <v>3.1666666666666665</v>
      </c>
      <c r="H885" s="230" t="s">
        <v>55</v>
      </c>
      <c r="I885" s="230" t="s">
        <v>510</v>
      </c>
      <c r="J885" s="231" t="s">
        <v>227</v>
      </c>
      <c r="K885" s="176" t="s">
        <v>356</v>
      </c>
    </row>
    <row r="886" spans="2:11" x14ac:dyDescent="0.25">
      <c r="B886" s="235">
        <v>45007</v>
      </c>
      <c r="C886" s="195">
        <v>1</v>
      </c>
      <c r="E886" s="238">
        <v>0.29166666666666669</v>
      </c>
      <c r="F886" s="204">
        <v>0.34861111111111115</v>
      </c>
      <c r="G886" s="193">
        <f>IFERROR(IF(E886&gt;F886,((F886+E376B376+1)-(E886+B891))*24,HOUR(F886-E886)+MINUTE(F886-E886)/60),"")</f>
        <v>1.3666666666666667</v>
      </c>
      <c r="H886" s="230" t="s">
        <v>55</v>
      </c>
      <c r="I886" s="230" t="s">
        <v>510</v>
      </c>
      <c r="J886" s="231" t="s">
        <v>227</v>
      </c>
      <c r="K886" s="176" t="s">
        <v>1049</v>
      </c>
    </row>
    <row r="887" spans="2:11" x14ac:dyDescent="0.25">
      <c r="B887" s="235">
        <v>45007</v>
      </c>
      <c r="C887" s="233">
        <v>1</v>
      </c>
      <c r="E887" s="238">
        <v>0.34861111111111115</v>
      </c>
      <c r="F887" s="204">
        <v>0.35902777777777778</v>
      </c>
      <c r="G887" s="193">
        <f>IFERROR(IF(E887&gt;F887,((F887+E376B376+1)-(E887+B892))*24,HOUR(F887-E887)+MINUTE(F887-E887)/60),"")</f>
        <v>0.25</v>
      </c>
      <c r="H887" s="230" t="s">
        <v>55</v>
      </c>
      <c r="I887" s="230" t="s">
        <v>510</v>
      </c>
      <c r="J887" s="231" t="s">
        <v>227</v>
      </c>
      <c r="K887" s="176" t="s">
        <v>991</v>
      </c>
    </row>
    <row r="888" spans="2:11" x14ac:dyDescent="0.25">
      <c r="B888" s="235">
        <v>45007</v>
      </c>
      <c r="C888" s="233">
        <v>1</v>
      </c>
      <c r="E888" s="238">
        <v>0.3756944444444445</v>
      </c>
      <c r="F888" s="204">
        <v>0.38055555555555554</v>
      </c>
      <c r="G888" s="193">
        <f>IFERROR(IF(E888&gt;F888,((F888+E376B376+1)-(E888+B893))*24,HOUR(F888-E888)+MINUTE(F888-E888)/60),"")</f>
        <v>0.11666666666666667</v>
      </c>
      <c r="H888" s="230" t="s">
        <v>142</v>
      </c>
      <c r="I888" s="230" t="s">
        <v>509</v>
      </c>
      <c r="J888" s="231" t="s">
        <v>611</v>
      </c>
    </row>
    <row r="889" spans="2:11" x14ac:dyDescent="0.25">
      <c r="B889" s="235">
        <v>45007</v>
      </c>
      <c r="C889" s="233">
        <v>1</v>
      </c>
      <c r="E889" s="238">
        <v>0.40902777777777777</v>
      </c>
      <c r="F889" s="204">
        <v>0.41250000000000003</v>
      </c>
      <c r="G889" s="193">
        <f>IFERROR(IF(E889&gt;F889,((F889+E376B376+1)-(E889+B894))*24,HOUR(F889-E889)+MINUTE(F889-E889)/60),"")</f>
        <v>8.3333333333333329E-2</v>
      </c>
      <c r="H889" s="230" t="s">
        <v>142</v>
      </c>
      <c r="I889" s="230" t="s">
        <v>509</v>
      </c>
      <c r="J889" s="231" t="s">
        <v>611</v>
      </c>
    </row>
    <row r="890" spans="2:11" x14ac:dyDescent="0.25">
      <c r="B890" s="235">
        <v>45007</v>
      </c>
      <c r="C890" s="233">
        <v>1</v>
      </c>
      <c r="E890" s="238">
        <v>0.41250000000000003</v>
      </c>
      <c r="F890" s="204">
        <v>0.42569444444444443</v>
      </c>
      <c r="G890" s="193">
        <f>IFERROR(IF(E890&gt;F890,((F890+E376B376+1)-(E890+B895))*24,HOUR(F890-E890)+MINUTE(F890-E890)/60),"")</f>
        <v>0.31666666666666665</v>
      </c>
      <c r="H890" s="230" t="s">
        <v>147</v>
      </c>
      <c r="I890" s="230" t="s">
        <v>511</v>
      </c>
      <c r="J890" s="231" t="s">
        <v>525</v>
      </c>
    </row>
    <row r="891" spans="2:11" x14ac:dyDescent="0.25">
      <c r="B891" s="235">
        <v>45007</v>
      </c>
      <c r="C891" s="233">
        <v>1</v>
      </c>
      <c r="E891" s="238">
        <v>0.44513888888888892</v>
      </c>
      <c r="F891" s="204">
        <v>0.45</v>
      </c>
      <c r="G891" s="193">
        <f>IFERROR(IF(E891&gt;F891,((F891+E376B376+1)-(E891+B896))*24,HOUR(F891-E891)+MINUTE(F891-E891)/60),"")</f>
        <v>0.11666666666666667</v>
      </c>
      <c r="H891" s="230" t="s">
        <v>142</v>
      </c>
      <c r="I891" s="230" t="s">
        <v>509</v>
      </c>
      <c r="J891" s="231" t="s">
        <v>611</v>
      </c>
    </row>
    <row r="892" spans="2:11" x14ac:dyDescent="0.25">
      <c r="B892" s="235">
        <v>45007</v>
      </c>
      <c r="C892" s="233">
        <v>1</v>
      </c>
      <c r="E892" s="238">
        <v>0.49583333333333335</v>
      </c>
      <c r="F892" s="204">
        <v>0.50138888888888888</v>
      </c>
      <c r="G892" s="193">
        <f>IFERROR(IF(E892&gt;F892,((F892+E376B376+1)-(E892+B897))*24,HOUR(F892-E892)+MINUTE(F892-E892)/60),"")</f>
        <v>0.13333333333333333</v>
      </c>
      <c r="H892" s="230" t="s">
        <v>55</v>
      </c>
      <c r="I892" s="230" t="s">
        <v>511</v>
      </c>
      <c r="J892" s="231" t="s">
        <v>115</v>
      </c>
    </row>
    <row r="893" spans="2:11" x14ac:dyDescent="0.25">
      <c r="B893" s="235">
        <v>45007</v>
      </c>
      <c r="C893" s="233">
        <v>1</v>
      </c>
      <c r="E893" s="238">
        <v>0.50555555555555554</v>
      </c>
      <c r="F893" s="204">
        <v>0.5131944444444444</v>
      </c>
      <c r="G893" s="193">
        <f>IFERROR(IF(E893&gt;F893,((F893+E376B376+1)-(E893+B898))*24,HOUR(F893-E893)+MINUTE(F893-E893)/60),"")</f>
        <v>0.18333333333333332</v>
      </c>
      <c r="H893" s="230" t="s">
        <v>55</v>
      </c>
      <c r="I893" s="230" t="s">
        <v>510</v>
      </c>
      <c r="J893" s="231" t="s">
        <v>227</v>
      </c>
      <c r="K893" s="176" t="s">
        <v>991</v>
      </c>
    </row>
    <row r="894" spans="2:11" x14ac:dyDescent="0.25">
      <c r="B894" s="235">
        <v>45007</v>
      </c>
      <c r="C894" s="233">
        <v>1</v>
      </c>
      <c r="E894" s="238">
        <v>0.52013888888888882</v>
      </c>
      <c r="F894" s="204">
        <v>0.53055555555555556</v>
      </c>
      <c r="G894" s="193">
        <f>IFERROR(IF(E894&gt;F894,((F894+E376B376+1)-(E894+B899))*24,HOUR(F894-E894)+MINUTE(F894-E894)/60),"")</f>
        <v>0.25</v>
      </c>
      <c r="H894" s="230" t="s">
        <v>55</v>
      </c>
      <c r="I894" s="230" t="s">
        <v>510</v>
      </c>
      <c r="J894" s="231" t="s">
        <v>227</v>
      </c>
      <c r="K894" s="176" t="s">
        <v>991</v>
      </c>
    </row>
    <row r="895" spans="2:11" x14ac:dyDescent="0.25">
      <c r="B895" s="235">
        <v>45007</v>
      </c>
      <c r="C895" s="233">
        <v>1</v>
      </c>
      <c r="E895" s="238">
        <v>0.57013888888888886</v>
      </c>
      <c r="F895" s="204">
        <v>0.57638888888888895</v>
      </c>
      <c r="G895" s="193">
        <f>IFERROR(IF(E895&gt;F895,((F895+E376B376+1)-(E895+B900))*24,HOUR(F895-E895)+MINUTE(F895-E895)/60),"")</f>
        <v>0.15</v>
      </c>
      <c r="H895" s="230" t="s">
        <v>55</v>
      </c>
      <c r="I895" s="230" t="s">
        <v>510</v>
      </c>
      <c r="J895" s="231" t="s">
        <v>227</v>
      </c>
      <c r="K895" s="176" t="s">
        <v>991</v>
      </c>
    </row>
    <row r="896" spans="2:11" x14ac:dyDescent="0.25">
      <c r="B896" s="235">
        <v>45007</v>
      </c>
      <c r="C896" s="233">
        <v>1</v>
      </c>
      <c r="E896" s="238">
        <v>0.57638888888888895</v>
      </c>
      <c r="F896" s="204">
        <v>0.59166666666666667</v>
      </c>
      <c r="G896" s="193">
        <f>IFERROR(IF(E896&gt;F896,((F896+E376B376+1)-(E896+B901))*24,HOUR(F896-E896)+MINUTE(F896-E896)/60),"")</f>
        <v>0.36666666666666664</v>
      </c>
      <c r="H896" s="230" t="s">
        <v>55</v>
      </c>
      <c r="I896" s="230" t="s">
        <v>511</v>
      </c>
      <c r="J896" s="231" t="s">
        <v>115</v>
      </c>
    </row>
    <row r="897" spans="2:11" x14ac:dyDescent="0.25">
      <c r="B897" s="235">
        <v>45007</v>
      </c>
      <c r="C897" s="233">
        <v>1</v>
      </c>
      <c r="E897" s="238">
        <v>0.59305555555555556</v>
      </c>
      <c r="F897" s="204">
        <v>0.60486111111111118</v>
      </c>
      <c r="G897" s="193">
        <f>IFERROR(IF(E897&gt;F897,((F897+E376B376+1)-(E897+B902))*24,HOUR(F897-E897)+MINUTE(F897-E897)/60),"")</f>
        <v>0.28333333333333333</v>
      </c>
      <c r="H897" s="230" t="s">
        <v>55</v>
      </c>
      <c r="I897" s="230" t="s">
        <v>511</v>
      </c>
      <c r="J897" s="231" t="s">
        <v>203</v>
      </c>
    </row>
    <row r="898" spans="2:11" x14ac:dyDescent="0.25">
      <c r="B898" s="235">
        <v>45007</v>
      </c>
      <c r="C898" s="233">
        <v>1</v>
      </c>
      <c r="E898" s="238">
        <v>0.60486111111111118</v>
      </c>
      <c r="F898" s="204">
        <v>0.61805555555555558</v>
      </c>
      <c r="G898" s="193">
        <f>IFERROR(IF(E898&gt;F898,((F898+E376B376+1)-(E898+B903))*24,HOUR(F898-E898)+MINUTE(F898-E898)/60),"")</f>
        <v>0.31666666666666665</v>
      </c>
      <c r="H898" s="230" t="s">
        <v>55</v>
      </c>
      <c r="I898" s="230" t="s">
        <v>509</v>
      </c>
      <c r="J898" s="231" t="s">
        <v>114</v>
      </c>
    </row>
    <row r="899" spans="2:11" x14ac:dyDescent="0.25">
      <c r="B899" s="235">
        <v>45007</v>
      </c>
      <c r="C899" s="195">
        <v>1</v>
      </c>
      <c r="E899" s="238">
        <v>0.61805555555555558</v>
      </c>
      <c r="F899" s="204">
        <v>0.625</v>
      </c>
      <c r="G899" s="193">
        <f>IFERROR(IF(E899&gt;F899,((F899+E376B376+1)-(E899+B904))*24,HOUR(F899-E899)+MINUTE(F899-E899)/60),"")</f>
        <v>0.16666666666666666</v>
      </c>
      <c r="H899" s="230" t="s">
        <v>55</v>
      </c>
      <c r="I899" s="230" t="s">
        <v>511</v>
      </c>
      <c r="J899" s="231" t="s">
        <v>203</v>
      </c>
    </row>
    <row r="900" spans="2:11" x14ac:dyDescent="0.25">
      <c r="B900" s="235">
        <v>45007</v>
      </c>
      <c r="C900" s="195">
        <v>2</v>
      </c>
      <c r="E900" s="238">
        <v>0.625</v>
      </c>
      <c r="F900" s="204">
        <v>0.6333333333333333</v>
      </c>
      <c r="G900" s="193">
        <f>IFERROR(IF(E900&gt;F900,((F900+E376B376+1)-(E900+B905))*24,HOUR(F900-E900)+MINUTE(F900-E900)/60),"")</f>
        <v>0.2</v>
      </c>
      <c r="H900" s="230" t="s">
        <v>55</v>
      </c>
      <c r="I900" s="230" t="s">
        <v>511</v>
      </c>
      <c r="J900" s="231" t="s">
        <v>203</v>
      </c>
    </row>
    <row r="901" spans="2:11" x14ac:dyDescent="0.25">
      <c r="B901" s="235">
        <v>45007</v>
      </c>
      <c r="C901" s="233">
        <v>2</v>
      </c>
      <c r="E901" s="238">
        <v>0.70208333333333339</v>
      </c>
      <c r="F901" s="204">
        <v>0.71250000000000002</v>
      </c>
      <c r="G901" s="193">
        <f>IFERROR(IF(E901&gt;F901,((F901+E376B376+1)-(E901+B906))*24,HOUR(F901-E901)+MINUTE(F901-E901)/60),"")</f>
        <v>0.25</v>
      </c>
      <c r="H901" s="230" t="s">
        <v>55</v>
      </c>
      <c r="I901" s="230" t="s">
        <v>511</v>
      </c>
      <c r="J901" s="231" t="s">
        <v>203</v>
      </c>
    </row>
    <row r="902" spans="2:11" x14ac:dyDescent="0.25">
      <c r="B902" s="235">
        <v>45007</v>
      </c>
      <c r="C902" s="195">
        <v>2</v>
      </c>
      <c r="E902" s="238">
        <v>0.83680555555555547</v>
      </c>
      <c r="F902" s="204">
        <v>0.90208333333333324</v>
      </c>
      <c r="G902" s="193">
        <f>IFERROR(IF(E902&gt;F902,((F902+E376B376+1)-(E902+B907))*24,HOUR(F902-E902)+MINUTE(F902-E902)/60),"")</f>
        <v>1.5666666666666667</v>
      </c>
      <c r="H902" s="230" t="s">
        <v>55</v>
      </c>
      <c r="I902" s="230" t="s">
        <v>510</v>
      </c>
      <c r="J902" s="231" t="s">
        <v>227</v>
      </c>
      <c r="K902" s="176" t="s">
        <v>991</v>
      </c>
    </row>
    <row r="903" spans="2:11" x14ac:dyDescent="0.25">
      <c r="B903" s="235">
        <v>45007</v>
      </c>
      <c r="C903" s="233">
        <v>2</v>
      </c>
      <c r="E903" s="238">
        <v>0.93611111111111101</v>
      </c>
      <c r="F903" s="204">
        <v>0.95833333333333337</v>
      </c>
      <c r="G903" s="193">
        <f>IFERROR(IF(E903&gt;F903,((F903+E376B376+1)-(E903+B908))*24,HOUR(F903-E903)+MINUTE(F903-E903)/60),"")</f>
        <v>0.53333333333333333</v>
      </c>
      <c r="H903" s="230" t="s">
        <v>55</v>
      </c>
      <c r="I903" s="230" t="s">
        <v>510</v>
      </c>
      <c r="J903" s="231" t="s">
        <v>227</v>
      </c>
      <c r="K903" s="176" t="s">
        <v>356</v>
      </c>
    </row>
    <row r="904" spans="2:11" x14ac:dyDescent="0.25">
      <c r="B904" s="235">
        <v>45007</v>
      </c>
      <c r="C904" s="195">
        <v>3</v>
      </c>
      <c r="E904" s="238">
        <v>0.95833333333333337</v>
      </c>
      <c r="F904" s="204">
        <v>0.98611111111111116</v>
      </c>
      <c r="G904" s="193">
        <f>IFERROR(IF(E904&gt;F904,((F904+E376B376+1)-(E904+B910))*24,HOUR(F904-E904)+MINUTE(F904-E904)/60),"")</f>
        <v>0.66666666666666663</v>
      </c>
      <c r="H904" s="230" t="s">
        <v>55</v>
      </c>
      <c r="I904" s="230" t="s">
        <v>510</v>
      </c>
      <c r="J904" s="231" t="s">
        <v>227</v>
      </c>
      <c r="K904" s="176" t="s">
        <v>356</v>
      </c>
    </row>
    <row r="905" spans="2:11" x14ac:dyDescent="0.25">
      <c r="B905" s="235">
        <v>45007</v>
      </c>
      <c r="C905" s="195">
        <v>3</v>
      </c>
      <c r="E905" s="238">
        <v>0.27083333333333331</v>
      </c>
      <c r="F905" s="204">
        <v>0.29166666666666669</v>
      </c>
      <c r="G905" s="193">
        <f>IFERROR(IF(E905&gt;F905,((F905+E376B376+1)-(E905+B911))*24,HOUR(F905-E905)+MINUTE(F905-E905)/60),"")</f>
        <v>0.5</v>
      </c>
      <c r="H905" s="230" t="s">
        <v>55</v>
      </c>
      <c r="I905" s="230" t="s">
        <v>510</v>
      </c>
      <c r="J905" s="231" t="s">
        <v>227</v>
      </c>
      <c r="K905" s="176" t="s">
        <v>356</v>
      </c>
    </row>
    <row r="906" spans="2:11" x14ac:dyDescent="0.25">
      <c r="B906" s="235">
        <v>45008</v>
      </c>
      <c r="C906" s="195">
        <v>1</v>
      </c>
      <c r="E906" s="238">
        <v>0.29166666666666669</v>
      </c>
      <c r="F906" s="204">
        <v>0.34375</v>
      </c>
      <c r="G906" s="193">
        <f>IFERROR(IF(E906&gt;F906,((F906+E376B376+1)-(E906+B912))*24,HOUR(F906-E906)+MINUTE(F906-E906)/60),"")</f>
        <v>1.25</v>
      </c>
      <c r="H906" s="230" t="s">
        <v>55</v>
      </c>
      <c r="I906" s="230" t="s">
        <v>510</v>
      </c>
      <c r="J906" s="231" t="s">
        <v>227</v>
      </c>
      <c r="K906" s="176" t="s">
        <v>356</v>
      </c>
    </row>
    <row r="907" spans="2:11" x14ac:dyDescent="0.25">
      <c r="B907" s="235">
        <v>45008</v>
      </c>
      <c r="C907" s="195">
        <v>1</v>
      </c>
      <c r="E907" s="238">
        <v>0.45416666666666666</v>
      </c>
      <c r="F907" s="204">
        <v>0.625</v>
      </c>
      <c r="G907" s="193">
        <f>IFERROR(IF(E907&gt;F907,((F907+E376B376+1)-(E907+B913))*24,HOUR(F907-E907)+MINUTE(F907-E907)/60),"")</f>
        <v>4.0999999999999996</v>
      </c>
      <c r="H907" s="230" t="s">
        <v>184</v>
      </c>
      <c r="I907" s="230" t="s">
        <v>510</v>
      </c>
      <c r="J907" s="231" t="s">
        <v>238</v>
      </c>
      <c r="K907" s="176" t="s">
        <v>1054</v>
      </c>
    </row>
    <row r="908" spans="2:11" x14ac:dyDescent="0.25">
      <c r="B908" s="235">
        <v>45008</v>
      </c>
      <c r="C908" s="195">
        <v>2</v>
      </c>
      <c r="E908" s="238">
        <v>0.625</v>
      </c>
      <c r="F908" s="204">
        <v>0.72569444444444453</v>
      </c>
      <c r="G908" s="193">
        <f>IFERROR(IF(E908&gt;F908,((F908+E376B376+1)-(E908+B914))*24,HOUR(F908-E908)+MINUTE(F908-E908)/60),"")</f>
        <v>2.4166666666666665</v>
      </c>
      <c r="H908" s="230" t="s">
        <v>187</v>
      </c>
      <c r="I908" s="230" t="s">
        <v>510</v>
      </c>
      <c r="J908" s="231" t="s">
        <v>238</v>
      </c>
      <c r="K908" s="176" t="s">
        <v>1055</v>
      </c>
    </row>
    <row r="909" spans="2:11" s="233" customFormat="1" x14ac:dyDescent="0.25">
      <c r="B909" s="235">
        <v>45008</v>
      </c>
      <c r="C909" s="233">
        <v>2</v>
      </c>
      <c r="E909" s="238">
        <v>0.78611111111111109</v>
      </c>
      <c r="F909" s="204">
        <v>0.8125</v>
      </c>
      <c r="G909" s="193">
        <f>IFERROR(IF(E909&gt;F909,((F909+E376B376+1)-(E909+B915))*24,HOUR(F909-E909)+MINUTE(F909-E909)/60),"")</f>
        <v>0.6333333333333333</v>
      </c>
      <c r="H909" s="230"/>
      <c r="I909" s="230" t="s">
        <v>513</v>
      </c>
      <c r="J909" s="231" t="s">
        <v>78</v>
      </c>
      <c r="K909" s="176"/>
    </row>
    <row r="910" spans="2:11" x14ac:dyDescent="0.25">
      <c r="B910" s="235">
        <v>45008</v>
      </c>
      <c r="C910" s="195">
        <v>2</v>
      </c>
      <c r="E910" s="317">
        <v>0.8125</v>
      </c>
      <c r="F910" s="204">
        <v>0.84791666666666676</v>
      </c>
      <c r="G910" s="193">
        <f>IFERROR(IF(E910&gt;F910,((F910+E376B376+1)-(E910+B916))*24,HOUR(F910-E910)+MINUTE(F910-E910)/60),"")</f>
        <v>0.85</v>
      </c>
      <c r="H910" s="230" t="s">
        <v>55</v>
      </c>
      <c r="I910" s="230" t="s">
        <v>510</v>
      </c>
      <c r="J910" s="231" t="s">
        <v>227</v>
      </c>
      <c r="K910" s="176" t="s">
        <v>356</v>
      </c>
    </row>
    <row r="911" spans="2:11" x14ac:dyDescent="0.25">
      <c r="B911" s="235">
        <v>45008</v>
      </c>
      <c r="C911" s="195">
        <v>2</v>
      </c>
      <c r="E911" s="238">
        <v>0.94444444444444453</v>
      </c>
      <c r="F911" s="204">
        <v>0.95833333333333337</v>
      </c>
      <c r="G911" s="193">
        <f>IFERROR(IF(E911&gt;F911,((F911+E376B376+1)-(E911+B916))*24,HOUR(F911-E911)+MINUTE(F911-E911)/60),"")</f>
        <v>0.33333333333333331</v>
      </c>
      <c r="H911" s="230" t="s">
        <v>55</v>
      </c>
      <c r="I911" s="230" t="s">
        <v>510</v>
      </c>
      <c r="J911" s="231" t="s">
        <v>227</v>
      </c>
      <c r="K911" s="176" t="s">
        <v>356</v>
      </c>
    </row>
    <row r="912" spans="2:11" x14ac:dyDescent="0.25">
      <c r="B912" s="235">
        <v>45008</v>
      </c>
      <c r="C912" s="195">
        <v>3</v>
      </c>
      <c r="E912" s="238">
        <v>0.95833333333333337</v>
      </c>
      <c r="F912" s="204">
        <v>0.96875</v>
      </c>
      <c r="G912" s="193">
        <f>IFERROR(IF(E912&gt;F912,((F912+E376B376+1)-(E912+B917))*24,HOUR(F912-E912)+MINUTE(F912-E912)/60),"")</f>
        <v>0.25</v>
      </c>
      <c r="H912" s="230" t="s">
        <v>55</v>
      </c>
      <c r="I912" s="230" t="s">
        <v>510</v>
      </c>
      <c r="J912" s="231" t="s">
        <v>227</v>
      </c>
      <c r="K912" s="176" t="s">
        <v>356</v>
      </c>
    </row>
    <row r="913" spans="2:11" x14ac:dyDescent="0.25">
      <c r="B913" s="235">
        <v>45008</v>
      </c>
      <c r="C913" s="195">
        <v>3</v>
      </c>
      <c r="E913" s="238">
        <v>0.97222222222222221</v>
      </c>
      <c r="F913" s="204">
        <v>0.98263888888888884</v>
      </c>
      <c r="G913" s="193">
        <f>IFERROR(IF(E913&gt;F913,((F913+E376B376+1)-(E913+B918))*24,HOUR(F913-E913)+MINUTE(F913-E913)/60),"")</f>
        <v>0.25</v>
      </c>
      <c r="H913" s="230" t="s">
        <v>55</v>
      </c>
      <c r="I913" s="230" t="s">
        <v>510</v>
      </c>
      <c r="J913" s="231" t="s">
        <v>227</v>
      </c>
      <c r="K913" s="176" t="s">
        <v>1056</v>
      </c>
    </row>
    <row r="914" spans="2:11" x14ac:dyDescent="0.25">
      <c r="B914" s="235">
        <v>45008</v>
      </c>
      <c r="C914" s="195">
        <v>3</v>
      </c>
      <c r="E914" s="238">
        <v>0.27777777777777779</v>
      </c>
      <c r="F914" s="204">
        <v>0.29166666666666669</v>
      </c>
      <c r="G914" s="193">
        <f>IFERROR(IF(E914&gt;F914,((F914+E376B376+1)-(E914+B919))*24,HOUR(F914-E914)+MINUTE(F914-E914)/60),"")</f>
        <v>0.33333333333333331</v>
      </c>
      <c r="H914" s="230" t="s">
        <v>55</v>
      </c>
      <c r="I914" s="230" t="s">
        <v>510</v>
      </c>
      <c r="J914" s="231" t="s">
        <v>227</v>
      </c>
      <c r="K914" s="176" t="s">
        <v>356</v>
      </c>
    </row>
    <row r="915" spans="2:11" x14ac:dyDescent="0.25">
      <c r="B915" s="235">
        <v>45009</v>
      </c>
      <c r="C915" s="195">
        <v>1</v>
      </c>
      <c r="D915" s="238">
        <v>0.29166666666666669</v>
      </c>
      <c r="E915" s="238">
        <v>0.29166666666666669</v>
      </c>
      <c r="F915" s="204">
        <v>0.29652777777777778</v>
      </c>
      <c r="G915" s="193">
        <f>IFERROR(IF(E915&gt;F915,((F915+E376B376+1)-(E915+B920))*24,HOUR(F915-E915)+MINUTE(F915-E915)/60),"")</f>
        <v>0.11666666666666667</v>
      </c>
      <c r="H915" s="230" t="s">
        <v>55</v>
      </c>
      <c r="I915" s="230" t="s">
        <v>510</v>
      </c>
      <c r="J915" s="231" t="s">
        <v>227</v>
      </c>
      <c r="K915" s="176" t="s">
        <v>356</v>
      </c>
    </row>
    <row r="916" spans="2:11" x14ac:dyDescent="0.25">
      <c r="B916" s="235">
        <v>45009</v>
      </c>
      <c r="C916" s="195">
        <v>1</v>
      </c>
      <c r="E916" s="238">
        <v>0.33680555555555558</v>
      </c>
      <c r="F916" s="204">
        <v>0.3611111111111111</v>
      </c>
      <c r="G916" s="193">
        <f>IFERROR(IF(E916&gt;F916,((F916+E376B376+1)-(E916+B921))*24,HOUR(F916-E916)+MINUTE(F916-E916)/60),"")</f>
        <v>0.58333333333333337</v>
      </c>
      <c r="H916" s="230" t="s">
        <v>142</v>
      </c>
      <c r="I916" s="230" t="s">
        <v>509</v>
      </c>
      <c r="J916" s="231" t="s">
        <v>600</v>
      </c>
    </row>
    <row r="917" spans="2:11" x14ac:dyDescent="0.25">
      <c r="B917" s="235">
        <v>45009</v>
      </c>
      <c r="C917" s="195">
        <v>1</v>
      </c>
      <c r="E917" s="238">
        <v>0.45833333333333331</v>
      </c>
      <c r="F917" s="204">
        <v>0.625</v>
      </c>
      <c r="G917" s="193">
        <f>IFERROR(IF(E917&gt;F917,((F917+E376B376+1)-(E917+B922))*24,HOUR(F917-E917)+MINUTE(F917-E917)/60),"")</f>
        <v>4</v>
      </c>
      <c r="H917" s="230" t="s">
        <v>55</v>
      </c>
      <c r="I917" s="230" t="s">
        <v>510</v>
      </c>
      <c r="J917" s="231" t="s">
        <v>227</v>
      </c>
      <c r="K917" s="176" t="s">
        <v>356</v>
      </c>
    </row>
    <row r="918" spans="2:11" x14ac:dyDescent="0.25">
      <c r="B918" s="235">
        <v>45009</v>
      </c>
      <c r="C918" s="195">
        <v>2</v>
      </c>
      <c r="E918" s="238">
        <v>0.625</v>
      </c>
      <c r="F918" s="204">
        <v>0.95833333333333337</v>
      </c>
      <c r="G918" s="193">
        <f>IFERROR(IF(E918&gt;F918,((F918+E376B376+1)-(E918+B923))*24,HOUR(F918-E918)+MINUTE(F918-E918)/60),"")</f>
        <v>8</v>
      </c>
      <c r="H918" s="230" t="s">
        <v>55</v>
      </c>
      <c r="I918" s="230" t="s">
        <v>510</v>
      </c>
      <c r="J918" s="231" t="s">
        <v>227</v>
      </c>
      <c r="K918" s="176" t="s">
        <v>356</v>
      </c>
    </row>
    <row r="919" spans="2:11" x14ac:dyDescent="0.25">
      <c r="B919" s="235">
        <v>45009</v>
      </c>
      <c r="C919" s="195">
        <v>3</v>
      </c>
      <c r="E919" s="238">
        <v>0.96875</v>
      </c>
      <c r="F919" s="204">
        <v>0.97916666666666663</v>
      </c>
      <c r="G919" s="193">
        <f>IFERROR(IF(E919&gt;F919,((F919+E376B376+1)-(E919+B924))*24,HOUR(F919-E919)+MINUTE(F919-E919)/60),"")</f>
        <v>0.25</v>
      </c>
      <c r="H919" s="230" t="s">
        <v>147</v>
      </c>
      <c r="I919" s="230" t="s">
        <v>511</v>
      </c>
      <c r="J919" s="231" t="s">
        <v>146</v>
      </c>
      <c r="K919" s="176" t="s">
        <v>1046</v>
      </c>
    </row>
    <row r="920" spans="2:11" x14ac:dyDescent="0.25">
      <c r="B920" s="235">
        <v>45009</v>
      </c>
      <c r="C920" s="195">
        <v>3</v>
      </c>
      <c r="D920" s="233"/>
      <c r="E920" s="238">
        <v>4.1666666666666664E-2</v>
      </c>
      <c r="F920" s="204">
        <v>0.29166666666666669</v>
      </c>
      <c r="G920" s="193">
        <f>IFERROR(IF(E920&gt;F920,((F920+E376B376+1)-(E920+B925))*24,HOUR(F920-E920)+MINUTE(F920-E920)/60),"")</f>
        <v>6</v>
      </c>
      <c r="H920" s="230" t="s">
        <v>55</v>
      </c>
      <c r="I920" s="230" t="s">
        <v>510</v>
      </c>
      <c r="J920" s="231" t="s">
        <v>227</v>
      </c>
      <c r="K920" s="176" t="s">
        <v>356</v>
      </c>
    </row>
    <row r="921" spans="2:11" x14ac:dyDescent="0.25">
      <c r="B921" s="235">
        <v>45010</v>
      </c>
      <c r="C921" s="233">
        <v>1</v>
      </c>
      <c r="E921" s="238">
        <v>0.29166666666666669</v>
      </c>
      <c r="F921" s="204">
        <v>0.625</v>
      </c>
      <c r="G921" s="193">
        <f>IFERROR(IF(E921&gt;F921,((F921+E376B376+1)-(E921+B926))*24,HOUR(F921-E921)+MINUTE(F921-E921)/60),"")</f>
        <v>8</v>
      </c>
      <c r="H921" s="230" t="s">
        <v>55</v>
      </c>
      <c r="I921" s="230" t="s">
        <v>510</v>
      </c>
      <c r="J921" s="231" t="s">
        <v>227</v>
      </c>
      <c r="K921" s="176" t="s">
        <v>1059</v>
      </c>
    </row>
    <row r="922" spans="2:11" x14ac:dyDescent="0.25">
      <c r="B922" s="235">
        <v>45010</v>
      </c>
      <c r="C922" s="195">
        <v>2</v>
      </c>
      <c r="E922" s="238">
        <v>0.625</v>
      </c>
      <c r="F922" s="204">
        <v>0.95833333333333337</v>
      </c>
      <c r="G922" s="193">
        <f>IFERROR(IF(E922&gt;F922,((F922+E376B376+1)-(E922+B927))*24,HOUR(F922-E922)+MINUTE(F922-E922)/60),"")</f>
        <v>8</v>
      </c>
      <c r="H922" s="230" t="s">
        <v>55</v>
      </c>
      <c r="I922" s="230" t="s">
        <v>510</v>
      </c>
      <c r="J922" s="231" t="s">
        <v>227</v>
      </c>
      <c r="K922" s="176" t="s">
        <v>1059</v>
      </c>
    </row>
    <row r="923" spans="2:11" x14ac:dyDescent="0.25">
      <c r="B923" s="235">
        <v>45010</v>
      </c>
      <c r="C923" s="195">
        <v>3</v>
      </c>
      <c r="E923" s="238">
        <v>0.95833333333333337</v>
      </c>
      <c r="F923" s="204">
        <v>0.29166666666666669</v>
      </c>
      <c r="G923" s="193">
        <v>8</v>
      </c>
      <c r="H923" s="230" t="s">
        <v>55</v>
      </c>
      <c r="I923" s="230" t="s">
        <v>510</v>
      </c>
      <c r="J923" s="231" t="s">
        <v>227</v>
      </c>
      <c r="K923" s="176" t="s">
        <v>1059</v>
      </c>
    </row>
    <row r="924" spans="2:11" x14ac:dyDescent="0.25">
      <c r="B924" s="235">
        <v>45011</v>
      </c>
      <c r="C924" s="195">
        <v>1</v>
      </c>
      <c r="E924" s="238">
        <v>0.29166666666666669</v>
      </c>
      <c r="F924" s="204">
        <v>0.625</v>
      </c>
      <c r="G924" s="193">
        <f>IFERROR(IF(E924&gt;F924,((F924+E376B376+1)-(E924+B929))*24,HOUR(F924-E924)+MINUTE(F924-E924)/60),"")</f>
        <v>8</v>
      </c>
      <c r="H924" s="230" t="s">
        <v>55</v>
      </c>
      <c r="I924" s="230" t="s">
        <v>510</v>
      </c>
      <c r="J924" s="231" t="s">
        <v>227</v>
      </c>
      <c r="K924" s="176" t="s">
        <v>1059</v>
      </c>
    </row>
    <row r="925" spans="2:11" x14ac:dyDescent="0.25">
      <c r="B925" s="235">
        <v>45011</v>
      </c>
      <c r="C925" s="233">
        <v>2</v>
      </c>
      <c r="D925" s="233"/>
      <c r="E925" s="238">
        <v>0.625</v>
      </c>
      <c r="F925" s="204">
        <v>0.95833333333333337</v>
      </c>
      <c r="G925" s="193">
        <f>IFERROR(IF(E925&gt;F925,((F925+E376B376+1)-(E925+B930))*24,HOUR(F925-E925)+MINUTE(F925-E925)/60),"")</f>
        <v>8</v>
      </c>
      <c r="H925" s="230" t="s">
        <v>55</v>
      </c>
      <c r="I925" s="230" t="s">
        <v>510</v>
      </c>
      <c r="J925" s="231" t="s">
        <v>227</v>
      </c>
      <c r="K925" s="176" t="s">
        <v>1059</v>
      </c>
    </row>
    <row r="926" spans="2:11" x14ac:dyDescent="0.25">
      <c r="B926" s="235">
        <v>45011</v>
      </c>
      <c r="C926" s="233">
        <v>3</v>
      </c>
      <c r="D926" s="233"/>
      <c r="E926" s="238">
        <v>0.95833333333333337</v>
      </c>
      <c r="F926" s="204">
        <v>0.29166666666666669</v>
      </c>
      <c r="G926" s="193">
        <v>8</v>
      </c>
      <c r="H926" s="230" t="s">
        <v>55</v>
      </c>
      <c r="I926" s="230" t="s">
        <v>510</v>
      </c>
      <c r="J926" s="231" t="s">
        <v>227</v>
      </c>
      <c r="K926" s="176" t="s">
        <v>1059</v>
      </c>
    </row>
    <row r="927" spans="2:11" x14ac:dyDescent="0.25">
      <c r="B927" s="235">
        <v>45012</v>
      </c>
      <c r="C927" s="195">
        <v>1</v>
      </c>
      <c r="E927" s="238">
        <v>0.29166666666666669</v>
      </c>
      <c r="F927" s="204">
        <v>0.43402777777777773</v>
      </c>
      <c r="G927" s="193">
        <f>IFERROR(IF(E927&gt;F927,((F927+E376B376+1)-(E927+B932))*24,HOUR(F927-E927)+MINUTE(F927-E927)/60),"")</f>
        <v>3.4166666666666665</v>
      </c>
      <c r="H927" s="230" t="s">
        <v>55</v>
      </c>
      <c r="I927" s="230" t="s">
        <v>510</v>
      </c>
      <c r="J927" s="231" t="s">
        <v>227</v>
      </c>
      <c r="K927" s="176" t="s">
        <v>1059</v>
      </c>
    </row>
    <row r="928" spans="2:11" x14ac:dyDescent="0.25">
      <c r="B928" s="235">
        <v>45012</v>
      </c>
      <c r="C928" s="195">
        <v>2</v>
      </c>
      <c r="E928" s="238">
        <v>0.625</v>
      </c>
      <c r="F928" s="204">
        <v>0.8652777777777777</v>
      </c>
      <c r="G928" s="193">
        <f>IFERROR(IF(E928&gt;F928,((F928+E376B376+1)-(E928+B933))*24,HOUR(F928-E928)+MINUTE(F928-E928)/60),"")</f>
        <v>5.7666666666666666</v>
      </c>
      <c r="H928" s="230" t="s">
        <v>55</v>
      </c>
      <c r="I928" s="230" t="s">
        <v>510</v>
      </c>
      <c r="J928" s="231" t="s">
        <v>227</v>
      </c>
      <c r="K928" s="176" t="s">
        <v>1059</v>
      </c>
    </row>
    <row r="929" spans="2:11" x14ac:dyDescent="0.25">
      <c r="B929" s="235">
        <v>45012</v>
      </c>
      <c r="C929" s="195">
        <v>2</v>
      </c>
      <c r="E929" s="238">
        <v>0.93333333333333324</v>
      </c>
      <c r="F929" s="204">
        <v>0.95833333333333337</v>
      </c>
      <c r="G929" s="193">
        <f>IFERROR(IF(E929&gt;F929,((F929+E376B376+1)-(E929+B934))*24,HOUR(F929-E929)+MINUTE(F929-E929)/60),"")</f>
        <v>0.6</v>
      </c>
      <c r="H929" s="230" t="s">
        <v>55</v>
      </c>
      <c r="I929" s="230" t="s">
        <v>510</v>
      </c>
      <c r="J929" s="231" t="s">
        <v>227</v>
      </c>
      <c r="K929" s="176" t="s">
        <v>1059</v>
      </c>
    </row>
    <row r="930" spans="2:11" x14ac:dyDescent="0.25">
      <c r="B930" s="235">
        <v>45012</v>
      </c>
      <c r="C930" s="195">
        <v>3</v>
      </c>
      <c r="E930" s="238">
        <v>0.95833333333333337</v>
      </c>
      <c r="F930" s="204">
        <v>1.0416666666666666E-2</v>
      </c>
      <c r="G930" s="193">
        <v>1.25</v>
      </c>
      <c r="H930" s="230" t="s">
        <v>55</v>
      </c>
      <c r="I930" s="230" t="s">
        <v>510</v>
      </c>
      <c r="J930" s="231" t="s">
        <v>227</v>
      </c>
      <c r="K930" s="176" t="s">
        <v>1061</v>
      </c>
    </row>
    <row r="931" spans="2:11" x14ac:dyDescent="0.25">
      <c r="B931" s="235">
        <v>45012</v>
      </c>
      <c r="C931" s="195">
        <v>3</v>
      </c>
      <c r="E931" s="238">
        <v>7.2916666666666671E-2</v>
      </c>
      <c r="F931" s="204">
        <v>9.2361111111111116E-2</v>
      </c>
      <c r="G931" s="193">
        <f>IFERROR(IF(E931&gt;F931,((F931+E376B376+1)-(E931+B936))*24,HOUR(F931-E931)+MINUTE(F931-E931)/60),"")</f>
        <v>0.46666666666666667</v>
      </c>
      <c r="H931" s="230" t="s">
        <v>55</v>
      </c>
      <c r="I931" s="230" t="s">
        <v>510</v>
      </c>
      <c r="J931" s="231" t="s">
        <v>227</v>
      </c>
      <c r="K931" s="176" t="s">
        <v>1061</v>
      </c>
    </row>
    <row r="932" spans="2:11" x14ac:dyDescent="0.25">
      <c r="B932" s="235">
        <v>45012</v>
      </c>
      <c r="C932" s="195">
        <v>3</v>
      </c>
      <c r="E932" s="238">
        <v>0.27083333333333331</v>
      </c>
      <c r="F932" s="204">
        <v>0.29166666666666669</v>
      </c>
      <c r="G932" s="193">
        <f>IFERROR(IF(E932&gt;F932,((F932+E376B376+1)-(E932+B937))*24,HOUR(F932-E932)+MINUTE(F932-E932)/60),"")</f>
        <v>0.5</v>
      </c>
      <c r="H932" s="230" t="s">
        <v>55</v>
      </c>
      <c r="I932" s="230" t="s">
        <v>510</v>
      </c>
      <c r="J932" s="231" t="s">
        <v>227</v>
      </c>
      <c r="K932" s="176" t="s">
        <v>1061</v>
      </c>
    </row>
    <row r="933" spans="2:11" x14ac:dyDescent="0.25">
      <c r="B933" s="235">
        <v>45013</v>
      </c>
      <c r="C933" s="195">
        <v>1</v>
      </c>
      <c r="E933" s="238">
        <v>0.29166666666666669</v>
      </c>
      <c r="F933" s="204">
        <v>0.34375</v>
      </c>
      <c r="G933" s="193">
        <f>IFERROR(IF(E933&gt;F933,((F933+E376B376+1)-(E933+B938))*24,HOUR(F933-E933)+MINUTE(F933-E933)/60),"")</f>
        <v>1.25</v>
      </c>
      <c r="H933" s="230" t="s">
        <v>55</v>
      </c>
      <c r="I933" s="230" t="s">
        <v>510</v>
      </c>
      <c r="J933" s="231" t="s">
        <v>227</v>
      </c>
      <c r="K933" s="176" t="s">
        <v>1061</v>
      </c>
    </row>
    <row r="934" spans="2:11" x14ac:dyDescent="0.25">
      <c r="B934" s="235">
        <v>45013</v>
      </c>
      <c r="C934" s="195">
        <v>1</v>
      </c>
      <c r="E934" s="238">
        <v>0.47569444444444442</v>
      </c>
      <c r="F934" s="204">
        <v>0.48958333333333331</v>
      </c>
      <c r="G934" s="193">
        <f>IFERROR(IF(E934&gt;F934,((F934+E376B376+1)-(E934+B939))*24,HOUR(F934-E934)+MINUTE(F934-E934)/60),"")</f>
        <v>0.33333333333333331</v>
      </c>
      <c r="H934" s="230" t="s">
        <v>55</v>
      </c>
      <c r="I934" s="230" t="s">
        <v>510</v>
      </c>
      <c r="J934" s="231" t="s">
        <v>227</v>
      </c>
      <c r="K934" s="176" t="s">
        <v>1061</v>
      </c>
    </row>
    <row r="935" spans="2:11" x14ac:dyDescent="0.25">
      <c r="B935" s="235">
        <v>45013</v>
      </c>
      <c r="C935" s="195">
        <v>1</v>
      </c>
      <c r="E935" s="238">
        <v>0.60069444444444442</v>
      </c>
      <c r="F935" s="204">
        <v>0.625</v>
      </c>
      <c r="G935" s="193">
        <f>IFERROR(IF(E935&gt;F935,((F935+E376B376+1)-(E935+B940))*24,HOUR(F935-E935)+MINUTE(F935-E935)/60),"")</f>
        <v>0.58333333333333337</v>
      </c>
      <c r="H935" s="230" t="s">
        <v>55</v>
      </c>
      <c r="I935" s="230" t="s">
        <v>510</v>
      </c>
      <c r="J935" s="231" t="s">
        <v>227</v>
      </c>
      <c r="K935" s="176" t="s">
        <v>1061</v>
      </c>
    </row>
    <row r="936" spans="2:11" x14ac:dyDescent="0.25">
      <c r="B936" s="235">
        <v>45013</v>
      </c>
      <c r="C936" s="195">
        <v>2</v>
      </c>
      <c r="E936" s="238">
        <v>0.625</v>
      </c>
      <c r="F936" s="204">
        <v>0.84375</v>
      </c>
      <c r="G936" s="193">
        <f>IFERROR(IF(E936&gt;F936,((F936+E376B376+1)-(E936+B941))*24,HOUR(F936-E936)+MINUTE(F936-E936)/60),"")</f>
        <v>5.25</v>
      </c>
      <c r="H936" s="230" t="s">
        <v>55</v>
      </c>
      <c r="I936" s="230" t="s">
        <v>510</v>
      </c>
      <c r="J936" s="231" t="s">
        <v>227</v>
      </c>
      <c r="K936" s="176" t="s">
        <v>1061</v>
      </c>
    </row>
    <row r="937" spans="2:11" x14ac:dyDescent="0.25">
      <c r="B937" s="235">
        <v>45013</v>
      </c>
      <c r="C937" s="195">
        <v>2</v>
      </c>
      <c r="E937" s="238">
        <v>0.9375</v>
      </c>
      <c r="F937" s="204">
        <v>0.95833333333333337</v>
      </c>
      <c r="G937" s="193">
        <f>IFERROR(IF(E937&gt;F937,((F937+E376B376+1)-(E937+B942))*24,HOUR(F937-E937)+MINUTE(F937-E937)/60),"")</f>
        <v>0.5</v>
      </c>
      <c r="H937" s="230" t="s">
        <v>55</v>
      </c>
      <c r="I937" s="230" t="s">
        <v>510</v>
      </c>
      <c r="J937" s="231" t="s">
        <v>227</v>
      </c>
      <c r="K937" s="176" t="s">
        <v>1061</v>
      </c>
    </row>
    <row r="938" spans="2:11" x14ac:dyDescent="0.25">
      <c r="B938" s="235">
        <v>45013</v>
      </c>
      <c r="C938" s="195">
        <v>3</v>
      </c>
      <c r="E938" s="238">
        <v>0.95833333333333337</v>
      </c>
      <c r="F938" s="204">
        <v>0.98055555555555562</v>
      </c>
      <c r="G938" s="193">
        <f>IFERROR(IF(E938&gt;F938,((F938+E376B376+1)-(E938+B943))*24,HOUR(F938-E938)+MINUTE(F938-E938)/60),"")</f>
        <v>0.53333333333333333</v>
      </c>
      <c r="H938" s="230" t="s">
        <v>55</v>
      </c>
      <c r="I938" s="230" t="s">
        <v>510</v>
      </c>
      <c r="J938" s="231" t="s">
        <v>227</v>
      </c>
      <c r="K938" s="176" t="s">
        <v>1061</v>
      </c>
    </row>
    <row r="939" spans="2:11" x14ac:dyDescent="0.25">
      <c r="B939" s="235">
        <v>45013</v>
      </c>
      <c r="C939" s="233">
        <v>3</v>
      </c>
      <c r="E939" s="238">
        <v>0.2722222222222222</v>
      </c>
      <c r="F939" s="204">
        <v>0.29166666666666669</v>
      </c>
      <c r="G939" s="193">
        <f>IFERROR(IF(E939&gt;F939,((F939+E376B376+1)-(E939+B944))*24,HOUR(F939-E939)+MINUTE(F939-E939)/60),"")</f>
        <v>0.46666666666666667</v>
      </c>
      <c r="H939" s="230" t="s">
        <v>55</v>
      </c>
      <c r="I939" s="230" t="s">
        <v>510</v>
      </c>
      <c r="J939" s="231" t="s">
        <v>227</v>
      </c>
      <c r="K939" s="176" t="s">
        <v>1061</v>
      </c>
    </row>
    <row r="940" spans="2:11" x14ac:dyDescent="0.25">
      <c r="B940" s="235">
        <v>45014</v>
      </c>
      <c r="C940" s="195">
        <v>1</v>
      </c>
      <c r="E940" s="238">
        <v>0.29166666666666669</v>
      </c>
      <c r="F940" s="204">
        <v>0.4861111111111111</v>
      </c>
      <c r="G940" s="193">
        <f>IFERROR(IF(E940&gt;F940,((F940+E376B376+1)-(E940+B945))*24,HOUR(F940-E940)+MINUTE(F940-E940)/60),"")</f>
        <v>4.666666666666667</v>
      </c>
      <c r="H940" s="230" t="s">
        <v>167</v>
      </c>
      <c r="I940" s="230" t="s">
        <v>510</v>
      </c>
      <c r="J940" s="176" t="s">
        <v>624</v>
      </c>
    </row>
    <row r="941" spans="2:11" x14ac:dyDescent="0.25">
      <c r="B941" s="235">
        <v>45014</v>
      </c>
      <c r="C941" s="195">
        <v>1</v>
      </c>
      <c r="E941" s="238">
        <v>0.56944444444444442</v>
      </c>
      <c r="F941" s="204">
        <v>0.625</v>
      </c>
      <c r="G941" s="193">
        <f>IFERROR(IF(E941&gt;F941,((F941+E376B376+1)-(E941+B946))*24,HOUR(F941-E941)+MINUTE(F941-E941)/60),"")</f>
        <v>1.3333333333333333</v>
      </c>
      <c r="H941" s="230" t="s">
        <v>55</v>
      </c>
      <c r="I941" s="230" t="s">
        <v>510</v>
      </c>
      <c r="J941" s="231" t="s">
        <v>227</v>
      </c>
      <c r="K941" s="176" t="s">
        <v>1061</v>
      </c>
    </row>
    <row r="942" spans="2:11" x14ac:dyDescent="0.25">
      <c r="B942" s="235">
        <v>45014</v>
      </c>
      <c r="C942" s="233">
        <v>2</v>
      </c>
      <c r="D942" s="233"/>
      <c r="E942" s="238">
        <v>0.625</v>
      </c>
      <c r="F942" s="204">
        <v>0.66666666666666663</v>
      </c>
      <c r="G942" s="193">
        <f>IFERROR(IF(E942&gt;F942,((F942+E376B376+1)-(E942+B947))*24,HOUR(F942-E942)+MINUTE(F942-E942)/60),"")</f>
        <v>1</v>
      </c>
      <c r="H942" s="230" t="s">
        <v>55</v>
      </c>
      <c r="I942" s="230" t="s">
        <v>510</v>
      </c>
      <c r="J942" s="231" t="s">
        <v>227</v>
      </c>
      <c r="K942" s="176" t="s">
        <v>1061</v>
      </c>
    </row>
    <row r="943" spans="2:11" x14ac:dyDescent="0.25">
      <c r="B943" s="235">
        <v>45014</v>
      </c>
      <c r="C943" s="195">
        <v>2</v>
      </c>
      <c r="E943" s="238">
        <v>0.71180555555555547</v>
      </c>
      <c r="F943" s="204">
        <v>0.72569444444444453</v>
      </c>
      <c r="G943" s="193">
        <f>IFERROR(IF(E943&gt;F943,((F943+E376B376+1)-(E943+B948))*24,HOUR(F943-E943)+MINUTE(F943-E943)/60),"")</f>
        <v>0.33333333333333331</v>
      </c>
      <c r="H943" s="230" t="s">
        <v>55</v>
      </c>
      <c r="I943" s="230" t="s">
        <v>510</v>
      </c>
      <c r="J943" s="231" t="s">
        <v>227</v>
      </c>
      <c r="K943" s="176" t="s">
        <v>1061</v>
      </c>
    </row>
    <row r="944" spans="2:11" x14ac:dyDescent="0.25">
      <c r="B944" s="235">
        <v>45014</v>
      </c>
      <c r="C944" s="195">
        <v>2</v>
      </c>
      <c r="E944" s="238">
        <v>0.77083333333333337</v>
      </c>
      <c r="F944" s="204">
        <v>0.84027777777777779</v>
      </c>
      <c r="G944" s="193">
        <f>IFERROR(IF(E944&gt;F944,((F944+E376B376+1)-(E944+B949))*24,HOUR(F944-E944)+MINUTE(F944-E944)/60),"")</f>
        <v>1.6666666666666665</v>
      </c>
      <c r="H944" s="230" t="s">
        <v>55</v>
      </c>
      <c r="I944" s="230" t="s">
        <v>510</v>
      </c>
      <c r="J944" s="231" t="s">
        <v>227</v>
      </c>
      <c r="K944" s="176" t="s">
        <v>1061</v>
      </c>
    </row>
    <row r="945" spans="2:11" x14ac:dyDescent="0.25">
      <c r="B945" s="235">
        <v>45014</v>
      </c>
      <c r="C945" s="195">
        <v>2</v>
      </c>
      <c r="E945" s="238">
        <v>0.9375</v>
      </c>
      <c r="F945" s="204">
        <v>0.95833333333333337</v>
      </c>
      <c r="G945" s="193">
        <f>IFERROR(IF(E945&gt;F945,((F945+E376B376+1)-(E945+B950))*24,HOUR(F945-E945)+MINUTE(F945-E945)/60),"")</f>
        <v>0.5</v>
      </c>
      <c r="H945" s="230" t="s">
        <v>55</v>
      </c>
      <c r="I945" s="230" t="s">
        <v>510</v>
      </c>
      <c r="J945" s="231" t="s">
        <v>227</v>
      </c>
      <c r="K945" s="176" t="s">
        <v>1061</v>
      </c>
    </row>
    <row r="946" spans="2:11" x14ac:dyDescent="0.25">
      <c r="B946" s="235">
        <v>45014</v>
      </c>
      <c r="C946" s="195">
        <v>3</v>
      </c>
      <c r="E946" s="238">
        <v>0.95833333333333337</v>
      </c>
      <c r="F946" s="204">
        <v>0.99236111111111114</v>
      </c>
      <c r="G946" s="193">
        <f>IFERROR(IF(E946&gt;F946,((F946+E376B376+1)-(E946+B951))*24,HOUR(F946-E946)+MINUTE(F946-E946)/60),"")</f>
        <v>0.81666666666666665</v>
      </c>
      <c r="H946" s="230" t="s">
        <v>55</v>
      </c>
      <c r="I946" s="230" t="s">
        <v>510</v>
      </c>
      <c r="J946" s="231" t="s">
        <v>227</v>
      </c>
      <c r="K946" s="176" t="s">
        <v>1061</v>
      </c>
    </row>
    <row r="947" spans="2:11" x14ac:dyDescent="0.25">
      <c r="B947" s="235">
        <v>45014</v>
      </c>
      <c r="C947" s="233">
        <v>3</v>
      </c>
      <c r="E947" s="238">
        <v>0.27569444444444446</v>
      </c>
      <c r="F947" s="204">
        <v>0.29166666666666669</v>
      </c>
      <c r="G947" s="193">
        <f>IFERROR(IF(E947&gt;F947,((F947+E376B376+1)-(E947+B952))*24,HOUR(F947-E947)+MINUTE(F947-E947)/60),"")</f>
        <v>0.38333333333333336</v>
      </c>
      <c r="I947" s="339" t="s">
        <v>156</v>
      </c>
      <c r="J947" s="339" t="s">
        <v>149</v>
      </c>
      <c r="K947" s="176" t="s">
        <v>1065</v>
      </c>
    </row>
    <row r="948" spans="2:11" x14ac:dyDescent="0.25">
      <c r="B948" s="235">
        <v>45015</v>
      </c>
      <c r="C948" s="195">
        <v>1</v>
      </c>
      <c r="E948" s="238">
        <v>0.29166666666666669</v>
      </c>
      <c r="F948" s="204">
        <v>0.625</v>
      </c>
      <c r="G948" s="193">
        <f>IFERROR(IF(E948&gt;F948,((F948+E376B376+1)-(E948+B953))*24,HOUR(F948-E948)+MINUTE(F948-E948)/60),"")</f>
        <v>8</v>
      </c>
      <c r="I948" s="339" t="s">
        <v>156</v>
      </c>
      <c r="J948" s="339" t="s">
        <v>149</v>
      </c>
    </row>
    <row r="949" spans="2:11" x14ac:dyDescent="0.25">
      <c r="B949" s="235">
        <v>45015</v>
      </c>
      <c r="C949" s="195">
        <v>2</v>
      </c>
      <c r="E949" s="238">
        <v>0.625</v>
      </c>
      <c r="F949" s="204">
        <v>0.70833333333333337</v>
      </c>
      <c r="G949" s="193">
        <f>IFERROR(IF(E949&gt;F949,((F949+E376B376+1)-(E949+B954))*24,HOUR(F949-E949)+MINUTE(F949-E949)/60),"")</f>
        <v>2</v>
      </c>
      <c r="I949" s="339" t="s">
        <v>156</v>
      </c>
      <c r="J949" s="339" t="s">
        <v>149</v>
      </c>
    </row>
    <row r="950" spans="2:11" x14ac:dyDescent="0.25">
      <c r="B950" s="235">
        <v>45015</v>
      </c>
      <c r="C950" s="195">
        <v>2</v>
      </c>
      <c r="E950" s="238">
        <v>0.77430555555555547</v>
      </c>
      <c r="F950" s="204">
        <v>0.86458333333333337</v>
      </c>
      <c r="G950" s="193">
        <f>IFERROR(IF(E950&gt;F950,((F950+E376B376+1)-(E950+B955))*24,HOUR(F950-E950)+MINUTE(F950-E950)/60),"")</f>
        <v>2.1666666666666665</v>
      </c>
      <c r="H950" s="230" t="s">
        <v>55</v>
      </c>
      <c r="I950" s="230" t="s">
        <v>510</v>
      </c>
      <c r="J950" s="231" t="s">
        <v>227</v>
      </c>
      <c r="K950" s="176" t="s">
        <v>1061</v>
      </c>
    </row>
    <row r="951" spans="2:11" x14ac:dyDescent="0.25">
      <c r="B951" s="235">
        <v>45015</v>
      </c>
      <c r="C951" s="195">
        <v>2</v>
      </c>
      <c r="E951" s="238">
        <v>0.94444444444444453</v>
      </c>
      <c r="F951" s="204">
        <v>0.95833333333333337</v>
      </c>
      <c r="G951" s="193">
        <f>IFERROR(IF(E951&gt;F951,((F951+E376B376+1)-(E951+B956))*24,HOUR(F951-E951)+MINUTE(F951-E951)/60),"")</f>
        <v>0.33333333333333331</v>
      </c>
      <c r="H951" s="230" t="s">
        <v>55</v>
      </c>
      <c r="I951" s="230" t="s">
        <v>510</v>
      </c>
      <c r="J951" s="231" t="s">
        <v>227</v>
      </c>
      <c r="K951" s="176" t="s">
        <v>1061</v>
      </c>
    </row>
    <row r="952" spans="2:11" x14ac:dyDescent="0.25">
      <c r="B952" s="235">
        <v>45015</v>
      </c>
      <c r="C952" s="195">
        <v>3</v>
      </c>
      <c r="E952" s="238">
        <v>0.95833333333333337</v>
      </c>
      <c r="F952" s="204">
        <v>0.98333333333333339</v>
      </c>
      <c r="G952" s="193">
        <f>IFERROR(IF(E952&gt;F952,((F952+E376B376+1)-(E952+B957))*24,HOUR(F952-E952)+MINUTE(F952-E952)/60),"")</f>
        <v>0.6</v>
      </c>
      <c r="H952" s="230" t="s">
        <v>55</v>
      </c>
      <c r="I952" s="230" t="s">
        <v>510</v>
      </c>
      <c r="J952" s="231" t="s">
        <v>227</v>
      </c>
      <c r="K952" s="176" t="s">
        <v>356</v>
      </c>
    </row>
    <row r="953" spans="2:11" x14ac:dyDescent="0.25">
      <c r="B953" s="235">
        <v>45015</v>
      </c>
      <c r="C953" s="195">
        <v>3</v>
      </c>
      <c r="E953" s="238">
        <v>0.28472222222222221</v>
      </c>
      <c r="F953" s="204">
        <v>0.29166666666666669</v>
      </c>
      <c r="G953" s="193">
        <f>IFERROR(IF(E953&gt;F953,((F953+E376B376+1)-(E953+B958))*24,HOUR(F953-E953)+MINUTE(F953-E953)/60),"")</f>
        <v>0.16666666666666666</v>
      </c>
      <c r="H953" s="230" t="s">
        <v>55</v>
      </c>
      <c r="I953" s="230" t="s">
        <v>510</v>
      </c>
      <c r="J953" s="231" t="s">
        <v>227</v>
      </c>
      <c r="K953" s="176" t="s">
        <v>356</v>
      </c>
    </row>
    <row r="954" spans="2:11" x14ac:dyDescent="0.25">
      <c r="B954" s="235">
        <v>45016</v>
      </c>
      <c r="C954" s="195">
        <v>1</v>
      </c>
      <c r="E954" s="238">
        <v>0.29166666666666669</v>
      </c>
      <c r="F954" s="204">
        <v>0.33819444444444446</v>
      </c>
      <c r="G954" s="193">
        <f>IFERROR(IF(E954&gt;F954,((F954+E376B376+1)-(E954+B959))*24,HOUR(F954-E954)+MINUTE(F954-E954)/60),"")</f>
        <v>1.1166666666666667</v>
      </c>
      <c r="H954" s="230" t="s">
        <v>55</v>
      </c>
      <c r="I954" s="230" t="s">
        <v>510</v>
      </c>
      <c r="J954" s="231" t="s">
        <v>227</v>
      </c>
      <c r="K954" s="176" t="s">
        <v>356</v>
      </c>
    </row>
    <row r="955" spans="2:11" x14ac:dyDescent="0.25">
      <c r="B955" s="235">
        <v>45016</v>
      </c>
      <c r="C955" s="195">
        <v>1</v>
      </c>
      <c r="E955" s="238">
        <v>0.42499999999999999</v>
      </c>
      <c r="F955" s="204">
        <v>0.46527777777777773</v>
      </c>
      <c r="G955" s="193">
        <f>IFERROR(IF(E955&gt;F955,((F955+E376B376+1)-(E955+B960))*24,HOUR(F955-E955)+MINUTE(F955-E955)/60),"")</f>
        <v>0.96666666666666667</v>
      </c>
      <c r="H955" s="230" t="s">
        <v>55</v>
      </c>
      <c r="I955" s="230" t="s">
        <v>510</v>
      </c>
      <c r="J955" s="231" t="s">
        <v>227</v>
      </c>
      <c r="K955" s="176" t="s">
        <v>356</v>
      </c>
    </row>
    <row r="956" spans="2:11" x14ac:dyDescent="0.25">
      <c r="B956" s="235">
        <v>45016</v>
      </c>
      <c r="C956" s="195">
        <v>1</v>
      </c>
      <c r="E956" s="238">
        <v>0.61597222222222225</v>
      </c>
      <c r="F956" s="204">
        <v>0.625</v>
      </c>
      <c r="G956" s="193">
        <f>IFERROR(IF(E956&gt;F956,((F956+E376B376+1)-(E956+B961))*24,HOUR(F956-E956)+MINUTE(F956-E956)/60),"")</f>
        <v>0.21666666666666667</v>
      </c>
      <c r="H956" s="230" t="s">
        <v>55</v>
      </c>
      <c r="I956" s="230" t="s">
        <v>509</v>
      </c>
      <c r="J956" s="231" t="s">
        <v>211</v>
      </c>
      <c r="K956" s="176" t="s">
        <v>1068</v>
      </c>
    </row>
    <row r="957" spans="2:11" x14ac:dyDescent="0.25">
      <c r="B957" s="235">
        <v>45016</v>
      </c>
      <c r="C957" s="195">
        <v>2</v>
      </c>
      <c r="E957" s="238">
        <v>0.625</v>
      </c>
      <c r="F957" s="204">
        <v>0.64930555555555558</v>
      </c>
      <c r="G957" s="193">
        <f>IFERROR(IF(E957&gt;F957,((F957+E376B376+1)-(E957+B962))*24,HOUR(F957-E957)+MINUTE(F957-E957)/60),"")</f>
        <v>0.58333333333333337</v>
      </c>
      <c r="H957" s="230" t="s">
        <v>55</v>
      </c>
      <c r="I957" s="230" t="s">
        <v>509</v>
      </c>
      <c r="J957" s="231" t="s">
        <v>211</v>
      </c>
      <c r="K957" s="176" t="s">
        <v>1068</v>
      </c>
    </row>
    <row r="958" spans="2:11" x14ac:dyDescent="0.25">
      <c r="B958" s="235">
        <v>45016</v>
      </c>
      <c r="C958" s="195">
        <v>2</v>
      </c>
      <c r="E958" s="238">
        <v>0.70833333333333337</v>
      </c>
      <c r="F958" s="204">
        <v>0.72569444444444453</v>
      </c>
      <c r="G958" s="193">
        <f>IFERROR(IF(E958&gt;F958,((F958+E376B376+1)-(E958+B963))*24,HOUR(F958-E958)+MINUTE(F958-E958)/60),"")</f>
        <v>0.41666666666666669</v>
      </c>
      <c r="H958" s="230" t="s">
        <v>195</v>
      </c>
      <c r="I958" s="230" t="s">
        <v>509</v>
      </c>
      <c r="J958" s="231" t="s">
        <v>110</v>
      </c>
      <c r="K958" s="176" t="s">
        <v>1069</v>
      </c>
    </row>
    <row r="959" spans="2:11" x14ac:dyDescent="0.25">
      <c r="B959" s="235">
        <v>45016</v>
      </c>
      <c r="C959" s="195">
        <v>2</v>
      </c>
      <c r="E959" s="238">
        <v>0.74652777777777779</v>
      </c>
      <c r="F959" s="204">
        <v>0.75694444444444453</v>
      </c>
      <c r="G959" s="193">
        <f>IFERROR(IF(E959&gt;F959,((F959+E376B376+1)-(E959+B964))*24,HOUR(F959-E959)+MINUTE(F959-E959)/60),"")</f>
        <v>0.25</v>
      </c>
      <c r="H959" s="230" t="s">
        <v>195</v>
      </c>
      <c r="I959" s="230" t="s">
        <v>509</v>
      </c>
      <c r="J959" s="231" t="s">
        <v>110</v>
      </c>
      <c r="K959" s="176" t="s">
        <v>1070</v>
      </c>
    </row>
    <row r="960" spans="2:11" x14ac:dyDescent="0.25">
      <c r="B960" s="235">
        <v>45016</v>
      </c>
      <c r="C960" s="233">
        <v>2</v>
      </c>
      <c r="E960" s="238">
        <v>0.77777777777777779</v>
      </c>
      <c r="F960" s="204">
        <v>0.82986111111111116</v>
      </c>
      <c r="G960" s="193">
        <f>IFERROR(IF(E960&gt;F960,((F960+E376B376+1)-(E960+B965))*24,HOUR(F960-E960)+MINUTE(F960-E960)/60),"")</f>
        <v>1.25</v>
      </c>
      <c r="H960" s="230" t="s">
        <v>55</v>
      </c>
      <c r="I960" s="230" t="s">
        <v>513</v>
      </c>
      <c r="J960" s="231" t="s">
        <v>78</v>
      </c>
    </row>
    <row r="961" spans="2:11" x14ac:dyDescent="0.25">
      <c r="B961" s="235">
        <v>45016</v>
      </c>
      <c r="C961" s="195">
        <v>2</v>
      </c>
      <c r="E961" s="238">
        <v>0.93402777777777779</v>
      </c>
      <c r="F961" s="204">
        <v>0.95833333333333337</v>
      </c>
      <c r="G961" s="193">
        <f>IFERROR(IF(E961&gt;F961,((F961+E376B376+1)-(E961+B966))*24,HOUR(F961-E961)+MINUTE(F961-E961)/60),"")</f>
        <v>0.58333333333333337</v>
      </c>
      <c r="H961" s="230" t="s">
        <v>55</v>
      </c>
      <c r="I961" s="230" t="s">
        <v>511</v>
      </c>
      <c r="J961" s="231" t="s">
        <v>69</v>
      </c>
      <c r="K961" s="279" t="s">
        <v>1071</v>
      </c>
    </row>
    <row r="962" spans="2:11" x14ac:dyDescent="0.25">
      <c r="B962" s="235">
        <v>45016</v>
      </c>
      <c r="C962" s="195">
        <v>3</v>
      </c>
      <c r="E962" s="238">
        <v>0.95833333333333337</v>
      </c>
      <c r="F962" s="204">
        <v>0.96319444444444446</v>
      </c>
      <c r="G962" s="193">
        <f>IFERROR(IF(E962&gt;F962,((F962+E376B376+1)-(E962+B967))*24,HOUR(F962-E962)+MINUTE(F962-E962)/60),"")</f>
        <v>0.11666666666666667</v>
      </c>
      <c r="H962" s="230" t="s">
        <v>55</v>
      </c>
      <c r="I962" s="230" t="s">
        <v>511</v>
      </c>
      <c r="J962" s="231" t="s">
        <v>69</v>
      </c>
      <c r="K962" s="279" t="s">
        <v>1071</v>
      </c>
    </row>
    <row r="963" spans="2:11" x14ac:dyDescent="0.25">
      <c r="B963" s="235">
        <v>45016</v>
      </c>
      <c r="C963" s="233">
        <v>3</v>
      </c>
      <c r="E963" s="238">
        <v>7.6388888888888886E-3</v>
      </c>
      <c r="F963" s="204">
        <v>2.6388888888888889E-2</v>
      </c>
      <c r="G963" s="193">
        <f>IFERROR(IF(E963&gt;F963,((F963+E376B376+1)-(E963+B968))*24,HOUR(F963-E963)+MINUTE(F963-E963)/60),"")</f>
        <v>0.45</v>
      </c>
      <c r="H963" s="230" t="s">
        <v>187</v>
      </c>
      <c r="I963" s="230" t="s">
        <v>509</v>
      </c>
      <c r="J963" s="231" t="s">
        <v>110</v>
      </c>
    </row>
    <row r="964" spans="2:11" x14ac:dyDescent="0.25">
      <c r="B964" s="235">
        <v>45016</v>
      </c>
      <c r="C964" s="233">
        <v>3</v>
      </c>
      <c r="E964" s="238">
        <v>5.7638888888888885E-2</v>
      </c>
      <c r="F964" s="204">
        <v>7.5694444444444439E-2</v>
      </c>
      <c r="G964" s="193">
        <f>IFERROR(IF(E964&gt;F964,((F964+E376B376+1)-(E964+B969))*24,HOUR(F964-E964)+MINUTE(F964-E964)/60),"")</f>
        <v>0.43333333333333335</v>
      </c>
      <c r="H964" s="230" t="s">
        <v>176</v>
      </c>
      <c r="I964" s="230" t="s">
        <v>510</v>
      </c>
      <c r="J964" s="231" t="s">
        <v>200</v>
      </c>
      <c r="K964" s="176" t="s">
        <v>1072</v>
      </c>
    </row>
    <row r="965" spans="2:11" x14ac:dyDescent="0.25">
      <c r="B965" s="235">
        <v>45016</v>
      </c>
      <c r="C965" s="233">
        <v>3</v>
      </c>
      <c r="E965" s="238">
        <v>9.0972222222222218E-2</v>
      </c>
      <c r="F965" s="204">
        <v>0.1013888888888889</v>
      </c>
      <c r="G965" s="193">
        <f>IFERROR(IF(E965&gt;F965,((F965+E376B376+1)-(E965+B970))*24,HOUR(F965-E965)+MINUTE(F965-E965)/60),"")</f>
        <v>0.25</v>
      </c>
      <c r="H965" s="230" t="s">
        <v>55</v>
      </c>
      <c r="I965" s="230" t="s">
        <v>511</v>
      </c>
      <c r="J965" s="231" t="s">
        <v>203</v>
      </c>
      <c r="K965" s="279" t="s">
        <v>1027</v>
      </c>
    </row>
    <row r="966" spans="2:11" x14ac:dyDescent="0.25">
      <c r="B966" s="235">
        <v>45016</v>
      </c>
      <c r="C966" s="233">
        <v>3</v>
      </c>
      <c r="E966" s="238">
        <v>0.26805555555555555</v>
      </c>
      <c r="F966" s="204">
        <v>0.27847222222222223</v>
      </c>
      <c r="G966" s="193">
        <f>IFERROR(IF(E966&gt;F966,((F966+E376B376+1)-(E966+B971))*24,HOUR(F966-E966)+MINUTE(F966-E966)/60),"")</f>
        <v>0.25</v>
      </c>
      <c r="H966" s="230" t="s">
        <v>55</v>
      </c>
      <c r="I966" s="230" t="s">
        <v>511</v>
      </c>
      <c r="J966" s="231" t="s">
        <v>203</v>
      </c>
      <c r="K966" s="279" t="s">
        <v>1027</v>
      </c>
    </row>
    <row r="967" spans="2:11" x14ac:dyDescent="0.25">
      <c r="B967" s="235">
        <v>45016</v>
      </c>
      <c r="C967" s="233">
        <v>3</v>
      </c>
      <c r="E967" s="238">
        <v>0.27847222222222223</v>
      </c>
      <c r="F967" s="204">
        <v>0.29166666666666669</v>
      </c>
      <c r="G967" s="193">
        <f>IFERROR(IF(E967&gt;F967,((F967+E376B376+1)-(E967+B972))*24,HOUR(F967-E967)+MINUTE(F967-E967)/60),"")</f>
        <v>0.31666666666666665</v>
      </c>
      <c r="H967" s="230" t="s">
        <v>55</v>
      </c>
      <c r="I967" s="230" t="s">
        <v>509</v>
      </c>
      <c r="J967" s="231" t="s">
        <v>114</v>
      </c>
    </row>
    <row r="968" spans="2:11" x14ac:dyDescent="0.25">
      <c r="B968" s="235">
        <v>45017</v>
      </c>
      <c r="C968" s="195">
        <v>1</v>
      </c>
      <c r="E968" s="238">
        <v>0.35416666666666669</v>
      </c>
      <c r="F968" s="204">
        <v>0.36527777777777781</v>
      </c>
      <c r="G968" s="193">
        <f>IFERROR(IF(E968&gt;F968,((F968+E376B376+1)-(E968+B973))*24,HOUR(F968-E968)+MINUTE(F968-E968)/60),"")</f>
        <v>0.26666666666666666</v>
      </c>
      <c r="H968" s="230" t="s">
        <v>1074</v>
      </c>
      <c r="I968" s="230" t="s">
        <v>509</v>
      </c>
      <c r="J968" s="231" t="s">
        <v>110</v>
      </c>
    </row>
    <row r="969" spans="2:11" x14ac:dyDescent="0.25">
      <c r="B969" s="235">
        <v>45017</v>
      </c>
      <c r="C969" s="195">
        <v>1</v>
      </c>
      <c r="E969" s="238">
        <v>0.42222222222222222</v>
      </c>
      <c r="F969" s="204">
        <v>0.43333333333333335</v>
      </c>
      <c r="G969" s="193">
        <f>IFERROR(IF(E969&gt;F969,((F969+E376B376+1)-(E969+B974))*24,HOUR(F969-E969)+MINUTE(F969-E969)/60),"")</f>
        <v>0.26666666666666666</v>
      </c>
      <c r="H969" s="230" t="s">
        <v>55</v>
      </c>
      <c r="I969" s="230" t="s">
        <v>511</v>
      </c>
      <c r="J969" s="231" t="s">
        <v>203</v>
      </c>
      <c r="K969" s="279" t="s">
        <v>1027</v>
      </c>
    </row>
    <row r="970" spans="2:11" x14ac:dyDescent="0.25">
      <c r="B970" s="235">
        <v>45017</v>
      </c>
      <c r="C970" s="233">
        <v>1</v>
      </c>
      <c r="E970" s="238">
        <v>0.60972222222222217</v>
      </c>
      <c r="F970" s="204">
        <v>0.625</v>
      </c>
      <c r="G970" s="193">
        <f>IFERROR(IF(E970&gt;F970,((F970+E376B376+1)-(E970+B975))*24,HOUR(F970-E970)+MINUTE(F970-E970)/60),"")</f>
        <v>0.36666666666666664</v>
      </c>
      <c r="H970" s="230" t="s">
        <v>55</v>
      </c>
      <c r="I970" s="230" t="s">
        <v>509</v>
      </c>
      <c r="J970" s="231" t="s">
        <v>114</v>
      </c>
    </row>
    <row r="971" spans="2:11" x14ac:dyDescent="0.25">
      <c r="B971" s="235">
        <v>45017</v>
      </c>
      <c r="C971" s="195">
        <v>2</v>
      </c>
      <c r="E971" s="238">
        <v>0.625</v>
      </c>
      <c r="F971" s="204">
        <v>0.63541666666666663</v>
      </c>
      <c r="G971" s="193">
        <f>IFERROR(IF(E971&gt;F971,((F971+E376B376+1)-(E971+B976))*24,HOUR(F971-E971)+MINUTE(F971-E971)/60),"")</f>
        <v>0.25</v>
      </c>
      <c r="H971" s="230" t="s">
        <v>55</v>
      </c>
      <c r="I971" s="230" t="s">
        <v>509</v>
      </c>
      <c r="J971" s="231" t="s">
        <v>114</v>
      </c>
    </row>
    <row r="972" spans="2:11" x14ac:dyDescent="0.25">
      <c r="B972" s="235">
        <v>45017</v>
      </c>
      <c r="C972" s="195">
        <v>2</v>
      </c>
      <c r="E972" s="238">
        <v>0.75694444444444453</v>
      </c>
      <c r="F972" s="204">
        <v>0.76736111111111116</v>
      </c>
      <c r="G972" s="193">
        <f>IFERROR(IF(E972&gt;F972,((F972+E376B376+1)-(E972+B977))*24,HOUR(F972-E972)+MINUTE(F972-E972)/60),"")</f>
        <v>0.25</v>
      </c>
      <c r="H972" s="230" t="s">
        <v>176</v>
      </c>
      <c r="I972" s="230" t="s">
        <v>510</v>
      </c>
      <c r="J972" s="231" t="s">
        <v>200</v>
      </c>
    </row>
    <row r="973" spans="2:11" x14ac:dyDescent="0.25">
      <c r="B973" s="235">
        <v>45017</v>
      </c>
      <c r="C973" s="233">
        <v>2</v>
      </c>
      <c r="E973" s="238">
        <v>0.76736111111111116</v>
      </c>
      <c r="F973" s="204">
        <v>0.78472222222222221</v>
      </c>
      <c r="G973" s="193">
        <f>IFERROR(IF(E973&gt;F973,((F973+E376B376+1)-(E973+B978))*24,HOUR(F973-E973)+MINUTE(F973-E973)/60),"")</f>
        <v>0.41666666666666669</v>
      </c>
      <c r="H973" s="230" t="s">
        <v>55</v>
      </c>
      <c r="I973" s="230" t="s">
        <v>509</v>
      </c>
      <c r="J973" s="231" t="s">
        <v>114</v>
      </c>
    </row>
    <row r="974" spans="2:11" x14ac:dyDescent="0.25">
      <c r="B974" s="235">
        <v>45017</v>
      </c>
      <c r="C974" s="233">
        <v>2</v>
      </c>
      <c r="E974" s="238">
        <v>0.78472222222222221</v>
      </c>
      <c r="F974" s="204">
        <v>0.82638888888888884</v>
      </c>
      <c r="G974" s="193">
        <f>IFERROR(IF(E974&gt;F974,((F974+E376B376+1)-(E974+B979))*24,HOUR(F974-E974)+MINUTE(F974-E974)/60),"")</f>
        <v>1</v>
      </c>
      <c r="H974" s="231" t="s">
        <v>78</v>
      </c>
      <c r="I974" s="230" t="s">
        <v>513</v>
      </c>
      <c r="J974" s="231" t="s">
        <v>78</v>
      </c>
    </row>
    <row r="975" spans="2:11" x14ac:dyDescent="0.25">
      <c r="B975" s="235">
        <v>45017</v>
      </c>
      <c r="C975" s="233">
        <v>2</v>
      </c>
      <c r="E975" s="238">
        <v>0.82638888888888884</v>
      </c>
      <c r="F975" s="204">
        <v>0.85069444444444453</v>
      </c>
      <c r="G975" s="193">
        <f>IFERROR(IF(E975&gt;F975,((F975+E376B376+1)-(E975+B980))*24,HOUR(F975-E975)+MINUTE(F975-E975)/60),"")</f>
        <v>0.58333333333333337</v>
      </c>
      <c r="H975" s="230" t="s">
        <v>55</v>
      </c>
      <c r="I975" s="230" t="s">
        <v>509</v>
      </c>
      <c r="J975" s="231" t="s">
        <v>114</v>
      </c>
      <c r="K975" s="176" t="s">
        <v>1075</v>
      </c>
    </row>
    <row r="976" spans="2:11" x14ac:dyDescent="0.25">
      <c r="B976" s="235">
        <v>45017</v>
      </c>
      <c r="C976" s="233">
        <v>2</v>
      </c>
      <c r="E976" s="238">
        <v>0.89236111111111116</v>
      </c>
      <c r="F976" s="204">
        <v>0.90277777777777779</v>
      </c>
      <c r="G976" s="193">
        <f>IFERROR(IF(E976&gt;F976,((F976+E376B376+1)-(E976+B981))*24,HOUR(F976-E976)+MINUTE(F976-E976)/60),"")</f>
        <v>0.25</v>
      </c>
      <c r="H976" s="230" t="s">
        <v>55</v>
      </c>
      <c r="I976" s="230" t="s">
        <v>509</v>
      </c>
      <c r="J976" s="231" t="s">
        <v>114</v>
      </c>
      <c r="K976" s="176" t="s">
        <v>1076</v>
      </c>
    </row>
    <row r="977" spans="2:11" x14ac:dyDescent="0.25">
      <c r="B977" s="235">
        <v>45017</v>
      </c>
      <c r="C977" s="195">
        <v>2</v>
      </c>
      <c r="E977" s="238">
        <v>0.94444444444444453</v>
      </c>
      <c r="F977" s="204">
        <v>0.95833333333333337</v>
      </c>
      <c r="G977" s="193">
        <f>IFERROR(IF(E977&gt;F977,((F977+E376B376+1)-(E977+B982))*24,HOUR(F977-E977)+MINUTE(F977-E977)/60),"")</f>
        <v>0.33333333333333331</v>
      </c>
      <c r="H977" s="230" t="s">
        <v>55</v>
      </c>
      <c r="I977" s="230" t="s">
        <v>509</v>
      </c>
      <c r="J977" s="231" t="s">
        <v>114</v>
      </c>
    </row>
    <row r="978" spans="2:11" x14ac:dyDescent="0.25">
      <c r="B978" s="235">
        <v>45017</v>
      </c>
      <c r="C978" s="195">
        <v>3</v>
      </c>
      <c r="E978" s="238">
        <v>0.95833333333333337</v>
      </c>
      <c r="F978" s="204">
        <v>0.98611111111111116</v>
      </c>
      <c r="G978" s="193">
        <f>IFERROR(IF(E978&gt;F978,((F978+E376B376+1)-(E978+B983))*24,HOUR(F978-E978)+MINUTE(F978-E978)/60),"")</f>
        <v>0.66666666666666663</v>
      </c>
      <c r="H978" s="230" t="s">
        <v>55</v>
      </c>
      <c r="I978" s="230" t="s">
        <v>509</v>
      </c>
      <c r="J978" s="231" t="s">
        <v>114</v>
      </c>
    </row>
    <row r="979" spans="2:11" x14ac:dyDescent="0.25">
      <c r="B979" s="235">
        <v>45017</v>
      </c>
      <c r="C979" s="195">
        <v>3</v>
      </c>
      <c r="E979" s="238">
        <v>1.0416666666666666E-2</v>
      </c>
      <c r="F979" s="204">
        <v>2.4305555555555556E-2</v>
      </c>
      <c r="G979" s="193">
        <f>IFERROR(IF(E979&gt;F979,((F979+E376B376+1)-(E979+B984))*24,HOUR(F979-E979)+MINUTE(F979-E979)/60),"")</f>
        <v>0.33333333333333331</v>
      </c>
      <c r="H979" s="230" t="s">
        <v>55</v>
      </c>
      <c r="I979" s="230" t="s">
        <v>510</v>
      </c>
      <c r="J979" s="231" t="s">
        <v>589</v>
      </c>
    </row>
    <row r="980" spans="2:11" x14ac:dyDescent="0.25">
      <c r="B980" s="235">
        <v>45017</v>
      </c>
      <c r="C980" s="195">
        <v>3</v>
      </c>
      <c r="E980" s="238">
        <v>0.11805555555555557</v>
      </c>
      <c r="F980" s="204">
        <v>0.13541666666666666</v>
      </c>
      <c r="G980" s="193">
        <f>IFERROR(IF(E980&gt;F980,((F980+E376B376+1)-(E980+B985))*24,HOUR(F980-E980)+MINUTE(F980-E980)/60),"")</f>
        <v>0.41666666666666669</v>
      </c>
      <c r="H980" s="230" t="s">
        <v>55</v>
      </c>
      <c r="I980" s="230" t="s">
        <v>509</v>
      </c>
      <c r="J980" s="231" t="s">
        <v>203</v>
      </c>
      <c r="K980" s="279" t="s">
        <v>1027</v>
      </c>
    </row>
    <row r="981" spans="2:11" x14ac:dyDescent="0.25">
      <c r="B981" s="235">
        <v>45017</v>
      </c>
      <c r="C981" s="233">
        <v>3</v>
      </c>
      <c r="E981" s="238">
        <v>0.27083333333333331</v>
      </c>
      <c r="F981" s="204">
        <v>0.29166666666666669</v>
      </c>
      <c r="G981" s="193">
        <f>IFERROR(IF(E981&gt;F981,((F981+E376B376+1)-(E981+B986))*24,HOUR(F981-E981)+MINUTE(F981-E981)/60),"")</f>
        <v>0.5</v>
      </c>
      <c r="H981" s="230" t="s">
        <v>55</v>
      </c>
      <c r="I981" s="230" t="s">
        <v>509</v>
      </c>
      <c r="J981" s="231" t="s">
        <v>114</v>
      </c>
    </row>
    <row r="982" spans="2:11" x14ac:dyDescent="0.25">
      <c r="B982" s="235">
        <v>45018</v>
      </c>
      <c r="C982" s="195">
        <v>1</v>
      </c>
      <c r="D982" s="238">
        <v>0.29166666666666669</v>
      </c>
      <c r="E982" s="238">
        <v>0.29166666666666669</v>
      </c>
      <c r="F982" s="204">
        <v>0.29583333333333334</v>
      </c>
      <c r="G982" s="193">
        <f>IFERROR(IF(E982&gt;F982,((F982+E376B376+1)-(E982+B987))*24,HOUR(F982-E982)+MINUTE(F982-E982)/60),"")</f>
        <v>0.1</v>
      </c>
      <c r="H982" s="230" t="s">
        <v>55</v>
      </c>
      <c r="I982" s="230" t="s">
        <v>509</v>
      </c>
      <c r="J982" s="231" t="s">
        <v>114</v>
      </c>
    </row>
    <row r="983" spans="2:11" x14ac:dyDescent="0.25">
      <c r="B983" s="235">
        <v>45018</v>
      </c>
      <c r="C983" s="195">
        <v>1</v>
      </c>
      <c r="E983" s="238">
        <v>0.40763888888888888</v>
      </c>
      <c r="F983" s="204">
        <v>0.41944444444444445</v>
      </c>
      <c r="G983" s="193">
        <f>IFERROR(IF(E983&gt;F983,((F983+E376B376+1)-(E983+B988))*24,HOUR(F983-E983)+MINUTE(F983-E983)/60),"")</f>
        <v>0.28333333333333333</v>
      </c>
      <c r="H983" s="230" t="s">
        <v>158</v>
      </c>
      <c r="I983" s="230" t="s">
        <v>509</v>
      </c>
      <c r="J983" s="231" t="s">
        <v>495</v>
      </c>
    </row>
    <row r="984" spans="2:11" x14ac:dyDescent="0.25">
      <c r="B984" s="235">
        <v>45018</v>
      </c>
      <c r="C984" s="233">
        <v>1</v>
      </c>
      <c r="E984" s="238">
        <v>0.4548611111111111</v>
      </c>
      <c r="F984" s="204">
        <v>0.46527777777777773</v>
      </c>
      <c r="G984" s="193">
        <f>IFERROR(IF(E984&gt;F984,((F984+E376B376+1)-(E984+B989))*24,HOUR(F984-E984)+MINUTE(F984-E984)/60),"")</f>
        <v>0.25</v>
      </c>
      <c r="H984" s="230" t="s">
        <v>158</v>
      </c>
      <c r="I984" s="230" t="s">
        <v>509</v>
      </c>
      <c r="J984" s="231" t="s">
        <v>495</v>
      </c>
    </row>
    <row r="985" spans="2:11" x14ac:dyDescent="0.25">
      <c r="B985" s="235">
        <v>45018</v>
      </c>
      <c r="C985" s="195">
        <v>1</v>
      </c>
      <c r="E985" s="238">
        <v>0.56388888888888888</v>
      </c>
      <c r="F985" s="204">
        <v>0.57430555555555551</v>
      </c>
      <c r="G985" s="193">
        <f>IFERROR(IF(E985&gt;F985,((F985+E376B376+1)-(E985+B990))*24,HOUR(F985-E985)+MINUTE(F985-E985)/60),"")</f>
        <v>0.25</v>
      </c>
      <c r="H985" s="230" t="s">
        <v>55</v>
      </c>
      <c r="I985" s="230" t="s">
        <v>509</v>
      </c>
      <c r="J985" s="231" t="s">
        <v>203</v>
      </c>
      <c r="K985" s="279" t="s">
        <v>1027</v>
      </c>
    </row>
    <row r="986" spans="2:11" x14ac:dyDescent="0.25">
      <c r="B986" s="235">
        <v>45018</v>
      </c>
      <c r="C986" s="233">
        <v>1</v>
      </c>
      <c r="E986" s="238">
        <v>0.60625000000000007</v>
      </c>
      <c r="F986" s="204">
        <v>0.625</v>
      </c>
      <c r="G986" s="193">
        <f>IFERROR(IF(E986&gt;F986,((F986+E376B376+1)-(E986+B991))*24,HOUR(F986-E986)+MINUTE(F986-E986)/60),"")</f>
        <v>0.45</v>
      </c>
      <c r="H986" s="230" t="s">
        <v>158</v>
      </c>
      <c r="I986" s="230" t="s">
        <v>509</v>
      </c>
      <c r="J986" s="231" t="s">
        <v>495</v>
      </c>
    </row>
    <row r="987" spans="2:11" x14ac:dyDescent="0.25">
      <c r="B987" s="235">
        <v>45018</v>
      </c>
      <c r="C987" s="195">
        <v>2</v>
      </c>
      <c r="E987" s="238">
        <v>0.62916666666666665</v>
      </c>
      <c r="F987" s="204">
        <v>0.63958333333333328</v>
      </c>
      <c r="G987" s="193">
        <f>IFERROR(IF(E987&gt;F987,((F987+E376B376+1)-(E987+B992))*24,HOUR(F987-E987)+MINUTE(F987-E987)/60),"")</f>
        <v>0.25</v>
      </c>
      <c r="H987" s="230" t="s">
        <v>195</v>
      </c>
      <c r="I987" s="230" t="s">
        <v>509</v>
      </c>
      <c r="J987" s="231" t="s">
        <v>110</v>
      </c>
      <c r="K987" s="176" t="s">
        <v>1070</v>
      </c>
    </row>
    <row r="988" spans="2:11" x14ac:dyDescent="0.25">
      <c r="B988" s="235">
        <v>45018</v>
      </c>
      <c r="C988" s="233">
        <v>2</v>
      </c>
      <c r="E988" s="238">
        <v>0.67013888888888884</v>
      </c>
      <c r="F988" s="204">
        <v>0.68402777777777779</v>
      </c>
      <c r="G988" s="193">
        <f>IFERROR(IF(E988&gt;F988,((F988+E376B376+1)-(E988+B993))*24,HOUR(F988-E988)+MINUTE(F988-E988)/60),"")</f>
        <v>0.33333333333333331</v>
      </c>
      <c r="H988" s="230" t="s">
        <v>55</v>
      </c>
      <c r="I988" s="230" t="s">
        <v>509</v>
      </c>
      <c r="J988" s="231" t="s">
        <v>203</v>
      </c>
    </row>
    <row r="989" spans="2:11" x14ac:dyDescent="0.25">
      <c r="B989" s="235">
        <v>45018</v>
      </c>
      <c r="C989" s="233">
        <v>2</v>
      </c>
      <c r="E989" s="238">
        <v>0.74305555555555547</v>
      </c>
      <c r="F989" s="204">
        <v>0.75347222222222221</v>
      </c>
      <c r="G989" s="193">
        <f>IFERROR(IF(E989&gt;F989,((F989+E376B376+1)-(E989+B994))*24,HOUR(F989-E989)+MINUTE(F989-E989)/60),"")</f>
        <v>0.25</v>
      </c>
      <c r="H989" s="230" t="s">
        <v>55</v>
      </c>
      <c r="I989" s="230" t="s">
        <v>509</v>
      </c>
      <c r="J989" s="231" t="s">
        <v>203</v>
      </c>
    </row>
    <row r="990" spans="2:11" x14ac:dyDescent="0.25">
      <c r="B990" s="235">
        <v>45018</v>
      </c>
      <c r="C990" s="195">
        <v>2</v>
      </c>
      <c r="E990" s="238">
        <v>0.77083333333333337</v>
      </c>
      <c r="F990" s="204">
        <v>0.79166666666666663</v>
      </c>
      <c r="G990" s="193">
        <f>IFERROR(IF(E990&gt;F990,((F990+E376B376+1)-(E990+B995))*24,HOUR(F990-E990)+MINUTE(F990-E990)/60),"")</f>
        <v>0.5</v>
      </c>
      <c r="H990" s="230" t="s">
        <v>55</v>
      </c>
      <c r="I990" s="230" t="s">
        <v>509</v>
      </c>
      <c r="J990" s="231" t="s">
        <v>211</v>
      </c>
      <c r="K990" s="176" t="s">
        <v>684</v>
      </c>
    </row>
    <row r="991" spans="2:11" x14ac:dyDescent="0.25">
      <c r="B991" s="235">
        <v>45018</v>
      </c>
      <c r="C991" s="195">
        <v>2</v>
      </c>
      <c r="E991" s="238">
        <v>0.79166666666666663</v>
      </c>
      <c r="F991" s="204">
        <v>0.82638888888888884</v>
      </c>
      <c r="G991" s="193">
        <f>IFERROR(IF(E991&gt;F991,((F991+E376B376+1)-(E991+B996))*24,HOUR(F991-E991)+MINUTE(F991-E991)/60),"")</f>
        <v>0.83333333333333337</v>
      </c>
      <c r="H991" s="231" t="s">
        <v>78</v>
      </c>
      <c r="I991" s="230" t="s">
        <v>513</v>
      </c>
      <c r="J991" s="231" t="s">
        <v>78</v>
      </c>
    </row>
    <row r="992" spans="2:11" x14ac:dyDescent="0.25">
      <c r="B992" s="235">
        <v>45018</v>
      </c>
      <c r="C992" s="233">
        <v>2</v>
      </c>
      <c r="E992" s="238">
        <v>0.86458333333333337</v>
      </c>
      <c r="F992" s="204">
        <v>0.875</v>
      </c>
      <c r="G992" s="193">
        <f>IFERROR(IF(E992&gt;F992,((F992+E376B376+1)-(E992+B997))*24,HOUR(F992-E992)+MINUTE(F992-E992)/60),"")</f>
        <v>0.25</v>
      </c>
      <c r="H992" s="230" t="s">
        <v>176</v>
      </c>
      <c r="I992" s="230" t="s">
        <v>510</v>
      </c>
      <c r="J992" s="231" t="s">
        <v>568</v>
      </c>
      <c r="K992" s="176" t="s">
        <v>1079</v>
      </c>
    </row>
    <row r="993" spans="2:11" x14ac:dyDescent="0.25">
      <c r="B993" s="235">
        <v>45018</v>
      </c>
      <c r="C993" s="233">
        <v>2</v>
      </c>
      <c r="E993" s="238">
        <v>0.89583333333333337</v>
      </c>
      <c r="F993" s="204">
        <v>0.90625</v>
      </c>
      <c r="G993" s="193">
        <f>IFERROR(IF(E993&gt;F993,((F993+E376B376+1)-(E993+B998))*24,HOUR(F993-E993)+MINUTE(F993-E993)/60),"")</f>
        <v>0.25</v>
      </c>
      <c r="H993" s="230" t="s">
        <v>176</v>
      </c>
      <c r="I993" s="230" t="s">
        <v>510</v>
      </c>
      <c r="J993" s="231" t="s">
        <v>568</v>
      </c>
      <c r="K993" s="176" t="s">
        <v>1079</v>
      </c>
    </row>
    <row r="994" spans="2:11" x14ac:dyDescent="0.25">
      <c r="B994" s="235">
        <v>45018</v>
      </c>
      <c r="C994" s="195">
        <v>2</v>
      </c>
      <c r="E994" s="238">
        <v>0.9375</v>
      </c>
      <c r="F994" s="204">
        <v>0.95833333333333337</v>
      </c>
      <c r="G994" s="193">
        <f>IFERROR(IF(E994&gt;F994,((F994+E376B376+1)-(E994+B999))*24,HOUR(F994-E994)+MINUTE(F994-E994)/60),"")</f>
        <v>0.5</v>
      </c>
      <c r="H994" s="230" t="s">
        <v>176</v>
      </c>
      <c r="I994" s="230" t="s">
        <v>510</v>
      </c>
      <c r="J994" s="231" t="s">
        <v>568</v>
      </c>
      <c r="K994" s="176" t="s">
        <v>1079</v>
      </c>
    </row>
    <row r="995" spans="2:11" x14ac:dyDescent="0.25">
      <c r="B995" s="235">
        <v>45018</v>
      </c>
      <c r="C995" s="195">
        <v>3</v>
      </c>
      <c r="E995" s="238">
        <v>0.95833333333333337</v>
      </c>
      <c r="F995" s="204">
        <v>0.97083333333333333</v>
      </c>
      <c r="G995" s="193">
        <f>IFERROR(IF(E995&gt;F995,((F995+E376B376+1)-(E995+B1000))*24,HOUR(F995-E995)+MINUTE(F995-E995)/60),"")</f>
        <v>0.3</v>
      </c>
      <c r="H995" s="230" t="s">
        <v>55</v>
      </c>
      <c r="I995" s="230" t="s">
        <v>509</v>
      </c>
      <c r="J995" s="231" t="s">
        <v>114</v>
      </c>
    </row>
    <row r="996" spans="2:11" x14ac:dyDescent="0.25">
      <c r="B996" s="235">
        <v>45018</v>
      </c>
      <c r="C996" s="195">
        <v>3</v>
      </c>
      <c r="E996" s="238">
        <v>4.6527777777777779E-2</v>
      </c>
      <c r="F996" s="204">
        <v>5.8333333333333327E-2</v>
      </c>
      <c r="G996" s="193">
        <f>IFERROR(IF(E996&gt;F996,((F996+E376B376+1)-(E996+B1001))*24,HOUR(F996-E996)+MINUTE(F996-E996)/60),"")</f>
        <v>0.28333333333333333</v>
      </c>
      <c r="H996" s="230" t="s">
        <v>55</v>
      </c>
      <c r="I996" s="230" t="s">
        <v>509</v>
      </c>
      <c r="J996" s="231" t="s">
        <v>203</v>
      </c>
      <c r="K996" s="279" t="s">
        <v>1027</v>
      </c>
    </row>
    <row r="997" spans="2:11" x14ac:dyDescent="0.25">
      <c r="B997" s="235">
        <v>45018</v>
      </c>
      <c r="C997" s="195">
        <v>3</v>
      </c>
      <c r="E997" s="238">
        <v>0.16805555555555554</v>
      </c>
      <c r="F997" s="204">
        <v>0.17847222222222223</v>
      </c>
      <c r="G997" s="193">
        <f>IFERROR(IF(E997&gt;F997,((F997+E376B376+1)-(E997+B1002))*24,HOUR(F997-E997)+MINUTE(F997-E997)/60),"")</f>
        <v>0.25</v>
      </c>
      <c r="H997" s="230" t="s">
        <v>55</v>
      </c>
      <c r="I997" s="230" t="s">
        <v>509</v>
      </c>
      <c r="J997" s="231" t="s">
        <v>203</v>
      </c>
      <c r="K997" s="279" t="s">
        <v>1027</v>
      </c>
    </row>
    <row r="998" spans="2:11" x14ac:dyDescent="0.25">
      <c r="B998" s="235">
        <v>45018</v>
      </c>
      <c r="C998" s="195">
        <v>3</v>
      </c>
      <c r="E998" s="238">
        <v>0.20625000000000002</v>
      </c>
      <c r="F998" s="204">
        <v>0.23611111111111113</v>
      </c>
      <c r="G998" s="193">
        <f>IFERROR(IF(E998&gt;F998,((F998+E376B376+1)-(E998+B1003))*24,HOUR(F998-E998)+MINUTE(F998-E998)/60),"")</f>
        <v>0.71666666666666667</v>
      </c>
      <c r="H998" s="230" t="s">
        <v>187</v>
      </c>
      <c r="I998" s="230" t="s">
        <v>511</v>
      </c>
      <c r="J998" s="231" t="s">
        <v>200</v>
      </c>
    </row>
    <row r="999" spans="2:11" x14ac:dyDescent="0.25">
      <c r="B999" s="235">
        <v>45018</v>
      </c>
      <c r="C999" s="195">
        <v>3</v>
      </c>
      <c r="E999" s="238">
        <v>0.27777777777777779</v>
      </c>
      <c r="F999" s="204">
        <v>0.29166666666666669</v>
      </c>
      <c r="G999" s="193">
        <f>IFERROR(IF(E999&gt;F999,((F999+E376B376+1)-(E999+B1004))*24,HOUR(F999-E999)+MINUTE(F999-E999)/60),"")</f>
        <v>0.33333333333333331</v>
      </c>
      <c r="H999" s="230" t="s">
        <v>55</v>
      </c>
      <c r="I999" s="230" t="s">
        <v>509</v>
      </c>
      <c r="J999" s="231" t="s">
        <v>114</v>
      </c>
    </row>
    <row r="1000" spans="2:11" x14ac:dyDescent="0.25">
      <c r="B1000" s="235">
        <v>45019</v>
      </c>
      <c r="C1000" s="195">
        <v>1</v>
      </c>
      <c r="E1000" s="238">
        <v>0.3520833333333333</v>
      </c>
      <c r="F1000" s="204">
        <v>0.36249999999999999</v>
      </c>
      <c r="G1000" s="193">
        <f>IFERROR(IF(E1000&gt;F1000,((F1000+E376B376+1)-(E1000+B1005))*24,HOUR(F1000-E1000)+MINUTE(F1000-E1000)/60),"")</f>
        <v>0.25</v>
      </c>
      <c r="H1000" s="230" t="s">
        <v>55</v>
      </c>
      <c r="I1000" s="230" t="s">
        <v>511</v>
      </c>
      <c r="J1000" s="231" t="s">
        <v>203</v>
      </c>
    </row>
    <row r="1001" spans="2:11" x14ac:dyDescent="0.25">
      <c r="B1001" s="235">
        <v>45019</v>
      </c>
      <c r="C1001" s="233">
        <v>1</v>
      </c>
      <c r="E1001" s="238">
        <v>0.37361111111111112</v>
      </c>
      <c r="F1001" s="204">
        <v>0.3840277777777778</v>
      </c>
      <c r="G1001" s="193">
        <f>IFERROR(IF(E1001&gt;F1001,((F1001+E376B376+1)-(E1001+B1006))*24,HOUR(F1001-E1001)+MINUTE(F1001-E1001)/60),"")</f>
        <v>0.25</v>
      </c>
      <c r="H1001" s="230" t="s">
        <v>176</v>
      </c>
      <c r="I1001" s="230" t="s">
        <v>510</v>
      </c>
      <c r="J1001" s="231" t="s">
        <v>568</v>
      </c>
      <c r="K1001" s="176" t="s">
        <v>1080</v>
      </c>
    </row>
    <row r="1002" spans="2:11" x14ac:dyDescent="0.25">
      <c r="B1002" s="235">
        <v>45019</v>
      </c>
      <c r="C1002" s="233">
        <v>1</v>
      </c>
      <c r="E1002" s="238">
        <v>0.3840277777777778</v>
      </c>
      <c r="F1002" s="204">
        <v>0.3923611111111111</v>
      </c>
      <c r="G1002" s="193">
        <f>IFERROR(IF(E1002&gt;F1002,((F1002+E376B376+1)-(E1002+B1007))*24,HOUR(F1002-E1002)+MINUTE(F1002-E1002)/60),"")</f>
        <v>0.2</v>
      </c>
      <c r="H1002" s="230" t="s">
        <v>184</v>
      </c>
      <c r="I1002" s="230" t="s">
        <v>509</v>
      </c>
      <c r="J1002" s="231" t="s">
        <v>600</v>
      </c>
    </row>
    <row r="1003" spans="2:11" x14ac:dyDescent="0.25">
      <c r="B1003" s="235">
        <v>45019</v>
      </c>
      <c r="C1003" s="233">
        <v>1</v>
      </c>
      <c r="E1003" s="238">
        <v>0.40763888888888888</v>
      </c>
      <c r="F1003" s="204">
        <v>0.41805555555555557</v>
      </c>
      <c r="G1003" s="193">
        <f>IFERROR(IF(E1003&gt;F1003,((F1003+E376B376+1)-(E1003+B1008))*24,HOUR(F1003-E1003)+MINUTE(F1003-E1003)/60),"")</f>
        <v>0.25</v>
      </c>
      <c r="H1003" s="230" t="s">
        <v>176</v>
      </c>
      <c r="I1003" s="230" t="s">
        <v>510</v>
      </c>
      <c r="J1003" s="231" t="s">
        <v>568</v>
      </c>
    </row>
    <row r="1004" spans="2:11" x14ac:dyDescent="0.25">
      <c r="B1004" s="235">
        <v>45019</v>
      </c>
      <c r="C1004" s="233">
        <v>1</v>
      </c>
      <c r="E1004" s="238">
        <v>0.44097222222222227</v>
      </c>
      <c r="F1004" s="204">
        <v>0.46249999999999997</v>
      </c>
      <c r="G1004" s="193">
        <f>IFERROR(IF(E1004&gt;F1004,((F1004+E376B376+1)-(E1004+B1009))*24,HOUR(F1004-E1004)+MINUTE(F1004-E1004)/60),"")</f>
        <v>0.51666666666666672</v>
      </c>
      <c r="H1004" s="230" t="s">
        <v>55</v>
      </c>
      <c r="I1004" s="230" t="s">
        <v>509</v>
      </c>
      <c r="J1004" s="231" t="s">
        <v>211</v>
      </c>
    </row>
    <row r="1005" spans="2:11" x14ac:dyDescent="0.25">
      <c r="B1005" s="235">
        <v>45019</v>
      </c>
      <c r="C1005" s="233">
        <v>1</v>
      </c>
      <c r="E1005" s="238">
        <v>0.47222222222222227</v>
      </c>
      <c r="F1005" s="204">
        <v>0.625</v>
      </c>
      <c r="G1005" s="193">
        <f>IFERROR(IF(E1005&gt;F1005,((F1005+E376B376+1)-(E1005+B1010))*24,HOUR(F1005-E1005)+MINUTE(F1005-E1005)/60),"")</f>
        <v>3.6666666666666665</v>
      </c>
      <c r="H1005" s="230" t="s">
        <v>167</v>
      </c>
      <c r="I1005" s="230" t="s">
        <v>510</v>
      </c>
      <c r="J1005" s="231" t="s">
        <v>171</v>
      </c>
      <c r="K1005" s="176" t="s">
        <v>1081</v>
      </c>
    </row>
    <row r="1006" spans="2:11" x14ac:dyDescent="0.25">
      <c r="B1006" s="235">
        <v>45019</v>
      </c>
      <c r="C1006" s="195">
        <v>2</v>
      </c>
      <c r="E1006" s="238">
        <v>0.625</v>
      </c>
      <c r="F1006" s="204">
        <v>0.69305555555555554</v>
      </c>
      <c r="G1006" s="193">
        <f>IFERROR(IF(E1006&gt;F1006,((F1006+E376B376+1)-(E1006+B1011))*24,HOUR(F1006-E1006)+MINUTE(F1006-E1006)/60),"")</f>
        <v>1.6333333333333333</v>
      </c>
      <c r="H1006" s="230" t="s">
        <v>167</v>
      </c>
      <c r="I1006" s="230" t="s">
        <v>510</v>
      </c>
      <c r="J1006" s="231" t="s">
        <v>171</v>
      </c>
      <c r="K1006" s="176" t="s">
        <v>1081</v>
      </c>
    </row>
    <row r="1007" spans="2:11" x14ac:dyDescent="0.25">
      <c r="B1007" s="235">
        <v>45019</v>
      </c>
      <c r="C1007" s="195">
        <v>2</v>
      </c>
      <c r="E1007" s="238">
        <v>0.77638888888888891</v>
      </c>
      <c r="F1007" s="204">
        <v>0.83819444444444446</v>
      </c>
      <c r="G1007" s="193">
        <f>IFERROR(IF(E1007&gt;F1007,((F1007+E376B376+1)-(E1007+B1012))*24,HOUR(F1007-E1007)+MINUTE(F1007-E1007)/60),"")</f>
        <v>1.4833333333333334</v>
      </c>
      <c r="I1007" s="230" t="s">
        <v>513</v>
      </c>
      <c r="J1007" s="231" t="s">
        <v>78</v>
      </c>
    </row>
    <row r="1008" spans="2:11" x14ac:dyDescent="0.25">
      <c r="B1008" s="235">
        <v>45019</v>
      </c>
      <c r="C1008" s="195">
        <v>2</v>
      </c>
      <c r="E1008" s="238">
        <v>0.9472222222222223</v>
      </c>
      <c r="F1008" s="204">
        <v>0.95833333333333337</v>
      </c>
      <c r="G1008" s="193">
        <f>IFERROR(IF(E1008&gt;F1008,((F1008+E376B376+1)-(E1008+B1013))*24,HOUR(F1008-E1008)+MINUTE(F1008-E1008)/60),"")</f>
        <v>0.26666666666666666</v>
      </c>
      <c r="H1008" s="230" t="s">
        <v>55</v>
      </c>
      <c r="I1008" s="230" t="s">
        <v>509</v>
      </c>
      <c r="J1008" s="231" t="s">
        <v>114</v>
      </c>
    </row>
    <row r="1009" spans="2:10" x14ac:dyDescent="0.25">
      <c r="B1009" s="235">
        <v>45019</v>
      </c>
      <c r="C1009" s="195">
        <v>3</v>
      </c>
      <c r="E1009" s="238">
        <v>0.95833333333333337</v>
      </c>
      <c r="F1009" s="204">
        <v>0.96875</v>
      </c>
      <c r="G1009" s="193">
        <f>IFERROR(IF(E1009&gt;F1009,((F1009+E376B376+1)-(E1009+B1014))*24,HOUR(F1009-E1009)+MINUTE(F1009-E1009)/60),"")</f>
        <v>0.25</v>
      </c>
      <c r="H1009" s="230" t="s">
        <v>55</v>
      </c>
      <c r="I1009" s="230" t="s">
        <v>509</v>
      </c>
      <c r="J1009" s="231" t="s">
        <v>114</v>
      </c>
    </row>
    <row r="1010" spans="2:10" x14ac:dyDescent="0.25">
      <c r="B1010" s="235">
        <v>45019</v>
      </c>
      <c r="C1010" s="195">
        <v>3</v>
      </c>
      <c r="E1010" s="238">
        <v>0.97222222222222221</v>
      </c>
      <c r="F1010" s="204">
        <v>0.98263888888888884</v>
      </c>
      <c r="G1010" s="193">
        <f>IFERROR(IF(E1010&gt;F1010,((F1010+E376B376+1)-(E1010+B1015))*24,HOUR(F1010-E1010)+MINUTE(F1010-E1010)/60),"")</f>
        <v>0.25</v>
      </c>
      <c r="H1010" s="230" t="s">
        <v>55</v>
      </c>
      <c r="I1010" s="230" t="s">
        <v>509</v>
      </c>
      <c r="J1010" s="231" t="s">
        <v>211</v>
      </c>
    </row>
    <row r="1011" spans="2:10" x14ac:dyDescent="0.25">
      <c r="B1011" s="235">
        <v>45019</v>
      </c>
      <c r="C1011" s="195">
        <v>3</v>
      </c>
      <c r="E1011" s="238">
        <v>2.0833333333333332E-2</v>
      </c>
      <c r="F1011" s="204">
        <v>3.4722222222222224E-2</v>
      </c>
      <c r="G1011" s="193">
        <f>IFERROR(IF(E1011&gt;F1011,((F1011+E376B376+1)-(E1011+B1016))*24,HOUR(F1011-E1011)+MINUTE(F1011-E1011)/60),"")</f>
        <v>0.33333333333333331</v>
      </c>
      <c r="H1011" s="230" t="s">
        <v>195</v>
      </c>
      <c r="I1011" s="230" t="s">
        <v>509</v>
      </c>
      <c r="J1011" s="231" t="s">
        <v>604</v>
      </c>
    </row>
    <row r="1012" spans="2:10" x14ac:dyDescent="0.25">
      <c r="B1012" s="235">
        <v>45019</v>
      </c>
      <c r="C1012" s="195">
        <v>3</v>
      </c>
      <c r="E1012" s="238">
        <v>4.4444444444444446E-2</v>
      </c>
      <c r="F1012" s="204">
        <v>6.0416666666666667E-2</v>
      </c>
      <c r="G1012" s="193">
        <f>IFERROR(IF(E1012&gt;F1012,((F1012+E376B376+1)-(E1012+B1017))*24,HOUR(F1012-E1012)+MINUTE(F1012-E1012)/60),"")</f>
        <v>0.38333333333333336</v>
      </c>
      <c r="H1012" s="230" t="s">
        <v>198</v>
      </c>
      <c r="I1012" s="230" t="s">
        <v>509</v>
      </c>
      <c r="J1012" s="231" t="s">
        <v>213</v>
      </c>
    </row>
    <row r="1013" spans="2:10" x14ac:dyDescent="0.25">
      <c r="B1013" s="235">
        <v>45019</v>
      </c>
      <c r="C1013" s="195">
        <v>3</v>
      </c>
      <c r="E1013" s="238">
        <v>6.3888888888888884E-2</v>
      </c>
      <c r="F1013" s="204">
        <v>7.4305555555555555E-2</v>
      </c>
      <c r="G1013" s="193">
        <f>IFERROR(IF(E1013&gt;F1013,((F1013+E376B376+1)-(E1013+B1018))*24,HOUR(F1013-E1013)+MINUTE(F1013-E1013)/60),"")</f>
        <v>0.25</v>
      </c>
      <c r="H1013" s="230" t="s">
        <v>55</v>
      </c>
      <c r="I1013" s="230" t="s">
        <v>509</v>
      </c>
      <c r="J1013" s="231" t="s">
        <v>203</v>
      </c>
    </row>
    <row r="1014" spans="2:10" x14ac:dyDescent="0.25">
      <c r="B1014" s="235">
        <v>45019</v>
      </c>
      <c r="C1014" s="195">
        <v>3</v>
      </c>
      <c r="E1014" s="238">
        <v>0.16666666666666666</v>
      </c>
      <c r="F1014" s="204">
        <v>0.17708333333333334</v>
      </c>
      <c r="G1014" s="193">
        <f>IFERROR(IF(E1014&gt;F1014,((F1014+E376B376+1)-(E1014+B1019))*24,HOUR(F1014-E1014)+MINUTE(F1014-E1014)/60),"")</f>
        <v>0.25</v>
      </c>
      <c r="H1014" s="230" t="s">
        <v>55</v>
      </c>
      <c r="I1014" s="230" t="s">
        <v>509</v>
      </c>
      <c r="J1014" s="231" t="s">
        <v>203</v>
      </c>
    </row>
    <row r="1015" spans="2:10" x14ac:dyDescent="0.25">
      <c r="B1015" s="235">
        <v>45019</v>
      </c>
      <c r="C1015" s="233">
        <v>3</v>
      </c>
      <c r="E1015" s="238">
        <v>0.22916666666666666</v>
      </c>
      <c r="F1015" s="204">
        <v>0.24305555555555555</v>
      </c>
      <c r="G1015" s="193">
        <f>IFERROR(IF(E1015&gt;F1015,((F1015+E376B376+1)-(E1015+B1020))*24,HOUR(F1015-E1015)+MINUTE(F1015-E1015)/60),"")</f>
        <v>0.33333333333333331</v>
      </c>
      <c r="H1015" s="230" t="s">
        <v>55</v>
      </c>
      <c r="I1015" s="230" t="s">
        <v>509</v>
      </c>
      <c r="J1015" s="231" t="s">
        <v>203</v>
      </c>
    </row>
    <row r="1016" spans="2:10" x14ac:dyDescent="0.25">
      <c r="B1016" s="235">
        <v>45019</v>
      </c>
      <c r="C1016" s="233">
        <v>3</v>
      </c>
      <c r="E1016" s="238">
        <v>0.27638888888888885</v>
      </c>
      <c r="F1016" s="204">
        <v>0.29375000000000001</v>
      </c>
      <c r="G1016" s="193">
        <f>IFERROR(IF(E1016&gt;F1016,((F1016+E376B376+1)-(E1016+B1021))*24,HOUR(F1016-E1016)+MINUTE(F1016-E1016)/60),"")</f>
        <v>0.41666666666666669</v>
      </c>
      <c r="H1016" s="230" t="s">
        <v>55</v>
      </c>
      <c r="I1016" s="230" t="s">
        <v>509</v>
      </c>
      <c r="J1016" s="231" t="s">
        <v>114</v>
      </c>
    </row>
    <row r="1017" spans="2:10" x14ac:dyDescent="0.25">
      <c r="B1017" s="235">
        <v>45020</v>
      </c>
      <c r="C1017" s="195">
        <v>1</v>
      </c>
      <c r="E1017" s="238">
        <v>0.3125</v>
      </c>
      <c r="F1017" s="204">
        <v>0.32291666666666669</v>
      </c>
      <c r="G1017" s="193">
        <f>IFERROR(IF(E1017&gt;F1017,((F1017+E376B376+1)-(E1017+B1022))*24,HOUR(F1017-E1017)+MINUTE(F1017-E1017)/60),"")</f>
        <v>0.25</v>
      </c>
      <c r="H1017" s="230" t="s">
        <v>55</v>
      </c>
      <c r="I1017" s="230" t="s">
        <v>510</v>
      </c>
      <c r="J1017" s="231" t="s">
        <v>222</v>
      </c>
    </row>
    <row r="1018" spans="2:10" x14ac:dyDescent="0.25">
      <c r="B1018" s="235">
        <v>45020</v>
      </c>
      <c r="C1018" s="195">
        <v>1</v>
      </c>
      <c r="E1018" s="238">
        <v>0.45833333333333331</v>
      </c>
      <c r="F1018" s="204">
        <v>0.47222222222222227</v>
      </c>
      <c r="G1018" s="193">
        <f>IFERROR(IF(E1018&gt;F1018,((F1018+E376B376+1)-(E1018+B1023))*24,HOUR(F1018-E1018)+MINUTE(F1018-E1018)/60),"")</f>
        <v>0.33333333333333331</v>
      </c>
      <c r="H1018" s="230" t="s">
        <v>55</v>
      </c>
      <c r="I1018" s="230" t="s">
        <v>513</v>
      </c>
      <c r="J1018" s="231" t="s">
        <v>529</v>
      </c>
    </row>
    <row r="1019" spans="2:10" x14ac:dyDescent="0.25">
      <c r="B1019" s="235">
        <v>45020</v>
      </c>
      <c r="C1019" s="233">
        <v>1</v>
      </c>
      <c r="E1019" s="238">
        <v>0.54652777777777783</v>
      </c>
      <c r="F1019" s="204">
        <v>0.55763888888888891</v>
      </c>
      <c r="G1019" s="193">
        <f>IFERROR(IF(E1019&gt;F1019,((F1019+E376B376+1)-(E1019+B1024))*24,HOUR(F1019-E1019)+MINUTE(F1019-E1019)/60),"")</f>
        <v>0.26666666666666666</v>
      </c>
      <c r="H1019" s="230" t="s">
        <v>55</v>
      </c>
      <c r="I1019" s="230" t="s">
        <v>509</v>
      </c>
      <c r="J1019" s="231" t="s">
        <v>203</v>
      </c>
    </row>
    <row r="1020" spans="2:10" x14ac:dyDescent="0.25">
      <c r="B1020" s="235">
        <v>45020</v>
      </c>
      <c r="C1020" s="195">
        <v>1</v>
      </c>
      <c r="E1020" s="238">
        <v>0.61111111111111105</v>
      </c>
      <c r="F1020" s="204">
        <v>0.625</v>
      </c>
      <c r="G1020" s="193">
        <f>IFERROR(IF(E1020&gt;F1020,((F1020+E376B376+1)-(E1020+B1025))*24,HOUR(F1020-E1020)+MINUTE(F1020-E1020)/60),"")</f>
        <v>0.33333333333333331</v>
      </c>
      <c r="H1020" s="230" t="s">
        <v>55</v>
      </c>
      <c r="I1020" s="230" t="s">
        <v>509</v>
      </c>
      <c r="J1020" s="231" t="s">
        <v>203</v>
      </c>
    </row>
    <row r="1021" spans="2:10" x14ac:dyDescent="0.25">
      <c r="B1021" s="235">
        <v>45020</v>
      </c>
      <c r="C1021" s="195">
        <v>2</v>
      </c>
      <c r="E1021" s="238">
        <v>0.625</v>
      </c>
      <c r="F1021" s="204">
        <v>0.63194444444444442</v>
      </c>
      <c r="G1021" s="193">
        <f>IFERROR(IF(E1021&gt;F1021,((F1021+E376B376+1)-(E1021+B1026))*24,HOUR(F1021-E1021)+MINUTE(F1021-E1021)/60),"")</f>
        <v>0.16666666666666666</v>
      </c>
      <c r="H1021" s="230" t="s">
        <v>55</v>
      </c>
      <c r="I1021" s="230" t="s">
        <v>509</v>
      </c>
      <c r="J1021" s="231" t="s">
        <v>114</v>
      </c>
    </row>
    <row r="1022" spans="2:10" x14ac:dyDescent="0.25">
      <c r="B1022" s="235">
        <v>45020</v>
      </c>
      <c r="C1022" s="195">
        <v>2</v>
      </c>
      <c r="E1022" s="238">
        <v>0.64097222222222217</v>
      </c>
      <c r="F1022" s="204">
        <v>0.65486111111111112</v>
      </c>
      <c r="G1022" s="193">
        <f>IFERROR(IF(E1022&gt;F1022,((F1022+E376B376+1)-(E1022+B1027))*24,HOUR(F1022-E1022)+MINUTE(F1022-E1022)/60),"")</f>
        <v>0.33333333333333331</v>
      </c>
      <c r="H1022" s="230" t="s">
        <v>204</v>
      </c>
      <c r="I1022" s="230" t="s">
        <v>511</v>
      </c>
      <c r="J1022" s="231" t="s">
        <v>527</v>
      </c>
    </row>
    <row r="1023" spans="2:10" x14ac:dyDescent="0.25">
      <c r="B1023" s="235">
        <v>45020</v>
      </c>
      <c r="C1023" s="195">
        <v>2</v>
      </c>
      <c r="E1023" s="238">
        <v>0.66527777777777775</v>
      </c>
      <c r="F1023" s="204">
        <v>0.67638888888888893</v>
      </c>
      <c r="G1023" s="193">
        <f>IFERROR(IF(E1023&gt;F1023,((F1023+E376B376+1)-(E1023+B1028))*24,HOUR(F1023-E1023)+MINUTE(F1023-E1023)/60),"")</f>
        <v>0.26666666666666666</v>
      </c>
      <c r="H1023" s="230" t="s">
        <v>55</v>
      </c>
      <c r="I1023" s="230" t="s">
        <v>509</v>
      </c>
      <c r="J1023" s="231" t="s">
        <v>203</v>
      </c>
    </row>
    <row r="1024" spans="2:10" x14ac:dyDescent="0.25">
      <c r="B1024" s="235">
        <v>45020</v>
      </c>
      <c r="C1024" s="195">
        <v>2</v>
      </c>
      <c r="E1024" s="238">
        <v>0.6875</v>
      </c>
      <c r="F1024" s="204">
        <v>0.69791666666666663</v>
      </c>
      <c r="G1024" s="193">
        <f>IFERROR(IF(E1024&gt;F1024,((F1024+E376B376+1)-(E1024+B1029))*24,HOUR(F1024-E1024)+MINUTE(F1024-E1024)/60),"")</f>
        <v>0.25</v>
      </c>
      <c r="H1024" s="230" t="s">
        <v>187</v>
      </c>
      <c r="I1024" s="230" t="s">
        <v>509</v>
      </c>
      <c r="J1024" s="231" t="s">
        <v>200</v>
      </c>
    </row>
    <row r="1025" spans="2:11" x14ac:dyDescent="0.25">
      <c r="B1025" s="235">
        <v>45020</v>
      </c>
      <c r="C1025" s="195">
        <v>2</v>
      </c>
      <c r="E1025" s="238">
        <v>0.69791666666666663</v>
      </c>
      <c r="F1025" s="204">
        <v>0.70694444444444438</v>
      </c>
      <c r="G1025" s="193">
        <f>IFERROR(IF(E1025&gt;F1025,((F1025+E376B376+1)-(E1025+B1030))*24,HOUR(F1025-E1025)+MINUTE(F1025-E1025)/60),"")</f>
        <v>0.21666666666666667</v>
      </c>
      <c r="H1025" s="230" t="s">
        <v>187</v>
      </c>
      <c r="I1025" s="230" t="s">
        <v>509</v>
      </c>
      <c r="J1025" s="231" t="s">
        <v>600</v>
      </c>
    </row>
    <row r="1026" spans="2:11" x14ac:dyDescent="0.25">
      <c r="B1026" s="235">
        <v>45020</v>
      </c>
      <c r="C1026" s="195">
        <v>2</v>
      </c>
      <c r="E1026" s="238">
        <v>0.78125</v>
      </c>
      <c r="F1026" s="204">
        <v>0.83194444444444438</v>
      </c>
      <c r="G1026" s="193">
        <f>IFERROR(IF(E1026&gt;F1026,((F1026+E376B376+1)-(E1026+B1031))*24,HOUR(F1026-E1026)+MINUTE(F1026-E1026)/60),"")</f>
        <v>1.2166666666666668</v>
      </c>
      <c r="H1026" s="230" t="s">
        <v>55</v>
      </c>
      <c r="I1026" s="230" t="s">
        <v>513</v>
      </c>
      <c r="J1026" s="231" t="s">
        <v>78</v>
      </c>
    </row>
    <row r="1027" spans="2:11" x14ac:dyDescent="0.25">
      <c r="B1027" s="235">
        <v>45020</v>
      </c>
      <c r="C1027" s="195">
        <v>2</v>
      </c>
      <c r="E1027" s="238">
        <v>0.91111111111111109</v>
      </c>
      <c r="F1027" s="204">
        <v>0.92152777777777783</v>
      </c>
      <c r="G1027" s="193">
        <f>IFERROR(IF(E1027&gt;F1027,((F1027+E376B376+1)-(E1027+B1032))*24,HOUR(F1027-E1027)+MINUTE(F1027-E1027)/60),"")</f>
        <v>0.25</v>
      </c>
      <c r="H1027" s="230" t="s">
        <v>55</v>
      </c>
      <c r="I1027" s="230" t="s">
        <v>509</v>
      </c>
      <c r="J1027" s="231" t="s">
        <v>203</v>
      </c>
    </row>
    <row r="1028" spans="2:11" x14ac:dyDescent="0.25">
      <c r="B1028" s="235">
        <v>45020</v>
      </c>
      <c r="C1028" s="195">
        <v>2</v>
      </c>
      <c r="E1028" s="238">
        <v>0.9291666666666667</v>
      </c>
      <c r="F1028" s="204">
        <v>0.93958333333333333</v>
      </c>
      <c r="G1028" s="193">
        <f>IFERROR(IF(E1028&gt;F1028,((F1028+E376B376+1)-(E1028+B1033))*24,HOUR(F1028-E1028)+MINUTE(F1028-E1028)/60),"")</f>
        <v>0.25</v>
      </c>
      <c r="H1028" s="230" t="s">
        <v>147</v>
      </c>
      <c r="I1028" s="230" t="s">
        <v>509</v>
      </c>
      <c r="J1028" s="231" t="s">
        <v>146</v>
      </c>
      <c r="K1028" s="176" t="s">
        <v>1084</v>
      </c>
    </row>
    <row r="1029" spans="2:11" x14ac:dyDescent="0.25">
      <c r="B1029" s="235">
        <v>45020</v>
      </c>
      <c r="C1029" s="195">
        <v>2</v>
      </c>
      <c r="E1029" s="238">
        <v>0.93958333333333333</v>
      </c>
      <c r="F1029" s="204">
        <v>0.95833333333333337</v>
      </c>
      <c r="G1029" s="193">
        <f>IFERROR(IF(E1029&gt;F1029,((F1029+E376B376+1)-(E1029+B1034))*24,HOUR(F1029-E1029)+MINUTE(F1029-E1029)/60),"")</f>
        <v>0.45</v>
      </c>
      <c r="H1029" s="230" t="s">
        <v>55</v>
      </c>
      <c r="I1029" s="230" t="s">
        <v>509</v>
      </c>
      <c r="J1029" s="231" t="s">
        <v>114</v>
      </c>
    </row>
    <row r="1030" spans="2:11" x14ac:dyDescent="0.25">
      <c r="B1030" s="235">
        <v>45020</v>
      </c>
      <c r="C1030" s="195">
        <v>3</v>
      </c>
      <c r="E1030" s="238">
        <v>0.95833333333333337</v>
      </c>
      <c r="F1030" s="204">
        <v>0.96875</v>
      </c>
      <c r="G1030" s="193">
        <f>IFERROR(IF(E1030&gt;F1030,((F1030+E376B376+1)-(E1030+B1035))*24,HOUR(F1030-E1030)+MINUTE(F1030-E1030)/60),"")</f>
        <v>0.25</v>
      </c>
      <c r="H1030" s="230" t="s">
        <v>187</v>
      </c>
      <c r="I1030" s="230" t="s">
        <v>509</v>
      </c>
      <c r="J1030" s="231" t="s">
        <v>604</v>
      </c>
    </row>
    <row r="1031" spans="2:11" x14ac:dyDescent="0.25">
      <c r="B1031" s="235">
        <v>45020</v>
      </c>
      <c r="C1031" s="233">
        <v>3</v>
      </c>
      <c r="E1031" s="238">
        <v>0.96875</v>
      </c>
      <c r="F1031" s="204">
        <v>0.98541666666666661</v>
      </c>
      <c r="G1031" s="193">
        <f>IFERROR(IF(E1031&gt;F1031,((F1031+E376B376+1)-(E1031+B1036))*24,HOUR(F1031-E1031)+MINUTE(F1031-E1031)/60),"")</f>
        <v>0.4</v>
      </c>
      <c r="H1031" s="230" t="s">
        <v>55</v>
      </c>
      <c r="I1031" s="230" t="s">
        <v>509</v>
      </c>
      <c r="J1031" s="231" t="s">
        <v>211</v>
      </c>
    </row>
    <row r="1032" spans="2:11" x14ac:dyDescent="0.25">
      <c r="B1032" s="235">
        <v>45020</v>
      </c>
      <c r="C1032" s="233">
        <v>3</v>
      </c>
      <c r="E1032" s="238">
        <v>1.3194444444444444E-2</v>
      </c>
      <c r="F1032" s="204">
        <v>3.2638888888888891E-2</v>
      </c>
      <c r="G1032" s="193">
        <f>IFERROR(IF(E1032&gt;F1032,((F1032+E376B376+1)-(E1032+B1037))*24,HOUR(F1032-E1032)+MINUTE(F1032-E1032)/60),"")</f>
        <v>0.46666666666666667</v>
      </c>
      <c r="H1032" s="230" t="s">
        <v>187</v>
      </c>
      <c r="I1032" s="230" t="s">
        <v>509</v>
      </c>
      <c r="J1032" s="231" t="s">
        <v>604</v>
      </c>
    </row>
    <row r="1033" spans="2:11" x14ac:dyDescent="0.25">
      <c r="B1033" s="235">
        <v>45020</v>
      </c>
      <c r="C1033" s="233">
        <v>3</v>
      </c>
      <c r="E1033" s="238">
        <v>0.16666666666666666</v>
      </c>
      <c r="F1033" s="204">
        <v>0.17708333333333334</v>
      </c>
      <c r="G1033" s="193">
        <f>IFERROR(IF(E1033&gt;F1033,((F1033+E376B376+1)-(E1033+B1038))*24,HOUR(F1033-E1033)+MINUTE(F1033-E1033)/60),"")</f>
        <v>0.25</v>
      </c>
      <c r="H1033" s="230" t="s">
        <v>55</v>
      </c>
      <c r="I1033" s="230" t="s">
        <v>509</v>
      </c>
      <c r="J1033" s="231" t="s">
        <v>203</v>
      </c>
    </row>
    <row r="1034" spans="2:11" x14ac:dyDescent="0.25">
      <c r="B1034" s="235">
        <v>45020</v>
      </c>
      <c r="C1034" s="233">
        <v>3</v>
      </c>
      <c r="E1034" s="238">
        <v>0.20833333333333334</v>
      </c>
      <c r="F1034" s="204">
        <v>0.21875</v>
      </c>
      <c r="G1034" s="193">
        <f>IFERROR(IF(E1034&gt;F1034,((F1034+E376B376+1)-(E1034+B1039))*24,HOUR(F1034-E1034)+MINUTE(F1034-E1034)/60),"")</f>
        <v>0.25</v>
      </c>
      <c r="H1034" s="230" t="s">
        <v>55</v>
      </c>
      <c r="I1034" s="230" t="s">
        <v>509</v>
      </c>
      <c r="J1034" s="231" t="s">
        <v>203</v>
      </c>
    </row>
    <row r="1035" spans="2:11" x14ac:dyDescent="0.25">
      <c r="B1035" s="235">
        <v>45020</v>
      </c>
      <c r="C1035" s="233">
        <v>3</v>
      </c>
      <c r="E1035" s="238">
        <v>0.27569444444444446</v>
      </c>
      <c r="F1035" s="204">
        <v>0.29166666666666669</v>
      </c>
      <c r="G1035" s="193">
        <f>IFERROR(IF(E1035&gt;F1035,((F1035+E376B376+1)-(E1035+B1040))*24,HOUR(F1035-E1035)+MINUTE(F1035-E1035)/60),"")</f>
        <v>0.38333333333333336</v>
      </c>
      <c r="H1035" s="230" t="s">
        <v>55</v>
      </c>
      <c r="I1035" s="230" t="s">
        <v>509</v>
      </c>
      <c r="J1035" s="231" t="s">
        <v>114</v>
      </c>
    </row>
    <row r="1036" spans="2:11" x14ac:dyDescent="0.25">
      <c r="B1036" s="235">
        <v>45021</v>
      </c>
      <c r="C1036" s="195">
        <v>1</v>
      </c>
      <c r="E1036" s="238">
        <v>0.29166666666666669</v>
      </c>
      <c r="F1036" s="204">
        <v>0.375</v>
      </c>
      <c r="G1036" s="193">
        <f>IFERROR(IF(E1036&gt;F1036,((F1036+E376B376+1)-(E1036+B1041))*24,HOUR(F1036-E1036)+MINUTE(F1036-E1036)/60),"")</f>
        <v>2</v>
      </c>
      <c r="H1036" s="230" t="s">
        <v>55</v>
      </c>
      <c r="I1036" s="230" t="s">
        <v>510</v>
      </c>
      <c r="J1036" s="231" t="s">
        <v>227</v>
      </c>
    </row>
    <row r="1037" spans="2:11" x14ac:dyDescent="0.25">
      <c r="B1037" s="235">
        <v>45021</v>
      </c>
      <c r="C1037" s="195">
        <v>1</v>
      </c>
      <c r="E1037" s="238">
        <v>0.41666666666666669</v>
      </c>
      <c r="F1037" s="204">
        <v>0.625</v>
      </c>
      <c r="G1037" s="193">
        <f>IFERROR(IF(E1037&gt;F1037,((F1037+E376B376+1)-(E1037+#REF!))*24,HOUR(F1037-E1037)+MINUTE(F1037-E1037)/60),"")</f>
        <v>5</v>
      </c>
      <c r="H1037" s="230" t="s">
        <v>176</v>
      </c>
      <c r="I1037" s="230" t="s">
        <v>510</v>
      </c>
      <c r="J1037" s="231" t="s">
        <v>624</v>
      </c>
    </row>
    <row r="1038" spans="2:11" x14ac:dyDescent="0.25">
      <c r="B1038" s="235">
        <v>45021</v>
      </c>
      <c r="C1038" s="195">
        <v>2</v>
      </c>
      <c r="E1038" s="238">
        <v>0.625</v>
      </c>
      <c r="F1038" s="204">
        <v>0.63888888888888895</v>
      </c>
      <c r="G1038" s="193">
        <f>IFERROR(IF(E1038&gt;F1038,((F1038+E376B376+1)-(E1038+B1042))*24,HOUR(F1038-E1038)+MINUTE(F1038-E1038)/60),"")</f>
        <v>0.33333333333333331</v>
      </c>
      <c r="H1038" s="230" t="s">
        <v>55</v>
      </c>
      <c r="I1038" s="230" t="s">
        <v>511</v>
      </c>
      <c r="J1038" s="231" t="s">
        <v>558</v>
      </c>
    </row>
    <row r="1039" spans="2:11" x14ac:dyDescent="0.25">
      <c r="B1039" s="235">
        <v>45021</v>
      </c>
      <c r="C1039" s="195">
        <v>2</v>
      </c>
      <c r="E1039" s="238">
        <v>0.77083333333333337</v>
      </c>
      <c r="F1039" s="204">
        <v>0.82708333333333339</v>
      </c>
      <c r="G1039" s="193">
        <f>IFERROR(IF(E1039&gt;F1039,((F1039+E376B376+1)-(E1039+B1043))*24,HOUR(F1039-E1039)+MINUTE(F1039-E1039)/60),"")</f>
        <v>1.35</v>
      </c>
      <c r="H1039" s="230" t="s">
        <v>55</v>
      </c>
      <c r="I1039" s="230" t="s">
        <v>513</v>
      </c>
      <c r="J1039" s="231" t="s">
        <v>78</v>
      </c>
    </row>
    <row r="1040" spans="2:11" x14ac:dyDescent="0.25">
      <c r="B1040" s="235">
        <v>45021</v>
      </c>
      <c r="C1040" s="195">
        <v>2</v>
      </c>
      <c r="E1040" s="238">
        <v>0.93888888888888899</v>
      </c>
      <c r="F1040" s="204">
        <v>0.94930555555555562</v>
      </c>
      <c r="G1040" s="193">
        <f>IFERROR(IF(E1040&gt;F1040,((F1040+E376B376+1)-(E1040+B1044))*24,HOUR(F1040-E1040)+MINUTE(F1040-E1040)/60),"")</f>
        <v>0.25</v>
      </c>
      <c r="H1040" s="230" t="s">
        <v>55</v>
      </c>
      <c r="I1040" s="230" t="s">
        <v>509</v>
      </c>
      <c r="J1040" s="231" t="s">
        <v>203</v>
      </c>
    </row>
    <row r="1041" spans="2:11" x14ac:dyDescent="0.25">
      <c r="B1041" s="235">
        <v>45021</v>
      </c>
      <c r="C1041" s="195">
        <v>2</v>
      </c>
      <c r="E1041" s="238">
        <v>0.94930555555555562</v>
      </c>
      <c r="F1041" s="204">
        <v>0.95833333333333337</v>
      </c>
      <c r="G1041" s="193">
        <f>IFERROR(IF(E1041&gt;F1041,((F1041+E376B376+1)-(E1041+B1045))*24,HOUR(F1041-E1041)+MINUTE(F1041-E1041)/60),"")</f>
        <v>0.21666666666666667</v>
      </c>
      <c r="H1041" s="230" t="s">
        <v>55</v>
      </c>
      <c r="I1041" s="230" t="s">
        <v>509</v>
      </c>
      <c r="J1041" s="231" t="s">
        <v>114</v>
      </c>
    </row>
    <row r="1042" spans="2:11" x14ac:dyDescent="0.25">
      <c r="B1042" s="235">
        <v>45021</v>
      </c>
      <c r="C1042" s="233">
        <v>3</v>
      </c>
      <c r="E1042" s="238">
        <v>0.97083333333333333</v>
      </c>
      <c r="F1042" s="204">
        <v>0.98333333333333339</v>
      </c>
      <c r="G1042" s="193">
        <f>IFERROR(IF(E1042&gt;F1042,((F1042+E376B376+1)-(E1042+B1046))*24,HOUR(F1042-E1042)+MINUTE(F1042-E1042)/60),"")</f>
        <v>0.3</v>
      </c>
      <c r="H1042" s="230" t="s">
        <v>55</v>
      </c>
      <c r="I1042" s="230" t="s">
        <v>509</v>
      </c>
      <c r="J1042" s="231" t="s">
        <v>203</v>
      </c>
    </row>
    <row r="1043" spans="2:11" x14ac:dyDescent="0.25">
      <c r="B1043" s="235">
        <v>45021</v>
      </c>
      <c r="C1043" s="195">
        <v>3</v>
      </c>
      <c r="D1043" s="233"/>
      <c r="E1043" s="238">
        <v>4.1666666666666664E-2</v>
      </c>
      <c r="F1043" s="204">
        <v>4.8611111111111112E-2</v>
      </c>
      <c r="G1043" s="193">
        <f>IFERROR(IF(E1043&gt;F1043,((F1043+E376B376+1)-(E1043+B1047))*24,HOUR(F1043-E1043)+MINUTE(F1043-E1043)/60),"")</f>
        <v>0.16666666666666666</v>
      </c>
      <c r="H1043" s="230" t="s">
        <v>158</v>
      </c>
      <c r="I1043" s="230" t="s">
        <v>509</v>
      </c>
      <c r="J1043" s="231" t="s">
        <v>495</v>
      </c>
    </row>
    <row r="1044" spans="2:11" x14ac:dyDescent="0.25">
      <c r="B1044" s="235">
        <v>45021</v>
      </c>
      <c r="C1044" s="195">
        <v>3</v>
      </c>
      <c r="E1044" s="238">
        <v>4.8611111111111112E-2</v>
      </c>
      <c r="F1044" s="204">
        <v>7.6388888888888895E-2</v>
      </c>
      <c r="G1044" s="193">
        <f>IFERROR(IF(E1044&gt;F1044,((F1044+E376B376+1)-(E1044+B1048))*24,HOUR(F1044-E1044)+MINUTE(F1044-E1044)/60),"")</f>
        <v>0.66666666666666663</v>
      </c>
      <c r="H1044" s="230" t="s">
        <v>55</v>
      </c>
      <c r="I1044" s="230" t="s">
        <v>509</v>
      </c>
      <c r="J1044" s="231" t="s">
        <v>211</v>
      </c>
    </row>
    <row r="1045" spans="2:11" x14ac:dyDescent="0.25">
      <c r="B1045" s="235">
        <v>45021</v>
      </c>
      <c r="C1045" s="195">
        <v>3</v>
      </c>
      <c r="E1045" s="238">
        <v>0.10416666666666667</v>
      </c>
      <c r="F1045" s="204">
        <v>0.11458333333333333</v>
      </c>
      <c r="G1045" s="193">
        <f>IFERROR(IF(E1045&gt;F1045,((F1045+E376B376+1)-(E1045+B1049))*24,HOUR(F1045-E1045)+MINUTE(F1045-E1045)/60),"")</f>
        <v>0.25</v>
      </c>
      <c r="H1045" s="230" t="s">
        <v>55</v>
      </c>
      <c r="I1045" s="230" t="s">
        <v>509</v>
      </c>
      <c r="J1045" s="231" t="s">
        <v>203</v>
      </c>
    </row>
    <row r="1046" spans="2:11" x14ac:dyDescent="0.25">
      <c r="B1046" s="235">
        <v>45021</v>
      </c>
      <c r="C1046" s="195">
        <v>3</v>
      </c>
      <c r="E1046" s="238">
        <v>0.14583333333333334</v>
      </c>
      <c r="F1046" s="204">
        <v>0.15625</v>
      </c>
      <c r="G1046" s="193">
        <f>IFERROR(IF(E1046&gt;F1046,((F1046+E376B376+1)-(E1046+B1050))*24,HOUR(F1046-E1046)+MINUTE(F1046-E1046)/60),"")</f>
        <v>0.25</v>
      </c>
      <c r="H1046" s="230" t="s">
        <v>55</v>
      </c>
      <c r="I1046" s="230" t="s">
        <v>509</v>
      </c>
      <c r="J1046" s="231" t="s">
        <v>203</v>
      </c>
    </row>
    <row r="1047" spans="2:11" x14ac:dyDescent="0.25">
      <c r="B1047" s="235">
        <v>45021</v>
      </c>
      <c r="C1047" s="233">
        <v>3</v>
      </c>
      <c r="E1047" s="238">
        <v>0.27430555555555552</v>
      </c>
      <c r="F1047" s="204">
        <v>0.29166666666666669</v>
      </c>
      <c r="G1047" s="193">
        <f>IFERROR(IF(E1047&gt;F1047,((F1047+E376B376+1)-(E1047+B1051))*24,HOUR(F1047-E1047)+MINUTE(F1047-E1047)/60),"")</f>
        <v>0.41666666666666669</v>
      </c>
      <c r="H1047" s="230" t="s">
        <v>55</v>
      </c>
      <c r="I1047" s="230" t="s">
        <v>509</v>
      </c>
      <c r="J1047" s="231" t="s">
        <v>203</v>
      </c>
    </row>
    <row r="1048" spans="2:11" x14ac:dyDescent="0.25">
      <c r="B1048" s="235">
        <v>45022</v>
      </c>
      <c r="C1048" s="195">
        <v>1</v>
      </c>
      <c r="E1048" s="238">
        <v>0.29166666666666669</v>
      </c>
      <c r="F1048" s="204">
        <v>0.30208333333333331</v>
      </c>
      <c r="G1048" s="193">
        <f>IFERROR(IF(E1048&gt;F1048,((F1048+E376B376+1)-(E1048+B1052))*24,HOUR(F1048-E1048)+MINUTE(F1048-E1048)/60),"")</f>
        <v>0.25</v>
      </c>
      <c r="H1048" s="230" t="s">
        <v>55</v>
      </c>
      <c r="I1048" s="230" t="s">
        <v>509</v>
      </c>
      <c r="J1048" s="231" t="s">
        <v>203</v>
      </c>
    </row>
    <row r="1049" spans="2:11" x14ac:dyDescent="0.25">
      <c r="B1049" s="235">
        <v>45022</v>
      </c>
      <c r="C1049" s="233">
        <v>1</v>
      </c>
      <c r="E1049" s="238">
        <v>0.33333333333333331</v>
      </c>
      <c r="F1049" s="204">
        <v>0.34375</v>
      </c>
      <c r="G1049" s="193">
        <f>IFERROR(IF(E1049&gt;F1049,((F1049+E376B376+1)-(E1049+B1053))*24,HOUR(F1049-E1049)+MINUTE(F1049-E1049)/60),"")</f>
        <v>0.25</v>
      </c>
      <c r="H1049" s="230" t="s">
        <v>55</v>
      </c>
      <c r="I1049" s="230" t="s">
        <v>509</v>
      </c>
      <c r="J1049" s="231" t="s">
        <v>203</v>
      </c>
    </row>
    <row r="1050" spans="2:11" x14ac:dyDescent="0.25">
      <c r="B1050" s="235">
        <v>45022</v>
      </c>
      <c r="C1050" s="233">
        <v>1</v>
      </c>
      <c r="E1050" s="238">
        <v>0.3972222222222222</v>
      </c>
      <c r="F1050" s="204">
        <v>0.40833333333333338</v>
      </c>
      <c r="G1050" s="193">
        <f>IFERROR(IF(E1050&gt;F1050,((F1050+E376B376+1)-(E1050+B1054))*24,HOUR(F1050-E1050)+MINUTE(F1050-E1050)/60),"")</f>
        <v>0.26666666666666666</v>
      </c>
      <c r="H1050" s="230" t="s">
        <v>147</v>
      </c>
      <c r="I1050" s="230" t="s">
        <v>509</v>
      </c>
      <c r="J1050" s="231" t="s">
        <v>146</v>
      </c>
    </row>
    <row r="1051" spans="2:11" x14ac:dyDescent="0.25">
      <c r="B1051" s="235">
        <v>45022</v>
      </c>
      <c r="C1051" s="233">
        <v>1</v>
      </c>
      <c r="E1051" s="238">
        <v>0.41388888888888892</v>
      </c>
      <c r="F1051" s="204">
        <v>0.44722222222222219</v>
      </c>
      <c r="G1051" s="193">
        <f>IFERROR(IF(E1051&gt;F1051,((F1051+E376B376+1)-(E1051+B1055))*24,HOUR(F1051-E1051)+MINUTE(F1051-E1051)/60),"")</f>
        <v>0.8</v>
      </c>
      <c r="H1051" s="230" t="s">
        <v>195</v>
      </c>
      <c r="I1051" s="230" t="s">
        <v>509</v>
      </c>
      <c r="J1051" s="231" t="s">
        <v>110</v>
      </c>
    </row>
    <row r="1052" spans="2:11" x14ac:dyDescent="0.25">
      <c r="B1052" s="235">
        <v>45022</v>
      </c>
      <c r="C1052" s="233">
        <v>1</v>
      </c>
      <c r="E1052" s="238">
        <v>0.51458333333333328</v>
      </c>
      <c r="F1052" s="204">
        <v>0.52569444444444446</v>
      </c>
      <c r="G1052" s="193">
        <f>IFERROR(IF(E1052&gt;F1052,((F1052+E376B376+1)-(E1052+B1056))*24,HOUR(F1052-E1052)+MINUTE(F1052-E1052)/60),"")</f>
        <v>0.26666666666666666</v>
      </c>
      <c r="H1052" s="230" t="s">
        <v>55</v>
      </c>
      <c r="I1052" s="230" t="s">
        <v>509</v>
      </c>
      <c r="J1052" s="231" t="s">
        <v>203</v>
      </c>
    </row>
    <row r="1053" spans="2:11" x14ac:dyDescent="0.25">
      <c r="B1053" s="235">
        <v>45022</v>
      </c>
      <c r="C1053" s="233">
        <v>1</v>
      </c>
      <c r="E1053" s="238">
        <v>0.56319444444444444</v>
      </c>
      <c r="F1053" s="204">
        <v>0.5756944444444444</v>
      </c>
      <c r="G1053" s="193">
        <f>IFERROR(IF(E1053&gt;F1053,((F1053+E376B376+1)-(E1053+B1057))*24,HOUR(F1053-E1053)+MINUTE(F1053-E1053)/60),"")</f>
        <v>0.3</v>
      </c>
      <c r="H1053" s="230" t="s">
        <v>55</v>
      </c>
      <c r="I1053" s="230" t="s">
        <v>509</v>
      </c>
      <c r="J1053" s="231" t="s">
        <v>203</v>
      </c>
    </row>
    <row r="1054" spans="2:11" x14ac:dyDescent="0.25">
      <c r="B1054" s="235">
        <v>45022</v>
      </c>
      <c r="C1054" s="233">
        <v>1</v>
      </c>
      <c r="E1054" s="238">
        <v>0.60763888888888895</v>
      </c>
      <c r="F1054" s="204">
        <v>0.625</v>
      </c>
      <c r="G1054" s="193">
        <f>IFERROR(IF(E1054&gt;F1054,((F1054+E376B376+1)-(E1054+B1058))*24,HOUR(F1054-E1054)+MINUTE(F1054-E1054)/60),"")</f>
        <v>0.41666666666666669</v>
      </c>
      <c r="H1054" s="230" t="s">
        <v>55</v>
      </c>
      <c r="I1054" s="230" t="s">
        <v>509</v>
      </c>
      <c r="J1054" s="231" t="s">
        <v>114</v>
      </c>
    </row>
    <row r="1055" spans="2:11" x14ac:dyDescent="0.25">
      <c r="B1055" s="235">
        <v>45022</v>
      </c>
      <c r="C1055" s="195">
        <v>2</v>
      </c>
      <c r="E1055" s="238">
        <v>0.625</v>
      </c>
      <c r="F1055" s="204">
        <v>0.66249999999999998</v>
      </c>
      <c r="G1055" s="193">
        <f>IFERROR(IF(E1055&gt;F1055,((F1055+E376B376+1)-(E1055+B1059))*24,HOUR(F1055-E1055)+MINUTE(F1055-E1055)/60),"")</f>
        <v>0.9</v>
      </c>
      <c r="H1055" s="230" t="s">
        <v>55</v>
      </c>
      <c r="I1055" s="230" t="s">
        <v>509</v>
      </c>
      <c r="J1055" s="231" t="s">
        <v>141</v>
      </c>
      <c r="K1055" s="176" t="s">
        <v>1087</v>
      </c>
    </row>
    <row r="1056" spans="2:11" x14ac:dyDescent="0.25">
      <c r="B1056" s="235">
        <v>45022</v>
      </c>
      <c r="C1056" s="195">
        <v>2</v>
      </c>
      <c r="E1056" s="238">
        <v>0.66249999999999998</v>
      </c>
      <c r="F1056" s="204">
        <v>0.70138888888888884</v>
      </c>
      <c r="G1056" s="193">
        <f>IFERROR(IF(E1056&gt;F1056,((F1056+E376B376+1)-(E1056+#REF!))*24,HOUR(F1056-E1056)+MINUTE(F1056-E1056)/60),"")</f>
        <v>0.93333333333333335</v>
      </c>
      <c r="H1056" s="230" t="s">
        <v>195</v>
      </c>
      <c r="I1056" s="230" t="s">
        <v>512</v>
      </c>
      <c r="J1056" s="231" t="s">
        <v>528</v>
      </c>
    </row>
    <row r="1057" spans="2:11" x14ac:dyDescent="0.25">
      <c r="B1057" s="235">
        <v>45022</v>
      </c>
      <c r="C1057" s="195">
        <v>2</v>
      </c>
      <c r="E1057" s="238">
        <v>0.77777777777777779</v>
      </c>
      <c r="F1057" s="204">
        <v>0.83333333333333337</v>
      </c>
      <c r="G1057" s="193">
        <f>IFERROR(IF(E1057&gt;F1057,((F1057+E376B376+1)-(E1057+B1060))*24,HOUR(F1057-E1057)+MINUTE(F1057-E1057)/60),"")</f>
        <v>1.3333333333333333</v>
      </c>
      <c r="H1057" s="230" t="s">
        <v>55</v>
      </c>
      <c r="I1057" s="230" t="s">
        <v>513</v>
      </c>
      <c r="J1057" s="231" t="s">
        <v>78</v>
      </c>
    </row>
    <row r="1058" spans="2:11" x14ac:dyDescent="0.25">
      <c r="B1058" s="235">
        <v>45022</v>
      </c>
      <c r="C1058" s="195">
        <v>2</v>
      </c>
      <c r="E1058" s="238">
        <v>0.94444444444444453</v>
      </c>
      <c r="F1058" s="204">
        <v>0.95833333333333337</v>
      </c>
      <c r="G1058" s="193">
        <f>IFERROR(IF(E1058&gt;F1058,((F1058+E376B376+1)-(E1058+B1061))*24,HOUR(F1058-E1058)+MINUTE(F1058-E1058)/60),"")</f>
        <v>0.33333333333333331</v>
      </c>
      <c r="H1058" s="230" t="s">
        <v>55</v>
      </c>
      <c r="I1058" s="230" t="s">
        <v>509</v>
      </c>
      <c r="J1058" s="231" t="s">
        <v>114</v>
      </c>
    </row>
    <row r="1059" spans="2:11" x14ac:dyDescent="0.25">
      <c r="B1059" s="235">
        <v>45022</v>
      </c>
      <c r="C1059" s="195">
        <v>3</v>
      </c>
      <c r="E1059" s="238">
        <v>0.95833333333333337</v>
      </c>
      <c r="F1059" s="204">
        <v>0.97916666666666663</v>
      </c>
      <c r="G1059" s="193">
        <f>IFERROR(IF(E1059&gt;F1059,((F1059+E376B376+1)-(E1059+B1062))*24,HOUR(F1059-E1059)+MINUTE(F1059-E1059)/60),"")</f>
        <v>0.5</v>
      </c>
      <c r="H1059" s="230" t="s">
        <v>55</v>
      </c>
      <c r="I1059" s="230" t="s">
        <v>509</v>
      </c>
      <c r="J1059" s="231" t="s">
        <v>114</v>
      </c>
    </row>
    <row r="1060" spans="2:11" x14ac:dyDescent="0.25">
      <c r="B1060" s="235">
        <v>45022</v>
      </c>
      <c r="C1060" s="233">
        <v>3</v>
      </c>
      <c r="E1060" s="238">
        <v>7.7777777777777779E-2</v>
      </c>
      <c r="F1060" s="204">
        <v>8.819444444444445E-2</v>
      </c>
      <c r="G1060" s="193">
        <f>IFERROR(IF(E1060&gt;F1060,((F1060+E376B376+1)-(E1060+B1063))*24,HOUR(F1060-E1060)+MINUTE(F1060-E1060)/60),"")</f>
        <v>0.25</v>
      </c>
      <c r="H1060" s="230" t="s">
        <v>55</v>
      </c>
      <c r="I1060" s="230" t="s">
        <v>509</v>
      </c>
      <c r="J1060" s="231" t="s">
        <v>203</v>
      </c>
    </row>
    <row r="1061" spans="2:11" x14ac:dyDescent="0.25">
      <c r="B1061" s="235">
        <v>45022</v>
      </c>
      <c r="C1061" s="233">
        <v>3</v>
      </c>
      <c r="E1061" s="238">
        <v>0.13680555555555554</v>
      </c>
      <c r="F1061" s="204">
        <v>0.14722222222222223</v>
      </c>
      <c r="G1061" s="193">
        <f>IFERROR(IF(E1061&gt;F1061,((F1061+E376B376+1)-(E1061+B1064))*24,HOUR(F1061-E1061)+MINUTE(F1061-E1061)/60),"")</f>
        <v>0.25</v>
      </c>
      <c r="H1061" s="230" t="s">
        <v>55</v>
      </c>
      <c r="I1061" s="230" t="s">
        <v>509</v>
      </c>
      <c r="J1061" s="231" t="s">
        <v>203</v>
      </c>
    </row>
    <row r="1062" spans="2:11" x14ac:dyDescent="0.25">
      <c r="B1062" s="235">
        <v>45022</v>
      </c>
      <c r="C1062" s="233">
        <v>3</v>
      </c>
      <c r="E1062" s="238">
        <v>0.21180555555555555</v>
      </c>
      <c r="F1062" s="204">
        <v>0.23611111111111113</v>
      </c>
      <c r="G1062" s="193">
        <f>IFERROR(IF(E1062&gt;F1062,((F1062+E376B376+1)-(E1062+B1065))*24,HOUR(F1062-E1062)+MINUTE(F1062-E1062)/60),"")</f>
        <v>0.58333333333333337</v>
      </c>
      <c r="H1062" s="230" t="s">
        <v>195</v>
      </c>
      <c r="I1062" s="230" t="s">
        <v>509</v>
      </c>
      <c r="J1062" s="231" t="s">
        <v>110</v>
      </c>
    </row>
    <row r="1063" spans="2:11" x14ac:dyDescent="0.25">
      <c r="B1063" s="235">
        <v>45022</v>
      </c>
      <c r="C1063" s="233">
        <v>3</v>
      </c>
      <c r="E1063" s="238">
        <v>0.25</v>
      </c>
      <c r="F1063" s="204">
        <v>0.26180555555555557</v>
      </c>
      <c r="G1063" s="193">
        <f>IFERROR(IF(E1063&gt;F1063,((F1063+E376B376+1)-(E1063+B1066))*24,HOUR(F1063-E1063)+MINUTE(F1063-E1063)/60),"")</f>
        <v>0.28333333333333333</v>
      </c>
      <c r="H1063" s="230" t="s">
        <v>55</v>
      </c>
      <c r="I1063" s="230" t="s">
        <v>509</v>
      </c>
      <c r="J1063" s="231" t="s">
        <v>203</v>
      </c>
    </row>
    <row r="1064" spans="2:11" x14ac:dyDescent="0.25">
      <c r="B1064" s="235">
        <v>45022</v>
      </c>
      <c r="C1064" s="233">
        <v>3</v>
      </c>
      <c r="E1064" s="238">
        <v>0.27638888888888885</v>
      </c>
      <c r="F1064" s="204">
        <v>0.29166666666666669</v>
      </c>
      <c r="G1064" s="193">
        <f>IFERROR(IF(E1064&gt;F1064,((F1064+E376B376+1)-(E1064+B1067))*24,HOUR(F1064-E1064)+MINUTE(F1064-E1064)/60),"")</f>
        <v>0.36666666666666664</v>
      </c>
      <c r="H1064" s="230" t="s">
        <v>55</v>
      </c>
      <c r="I1064" s="230" t="s">
        <v>509</v>
      </c>
      <c r="J1064" s="231" t="s">
        <v>114</v>
      </c>
    </row>
    <row r="1065" spans="2:11" x14ac:dyDescent="0.25">
      <c r="B1065" s="235">
        <v>45023</v>
      </c>
      <c r="C1065" s="195">
        <v>1</v>
      </c>
      <c r="E1065" s="238">
        <v>0.3215277777777778</v>
      </c>
      <c r="F1065" s="204">
        <v>0.33333333333333331</v>
      </c>
      <c r="G1065" s="193">
        <f>IFERROR(IF(E1065&gt;F1065,((F1065+E376B376+1)-(E1065+B1068))*24,HOUR(F1065-E1065)+MINUTE(F1065-E1065)/60),"")</f>
        <v>0.28333333333333333</v>
      </c>
      <c r="H1065" s="230" t="s">
        <v>55</v>
      </c>
      <c r="I1065" s="230" t="s">
        <v>510</v>
      </c>
      <c r="J1065" s="231" t="s">
        <v>222</v>
      </c>
    </row>
    <row r="1066" spans="2:11" x14ac:dyDescent="0.25">
      <c r="B1066" s="235">
        <v>45023</v>
      </c>
      <c r="C1066" s="233">
        <v>1</v>
      </c>
      <c r="E1066" s="238">
        <v>0.3520833333333333</v>
      </c>
      <c r="F1066" s="204">
        <v>0.3659722222222222</v>
      </c>
      <c r="G1066" s="193">
        <f>IFERROR(IF(E1066&gt;F1066,((F1066+E376B376+1)-(E1066+B1069))*24,HOUR(F1066-E1066)+MINUTE(F1066-E1066)/60),"")</f>
        <v>0.33333333333333331</v>
      </c>
      <c r="H1066" s="230" t="s">
        <v>201</v>
      </c>
      <c r="I1066" s="230" t="s">
        <v>509</v>
      </c>
      <c r="J1066" s="231" t="s">
        <v>126</v>
      </c>
      <c r="K1066" s="176" t="s">
        <v>1089</v>
      </c>
    </row>
    <row r="1067" spans="2:11" x14ac:dyDescent="0.25">
      <c r="B1067" s="235">
        <v>45023</v>
      </c>
      <c r="C1067" s="233">
        <v>1</v>
      </c>
      <c r="E1067" s="238">
        <v>0.3659722222222222</v>
      </c>
      <c r="F1067" s="204">
        <v>0.36944444444444446</v>
      </c>
      <c r="G1067" s="193">
        <f>IFERROR(IF(E1067&gt;F1067,((F1067+E376B376+1)-(E1067+B1070))*24,HOUR(F1067-E1067)+MINUTE(F1067-E1067)/60),"")</f>
        <v>8.3333333333333329E-2</v>
      </c>
      <c r="H1067" s="230" t="s">
        <v>204</v>
      </c>
      <c r="I1067" s="230" t="s">
        <v>509</v>
      </c>
      <c r="J1067" s="231" t="s">
        <v>600</v>
      </c>
      <c r="K1067" s="176" t="s">
        <v>1090</v>
      </c>
    </row>
    <row r="1068" spans="2:11" x14ac:dyDescent="0.25">
      <c r="B1068" s="235">
        <v>45023</v>
      </c>
      <c r="C1068" s="233">
        <v>1</v>
      </c>
      <c r="E1068" s="238">
        <v>0.41666666666666669</v>
      </c>
      <c r="F1068" s="204">
        <v>0.4375</v>
      </c>
      <c r="G1068" s="193">
        <f>IFERROR(IF(E1068&gt;F1068,((F1068+E376B376+1)-(E1068+B1071))*24,HOUR(F1068-E1068)+MINUTE(F1068-E1068)/60),"")</f>
        <v>0.5</v>
      </c>
      <c r="H1068" s="230" t="s">
        <v>204</v>
      </c>
      <c r="I1068" s="230" t="s">
        <v>509</v>
      </c>
      <c r="J1068" s="231" t="s">
        <v>126</v>
      </c>
    </row>
    <row r="1069" spans="2:11" x14ac:dyDescent="0.25">
      <c r="B1069" s="235">
        <v>45023</v>
      </c>
      <c r="C1069" s="195">
        <v>1</v>
      </c>
      <c r="E1069" s="238">
        <v>0.44722222222222219</v>
      </c>
      <c r="F1069" s="204">
        <v>0.45763888888888887</v>
      </c>
      <c r="G1069" s="193">
        <f>IFERROR(IF(E1069&gt;F1069,((F1069+E376B376+1)-(E1069+B1072))*24,HOUR(F1069-E1069)+MINUTE(F1069-E1069)/60),"")</f>
        <v>0.25</v>
      </c>
      <c r="H1069" s="230" t="s">
        <v>207</v>
      </c>
      <c r="I1069" s="230" t="s">
        <v>509</v>
      </c>
      <c r="J1069" s="231" t="s">
        <v>495</v>
      </c>
    </row>
    <row r="1070" spans="2:11" x14ac:dyDescent="0.25">
      <c r="B1070" s="235">
        <v>45023</v>
      </c>
      <c r="C1070" s="195">
        <v>1</v>
      </c>
      <c r="E1070" s="238">
        <v>0.49583333333333335</v>
      </c>
      <c r="F1070" s="204">
        <v>0.625</v>
      </c>
      <c r="G1070" s="193">
        <f>IFERROR(IF(E1070&gt;F1070,((F1070+E376B376+1)-(E1070+B1073))*24,HOUR(F1070-E1070)+MINUTE(F1070-E1070)/60),"")</f>
        <v>3.1</v>
      </c>
      <c r="H1070" s="230" t="s">
        <v>204</v>
      </c>
      <c r="I1070" s="230" t="s">
        <v>509</v>
      </c>
      <c r="J1070" s="231" t="s">
        <v>126</v>
      </c>
    </row>
    <row r="1071" spans="2:11" x14ac:dyDescent="0.25">
      <c r="B1071" s="235">
        <v>45023</v>
      </c>
      <c r="C1071" s="195">
        <v>2</v>
      </c>
      <c r="E1071" s="238">
        <v>0.625</v>
      </c>
      <c r="F1071" s="204">
        <v>0.68055555555555547</v>
      </c>
      <c r="G1071" s="193">
        <f>IFERROR(IF(E1071&gt;F1071,((F1071+E376B376+1)-(E1071+#REF!))*24,HOUR(F1071-E1071)+MINUTE(F1071-E1071)/60),"")</f>
        <v>1.3333333333333333</v>
      </c>
      <c r="H1071" s="230" t="s">
        <v>204</v>
      </c>
      <c r="I1071" s="230" t="s">
        <v>509</v>
      </c>
      <c r="J1071" s="231" t="s">
        <v>126</v>
      </c>
    </row>
    <row r="1072" spans="2:11" x14ac:dyDescent="0.25">
      <c r="B1072" s="235">
        <v>45023</v>
      </c>
      <c r="C1072" s="195">
        <v>2</v>
      </c>
      <c r="E1072" s="238">
        <v>0.78125</v>
      </c>
      <c r="F1072" s="204">
        <v>0.84375</v>
      </c>
      <c r="G1072" s="193">
        <f>IFERROR(IF(E1072&gt;F1072,((F1072+E376B376+1)-(E1072+B1074))*24,HOUR(F1072-E1072)+MINUTE(F1072-E1072)/60),"")</f>
        <v>1.5</v>
      </c>
      <c r="H1072" s="230" t="s">
        <v>55</v>
      </c>
      <c r="I1072" s="230" t="s">
        <v>513</v>
      </c>
      <c r="J1072" s="231" t="s">
        <v>78</v>
      </c>
    </row>
    <row r="1073" spans="2:11" x14ac:dyDescent="0.25">
      <c r="B1073" s="235">
        <v>45023</v>
      </c>
      <c r="C1073" s="195">
        <v>2</v>
      </c>
      <c r="E1073" s="238">
        <v>0.9375</v>
      </c>
      <c r="F1073" s="204">
        <v>0.95833333333333337</v>
      </c>
      <c r="G1073" s="193">
        <f>IFERROR(IF(E1073&gt;F1073,((F1073+E376B376+1)-(E1073+B1075))*24,HOUR(F1073-E1073)+MINUTE(F1073-E1073)/60),"")</f>
        <v>0.5</v>
      </c>
      <c r="H1073" s="230" t="s">
        <v>55</v>
      </c>
      <c r="I1073" s="230" t="s">
        <v>509</v>
      </c>
      <c r="J1073" s="231" t="s">
        <v>114</v>
      </c>
    </row>
    <row r="1074" spans="2:11" x14ac:dyDescent="0.25">
      <c r="B1074" s="235">
        <v>45023</v>
      </c>
      <c r="C1074" s="195">
        <v>3</v>
      </c>
      <c r="E1074" s="238">
        <v>0.97916666666666663</v>
      </c>
      <c r="F1074" s="204">
        <v>0.98958333333333337</v>
      </c>
      <c r="G1074" s="193">
        <f>IFERROR(IF(E1074&gt;F1074,((F1074+E376B376+1)-(E1074+B1077))*24,HOUR(F1074-E1074)+MINUTE(F1074-E1074)/60),"")</f>
        <v>0.25</v>
      </c>
      <c r="H1074" s="230" t="s">
        <v>55</v>
      </c>
      <c r="I1074" s="230" t="s">
        <v>509</v>
      </c>
      <c r="J1074" s="231" t="s">
        <v>573</v>
      </c>
    </row>
    <row r="1075" spans="2:11" x14ac:dyDescent="0.25">
      <c r="B1075" s="235">
        <v>45023</v>
      </c>
      <c r="C1075" s="233">
        <v>3</v>
      </c>
      <c r="E1075" s="238">
        <v>6.9444444444444441E-3</v>
      </c>
      <c r="F1075" s="204">
        <v>1.3888888888888888E-2</v>
      </c>
      <c r="G1075" s="193">
        <f>IFERROR(IF(E1075&gt;F1075,((F1075+E376B376+1)-(E1075+B1078))*24,HOUR(F1075-E1075)+MINUTE(F1075-E1075)/60),"")</f>
        <v>0.16666666666666666</v>
      </c>
      <c r="H1075" s="230" t="s">
        <v>55</v>
      </c>
      <c r="I1075" s="230" t="s">
        <v>509</v>
      </c>
      <c r="J1075" s="231" t="s">
        <v>203</v>
      </c>
    </row>
    <row r="1076" spans="2:11" x14ac:dyDescent="0.25">
      <c r="B1076" s="235">
        <v>45023</v>
      </c>
      <c r="C1076" s="233">
        <v>3</v>
      </c>
      <c r="E1076" s="238">
        <v>0.10416666666666667</v>
      </c>
      <c r="F1076" s="204">
        <v>0.11458333333333333</v>
      </c>
      <c r="G1076" s="193">
        <f>IFERROR(IF(E1076&gt;F1076,((F1076+E376B376+1)-(E1076+B1079))*24,HOUR(F1076-E1076)+MINUTE(F1076-E1076)/60),"")</f>
        <v>0.25</v>
      </c>
      <c r="H1076" s="230" t="s">
        <v>55</v>
      </c>
      <c r="I1076" s="230" t="s">
        <v>509</v>
      </c>
      <c r="J1076" s="231" t="s">
        <v>203</v>
      </c>
    </row>
    <row r="1077" spans="2:11" x14ac:dyDescent="0.25">
      <c r="B1077" s="235">
        <v>45023</v>
      </c>
      <c r="C1077" s="233">
        <v>3</v>
      </c>
      <c r="E1077" s="238">
        <v>0.125</v>
      </c>
      <c r="F1077" s="204">
        <v>0.13541666666666666</v>
      </c>
      <c r="G1077" s="193">
        <f>IFERROR(IF(E1077&gt;F1077,((F1077+E376B376+1)-(E1077+B1080))*24,HOUR(F1077-E1077)+MINUTE(F1077-E1077)/60),"")</f>
        <v>0.25</v>
      </c>
      <c r="H1077" s="230" t="s">
        <v>55</v>
      </c>
      <c r="I1077" s="230" t="s">
        <v>509</v>
      </c>
      <c r="J1077" s="231" t="s">
        <v>211</v>
      </c>
    </row>
    <row r="1078" spans="2:11" x14ac:dyDescent="0.25">
      <c r="B1078" s="235">
        <v>45023</v>
      </c>
      <c r="C1078" s="233">
        <v>3</v>
      </c>
      <c r="E1078" s="238">
        <v>0.16666666666666666</v>
      </c>
      <c r="F1078" s="204">
        <v>0.17708333333333334</v>
      </c>
      <c r="G1078" s="193">
        <f>IFERROR(IF(E1078&gt;F1078,((F1078+E376B376+1)-(E1078+B1081))*24,HOUR(F1078-E1078)+MINUTE(F1078-E1078)/60),"")</f>
        <v>0.25</v>
      </c>
      <c r="H1078" s="230" t="s">
        <v>55</v>
      </c>
      <c r="I1078" s="230" t="s">
        <v>509</v>
      </c>
      <c r="J1078" s="231" t="s">
        <v>203</v>
      </c>
    </row>
    <row r="1079" spans="2:11" x14ac:dyDescent="0.25">
      <c r="B1079" s="235">
        <v>45023</v>
      </c>
      <c r="C1079" s="233">
        <v>3</v>
      </c>
      <c r="E1079" s="238">
        <v>0.20833333333333334</v>
      </c>
      <c r="F1079" s="204">
        <v>0.21875</v>
      </c>
      <c r="G1079" s="193">
        <f>IFERROR(IF(E1079&gt;F1079,((F1079+E376B376+1)-(E1079+B1082))*24,HOUR(F1079-E1079)+MINUTE(F1079-E1079)/60),"")</f>
        <v>0.25</v>
      </c>
      <c r="H1079" s="230" t="s">
        <v>195</v>
      </c>
      <c r="I1079" s="230" t="s">
        <v>509</v>
      </c>
      <c r="J1079" s="231" t="s">
        <v>110</v>
      </c>
    </row>
    <row r="1080" spans="2:11" x14ac:dyDescent="0.25">
      <c r="B1080" s="235">
        <v>45023</v>
      </c>
      <c r="C1080" s="233">
        <v>3</v>
      </c>
      <c r="E1080" s="238">
        <v>0.27569444444444446</v>
      </c>
      <c r="F1080" s="204">
        <v>0.29166666666666669</v>
      </c>
      <c r="G1080" s="193">
        <f>IFERROR(IF(E1080&gt;F1080,((F1080+E376B376+1)-(E1080+B1083))*24,HOUR(F1080-E1080)+MINUTE(F1080-E1080)/60),"")</f>
        <v>0.38333333333333336</v>
      </c>
      <c r="H1080" s="230" t="s">
        <v>55</v>
      </c>
      <c r="I1080" s="230" t="s">
        <v>509</v>
      </c>
      <c r="J1080" s="231" t="s">
        <v>114</v>
      </c>
    </row>
    <row r="1081" spans="2:11" x14ac:dyDescent="0.25">
      <c r="B1081" s="235">
        <v>45024</v>
      </c>
      <c r="C1081" s="195">
        <v>1</v>
      </c>
      <c r="E1081" s="238">
        <v>0.53125</v>
      </c>
      <c r="F1081" s="204">
        <v>0.54513888888888895</v>
      </c>
      <c r="G1081" s="193">
        <f>IFERROR(IF(E1081&gt;F1081,((F1081+E376B376+1)-(E1081+B1084))*24,HOUR(F1081-E1081)+MINUTE(F1081-E1081)/60),"")</f>
        <v>0.33333333333333331</v>
      </c>
      <c r="H1081" s="230" t="s">
        <v>55</v>
      </c>
      <c r="I1081" s="230" t="s">
        <v>509</v>
      </c>
      <c r="J1081" s="231" t="s">
        <v>211</v>
      </c>
      <c r="K1081" s="176" t="s">
        <v>684</v>
      </c>
    </row>
    <row r="1082" spans="2:11" x14ac:dyDescent="0.25">
      <c r="B1082" s="235">
        <v>45024</v>
      </c>
      <c r="C1082" s="195">
        <v>1</v>
      </c>
      <c r="E1082" s="238">
        <v>0.55902777777777779</v>
      </c>
      <c r="F1082" s="204">
        <v>0.56944444444444442</v>
      </c>
      <c r="G1082" s="193">
        <f>IFERROR(IF(E1082&gt;F1082,((F1082+E376B376+1)-(E1082+B1085))*24,HOUR(F1082-E1082)+MINUTE(F1082-E1082)/60),"")</f>
        <v>0.25</v>
      </c>
      <c r="H1082" s="230" t="s">
        <v>55</v>
      </c>
      <c r="I1082" s="230" t="s">
        <v>509</v>
      </c>
      <c r="J1082" s="231" t="s">
        <v>203</v>
      </c>
    </row>
    <row r="1083" spans="2:11" x14ac:dyDescent="0.25">
      <c r="B1083" s="235">
        <v>45024</v>
      </c>
      <c r="C1083" s="195">
        <v>1</v>
      </c>
      <c r="E1083" s="238">
        <v>0.60416666666666663</v>
      </c>
      <c r="F1083" s="204">
        <v>0.61458333333333337</v>
      </c>
      <c r="G1083" s="193">
        <f>IFERROR(IF(E1083&gt;F1083,((F1083+E376B376+1)-(E1083+B1086))*24,HOUR(F1083-E1083)+MINUTE(F1083-E1083)/60),"")</f>
        <v>0.25</v>
      </c>
      <c r="H1083" s="230" t="s">
        <v>55</v>
      </c>
      <c r="I1083" s="230" t="s">
        <v>509</v>
      </c>
      <c r="J1083" s="231" t="s">
        <v>203</v>
      </c>
    </row>
    <row r="1084" spans="2:11" x14ac:dyDescent="0.25">
      <c r="B1084" s="235">
        <v>45024</v>
      </c>
      <c r="C1084" s="195">
        <v>1</v>
      </c>
      <c r="E1084" s="238">
        <v>0.61458333333333337</v>
      </c>
      <c r="F1084" s="204">
        <v>0.625</v>
      </c>
      <c r="G1084" s="193">
        <f>IFERROR(IF(E1084&gt;F1084,((F1084+E376B376+1)-(E1084+B1087))*24,HOUR(F1084-E1084)+MINUTE(F1084-E1084)/60),"")</f>
        <v>0.25</v>
      </c>
      <c r="H1084" s="230" t="s">
        <v>55</v>
      </c>
      <c r="I1084" s="230" t="s">
        <v>509</v>
      </c>
      <c r="J1084" s="231" t="s">
        <v>114</v>
      </c>
    </row>
    <row r="1085" spans="2:11" x14ac:dyDescent="0.25">
      <c r="B1085" s="235">
        <v>45024</v>
      </c>
      <c r="C1085" s="195">
        <v>2</v>
      </c>
      <c r="E1085" s="238">
        <v>0.625</v>
      </c>
      <c r="F1085" s="204">
        <v>0.63055555555555554</v>
      </c>
      <c r="G1085" s="193">
        <f>IFERROR(IF(E1085&gt;F1085,((F1085+E376B376+1)-(E1085+B1088))*24,HOUR(F1085-E1085)+MINUTE(F1085-E1085)/60),"")</f>
        <v>0.13333333333333333</v>
      </c>
      <c r="H1085" s="230" t="s">
        <v>55</v>
      </c>
      <c r="I1085" s="230" t="s">
        <v>509</v>
      </c>
      <c r="J1085" s="231" t="s">
        <v>114</v>
      </c>
    </row>
    <row r="1086" spans="2:11" x14ac:dyDescent="0.25">
      <c r="B1086" s="235">
        <v>45024</v>
      </c>
      <c r="C1086" s="195">
        <v>2</v>
      </c>
      <c r="E1086" s="238">
        <v>0.67361111111111116</v>
      </c>
      <c r="F1086" s="204">
        <v>0.73125000000000007</v>
      </c>
      <c r="G1086" s="193">
        <f>IFERROR(IF(E1086&gt;F1086,((F1086+E376B376+1)-(E1086+B1089))*24,HOUR(F1086-E1086)+MINUTE(F1086-E1086)/60),"")</f>
        <v>1.3833333333333333</v>
      </c>
      <c r="I1086" s="230" t="s">
        <v>513</v>
      </c>
      <c r="J1086" s="231" t="s">
        <v>587</v>
      </c>
    </row>
    <row r="1087" spans="2:11" x14ac:dyDescent="0.25">
      <c r="B1087" s="235">
        <v>45024</v>
      </c>
      <c r="C1087" s="195">
        <v>2</v>
      </c>
      <c r="E1087" s="238">
        <v>0.74513888888888891</v>
      </c>
      <c r="F1087" s="204">
        <v>0.75694444444444453</v>
      </c>
      <c r="G1087" s="193">
        <f>IFERROR(IF(E1087&gt;F1087,((F1087+E376B376+1)-(E1087+B1090))*24,HOUR(F1087-E1087)+MINUTE(F1087-E1087)/60),"")</f>
        <v>0.28333333333333333</v>
      </c>
      <c r="H1087" s="230" t="s">
        <v>187</v>
      </c>
      <c r="I1087" s="230" t="s">
        <v>511</v>
      </c>
      <c r="J1087" s="231" t="s">
        <v>200</v>
      </c>
    </row>
    <row r="1088" spans="2:11" x14ac:dyDescent="0.25">
      <c r="B1088" s="235">
        <v>45024</v>
      </c>
      <c r="C1088" s="195">
        <v>2</v>
      </c>
      <c r="E1088" s="238">
        <v>0.75694444444444453</v>
      </c>
      <c r="F1088" s="204">
        <v>0.77083333333333337</v>
      </c>
      <c r="G1088" s="193">
        <f>IFERROR(IF(E1088&gt;F1088,((F1088+E376B376+1)-(E1088+B1091))*24,HOUR(F1088-E1088)+MINUTE(F1088-E1088)/60),"")</f>
        <v>0.33333333333333331</v>
      </c>
      <c r="H1088" s="230" t="s">
        <v>187</v>
      </c>
      <c r="I1088" s="230" t="s">
        <v>509</v>
      </c>
      <c r="J1088" s="231" t="s">
        <v>600</v>
      </c>
    </row>
    <row r="1089" spans="2:11" x14ac:dyDescent="0.25">
      <c r="B1089" s="235">
        <v>45024</v>
      </c>
      <c r="C1089" s="195">
        <v>2</v>
      </c>
      <c r="E1089" s="238">
        <v>0.77083333333333337</v>
      </c>
      <c r="F1089" s="204">
        <v>0.83333333333333337</v>
      </c>
      <c r="G1089" s="193">
        <f>IFERROR(IF(E1089&gt;F1089,((F1089+E376B376+1)-(E1089+B1092))*24,HOUR(F1089-E1089)+MINUTE(F1089-E1089)/60),"")</f>
        <v>1.5</v>
      </c>
      <c r="I1089" s="230" t="s">
        <v>513</v>
      </c>
      <c r="J1089" s="231" t="s">
        <v>78</v>
      </c>
    </row>
    <row r="1090" spans="2:11" x14ac:dyDescent="0.25">
      <c r="B1090" s="235">
        <v>45024</v>
      </c>
      <c r="C1090" s="195">
        <v>2</v>
      </c>
      <c r="E1090" s="238">
        <v>0.83333333333333337</v>
      </c>
      <c r="F1090" s="204">
        <v>0.95833333333333337</v>
      </c>
      <c r="G1090" s="193">
        <f>IFERROR(IF(E1090&gt;F1090,((F1090+E376B376+1)-(E1090+B1093))*24,HOUR(F1090-E1090)+MINUTE(F1090-E1090)/60),"")</f>
        <v>3</v>
      </c>
      <c r="H1090" s="230" t="s">
        <v>187</v>
      </c>
      <c r="I1090" s="230" t="s">
        <v>509</v>
      </c>
      <c r="J1090" s="231" t="s">
        <v>110</v>
      </c>
      <c r="K1090" s="176" t="s">
        <v>1092</v>
      </c>
    </row>
    <row r="1091" spans="2:11" x14ac:dyDescent="0.25">
      <c r="B1091" s="235">
        <v>45024</v>
      </c>
      <c r="C1091" s="195">
        <v>3</v>
      </c>
      <c r="E1091" s="238">
        <v>0.95833333333333337</v>
      </c>
      <c r="F1091" s="204">
        <v>5.6944444444444443E-2</v>
      </c>
      <c r="G1091" s="193">
        <v>1.25</v>
      </c>
      <c r="H1091" s="230" t="s">
        <v>187</v>
      </c>
      <c r="I1091" s="230" t="s">
        <v>509</v>
      </c>
      <c r="J1091" s="231" t="s">
        <v>110</v>
      </c>
      <c r="K1091" s="176" t="s">
        <v>1093</v>
      </c>
    </row>
    <row r="1092" spans="2:11" x14ac:dyDescent="0.25">
      <c r="B1092" s="235">
        <v>45024</v>
      </c>
      <c r="C1092" s="233">
        <v>3</v>
      </c>
      <c r="E1092" s="238">
        <v>0.27361111111111108</v>
      </c>
      <c r="F1092" s="204">
        <v>0.29166666666666669</v>
      </c>
      <c r="G1092" s="193">
        <f>IFERROR(IF(E1092&gt;F1092,((F1092+E376B376+1)-(E1092+B1095))*24,HOUR(F1092-E1092)+MINUTE(F1092-E1092)/60),"")</f>
        <v>0.43333333333333335</v>
      </c>
      <c r="H1092" s="230" t="s">
        <v>55</v>
      </c>
      <c r="I1092" s="230" t="s">
        <v>509</v>
      </c>
      <c r="J1092" s="231" t="s">
        <v>114</v>
      </c>
    </row>
    <row r="1093" spans="2:11" x14ac:dyDescent="0.25">
      <c r="B1093" s="235">
        <v>45025</v>
      </c>
      <c r="C1093" s="195">
        <v>1</v>
      </c>
      <c r="E1093" s="238">
        <v>0.29166666666666669</v>
      </c>
      <c r="F1093" s="204">
        <v>0.31944444444444448</v>
      </c>
      <c r="G1093" s="193">
        <f>IFERROR(IF(E1093&gt;F1093,((F1093+E376B376+1)-(E1093+B1096))*24,HOUR(F1093-E1093)+MINUTE(F1093-E1093)/60),"")</f>
        <v>0.66666666666666663</v>
      </c>
      <c r="H1093" s="230" t="s">
        <v>55</v>
      </c>
      <c r="I1093" s="230" t="s">
        <v>509</v>
      </c>
      <c r="J1093" s="231" t="s">
        <v>598</v>
      </c>
      <c r="K1093" s="176" t="s">
        <v>1094</v>
      </c>
    </row>
    <row r="1094" spans="2:11" x14ac:dyDescent="0.25">
      <c r="B1094" s="235">
        <v>45025</v>
      </c>
      <c r="C1094" s="195">
        <v>1</v>
      </c>
      <c r="E1094" s="238">
        <v>0.40972222222222227</v>
      </c>
      <c r="F1094" s="204">
        <v>0.4201388888888889</v>
      </c>
      <c r="G1094" s="193">
        <f>IFERROR(IF(E1094&gt;F1094,((F1094+E376B376+1)-(E1094+B1097))*24,HOUR(F1094-E1094)+MINUTE(F1094-E1094)/60),"")</f>
        <v>0.25</v>
      </c>
      <c r="H1094" s="230" t="s">
        <v>55</v>
      </c>
      <c r="I1094" s="230" t="s">
        <v>511</v>
      </c>
      <c r="J1094" s="231" t="s">
        <v>203</v>
      </c>
    </row>
    <row r="1095" spans="2:11" x14ac:dyDescent="0.25">
      <c r="B1095" s="235">
        <v>45025</v>
      </c>
      <c r="C1095" s="233">
        <v>1</v>
      </c>
      <c r="D1095" s="233">
        <v>1</v>
      </c>
      <c r="E1095" s="238">
        <v>0.48958333333333331</v>
      </c>
      <c r="F1095" s="204">
        <v>0.5</v>
      </c>
      <c r="G1095" s="193">
        <f>IFERROR(IF(E1095&gt;F1095,((F1095+E376B376+1)-(E1095+B1098))*24,HOUR(F1095-E1095)+MINUTE(F1095-E1095)/60),"")</f>
        <v>0.25</v>
      </c>
      <c r="H1095" s="230" t="s">
        <v>55</v>
      </c>
      <c r="I1095" s="230" t="s">
        <v>511</v>
      </c>
      <c r="J1095" s="231" t="s">
        <v>203</v>
      </c>
    </row>
    <row r="1096" spans="2:11" x14ac:dyDescent="0.25">
      <c r="B1096" s="235">
        <v>45025</v>
      </c>
      <c r="C1096" s="233">
        <v>1</v>
      </c>
      <c r="E1096" s="238">
        <v>0.52083333333333337</v>
      </c>
      <c r="F1096" s="204">
        <v>0.53125</v>
      </c>
      <c r="G1096" s="193">
        <f>IFERROR(IF(E1096&gt;F1096,((F1096+E376B376+1)-(E1096+B1099))*24,HOUR(F1096-E1096)+MINUTE(F1096-E1096)/60),"")</f>
        <v>0.25</v>
      </c>
      <c r="H1096" s="230" t="s">
        <v>55</v>
      </c>
      <c r="I1096" s="230" t="s">
        <v>511</v>
      </c>
      <c r="J1096" s="231" t="s">
        <v>203</v>
      </c>
    </row>
    <row r="1097" spans="2:11" x14ac:dyDescent="0.25">
      <c r="B1097" s="235">
        <v>45025</v>
      </c>
      <c r="C1097" s="195">
        <v>1</v>
      </c>
      <c r="E1097" s="238">
        <v>0.55208333333333337</v>
      </c>
      <c r="F1097" s="204">
        <v>0.5625</v>
      </c>
      <c r="G1097" s="193">
        <f>IFERROR(IF(E1097&gt;F1097,((F1097+E376B376+1)-(E1097+B1100))*24,HOUR(F1097-E1097)+MINUTE(F1097-E1097)/60),"")</f>
        <v>0.25</v>
      </c>
      <c r="H1097" s="230" t="s">
        <v>55</v>
      </c>
      <c r="I1097" s="230" t="s">
        <v>511</v>
      </c>
      <c r="J1097" s="231" t="s">
        <v>203</v>
      </c>
    </row>
    <row r="1098" spans="2:11" x14ac:dyDescent="0.25">
      <c r="B1098" s="235">
        <v>45025</v>
      </c>
      <c r="C1098" s="195">
        <v>1</v>
      </c>
      <c r="E1098" s="238">
        <v>0.61458333333333337</v>
      </c>
      <c r="F1098" s="204">
        <v>0.625</v>
      </c>
      <c r="G1098" s="193">
        <f>IFERROR(IF(E1098&gt;F1098,((F1098+E376B376+1)-(E1098+B1101))*24,HOUR(F1098-E1098)+MINUTE(F1098-E1098)/60),"")</f>
        <v>0.25</v>
      </c>
      <c r="H1098" s="230" t="s">
        <v>55</v>
      </c>
      <c r="I1098" s="230" t="s">
        <v>509</v>
      </c>
      <c r="J1098" s="231" t="s">
        <v>114</v>
      </c>
    </row>
    <row r="1099" spans="2:11" x14ac:dyDescent="0.25">
      <c r="B1099" s="235">
        <v>45025</v>
      </c>
      <c r="C1099" s="195">
        <v>2</v>
      </c>
      <c r="E1099" s="238">
        <v>0.625</v>
      </c>
      <c r="F1099" s="204">
        <v>0.64583333333333337</v>
      </c>
      <c r="G1099" s="193">
        <f>IFERROR(IF(E1099&gt;F1099,((F1099+E376B376+1)-(E1099+B1102))*24,HOUR(F1099-E1099)+MINUTE(F1099-E1099)/60),"")</f>
        <v>0.5</v>
      </c>
      <c r="H1099" s="230" t="s">
        <v>55</v>
      </c>
      <c r="I1099" s="230" t="s">
        <v>509</v>
      </c>
      <c r="J1099" s="231" t="s">
        <v>114</v>
      </c>
    </row>
    <row r="1100" spans="2:11" x14ac:dyDescent="0.25">
      <c r="B1100" s="235">
        <v>45025</v>
      </c>
      <c r="C1100" s="195">
        <v>2</v>
      </c>
      <c r="E1100" s="238">
        <v>0.64583333333333337</v>
      </c>
      <c r="F1100" s="204">
        <v>0.66249999999999998</v>
      </c>
      <c r="G1100" s="193">
        <f>IFERROR(IF(E1100&gt;F1100,((F1100+E376B376+1)-(E1100+B1103))*24,HOUR(F1100-E1100)+MINUTE(F1100-E1100)/60),"")</f>
        <v>0.4</v>
      </c>
      <c r="H1100" s="230" t="s">
        <v>187</v>
      </c>
      <c r="I1100" s="230" t="s">
        <v>509</v>
      </c>
      <c r="J1100" s="231" t="s">
        <v>600</v>
      </c>
    </row>
    <row r="1101" spans="2:11" x14ac:dyDescent="0.25">
      <c r="B1101" s="235">
        <v>45025</v>
      </c>
      <c r="C1101" s="195">
        <v>2</v>
      </c>
      <c r="E1101" s="238">
        <v>0.69861111111111107</v>
      </c>
      <c r="F1101" s="204">
        <v>0.70972222222222225</v>
      </c>
      <c r="G1101" s="193">
        <f>IFERROR(IF(E1101&gt;F1101,((F1101+E376B376+1)-(E1101+B1104))*24,HOUR(F1101-E1101)+MINUTE(F1101-E1101)/60),"")</f>
        <v>0.26666666666666666</v>
      </c>
      <c r="H1101" s="230" t="s">
        <v>55</v>
      </c>
      <c r="I1101" s="230" t="s">
        <v>511</v>
      </c>
      <c r="J1101" s="231" t="s">
        <v>203</v>
      </c>
    </row>
    <row r="1102" spans="2:11" x14ac:dyDescent="0.25">
      <c r="B1102" s="235">
        <v>45025</v>
      </c>
      <c r="C1102" s="195">
        <v>2</v>
      </c>
      <c r="E1102" s="238">
        <v>0.77430555555555547</v>
      </c>
      <c r="F1102" s="204">
        <v>0.84027777777777779</v>
      </c>
      <c r="G1102" s="193">
        <f>IFERROR(IF(E1102&gt;F1102,((F1102+E376B376+1)-(E1102+B1105))*24,HOUR(F1102-E1102)+MINUTE(F1102-E1102)/60),"")</f>
        <v>1.5833333333333335</v>
      </c>
      <c r="I1102" s="230" t="s">
        <v>513</v>
      </c>
      <c r="J1102" s="231" t="s">
        <v>78</v>
      </c>
    </row>
    <row r="1103" spans="2:11" x14ac:dyDescent="0.25">
      <c r="B1103" s="235">
        <v>45025</v>
      </c>
      <c r="C1103" s="195">
        <v>2</v>
      </c>
      <c r="E1103" s="238">
        <v>0.84166666666666667</v>
      </c>
      <c r="F1103" s="204">
        <v>0.8520833333333333</v>
      </c>
      <c r="G1103" s="193">
        <f>IFERROR(IF(E1103&gt;F1103,((F1103+E376B376+1)-(E1103+B1106))*24,HOUR(F1103-E1103)+MINUTE(F1103-E1103)/60),"")</f>
        <v>0.25</v>
      </c>
      <c r="H1103" s="230" t="s">
        <v>55</v>
      </c>
      <c r="I1103" s="230" t="s">
        <v>511</v>
      </c>
      <c r="J1103" s="231" t="s">
        <v>203</v>
      </c>
    </row>
    <row r="1104" spans="2:11" x14ac:dyDescent="0.25">
      <c r="B1104" s="235">
        <v>45025</v>
      </c>
      <c r="C1104" s="195">
        <v>2</v>
      </c>
      <c r="E1104" s="238">
        <v>0.94444444444444453</v>
      </c>
      <c r="F1104" s="204">
        <v>0.95833333333333337</v>
      </c>
      <c r="G1104" s="193">
        <f>IFERROR(IF(E1104&gt;F1104,((F1104+E376B376+1)-(E1104+B1107))*24,HOUR(F1104-E1104)+MINUTE(F1104-E1104)/60),"")</f>
        <v>0.33333333333333331</v>
      </c>
      <c r="H1104" s="230" t="s">
        <v>55</v>
      </c>
      <c r="I1104" s="230" t="s">
        <v>509</v>
      </c>
      <c r="J1104" s="231" t="s">
        <v>114</v>
      </c>
    </row>
    <row r="1105" spans="1:11" x14ac:dyDescent="0.25">
      <c r="B1105" s="235">
        <v>45025</v>
      </c>
      <c r="C1105" s="195">
        <v>3</v>
      </c>
      <c r="E1105" s="238">
        <v>0.95833333333333337</v>
      </c>
      <c r="F1105" s="204">
        <v>0.97083333333333333</v>
      </c>
      <c r="G1105" s="193">
        <f>IFERROR(IF(E1105&gt;F1105,((F1105+E376B376+1)-(E1105+B1108))*24,HOUR(F1105-E1105)+MINUTE(F1105-E1105)/60),"")</f>
        <v>0.3</v>
      </c>
      <c r="H1105" s="230" t="s">
        <v>55</v>
      </c>
      <c r="I1105" s="230" t="s">
        <v>509</v>
      </c>
      <c r="J1105" s="231" t="s">
        <v>114</v>
      </c>
    </row>
    <row r="1106" spans="1:11" s="233" customFormat="1" x14ac:dyDescent="0.25">
      <c r="B1106" s="235">
        <v>45025</v>
      </c>
      <c r="C1106" s="233">
        <v>3</v>
      </c>
      <c r="E1106" s="238">
        <v>4.1666666666666664E-2</v>
      </c>
      <c r="F1106" s="204">
        <v>5.2083333333333336E-2</v>
      </c>
      <c r="G1106" s="193">
        <f>IFERROR(IF(E1106&gt;F1106,((F1106+E376B376+1)-(E1106+B1109))*24,HOUR(F1106-E1106)+MINUTE(F1106-E1106)/60),"")</f>
        <v>0.25</v>
      </c>
      <c r="H1106" s="230" t="s">
        <v>55</v>
      </c>
      <c r="I1106" s="230" t="s">
        <v>511</v>
      </c>
      <c r="J1106" s="231" t="s">
        <v>203</v>
      </c>
      <c r="K1106" s="176"/>
    </row>
    <row r="1107" spans="1:11" x14ac:dyDescent="0.25">
      <c r="B1107" s="235">
        <v>45025</v>
      </c>
      <c r="C1107" s="195">
        <v>3</v>
      </c>
      <c r="E1107" s="238">
        <v>0.11666666666666665</v>
      </c>
      <c r="F1107" s="204">
        <v>0.13680555555555554</v>
      </c>
      <c r="G1107" s="193">
        <f>IFERROR(IF(E1107&gt;F1107,((F1107+E376B376+1)-(E1107+B1110))*24,HOUR(F1107-E1107)+MINUTE(F1107-E1107)/60),"")</f>
        <v>0.48333333333333334</v>
      </c>
      <c r="H1107" s="230" t="s">
        <v>55</v>
      </c>
      <c r="I1107" s="230" t="s">
        <v>509</v>
      </c>
      <c r="J1107" s="231" t="s">
        <v>211</v>
      </c>
      <c r="K1107" s="176" t="s">
        <v>684</v>
      </c>
    </row>
    <row r="1108" spans="1:11" x14ac:dyDescent="0.25">
      <c r="B1108" s="235">
        <v>45025</v>
      </c>
      <c r="C1108" s="233">
        <v>3</v>
      </c>
      <c r="E1108" s="238">
        <v>0.1875</v>
      </c>
      <c r="F1108" s="204">
        <v>0.19791666666666666</v>
      </c>
      <c r="G1108" s="193">
        <f>IFERROR(IF(E1108&gt;F1108,((F1108+E376B376+1)-(E1108+B1111))*24,HOUR(F1108-E1108)+MINUTE(F1108-E1108)/60),"")</f>
        <v>0.25</v>
      </c>
      <c r="H1108" s="230" t="s">
        <v>55</v>
      </c>
      <c r="I1108" s="230" t="s">
        <v>511</v>
      </c>
      <c r="J1108" s="231" t="s">
        <v>203</v>
      </c>
    </row>
    <row r="1109" spans="1:11" x14ac:dyDescent="0.25">
      <c r="B1109" s="235">
        <v>45025</v>
      </c>
      <c r="C1109" s="233">
        <v>3</v>
      </c>
      <c r="E1109" s="238">
        <v>0.25</v>
      </c>
      <c r="F1109" s="204">
        <v>0.26041666666666669</v>
      </c>
      <c r="G1109" s="193">
        <f>IFERROR(IF(E1109&gt;F1109,((F1109+E376B376+1)-(E1109+B1112))*24,HOUR(F1109-E1109)+MINUTE(F1109-E1109)/60),"")</f>
        <v>0.25</v>
      </c>
      <c r="H1109" s="230" t="s">
        <v>55</v>
      </c>
      <c r="I1109" s="230" t="s">
        <v>511</v>
      </c>
      <c r="J1109" s="231" t="s">
        <v>203</v>
      </c>
    </row>
    <row r="1110" spans="1:11" x14ac:dyDescent="0.25">
      <c r="B1110" s="235">
        <v>45025</v>
      </c>
      <c r="C1110" s="233">
        <v>3</v>
      </c>
      <c r="E1110" s="238">
        <v>0.28125</v>
      </c>
      <c r="F1110" s="204">
        <v>0.29166666666666669</v>
      </c>
      <c r="G1110" s="193">
        <f>IFERROR(IF(E1110&gt;F1110,((F1110+E376B376+1)-(E1110+B1113))*24,HOUR(F1110-E1110)+MINUTE(F1110-E1110)/60),"")</f>
        <v>0.25</v>
      </c>
      <c r="H1110" s="230" t="s">
        <v>55</v>
      </c>
      <c r="I1110" s="230" t="s">
        <v>509</v>
      </c>
      <c r="J1110" s="231" t="s">
        <v>114</v>
      </c>
    </row>
    <row r="1111" spans="1:11" x14ac:dyDescent="0.25">
      <c r="B1111" s="235">
        <v>45026</v>
      </c>
      <c r="C1111" s="195">
        <v>1</v>
      </c>
      <c r="E1111" s="238">
        <v>0.29166666666666669</v>
      </c>
      <c r="F1111" s="204">
        <v>0.30208333333333331</v>
      </c>
      <c r="G1111" s="193">
        <f>IFERROR(IF(E1111&gt;F1111,((F1111+E376B376+1)-(E1111+B1114))*24,HOUR(F1111-E1111)+MINUTE(F1111-E1111)/60),"")</f>
        <v>0.25</v>
      </c>
      <c r="H1111" s="230" t="s">
        <v>55</v>
      </c>
      <c r="I1111" s="230" t="s">
        <v>509</v>
      </c>
      <c r="J1111" s="231" t="s">
        <v>114</v>
      </c>
    </row>
    <row r="1112" spans="1:11" s="233" customFormat="1" x14ac:dyDescent="0.25">
      <c r="B1112" s="235">
        <v>45026</v>
      </c>
      <c r="C1112" s="233">
        <v>1</v>
      </c>
      <c r="E1112" s="238">
        <v>0.35416666666666669</v>
      </c>
      <c r="F1112" s="204">
        <v>0.37708333333333338</v>
      </c>
      <c r="G1112" s="193">
        <f>IFERROR(IF(E1112&gt;F1112,((F1112+E376B376+1)-(E1112+B1115))*24,HOUR(F1112-E1112)+MINUTE(F1112-E1112)/60),"")</f>
        <v>0.55000000000000004</v>
      </c>
      <c r="H1112" s="230" t="s">
        <v>187</v>
      </c>
      <c r="I1112" s="230" t="s">
        <v>509</v>
      </c>
      <c r="J1112" s="231" t="s">
        <v>110</v>
      </c>
      <c r="K1112" s="176"/>
    </row>
    <row r="1113" spans="1:11" s="233" customFormat="1" x14ac:dyDescent="0.25">
      <c r="A1113" s="238">
        <v>0.38611111111111113</v>
      </c>
      <c r="B1113" s="235">
        <v>45026</v>
      </c>
      <c r="C1113" s="233">
        <v>1</v>
      </c>
      <c r="E1113" s="238">
        <v>0.38611111111111113</v>
      </c>
      <c r="F1113" s="204">
        <v>0.3972222222222222</v>
      </c>
      <c r="G1113" s="193">
        <f>IFERROR(IF(E1113&gt;F1113,((F1113+E376B376+1)-(E1113+B1116))*24,HOUR(F1113-E1113)+MINUTE(F1113-E1113)/60),"")</f>
        <v>0.26666666666666666</v>
      </c>
      <c r="H1113" s="230" t="s">
        <v>55</v>
      </c>
      <c r="I1113" s="230" t="s">
        <v>511</v>
      </c>
      <c r="J1113" s="231" t="s">
        <v>203</v>
      </c>
      <c r="K1113" s="176"/>
    </row>
    <row r="1114" spans="1:11" x14ac:dyDescent="0.25">
      <c r="B1114" s="235">
        <v>45026</v>
      </c>
      <c r="C1114" s="195">
        <v>1</v>
      </c>
      <c r="E1114" s="238">
        <v>0.42708333333333331</v>
      </c>
      <c r="F1114" s="204">
        <v>0.625</v>
      </c>
      <c r="G1114" s="193">
        <f>IFERROR(IF(E1114&gt;F1114,((F1114+E376B376+1)-(E1114+B1117))*24,HOUR(F1114-E1114)+MINUTE(F1114-E1114)/60),"")</f>
        <v>4.75</v>
      </c>
      <c r="H1114" s="230" t="s">
        <v>176</v>
      </c>
      <c r="I1114" s="230" t="s">
        <v>510</v>
      </c>
      <c r="J1114" s="231" t="s">
        <v>624</v>
      </c>
    </row>
    <row r="1115" spans="1:11" x14ac:dyDescent="0.25">
      <c r="B1115" s="235">
        <v>45026</v>
      </c>
      <c r="C1115" s="195">
        <v>2</v>
      </c>
      <c r="E1115" s="238">
        <v>0.625</v>
      </c>
      <c r="F1115" s="204">
        <v>0.65972222222222221</v>
      </c>
      <c r="G1115" s="193">
        <f>IFERROR(IF(E1115&gt;F1115,((F1115+E376B376+1)-(E1115+B1118))*24,HOUR(F1115-E1115)+MINUTE(F1115-E1115)/60),"")</f>
        <v>0.83333333333333337</v>
      </c>
      <c r="H1115" s="230" t="s">
        <v>158</v>
      </c>
      <c r="I1115" s="230" t="s">
        <v>509</v>
      </c>
      <c r="J1115" s="231" t="s">
        <v>206</v>
      </c>
      <c r="K1115" s="176" t="s">
        <v>1097</v>
      </c>
    </row>
    <row r="1116" spans="1:11" x14ac:dyDescent="0.25">
      <c r="B1116" s="235">
        <v>45026</v>
      </c>
      <c r="C1116" s="233">
        <v>2</v>
      </c>
      <c r="E1116" s="238">
        <v>0.77430555555555547</v>
      </c>
      <c r="F1116" s="204">
        <v>0.82638888888888884</v>
      </c>
      <c r="G1116" s="193">
        <f>IFERROR(IF(E1116&gt;F1116,((F1116+E376B376+1)-(E1116+B1119))*24,HOUR(F1116-E1116)+MINUTE(F1116-E1116)/60),"")</f>
        <v>1.25</v>
      </c>
      <c r="I1116" s="230" t="s">
        <v>513</v>
      </c>
      <c r="J1116" s="231" t="s">
        <v>78</v>
      </c>
    </row>
    <row r="1117" spans="1:11" x14ac:dyDescent="0.25">
      <c r="B1117" s="235">
        <v>45026</v>
      </c>
      <c r="C1117" s="195">
        <v>2</v>
      </c>
      <c r="E1117" s="238">
        <v>0.87847222222222221</v>
      </c>
      <c r="F1117" s="204">
        <v>0.89097222222222217</v>
      </c>
      <c r="G1117" s="193">
        <f>IFERROR(IF(E1117&gt;F1117,((F1117+E376B376+1)-(E1117+B1120))*24,HOUR(F1117-E1117)+MINUTE(F1117-E1117)/60),"")</f>
        <v>0.3</v>
      </c>
      <c r="H1117" s="230" t="s">
        <v>55</v>
      </c>
      <c r="I1117" s="230" t="s">
        <v>509</v>
      </c>
      <c r="J1117" s="231" t="s">
        <v>211</v>
      </c>
      <c r="K1117" s="176" t="s">
        <v>684</v>
      </c>
    </row>
    <row r="1118" spans="1:11" x14ac:dyDescent="0.25">
      <c r="B1118" s="235">
        <v>45026</v>
      </c>
      <c r="C1118" s="195">
        <v>2</v>
      </c>
      <c r="E1118" s="238">
        <v>0.89513888888888893</v>
      </c>
      <c r="F1118" s="204">
        <v>0.90625</v>
      </c>
      <c r="G1118" s="193">
        <f>IFERROR(IF(E1118&gt;F1118,((F1118+E376B376+1)-(E1118+B1121))*24,HOUR(F1118-E1118)+MINUTE(F1118-E1118)/60),"")</f>
        <v>0.26666666666666666</v>
      </c>
      <c r="H1118" s="230" t="s">
        <v>55</v>
      </c>
      <c r="I1118" s="230" t="s">
        <v>511</v>
      </c>
      <c r="J1118" s="231" t="s">
        <v>203</v>
      </c>
    </row>
    <row r="1119" spans="1:11" x14ac:dyDescent="0.25">
      <c r="B1119" s="235">
        <v>45026</v>
      </c>
      <c r="C1119" s="195">
        <v>2</v>
      </c>
      <c r="E1119" s="238">
        <v>0.9458333333333333</v>
      </c>
      <c r="F1119" s="204">
        <v>0.95833333333333337</v>
      </c>
      <c r="G1119" s="193">
        <f>IFERROR(IF(E1119&gt;F1119,((F1119+E376B376+1)-(E1119+B1122))*24,HOUR(F1119-E1119)+MINUTE(F1119-E1119)/60),"")</f>
        <v>0.3</v>
      </c>
      <c r="H1119" s="230" t="s">
        <v>55</v>
      </c>
      <c r="I1119" s="230" t="s">
        <v>509</v>
      </c>
      <c r="J1119" s="231" t="s">
        <v>114</v>
      </c>
    </row>
    <row r="1120" spans="1:11" x14ac:dyDescent="0.25">
      <c r="B1120" s="235">
        <v>45026</v>
      </c>
      <c r="C1120" s="195">
        <v>3</v>
      </c>
      <c r="E1120" s="238">
        <v>0.95833333333333337</v>
      </c>
      <c r="F1120" s="204">
        <v>0.96875</v>
      </c>
      <c r="G1120" s="193">
        <f>IFERROR(IF(E1120&gt;F1120,((F1120+E376B376+1)-(E1120+B1123))*24,HOUR(F1120-E1120)+MINUTE(F1120-E1120)/60),"")</f>
        <v>0.25</v>
      </c>
      <c r="H1120" s="230" t="s">
        <v>195</v>
      </c>
      <c r="I1120" s="230" t="s">
        <v>509</v>
      </c>
      <c r="J1120" s="231" t="s">
        <v>110</v>
      </c>
      <c r="K1120" s="176" t="s">
        <v>1101</v>
      </c>
    </row>
    <row r="1121" spans="2:10" x14ac:dyDescent="0.25">
      <c r="B1121" s="235">
        <v>45026</v>
      </c>
      <c r="C1121" s="233">
        <v>3</v>
      </c>
      <c r="E1121" s="238">
        <v>0.12152777777777778</v>
      </c>
      <c r="F1121" s="204">
        <v>0.13194444444444445</v>
      </c>
      <c r="G1121" s="193">
        <f>IFERROR(IF(E1121&gt;F1121,((F1121+E376B376+1)-(E1121+B1124))*24,HOUR(F1121-E1121)+MINUTE(F1121-E1121)/60),"")</f>
        <v>0.25</v>
      </c>
      <c r="H1121" s="230" t="s">
        <v>55</v>
      </c>
      <c r="I1121" s="230" t="s">
        <v>511</v>
      </c>
      <c r="J1121" s="231" t="s">
        <v>203</v>
      </c>
    </row>
    <row r="1122" spans="2:10" x14ac:dyDescent="0.25">
      <c r="B1122" s="235">
        <v>45026</v>
      </c>
      <c r="C1122" s="195">
        <v>3</v>
      </c>
      <c r="E1122" s="238">
        <v>0.27777777777777779</v>
      </c>
      <c r="F1122" s="204">
        <v>0.29166666666666669</v>
      </c>
      <c r="G1122" s="193">
        <f>IFERROR(IF(E1122&gt;F1122,((F1122+E376B376+1)-(E1122+B1125))*24,HOUR(F1122-E1122)+MINUTE(F1122-E1122)/60),"")</f>
        <v>0.33333333333333331</v>
      </c>
      <c r="H1122" s="230" t="s">
        <v>55</v>
      </c>
      <c r="I1122" s="230" t="s">
        <v>509</v>
      </c>
      <c r="J1122" s="231" t="s">
        <v>114</v>
      </c>
    </row>
    <row r="1123" spans="2:10" x14ac:dyDescent="0.25">
      <c r="B1123" s="235">
        <v>45027</v>
      </c>
      <c r="C1123" s="195">
        <v>1</v>
      </c>
      <c r="E1123" s="238">
        <v>0.29166666666666669</v>
      </c>
      <c r="F1123" s="204">
        <v>0.29583333333333334</v>
      </c>
      <c r="G1123" s="193">
        <f>IFERROR(IF(E1123&gt;F1123,((F1123+E376B376+1)-(E1123+B1126))*24,HOUR(F1123-E1123)+MINUTE(F1123-E1123)/60),"")</f>
        <v>0.1</v>
      </c>
      <c r="H1123" s="230" t="s">
        <v>55</v>
      </c>
      <c r="I1123" s="230" t="s">
        <v>509</v>
      </c>
      <c r="J1123" s="231" t="s">
        <v>114</v>
      </c>
    </row>
    <row r="1124" spans="2:10" x14ac:dyDescent="0.25">
      <c r="B1124" s="235">
        <v>45027</v>
      </c>
      <c r="C1124" s="195">
        <v>1</v>
      </c>
      <c r="E1124" s="238">
        <v>0.40277777777777773</v>
      </c>
      <c r="F1124" s="204">
        <v>0.41319444444444442</v>
      </c>
      <c r="G1124" s="193">
        <f>IFERROR(IF(E1124&gt;F1124,((F1124+E376B376+1)-(E1124+B1127))*24,HOUR(F1124-E1124)+MINUTE(F1124-E1124)/60),"")</f>
        <v>0.25</v>
      </c>
      <c r="H1124" s="230" t="s">
        <v>55</v>
      </c>
      <c r="I1124" s="230" t="s">
        <v>511</v>
      </c>
      <c r="J1124" s="231" t="s">
        <v>203</v>
      </c>
    </row>
    <row r="1125" spans="2:10" x14ac:dyDescent="0.25">
      <c r="B1125" s="235">
        <v>45027</v>
      </c>
      <c r="C1125" s="195">
        <v>1</v>
      </c>
      <c r="E1125" s="238">
        <v>0.44444444444444442</v>
      </c>
      <c r="F1125" s="204">
        <v>0.4548611111111111</v>
      </c>
      <c r="G1125" s="193">
        <f>IFERROR(IF(E1125&gt;F1125,((F1125+E376B376+1)-(E1125+B1128))*24,HOUR(F1125-E1125)+MINUTE(F1125-E1125)/60),"")</f>
        <v>0.25</v>
      </c>
      <c r="H1125" s="230" t="s">
        <v>55</v>
      </c>
      <c r="I1125" s="230" t="s">
        <v>511</v>
      </c>
      <c r="J1125" s="231" t="s">
        <v>203</v>
      </c>
    </row>
    <row r="1126" spans="2:10" x14ac:dyDescent="0.25">
      <c r="B1126" s="235">
        <v>45027</v>
      </c>
      <c r="C1126" s="195">
        <v>1</v>
      </c>
      <c r="E1126" s="238">
        <v>0.47916666666666669</v>
      </c>
      <c r="F1126" s="204">
        <v>0.48958333333333331</v>
      </c>
      <c r="G1126" s="193">
        <f>IFERROR(IF(E1126&gt;F1126,((F1126+E376B376+1)-(E1126+B1129))*24,HOUR(F1126-E1126)+MINUTE(F1126-E1126)/60),"")</f>
        <v>0.25</v>
      </c>
      <c r="H1126" s="230" t="s">
        <v>55</v>
      </c>
      <c r="I1126" s="230" t="s">
        <v>511</v>
      </c>
      <c r="J1126" s="231" t="s">
        <v>203</v>
      </c>
    </row>
    <row r="1127" spans="2:10" x14ac:dyDescent="0.25">
      <c r="B1127" s="235">
        <v>45027</v>
      </c>
      <c r="C1127" s="195">
        <v>1</v>
      </c>
      <c r="E1127" s="238">
        <v>0.54583333333333328</v>
      </c>
      <c r="F1127" s="204">
        <v>0.56180555555555556</v>
      </c>
      <c r="G1127" s="193">
        <f>IFERROR(IF(E1127&gt;F1127,((F1127+E376B376+1)-(E1127+B1130))*24,HOUR(F1127-E1127)+MINUTE(F1127-E1127)/60),"")</f>
        <v>0.38333333333333336</v>
      </c>
      <c r="H1127" s="230" t="s">
        <v>55</v>
      </c>
      <c r="I1127" s="230" t="s">
        <v>509</v>
      </c>
      <c r="J1127" s="231" t="s">
        <v>213</v>
      </c>
    </row>
    <row r="1128" spans="2:10" x14ac:dyDescent="0.25">
      <c r="B1128" s="235">
        <v>45027</v>
      </c>
      <c r="C1128" s="195">
        <v>1</v>
      </c>
      <c r="E1128" s="238">
        <v>0.56041666666666667</v>
      </c>
      <c r="F1128" s="204">
        <v>0.57777777777777783</v>
      </c>
      <c r="G1128" s="193">
        <f>IFERROR(IF(E1128&gt;F1128,((F1128+E376B376+1)-(E1128+B1131))*24,HOUR(F1128-E1128)+MINUTE(F1128-E1128)/60),"")</f>
        <v>0.41666666666666669</v>
      </c>
      <c r="H1128" s="230" t="s">
        <v>55</v>
      </c>
      <c r="I1128" s="230" t="s">
        <v>511</v>
      </c>
      <c r="J1128" s="231" t="s">
        <v>203</v>
      </c>
    </row>
    <row r="1129" spans="2:10" x14ac:dyDescent="0.25">
      <c r="B1129" s="235">
        <v>45027</v>
      </c>
      <c r="C1129" s="233">
        <v>1</v>
      </c>
      <c r="E1129" s="238">
        <v>0.61458333333333337</v>
      </c>
      <c r="F1129" s="204">
        <v>0.625</v>
      </c>
      <c r="G1129" s="193">
        <f>IFERROR(IF(E1129&gt;F1129,((F1129+E376B376+1)-(E1129+B1132))*24,HOUR(F1129-E1129)+MINUTE(F1129-E1129)/60),"")</f>
        <v>0.25</v>
      </c>
      <c r="H1129" s="230" t="s">
        <v>55</v>
      </c>
      <c r="I1129" s="230" t="s">
        <v>509</v>
      </c>
      <c r="J1129" s="231" t="s">
        <v>114</v>
      </c>
    </row>
    <row r="1130" spans="2:10" x14ac:dyDescent="0.25">
      <c r="B1130" s="235">
        <v>45027</v>
      </c>
      <c r="C1130" s="195">
        <v>2</v>
      </c>
      <c r="D1130" s="195">
        <v>2</v>
      </c>
      <c r="E1130" s="238">
        <v>0.66875000000000007</v>
      </c>
      <c r="F1130" s="204">
        <v>0.68611111111111101</v>
      </c>
      <c r="G1130" s="193">
        <f>IFERROR(IF(E1130&gt;F1130,((F1130+E376B376+1)-(E1130+B1133))*24,HOUR(F1130-E1130)+MINUTE(F1130-E1130)/60),"")</f>
        <v>0.41666666666666669</v>
      </c>
      <c r="H1130" s="230" t="s">
        <v>55</v>
      </c>
      <c r="I1130" s="230" t="s">
        <v>509</v>
      </c>
      <c r="J1130" s="231" t="s">
        <v>211</v>
      </c>
    </row>
    <row r="1131" spans="2:10" x14ac:dyDescent="0.25">
      <c r="B1131" s="235">
        <v>45027</v>
      </c>
      <c r="C1131" s="233">
        <v>2</v>
      </c>
      <c r="E1131" s="238">
        <v>0.70833333333333337</v>
      </c>
      <c r="F1131" s="204">
        <v>0.71875</v>
      </c>
      <c r="G1131" s="193">
        <f>IFERROR(IF(E1131&gt;F1131,((F1131+E376B376+1)-(E1131+B1134))*24,HOUR(F1131-E1131)+MINUTE(F1131-E1131)/60),"")</f>
        <v>0.25</v>
      </c>
      <c r="H1131" s="230" t="s">
        <v>55</v>
      </c>
      <c r="I1131" s="230" t="s">
        <v>511</v>
      </c>
      <c r="J1131" s="231" t="s">
        <v>203</v>
      </c>
    </row>
    <row r="1132" spans="2:10" x14ac:dyDescent="0.25">
      <c r="B1132" s="235">
        <v>45027</v>
      </c>
      <c r="C1132" s="233">
        <v>2</v>
      </c>
      <c r="E1132" s="238">
        <v>0.77847222222222223</v>
      </c>
      <c r="F1132" s="280">
        <v>0.82986111111111116</v>
      </c>
      <c r="G1132" s="193">
        <f>IFERROR(IF(E1132&gt;F1132,((F1132+E376B376+1)-(E1132+B1135))*24,HOUR(F1132-E1132)+MINUTE(F1132-E1132)/60),"")</f>
        <v>1.2333333333333334</v>
      </c>
      <c r="I1132" s="230" t="s">
        <v>513</v>
      </c>
      <c r="J1132" s="231" t="s">
        <v>78</v>
      </c>
    </row>
    <row r="1133" spans="2:10" x14ac:dyDescent="0.25">
      <c r="B1133" s="235">
        <v>45027</v>
      </c>
      <c r="C1133" s="233">
        <v>2</v>
      </c>
      <c r="E1133" s="238">
        <v>0.8833333333333333</v>
      </c>
      <c r="F1133" s="204">
        <v>0.8930555555555556</v>
      </c>
      <c r="G1133" s="193">
        <f>IFERROR(IF(E1133&gt;F1133,((F1133+E376B376+1)-(E1133+B1136))*24,HOUR(F1133-E1133)+MINUTE(F1133-E1133)/60),"")</f>
        <v>0.23333333333333334</v>
      </c>
      <c r="H1133" s="230" t="s">
        <v>158</v>
      </c>
      <c r="I1133" s="230" t="s">
        <v>509</v>
      </c>
      <c r="J1133" s="231" t="s">
        <v>495</v>
      </c>
    </row>
    <row r="1134" spans="2:10" x14ac:dyDescent="0.25">
      <c r="B1134" s="235">
        <v>45027</v>
      </c>
      <c r="C1134" s="233">
        <v>2</v>
      </c>
      <c r="E1134" s="238">
        <v>0.93333333333333324</v>
      </c>
      <c r="F1134" s="204">
        <v>0.94097222222222221</v>
      </c>
      <c r="G1134" s="193">
        <f>IFERROR(IF(E1134&gt;F1134,((F1134+E376B376+1)-(E1134+B1137))*24,HOUR(F1134-E1134)+MINUTE(F1134-E1134)/60),"")</f>
        <v>0.18333333333333332</v>
      </c>
      <c r="H1134" s="230" t="s">
        <v>55</v>
      </c>
      <c r="I1134" s="230" t="s">
        <v>511</v>
      </c>
      <c r="J1134" s="231" t="s">
        <v>203</v>
      </c>
    </row>
    <row r="1135" spans="2:10" x14ac:dyDescent="0.25">
      <c r="B1135" s="235">
        <v>45027</v>
      </c>
      <c r="C1135" s="233">
        <v>2</v>
      </c>
      <c r="E1135" s="238">
        <v>0.94097222222222221</v>
      </c>
      <c r="F1135" s="204">
        <v>0.95833333333333337</v>
      </c>
      <c r="G1135" s="193">
        <f>IFERROR(IF(E1135&gt;F1135,((F1135+E376B376+1)-(E1135+B1138))*24,HOUR(F1135-E1135)+MINUTE(F1135-E1135)/60),"")</f>
        <v>0.41666666666666669</v>
      </c>
      <c r="H1135" s="230" t="s">
        <v>55</v>
      </c>
      <c r="I1135" s="230" t="s">
        <v>509</v>
      </c>
      <c r="J1135" s="231" t="s">
        <v>114</v>
      </c>
    </row>
    <row r="1136" spans="2:10" x14ac:dyDescent="0.25">
      <c r="B1136" s="235">
        <v>45027</v>
      </c>
      <c r="C1136" s="195">
        <v>3</v>
      </c>
      <c r="E1136" s="238">
        <v>0.95833333333333337</v>
      </c>
      <c r="F1136" s="204">
        <v>0.96527777777777779</v>
      </c>
      <c r="G1136" s="193">
        <f>IFERROR(IF(E1136&gt;F1136,((F1136+E376B376+1)-(E1136+B1139))*24,HOUR(F1136-E1136)+MINUTE(F1136-E1136)/60),"")</f>
        <v>0.16666666666666666</v>
      </c>
      <c r="H1136" s="230" t="s">
        <v>55</v>
      </c>
      <c r="I1136" s="230" t="s">
        <v>509</v>
      </c>
      <c r="J1136" s="231" t="s">
        <v>114</v>
      </c>
    </row>
    <row r="1137" spans="2:11" x14ac:dyDescent="0.25">
      <c r="B1137" s="235">
        <v>45027</v>
      </c>
      <c r="C1137" s="233">
        <v>3</v>
      </c>
      <c r="D1137" s="233"/>
      <c r="E1137" s="238">
        <v>3.4722222222222224E-2</v>
      </c>
      <c r="F1137" s="204">
        <v>5.2083333333333336E-2</v>
      </c>
      <c r="G1137" s="193">
        <f>IFERROR(IF(E1137&gt;F1137,((F1137+E376B376+1)-(E1137+B1140))*24,HOUR(F1137-E1137)+MINUTE(F1137-E1137)/60),"")</f>
        <v>0.41666666666666669</v>
      </c>
      <c r="H1137" s="230" t="s">
        <v>55</v>
      </c>
      <c r="I1137" s="230" t="s">
        <v>509</v>
      </c>
      <c r="J1137" s="231" t="s">
        <v>211</v>
      </c>
      <c r="K1137" s="176" t="s">
        <v>684</v>
      </c>
    </row>
    <row r="1138" spans="2:11" x14ac:dyDescent="0.25">
      <c r="B1138" s="235">
        <v>45027</v>
      </c>
      <c r="C1138" s="195">
        <v>3</v>
      </c>
      <c r="E1138" s="238">
        <v>0.19097222222222221</v>
      </c>
      <c r="F1138" s="204">
        <v>0.20138888888888887</v>
      </c>
      <c r="G1138" s="193">
        <f>IFERROR(IF(E1138&gt;F1138,((F1138+E376B376+1)-(E1138+B1141))*24,HOUR(F1138-E1138)+MINUTE(F1138-E1138)/60),"")</f>
        <v>0.25</v>
      </c>
      <c r="H1138" s="230" t="s">
        <v>158</v>
      </c>
      <c r="I1138" s="230" t="s">
        <v>509</v>
      </c>
      <c r="J1138" s="231" t="s">
        <v>495</v>
      </c>
      <c r="K1138" s="176" t="s">
        <v>1107</v>
      </c>
    </row>
    <row r="1139" spans="2:11" x14ac:dyDescent="0.25">
      <c r="B1139" s="235">
        <v>45027</v>
      </c>
      <c r="C1139" s="195">
        <v>3</v>
      </c>
      <c r="E1139" s="238">
        <v>0.27430555555555552</v>
      </c>
      <c r="F1139" s="204">
        <v>0.29166666666666669</v>
      </c>
      <c r="G1139" s="193">
        <f>IFERROR(IF(E1139&gt;F1139,((F1139+E376B376+1)-(E1139+B1142))*24,HOUR(F1139-E1139)+MINUTE(F1139-E1139)/60),"")</f>
        <v>0.41666666666666669</v>
      </c>
      <c r="H1139" s="230" t="s">
        <v>55</v>
      </c>
      <c r="I1139" s="230" t="s">
        <v>509</v>
      </c>
      <c r="J1139" s="231" t="s">
        <v>114</v>
      </c>
    </row>
    <row r="1140" spans="2:11" x14ac:dyDescent="0.25">
      <c r="B1140" s="235">
        <v>45028</v>
      </c>
      <c r="C1140" s="195">
        <v>1</v>
      </c>
      <c r="E1140" s="238">
        <v>0.29166666666666669</v>
      </c>
      <c r="F1140" s="204">
        <v>0.30138888888888887</v>
      </c>
      <c r="G1140" s="193">
        <f>IFERROR(IF(E1140&gt;F1140,((F1140+E376B376+1)-(E1140+B1143))*24,HOUR(F1140-E1140)+MINUTE(F1140-E1140)/60),"")</f>
        <v>0.23333333333333334</v>
      </c>
      <c r="H1140" s="230" t="s">
        <v>55</v>
      </c>
      <c r="I1140" s="230" t="s">
        <v>509</v>
      </c>
      <c r="J1140" s="231" t="s">
        <v>114</v>
      </c>
    </row>
    <row r="1141" spans="2:11" x14ac:dyDescent="0.25">
      <c r="B1141" s="235">
        <v>45028</v>
      </c>
      <c r="C1141" s="195">
        <v>1</v>
      </c>
      <c r="E1141" s="238">
        <v>0.30694444444444441</v>
      </c>
      <c r="F1141" s="204">
        <v>0.31805555555555554</v>
      </c>
      <c r="G1141" s="193">
        <f>IFERROR(IF(E1141&gt;F1141,((F1141+E376B376+1)-(E1141+B1144))*24,HOUR(F1141-E1141)+MINUTE(F1141-E1141)/60),"")</f>
        <v>0.26666666666666666</v>
      </c>
      <c r="H1141" s="230" t="s">
        <v>55</v>
      </c>
      <c r="I1141" s="230" t="s">
        <v>511</v>
      </c>
      <c r="J1141" s="231" t="s">
        <v>203</v>
      </c>
    </row>
    <row r="1142" spans="2:11" x14ac:dyDescent="0.25">
      <c r="B1142" s="235">
        <v>45028</v>
      </c>
      <c r="C1142" s="195">
        <v>1</v>
      </c>
      <c r="E1142" s="238">
        <v>0.46875</v>
      </c>
      <c r="F1142" s="204">
        <v>0.48055555555555557</v>
      </c>
      <c r="G1142" s="193">
        <f>IFERROR(IF(E1142&gt;F1142,((F1142+E376B376+1)-(E1142+B1145))*24,HOUR(F1142-E1142)+MINUTE(F1142-E1142)/60),"")</f>
        <v>0.28333333333333333</v>
      </c>
      <c r="H1142" s="230" t="s">
        <v>55</v>
      </c>
      <c r="I1142" s="230" t="s">
        <v>511</v>
      </c>
      <c r="J1142" s="231" t="s">
        <v>203</v>
      </c>
    </row>
    <row r="1143" spans="2:11" x14ac:dyDescent="0.25">
      <c r="B1143" s="235">
        <v>45028</v>
      </c>
      <c r="C1143" s="195">
        <v>1</v>
      </c>
      <c r="E1143" s="238">
        <v>0.58333333333333337</v>
      </c>
      <c r="F1143" s="204">
        <v>0.59375</v>
      </c>
      <c r="G1143" s="193">
        <f>IFERROR(IF(E1143&gt;F1143,((F1143+E376B376+1)-(E1143+B1147))*24,HOUR(F1143-E1143)+MINUTE(F1143-E1143)/60),"")</f>
        <v>0.25</v>
      </c>
      <c r="H1143" s="230" t="s">
        <v>55</v>
      </c>
      <c r="I1143" s="230" t="s">
        <v>511</v>
      </c>
      <c r="J1143" s="231" t="s">
        <v>203</v>
      </c>
    </row>
    <row r="1144" spans="2:11" x14ac:dyDescent="0.25">
      <c r="B1144" s="235">
        <v>45028</v>
      </c>
      <c r="C1144" s="195">
        <v>1</v>
      </c>
      <c r="E1144" s="238">
        <v>0.60833333333333328</v>
      </c>
      <c r="F1144" s="204">
        <v>0.62222222222222223</v>
      </c>
      <c r="G1144" s="193">
        <f>IFERROR(IF(E1144&gt;F1144,((F1144+E376B376+1)-(E1144+B1148))*24,HOUR(F1144-E1144)+MINUTE(F1144-E1144)/60),"")</f>
        <v>0.33333333333333331</v>
      </c>
      <c r="H1144" s="230" t="s">
        <v>55</v>
      </c>
      <c r="I1144" s="230" t="s">
        <v>509</v>
      </c>
      <c r="J1144" s="231" t="s">
        <v>114</v>
      </c>
    </row>
    <row r="1145" spans="2:11" x14ac:dyDescent="0.25">
      <c r="B1145" s="235">
        <v>45028</v>
      </c>
      <c r="C1145" s="195">
        <v>2</v>
      </c>
      <c r="E1145" s="238">
        <v>0.63888888888888895</v>
      </c>
      <c r="F1145" s="204">
        <v>0.65277777777777779</v>
      </c>
      <c r="G1145" s="193">
        <f>IFERROR(IF(E1145&gt;F1145,((F1145+E376B376+1)-(E1145+B1149))*24,HOUR(F1145-E1145)+MINUTE(F1145-E1145)/60),"")</f>
        <v>0.33333333333333331</v>
      </c>
      <c r="H1145" s="230" t="s">
        <v>55</v>
      </c>
      <c r="I1145" s="230" t="s">
        <v>509</v>
      </c>
      <c r="J1145" s="231" t="s">
        <v>211</v>
      </c>
      <c r="K1145" s="176" t="s">
        <v>800</v>
      </c>
    </row>
    <row r="1146" spans="2:11" s="233" customFormat="1" x14ac:dyDescent="0.25">
      <c r="B1146" s="235">
        <v>45028</v>
      </c>
      <c r="C1146" s="233">
        <v>2</v>
      </c>
      <c r="E1146" s="238">
        <v>0.68888888888888899</v>
      </c>
      <c r="F1146" s="204">
        <v>0.69930555555555562</v>
      </c>
      <c r="G1146" s="193">
        <f>IFERROR(IF(E1146&gt;F1146,((F1146+E376B376+1)-(E1146+B1150))*24,HOUR(F1146-E1146)+MINUTE(F1146-E1146)/60),"")</f>
        <v>0.25</v>
      </c>
      <c r="H1146" s="230" t="s">
        <v>55</v>
      </c>
      <c r="I1146" s="230" t="s">
        <v>511</v>
      </c>
      <c r="J1146" s="231" t="s">
        <v>203</v>
      </c>
      <c r="K1146" s="176"/>
    </row>
    <row r="1147" spans="2:11" x14ac:dyDescent="0.25">
      <c r="B1147" s="235">
        <v>45028</v>
      </c>
      <c r="C1147" s="195">
        <v>2</v>
      </c>
      <c r="E1147" s="238">
        <v>0.7729166666666667</v>
      </c>
      <c r="F1147" s="204">
        <v>0.78263888888888899</v>
      </c>
      <c r="G1147" s="193">
        <f>IFERROR(IF(E1147&gt;F1147,((F1147+E376B376+1)-(E1147+B1150))*24,HOUR(F1147-E1147)+MINUTE(F1147-E1147)/60),"")</f>
        <v>0.23333333333333334</v>
      </c>
      <c r="H1147" s="230" t="s">
        <v>55</v>
      </c>
      <c r="I1147" s="230" t="s">
        <v>511</v>
      </c>
      <c r="J1147" s="231" t="s">
        <v>203</v>
      </c>
    </row>
    <row r="1148" spans="2:11" x14ac:dyDescent="0.25">
      <c r="B1148" s="235">
        <v>45028</v>
      </c>
      <c r="C1148" s="195">
        <v>2</v>
      </c>
      <c r="E1148" s="238">
        <v>0.78263888888888899</v>
      </c>
      <c r="F1148" s="204">
        <v>0.82708333333333339</v>
      </c>
      <c r="G1148" s="193">
        <f>IFERROR(IF(E1148&gt;F1148,((F1148+E376B376+1)-(E1148+B1151))*24,HOUR(F1148-E1148)+MINUTE(F1148-E1148)/60),"")</f>
        <v>1.0666666666666667</v>
      </c>
      <c r="I1148" s="230" t="s">
        <v>513</v>
      </c>
      <c r="J1148" s="231" t="s">
        <v>78</v>
      </c>
    </row>
    <row r="1149" spans="2:11" x14ac:dyDescent="0.25">
      <c r="B1149" s="235">
        <v>45028</v>
      </c>
      <c r="C1149" s="195">
        <v>2</v>
      </c>
      <c r="E1149" s="238">
        <v>0.84027777777777779</v>
      </c>
      <c r="F1149" s="204">
        <v>0.85069444444444453</v>
      </c>
      <c r="G1149" s="193">
        <f>IFERROR(IF(E1149&gt;F1149,((F1149+E376B376+1)-(E1149+B1152))*24,HOUR(F1149-E1149)+MINUTE(F1149-E1149)/60),"")</f>
        <v>0.25</v>
      </c>
      <c r="H1149" s="230" t="s">
        <v>55</v>
      </c>
      <c r="I1149" s="230" t="s">
        <v>509</v>
      </c>
      <c r="J1149" s="231" t="s">
        <v>203</v>
      </c>
    </row>
    <row r="1150" spans="2:11" x14ac:dyDescent="0.25">
      <c r="B1150" s="235">
        <v>45028</v>
      </c>
      <c r="C1150" s="233">
        <v>2</v>
      </c>
      <c r="E1150" s="238">
        <v>0.88888888888888884</v>
      </c>
      <c r="F1150" s="204">
        <v>0.9</v>
      </c>
      <c r="G1150" s="193">
        <f>IFERROR(IF(E1150&gt;F1150,((F1150+E376B376+1)-(E1150+B1153))*24,HOUR(F1150-E1150)+MINUTE(F1150-E1150)/60),"")</f>
        <v>0.26666666666666666</v>
      </c>
      <c r="H1150" s="230" t="s">
        <v>55</v>
      </c>
      <c r="I1150" s="230" t="s">
        <v>509</v>
      </c>
      <c r="J1150" s="231" t="s">
        <v>203</v>
      </c>
    </row>
    <row r="1151" spans="2:11" x14ac:dyDescent="0.25">
      <c r="B1151" s="235">
        <v>45028</v>
      </c>
      <c r="C1151" s="195">
        <v>2</v>
      </c>
      <c r="E1151" s="238">
        <v>0.91249999999999998</v>
      </c>
      <c r="F1151" s="204">
        <v>0.92361111111111116</v>
      </c>
      <c r="G1151" s="193">
        <f>IFERROR(IF(E1151&gt;F1151,((F1151+E376B376+1)-(E1151+B1154))*24,HOUR(F1151-E1151)+MINUTE(F1151-E1151)/60),"")</f>
        <v>0.26666666666666666</v>
      </c>
      <c r="H1151" s="230" t="s">
        <v>55</v>
      </c>
      <c r="I1151" s="230" t="s">
        <v>509</v>
      </c>
      <c r="J1151" s="231" t="s">
        <v>203</v>
      </c>
      <c r="K1151" s="176" t="s">
        <v>1112</v>
      </c>
    </row>
    <row r="1152" spans="2:11" x14ac:dyDescent="0.25">
      <c r="B1152" s="235">
        <v>45028</v>
      </c>
      <c r="C1152" s="233">
        <v>2</v>
      </c>
      <c r="E1152" s="238">
        <v>0.9472222222222223</v>
      </c>
      <c r="F1152" s="204">
        <v>0.95833333333333337</v>
      </c>
      <c r="G1152" s="193">
        <f>IFERROR(IF(E1152&gt;F1152,((F1152+E376B376+1)-(E1152+B1155))*24,HOUR(F1152-E1152)+MINUTE(F1152-E1152)/60),"")</f>
        <v>0.26666666666666666</v>
      </c>
      <c r="H1152" s="230" t="s">
        <v>55</v>
      </c>
      <c r="I1152" s="230" t="s">
        <v>509</v>
      </c>
      <c r="J1152" s="231" t="s">
        <v>211</v>
      </c>
      <c r="K1152" s="176" t="s">
        <v>684</v>
      </c>
    </row>
    <row r="1153" spans="2:11" x14ac:dyDescent="0.25">
      <c r="B1153" s="235">
        <v>45028</v>
      </c>
      <c r="C1153" s="195">
        <v>3</v>
      </c>
      <c r="E1153" s="238">
        <v>0.95833333333333337</v>
      </c>
      <c r="F1153" s="204">
        <v>0.98611111111111116</v>
      </c>
      <c r="G1153" s="193">
        <f>IFERROR(IF(E1153&gt;F1153,((F1153+E376B376+1)-(E1153+B1156))*24,HOUR(F1153-E1153)+MINUTE(F1153-E1153)/60),"")</f>
        <v>0.66666666666666663</v>
      </c>
      <c r="H1153" s="230" t="s">
        <v>55</v>
      </c>
      <c r="I1153" s="230" t="s">
        <v>509</v>
      </c>
      <c r="J1153" s="231" t="s">
        <v>211</v>
      </c>
      <c r="K1153" s="176" t="s">
        <v>684</v>
      </c>
    </row>
    <row r="1154" spans="2:11" x14ac:dyDescent="0.25">
      <c r="B1154" s="235">
        <v>45028</v>
      </c>
      <c r="C1154" s="195">
        <v>3</v>
      </c>
      <c r="E1154" s="238">
        <v>0.28819444444444448</v>
      </c>
      <c r="F1154" s="204">
        <v>0.29166666666666669</v>
      </c>
      <c r="G1154" s="193">
        <f>IFERROR(IF(E1154&gt;F1154,((F1154+E376B376+1)-(E1154+B1157))*24,HOUR(F1154-E1154)+MINUTE(F1154-E1154)/60),"")</f>
        <v>8.3333333333333329E-2</v>
      </c>
      <c r="H1154" s="230" t="s">
        <v>55</v>
      </c>
      <c r="I1154" s="230" t="s">
        <v>509</v>
      </c>
      <c r="J1154" s="231" t="s">
        <v>203</v>
      </c>
    </row>
    <row r="1155" spans="2:11" x14ac:dyDescent="0.25">
      <c r="B1155" s="235">
        <v>45029</v>
      </c>
      <c r="C1155" s="195">
        <v>1</v>
      </c>
      <c r="E1155" s="238">
        <v>0.29166666666666669</v>
      </c>
      <c r="F1155" s="204">
        <v>0.29583333333333334</v>
      </c>
      <c r="G1155" s="193">
        <f>IFERROR(IF(E1155&gt;F1155,((F1155+E376B376+1)-(E1155+B1158))*24,HOUR(F1155-E1155)+MINUTE(F1155-E1155)/60),"")</f>
        <v>0.1</v>
      </c>
      <c r="H1155" s="230" t="s">
        <v>55</v>
      </c>
      <c r="I1155" s="230" t="s">
        <v>509</v>
      </c>
      <c r="J1155" s="231" t="s">
        <v>203</v>
      </c>
    </row>
    <row r="1156" spans="2:11" x14ac:dyDescent="0.25">
      <c r="B1156" s="235">
        <v>45029</v>
      </c>
      <c r="C1156" s="195">
        <v>1</v>
      </c>
      <c r="E1156" s="238">
        <v>0.30902777777777779</v>
      </c>
      <c r="F1156" s="204">
        <v>0.3430555555555555</v>
      </c>
      <c r="G1156" s="193">
        <f>IFERROR(IF(E1156&gt;F1156,((F1156+E376B376+1)-(E1156+B1159))*24,HOUR(F1156-E1156)+MINUTE(F1156-E1156)/60),"")</f>
        <v>0.81666666666666665</v>
      </c>
      <c r="H1156" s="230" t="s">
        <v>55</v>
      </c>
      <c r="I1156" s="230" t="s">
        <v>510</v>
      </c>
      <c r="J1156" s="231" t="s">
        <v>222</v>
      </c>
    </row>
    <row r="1157" spans="2:11" x14ac:dyDescent="0.25">
      <c r="B1157" s="235">
        <v>45029</v>
      </c>
      <c r="C1157" s="195">
        <v>1</v>
      </c>
      <c r="E1157" s="238">
        <v>0.3888888888888889</v>
      </c>
      <c r="F1157" s="204">
        <v>0.39930555555555558</v>
      </c>
      <c r="G1157" s="193">
        <f>IFERROR(IF(E1157&gt;F1157,((F1157+E376B376+1)-(E1157+B1160))*24,HOUR(F1157-E1157)+MINUTE(F1157-E1157)/60),"")</f>
        <v>0.25</v>
      </c>
      <c r="H1157" s="230" t="s">
        <v>55</v>
      </c>
      <c r="I1157" s="230" t="s">
        <v>509</v>
      </c>
      <c r="J1157" s="231" t="s">
        <v>203</v>
      </c>
    </row>
    <row r="1158" spans="2:11" x14ac:dyDescent="0.25">
      <c r="B1158" s="235">
        <v>45029</v>
      </c>
      <c r="C1158" s="195">
        <v>1</v>
      </c>
      <c r="E1158" s="238">
        <v>0.40972222222222227</v>
      </c>
      <c r="F1158" s="204">
        <v>0.53472222222222221</v>
      </c>
      <c r="G1158" s="193">
        <f>IFERROR(IF(E1158&gt;F1158,((F1158+E376B376+1)-(E1158+B1161))*24,HOUR(F1158-E1158)+MINUTE(F1158-E1158)/60),"")</f>
        <v>3</v>
      </c>
      <c r="H1158" s="230" t="s">
        <v>204</v>
      </c>
      <c r="I1158" s="230" t="s">
        <v>509</v>
      </c>
      <c r="J1158" s="231" t="s">
        <v>126</v>
      </c>
    </row>
    <row r="1159" spans="2:11" x14ac:dyDescent="0.25">
      <c r="B1159" s="235">
        <v>45029</v>
      </c>
      <c r="C1159" s="195">
        <v>1</v>
      </c>
      <c r="D1159" s="238">
        <v>0.55208333333333337</v>
      </c>
      <c r="E1159" s="238">
        <v>0.55208333333333337</v>
      </c>
      <c r="F1159" s="204">
        <v>0.56388888888888888</v>
      </c>
      <c r="G1159" s="193">
        <f>IFERROR(IF(E1159&gt;F1159,((F1159+E376B376+1)-(E1159+B1162))*24,HOUR(F1159-E1159)+MINUTE(F1159-E1159)/60),"")</f>
        <v>0.28333333333333333</v>
      </c>
      <c r="H1159" s="230" t="s">
        <v>55</v>
      </c>
      <c r="I1159" s="230" t="s">
        <v>510</v>
      </c>
      <c r="J1159" s="231" t="s">
        <v>518</v>
      </c>
    </row>
    <row r="1160" spans="2:11" x14ac:dyDescent="0.25">
      <c r="B1160" s="235">
        <v>45029</v>
      </c>
      <c r="C1160" s="195">
        <v>1</v>
      </c>
      <c r="E1160" s="238">
        <v>0.61944444444444446</v>
      </c>
      <c r="F1160" s="204">
        <v>0.625</v>
      </c>
      <c r="G1160" s="193">
        <f>IFERROR(IF(E1160&gt;F1160,((F1160+E376B376+1)-(E1160+B1163))*24,HOUR(F1160-E1160)+MINUTE(F1160-E1160)/60),"")</f>
        <v>0.13333333333333333</v>
      </c>
      <c r="H1160" s="230" t="s">
        <v>55</v>
      </c>
      <c r="I1160" s="230" t="s">
        <v>509</v>
      </c>
      <c r="J1160" s="231" t="s">
        <v>114</v>
      </c>
    </row>
    <row r="1161" spans="2:11" x14ac:dyDescent="0.25">
      <c r="B1161" s="235">
        <v>45029</v>
      </c>
      <c r="C1161" s="195">
        <v>2</v>
      </c>
      <c r="E1161" s="238">
        <v>0.625</v>
      </c>
      <c r="F1161" s="204">
        <v>0.63055555555555554</v>
      </c>
      <c r="G1161" s="193">
        <f>IFERROR(IF(E1161&gt;F1161,((F1161+E376B376+1)-(E1161+B1164))*24,HOUR(F1161-E1161)+MINUTE(F1161-E1161)/60),"")</f>
        <v>0.13333333333333333</v>
      </c>
      <c r="H1161" s="230" t="s">
        <v>55</v>
      </c>
      <c r="I1161" s="230" t="s">
        <v>509</v>
      </c>
      <c r="J1161" s="231" t="s">
        <v>114</v>
      </c>
    </row>
    <row r="1162" spans="2:11" x14ac:dyDescent="0.25">
      <c r="B1162" s="235">
        <v>45029</v>
      </c>
      <c r="C1162" s="195">
        <v>2</v>
      </c>
      <c r="E1162" s="238">
        <v>0.64930555555555558</v>
      </c>
      <c r="F1162" s="204">
        <v>0.66041666666666665</v>
      </c>
      <c r="G1162" s="193">
        <f>IFERROR(IF(E1162&gt;F1162,((F1162+E376B376+1)-(E1162+B1165))*24,HOUR(F1162-E1162)+MINUTE(F1162-E1162)/60),"")</f>
        <v>0.26666666666666666</v>
      </c>
      <c r="H1162" s="230" t="s">
        <v>55</v>
      </c>
      <c r="I1162" s="230" t="s">
        <v>509</v>
      </c>
      <c r="J1162" s="231" t="s">
        <v>203</v>
      </c>
    </row>
    <row r="1163" spans="2:11" x14ac:dyDescent="0.25">
      <c r="B1163" s="235">
        <v>45029</v>
      </c>
      <c r="C1163" s="195">
        <v>2</v>
      </c>
      <c r="E1163" s="238">
        <v>0.72013888888888899</v>
      </c>
      <c r="F1163" s="204">
        <v>0.73125000000000007</v>
      </c>
      <c r="G1163" s="193">
        <f>IFERROR(IF(E1163&gt;F1163,((F1163+E376B376+1)-(E1163+B1166))*24,HOUR(F1163-E1163)+MINUTE(F1163-E1163)/60),"")</f>
        <v>0.26666666666666666</v>
      </c>
      <c r="H1163" s="230" t="s">
        <v>55</v>
      </c>
      <c r="I1163" s="230" t="s">
        <v>509</v>
      </c>
      <c r="J1163" s="231" t="s">
        <v>203</v>
      </c>
    </row>
    <row r="1164" spans="2:11" x14ac:dyDescent="0.25">
      <c r="B1164" s="235">
        <v>45029</v>
      </c>
      <c r="C1164" s="195">
        <v>2</v>
      </c>
      <c r="E1164" s="238">
        <v>0.77083333333333337</v>
      </c>
      <c r="F1164" s="204">
        <v>0.78125</v>
      </c>
      <c r="G1164" s="193">
        <f>IFERROR(IF(E1164&gt;F1164,((F1164+E376B376+1)-(E1164+B1167))*24,HOUR(F1164-E1164)+MINUTE(F1164-E1164)/60),"")</f>
        <v>0.25</v>
      </c>
      <c r="H1164" s="230" t="s">
        <v>55</v>
      </c>
      <c r="I1164" s="230" t="s">
        <v>509</v>
      </c>
      <c r="J1164" s="231" t="s">
        <v>203</v>
      </c>
    </row>
    <row r="1165" spans="2:11" x14ac:dyDescent="0.25">
      <c r="B1165" s="235">
        <v>45029</v>
      </c>
      <c r="C1165" s="195">
        <v>2</v>
      </c>
      <c r="E1165" s="238">
        <v>0.78125</v>
      </c>
      <c r="F1165" s="204">
        <v>0.82291666666666663</v>
      </c>
      <c r="G1165" s="193">
        <f>IFERROR(IF(E1165&gt;F1165,((F1165+E376B376+1)-(E1165+B1168))*24,HOUR(F1165-E1165)+MINUTE(F1165-E1165)/60),"")</f>
        <v>1</v>
      </c>
      <c r="I1165" s="230" t="s">
        <v>513</v>
      </c>
      <c r="J1165" s="231" t="s">
        <v>78</v>
      </c>
    </row>
    <row r="1166" spans="2:11" x14ac:dyDescent="0.25">
      <c r="B1166" s="235">
        <v>45029</v>
      </c>
      <c r="C1166" s="195">
        <v>2</v>
      </c>
      <c r="E1166" s="238">
        <v>0.82291666666666663</v>
      </c>
      <c r="F1166" s="204">
        <v>0.85763888888888884</v>
      </c>
      <c r="G1166" s="193">
        <f>IFERROR(IF(E1166&gt;F1166,((F1166+E376B376+1)-(E1166+B1169))*24,HOUR(F1166-E1166)+MINUTE(F1166-E1166)/60),"")</f>
        <v>0.83333333333333337</v>
      </c>
      <c r="H1166" s="230" t="s">
        <v>55</v>
      </c>
      <c r="I1166" s="230" t="s">
        <v>509</v>
      </c>
      <c r="J1166" s="231" t="s">
        <v>114</v>
      </c>
      <c r="K1166" s="176" t="s">
        <v>1116</v>
      </c>
    </row>
    <row r="1167" spans="2:11" x14ac:dyDescent="0.25">
      <c r="B1167" s="235">
        <v>45029</v>
      </c>
      <c r="C1167" s="233">
        <v>2</v>
      </c>
      <c r="E1167" s="238">
        <v>0.92569444444444438</v>
      </c>
      <c r="F1167" s="204">
        <v>0.95138888888888884</v>
      </c>
      <c r="G1167" s="193">
        <f>IFERROR(IF(E1167&gt;F1167,((F1167+E376B376+1)-(E1167+B1170))*24,HOUR(F1167-E1167)+MINUTE(F1167-E1167)/60),"")</f>
        <v>0.6166666666666667</v>
      </c>
      <c r="H1167" s="230" t="s">
        <v>55</v>
      </c>
      <c r="I1167" s="230" t="s">
        <v>509</v>
      </c>
      <c r="J1167" s="231" t="s">
        <v>114</v>
      </c>
      <c r="K1167" s="176" t="s">
        <v>1116</v>
      </c>
    </row>
    <row r="1168" spans="2:11" x14ac:dyDescent="0.25">
      <c r="B1168" s="235">
        <v>45029</v>
      </c>
      <c r="C1168" s="195">
        <v>2</v>
      </c>
      <c r="E1168" s="238">
        <v>0.95138888888888884</v>
      </c>
      <c r="F1168" s="204">
        <v>0.95833333333333337</v>
      </c>
      <c r="G1168" s="193">
        <f>IFERROR(IF(E1168&gt;F1168,((F1168+E376B376+1)-(E1168+B1171))*24,HOUR(F1168-E1168)+MINUTE(F1168-E1168)/60),"")</f>
        <v>0.16666666666666666</v>
      </c>
      <c r="H1168" s="230" t="s">
        <v>55</v>
      </c>
      <c r="I1168" s="230" t="s">
        <v>509</v>
      </c>
      <c r="J1168" s="231" t="s">
        <v>598</v>
      </c>
      <c r="K1168" s="176" t="s">
        <v>1094</v>
      </c>
    </row>
    <row r="1169" spans="2:11" x14ac:dyDescent="0.25">
      <c r="B1169" s="235">
        <v>45029</v>
      </c>
      <c r="C1169" s="195">
        <v>3</v>
      </c>
      <c r="E1169" s="238">
        <v>0.97222222222222221</v>
      </c>
      <c r="F1169" s="204">
        <v>0.98263888888888884</v>
      </c>
      <c r="G1169" s="193">
        <f>IFERROR(IF(E1169&gt;F1169,((F1169+E376B376+1)-(E1169+B1172))*24,HOUR(F1169-E1169)+MINUTE(F1169-E1169)/60),"")</f>
        <v>0.25</v>
      </c>
      <c r="H1169" s="230" t="s">
        <v>55</v>
      </c>
      <c r="I1169" s="230" t="s">
        <v>511</v>
      </c>
      <c r="J1169" s="231" t="s">
        <v>203</v>
      </c>
      <c r="K1169" s="176" t="s">
        <v>1118</v>
      </c>
    </row>
    <row r="1170" spans="2:11" x14ac:dyDescent="0.25">
      <c r="B1170" s="235">
        <v>45029</v>
      </c>
      <c r="C1170" s="195">
        <v>3</v>
      </c>
      <c r="E1170" s="238">
        <v>4.8611111111111112E-2</v>
      </c>
      <c r="F1170" s="204">
        <v>5.9027777777777783E-2</v>
      </c>
      <c r="G1170" s="193">
        <f>IFERROR(IF(E1170&gt;F1170,((F1170+E376B376+1)-(E1170+B1173))*24,HOUR(F1170-E1170)+MINUTE(F1170-E1170)/60),"")</f>
        <v>0.25</v>
      </c>
      <c r="H1170" s="230" t="s">
        <v>55</v>
      </c>
      <c r="I1170" s="230" t="s">
        <v>511</v>
      </c>
      <c r="J1170" s="231" t="s">
        <v>203</v>
      </c>
      <c r="K1170" s="176" t="s">
        <v>1118</v>
      </c>
    </row>
    <row r="1171" spans="2:11" x14ac:dyDescent="0.25">
      <c r="B1171" s="235">
        <v>45029</v>
      </c>
      <c r="C1171" s="195">
        <v>3</v>
      </c>
      <c r="E1171" s="238">
        <v>6.9444444444444434E-2</v>
      </c>
      <c r="F1171" s="204">
        <v>7.9861111111111105E-2</v>
      </c>
      <c r="G1171" s="193">
        <f>IFERROR(IF(E1171&gt;F1171,((F1171+E376B376+1)-(E1171+B1174))*24,HOUR(F1171-E1171)+MINUTE(F1171-E1171)/60),"")</f>
        <v>0.25</v>
      </c>
      <c r="H1171" s="230" t="s">
        <v>55</v>
      </c>
      <c r="I1171" s="230" t="s">
        <v>511</v>
      </c>
      <c r="J1171" s="231" t="s">
        <v>203</v>
      </c>
      <c r="K1171" s="176" t="s">
        <v>1118</v>
      </c>
    </row>
    <row r="1172" spans="2:11" x14ac:dyDescent="0.25">
      <c r="B1172" s="235">
        <v>45029</v>
      </c>
      <c r="C1172" s="195">
        <v>3</v>
      </c>
      <c r="E1172" s="238">
        <v>0.27430555555555552</v>
      </c>
      <c r="F1172" s="204">
        <v>0.29166666666666669</v>
      </c>
      <c r="G1172" s="193">
        <f>IFERROR(IF(E1172&gt;F1172,((F1172+E376B376+1)-(E1172+B1175))*24,HOUR(F1172-E1172)+MINUTE(F1172-E1172)/60),"")</f>
        <v>0.41666666666666669</v>
      </c>
      <c r="I1172" s="230" t="s">
        <v>513</v>
      </c>
      <c r="J1172" s="230" t="s">
        <v>141</v>
      </c>
      <c r="K1172" s="176" t="s">
        <v>1119</v>
      </c>
    </row>
    <row r="1173" spans="2:11" x14ac:dyDescent="0.25">
      <c r="B1173" s="235">
        <v>45030</v>
      </c>
      <c r="C1173" s="195">
        <v>1</v>
      </c>
      <c r="E1173" s="238">
        <v>0.29166666666666669</v>
      </c>
      <c r="F1173" s="204">
        <v>0.625</v>
      </c>
      <c r="G1173" s="193">
        <f>IFERROR(IF(E1173&gt;F1173,((F1173+E376B376+1)-(E1173+B1176))*24,HOUR(F1173-E1173)+MINUTE(F1173-E1173)/60),"")</f>
        <v>8</v>
      </c>
      <c r="I1173" s="230" t="s">
        <v>513</v>
      </c>
      <c r="J1173" s="230" t="s">
        <v>141</v>
      </c>
      <c r="K1173" s="176" t="s">
        <v>1119</v>
      </c>
    </row>
    <row r="1174" spans="2:11" x14ac:dyDescent="0.25">
      <c r="B1174" s="235">
        <v>45030</v>
      </c>
      <c r="C1174" s="195">
        <v>2</v>
      </c>
      <c r="E1174" s="238">
        <v>0.625</v>
      </c>
      <c r="F1174" s="204">
        <v>0.65277777777777779</v>
      </c>
      <c r="G1174" s="193">
        <f>IFERROR(IF(E1174&gt;F1174,((F1174+E376B376+1)-(E1174+B1177))*24,HOUR(F1174-E1174)+MINUTE(F1174-E1174)/60),"")</f>
        <v>0.66666666666666663</v>
      </c>
      <c r="H1174" s="230" t="s">
        <v>55</v>
      </c>
      <c r="I1174" s="230" t="s">
        <v>509</v>
      </c>
      <c r="J1174" s="231" t="s">
        <v>211</v>
      </c>
      <c r="K1174" s="176" t="s">
        <v>1120</v>
      </c>
    </row>
    <row r="1175" spans="2:11" x14ac:dyDescent="0.25">
      <c r="B1175" s="235">
        <v>45030</v>
      </c>
      <c r="C1175" s="233">
        <v>2</v>
      </c>
      <c r="E1175" s="238">
        <v>0.66666666666666663</v>
      </c>
      <c r="F1175" s="204">
        <v>0.69097222222222221</v>
      </c>
      <c r="G1175" s="193">
        <f>IFERROR(IF(E1175&gt;F1175,((F1175+E376B376+1)-(E1175+B1178))*24,HOUR(F1175-E1175)+MINUTE(F1175-E1175)/60),"")</f>
        <v>0.58333333333333337</v>
      </c>
      <c r="H1175" s="230" t="s">
        <v>152</v>
      </c>
      <c r="I1175" s="230" t="s">
        <v>511</v>
      </c>
      <c r="J1175" s="231" t="s">
        <v>604</v>
      </c>
    </row>
    <row r="1176" spans="2:11" x14ac:dyDescent="0.25">
      <c r="B1176" s="235">
        <v>45030</v>
      </c>
      <c r="C1176" s="233">
        <v>2</v>
      </c>
      <c r="E1176" s="238">
        <v>0.69097222222222221</v>
      </c>
      <c r="F1176" s="204">
        <v>0.70138888888888884</v>
      </c>
      <c r="G1176" s="193">
        <f>IFERROR(IF(E1176&gt;F1176,((F1176+E376B376+1)-(E1176+B1179))*24,HOUR(F1176-E1176)+MINUTE(F1176-E1176)/60),"")</f>
        <v>0.25</v>
      </c>
      <c r="H1176" s="230" t="s">
        <v>152</v>
      </c>
      <c r="I1176" s="230" t="s">
        <v>511</v>
      </c>
      <c r="J1176" s="231" t="s">
        <v>604</v>
      </c>
    </row>
    <row r="1177" spans="2:11" x14ac:dyDescent="0.25">
      <c r="B1177" s="235">
        <v>45030</v>
      </c>
      <c r="C1177" s="233">
        <v>2</v>
      </c>
      <c r="E1177" s="238">
        <v>0.70694444444444438</v>
      </c>
      <c r="F1177" s="204">
        <v>0.71736111111111101</v>
      </c>
      <c r="G1177" s="193">
        <f>IFERROR(IF(E1177&gt;F1177,((F1177+E376B376+1)-(E1177+B1180))*24,HOUR(F1177-E1177)+MINUTE(F1177-E1177)/60),"")</f>
        <v>0.25</v>
      </c>
      <c r="H1177" s="230" t="s">
        <v>55</v>
      </c>
      <c r="I1177" s="230" t="s">
        <v>511</v>
      </c>
      <c r="J1177" s="231" t="s">
        <v>203</v>
      </c>
    </row>
    <row r="1178" spans="2:11" x14ac:dyDescent="0.25">
      <c r="B1178" s="235">
        <v>45030</v>
      </c>
      <c r="C1178" s="233">
        <v>2</v>
      </c>
      <c r="E1178" s="238">
        <v>0.75694444444444453</v>
      </c>
      <c r="F1178" s="204">
        <v>0.76736111111111116</v>
      </c>
      <c r="G1178" s="193">
        <f>IFERROR(IF(E1178&gt;F1178,((F1178+E376B376+1)-(E1178+B1181))*24,HOUR(F1178-E1178)+MINUTE(F1178-E1178)/60),"")</f>
        <v>0.25</v>
      </c>
      <c r="H1178" s="230" t="s">
        <v>55</v>
      </c>
      <c r="I1178" s="230" t="s">
        <v>511</v>
      </c>
      <c r="J1178" s="231" t="s">
        <v>203</v>
      </c>
    </row>
    <row r="1179" spans="2:11" x14ac:dyDescent="0.25">
      <c r="B1179" s="235">
        <v>45030</v>
      </c>
      <c r="C1179" s="233">
        <v>2</v>
      </c>
      <c r="E1179" s="238">
        <v>0.77777777777777779</v>
      </c>
      <c r="F1179" s="204">
        <v>0.83124999999999993</v>
      </c>
      <c r="G1179" s="193">
        <f>IFERROR(IF(E1179&gt;F1179,((F1179+E376B376+1)-(E1179+B1182))*24,HOUR(F1179-E1179)+MINUTE(F1179-E1179)/60),"")</f>
        <v>1.2833333333333332</v>
      </c>
      <c r="I1179" s="230" t="s">
        <v>513</v>
      </c>
      <c r="J1179" s="231" t="s">
        <v>78</v>
      </c>
    </row>
    <row r="1180" spans="2:11" x14ac:dyDescent="0.25">
      <c r="B1180" s="235">
        <v>45030</v>
      </c>
      <c r="C1180" s="233">
        <v>2</v>
      </c>
      <c r="E1180" s="238">
        <v>0.86111111111111116</v>
      </c>
      <c r="F1180" s="204">
        <v>0.87152777777777779</v>
      </c>
      <c r="G1180" s="193">
        <f>IFERROR(IF(E1180&gt;F1180,((F1180+E376B376+1)-(E1180+B1183))*24,HOUR(F1180-E1180)+MINUTE(F1180-E1180)/60),"")</f>
        <v>0.25</v>
      </c>
      <c r="H1180" s="230" t="s">
        <v>55</v>
      </c>
      <c r="I1180" s="230" t="s">
        <v>511</v>
      </c>
      <c r="J1180" s="231" t="s">
        <v>203</v>
      </c>
    </row>
    <row r="1181" spans="2:11" x14ac:dyDescent="0.25">
      <c r="B1181" s="235">
        <v>45030</v>
      </c>
      <c r="C1181" s="233">
        <v>2</v>
      </c>
      <c r="E1181" s="238">
        <v>0.90277777777777779</v>
      </c>
      <c r="F1181" s="204">
        <v>0.91319444444444453</v>
      </c>
      <c r="G1181" s="193">
        <f>IFERROR(IF(E1181&gt;F1181,((F1181+E376B376+1)-(E1181+B1184))*24,HOUR(F1181-E1181)+MINUTE(F1181-E1181)/60),"")</f>
        <v>0.25</v>
      </c>
      <c r="H1181" s="230" t="s">
        <v>55</v>
      </c>
      <c r="I1181" s="230" t="s">
        <v>511</v>
      </c>
      <c r="J1181" s="231" t="s">
        <v>203</v>
      </c>
    </row>
    <row r="1182" spans="2:11" x14ac:dyDescent="0.25">
      <c r="B1182" s="235">
        <v>45030</v>
      </c>
      <c r="C1182" s="233">
        <v>2</v>
      </c>
      <c r="E1182" s="238">
        <v>0.94097222222222221</v>
      </c>
      <c r="F1182" s="204">
        <v>0.95138888888888884</v>
      </c>
      <c r="G1182" s="193">
        <f>IFERROR(IF(E1182&gt;F1182,((F1182+E376B376+1)-(E1182+B1185))*24,HOUR(F1182-E1182)+MINUTE(F1182-E1182)/60),"")</f>
        <v>0.25</v>
      </c>
      <c r="H1182" s="230" t="s">
        <v>55</v>
      </c>
      <c r="I1182" s="230" t="s">
        <v>511</v>
      </c>
      <c r="J1182" s="231" t="s">
        <v>203</v>
      </c>
    </row>
    <row r="1183" spans="2:11" x14ac:dyDescent="0.25">
      <c r="B1183" s="235">
        <v>45030</v>
      </c>
      <c r="C1183" s="233">
        <v>2</v>
      </c>
      <c r="E1183" s="238">
        <v>0.95138888888888884</v>
      </c>
      <c r="F1183" s="204">
        <v>0.95833333333333337</v>
      </c>
      <c r="G1183" s="193">
        <f>IFERROR(IF(E1183&gt;F1183,((F1183+E376B376+1)-(E1183+B1186))*24,HOUR(F1183-E1183)+MINUTE(F1183-E1183)/60),"")</f>
        <v>0.16666666666666666</v>
      </c>
      <c r="H1183" s="230" t="s">
        <v>55</v>
      </c>
      <c r="I1183" s="230" t="s">
        <v>509</v>
      </c>
      <c r="J1183" s="231" t="s">
        <v>114</v>
      </c>
    </row>
    <row r="1184" spans="2:11" x14ac:dyDescent="0.25">
      <c r="B1184" s="235">
        <v>45030</v>
      </c>
      <c r="C1184" s="195">
        <v>3</v>
      </c>
      <c r="E1184" s="238">
        <v>0.95833333333333337</v>
      </c>
      <c r="F1184" s="204">
        <v>0.96180555555555547</v>
      </c>
      <c r="G1184" s="193">
        <f>IFERROR(IF(E1184&gt;F1184,((F1184+E376B376+1)-(E1184+B1187))*24,HOUR(F1184-E1184)+MINUTE(F1184-E1184)/60),"")</f>
        <v>8.3333333333333329E-2</v>
      </c>
      <c r="H1184" s="230" t="s">
        <v>55</v>
      </c>
      <c r="I1184" s="230" t="s">
        <v>509</v>
      </c>
      <c r="J1184" s="231" t="s">
        <v>114</v>
      </c>
    </row>
    <row r="1185" spans="2:11" x14ac:dyDescent="0.25">
      <c r="B1185" s="235">
        <v>45030</v>
      </c>
      <c r="C1185" s="195">
        <v>3</v>
      </c>
      <c r="E1185" s="238">
        <v>2.4305555555555556E-2</v>
      </c>
      <c r="F1185" s="204">
        <v>4.8611111111111112E-2</v>
      </c>
      <c r="G1185" s="193">
        <f>IFERROR(IF(E1185&gt;F1185,((F1185+E376B376+1)-(E1185+B1188))*24,HOUR(F1185-E1185)+MINUTE(F1185-E1185)/60),"")</f>
        <v>0.58333333333333337</v>
      </c>
      <c r="H1185" s="230" t="s">
        <v>55</v>
      </c>
      <c r="I1185" s="230" t="s">
        <v>509</v>
      </c>
      <c r="J1185" s="231" t="s">
        <v>211</v>
      </c>
      <c r="K1185" s="176" t="s">
        <v>1068</v>
      </c>
    </row>
    <row r="1186" spans="2:11" x14ac:dyDescent="0.25">
      <c r="B1186" s="235">
        <v>45030</v>
      </c>
      <c r="C1186" s="233">
        <v>3</v>
      </c>
      <c r="E1186" s="238">
        <v>0.11805555555555557</v>
      </c>
      <c r="F1186" s="204">
        <v>0.12847222222222224</v>
      </c>
      <c r="G1186" s="193">
        <f>IFERROR(IF(E1186&gt;F1186,((F1186+E376B376+1)-(E1186+B1189))*24,HOUR(F1186-E1186)+MINUTE(F1186-E1186)/60),"")</f>
        <v>0.25</v>
      </c>
      <c r="H1186" s="230" t="s">
        <v>55</v>
      </c>
      <c r="I1186" s="230" t="s">
        <v>511</v>
      </c>
      <c r="J1186" s="231" t="s">
        <v>203</v>
      </c>
    </row>
    <row r="1187" spans="2:11" x14ac:dyDescent="0.25">
      <c r="B1187" s="235">
        <v>45030</v>
      </c>
      <c r="C1187" s="233">
        <v>3</v>
      </c>
      <c r="E1187" s="238">
        <v>0.28402777777777777</v>
      </c>
      <c r="F1187" s="204">
        <v>0.2902777777777778</v>
      </c>
      <c r="G1187" s="193">
        <f>IFERROR(IF(E1187&gt;F1187,((F1187+E376B376+1)-(E1187+B1190))*24,HOUR(F1187-E1187)+MINUTE(F1187-E1187)/60),"")</f>
        <v>0.15</v>
      </c>
      <c r="H1187" s="230" t="s">
        <v>55</v>
      </c>
      <c r="I1187" s="230" t="s">
        <v>509</v>
      </c>
      <c r="J1187" s="231" t="s">
        <v>114</v>
      </c>
    </row>
    <row r="1188" spans="2:11" x14ac:dyDescent="0.25">
      <c r="B1188" s="235">
        <v>45031</v>
      </c>
      <c r="C1188" s="195">
        <v>3</v>
      </c>
      <c r="E1188" s="238">
        <v>0.2902777777777778</v>
      </c>
      <c r="F1188" s="204">
        <v>0.29166666666666669</v>
      </c>
      <c r="G1188" s="193">
        <f>IFERROR(IF(E1188&gt;F1188,((F1188+E376B376+1)-(E1188+B1191))*24,HOUR(F1188-E1188)+MINUTE(F1188-E1188)/60),"")</f>
        <v>3.3333333333333333E-2</v>
      </c>
      <c r="H1188" s="230" t="s">
        <v>55</v>
      </c>
      <c r="I1188" s="230" t="s">
        <v>509</v>
      </c>
      <c r="J1188" s="231" t="s">
        <v>114</v>
      </c>
    </row>
    <row r="1189" spans="2:11" x14ac:dyDescent="0.25">
      <c r="B1189" s="235">
        <v>45031</v>
      </c>
      <c r="C1189" s="233">
        <v>1</v>
      </c>
      <c r="D1189" s="233"/>
      <c r="E1189" s="238">
        <v>0.29166666666666669</v>
      </c>
      <c r="F1189" s="204">
        <v>0.29444444444444445</v>
      </c>
      <c r="G1189" s="193">
        <f>IFERROR(IF(E1189&gt;F1189,((F1189+E376B376+1)-(E1189+B1192))*24,HOUR(F1189-E1189)+MINUTE(F1189-E1189)/60),"")</f>
        <v>6.6666666666666666E-2</v>
      </c>
      <c r="H1189" s="230" t="s">
        <v>147</v>
      </c>
      <c r="I1189" s="339" t="s">
        <v>511</v>
      </c>
      <c r="J1189" s="231" t="s">
        <v>758</v>
      </c>
      <c r="K1189" s="279" t="s">
        <v>1121</v>
      </c>
    </row>
    <row r="1190" spans="2:11" x14ac:dyDescent="0.25">
      <c r="B1190" s="235">
        <v>45031</v>
      </c>
      <c r="C1190" s="233">
        <v>1</v>
      </c>
      <c r="E1190" s="238">
        <v>0.37986111111111115</v>
      </c>
      <c r="F1190" s="204">
        <v>0.39374999999999999</v>
      </c>
      <c r="G1190" s="193">
        <f>IFERROR(IF(E1190&gt;F1190,((F1190+E376B376+1)-(E1190+B1193))*24,HOUR(F1190-E1190)+MINUTE(F1190-E1190)/60),"")</f>
        <v>0.33333333333333331</v>
      </c>
      <c r="H1190" s="230" t="s">
        <v>195</v>
      </c>
      <c r="I1190" s="230" t="s">
        <v>509</v>
      </c>
      <c r="J1190" s="231" t="s">
        <v>206</v>
      </c>
    </row>
    <row r="1191" spans="2:11" x14ac:dyDescent="0.25">
      <c r="B1191" s="235">
        <v>45031</v>
      </c>
      <c r="C1191" s="233">
        <v>1</v>
      </c>
      <c r="E1191" s="238">
        <v>0.39374999999999999</v>
      </c>
      <c r="F1191" s="204">
        <v>0.40069444444444446</v>
      </c>
      <c r="G1191" s="193">
        <f>IFERROR(IF(E1191&gt;F1191,((F1191+E376B376+1)-(E1191+B1194))*24,HOUR(F1191-E1191)+MINUTE(F1191-E1191)/60),"")</f>
        <v>0.16666666666666666</v>
      </c>
      <c r="H1191" s="230" t="s">
        <v>1122</v>
      </c>
      <c r="I1191" s="230" t="s">
        <v>510</v>
      </c>
      <c r="J1191" s="231" t="s">
        <v>222</v>
      </c>
    </row>
    <row r="1192" spans="2:11" x14ac:dyDescent="0.25">
      <c r="B1192" s="235">
        <v>45031</v>
      </c>
      <c r="C1192" s="233">
        <v>1</v>
      </c>
      <c r="E1192" s="238">
        <v>0.42708333333333331</v>
      </c>
      <c r="F1192" s="204">
        <v>0.4375</v>
      </c>
      <c r="G1192" s="193">
        <f>IFERROR(IF(E1192&gt;F1192,((F1192+E376B376+1)-(E1192+B1195))*24,HOUR(F1192-E1192)+MINUTE(F1192-E1192)/60),"")</f>
        <v>0.25</v>
      </c>
      <c r="H1192" s="230" t="s">
        <v>55</v>
      </c>
      <c r="I1192" s="339" t="s">
        <v>511</v>
      </c>
      <c r="J1192" s="231" t="s">
        <v>203</v>
      </c>
      <c r="K1192" s="279" t="s">
        <v>1027</v>
      </c>
    </row>
    <row r="1193" spans="2:11" x14ac:dyDescent="0.25">
      <c r="B1193" s="235">
        <v>45031</v>
      </c>
      <c r="C1193" s="233">
        <v>1</v>
      </c>
      <c r="E1193" s="238">
        <v>0.61111111111111105</v>
      </c>
      <c r="F1193" s="204">
        <v>0.625</v>
      </c>
      <c r="G1193" s="193">
        <f>IFERROR(IF(E1193&gt;F1193,((F1193+E376B376+1)-(E1193+B1196))*24,HOUR(F1193-E1193)+MINUTE(F1193-E1193)/60),"")</f>
        <v>0.33333333333333331</v>
      </c>
      <c r="H1193" s="230" t="s">
        <v>55</v>
      </c>
      <c r="I1193" s="230" t="s">
        <v>509</v>
      </c>
      <c r="J1193" s="231" t="s">
        <v>114</v>
      </c>
    </row>
    <row r="1194" spans="2:11" x14ac:dyDescent="0.25">
      <c r="B1194" s="235">
        <v>45031</v>
      </c>
      <c r="C1194" s="233">
        <v>2</v>
      </c>
      <c r="E1194" s="238">
        <v>0.625</v>
      </c>
      <c r="F1194" s="204">
        <v>0.63124999999999998</v>
      </c>
      <c r="G1194" s="193">
        <f>IFERROR(IF(E1194&gt;F1194,((F1194+E376B376+1)-(E1194+B1197))*24,HOUR(F1194-E1194)+MINUTE(F1194-E1194)/60),"")</f>
        <v>0.15</v>
      </c>
      <c r="H1194" s="230" t="s">
        <v>55</v>
      </c>
      <c r="I1194" s="230" t="s">
        <v>509</v>
      </c>
      <c r="J1194" s="231" t="s">
        <v>114</v>
      </c>
    </row>
    <row r="1195" spans="2:11" x14ac:dyDescent="0.25">
      <c r="B1195" s="235">
        <v>45031</v>
      </c>
      <c r="C1195" s="233">
        <v>2</v>
      </c>
      <c r="E1195" s="238">
        <v>0.6333333333333333</v>
      </c>
      <c r="F1195" s="204">
        <v>0.66666666666666663</v>
      </c>
      <c r="G1195" s="193">
        <f>IFERROR(IF(E1195&gt;F1195,((F1195+E376B376+1)-(E1195+B1198))*24,HOUR(F1195-E1195)+MINUTE(F1195-E1195)/60),"")</f>
        <v>0.8</v>
      </c>
      <c r="H1195" s="230" t="s">
        <v>152</v>
      </c>
      <c r="I1195" s="230" t="s">
        <v>510</v>
      </c>
      <c r="J1195" s="231" t="s">
        <v>517</v>
      </c>
      <c r="K1195" s="176" t="s">
        <v>1129</v>
      </c>
    </row>
    <row r="1196" spans="2:11" x14ac:dyDescent="0.25">
      <c r="B1196" s="235">
        <v>45031</v>
      </c>
      <c r="C1196" s="233">
        <v>2</v>
      </c>
      <c r="E1196" s="238">
        <v>0.66666666666666663</v>
      </c>
      <c r="F1196" s="204">
        <v>0.69791666666666663</v>
      </c>
      <c r="G1196" s="193">
        <f>IFERROR(IF(E1196&gt;F1196,((F1196+E376B376+1)-(E1196+B1199))*24,HOUR(F1196-E1196)+MINUTE(F1196-E1196)/60),"")</f>
        <v>0.75</v>
      </c>
      <c r="H1196" s="230" t="s">
        <v>55</v>
      </c>
      <c r="I1196" s="230" t="s">
        <v>509</v>
      </c>
      <c r="J1196" s="231" t="s">
        <v>211</v>
      </c>
    </row>
    <row r="1197" spans="2:11" x14ac:dyDescent="0.25">
      <c r="B1197" s="235">
        <v>45031</v>
      </c>
      <c r="C1197" s="233">
        <v>2</v>
      </c>
      <c r="E1197" s="238">
        <v>0.77638888888888891</v>
      </c>
      <c r="F1197" s="204">
        <v>0.82777777777777783</v>
      </c>
      <c r="G1197" s="193">
        <f>IFERROR(IF(E1197&gt;F1197,((F1197+E376B376+1)-(E1197+B1200))*24,HOUR(F1197-E1197)+MINUTE(F1197-E1197)/60),"")</f>
        <v>1.2333333333333334</v>
      </c>
      <c r="I1197" s="230" t="s">
        <v>513</v>
      </c>
      <c r="J1197" s="231" t="s">
        <v>1110</v>
      </c>
    </row>
    <row r="1198" spans="2:11" x14ac:dyDescent="0.25">
      <c r="B1198" s="235">
        <v>45031</v>
      </c>
      <c r="C1198" s="233">
        <v>2</v>
      </c>
      <c r="E1198" s="238">
        <v>0.83333333333333337</v>
      </c>
      <c r="F1198" s="204">
        <v>0.84375</v>
      </c>
      <c r="G1198" s="193">
        <f>IFERROR(IF(E1198&gt;F1198,((F1198+E376B376+1)-(E1198+B1201))*24,HOUR(F1198-E1198)+MINUTE(F1198-E1198)/60),"")</f>
        <v>0.25</v>
      </c>
      <c r="H1198" s="230" t="s">
        <v>55</v>
      </c>
      <c r="I1198" s="230" t="s">
        <v>511</v>
      </c>
      <c r="J1198" s="231" t="s">
        <v>203</v>
      </c>
    </row>
    <row r="1199" spans="2:11" x14ac:dyDescent="0.25">
      <c r="B1199" s="235">
        <v>45031</v>
      </c>
      <c r="C1199" s="233">
        <v>2</v>
      </c>
      <c r="E1199" s="238">
        <v>0.875</v>
      </c>
      <c r="F1199" s="204">
        <v>0.88541666666666663</v>
      </c>
      <c r="G1199" s="193">
        <f>IFERROR(IF(E1199&gt;F1199,((F1199+E376B376+1)-(E1199+B1202))*24,HOUR(F1199-E1199)+MINUTE(F1199-E1199)/60),"")</f>
        <v>0.25</v>
      </c>
      <c r="H1199" s="230" t="s">
        <v>55</v>
      </c>
      <c r="I1199" s="230" t="s">
        <v>511</v>
      </c>
      <c r="J1199" s="231" t="s">
        <v>203</v>
      </c>
    </row>
    <row r="1200" spans="2:11" x14ac:dyDescent="0.25">
      <c r="B1200" s="235">
        <v>45031</v>
      </c>
      <c r="C1200" s="233">
        <v>2</v>
      </c>
      <c r="E1200" s="238">
        <v>0.94236111111111109</v>
      </c>
      <c r="F1200" s="204">
        <v>0.95486111111111116</v>
      </c>
      <c r="G1200" s="193">
        <f>IFERROR(IF(E1200&gt;F1200,((F1200+E376B376+1)-(E1200+B1203))*24,HOUR(F1200-E1200)+MINUTE(F1200-E1200)/60),"")</f>
        <v>0.3</v>
      </c>
      <c r="H1200" s="230" t="s">
        <v>55</v>
      </c>
      <c r="I1200" s="230" t="s">
        <v>511</v>
      </c>
      <c r="J1200" s="231" t="s">
        <v>203</v>
      </c>
    </row>
    <row r="1201" spans="2:11" x14ac:dyDescent="0.25">
      <c r="B1201" s="235">
        <v>45031</v>
      </c>
      <c r="C1201" s="195">
        <v>3</v>
      </c>
      <c r="E1201" s="238">
        <v>0.96527777777777779</v>
      </c>
      <c r="F1201" s="280">
        <v>5.2083333333333336E-2</v>
      </c>
      <c r="G1201" s="193">
        <v>2.06</v>
      </c>
      <c r="H1201" s="230" t="s">
        <v>152</v>
      </c>
      <c r="I1201" s="230" t="s">
        <v>510</v>
      </c>
      <c r="J1201" s="231" t="s">
        <v>183</v>
      </c>
      <c r="K1201" s="176" t="s">
        <v>1129</v>
      </c>
    </row>
    <row r="1202" spans="2:11" x14ac:dyDescent="0.25">
      <c r="B1202" s="235">
        <v>45031</v>
      </c>
      <c r="C1202" s="195">
        <v>3</v>
      </c>
      <c r="E1202" s="238">
        <v>0.28472222222222221</v>
      </c>
      <c r="F1202" s="204">
        <v>0.29166666666666669</v>
      </c>
      <c r="G1202" s="193">
        <f>IFERROR(IF(E1202&gt;F1202,((F1202+E376B376+1)-(E1202+B1205))*24,HOUR(F1202-E1202)+MINUTE(F1202-E1202)/60),"")</f>
        <v>0.16666666666666666</v>
      </c>
      <c r="H1202" s="230" t="s">
        <v>55</v>
      </c>
      <c r="I1202" s="230" t="s">
        <v>509</v>
      </c>
      <c r="J1202" s="231" t="s">
        <v>114</v>
      </c>
    </row>
    <row r="1203" spans="2:11" x14ac:dyDescent="0.25">
      <c r="B1203" s="235">
        <v>45032</v>
      </c>
      <c r="C1203" s="233">
        <v>1</v>
      </c>
      <c r="E1203" s="238">
        <v>0.29166666666666669</v>
      </c>
      <c r="F1203" s="204">
        <v>0.30277777777777776</v>
      </c>
      <c r="G1203" s="193">
        <f>IFERROR(IF(E1203&gt;F1203,((F1203+E376B376+1)-(E1203+B1206))*24,HOUR(F1203-E1203)+MINUTE(F1203-E1203)/60),"")</f>
        <v>0.26666666666666666</v>
      </c>
      <c r="H1203" s="230" t="s">
        <v>55</v>
      </c>
      <c r="I1203" s="230" t="s">
        <v>509</v>
      </c>
      <c r="J1203" s="231" t="s">
        <v>114</v>
      </c>
    </row>
    <row r="1204" spans="2:11" x14ac:dyDescent="0.25">
      <c r="B1204" s="235">
        <v>45032</v>
      </c>
      <c r="C1204" s="233">
        <v>1</v>
      </c>
      <c r="E1204" s="238">
        <v>0.34722222222222227</v>
      </c>
      <c r="F1204" s="204">
        <v>0.3576388888888889</v>
      </c>
      <c r="G1204" s="193">
        <f>IFERROR(IF(E1204&gt;F1204,((F1204+E376B376+1)-(E1204+B1207))*24,HOUR(F1204-E1204)+MINUTE(F1204-E1204)/60),"")</f>
        <v>0.25</v>
      </c>
      <c r="H1204" s="230" t="s">
        <v>55</v>
      </c>
      <c r="I1204" s="339" t="s">
        <v>511</v>
      </c>
      <c r="J1204" s="231" t="s">
        <v>203</v>
      </c>
      <c r="K1204" s="279" t="s">
        <v>1027</v>
      </c>
    </row>
    <row r="1205" spans="2:11" s="233" customFormat="1" x14ac:dyDescent="0.25">
      <c r="B1205" s="235">
        <v>45032</v>
      </c>
      <c r="C1205" s="233">
        <v>1</v>
      </c>
      <c r="E1205" s="238">
        <v>0.3972222222222222</v>
      </c>
      <c r="F1205" s="204">
        <v>0.40763888888888888</v>
      </c>
      <c r="G1205" s="193">
        <f>IFERROR(IF(E1205&gt;F1205,((F1205+E376B376+1)-(E1205+B1208))*24,HOUR(F1205-E1205)+MINUTE(F1205-E1205)/60),"")</f>
        <v>0.25</v>
      </c>
      <c r="H1205" s="230" t="s">
        <v>55</v>
      </c>
      <c r="I1205" s="339" t="s">
        <v>511</v>
      </c>
      <c r="J1205" s="231" t="s">
        <v>203</v>
      </c>
      <c r="K1205" s="176"/>
    </row>
    <row r="1206" spans="2:11" s="233" customFormat="1" x14ac:dyDescent="0.25">
      <c r="B1206" s="235">
        <v>45032</v>
      </c>
      <c r="C1206" s="233">
        <v>1</v>
      </c>
      <c r="E1206" s="238">
        <v>0.44097222222222227</v>
      </c>
      <c r="F1206" s="204">
        <v>0.4513888888888889</v>
      </c>
      <c r="G1206" s="193">
        <f>IFERROR(IF(E1206&gt;F1206,((F1206+E376B376+1)-(E1206+B1209))*24,HOUR(F1206-E1206)+MINUTE(F1206-E1206)/60),"")</f>
        <v>0.25</v>
      </c>
      <c r="H1206" s="230" t="s">
        <v>1128</v>
      </c>
      <c r="I1206" s="230" t="s">
        <v>510</v>
      </c>
      <c r="J1206" s="231" t="s">
        <v>183</v>
      </c>
      <c r="K1206" s="176" t="s">
        <v>1130</v>
      </c>
    </row>
    <row r="1207" spans="2:11" s="233" customFormat="1" x14ac:dyDescent="0.25">
      <c r="B1207" s="235">
        <v>45032</v>
      </c>
      <c r="C1207" s="233">
        <v>1</v>
      </c>
      <c r="E1207" s="238">
        <v>0.49305555555555558</v>
      </c>
      <c r="F1207" s="204">
        <v>0.50347222222222221</v>
      </c>
      <c r="G1207" s="193">
        <f>IFERROR(IF(E1207&gt;F1207,((F1207+E376B376+1)-(E1207+B1210))*24,HOUR(F1207-E1207)+MINUTE(F1207-E1207)/60),"")</f>
        <v>0.25</v>
      </c>
      <c r="H1207" s="230" t="s">
        <v>55</v>
      </c>
      <c r="I1207" s="339" t="s">
        <v>511</v>
      </c>
      <c r="J1207" s="231" t="s">
        <v>203</v>
      </c>
      <c r="K1207" s="279" t="s">
        <v>1027</v>
      </c>
    </row>
    <row r="1208" spans="2:11" x14ac:dyDescent="0.25">
      <c r="B1208" s="235">
        <v>45032</v>
      </c>
      <c r="C1208" s="233">
        <v>1</v>
      </c>
      <c r="E1208" s="238">
        <v>0.53055555555555556</v>
      </c>
      <c r="F1208" s="204">
        <v>0.5444444444444444</v>
      </c>
      <c r="G1208" s="193">
        <f>IFERROR(IF(E1208&gt;F1208,((F1208+E376B376+1)-(E1208+B1211))*24,HOUR(F1208-E1208)+MINUTE(F1208-E1208)/60),"")</f>
        <v>0.33333333333333331</v>
      </c>
      <c r="H1208" s="230" t="s">
        <v>55</v>
      </c>
      <c r="I1208" s="230" t="s">
        <v>509</v>
      </c>
      <c r="J1208" s="231" t="s">
        <v>211</v>
      </c>
    </row>
    <row r="1209" spans="2:11" x14ac:dyDescent="0.25">
      <c r="B1209" s="235">
        <v>45032</v>
      </c>
      <c r="C1209" s="233">
        <v>1</v>
      </c>
      <c r="E1209" s="238">
        <v>0.60555555555555551</v>
      </c>
      <c r="F1209" s="204">
        <v>0.625</v>
      </c>
      <c r="G1209" s="193">
        <f>IFERROR(IF(E1209&gt;F1209,((F1209+E376B376+1)-(E1209+B1212))*24,HOUR(F1209-E1209)+MINUTE(F1209-E1209)/60),"")</f>
        <v>0.46666666666666667</v>
      </c>
      <c r="H1209" s="230" t="s">
        <v>55</v>
      </c>
      <c r="I1209" s="230" t="s">
        <v>509</v>
      </c>
      <c r="J1209" s="231" t="s">
        <v>114</v>
      </c>
    </row>
    <row r="1210" spans="2:11" x14ac:dyDescent="0.25">
      <c r="B1210" s="235">
        <v>45032</v>
      </c>
      <c r="C1210" s="195">
        <v>2</v>
      </c>
      <c r="E1210" s="238">
        <v>0.625</v>
      </c>
      <c r="F1210" s="204">
        <v>0.66319444444444442</v>
      </c>
      <c r="G1210" s="193">
        <f>IFERROR(IF(E1210&gt;F1210,((F1210+E376B376+1)-(E1210+B1213))*24,HOUR(F1210-E1210)+MINUTE(F1210-E1210)/60),"")</f>
        <v>0.91666666666666663</v>
      </c>
      <c r="H1210" s="230" t="s">
        <v>55</v>
      </c>
      <c r="I1210" s="230" t="s">
        <v>509</v>
      </c>
      <c r="J1210" s="231" t="s">
        <v>114</v>
      </c>
    </row>
    <row r="1211" spans="2:11" x14ac:dyDescent="0.25">
      <c r="B1211" s="235">
        <v>45032</v>
      </c>
      <c r="C1211" s="233">
        <v>2</v>
      </c>
      <c r="E1211" s="238">
        <v>0.77777777777777779</v>
      </c>
      <c r="F1211" s="204">
        <v>0.81944444444444453</v>
      </c>
      <c r="G1211" s="193">
        <f>IFERROR(IF(E1211&gt;F1211,((F1211+E376B376+1)-(E1211+B1214))*24,HOUR(F1211-E1211)+MINUTE(F1211-E1211)/60),"")</f>
        <v>1</v>
      </c>
      <c r="I1211" s="230" t="s">
        <v>513</v>
      </c>
      <c r="J1211" s="231" t="s">
        <v>1110</v>
      </c>
    </row>
    <row r="1212" spans="2:11" x14ac:dyDescent="0.25">
      <c r="B1212" s="235">
        <v>45032</v>
      </c>
      <c r="C1212" s="233">
        <v>2</v>
      </c>
      <c r="E1212" s="238">
        <v>0.81944444444444453</v>
      </c>
      <c r="F1212" s="204">
        <v>0.875</v>
      </c>
      <c r="G1212" s="193">
        <f>IFERROR(IF(E1212&gt;F1212,((F1212+E376B376+1)-(E1212+B1215))*24,HOUR(F1212-E1212)+MINUTE(F1212-E1212)/60),"")</f>
        <v>1.3333333333333333</v>
      </c>
      <c r="H1212" s="230" t="s">
        <v>55</v>
      </c>
      <c r="I1212" s="230" t="s">
        <v>509</v>
      </c>
      <c r="J1212" s="231" t="s">
        <v>114</v>
      </c>
      <c r="K1212" s="176" t="s">
        <v>356</v>
      </c>
    </row>
    <row r="1213" spans="2:11" x14ac:dyDescent="0.25">
      <c r="B1213" s="235">
        <v>45032</v>
      </c>
      <c r="C1213" s="195">
        <v>2</v>
      </c>
      <c r="E1213" s="238">
        <v>0.93055555555555547</v>
      </c>
      <c r="F1213" s="204">
        <v>0.95138888888888884</v>
      </c>
      <c r="G1213" s="193">
        <f>IFERROR(IF(E1213&gt;F1213,((F1213+E376B376+1)-(E1213+B1216))*24,HOUR(F1213-E1213)+MINUTE(F1213-E1213)/60),"")</f>
        <v>0.5</v>
      </c>
      <c r="H1213" s="230" t="s">
        <v>55</v>
      </c>
      <c r="I1213" s="230" t="s">
        <v>509</v>
      </c>
      <c r="J1213" s="231" t="s">
        <v>114</v>
      </c>
      <c r="K1213" s="176" t="s">
        <v>356</v>
      </c>
    </row>
    <row r="1214" spans="2:11" x14ac:dyDescent="0.25">
      <c r="B1214" s="235">
        <v>45032</v>
      </c>
      <c r="C1214" s="195">
        <v>3</v>
      </c>
      <c r="E1214" s="238">
        <v>0.19444444444444445</v>
      </c>
      <c r="F1214" s="204">
        <v>0.20486111111111113</v>
      </c>
      <c r="G1214" s="193">
        <f>IFERROR(IF(E1214&gt;F1214,((F1214+E376B376+1)-(E1214+B1217))*24,HOUR(F1214-E1214)+MINUTE(F1214-E1214)/60),"")</f>
        <v>0.25</v>
      </c>
      <c r="H1214" s="230" t="s">
        <v>195</v>
      </c>
      <c r="I1214" s="230" t="s">
        <v>509</v>
      </c>
      <c r="J1214" s="231" t="s">
        <v>110</v>
      </c>
      <c r="K1214" s="176" t="s">
        <v>1132</v>
      </c>
    </row>
    <row r="1215" spans="2:11" x14ac:dyDescent="0.25">
      <c r="B1215" s="235">
        <v>45032</v>
      </c>
      <c r="C1215" s="195">
        <v>3</v>
      </c>
      <c r="E1215" s="238">
        <v>0.27777777777777779</v>
      </c>
      <c r="F1215" s="204">
        <v>0.29166666666666669</v>
      </c>
      <c r="G1215" s="193">
        <f>IFERROR(IF(E1215&gt;F1215,((F1215+E376B376+1)-(E1215+B1220))*24,HOUR(F1215-E1215)+MINUTE(F1215-E1215)/60),"")</f>
        <v>0.33333333333333331</v>
      </c>
      <c r="I1215" s="339" t="s">
        <v>156</v>
      </c>
      <c r="J1215" s="339" t="s">
        <v>149</v>
      </c>
      <c r="K1215" s="176" t="s">
        <v>1133</v>
      </c>
    </row>
    <row r="1216" spans="2:11" x14ac:dyDescent="0.25">
      <c r="B1216" s="235">
        <v>45033</v>
      </c>
      <c r="C1216" s="233">
        <v>1</v>
      </c>
      <c r="D1216" s="233"/>
      <c r="E1216" s="204">
        <v>0.29166666666666669</v>
      </c>
      <c r="F1216" s="204">
        <v>0.625</v>
      </c>
      <c r="G1216" s="193">
        <f>IFERROR(IF(E1216&gt;F1216,((F1216+E376B376+1)-(E1216+B1219))*24,HOUR(F1216-E1216)+MINUTE(F1216-E1216)/60),"")</f>
        <v>8</v>
      </c>
      <c r="I1216" s="339" t="s">
        <v>156</v>
      </c>
      <c r="J1216" s="339" t="s">
        <v>149</v>
      </c>
    </row>
    <row r="1217" spans="2:11" x14ac:dyDescent="0.25">
      <c r="B1217" s="235">
        <v>45033</v>
      </c>
      <c r="C1217" s="195">
        <v>2</v>
      </c>
      <c r="E1217" s="238">
        <v>0.625</v>
      </c>
      <c r="F1217" s="204">
        <v>0.91666666666666663</v>
      </c>
      <c r="G1217" s="193">
        <f>IFERROR(IF(E1217&gt;F1217,((F1217+E376B376+1)-(E1217+#REF!))*24,HOUR(F1217-E1217)+MINUTE(F1217-E1217)/60),"")</f>
        <v>7</v>
      </c>
      <c r="I1217" s="339" t="s">
        <v>156</v>
      </c>
      <c r="J1217" s="339" t="s">
        <v>149</v>
      </c>
    </row>
    <row r="1218" spans="2:11" x14ac:dyDescent="0.25">
      <c r="B1218" s="235">
        <v>45033</v>
      </c>
      <c r="C1218" s="195">
        <v>2</v>
      </c>
      <c r="E1218" s="238">
        <v>0.93402777777777779</v>
      </c>
      <c r="F1218" s="204">
        <v>0.95833333333333337</v>
      </c>
      <c r="G1218" s="193">
        <f>IFERROR(IF(E1218&gt;F1218,((F1218+E376B376+1)-(E1218+#REF!))*24,HOUR(F1218-E1218)+MINUTE(F1218-E1218)/60),"")</f>
        <v>0.58333333333333337</v>
      </c>
      <c r="H1218" s="230" t="s">
        <v>195</v>
      </c>
      <c r="I1218" s="230" t="s">
        <v>509</v>
      </c>
      <c r="J1218" s="231" t="s">
        <v>110</v>
      </c>
      <c r="K1218" s="176" t="s">
        <v>1135</v>
      </c>
    </row>
    <row r="1219" spans="2:11" x14ac:dyDescent="0.25">
      <c r="B1219" s="235">
        <v>45033</v>
      </c>
      <c r="C1219" s="195">
        <v>3</v>
      </c>
      <c r="E1219" s="238">
        <v>0.95833333333333337</v>
      </c>
      <c r="F1219" s="204">
        <v>0.9770833333333333</v>
      </c>
      <c r="G1219" s="193">
        <f>IFERROR(IF(E1219&gt;F1219,((F1219+E376B376+1)-(E1219+#REF!))*24,HOUR(F1219-E1219)+MINUTE(F1219-E1219)/60),"")</f>
        <v>0.45</v>
      </c>
      <c r="H1219" s="230" t="s">
        <v>195</v>
      </c>
      <c r="I1219" s="230" t="s">
        <v>509</v>
      </c>
      <c r="J1219" s="231" t="s">
        <v>240</v>
      </c>
      <c r="K1219" s="176" t="s">
        <v>1135</v>
      </c>
    </row>
    <row r="1220" spans="2:11" x14ac:dyDescent="0.25">
      <c r="B1220" s="235">
        <v>45033</v>
      </c>
      <c r="C1220" s="195">
        <v>3</v>
      </c>
      <c r="E1220" s="238">
        <v>0</v>
      </c>
      <c r="F1220" s="204">
        <v>1.0416666666666666E-2</v>
      </c>
      <c r="G1220" s="193">
        <f>IFERROR(IF(E1220&gt;F1220,((F1220+E376B376+1)-(E1220+#REF!))*24,HOUR(F1220-E1220)+MINUTE(F1220-E1220)/60),"")</f>
        <v>0.25</v>
      </c>
      <c r="H1220" s="230" t="s">
        <v>55</v>
      </c>
      <c r="I1220" s="230" t="s">
        <v>511</v>
      </c>
      <c r="J1220" s="231" t="s">
        <v>203</v>
      </c>
    </row>
    <row r="1221" spans="2:11" x14ac:dyDescent="0.25">
      <c r="B1221" s="235">
        <v>45033</v>
      </c>
      <c r="C1221" s="195">
        <v>3</v>
      </c>
      <c r="E1221" s="238">
        <v>0.12847222222222224</v>
      </c>
      <c r="F1221" s="204">
        <v>0.1388888888888889</v>
      </c>
      <c r="G1221" s="193">
        <f>IFERROR(IF(E1221&gt;F1221,((F1221+E376B376+1)-(E1221+#REF!))*24,HOUR(F1221-E1221)+MINUTE(F1221-E1221)/60),"")</f>
        <v>0.25</v>
      </c>
      <c r="H1221" s="230" t="s">
        <v>55</v>
      </c>
      <c r="I1221" s="330" t="s">
        <v>511</v>
      </c>
      <c r="J1221" s="231" t="s">
        <v>203</v>
      </c>
    </row>
    <row r="1222" spans="2:11" x14ac:dyDescent="0.25">
      <c r="B1222" s="235">
        <v>45033</v>
      </c>
      <c r="C1222" s="195">
        <v>3</v>
      </c>
      <c r="E1222" s="238">
        <v>0.22222222222222221</v>
      </c>
      <c r="F1222" s="204">
        <v>0.23263888888888887</v>
      </c>
      <c r="G1222" s="193">
        <f>IFERROR(IF(E1222&gt;F1222,((F1222+E376B376+1)-(E1222+#REF!))*24,HOUR(F1222-E1222)+MINUTE(F1222-E1222)/60),"")</f>
        <v>0.25</v>
      </c>
      <c r="H1222" s="230" t="s">
        <v>55</v>
      </c>
      <c r="I1222" s="230" t="s">
        <v>509</v>
      </c>
      <c r="J1222" s="231" t="s">
        <v>211</v>
      </c>
    </row>
    <row r="1223" spans="2:11" x14ac:dyDescent="0.25">
      <c r="B1223" s="235">
        <v>45033</v>
      </c>
      <c r="C1223" s="195">
        <v>3</v>
      </c>
      <c r="E1223" s="238">
        <v>0.27847222222222223</v>
      </c>
      <c r="F1223" s="204">
        <v>0.29166666666666669</v>
      </c>
      <c r="G1223" s="193">
        <f>IFERROR(IF(E1223&gt;F1223,((F1223+E376B376+1)-(E1223+#REF!))*24,HOUR(F1223-E1223)+MINUTE(F1223-E1223)/60),"")</f>
        <v>0.31666666666666665</v>
      </c>
      <c r="H1223" s="230" t="s">
        <v>55</v>
      </c>
      <c r="I1223" s="230" t="s">
        <v>509</v>
      </c>
      <c r="J1223" s="231" t="s">
        <v>114</v>
      </c>
    </row>
    <row r="1224" spans="2:11" x14ac:dyDescent="0.25">
      <c r="B1224" s="235">
        <v>45034</v>
      </c>
      <c r="C1224" s="195">
        <v>1</v>
      </c>
      <c r="E1224" s="238">
        <v>0.29166666666666669</v>
      </c>
      <c r="F1224" s="204">
        <v>0.30208333333333331</v>
      </c>
      <c r="G1224" s="193">
        <f>IFERROR(IF(E1224&gt;F1224,((F1224+E376B376+1)-(E1224+#REF!))*24,HOUR(F1224-E1224)+MINUTE(F1224-E1224)/60),"")</f>
        <v>0.25</v>
      </c>
      <c r="H1224" s="230" t="s">
        <v>55</v>
      </c>
      <c r="I1224" s="230" t="s">
        <v>509</v>
      </c>
      <c r="J1224" s="231" t="s">
        <v>114</v>
      </c>
    </row>
    <row r="1225" spans="2:11" x14ac:dyDescent="0.25">
      <c r="B1225" s="235">
        <v>45034</v>
      </c>
      <c r="C1225" s="195">
        <v>1</v>
      </c>
      <c r="E1225" s="238">
        <v>0.31944444444444448</v>
      </c>
      <c r="F1225" s="204">
        <v>0.3298611111111111</v>
      </c>
      <c r="G1225" s="193">
        <f>IFERROR(IF(E1225&gt;F1225,((F1225+E376B376+1)-(E1225+#REF!))*24,HOUR(F1225-E1225)+MINUTE(F1225-E1225)/60),"")</f>
        <v>0.25</v>
      </c>
      <c r="H1225" s="230" t="s">
        <v>55</v>
      </c>
      <c r="I1225" s="230" t="s">
        <v>509</v>
      </c>
      <c r="J1225" s="231" t="s">
        <v>203</v>
      </c>
    </row>
    <row r="1226" spans="2:11" x14ac:dyDescent="0.25">
      <c r="B1226" s="235">
        <v>45034</v>
      </c>
      <c r="C1226" s="195">
        <v>1</v>
      </c>
      <c r="E1226" s="238">
        <v>0.3298611111111111</v>
      </c>
      <c r="F1226" s="204">
        <v>0.3923611111111111</v>
      </c>
      <c r="G1226" s="193">
        <f>IFERROR(IF(E1226&gt;F1226,((F1226+E376B376+1)-(E1226+#REF!))*24,HOUR(F1226-E1226)+MINUTE(F1226-E1226)/60),"")</f>
        <v>1.5</v>
      </c>
      <c r="H1226" s="230" t="s">
        <v>195</v>
      </c>
      <c r="I1226" s="230" t="s">
        <v>509</v>
      </c>
      <c r="J1226" s="231" t="s">
        <v>572</v>
      </c>
      <c r="K1226" s="176" t="s">
        <v>1138</v>
      </c>
    </row>
    <row r="1227" spans="2:11" x14ac:dyDescent="0.25">
      <c r="B1227" s="235">
        <v>45034</v>
      </c>
      <c r="C1227" s="195">
        <v>1</v>
      </c>
      <c r="E1227" s="238">
        <v>0.3923611111111111</v>
      </c>
      <c r="F1227" s="204">
        <v>0.41666666666666669</v>
      </c>
      <c r="G1227" s="193">
        <f>IFERROR(IF(E1227&gt;F1227,((F1227+E376B376+1)-(E1227+#REF!))*24,HOUR(F1227-E1227)+MINUTE(F1227-E1227)/60),"")</f>
        <v>0.58333333333333337</v>
      </c>
      <c r="H1227" s="230" t="s">
        <v>55</v>
      </c>
      <c r="I1227" s="230" t="s">
        <v>509</v>
      </c>
      <c r="J1227" s="231" t="s">
        <v>211</v>
      </c>
    </row>
    <row r="1228" spans="2:11" x14ac:dyDescent="0.25">
      <c r="B1228" s="235">
        <v>45034</v>
      </c>
      <c r="C1228" s="195">
        <v>1</v>
      </c>
      <c r="E1228" s="238">
        <v>0.43402777777777773</v>
      </c>
      <c r="F1228" s="204">
        <v>0.44444444444444442</v>
      </c>
      <c r="G1228" s="193">
        <f>IFERROR(IF(E1228&gt;F1228,((F1228+E376B376+1)-(E1228+#REF!))*24,HOUR(F1228-E1228)+MINUTE(F1228-E1228)/60),"")</f>
        <v>0.25</v>
      </c>
      <c r="H1228" s="230" t="s">
        <v>55</v>
      </c>
      <c r="I1228" s="230" t="s">
        <v>509</v>
      </c>
      <c r="J1228" s="231" t="s">
        <v>203</v>
      </c>
    </row>
    <row r="1229" spans="2:11" x14ac:dyDescent="0.25">
      <c r="B1229" s="235">
        <v>45034</v>
      </c>
      <c r="C1229" s="195">
        <v>1</v>
      </c>
      <c r="E1229" s="238">
        <v>0.46875</v>
      </c>
      <c r="F1229" s="204">
        <v>0.47916666666666669</v>
      </c>
      <c r="G1229" s="193">
        <f>IFERROR(IF(E1229&gt;F1229,((F1229+E376B376+1)-(E1229+#REF!))*24,HOUR(F1229-E1229)+MINUTE(F1229-E1229)/60),"")</f>
        <v>0.25</v>
      </c>
      <c r="H1229" s="230" t="s">
        <v>55</v>
      </c>
      <c r="I1229" s="230" t="s">
        <v>509</v>
      </c>
      <c r="J1229" s="231" t="s">
        <v>114</v>
      </c>
    </row>
    <row r="1230" spans="2:11" x14ac:dyDescent="0.25">
      <c r="B1230" s="235">
        <v>45034</v>
      </c>
      <c r="C1230" s="195">
        <v>1</v>
      </c>
      <c r="E1230" s="238">
        <v>0.51736111111111105</v>
      </c>
      <c r="F1230" s="204">
        <v>0.52777777777777779</v>
      </c>
      <c r="G1230" s="193">
        <f>IFERROR(IF(E1230&gt;F1230,((F1230+E376B376+1)-(E1230+#REF!))*24,HOUR(F1230-E1230)+MINUTE(F1230-E1230)/60),"")</f>
        <v>0.25</v>
      </c>
      <c r="H1230" s="230" t="s">
        <v>55</v>
      </c>
      <c r="I1230" s="230" t="s">
        <v>509</v>
      </c>
      <c r="J1230" s="231" t="s">
        <v>203</v>
      </c>
    </row>
    <row r="1231" spans="2:11" x14ac:dyDescent="0.25">
      <c r="B1231" s="235">
        <v>45034</v>
      </c>
      <c r="C1231" s="233">
        <v>1</v>
      </c>
      <c r="E1231" s="238">
        <v>0.60277777777777775</v>
      </c>
      <c r="F1231" s="204">
        <v>0.61319444444444449</v>
      </c>
      <c r="G1231" s="193">
        <f>IFERROR(IF(E1231&gt;F1231,((F1231+E376B376+1)-(E1231+#REF!))*24,HOUR(F1231-E1231)+MINUTE(F1231-E1231)/60),"")</f>
        <v>0.25</v>
      </c>
      <c r="H1231" s="230" t="s">
        <v>55</v>
      </c>
      <c r="I1231" s="230" t="s">
        <v>509</v>
      </c>
      <c r="J1231" s="231" t="s">
        <v>203</v>
      </c>
    </row>
    <row r="1232" spans="2:11" x14ac:dyDescent="0.25">
      <c r="B1232" s="235">
        <v>45034</v>
      </c>
      <c r="C1232" s="233">
        <v>1</v>
      </c>
      <c r="E1232" s="238">
        <v>0.61319444444444449</v>
      </c>
      <c r="F1232" s="204">
        <v>0.625</v>
      </c>
      <c r="G1232" s="193">
        <f>IFERROR(IF(E1232&gt;F1232,((F1232+E376B376+1)-(E1232+#REF!))*24,HOUR(F1232-E1232)+MINUTE(F1232-E1232)/60),"")</f>
        <v>0.28333333333333333</v>
      </c>
      <c r="H1232" s="230" t="s">
        <v>55</v>
      </c>
      <c r="I1232" s="230" t="s">
        <v>509</v>
      </c>
      <c r="J1232" s="231" t="s">
        <v>114</v>
      </c>
    </row>
    <row r="1233" spans="2:11" x14ac:dyDescent="0.25">
      <c r="B1233" s="235">
        <v>45034</v>
      </c>
      <c r="C1233" s="195">
        <v>2</v>
      </c>
      <c r="E1233" s="238">
        <v>0.625</v>
      </c>
      <c r="F1233" s="204">
        <v>0.63194444444444442</v>
      </c>
      <c r="G1233" s="193">
        <f>IFERROR(IF(E1233&gt;F1233,((F1233+E376B376+1)-(E1233+#REF!))*24,HOUR(F1233-E1233)+MINUTE(F1233-E1233)/60),"")</f>
        <v>0.16666666666666666</v>
      </c>
      <c r="H1233" s="230" t="s">
        <v>55</v>
      </c>
      <c r="I1233" s="230" t="s">
        <v>509</v>
      </c>
      <c r="J1233" s="231" t="s">
        <v>114</v>
      </c>
    </row>
    <row r="1234" spans="2:11" x14ac:dyDescent="0.25">
      <c r="B1234" s="235">
        <v>45034</v>
      </c>
      <c r="C1234" s="195">
        <v>2</v>
      </c>
      <c r="E1234" s="238">
        <v>0.76041666666666663</v>
      </c>
      <c r="F1234" s="204">
        <v>0.79166666666666663</v>
      </c>
      <c r="G1234" s="193">
        <f>IFERROR(IF(E1234&gt;F1234,((F1234+E376B376+1)-(E1234+#REF!))*24,HOUR(F1234-E1234)+MINUTE(F1234-E1234)/60),"")</f>
        <v>0.75</v>
      </c>
      <c r="H1234" s="230" t="s">
        <v>55</v>
      </c>
      <c r="I1234" s="230" t="s">
        <v>509</v>
      </c>
      <c r="J1234" s="231" t="s">
        <v>211</v>
      </c>
      <c r="K1234" s="176" t="s">
        <v>684</v>
      </c>
    </row>
    <row r="1235" spans="2:11" x14ac:dyDescent="0.25">
      <c r="B1235" s="235">
        <v>45034</v>
      </c>
      <c r="C1235" s="195">
        <v>2</v>
      </c>
      <c r="E1235" s="238">
        <v>0.79166666666666663</v>
      </c>
      <c r="F1235" s="204">
        <v>0.83333333333333337</v>
      </c>
      <c r="G1235" s="193">
        <f>IFERROR(IF(E1235&gt;F1235,((F1235+E376B376+1)-(E1235+#REF!))*24,HOUR(F1235-E1235)+MINUTE(F1235-E1235)/60),"")</f>
        <v>1</v>
      </c>
      <c r="I1235" s="230" t="s">
        <v>513</v>
      </c>
      <c r="J1235" s="231" t="s">
        <v>1110</v>
      </c>
    </row>
    <row r="1236" spans="2:11" x14ac:dyDescent="0.25">
      <c r="B1236" s="235">
        <v>45034</v>
      </c>
      <c r="C1236" s="195">
        <v>2</v>
      </c>
      <c r="E1236" s="238">
        <v>0.86111111111111116</v>
      </c>
      <c r="F1236" s="204">
        <v>0.875</v>
      </c>
      <c r="G1236" s="193">
        <f>IFERROR(IF(E1236&gt;F1236,((F1236+E376B376+1)-(E1236+#REF!))*24,HOUR(F1236-E1236)+MINUTE(F1236-E1236)/60),"")</f>
        <v>0.33333333333333331</v>
      </c>
      <c r="H1236" s="230" t="s">
        <v>55</v>
      </c>
      <c r="I1236" s="330" t="s">
        <v>511</v>
      </c>
      <c r="J1236" s="231" t="s">
        <v>203</v>
      </c>
    </row>
    <row r="1237" spans="2:11" x14ac:dyDescent="0.25">
      <c r="B1237" s="235">
        <v>45034</v>
      </c>
      <c r="C1237" s="195">
        <v>2</v>
      </c>
      <c r="E1237" s="238">
        <v>0.89236111111111116</v>
      </c>
      <c r="F1237" s="204">
        <v>0.90277777777777779</v>
      </c>
      <c r="G1237" s="193">
        <f>IFERROR(IF(E1237&gt;F1237,((F1237+E376B376+1)-(E1237+#REF!))*24,HOUR(F1237-E1237)+MINUTE(F1237-E1237)/60),"")</f>
        <v>0.25</v>
      </c>
      <c r="H1237" s="230" t="s">
        <v>55</v>
      </c>
      <c r="I1237" s="330" t="s">
        <v>511</v>
      </c>
      <c r="J1237" s="231" t="s">
        <v>203</v>
      </c>
    </row>
    <row r="1238" spans="2:11" x14ac:dyDescent="0.25">
      <c r="B1238" s="235">
        <v>45034</v>
      </c>
      <c r="C1238" s="195">
        <v>2</v>
      </c>
      <c r="E1238" s="238">
        <v>0.92708333333333337</v>
      </c>
      <c r="F1238" s="204">
        <v>0.9375</v>
      </c>
      <c r="G1238" s="193">
        <f>IFERROR(IF(E1238&gt;F1238,((F1238+E376B376+1)-(E1238+#REF!))*24,HOUR(F1238-E1238)+MINUTE(F1238-E1238)/60),"")</f>
        <v>0.25</v>
      </c>
      <c r="H1238" s="230" t="s">
        <v>55</v>
      </c>
      <c r="I1238" s="330" t="s">
        <v>511</v>
      </c>
      <c r="J1238" s="231" t="s">
        <v>203</v>
      </c>
    </row>
    <row r="1239" spans="2:11" x14ac:dyDescent="0.25">
      <c r="B1239" s="235">
        <v>45034</v>
      </c>
      <c r="C1239" s="195">
        <v>2</v>
      </c>
      <c r="E1239" s="238">
        <v>0.9375</v>
      </c>
      <c r="F1239" s="204">
        <v>0.95833333333333337</v>
      </c>
      <c r="G1239" s="193">
        <f>IFERROR(IF(E1239&gt;F1239,((F1239+E376B376+1)-(E1239+#REF!))*24,HOUR(F1239-E1239)+MINUTE(F1239-E1239)/60),"")</f>
        <v>0.5</v>
      </c>
      <c r="H1239" s="230" t="s">
        <v>55</v>
      </c>
      <c r="I1239" s="230" t="s">
        <v>509</v>
      </c>
      <c r="J1239" s="231" t="s">
        <v>114</v>
      </c>
    </row>
    <row r="1240" spans="2:11" x14ac:dyDescent="0.25">
      <c r="B1240" s="235">
        <v>45034</v>
      </c>
      <c r="C1240" s="233">
        <v>3</v>
      </c>
      <c r="E1240" s="238">
        <v>0.95833333333333337</v>
      </c>
      <c r="F1240" s="204">
        <v>0.96458333333333324</v>
      </c>
      <c r="G1240" s="193">
        <f>IFERROR(IF(E1240&gt;F1240,((F1240+E376B376+1)-(E1240+#REF!))*24,HOUR(F1240-E1240)+MINUTE(F1240-E1240)/60),"")</f>
        <v>0.15</v>
      </c>
      <c r="H1240" s="230" t="s">
        <v>55</v>
      </c>
      <c r="I1240" s="230" t="s">
        <v>509</v>
      </c>
      <c r="J1240" s="231" t="s">
        <v>114</v>
      </c>
    </row>
    <row r="1241" spans="2:11" x14ac:dyDescent="0.25">
      <c r="B1241" s="235">
        <v>45034</v>
      </c>
      <c r="C1241" s="195">
        <v>3</v>
      </c>
      <c r="E1241" s="238">
        <v>0.96458333333333324</v>
      </c>
      <c r="F1241" s="204">
        <v>0.97083333333333333</v>
      </c>
      <c r="G1241" s="193">
        <f>IFERROR(IF(E1241&gt;F1241,((F1241+E376B376+1)-(E1241+#REF!))*24,HOUR(F1241-E1241)+MINUTE(F1241-E1241)/60),"")</f>
        <v>0.15</v>
      </c>
      <c r="H1241" s="230" t="s">
        <v>195</v>
      </c>
      <c r="I1241" s="230" t="s">
        <v>509</v>
      </c>
      <c r="J1241" s="231" t="s">
        <v>206</v>
      </c>
    </row>
    <row r="1242" spans="2:11" x14ac:dyDescent="0.25">
      <c r="B1242" s="235">
        <v>45034</v>
      </c>
      <c r="C1242" s="233">
        <v>3</v>
      </c>
      <c r="E1242" s="238">
        <v>0.98263888888888884</v>
      </c>
      <c r="F1242" s="204">
        <v>0.99305555555555547</v>
      </c>
      <c r="G1242" s="193">
        <f>IFERROR(IF(E1242&gt;F1242,((F1242+E376B376+1)-(E1242+#REF!))*24,HOUR(F1242-E1242)+MINUTE(F1242-E1242)/60),"")</f>
        <v>0.25</v>
      </c>
      <c r="H1242" s="230" t="s">
        <v>55</v>
      </c>
      <c r="I1242" s="330" t="s">
        <v>511</v>
      </c>
      <c r="J1242" s="231" t="s">
        <v>203</v>
      </c>
      <c r="K1242" s="279" t="s">
        <v>1027</v>
      </c>
    </row>
    <row r="1243" spans="2:11" x14ac:dyDescent="0.25">
      <c r="B1243" s="235">
        <v>45034</v>
      </c>
      <c r="C1243" s="233">
        <v>3</v>
      </c>
      <c r="E1243" s="238">
        <v>2.2222222222222223E-2</v>
      </c>
      <c r="F1243" s="204">
        <v>3.2638888888888891E-2</v>
      </c>
      <c r="G1243" s="193">
        <f>IFERROR(IF(E1243&gt;F1243,((F1243+E376B376+1)-(E1243+#REF!))*24,HOUR(F1243-E1243)+MINUTE(F1243-E1243)/60),"")</f>
        <v>0.25</v>
      </c>
      <c r="H1243" s="230" t="s">
        <v>55</v>
      </c>
      <c r="I1243" s="330" t="s">
        <v>511</v>
      </c>
      <c r="J1243" s="231" t="s">
        <v>203</v>
      </c>
      <c r="K1243" s="279" t="s">
        <v>1027</v>
      </c>
    </row>
    <row r="1244" spans="2:11" s="233" customFormat="1" x14ac:dyDescent="0.25">
      <c r="B1244" s="235">
        <v>45034</v>
      </c>
      <c r="C1244" s="233">
        <v>3</v>
      </c>
      <c r="E1244" s="238">
        <v>8.3333333333333329E-2</v>
      </c>
      <c r="F1244" s="204">
        <v>9.1666666666666674E-2</v>
      </c>
      <c r="G1244" s="193">
        <f>IFERROR(IF(E1244&gt;F1244,((F1244+E376B376+1)-(E1244+#REF!))*24,HOUR(F1244-E1244)+MINUTE(F1244-E1244)/60),"")</f>
        <v>0.2</v>
      </c>
      <c r="H1244" s="230" t="s">
        <v>55</v>
      </c>
      <c r="I1244" s="330" t="s">
        <v>511</v>
      </c>
      <c r="J1244" s="231" t="s">
        <v>203</v>
      </c>
      <c r="K1244" s="279" t="s">
        <v>1027</v>
      </c>
    </row>
    <row r="1245" spans="2:11" x14ac:dyDescent="0.25">
      <c r="B1245" s="235">
        <v>45034</v>
      </c>
      <c r="C1245" s="233">
        <v>3</v>
      </c>
      <c r="E1245" s="238">
        <v>0.13055555555555556</v>
      </c>
      <c r="F1245" s="204">
        <v>0.14097222222222222</v>
      </c>
      <c r="G1245" s="193">
        <f>IFERROR(IF(E1245&gt;F1245,((F1245+E376B376+1)-(E1245+#REF!))*24,HOUR(F1245-E1245)+MINUTE(F1245-E1245)/60),"")</f>
        <v>0.25</v>
      </c>
      <c r="H1245" s="230" t="s">
        <v>55</v>
      </c>
      <c r="I1245" s="330" t="s">
        <v>511</v>
      </c>
      <c r="J1245" s="231" t="s">
        <v>203</v>
      </c>
      <c r="K1245" s="279" t="s">
        <v>1027</v>
      </c>
    </row>
    <row r="1246" spans="2:11" x14ac:dyDescent="0.25">
      <c r="B1246" s="235">
        <v>45034</v>
      </c>
      <c r="C1246" s="233">
        <v>3</v>
      </c>
      <c r="E1246" s="238">
        <v>0.25555555555555559</v>
      </c>
      <c r="F1246" s="204">
        <v>0.26597222222222222</v>
      </c>
      <c r="G1246" s="193">
        <f>IFERROR(IF(E1246&gt;F1246,((F1246+E376B376+1)-(E1246+#REF!))*24,HOUR(F1246-E1246)+MINUTE(F1246-E1246)/60),"")</f>
        <v>0.25</v>
      </c>
      <c r="H1246" s="230" t="s">
        <v>55</v>
      </c>
      <c r="I1246" s="330" t="s">
        <v>511</v>
      </c>
      <c r="J1246" s="231" t="s">
        <v>203</v>
      </c>
      <c r="K1246" s="279" t="s">
        <v>1027</v>
      </c>
    </row>
    <row r="1247" spans="2:11" x14ac:dyDescent="0.25">
      <c r="B1247" s="235">
        <v>45034</v>
      </c>
      <c r="C1247" s="233">
        <v>3</v>
      </c>
      <c r="E1247" s="238">
        <v>0.27569444444444446</v>
      </c>
      <c r="F1247" s="204">
        <v>0.29166666666666669</v>
      </c>
      <c r="G1247" s="193">
        <f>IFERROR(IF(E1247&gt;F1247,((F1247+E376B376+1)-(E1247+#REF!))*24,HOUR(F1247-E1247)+MINUTE(F1247-E1247)/60),"")</f>
        <v>0.38333333333333336</v>
      </c>
      <c r="H1247" s="230" t="s">
        <v>55</v>
      </c>
      <c r="I1247" s="230" t="s">
        <v>509</v>
      </c>
      <c r="J1247" s="231" t="s">
        <v>114</v>
      </c>
    </row>
    <row r="1248" spans="2:11" x14ac:dyDescent="0.25">
      <c r="B1248" s="235">
        <v>45035</v>
      </c>
      <c r="C1248" s="233">
        <v>1</v>
      </c>
      <c r="E1248" s="238">
        <v>0.29166666666666669</v>
      </c>
      <c r="F1248" s="204">
        <v>0.31597222222222221</v>
      </c>
      <c r="G1248" s="193">
        <f>IFERROR(IF(E1248&gt;F1248,((F1248+E376B376+1)-(E1248+#REF!))*24,HOUR(F1248-E1248)+MINUTE(F1248-E1248)/60),"")</f>
        <v>0.58333333333333337</v>
      </c>
      <c r="H1248" s="230" t="s">
        <v>55</v>
      </c>
      <c r="I1248" s="230" t="s">
        <v>509</v>
      </c>
      <c r="J1248" s="231" t="s">
        <v>211</v>
      </c>
    </row>
    <row r="1249" spans="2:11" x14ac:dyDescent="0.25">
      <c r="B1249" s="235">
        <v>45035</v>
      </c>
      <c r="C1249" s="233">
        <v>1</v>
      </c>
      <c r="E1249" s="238">
        <v>0.3263888888888889</v>
      </c>
      <c r="F1249" s="204">
        <v>0.36041666666666666</v>
      </c>
      <c r="G1249" s="193">
        <f>IFERROR(IF(E1249&gt;F1249,((F1249+E376B376+1)-(E1249+#REF!))*24,HOUR(F1249-E1249)+MINUTE(F1249-E1249)/60),"")</f>
        <v>0.81666666666666665</v>
      </c>
      <c r="H1249" s="230" t="s">
        <v>55</v>
      </c>
      <c r="I1249" s="230" t="s">
        <v>509</v>
      </c>
      <c r="J1249" s="231" t="s">
        <v>211</v>
      </c>
    </row>
    <row r="1250" spans="2:11" x14ac:dyDescent="0.25">
      <c r="B1250" s="235">
        <v>45035</v>
      </c>
      <c r="C1250" s="233">
        <v>1</v>
      </c>
      <c r="E1250" s="238">
        <v>0.375</v>
      </c>
      <c r="F1250" s="204">
        <v>0.38541666666666669</v>
      </c>
      <c r="G1250" s="193">
        <f>IFERROR(IF(E1250&gt;F1250,((F1250+E376B376+1)-(E1250+#REF!))*24,HOUR(F1250-E1250)+MINUTE(F1250-E1250)/60),"")</f>
        <v>0.25</v>
      </c>
      <c r="H1250" s="230" t="s">
        <v>55</v>
      </c>
      <c r="I1250" s="330" t="s">
        <v>511</v>
      </c>
      <c r="J1250" s="231" t="s">
        <v>203</v>
      </c>
    </row>
    <row r="1251" spans="2:11" x14ac:dyDescent="0.25">
      <c r="B1251" s="235">
        <v>45035</v>
      </c>
      <c r="C1251" s="233">
        <v>1</v>
      </c>
      <c r="E1251" s="238">
        <v>0.47430555555555554</v>
      </c>
      <c r="F1251" s="204">
        <v>0.48472222222222222</v>
      </c>
      <c r="G1251" s="193">
        <f>IFERROR(IF(E1251&gt;F1251,((F1251+E376B376+1)-(E1251+#REF!))*24,HOUR(F1251-E1251)+MINUTE(F1251-E1251)/60),"")</f>
        <v>0.25</v>
      </c>
      <c r="H1251" s="230" t="s">
        <v>55</v>
      </c>
      <c r="I1251" s="230" t="s">
        <v>509</v>
      </c>
      <c r="J1251" s="231" t="s">
        <v>203</v>
      </c>
    </row>
    <row r="1252" spans="2:11" x14ac:dyDescent="0.25">
      <c r="B1252" s="235">
        <v>45035</v>
      </c>
      <c r="C1252" s="233">
        <v>1</v>
      </c>
      <c r="E1252" s="238">
        <v>0.51597222222222217</v>
      </c>
      <c r="F1252" s="204">
        <v>0.52638888888888891</v>
      </c>
      <c r="G1252" s="193">
        <f>IFERROR(IF(E1252&gt;F1252,((F1252+E376B376+1)-(E1252+#REF!))*24,HOUR(F1252-E1252)+MINUTE(F1252-E1252)/60),"")</f>
        <v>0.25</v>
      </c>
      <c r="H1252" s="230" t="s">
        <v>55</v>
      </c>
      <c r="I1252" s="230" t="s">
        <v>509</v>
      </c>
      <c r="J1252" s="231" t="s">
        <v>203</v>
      </c>
    </row>
    <row r="1253" spans="2:11" x14ac:dyDescent="0.25">
      <c r="B1253" s="235">
        <v>45035</v>
      </c>
      <c r="C1253" s="233">
        <v>1</v>
      </c>
      <c r="E1253" s="238">
        <v>0.60763888888888895</v>
      </c>
      <c r="F1253" s="204">
        <v>0.61805555555555558</v>
      </c>
      <c r="G1253" s="193">
        <f>IFERROR(IF(E1253&gt;F1253,((F1253+E376B376+1)-(E1253+#REF!))*24,HOUR(F1253-E1253)+MINUTE(F1253-E1253)/60),"")</f>
        <v>0.25</v>
      </c>
      <c r="H1253" s="230" t="s">
        <v>55</v>
      </c>
      <c r="I1253" s="230" t="s">
        <v>509</v>
      </c>
      <c r="J1253" s="231" t="s">
        <v>203</v>
      </c>
    </row>
    <row r="1254" spans="2:11" x14ac:dyDescent="0.25">
      <c r="B1254" s="235">
        <v>45035</v>
      </c>
      <c r="C1254" s="233">
        <v>1</v>
      </c>
      <c r="E1254" s="238">
        <v>0.61805555555555558</v>
      </c>
      <c r="F1254" s="204">
        <v>0.625</v>
      </c>
      <c r="G1254" s="193">
        <f>IFERROR(IF(E1254&gt;F1254,((F1254+E376B376+1)-(E1254+#REF!))*24,HOUR(F1254-E1254)+MINUTE(F1254-E1254)/60),"")</f>
        <v>0.16666666666666666</v>
      </c>
      <c r="H1254" s="230" t="s">
        <v>55</v>
      </c>
      <c r="I1254" s="230" t="s">
        <v>509</v>
      </c>
      <c r="J1254" s="231" t="s">
        <v>114</v>
      </c>
    </row>
    <row r="1255" spans="2:11" x14ac:dyDescent="0.25">
      <c r="B1255" s="235">
        <v>45035</v>
      </c>
      <c r="C1255" s="195">
        <v>2</v>
      </c>
      <c r="E1255" s="238">
        <v>0.625</v>
      </c>
      <c r="F1255" s="204">
        <v>0.63541666666666663</v>
      </c>
      <c r="G1255" s="193">
        <f>IFERROR(IF(E1255&gt;F1255,((F1255+E376B376+1)-(E1255+#REF!))*24,HOUR(F1255-E1255)+MINUTE(F1255-E1255)/60),"")</f>
        <v>0.25</v>
      </c>
      <c r="H1255" s="230" t="s">
        <v>55</v>
      </c>
      <c r="I1255" s="230" t="s">
        <v>509</v>
      </c>
      <c r="J1255" s="231" t="s">
        <v>114</v>
      </c>
    </row>
    <row r="1256" spans="2:11" x14ac:dyDescent="0.25">
      <c r="B1256" s="235">
        <v>45035</v>
      </c>
      <c r="C1256" s="195">
        <v>2</v>
      </c>
      <c r="E1256" s="238">
        <v>0.6875</v>
      </c>
      <c r="F1256" s="204">
        <v>0.69791666666666663</v>
      </c>
      <c r="G1256" s="193">
        <f>IFERROR(IF(E1256&gt;F1256,((F1256+E376B376+1)-(E1256+#REF!))*24,HOUR(F1256-E1256)+MINUTE(F1256-E1256)/60),"")</f>
        <v>0.25</v>
      </c>
      <c r="H1256" s="230" t="s">
        <v>55</v>
      </c>
      <c r="I1256" s="230" t="s">
        <v>509</v>
      </c>
      <c r="J1256" s="231" t="s">
        <v>203</v>
      </c>
    </row>
    <row r="1257" spans="2:11" x14ac:dyDescent="0.25">
      <c r="B1257" s="235">
        <v>45035</v>
      </c>
      <c r="C1257" s="195">
        <v>2</v>
      </c>
      <c r="E1257" s="238">
        <v>0.78819444444444453</v>
      </c>
      <c r="F1257" s="204">
        <v>0.84375</v>
      </c>
      <c r="G1257" s="193">
        <f>IFERROR(IF(E1257&gt;F1257,((F1257+E376B376+1)-(E1257+#REF!))*24,HOUR(F1257-E1257)+MINUTE(F1257-E1257)/60),"")</f>
        <v>1.3333333333333333</v>
      </c>
      <c r="I1257" s="230" t="s">
        <v>513</v>
      </c>
      <c r="J1257" s="231" t="s">
        <v>1110</v>
      </c>
    </row>
    <row r="1258" spans="2:11" x14ac:dyDescent="0.25">
      <c r="B1258" s="235">
        <v>45035</v>
      </c>
      <c r="C1258" s="195">
        <v>2</v>
      </c>
      <c r="E1258" s="238">
        <v>0.91319444444444453</v>
      </c>
      <c r="F1258" s="204">
        <v>0.92361111111111116</v>
      </c>
      <c r="G1258" s="193">
        <f>IFERROR(IF(E1258&gt;F1258,((F1258+E376B376+1)-(E1258+#REF!))*24,HOUR(F1258-E1258)+MINUTE(F1258-E1258)/60),"")</f>
        <v>0.25</v>
      </c>
      <c r="H1258" s="230" t="s">
        <v>55</v>
      </c>
      <c r="I1258" s="230" t="s">
        <v>509</v>
      </c>
      <c r="J1258" s="231" t="s">
        <v>211</v>
      </c>
      <c r="K1258" s="176" t="s">
        <v>684</v>
      </c>
    </row>
    <row r="1259" spans="2:11" x14ac:dyDescent="0.25">
      <c r="B1259" s="235">
        <v>45035</v>
      </c>
      <c r="C1259" s="195">
        <v>2</v>
      </c>
      <c r="E1259" s="238">
        <v>0.94444444444444453</v>
      </c>
      <c r="F1259" s="204">
        <v>0.95833333333333337</v>
      </c>
      <c r="G1259" s="193">
        <f>IFERROR(IF(E1259&gt;F1259,((F1259+E376B376+1)-(E1259+#REF!))*24,HOUR(F1259-E1259)+MINUTE(F1259-E1259)/60),"")</f>
        <v>0.33333333333333331</v>
      </c>
      <c r="H1259" s="230" t="s">
        <v>55</v>
      </c>
      <c r="I1259" s="230" t="s">
        <v>509</v>
      </c>
      <c r="J1259" s="231" t="s">
        <v>114</v>
      </c>
    </row>
    <row r="1260" spans="2:11" x14ac:dyDescent="0.25">
      <c r="B1260" s="235">
        <v>45035</v>
      </c>
      <c r="C1260" s="195">
        <v>3</v>
      </c>
      <c r="E1260" s="238">
        <v>0.95833333333333337</v>
      </c>
      <c r="F1260" s="204">
        <v>0.96527777777777779</v>
      </c>
      <c r="G1260" s="193">
        <f>IFERROR(IF(E1260&gt;F1260,((F1260+E376B376+1)-(E1260+#REF!))*24,HOUR(F1260-E1260)+MINUTE(F1260-E1260)/60),"")</f>
        <v>0.16666666666666666</v>
      </c>
      <c r="H1260" s="230" t="s">
        <v>55</v>
      </c>
      <c r="I1260" s="230" t="s">
        <v>509</v>
      </c>
      <c r="J1260" s="231" t="s">
        <v>114</v>
      </c>
    </row>
    <row r="1261" spans="2:11" x14ac:dyDescent="0.25">
      <c r="B1261" s="235">
        <v>45035</v>
      </c>
      <c r="C1261" s="195">
        <v>3</v>
      </c>
      <c r="E1261" s="238">
        <v>0.99305555555555547</v>
      </c>
      <c r="F1261" s="204">
        <v>3.472222222222222E-3</v>
      </c>
      <c r="G1261" s="193">
        <v>0.25</v>
      </c>
      <c r="H1261" s="230" t="s">
        <v>55</v>
      </c>
      <c r="I1261" s="330" t="s">
        <v>511</v>
      </c>
      <c r="J1261" s="231" t="s">
        <v>203</v>
      </c>
      <c r="K1261" s="279" t="s">
        <v>1027</v>
      </c>
    </row>
    <row r="1262" spans="2:11" s="233" customFormat="1" x14ac:dyDescent="0.25">
      <c r="B1262" s="235">
        <v>45035</v>
      </c>
      <c r="C1262" s="233">
        <v>3</v>
      </c>
      <c r="E1262" s="238">
        <v>0.12152777777777778</v>
      </c>
      <c r="F1262" s="204">
        <v>0.13194444444444445</v>
      </c>
      <c r="G1262" s="193">
        <f>IFERROR(IF(E1262&gt;F1262,((F1262+E376B376+1)-(E1262+#REF!))*24,HOUR(F1262-E1262)+MINUTE(F1262-E1262)/60),"")</f>
        <v>0.25</v>
      </c>
      <c r="H1262" s="230" t="s">
        <v>55</v>
      </c>
      <c r="I1262" s="330" t="s">
        <v>511</v>
      </c>
      <c r="J1262" s="231" t="s">
        <v>203</v>
      </c>
      <c r="K1262" s="279" t="s">
        <v>1027</v>
      </c>
    </row>
    <row r="1263" spans="2:11" x14ac:dyDescent="0.25">
      <c r="B1263" s="235">
        <v>45035</v>
      </c>
      <c r="C1263" s="233">
        <v>3</v>
      </c>
      <c r="E1263" s="238">
        <v>0.22083333333333333</v>
      </c>
      <c r="F1263" s="204">
        <v>0.23124999999999998</v>
      </c>
      <c r="G1263" s="193">
        <f>IFERROR(IF(E1263&gt;F1263,((F1263+E376B376+1)-(E1263+#REF!))*24,HOUR(F1263-E1263)+MINUTE(F1263-E1263)/60),"")</f>
        <v>0.25</v>
      </c>
      <c r="H1263" s="230" t="s">
        <v>55</v>
      </c>
      <c r="I1263" s="330" t="s">
        <v>511</v>
      </c>
      <c r="J1263" s="231" t="s">
        <v>203</v>
      </c>
      <c r="K1263" s="279" t="s">
        <v>1027</v>
      </c>
    </row>
    <row r="1264" spans="2:11" x14ac:dyDescent="0.25">
      <c r="B1264" s="235">
        <v>45035</v>
      </c>
      <c r="C1264" s="233">
        <v>3</v>
      </c>
      <c r="E1264" s="238">
        <v>0.23124999999999998</v>
      </c>
      <c r="F1264" s="204">
        <v>0.23541666666666669</v>
      </c>
      <c r="G1264" s="193">
        <f>IFERROR(IF(E1264&gt;F1264,((F1264+E376B376+1)-(E1264+#REF!))*24,HOUR(F1264-E1264)+MINUTE(F1264-E1264)/60),"")</f>
        <v>0.1</v>
      </c>
      <c r="H1264" s="230" t="s">
        <v>195</v>
      </c>
      <c r="I1264" s="230" t="s">
        <v>509</v>
      </c>
      <c r="J1264" s="231" t="s">
        <v>206</v>
      </c>
    </row>
    <row r="1265" spans="2:11" x14ac:dyDescent="0.25">
      <c r="B1265" s="235">
        <v>45035</v>
      </c>
      <c r="C1265" s="233">
        <v>3</v>
      </c>
      <c r="E1265" s="238">
        <v>0.25416666666666665</v>
      </c>
      <c r="F1265" s="204">
        <v>0.26458333333333334</v>
      </c>
      <c r="G1265" s="193">
        <f>IFERROR(IF(E1265&gt;F1265,((F1265+E376B376+1)-(E1265+#REF!))*24,HOUR(F1265-E1265)+MINUTE(F1265-E1265)/60),"")</f>
        <v>0.25</v>
      </c>
      <c r="H1265" s="230" t="s">
        <v>55</v>
      </c>
      <c r="I1265" s="330" t="s">
        <v>511</v>
      </c>
      <c r="J1265" s="231" t="s">
        <v>203</v>
      </c>
      <c r="K1265" s="279" t="s">
        <v>1027</v>
      </c>
    </row>
    <row r="1266" spans="2:11" x14ac:dyDescent="0.25">
      <c r="B1266" s="235">
        <v>45035</v>
      </c>
      <c r="C1266" s="195">
        <v>3</v>
      </c>
      <c r="E1266" s="238">
        <v>0.28125</v>
      </c>
      <c r="F1266" s="204">
        <v>0.29166666666666669</v>
      </c>
      <c r="G1266" s="193">
        <f>IFERROR(IF(E1266&gt;F1266,((F1266+E376B376+1)-(E1266+#REF!))*24,HOUR(F1266-E1266)+MINUTE(F1266-E1266)/60),"")</f>
        <v>0.25</v>
      </c>
      <c r="H1266" s="230" t="s">
        <v>55</v>
      </c>
      <c r="I1266" s="230" t="s">
        <v>509</v>
      </c>
      <c r="J1266" s="231" t="s">
        <v>114</v>
      </c>
    </row>
    <row r="1267" spans="2:11" x14ac:dyDescent="0.25">
      <c r="B1267" s="235">
        <v>45036</v>
      </c>
      <c r="C1267" s="195">
        <v>1</v>
      </c>
      <c r="E1267" s="238">
        <v>0.29166666666666669</v>
      </c>
      <c r="F1267" s="204">
        <v>0.43194444444444446</v>
      </c>
      <c r="G1267" s="193">
        <f>IFERROR(IF(E1267&gt;F1267,((F1267+E376B376+1)-(E1267+#REF!))*24,HOUR(F1267-E1267)+MINUTE(F1267-E1267)/60),"")</f>
        <v>3.3666666666666667</v>
      </c>
      <c r="I1267" s="339" t="s">
        <v>156</v>
      </c>
      <c r="J1267" s="339" t="s">
        <v>149</v>
      </c>
    </row>
    <row r="1268" spans="2:11" x14ac:dyDescent="0.25">
      <c r="B1268" s="235">
        <v>45036</v>
      </c>
      <c r="C1268" s="233">
        <v>1</v>
      </c>
      <c r="E1268" s="238">
        <v>0.44513888888888892</v>
      </c>
      <c r="F1268" s="204">
        <v>0.45763888888888887</v>
      </c>
      <c r="G1268" s="193">
        <f>IFERROR(IF(E1268&gt;F1268,((F1268+E376B376+1)-(E1268+#REF!))*24,HOUR(F1268-E1268)+MINUTE(F1268-E1268)/60),"")</f>
        <v>0.3</v>
      </c>
      <c r="H1268" s="230" t="s">
        <v>55</v>
      </c>
      <c r="I1268" s="330" t="s">
        <v>511</v>
      </c>
      <c r="J1268" s="231" t="s">
        <v>203</v>
      </c>
    </row>
    <row r="1269" spans="2:11" x14ac:dyDescent="0.25">
      <c r="B1269" s="235">
        <v>45036</v>
      </c>
      <c r="C1269" s="233">
        <v>1</v>
      </c>
      <c r="E1269" s="238">
        <v>0.47569444444444442</v>
      </c>
      <c r="F1269" s="204">
        <v>0.4861111111111111</v>
      </c>
      <c r="G1269" s="193">
        <f>IFERROR(IF(E1269&gt;F1269,((F1269+E376B376+1)-(E1269+#REF!))*24,HOUR(F1269-E1269)+MINUTE(F1269-E1269)/60),"")</f>
        <v>0.25</v>
      </c>
      <c r="H1269" s="230" t="s">
        <v>55</v>
      </c>
      <c r="I1269" s="330" t="s">
        <v>511</v>
      </c>
      <c r="J1269" s="231" t="s">
        <v>203</v>
      </c>
    </row>
    <row r="1270" spans="2:11" x14ac:dyDescent="0.25">
      <c r="B1270" s="235">
        <v>45036</v>
      </c>
      <c r="C1270" s="233">
        <v>1</v>
      </c>
      <c r="E1270" s="238">
        <v>0.5</v>
      </c>
      <c r="F1270" s="204">
        <v>0.625</v>
      </c>
      <c r="G1270" s="193">
        <f>IFERROR(IF(E1270&gt;F1270,((F1270+E376B376+1)-(E1270+#REF!))*24,HOUR(F1270-E1270)+MINUTE(F1270-E1270)/60),"")</f>
        <v>3</v>
      </c>
      <c r="I1270" s="230" t="s">
        <v>513</v>
      </c>
      <c r="J1270" s="230" t="s">
        <v>141</v>
      </c>
    </row>
    <row r="1271" spans="2:11" x14ac:dyDescent="0.25">
      <c r="B1271" s="235">
        <v>45036</v>
      </c>
      <c r="C1271" s="195">
        <v>2</v>
      </c>
      <c r="E1271" s="238">
        <v>0.625</v>
      </c>
      <c r="F1271" s="204">
        <v>0.95833333333333337</v>
      </c>
      <c r="G1271" s="193">
        <f>IFERROR(IF(E1271&gt;F1271,((F1271+E376B376+1)-(E1271+#REF!))*24,HOUR(F1271-E1271)+MINUTE(F1271-E1271)/60),"")</f>
        <v>8</v>
      </c>
      <c r="I1271" s="230" t="s">
        <v>513</v>
      </c>
      <c r="J1271" s="230" t="s">
        <v>141</v>
      </c>
    </row>
    <row r="1272" spans="2:11" x14ac:dyDescent="0.25">
      <c r="B1272" s="235">
        <v>45036</v>
      </c>
      <c r="C1272" s="195">
        <v>3</v>
      </c>
      <c r="E1272" s="238">
        <v>0.95833333333333337</v>
      </c>
      <c r="F1272" s="204">
        <v>0.29166666666666669</v>
      </c>
      <c r="G1272" s="193">
        <v>8</v>
      </c>
      <c r="I1272" s="230" t="s">
        <v>513</v>
      </c>
      <c r="J1272" s="230" t="s">
        <v>141</v>
      </c>
    </row>
    <row r="1273" spans="2:11" x14ac:dyDescent="0.25">
      <c r="B1273" s="235">
        <v>45037</v>
      </c>
      <c r="C1273" s="195">
        <v>1</v>
      </c>
      <c r="E1273" s="238">
        <v>0.29166666666666669</v>
      </c>
      <c r="F1273" s="204">
        <v>0.625</v>
      </c>
      <c r="G1273" s="193">
        <f>IFERROR(IF(E1273&gt;F1273,((F1273+E376B376+1)-(E1273+#REF!))*24,HOUR(F1273-E1273)+MINUTE(F1273-E1273)/60),"")</f>
        <v>8</v>
      </c>
      <c r="I1273" s="230" t="s">
        <v>513</v>
      </c>
      <c r="J1273" s="230" t="s">
        <v>141</v>
      </c>
    </row>
    <row r="1274" spans="2:11" x14ac:dyDescent="0.25">
      <c r="B1274" s="235">
        <v>45037</v>
      </c>
      <c r="C1274" s="233">
        <v>2</v>
      </c>
      <c r="D1274" s="233"/>
      <c r="E1274" s="238">
        <v>0.625</v>
      </c>
      <c r="F1274" s="204">
        <v>0.95833333333333337</v>
      </c>
      <c r="G1274" s="193">
        <f>IFERROR(IF(E1274&gt;F1274,((F1274+E376B376+1)-(E1274+#REF!))*24,HOUR(F1274-E1274)+MINUTE(F1274-E1274)/60),"")</f>
        <v>8</v>
      </c>
      <c r="I1274" s="230" t="s">
        <v>513</v>
      </c>
      <c r="J1274" s="230" t="s">
        <v>141</v>
      </c>
    </row>
    <row r="1275" spans="2:11" x14ac:dyDescent="0.25">
      <c r="B1275" s="235">
        <v>45037</v>
      </c>
      <c r="C1275" s="233">
        <v>3</v>
      </c>
      <c r="D1275" s="233"/>
      <c r="E1275" s="238">
        <v>0.95833333333333337</v>
      </c>
      <c r="F1275" s="204">
        <v>0.29166666666666669</v>
      </c>
      <c r="G1275" s="193">
        <v>8</v>
      </c>
      <c r="I1275" s="230" t="s">
        <v>513</v>
      </c>
      <c r="J1275" s="230" t="s">
        <v>141</v>
      </c>
    </row>
    <row r="1276" spans="2:11" x14ac:dyDescent="0.25">
      <c r="B1276" s="235">
        <v>45038</v>
      </c>
      <c r="C1276" s="195">
        <v>1</v>
      </c>
      <c r="E1276" s="238">
        <v>0.29166666666666669</v>
      </c>
      <c r="F1276" s="204">
        <v>0.625</v>
      </c>
      <c r="G1276" s="193">
        <f>IFERROR(IF(E1276&gt;F1276,((F1276+E376B376+1)-(E1276+#REF!))*24,HOUR(F1276-E1276)+MINUTE(F1276-E1276)/60),"")</f>
        <v>8</v>
      </c>
      <c r="I1276" s="230" t="s">
        <v>513</v>
      </c>
      <c r="J1276" s="230" t="s">
        <v>141</v>
      </c>
    </row>
    <row r="1277" spans="2:11" x14ac:dyDescent="0.25">
      <c r="B1277" s="235">
        <v>45038</v>
      </c>
      <c r="C1277" s="195">
        <v>2</v>
      </c>
      <c r="E1277" s="238">
        <v>0.625</v>
      </c>
      <c r="F1277" s="204">
        <v>0.95833333333333337</v>
      </c>
      <c r="G1277" s="193">
        <f>IFERROR(IF(E1277&gt;F1277,((F1277+E376B376+1)-(E1277+#REF!))*24,HOUR(F1277-E1277)+MINUTE(F1277-E1277)/60),"")</f>
        <v>8</v>
      </c>
      <c r="I1277" s="230" t="s">
        <v>513</v>
      </c>
      <c r="J1277" s="230" t="s">
        <v>141</v>
      </c>
    </row>
    <row r="1278" spans="2:11" x14ac:dyDescent="0.25">
      <c r="B1278" s="235">
        <v>45038</v>
      </c>
      <c r="C1278" s="195">
        <v>3</v>
      </c>
      <c r="E1278" s="238">
        <v>0.95833333333333337</v>
      </c>
      <c r="F1278" s="204">
        <v>0.29166666666666669</v>
      </c>
      <c r="G1278" s="193">
        <v>8</v>
      </c>
      <c r="I1278" s="230" t="s">
        <v>513</v>
      </c>
      <c r="J1278" s="230" t="s">
        <v>141</v>
      </c>
    </row>
    <row r="1279" spans="2:11" x14ac:dyDescent="0.25">
      <c r="B1279" s="235">
        <v>45039</v>
      </c>
      <c r="C1279" s="233">
        <v>1</v>
      </c>
      <c r="D1279" s="233"/>
      <c r="E1279" s="238">
        <v>0.29166666666666669</v>
      </c>
      <c r="F1279" s="204">
        <v>0.625</v>
      </c>
      <c r="G1279" s="193">
        <f>IFERROR(IF(E1279&gt;F1279,((F1279+E376B376+1)-(E1279+#REF!))*24,HOUR(F1279-E1279)+MINUTE(F1279-E1279)/60),"")</f>
        <v>8</v>
      </c>
      <c r="I1279" s="230" t="s">
        <v>513</v>
      </c>
      <c r="J1279" s="230" t="s">
        <v>141</v>
      </c>
    </row>
    <row r="1280" spans="2:11" x14ac:dyDescent="0.25">
      <c r="B1280" s="235">
        <v>45039</v>
      </c>
      <c r="C1280" s="233">
        <v>2</v>
      </c>
      <c r="D1280" s="233"/>
      <c r="E1280" s="238">
        <v>0.625</v>
      </c>
      <c r="F1280" s="204">
        <v>0.95833333333333337</v>
      </c>
      <c r="G1280" s="193">
        <f>IFERROR(IF(E1280&gt;F1280,((F1280+E376B376+1)-(E1280+#REF!))*24,HOUR(F1280-E1280)+MINUTE(F1280-E1280)/60),"")</f>
        <v>8</v>
      </c>
      <c r="I1280" s="230" t="s">
        <v>513</v>
      </c>
      <c r="J1280" s="230" t="s">
        <v>141</v>
      </c>
    </row>
    <row r="1281" spans="2:10" x14ac:dyDescent="0.25">
      <c r="B1281" s="235">
        <v>45039</v>
      </c>
      <c r="C1281" s="233">
        <v>3</v>
      </c>
      <c r="D1281" s="233"/>
      <c r="E1281" s="238">
        <v>0.95833333333333337</v>
      </c>
      <c r="F1281" s="204">
        <v>0.29166666666666669</v>
      </c>
      <c r="G1281" s="193">
        <v>8</v>
      </c>
      <c r="I1281" s="230" t="s">
        <v>513</v>
      </c>
      <c r="J1281" s="230" t="s">
        <v>141</v>
      </c>
    </row>
    <row r="1282" spans="2:10" x14ac:dyDescent="0.25">
      <c r="B1282" s="235">
        <v>45040</v>
      </c>
      <c r="C1282" s="195">
        <v>1</v>
      </c>
      <c r="E1282" s="238">
        <v>0.29166666666666669</v>
      </c>
      <c r="F1282" s="204">
        <v>0.625</v>
      </c>
      <c r="G1282" s="193">
        <f>IFERROR(IF(E1282&gt;F1282,((F1282+E376B376+1)-(E1282+#REF!))*24,HOUR(F1282-E1282)+MINUTE(F1282-E1282)/60),"")</f>
        <v>8</v>
      </c>
      <c r="I1282" s="230" t="s">
        <v>513</v>
      </c>
      <c r="J1282" s="230" t="s">
        <v>141</v>
      </c>
    </row>
    <row r="1283" spans="2:10" x14ac:dyDescent="0.25">
      <c r="B1283" s="235">
        <v>45040</v>
      </c>
      <c r="C1283" s="233">
        <v>2</v>
      </c>
      <c r="D1283" s="233"/>
      <c r="E1283" s="238">
        <v>0.625</v>
      </c>
      <c r="F1283" s="204">
        <v>0.95833333333333337</v>
      </c>
      <c r="G1283" s="193">
        <f>IFERROR(IF(E1283&gt;F1283,((F1283+E376B376+1)-(E1283+#REF!))*24,HOUR(F1283-E1283)+MINUTE(F1283-E1283)/60),"")</f>
        <v>8</v>
      </c>
      <c r="I1283" s="230" t="s">
        <v>513</v>
      </c>
      <c r="J1283" s="230" t="s">
        <v>141</v>
      </c>
    </row>
    <row r="1284" spans="2:10" x14ac:dyDescent="0.25">
      <c r="B1284" s="235">
        <v>45040</v>
      </c>
      <c r="C1284" s="233">
        <v>3</v>
      </c>
      <c r="D1284" s="233"/>
      <c r="E1284" s="238">
        <v>0.95833333333333337</v>
      </c>
      <c r="F1284" s="204">
        <v>0.29166666666666669</v>
      </c>
      <c r="G1284" s="193">
        <v>8</v>
      </c>
      <c r="I1284" s="230" t="s">
        <v>513</v>
      </c>
      <c r="J1284" s="230" t="s">
        <v>141</v>
      </c>
    </row>
    <row r="1285" spans="2:10" x14ac:dyDescent="0.25">
      <c r="B1285" s="235">
        <v>45041</v>
      </c>
      <c r="C1285" s="233">
        <v>1</v>
      </c>
      <c r="D1285" s="233"/>
      <c r="E1285" s="238">
        <v>0.29166666666666669</v>
      </c>
      <c r="F1285" s="204">
        <v>0.625</v>
      </c>
      <c r="G1285" s="193">
        <f>IFERROR(IF(E1285&gt;F1285,((F1285+E376B376+1)-(E1285+#REF!))*24,HOUR(F1285-E1285)+MINUTE(F1285-E1285)/60),"")</f>
        <v>8</v>
      </c>
      <c r="I1285" s="230" t="s">
        <v>513</v>
      </c>
      <c r="J1285" s="230" t="s">
        <v>141</v>
      </c>
    </row>
    <row r="1286" spans="2:10" x14ac:dyDescent="0.25">
      <c r="B1286" s="235">
        <v>45041</v>
      </c>
      <c r="C1286" s="195">
        <v>2</v>
      </c>
      <c r="E1286" s="238">
        <v>0.625</v>
      </c>
      <c r="F1286" s="204">
        <v>0.95833333333333337</v>
      </c>
      <c r="G1286" s="193">
        <f>IFERROR(IF(E1286&gt;F1286,((F1286+E376B376+1)-(E1286+#REF!))*24,HOUR(F1286-E1286)+MINUTE(F1286-E1286)/60),"")</f>
        <v>8</v>
      </c>
      <c r="I1286" s="230" t="s">
        <v>513</v>
      </c>
      <c r="J1286" s="230" t="s">
        <v>141</v>
      </c>
    </row>
    <row r="1287" spans="2:10" x14ac:dyDescent="0.25">
      <c r="B1287" s="235">
        <v>45041</v>
      </c>
      <c r="C1287" s="195">
        <v>3</v>
      </c>
      <c r="E1287" s="238">
        <v>0.95833333333333337</v>
      </c>
      <c r="F1287" s="204">
        <v>0.29166666666666669</v>
      </c>
      <c r="G1287" s="193">
        <v>8</v>
      </c>
      <c r="I1287" s="230" t="s">
        <v>513</v>
      </c>
      <c r="J1287" s="230" t="s">
        <v>141</v>
      </c>
    </row>
    <row r="1288" spans="2:10" x14ac:dyDescent="0.25">
      <c r="B1288" s="235">
        <v>45042</v>
      </c>
      <c r="C1288" s="195">
        <v>1</v>
      </c>
      <c r="E1288" s="238">
        <v>0.29166666666666669</v>
      </c>
      <c r="F1288" s="204">
        <v>0.375</v>
      </c>
      <c r="G1288" s="193">
        <f>IFERROR(IF(E1288&gt;F1288,((F1288+E376B376+1)-(E1288+#REF!))*24,HOUR(F1288-E1288)+MINUTE(F1288-E1288)/60),"")</f>
        <v>2</v>
      </c>
      <c r="I1288" s="230" t="s">
        <v>513</v>
      </c>
      <c r="J1288" s="230" t="s">
        <v>141</v>
      </c>
    </row>
    <row r="1289" spans="2:10" x14ac:dyDescent="0.25">
      <c r="B1289" s="235">
        <v>45042</v>
      </c>
      <c r="C1289" s="195">
        <v>1</v>
      </c>
      <c r="E1289" s="238">
        <v>0.47916666666666669</v>
      </c>
      <c r="F1289" s="204">
        <v>0.5</v>
      </c>
      <c r="G1289" s="193">
        <f>IFERROR(IF(E1289&gt;F1289,((F1289+E376B376+1)-(E1289+#REF!))*24,HOUR(F1289-E1289)+MINUTE(F1289-E1289)/60),"")</f>
        <v>0.5</v>
      </c>
      <c r="H1289" s="230" t="s">
        <v>55</v>
      </c>
      <c r="I1289" s="230" t="s">
        <v>509</v>
      </c>
      <c r="J1289" s="231" t="s">
        <v>211</v>
      </c>
    </row>
    <row r="1290" spans="2:10" x14ac:dyDescent="0.25">
      <c r="B1290" s="235">
        <v>45042</v>
      </c>
      <c r="C1290" s="195">
        <v>2</v>
      </c>
      <c r="E1290" s="238">
        <v>0.625</v>
      </c>
      <c r="F1290" s="204">
        <v>0.65625</v>
      </c>
      <c r="G1290" s="193">
        <f>IFERROR(IF(E1290&gt;F1290,((F1290+E376B376+1)-(E1290+#REF!))*24,HOUR(F1290-E1290)+MINUTE(F1290-E1290)/60),"")</f>
        <v>0.75</v>
      </c>
      <c r="H1290" s="230" t="s">
        <v>55</v>
      </c>
      <c r="I1290" s="230" t="s">
        <v>509</v>
      </c>
      <c r="J1290" s="231" t="s">
        <v>114</v>
      </c>
    </row>
    <row r="1291" spans="2:10" x14ac:dyDescent="0.25">
      <c r="B1291" s="235">
        <v>45042</v>
      </c>
      <c r="C1291" s="233">
        <v>2</v>
      </c>
      <c r="E1291" s="238">
        <v>0.66666666666666663</v>
      </c>
      <c r="F1291" s="204">
        <v>0.67708333333333337</v>
      </c>
      <c r="G1291" s="193">
        <f>IFERROR(IF(E1291&gt;F1291,((F1291+E376B376+1)-(E1291+#REF!))*24,HOUR(F1291-E1291)+MINUTE(F1291-E1291)/60),"")</f>
        <v>0.25</v>
      </c>
      <c r="H1291" s="230" t="s">
        <v>55</v>
      </c>
      <c r="I1291" s="230" t="s">
        <v>509</v>
      </c>
      <c r="J1291" s="231" t="s">
        <v>203</v>
      </c>
    </row>
    <row r="1292" spans="2:10" x14ac:dyDescent="0.25">
      <c r="B1292" s="235">
        <v>45042</v>
      </c>
      <c r="C1292" s="233">
        <v>2</v>
      </c>
      <c r="E1292" s="238">
        <v>0.75</v>
      </c>
      <c r="F1292" s="204">
        <v>0.76041666666666663</v>
      </c>
      <c r="G1292" s="193">
        <f>IFERROR(IF(E1292&gt;F1292,((F1292+E376B376+1)-(E1292+#REF!))*24,HOUR(F1292-E1292)+MINUTE(F1292-E1292)/60),"")</f>
        <v>0.25</v>
      </c>
      <c r="H1292" s="230" t="s">
        <v>55</v>
      </c>
      <c r="I1292" s="230" t="s">
        <v>509</v>
      </c>
      <c r="J1292" s="231" t="s">
        <v>203</v>
      </c>
    </row>
    <row r="1293" spans="2:10" x14ac:dyDescent="0.25">
      <c r="B1293" s="235">
        <v>45042</v>
      </c>
      <c r="C1293" s="195">
        <v>3</v>
      </c>
      <c r="E1293" s="238">
        <v>0.95833333333333337</v>
      </c>
      <c r="F1293" s="204">
        <v>0.97083333333333333</v>
      </c>
      <c r="G1293" s="193">
        <f>IFERROR(IF(E1293&gt;F1293,((F1293+E376B376+1)-(E1293+#REF!))*24,HOUR(F1293-E1293)+MINUTE(F1293-E1293)/60),"")</f>
        <v>0.3</v>
      </c>
      <c r="H1293" s="230" t="s">
        <v>55</v>
      </c>
      <c r="I1293" s="230" t="s">
        <v>509</v>
      </c>
      <c r="J1293" s="231" t="s">
        <v>114</v>
      </c>
    </row>
    <row r="1294" spans="2:10" x14ac:dyDescent="0.25">
      <c r="B1294" s="235">
        <v>45042</v>
      </c>
      <c r="C1294" s="233">
        <v>3</v>
      </c>
      <c r="E1294" s="238">
        <v>0.1111111111111111</v>
      </c>
      <c r="F1294" s="204">
        <v>0.11805555555555557</v>
      </c>
      <c r="G1294" s="193">
        <f>IFERROR(IF(E1294&gt;F1294,((F1294+E376B376+1)-(E1294+#REF!))*24,HOUR(F1294-E1294)+MINUTE(F1294-E1294)/60),"")</f>
        <v>0.16666666666666666</v>
      </c>
      <c r="H1294" s="230" t="s">
        <v>142</v>
      </c>
      <c r="I1294" s="230" t="s">
        <v>509</v>
      </c>
      <c r="J1294" s="231" t="s">
        <v>611</v>
      </c>
    </row>
    <row r="1295" spans="2:10" x14ac:dyDescent="0.25">
      <c r="B1295" s="235">
        <v>45042</v>
      </c>
      <c r="C1295" s="233">
        <v>3</v>
      </c>
      <c r="E1295" s="238">
        <v>0.11805555555555557</v>
      </c>
      <c r="F1295" s="204">
        <v>0.13541666666666666</v>
      </c>
      <c r="G1295" s="193">
        <f>IFERROR(IF(E1295&gt;F1295,((F1295+E376B376+1)-(E1295+#REF!))*24,HOUR(F1295-E1295)+MINUTE(F1295-E1295)/60),"")</f>
        <v>0.41666666666666669</v>
      </c>
      <c r="H1295" s="230" t="s">
        <v>55</v>
      </c>
      <c r="I1295" s="230" t="s">
        <v>509</v>
      </c>
      <c r="J1295" s="231" t="s">
        <v>211</v>
      </c>
    </row>
    <row r="1296" spans="2:10" x14ac:dyDescent="0.25">
      <c r="B1296" s="235">
        <v>45042</v>
      </c>
      <c r="C1296" s="233">
        <v>3</v>
      </c>
      <c r="E1296" s="238">
        <v>0.16666666666666666</v>
      </c>
      <c r="F1296" s="204">
        <v>0.17708333333333334</v>
      </c>
      <c r="G1296" s="193">
        <f>IFERROR(IF(E1296&gt;F1296,((F1296+E376B376+1)-(E1296+#REF!))*24,HOUR(F1296-E1296)+MINUTE(F1296-E1296)/60),"")</f>
        <v>0.25</v>
      </c>
      <c r="H1296" s="230" t="s">
        <v>55</v>
      </c>
      <c r="I1296" s="230" t="s">
        <v>509</v>
      </c>
      <c r="J1296" s="231" t="s">
        <v>203</v>
      </c>
    </row>
    <row r="1297" spans="2:11" x14ac:dyDescent="0.25">
      <c r="B1297" s="235">
        <v>45042</v>
      </c>
      <c r="C1297" s="233">
        <v>3</v>
      </c>
      <c r="E1297" s="238">
        <v>0.19791666666666666</v>
      </c>
      <c r="F1297" s="204">
        <v>0.20833333333333334</v>
      </c>
      <c r="G1297" s="193">
        <f>IFERROR(IF(E1297&gt;F1297,((F1297+E376B376+1)-(E1297+#REF!))*24,HOUR(F1297-E1297)+MINUTE(F1297-E1297)/60),"")</f>
        <v>0.25</v>
      </c>
      <c r="H1297" s="230" t="s">
        <v>55</v>
      </c>
      <c r="I1297" s="230" t="s">
        <v>509</v>
      </c>
      <c r="J1297" s="231" t="s">
        <v>203</v>
      </c>
    </row>
    <row r="1298" spans="2:11" x14ac:dyDescent="0.25">
      <c r="B1298" s="235">
        <v>45043</v>
      </c>
      <c r="C1298" s="195">
        <v>1</v>
      </c>
      <c r="E1298" s="238">
        <v>0.2951388888888889</v>
      </c>
      <c r="F1298" s="204">
        <v>0.30902777777777779</v>
      </c>
      <c r="G1298" s="193">
        <f>IFERROR(IF(E1298&gt;F1298,((F1298+E376B376+1)-(E1298+#REF!))*24,HOUR(F1298-E1298)+MINUTE(F1298-E1298)/60),"")</f>
        <v>0.33333333333333331</v>
      </c>
      <c r="H1298" s="230" t="s">
        <v>55</v>
      </c>
      <c r="I1298" s="230" t="s">
        <v>509</v>
      </c>
      <c r="J1298" s="231" t="s">
        <v>203</v>
      </c>
    </row>
    <row r="1299" spans="2:11" x14ac:dyDescent="0.25">
      <c r="B1299" s="235">
        <v>45043</v>
      </c>
      <c r="C1299" s="195">
        <v>1</v>
      </c>
      <c r="E1299" s="238">
        <v>0.43402777777777773</v>
      </c>
      <c r="F1299" s="204">
        <v>0.52430555555555558</v>
      </c>
      <c r="G1299" s="193">
        <f>IFERROR(IF(E1299&gt;F1299,((F1299+E376B376+1)-(E1299+#REF!))*24,HOUR(F1299-E1299)+MINUTE(F1299-E1299)/60),"")</f>
        <v>2.1666666666666665</v>
      </c>
      <c r="H1299" s="230" t="s">
        <v>204</v>
      </c>
      <c r="I1299" s="230" t="s">
        <v>509</v>
      </c>
      <c r="J1299" s="345" t="s">
        <v>126</v>
      </c>
    </row>
    <row r="1300" spans="2:11" x14ac:dyDescent="0.25">
      <c r="B1300" s="235">
        <v>45043</v>
      </c>
      <c r="C1300" s="233">
        <v>1</v>
      </c>
      <c r="E1300" s="238">
        <v>0.52430555555555558</v>
      </c>
      <c r="F1300" s="204">
        <v>0.59375</v>
      </c>
      <c r="G1300" s="193">
        <f>IFERROR(IF(E1300&gt;F1300,((F1300+E376B376+1)-(E1300+#REF!))*24,HOUR(F1300-E1300)+MINUTE(F1300-E1300)/60),"")</f>
        <v>1.6666666666666665</v>
      </c>
      <c r="H1300" s="230" t="s">
        <v>198</v>
      </c>
      <c r="I1300" s="230" t="s">
        <v>511</v>
      </c>
      <c r="J1300" s="231" t="s">
        <v>115</v>
      </c>
      <c r="K1300" s="176" t="s">
        <v>1155</v>
      </c>
    </row>
    <row r="1301" spans="2:11" s="237" customFormat="1" x14ac:dyDescent="0.25">
      <c r="B1301" s="290">
        <v>45043</v>
      </c>
      <c r="C1301" s="237">
        <v>2</v>
      </c>
      <c r="E1301" s="291">
        <v>0.64444444444444449</v>
      </c>
      <c r="F1301" s="334">
        <v>0.66041666666666665</v>
      </c>
      <c r="G1301" s="335">
        <f>IFERROR(IF(E1301&gt;F1301,((F1301+E376B376+1)-(E1301+#REF!))*24,HOUR(F1301-E1301)+MINUTE(F1301-E1301)/60),"")</f>
        <v>0.38333333333333336</v>
      </c>
      <c r="H1301" s="329" t="s">
        <v>55</v>
      </c>
      <c r="I1301" s="329" t="s">
        <v>511</v>
      </c>
      <c r="J1301" s="329" t="s">
        <v>203</v>
      </c>
      <c r="K1301" s="336"/>
    </row>
    <row r="1302" spans="2:11" x14ac:dyDescent="0.25">
      <c r="B1302" s="235">
        <v>45043</v>
      </c>
      <c r="C1302" s="195">
        <v>2</v>
      </c>
      <c r="E1302" s="238">
        <v>0.72361111111111109</v>
      </c>
      <c r="F1302" s="204">
        <v>0.72499999999999998</v>
      </c>
      <c r="G1302" s="193">
        <f>IFERROR(IF(E1302&gt;F1302,((F1302+E376B376+1)-(E1302+#REF!))*24,HOUR(F1302-E1302)+MINUTE(F1302-E1302)/60),"")</f>
        <v>3.3333333333333333E-2</v>
      </c>
      <c r="H1302" s="230" t="s">
        <v>147</v>
      </c>
      <c r="I1302" s="230" t="s">
        <v>511</v>
      </c>
      <c r="J1302" s="231" t="s">
        <v>517</v>
      </c>
      <c r="K1302" s="176" t="s">
        <v>1157</v>
      </c>
    </row>
    <row r="1303" spans="2:11" x14ac:dyDescent="0.25">
      <c r="B1303" s="235">
        <v>45043</v>
      </c>
      <c r="C1303" s="233">
        <v>2</v>
      </c>
      <c r="E1303" s="238">
        <v>0.72499999999999998</v>
      </c>
      <c r="F1303" s="204">
        <v>0.73402777777777783</v>
      </c>
      <c r="G1303" s="193">
        <f>IFERROR(IF(E1303&gt;F1303,((F1303+E376B376+1)-(E1303+#REF!))*24,HOUR(F1303-E1303)+MINUTE(F1303-E1303)/60),"")</f>
        <v>0.21666666666666667</v>
      </c>
      <c r="H1303" s="230" t="s">
        <v>147</v>
      </c>
      <c r="I1303" s="230" t="s">
        <v>511</v>
      </c>
      <c r="J1303" s="231" t="s">
        <v>758</v>
      </c>
      <c r="K1303" s="279" t="s">
        <v>1158</v>
      </c>
    </row>
    <row r="1304" spans="2:11" x14ac:dyDescent="0.25">
      <c r="B1304" s="235">
        <v>45043</v>
      </c>
      <c r="C1304" s="233">
        <v>2</v>
      </c>
      <c r="E1304" s="238">
        <v>0.81319444444444444</v>
      </c>
      <c r="F1304" s="204">
        <v>0.82361111111111107</v>
      </c>
      <c r="G1304" s="193">
        <f>IFERROR(IF(E1304&gt;F1304,((F1304+E376B376+1)-(E1304+#REF!))*24,HOUR(F1304-E1304)+MINUTE(F1304-E1304)/60),"")</f>
        <v>0.25</v>
      </c>
      <c r="H1304" s="230" t="s">
        <v>55</v>
      </c>
      <c r="I1304" s="230" t="s">
        <v>511</v>
      </c>
      <c r="J1304" s="231" t="s">
        <v>203</v>
      </c>
      <c r="K1304" s="279" t="s">
        <v>1027</v>
      </c>
    </row>
    <row r="1305" spans="2:11" x14ac:dyDescent="0.25">
      <c r="B1305" s="235">
        <v>45043</v>
      </c>
      <c r="C1305" s="233">
        <v>2</v>
      </c>
      <c r="E1305" s="238">
        <v>0.88888888888888884</v>
      </c>
      <c r="F1305" s="204">
        <v>0.93611111111111101</v>
      </c>
      <c r="G1305" s="193">
        <f>IFERROR(IF(E1305&gt;F1305,((F1305+E376B376+1)-(E1305+#REF!))*24,HOUR(F1305-E1305)+MINUTE(F1305-E1305)/60),"")</f>
        <v>1.1333333333333333</v>
      </c>
      <c r="H1305" s="230" t="s">
        <v>198</v>
      </c>
      <c r="I1305" s="230" t="s">
        <v>510</v>
      </c>
      <c r="J1305" s="231" t="s">
        <v>111</v>
      </c>
      <c r="K1305" s="176" t="s">
        <v>1159</v>
      </c>
    </row>
    <row r="1306" spans="2:11" x14ac:dyDescent="0.25">
      <c r="B1306" s="235">
        <v>45043</v>
      </c>
      <c r="C1306" s="233">
        <v>2</v>
      </c>
      <c r="E1306" s="238">
        <v>0.94444444444444453</v>
      </c>
      <c r="F1306" s="204">
        <v>0.95833333333333337</v>
      </c>
      <c r="G1306" s="193">
        <f>IFERROR(IF(E1306&gt;F1306,((F1306+E376B376+1)-(E1306+#REF!))*24,HOUR(F1306-E1306)+MINUTE(F1306-E1306)/60),"")</f>
        <v>0.33333333333333331</v>
      </c>
      <c r="I1306" s="230" t="s">
        <v>513</v>
      </c>
      <c r="J1306" s="230" t="s">
        <v>141</v>
      </c>
      <c r="K1306" s="176" t="s">
        <v>1160</v>
      </c>
    </row>
    <row r="1307" spans="2:11" x14ac:dyDescent="0.25">
      <c r="B1307" s="235">
        <v>45043</v>
      </c>
      <c r="C1307" s="195">
        <v>3</v>
      </c>
      <c r="E1307" s="238">
        <v>0.95833333333333337</v>
      </c>
      <c r="F1307" s="204">
        <v>45024.291666666664</v>
      </c>
      <c r="G1307" s="193">
        <f>IFERROR(IF(E1307&gt;F1307,((F1307+E376B376+1)-(E1307+#REF!))*24,HOUR(F1307-E1307)+MINUTE(F1307-E1307)/60),"")</f>
        <v>8</v>
      </c>
      <c r="I1307" s="230" t="s">
        <v>513</v>
      </c>
      <c r="J1307" s="230" t="s">
        <v>141</v>
      </c>
    </row>
    <row r="1308" spans="2:11" x14ac:dyDescent="0.25">
      <c r="B1308" s="235">
        <v>45044</v>
      </c>
      <c r="C1308" s="195">
        <v>1</v>
      </c>
      <c r="E1308" s="238">
        <v>0.29166666666666669</v>
      </c>
      <c r="F1308" s="204">
        <v>0.625</v>
      </c>
      <c r="G1308" s="193">
        <f>IFERROR(IF(E1308&gt;F1308,((F1308+E376B376+1)-(E1308+#REF!))*24,HOUR(F1308-E1308)+MINUTE(F1308-E1308)/60),"")</f>
        <v>8</v>
      </c>
      <c r="I1308" s="230" t="s">
        <v>513</v>
      </c>
      <c r="J1308" s="230" t="s">
        <v>141</v>
      </c>
    </row>
    <row r="1309" spans="2:11" x14ac:dyDescent="0.25">
      <c r="B1309" s="235">
        <v>45044</v>
      </c>
      <c r="C1309" s="195">
        <v>2</v>
      </c>
      <c r="E1309" s="238">
        <v>0.625</v>
      </c>
      <c r="F1309" s="204">
        <v>0.95833333333333337</v>
      </c>
      <c r="G1309" s="193">
        <f>IFERROR(IF(E1309&gt;F1309,((F1309+E376B376+1)-(E1309+#REF!))*24,HOUR(F1309-E1309)+MINUTE(F1309-E1309)/60),"")</f>
        <v>8</v>
      </c>
      <c r="I1309" s="230" t="s">
        <v>513</v>
      </c>
      <c r="J1309" s="230" t="s">
        <v>141</v>
      </c>
    </row>
    <row r="1310" spans="2:11" x14ac:dyDescent="0.25">
      <c r="B1310" s="235">
        <v>45044</v>
      </c>
      <c r="C1310" s="195">
        <v>3</v>
      </c>
      <c r="E1310" s="238">
        <v>0.95833333333333337</v>
      </c>
      <c r="F1310" s="204">
        <v>45024.291666666664</v>
      </c>
      <c r="G1310" s="193">
        <f>IFERROR(IF(E1310&gt;F1310,((F1310+E376B376+1)-(E1310+#REF!))*24,HOUR(F1310-E1310)+MINUTE(F1310-E1310)/60),"")</f>
        <v>8</v>
      </c>
      <c r="I1310" s="230" t="s">
        <v>513</v>
      </c>
      <c r="J1310" s="230" t="s">
        <v>141</v>
      </c>
    </row>
    <row r="1311" spans="2:11" x14ac:dyDescent="0.25">
      <c r="B1311" s="235">
        <v>45045</v>
      </c>
      <c r="C1311" s="233">
        <v>1</v>
      </c>
      <c r="E1311" s="238">
        <v>0.29166666666666669</v>
      </c>
      <c r="F1311" s="204">
        <v>0.625</v>
      </c>
      <c r="G1311" s="193">
        <f>IFERROR(IF(E1311&gt;F1311,((F1311+E376B376+1)-(E1311+#REF!))*24,HOUR(F1311-E1311)+MINUTE(F1311-E1311)/60),"")</f>
        <v>8</v>
      </c>
      <c r="I1311" s="230" t="s">
        <v>513</v>
      </c>
      <c r="J1311" s="230" t="s">
        <v>141</v>
      </c>
    </row>
    <row r="1312" spans="2:11" x14ac:dyDescent="0.25">
      <c r="B1312" s="235">
        <v>45045</v>
      </c>
      <c r="C1312" s="233">
        <v>2</v>
      </c>
      <c r="E1312" s="238">
        <v>0.625</v>
      </c>
      <c r="F1312" s="204">
        <v>0.95833333333333337</v>
      </c>
      <c r="G1312" s="193">
        <f>IFERROR(IF(E1312&gt;F1312,((F1312+E376B376+1)-(E1312+#REF!))*24,HOUR(F1312-E1312)+MINUTE(F1312-E1312)/60),"")</f>
        <v>8</v>
      </c>
      <c r="I1312" s="230" t="s">
        <v>513</v>
      </c>
      <c r="J1312" s="230" t="s">
        <v>141</v>
      </c>
    </row>
    <row r="1313" spans="2:11" s="233" customFormat="1" x14ac:dyDescent="0.25">
      <c r="B1313" s="235">
        <v>45045</v>
      </c>
      <c r="C1313" s="233">
        <v>3</v>
      </c>
      <c r="E1313" s="238">
        <v>0.95833333333333337</v>
      </c>
      <c r="F1313" s="204">
        <v>45024.291666666664</v>
      </c>
      <c r="G1313" s="193">
        <f>IFERROR(IF(E1313&gt;F1313,((F1313+E376B376+1)-(E1313+#REF!))*24,HOUR(F1313-E1313)+MINUTE(F1313-E1313)/60),"")</f>
        <v>8</v>
      </c>
      <c r="H1313" s="230"/>
      <c r="I1313" s="230" t="s">
        <v>513</v>
      </c>
      <c r="J1313" s="230" t="s">
        <v>141</v>
      </c>
      <c r="K1313" s="176"/>
    </row>
    <row r="1314" spans="2:11" s="233" customFormat="1" x14ac:dyDescent="0.25">
      <c r="B1314" s="235">
        <v>45046</v>
      </c>
      <c r="C1314" s="233">
        <v>1</v>
      </c>
      <c r="E1314" s="238">
        <v>0.29166666666666669</v>
      </c>
      <c r="F1314" s="204">
        <v>0.625</v>
      </c>
      <c r="G1314" s="193">
        <f>IFERROR(IF(E1314&gt;F1314,((F1314+E376B376+1)-(E1314+#REF!))*24,HOUR(F1314-E1314)+MINUTE(F1314-E1314)/60),"")</f>
        <v>8</v>
      </c>
      <c r="H1314" s="230"/>
      <c r="I1314" s="230" t="s">
        <v>513</v>
      </c>
      <c r="J1314" s="230" t="s">
        <v>141</v>
      </c>
      <c r="K1314" s="176"/>
    </row>
    <row r="1315" spans="2:11" s="233" customFormat="1" x14ac:dyDescent="0.25">
      <c r="B1315" s="235">
        <v>45045</v>
      </c>
      <c r="C1315" s="233">
        <v>2</v>
      </c>
      <c r="E1315" s="238">
        <v>0.625</v>
      </c>
      <c r="F1315" s="204">
        <v>0.95833333333333337</v>
      </c>
      <c r="G1315" s="193">
        <f>IFERROR(IF(E1315&gt;F1315,((F1315+E376B376+1)-(E1315+#REF!))*24,HOUR(F1315-E1315)+MINUTE(F1315-E1315)/60),"")</f>
        <v>8</v>
      </c>
      <c r="H1315" s="230"/>
      <c r="I1315" s="230" t="s">
        <v>513</v>
      </c>
      <c r="J1315" s="230" t="s">
        <v>141</v>
      </c>
      <c r="K1315" s="176"/>
    </row>
    <row r="1316" spans="2:11" s="233" customFormat="1" x14ac:dyDescent="0.25">
      <c r="B1316" s="235">
        <v>45046</v>
      </c>
      <c r="C1316" s="233">
        <v>3</v>
      </c>
      <c r="E1316" s="238">
        <v>0.95833333333333337</v>
      </c>
      <c r="F1316" s="204">
        <v>45024.291666666664</v>
      </c>
      <c r="G1316" s="193">
        <f>IFERROR(IF(E1316&gt;F1316,((F1316+E376B376+1)-(E1316+#REF!))*24,HOUR(F1316-E1316)+MINUTE(F1316-E1316)/60),"")</f>
        <v>8</v>
      </c>
      <c r="H1316" s="230"/>
      <c r="I1316" s="230" t="s">
        <v>513</v>
      </c>
      <c r="J1316" s="230" t="s">
        <v>141</v>
      </c>
      <c r="K1316" s="176"/>
    </row>
    <row r="1317" spans="2:11" s="233" customFormat="1" x14ac:dyDescent="0.25">
      <c r="B1317" s="235">
        <v>45047</v>
      </c>
      <c r="C1317" s="233">
        <v>1</v>
      </c>
      <c r="E1317" s="238">
        <v>0.29166666666666669</v>
      </c>
      <c r="F1317" s="204">
        <v>0.625</v>
      </c>
      <c r="G1317" s="193">
        <f>IFERROR(IF(E1317&gt;F1317,((F1317+E376B376+1)-(E1317+#REF!))*24,HOUR(F1317-E1317)+MINUTE(F1317-E1317)/60),"")</f>
        <v>8</v>
      </c>
      <c r="H1317" s="230"/>
      <c r="I1317" s="230" t="s">
        <v>513</v>
      </c>
      <c r="J1317" s="230" t="s">
        <v>141</v>
      </c>
      <c r="K1317" s="176"/>
    </row>
    <row r="1318" spans="2:11" s="233" customFormat="1" x14ac:dyDescent="0.25">
      <c r="B1318" s="235">
        <v>45047</v>
      </c>
      <c r="C1318" s="233">
        <v>2</v>
      </c>
      <c r="E1318" s="238">
        <v>0.625</v>
      </c>
      <c r="F1318" s="204">
        <v>0.95833333333333337</v>
      </c>
      <c r="G1318" s="193">
        <f>IFERROR(IF(E1318&gt;F1318,((F1318+E376B376+1)-(E1318+#REF!))*24,HOUR(F1318-E1318)+MINUTE(F1318-E1318)/60),"")</f>
        <v>8</v>
      </c>
      <c r="H1318" s="230"/>
      <c r="I1318" s="230" t="s">
        <v>513</v>
      </c>
      <c r="J1318" s="230" t="s">
        <v>141</v>
      </c>
      <c r="K1318" s="176"/>
    </row>
    <row r="1319" spans="2:11" s="233" customFormat="1" x14ac:dyDescent="0.25">
      <c r="B1319" s="235">
        <v>45047</v>
      </c>
      <c r="C1319" s="233">
        <v>3</v>
      </c>
      <c r="E1319" s="238">
        <v>0.95833333333333337</v>
      </c>
      <c r="F1319" s="204">
        <v>45024.291666666664</v>
      </c>
      <c r="G1319" s="193">
        <f>IFERROR(IF(E1319&gt;F1319,((F1319+E376B376+1)-(E1319+#REF!))*24,HOUR(F1319-E1319)+MINUTE(F1319-E1319)/60),"")</f>
        <v>8</v>
      </c>
      <c r="H1319" s="230"/>
      <c r="I1319" s="230" t="s">
        <v>513</v>
      </c>
      <c r="J1319" s="230" t="s">
        <v>141</v>
      </c>
      <c r="K1319" s="176"/>
    </row>
    <row r="1320" spans="2:11" x14ac:dyDescent="0.25">
      <c r="B1320" s="235">
        <v>45048</v>
      </c>
      <c r="C1320" s="195">
        <v>1</v>
      </c>
      <c r="E1320" s="238">
        <v>0.29166666666666669</v>
      </c>
      <c r="F1320" s="204">
        <v>0.3611111111111111</v>
      </c>
      <c r="G1320" s="193">
        <f>IFERROR(IF(E1320&gt;F1320,((F1320+E376B376+1)-(E1320+#REF!))*24,HOUR(F1320-E1320)+MINUTE(F1320-E1320)/60),"")</f>
        <v>1.6666666666666665</v>
      </c>
      <c r="I1320" s="230" t="s">
        <v>513</v>
      </c>
      <c r="J1320" s="230" t="s">
        <v>141</v>
      </c>
    </row>
    <row r="1321" spans="2:11" x14ac:dyDescent="0.25">
      <c r="B1321" s="235">
        <v>45048</v>
      </c>
      <c r="C1321" s="195">
        <v>1</v>
      </c>
      <c r="E1321" s="238">
        <v>0.3923611111111111</v>
      </c>
      <c r="F1321" s="204">
        <v>0.40208333333333335</v>
      </c>
      <c r="G1321" s="193">
        <f>IFERROR(IF(E1321&gt;F1321,((F1321+E376B376+1)-(E1321+#REF!))*24,HOUR(F1321-E1321)+MINUTE(F1321-E1321)/60),"")</f>
        <v>0.23333333333333334</v>
      </c>
      <c r="H1321" s="230" t="s">
        <v>55</v>
      </c>
      <c r="I1321" s="230" t="s">
        <v>511</v>
      </c>
      <c r="J1321" s="231" t="s">
        <v>203</v>
      </c>
    </row>
    <row r="1322" spans="2:11" x14ac:dyDescent="0.25">
      <c r="B1322" s="235">
        <v>45048</v>
      </c>
      <c r="C1322" s="195">
        <v>1</v>
      </c>
      <c r="E1322" s="238">
        <v>0.54722222222222217</v>
      </c>
      <c r="F1322" s="204">
        <v>0.56388888888888888</v>
      </c>
      <c r="G1322" s="193">
        <f>IFERROR(IF(E1322&gt;F1322,((F1322+E376B376+1)-(E1322+#REF!))*24,HOUR(F1322-E1322)+MINUTE(F1322-E1322)/60),"")</f>
        <v>0.4</v>
      </c>
      <c r="H1322" s="230" t="s">
        <v>55</v>
      </c>
      <c r="I1322" s="230" t="s">
        <v>511</v>
      </c>
      <c r="J1322" s="231" t="s">
        <v>203</v>
      </c>
    </row>
    <row r="1323" spans="2:11" x14ac:dyDescent="0.25">
      <c r="B1323" s="235">
        <v>45048</v>
      </c>
      <c r="C1323" s="195">
        <v>1</v>
      </c>
      <c r="E1323" s="238">
        <v>0.6069444444444444</v>
      </c>
      <c r="F1323" s="204">
        <v>0.61458333333333337</v>
      </c>
      <c r="G1323" s="193">
        <f>IFERROR(IF(E1323&gt;F1323,((F1323+E376B376+1)-(E1323+#REF!))*24,HOUR(F1323-E1323)+MINUTE(F1323-E1323)/60),"")</f>
        <v>0.18333333333333332</v>
      </c>
      <c r="H1323" s="230" t="s">
        <v>55</v>
      </c>
      <c r="I1323" s="230" t="s">
        <v>511</v>
      </c>
      <c r="J1323" s="231" t="s">
        <v>203</v>
      </c>
    </row>
    <row r="1324" spans="2:11" x14ac:dyDescent="0.25">
      <c r="B1324" s="235">
        <v>45048</v>
      </c>
      <c r="C1324" s="195">
        <v>2</v>
      </c>
      <c r="E1324" s="238">
        <v>0.74305555555555547</v>
      </c>
      <c r="F1324" s="204">
        <v>0.75347222222222221</v>
      </c>
      <c r="G1324" s="193">
        <f>IFERROR(IF(E1324&gt;F1324,((F1324+E376B376+1)-(E1324+#REF!))*24,HOUR(F1324-E1324)+MINUTE(F1324-E1324)/60),"")</f>
        <v>0.25</v>
      </c>
      <c r="H1324" s="230" t="s">
        <v>55</v>
      </c>
      <c r="I1324" s="230" t="s">
        <v>511</v>
      </c>
      <c r="J1324" s="231" t="s">
        <v>203</v>
      </c>
    </row>
    <row r="1325" spans="2:11" x14ac:dyDescent="0.25">
      <c r="B1325" s="235">
        <v>45048</v>
      </c>
      <c r="C1325" s="195">
        <v>2</v>
      </c>
      <c r="E1325" s="238">
        <v>0.67361111111111116</v>
      </c>
      <c r="F1325" s="204">
        <v>0.68611111111111101</v>
      </c>
      <c r="G1325" s="193">
        <f>IFERROR(IF(E1325&gt;F1325,((F1325+E376B376+1)-(E1325+#REF!))*24,HOUR(F1325-E1325)+MINUTE(F1325-E1325)/60),"")</f>
        <v>0.3</v>
      </c>
      <c r="H1325" s="230" t="s">
        <v>55</v>
      </c>
      <c r="I1325" s="230" t="s">
        <v>509</v>
      </c>
      <c r="J1325" s="231" t="s">
        <v>211</v>
      </c>
    </row>
    <row r="1326" spans="2:11" x14ac:dyDescent="0.25">
      <c r="B1326" s="235">
        <v>45048</v>
      </c>
      <c r="C1326" s="195">
        <v>2</v>
      </c>
      <c r="E1326" s="238">
        <v>0.84722222222222221</v>
      </c>
      <c r="F1326" s="204">
        <v>0.86805555555555547</v>
      </c>
      <c r="G1326" s="193">
        <f>IFERROR(IF(E1326&gt;F1326,((F1326+E376B376+1)-(E1326+#REF!))*24,HOUR(F1326-E1326)+MINUTE(F1326-E1326)/60),"")</f>
        <v>0.5</v>
      </c>
      <c r="H1326" s="230" t="s">
        <v>55</v>
      </c>
      <c r="I1326" s="230" t="s">
        <v>509</v>
      </c>
      <c r="J1326" s="231" t="s">
        <v>211</v>
      </c>
    </row>
    <row r="1327" spans="2:11" x14ac:dyDescent="0.25">
      <c r="B1327" s="235">
        <v>45048</v>
      </c>
      <c r="C1327" s="195">
        <v>3</v>
      </c>
      <c r="E1327" s="238">
        <v>0.10208333333333335</v>
      </c>
      <c r="F1327" s="204">
        <v>0.1125</v>
      </c>
      <c r="G1327" s="193">
        <f>IFERROR(IF(E1327&gt;F1327,((F1327+E376B376+1)-(E1327+#REF!))*24,HOUR(F1327-E1327)+MINUTE(F1327-E1327)/60),"")</f>
        <v>0.25</v>
      </c>
      <c r="H1327" s="230" t="s">
        <v>55</v>
      </c>
      <c r="I1327" s="230" t="s">
        <v>509</v>
      </c>
      <c r="J1327" s="345" t="s">
        <v>126</v>
      </c>
      <c r="K1327" s="176" t="s">
        <v>1168</v>
      </c>
    </row>
    <row r="1328" spans="2:11" x14ac:dyDescent="0.25">
      <c r="B1328" s="235">
        <v>45048</v>
      </c>
      <c r="C1328" s="195">
        <v>3</v>
      </c>
      <c r="E1328" s="238">
        <v>0.13680555555555554</v>
      </c>
      <c r="F1328" s="204">
        <v>0.1875</v>
      </c>
      <c r="G1328" s="193">
        <f>IFERROR(IF(E1328&gt;F1328,((F1328+E376B376+1)-(E1328+#REF!))*24,HOUR(F1328-E1328)+MINUTE(F1328-E1328)/60),"")</f>
        <v>1.2166666666666668</v>
      </c>
      <c r="H1328" s="230" t="s">
        <v>204</v>
      </c>
      <c r="I1328" s="230" t="s">
        <v>513</v>
      </c>
      <c r="J1328" s="231" t="s">
        <v>534</v>
      </c>
      <c r="K1328" s="176" t="s">
        <v>1170</v>
      </c>
    </row>
    <row r="1329" spans="2:11" x14ac:dyDescent="0.25">
      <c r="B1329" s="235">
        <v>45048</v>
      </c>
      <c r="C1329" s="195">
        <v>3</v>
      </c>
      <c r="E1329" s="238">
        <v>0.21388888888888891</v>
      </c>
      <c r="F1329" s="204">
        <v>0.23124999999999998</v>
      </c>
      <c r="G1329" s="193">
        <f>IFERROR(IF(E1329&gt;F1329,((F1329+E376B376+1)-(E1329+#REF!))*24,HOUR(F1329-E1329)+MINUTE(F1329-E1329)/60),"")</f>
        <v>0.41666666666666669</v>
      </c>
      <c r="H1329" s="230" t="s">
        <v>55</v>
      </c>
      <c r="I1329" s="230" t="s">
        <v>509</v>
      </c>
      <c r="J1329" s="231" t="s">
        <v>211</v>
      </c>
    </row>
    <row r="1330" spans="2:11" x14ac:dyDescent="0.25">
      <c r="B1330" s="235">
        <v>45048</v>
      </c>
      <c r="C1330" s="195">
        <v>3</v>
      </c>
      <c r="E1330" s="238">
        <v>0.27361111111111108</v>
      </c>
      <c r="F1330" s="204">
        <v>0.29166666666666669</v>
      </c>
      <c r="G1330" s="193">
        <f>IFERROR(IF(E1330&gt;F1330,((F1330+E376B376+1)-(E1330+#REF!))*24,HOUR(F1330-E1330)+MINUTE(F1330-E1330)/60),"")</f>
        <v>0.43333333333333335</v>
      </c>
      <c r="H1330" s="230" t="s">
        <v>55</v>
      </c>
      <c r="I1330" s="230" t="s">
        <v>509</v>
      </c>
      <c r="J1330" s="231" t="s">
        <v>114</v>
      </c>
    </row>
    <row r="1331" spans="2:11" x14ac:dyDescent="0.25">
      <c r="B1331" s="235">
        <v>45049</v>
      </c>
      <c r="C1331" s="195">
        <v>1</v>
      </c>
      <c r="E1331" s="238">
        <v>0.29166666666666669</v>
      </c>
      <c r="F1331" s="204">
        <v>0.31666666666666665</v>
      </c>
      <c r="G1331" s="193">
        <f>IFERROR(IF(E1331&gt;F1331,((F1331+E376B376+1)-(E1331+#REF!))*24,HOUR(F1331-E1331)+MINUTE(F1331-E1331)/60),"")</f>
        <v>0.6</v>
      </c>
      <c r="H1331" s="230" t="s">
        <v>55</v>
      </c>
      <c r="I1331" s="230" t="s">
        <v>509</v>
      </c>
      <c r="J1331" s="231" t="s">
        <v>114</v>
      </c>
    </row>
    <row r="1332" spans="2:11" x14ac:dyDescent="0.25">
      <c r="B1332" s="235">
        <v>45049</v>
      </c>
      <c r="C1332" s="195">
        <v>1</v>
      </c>
      <c r="E1332" s="238">
        <v>0.32430555555555557</v>
      </c>
      <c r="F1332" s="204">
        <v>0.3347222222222222</v>
      </c>
      <c r="G1332" s="193">
        <f>IFERROR(IF(E1332&gt;F1332,((F1332+E376B376+1)-(E1332+#REF!))*24,HOUR(F1332-E1332)+MINUTE(F1332-E1332)/60),"")</f>
        <v>0.25</v>
      </c>
      <c r="H1332" s="230" t="s">
        <v>55</v>
      </c>
      <c r="I1332" s="230" t="s">
        <v>511</v>
      </c>
      <c r="J1332" s="231" t="s">
        <v>203</v>
      </c>
    </row>
    <row r="1333" spans="2:11" x14ac:dyDescent="0.25">
      <c r="B1333" s="235">
        <v>45049</v>
      </c>
      <c r="C1333" s="195">
        <v>1</v>
      </c>
      <c r="E1333" s="238">
        <v>0.46527777777777773</v>
      </c>
      <c r="F1333" s="204">
        <v>0.47569444444444442</v>
      </c>
      <c r="G1333" s="193">
        <f>IFERROR(IF(E1333&gt;F1333,((F1333+E376B376+1)-(E1333+#REF!))*24,HOUR(F1333-E1333)+MINUTE(F1333-E1333)/60),"")</f>
        <v>0.25</v>
      </c>
      <c r="H1333" s="230" t="s">
        <v>55</v>
      </c>
      <c r="I1333" s="230" t="s">
        <v>511</v>
      </c>
      <c r="J1333" s="231" t="s">
        <v>203</v>
      </c>
    </row>
    <row r="1334" spans="2:11" x14ac:dyDescent="0.25">
      <c r="B1334" s="235">
        <v>45049</v>
      </c>
      <c r="C1334" s="195">
        <v>1</v>
      </c>
      <c r="E1334" s="238">
        <v>0.54027777777777775</v>
      </c>
      <c r="F1334" s="204">
        <v>0.55347222222222225</v>
      </c>
      <c r="G1334" s="193">
        <f>IFERROR(IF(E1334&gt;F1334,((F1334+E376B376+1)-(E1334+#REF!))*24,HOUR(F1334-E1334)+MINUTE(F1334-E1334)/60),"")</f>
        <v>0.31666666666666665</v>
      </c>
      <c r="H1334" s="230" t="s">
        <v>55</v>
      </c>
      <c r="I1334" s="230" t="s">
        <v>511</v>
      </c>
      <c r="J1334" s="231" t="s">
        <v>203</v>
      </c>
    </row>
    <row r="1335" spans="2:11" x14ac:dyDescent="0.25">
      <c r="B1335" s="235">
        <v>45049</v>
      </c>
      <c r="C1335" s="195">
        <v>1</v>
      </c>
      <c r="E1335" s="238">
        <v>0.56944444444444442</v>
      </c>
      <c r="F1335" s="204">
        <v>0.59027777777777779</v>
      </c>
      <c r="G1335" s="193">
        <f>IFERROR(IF(E1335&gt;F1335,((F1335+E376B376+1)-(E1335+#REF!))*24,HOUR(F1335-E1335)+MINUTE(F1335-E1335)/60),"")</f>
        <v>0.5</v>
      </c>
      <c r="H1335" s="230" t="s">
        <v>55</v>
      </c>
      <c r="I1335" s="230" t="s">
        <v>509</v>
      </c>
      <c r="J1335" s="231" t="s">
        <v>211</v>
      </c>
    </row>
    <row r="1336" spans="2:11" s="304" customFormat="1" x14ac:dyDescent="0.25">
      <c r="B1336" s="305">
        <v>45049</v>
      </c>
      <c r="C1336" s="304">
        <v>2</v>
      </c>
      <c r="E1336" s="303">
        <v>0.625</v>
      </c>
      <c r="F1336" s="337">
        <v>0.95833333333333337</v>
      </c>
      <c r="G1336" s="338">
        <f>IFERROR(IF(E1336&gt;F1336,((F1336+E376B376+1)-(E1336+#REF!))*24,HOUR(F1336-E1336)+MINUTE(F1336-E1336)/60),"")</f>
        <v>8</v>
      </c>
      <c r="H1336" s="339"/>
      <c r="I1336" s="339" t="s">
        <v>513</v>
      </c>
      <c r="J1336" s="230" t="s">
        <v>141</v>
      </c>
      <c r="K1336" s="340"/>
    </row>
    <row r="1337" spans="2:11" s="304" customFormat="1" x14ac:dyDescent="0.25">
      <c r="B1337" s="305">
        <v>45049</v>
      </c>
      <c r="C1337" s="304">
        <v>3</v>
      </c>
      <c r="E1337" s="303">
        <v>0.95833333333333337</v>
      </c>
      <c r="F1337" s="337">
        <v>0.29166666666666669</v>
      </c>
      <c r="G1337" s="338">
        <v>8</v>
      </c>
      <c r="H1337" s="339"/>
      <c r="I1337" s="339" t="s">
        <v>513</v>
      </c>
      <c r="J1337" s="230" t="s">
        <v>141</v>
      </c>
      <c r="K1337" s="340"/>
    </row>
    <row r="1338" spans="2:11" s="304" customFormat="1" x14ac:dyDescent="0.25">
      <c r="B1338" s="305">
        <v>45050</v>
      </c>
      <c r="C1338" s="304">
        <v>1</v>
      </c>
      <c r="E1338" s="303">
        <v>0.29166666666666669</v>
      </c>
      <c r="F1338" s="337">
        <v>0.625</v>
      </c>
      <c r="G1338" s="338">
        <f>IFERROR(IF(E1338&gt;F1338,((F1338+E376B376+1)-(E1338+#REF!))*24,HOUR(F1338-E1338)+MINUTE(F1338-E1338)/60),"")</f>
        <v>8</v>
      </c>
      <c r="H1338" s="339"/>
      <c r="I1338" s="339" t="s">
        <v>513</v>
      </c>
      <c r="J1338" s="230" t="s">
        <v>141</v>
      </c>
      <c r="K1338" s="340"/>
    </row>
    <row r="1339" spans="2:11" s="304" customFormat="1" x14ac:dyDescent="0.25">
      <c r="B1339" s="305">
        <v>45050</v>
      </c>
      <c r="C1339" s="304">
        <v>2</v>
      </c>
      <c r="E1339" s="303">
        <v>0.625</v>
      </c>
      <c r="F1339" s="337">
        <v>0.95833333333333337</v>
      </c>
      <c r="G1339" s="338">
        <f>IFERROR(IF(E1339&gt;F1339,((F1339+E376B376+1)-(E1339+#REF!))*24,HOUR(F1339-E1339)+MINUTE(F1339-E1339)/60),"")</f>
        <v>8</v>
      </c>
      <c r="H1339" s="339"/>
      <c r="I1339" s="339" t="s">
        <v>513</v>
      </c>
      <c r="J1339" s="230" t="s">
        <v>141</v>
      </c>
      <c r="K1339" s="340"/>
    </row>
    <row r="1340" spans="2:11" s="304" customFormat="1" x14ac:dyDescent="0.25">
      <c r="B1340" s="305">
        <v>45050</v>
      </c>
      <c r="C1340" s="304">
        <v>3</v>
      </c>
      <c r="E1340" s="303">
        <v>0.95833333333333337</v>
      </c>
      <c r="F1340" s="337">
        <v>0.97222222222222221</v>
      </c>
      <c r="G1340" s="338">
        <f>IFERROR(IF(E1340&gt;F1340,((F1340+E376B376+1)-(E1340+#REF!))*24,HOUR(F1340-E1340)+MINUTE(F1340-E1340)/60),"")</f>
        <v>0.33333333333333331</v>
      </c>
      <c r="H1340" s="339"/>
      <c r="I1340" s="339" t="s">
        <v>513</v>
      </c>
      <c r="J1340" s="230" t="s">
        <v>141</v>
      </c>
      <c r="K1340" s="340"/>
    </row>
    <row r="1341" spans="2:11" x14ac:dyDescent="0.25">
      <c r="B1341" s="235">
        <v>45050</v>
      </c>
      <c r="C1341" s="195">
        <v>3</v>
      </c>
      <c r="E1341" s="238">
        <v>0.27430555555555552</v>
      </c>
      <c r="F1341" s="204">
        <v>0.29166666666666669</v>
      </c>
      <c r="G1341" s="193">
        <f>IFERROR(IF(E1341&gt;F1341,((F1341+E376B376+1)-(E1341+#REF!))*24,HOUR(F1341-E1341)+MINUTE(F1341-E1341)/60),"")</f>
        <v>0.41666666666666669</v>
      </c>
      <c r="H1341" s="230" t="s">
        <v>55</v>
      </c>
      <c r="I1341" s="230" t="s">
        <v>509</v>
      </c>
      <c r="J1341" s="231" t="s">
        <v>114</v>
      </c>
    </row>
    <row r="1342" spans="2:11" x14ac:dyDescent="0.25">
      <c r="B1342" s="235">
        <v>45051</v>
      </c>
      <c r="C1342" s="195">
        <v>1</v>
      </c>
      <c r="E1342" s="238">
        <v>0.29166666666666669</v>
      </c>
      <c r="F1342" s="204">
        <v>0.29444444444444445</v>
      </c>
      <c r="G1342" s="193">
        <f>IFERROR(IF(E1342&gt;F1342,((F1342+E376B376+1)-(E1342+#REF!))*24,HOUR(F1342-E1342)+MINUTE(F1342-E1342)/60),"")</f>
        <v>6.6666666666666666E-2</v>
      </c>
      <c r="H1342" s="230" t="s">
        <v>55</v>
      </c>
      <c r="I1342" s="230" t="s">
        <v>509</v>
      </c>
      <c r="J1342" s="231" t="s">
        <v>114</v>
      </c>
    </row>
    <row r="1343" spans="2:11" x14ac:dyDescent="0.25">
      <c r="B1343" s="235">
        <v>45051</v>
      </c>
      <c r="C1343" s="233">
        <v>1</v>
      </c>
      <c r="E1343" s="238">
        <v>0.31111111111111112</v>
      </c>
      <c r="F1343" s="204">
        <v>0.3215277777777778</v>
      </c>
      <c r="G1343" s="193">
        <f>IFERROR(IF(E1343&gt;F1343,((F1343+E376B376+1)-(E1343+#REF!))*24,HOUR(F1343-E1343)+MINUTE(F1343-E1343)/60),"")</f>
        <v>0.25</v>
      </c>
      <c r="H1343" s="230" t="s">
        <v>55</v>
      </c>
      <c r="I1343" s="341" t="s">
        <v>511</v>
      </c>
      <c r="J1343" s="231" t="s">
        <v>203</v>
      </c>
      <c r="K1343" s="279" t="s">
        <v>1174</v>
      </c>
    </row>
    <row r="1344" spans="2:11" x14ac:dyDescent="0.25">
      <c r="B1344" s="235">
        <v>45051</v>
      </c>
      <c r="C1344" s="233">
        <v>1</v>
      </c>
      <c r="E1344" s="238">
        <v>0.35625000000000001</v>
      </c>
      <c r="F1344" s="204">
        <v>0.39999999999999997</v>
      </c>
      <c r="G1344" s="193">
        <f>IFERROR(IF(E1344&gt;F1344,((F1344+E376B376+1)-(E1344+#REF!))*24,HOUR(F1344-E1344)+MINUTE(F1344-E1344)/60),"")</f>
        <v>1.05</v>
      </c>
      <c r="H1344" s="230" t="s">
        <v>55</v>
      </c>
      <c r="I1344" s="230" t="s">
        <v>510</v>
      </c>
      <c r="J1344" s="231" t="s">
        <v>222</v>
      </c>
    </row>
    <row r="1345" spans="2:11" x14ac:dyDescent="0.25">
      <c r="B1345" s="235">
        <v>45051</v>
      </c>
      <c r="C1345" s="233">
        <v>1</v>
      </c>
      <c r="E1345" s="238">
        <v>0.47361111111111115</v>
      </c>
      <c r="F1345" s="204">
        <v>0.48472222222222222</v>
      </c>
      <c r="G1345" s="193">
        <f>IFERROR(IF(E1345&gt;F1345,((F1345+E376B376+1)-(E1345+#REF!))*24,HOUR(F1345-E1345)+MINUTE(F1345-E1345)/60),"")</f>
        <v>0.26666666666666666</v>
      </c>
      <c r="H1345" s="230" t="s">
        <v>55</v>
      </c>
      <c r="I1345" s="341" t="s">
        <v>511</v>
      </c>
      <c r="J1345" s="231" t="s">
        <v>203</v>
      </c>
    </row>
    <row r="1346" spans="2:11" x14ac:dyDescent="0.25">
      <c r="B1346" s="235">
        <v>45051</v>
      </c>
      <c r="C1346" s="233">
        <v>1</v>
      </c>
      <c r="E1346" s="238">
        <v>0.50208333333333333</v>
      </c>
      <c r="F1346" s="204">
        <v>0.51736111111111105</v>
      </c>
      <c r="G1346" s="193">
        <f>IFERROR(IF(E1346&gt;F1346,((F1346+E376B376+1)-(E1346+#REF!))*24,HOUR(F1346-E1346)+MINUTE(F1346-E1346)/60),"")</f>
        <v>0.36666666666666664</v>
      </c>
      <c r="H1346" s="230" t="s">
        <v>55</v>
      </c>
      <c r="I1346" s="341" t="s">
        <v>511</v>
      </c>
      <c r="J1346" s="231" t="s">
        <v>203</v>
      </c>
    </row>
    <row r="1347" spans="2:11" x14ac:dyDescent="0.25">
      <c r="B1347" s="235">
        <v>45051</v>
      </c>
      <c r="C1347" s="233">
        <v>1</v>
      </c>
      <c r="E1347" s="238">
        <v>0.60763888888888895</v>
      </c>
      <c r="F1347" s="204">
        <v>0.625</v>
      </c>
      <c r="G1347" s="193">
        <f>IFERROR(IF(E1347&gt;F1347,((F1347+E376B376+1)-(E1347+#REF!))*24,HOUR(F1347-E1347)+MINUTE(F1347-E1347)/60),"")</f>
        <v>0.41666666666666669</v>
      </c>
      <c r="H1347" s="230" t="s">
        <v>55</v>
      </c>
      <c r="I1347" s="230" t="s">
        <v>509</v>
      </c>
      <c r="J1347" s="231" t="s">
        <v>114</v>
      </c>
    </row>
    <row r="1348" spans="2:11" x14ac:dyDescent="0.25">
      <c r="B1348" s="235">
        <v>45051</v>
      </c>
      <c r="C1348" s="233">
        <v>2</v>
      </c>
      <c r="D1348" s="233"/>
      <c r="E1348" s="238">
        <v>0.625</v>
      </c>
      <c r="F1348" s="204">
        <v>0.63055555555555554</v>
      </c>
      <c r="G1348" s="193">
        <f>IFERROR(IF(E1348&gt;F1348,((F1348+E376B376+1)-(E1348+#REF!))*24,HOUR(F1348-E1348)+MINUTE(F1348-E1348)/60),"")</f>
        <v>0.13333333333333333</v>
      </c>
      <c r="H1348" s="230" t="s">
        <v>55</v>
      </c>
      <c r="I1348" s="230" t="s">
        <v>509</v>
      </c>
      <c r="J1348" s="231" t="s">
        <v>114</v>
      </c>
    </row>
    <row r="1349" spans="2:11" x14ac:dyDescent="0.25">
      <c r="B1349" s="235">
        <v>45051</v>
      </c>
      <c r="C1349" s="233">
        <v>2</v>
      </c>
      <c r="D1349" s="233"/>
      <c r="E1349" s="238">
        <v>0.68333333333333324</v>
      </c>
      <c r="F1349" s="204">
        <v>0.69097222222222221</v>
      </c>
      <c r="G1349" s="193">
        <f>IFERROR(IF(E1349&gt;F1349,((F1349+E376B376+1)-(E1349+#REF!))*24,HOUR(F1349-E1349)+MINUTE(F1349-E1349)/60),"")</f>
        <v>0.18333333333333332</v>
      </c>
      <c r="H1349" s="230" t="s">
        <v>55</v>
      </c>
      <c r="I1349" s="341" t="s">
        <v>511</v>
      </c>
      <c r="J1349" s="231" t="s">
        <v>203</v>
      </c>
    </row>
    <row r="1350" spans="2:11" x14ac:dyDescent="0.25">
      <c r="B1350" s="235">
        <v>45051</v>
      </c>
      <c r="C1350" s="233">
        <v>2</v>
      </c>
      <c r="E1350" s="238">
        <v>0.72499999999999998</v>
      </c>
      <c r="F1350" s="204">
        <v>0.73541666666666661</v>
      </c>
      <c r="G1350" s="193">
        <f>IFERROR(IF(E1350&gt;F1350,((F1350+E376B376+1)-(E1350+#REF!))*24,HOUR(F1350-E1350)+MINUTE(F1350-E1350)/60),"")</f>
        <v>0.25</v>
      </c>
      <c r="H1350" s="230" t="s">
        <v>55</v>
      </c>
      <c r="I1350" s="341" t="s">
        <v>511</v>
      </c>
      <c r="J1350" s="231" t="s">
        <v>203</v>
      </c>
    </row>
    <row r="1351" spans="2:11" x14ac:dyDescent="0.25">
      <c r="B1351" s="235">
        <v>45051</v>
      </c>
      <c r="C1351" s="233">
        <v>2</v>
      </c>
      <c r="E1351" s="238">
        <v>0.75</v>
      </c>
      <c r="F1351" s="204">
        <v>0.95833333333333337</v>
      </c>
      <c r="G1351" s="193">
        <f>IFERROR(IF(E1351&gt;F1351,((F1351+E376B376+1)-(E1351+#REF!))*24,HOUR(F1351-E1351)+MINUTE(F1351-E1351)/60),"")</f>
        <v>5</v>
      </c>
      <c r="I1351" s="339" t="s">
        <v>513</v>
      </c>
      <c r="J1351" s="230" t="s">
        <v>141</v>
      </c>
    </row>
    <row r="1352" spans="2:11" s="233" customFormat="1" x14ac:dyDescent="0.25">
      <c r="B1352" s="235">
        <v>45051</v>
      </c>
      <c r="C1352" s="233">
        <v>3</v>
      </c>
      <c r="E1352" s="204">
        <v>0.95833333333333337</v>
      </c>
      <c r="F1352" s="204">
        <v>0.96597222222222223</v>
      </c>
      <c r="G1352" s="193">
        <f>IFERROR(IF(E1352&gt;F1352,((F1352+E376B376+1)-(E1352+#REF!))*24,HOUR(F1352-E1352)+MINUTE(F1352-E1352)/60),"")</f>
        <v>0.18333333333333332</v>
      </c>
      <c r="H1352" s="230" t="s">
        <v>55</v>
      </c>
      <c r="I1352" s="230" t="s">
        <v>509</v>
      </c>
      <c r="J1352" s="231" t="s">
        <v>114</v>
      </c>
      <c r="K1352" s="176"/>
    </row>
    <row r="1353" spans="2:11" x14ac:dyDescent="0.25">
      <c r="B1353" s="235">
        <v>45051</v>
      </c>
      <c r="C1353" s="233">
        <v>3</v>
      </c>
      <c r="E1353" s="238">
        <v>0.11805555555555557</v>
      </c>
      <c r="F1353" s="204">
        <v>0.12916666666666668</v>
      </c>
      <c r="G1353" s="193">
        <f>IFERROR(IF(E1353&gt;F1353,((F1353+E376B376+1)-(E1353+#REF!))*24,HOUR(F1353-E1353)+MINUTE(F1353-E1353)/60),"")</f>
        <v>0.26666666666666666</v>
      </c>
      <c r="H1353" s="230" t="s">
        <v>55</v>
      </c>
      <c r="I1353" s="230" t="s">
        <v>511</v>
      </c>
      <c r="J1353" s="231" t="s">
        <v>203</v>
      </c>
    </row>
    <row r="1354" spans="2:11" s="233" customFormat="1" x14ac:dyDescent="0.25">
      <c r="B1354" s="235">
        <v>45051</v>
      </c>
      <c r="C1354" s="233">
        <v>3</v>
      </c>
      <c r="E1354" s="238">
        <v>0.17916666666666667</v>
      </c>
      <c r="F1354" s="204">
        <v>0.19444444444444445</v>
      </c>
      <c r="G1354" s="193">
        <f>IFERROR(IF(E1354&gt;F1354,((F1354+E376B376+1)-(E1354+#REF!))*24,HOUR(F1354-E1354)+MINUTE(F1354-E1354)/60),"")</f>
        <v>0.36666666666666664</v>
      </c>
      <c r="H1354" s="230" t="s">
        <v>55</v>
      </c>
      <c r="I1354" s="230" t="s">
        <v>509</v>
      </c>
      <c r="J1354" s="231" t="s">
        <v>211</v>
      </c>
      <c r="K1354" s="176"/>
    </row>
    <row r="1355" spans="2:11" x14ac:dyDescent="0.25">
      <c r="B1355" s="235">
        <v>45051</v>
      </c>
      <c r="C1355" s="233">
        <v>3</v>
      </c>
      <c r="E1355" s="238">
        <v>0.19791666666666666</v>
      </c>
      <c r="F1355" s="204">
        <v>0.22291666666666665</v>
      </c>
      <c r="G1355" s="193">
        <f>IFERROR(IF(E1355&gt;F1355,((F1355+E376B376+1)-(E1355+#REF!))*24,HOUR(F1355-E1355)+MINUTE(F1355-E1355)/60),"")</f>
        <v>0.6</v>
      </c>
      <c r="H1355" s="230" t="s">
        <v>187</v>
      </c>
      <c r="I1355" s="230" t="s">
        <v>511</v>
      </c>
      <c r="J1355" s="231" t="s">
        <v>200</v>
      </c>
      <c r="K1355" s="176" t="s">
        <v>1177</v>
      </c>
    </row>
    <row r="1356" spans="2:11" x14ac:dyDescent="0.25">
      <c r="B1356" s="235">
        <v>45051</v>
      </c>
      <c r="C1356" s="233">
        <v>3</v>
      </c>
      <c r="E1356" s="238">
        <v>0.27430555555555552</v>
      </c>
      <c r="F1356" s="204">
        <v>0.29166666666666669</v>
      </c>
      <c r="G1356" s="193">
        <f>IFERROR(IF(E1356&gt;F1356,((F1356+E376B376+1)-(E1356+#REF!))*24,HOUR(F1356-E1356)+MINUTE(F1356-E1356)/60),"")</f>
        <v>0.41666666666666669</v>
      </c>
      <c r="H1356" s="230" t="s">
        <v>55</v>
      </c>
      <c r="I1356" s="230" t="s">
        <v>509</v>
      </c>
      <c r="J1356" s="231" t="s">
        <v>114</v>
      </c>
    </row>
    <row r="1357" spans="2:11" x14ac:dyDescent="0.25">
      <c r="B1357" s="235">
        <v>45052</v>
      </c>
      <c r="C1357" s="195">
        <v>1</v>
      </c>
      <c r="E1357" s="238">
        <v>0.29166666666666669</v>
      </c>
      <c r="F1357" s="204">
        <v>0.31597222222222221</v>
      </c>
      <c r="G1357" s="193">
        <f>IFERROR(IF(E1357&gt;F1357,((F1357+E376B376+1)-(E1357+#REF!))*24,HOUR(F1357-E1357)+MINUTE(F1357-E1357)/60),"")</f>
        <v>0.58333333333333337</v>
      </c>
      <c r="H1357" s="230" t="s">
        <v>147</v>
      </c>
      <c r="I1357" s="230" t="s">
        <v>509</v>
      </c>
      <c r="J1357" s="231" t="s">
        <v>114</v>
      </c>
    </row>
    <row r="1358" spans="2:11" x14ac:dyDescent="0.25">
      <c r="B1358" s="235">
        <v>45052</v>
      </c>
      <c r="C1358" s="195">
        <v>1</v>
      </c>
      <c r="E1358" s="238">
        <v>0.34375</v>
      </c>
      <c r="F1358" s="204">
        <v>0.35416666666666669</v>
      </c>
      <c r="G1358" s="193">
        <f>IFERROR(IF(E1358&gt;F1358,((F1358+E376B376+1)-(E1358+#REF!))*24,HOUR(F1358-E1358)+MINUTE(F1358-E1358)/60),"")</f>
        <v>0.25</v>
      </c>
      <c r="H1358" s="230" t="s">
        <v>55</v>
      </c>
      <c r="I1358" s="230" t="s">
        <v>511</v>
      </c>
      <c r="J1358" s="231" t="s">
        <v>203</v>
      </c>
    </row>
    <row r="1359" spans="2:11" x14ac:dyDescent="0.25">
      <c r="B1359" s="235">
        <v>45052</v>
      </c>
      <c r="C1359" s="195">
        <v>1</v>
      </c>
      <c r="E1359" s="238">
        <v>0.3666666666666667</v>
      </c>
      <c r="F1359" s="204">
        <v>0.37708333333333338</v>
      </c>
      <c r="G1359" s="193">
        <f>IFERROR(IF(E1359&gt;F1359,((F1359+E376B376+1)-(E1359+#REF!))*24,HOUR(F1359-E1359)+MINUTE(F1359-E1359)/60),"")</f>
        <v>0.25</v>
      </c>
      <c r="H1359" s="230" t="s">
        <v>55</v>
      </c>
      <c r="I1359" s="230" t="s">
        <v>511</v>
      </c>
      <c r="J1359" s="231" t="s">
        <v>203</v>
      </c>
    </row>
    <row r="1360" spans="2:11" x14ac:dyDescent="0.25">
      <c r="B1360" s="235">
        <v>45052</v>
      </c>
      <c r="C1360" s="195">
        <v>1</v>
      </c>
      <c r="E1360" s="238">
        <v>0.42222222222222222</v>
      </c>
      <c r="F1360" s="204">
        <v>0.43611111111111112</v>
      </c>
      <c r="G1360" s="193">
        <f>IFERROR(IF(E1360&gt;F1360,((F1360+E376B376+1)-(E1360+#REF!))*24,HOUR(F1360-E1360)+MINUTE(F1360-E1360)/60),"")</f>
        <v>0.33333333333333331</v>
      </c>
      <c r="H1360" s="230" t="s">
        <v>147</v>
      </c>
      <c r="I1360" s="230" t="s">
        <v>510</v>
      </c>
      <c r="J1360" s="231" t="s">
        <v>222</v>
      </c>
    </row>
    <row r="1361" spans="2:10" x14ac:dyDescent="0.25">
      <c r="B1361" s="235">
        <v>45052</v>
      </c>
      <c r="C1361" s="195">
        <v>1</v>
      </c>
      <c r="E1361" s="238">
        <v>0.4513888888888889</v>
      </c>
      <c r="F1361" s="204">
        <v>0.46180555555555558</v>
      </c>
      <c r="G1361" s="193">
        <f>IFERROR(IF(E1361&gt;F1361,((F1361+E376B376+1)-(E1361+#REF!))*24,HOUR(F1361-E1361)+MINUTE(F1361-E1361)/60),"")</f>
        <v>0.25</v>
      </c>
      <c r="H1361" s="230" t="s">
        <v>55</v>
      </c>
      <c r="I1361" s="341" t="s">
        <v>511</v>
      </c>
      <c r="J1361" s="231" t="s">
        <v>203</v>
      </c>
    </row>
    <row r="1362" spans="2:10" x14ac:dyDescent="0.25">
      <c r="B1362" s="235">
        <v>45052</v>
      </c>
      <c r="C1362" s="195">
        <v>1</v>
      </c>
      <c r="E1362" s="238">
        <v>0.46180555555555558</v>
      </c>
      <c r="F1362" s="204">
        <v>0.625</v>
      </c>
      <c r="G1362" s="193">
        <f>IFERROR(IF(E1362&gt;F1362,((F1362+E376B376+1)-(E1362+#REF!))*24,HOUR(F1362-E1362)+MINUTE(F1362-E1362)/60),"")</f>
        <v>3.9166666666666665</v>
      </c>
      <c r="I1362" s="339" t="s">
        <v>513</v>
      </c>
      <c r="J1362" s="230" t="s">
        <v>141</v>
      </c>
    </row>
    <row r="1363" spans="2:10" x14ac:dyDescent="0.25">
      <c r="B1363" s="235">
        <v>45052</v>
      </c>
      <c r="C1363" s="195">
        <v>2</v>
      </c>
      <c r="E1363" s="238">
        <v>0.625</v>
      </c>
      <c r="F1363" s="204">
        <v>0.95833333333333337</v>
      </c>
      <c r="G1363" s="193">
        <f>IFERROR(IF(E1363&gt;F1363,((F1363+E376B376+1)-(E1363+#REF!))*24,HOUR(F1363-E1363)+MINUTE(F1363-E1363)/60),"")</f>
        <v>8</v>
      </c>
      <c r="I1363" s="339" t="s">
        <v>513</v>
      </c>
      <c r="J1363" s="230" t="s">
        <v>141</v>
      </c>
    </row>
    <row r="1364" spans="2:10" x14ac:dyDescent="0.25">
      <c r="B1364" s="235">
        <v>45052</v>
      </c>
      <c r="C1364" s="195">
        <v>3</v>
      </c>
      <c r="E1364" s="238">
        <v>0.95833333333333337</v>
      </c>
      <c r="F1364" s="204">
        <v>45053.291666666664</v>
      </c>
      <c r="G1364" s="193">
        <f>IFERROR(IF(E1364&gt;F1364,((F1364+E376B376+1)-(E1364+#REF!))*24,HOUR(F1364-E1364)+MINUTE(F1364-E1364)/60),"")</f>
        <v>8</v>
      </c>
      <c r="I1364" s="339" t="s">
        <v>513</v>
      </c>
      <c r="J1364" s="230" t="s">
        <v>141</v>
      </c>
    </row>
    <row r="1365" spans="2:10" x14ac:dyDescent="0.25">
      <c r="B1365" s="235">
        <v>45053</v>
      </c>
      <c r="C1365" s="195">
        <v>1</v>
      </c>
      <c r="E1365" s="238">
        <v>0.29166666666666669</v>
      </c>
      <c r="F1365" s="204">
        <v>0.625</v>
      </c>
      <c r="G1365" s="193">
        <f>IFERROR(IF(E1365&gt;F1365,((F1365+E376B376+1)-(E1365+#REF!))*24,HOUR(F1365-E1365)+MINUTE(F1365-E1365)/60),"")</f>
        <v>8</v>
      </c>
      <c r="I1365" s="339" t="s">
        <v>513</v>
      </c>
      <c r="J1365" s="230" t="s">
        <v>141</v>
      </c>
    </row>
    <row r="1366" spans="2:10" x14ac:dyDescent="0.25">
      <c r="B1366" s="235">
        <v>45053</v>
      </c>
      <c r="C1366" s="195">
        <v>2</v>
      </c>
      <c r="E1366" s="238">
        <v>0.625</v>
      </c>
      <c r="F1366" s="204">
        <v>0.95833333333333337</v>
      </c>
      <c r="G1366" s="193">
        <f>IFERROR(IF(E1366&gt;F1366,((F1366+E376B376+1)-(E1366+#REF!))*24,HOUR(F1366-E1366)+MINUTE(F1366-E1366)/60),"")</f>
        <v>8</v>
      </c>
      <c r="I1366" s="339" t="s">
        <v>513</v>
      </c>
      <c r="J1366" s="230" t="s">
        <v>141</v>
      </c>
    </row>
    <row r="1367" spans="2:10" x14ac:dyDescent="0.25">
      <c r="B1367" s="235">
        <v>45053</v>
      </c>
      <c r="C1367" s="195">
        <v>3</v>
      </c>
      <c r="E1367" s="238">
        <v>0.95833333333333337</v>
      </c>
      <c r="F1367" s="204">
        <v>45054.291666666664</v>
      </c>
      <c r="G1367" s="193">
        <f>IFERROR(IF(E1367&gt;F1367,((F1367+E376B376+1)-(E1367+#REF!))*24,HOUR(F1367-E1367)+MINUTE(F1367-E1367)/60),"")</f>
        <v>8</v>
      </c>
      <c r="I1367" s="339" t="s">
        <v>513</v>
      </c>
      <c r="J1367" s="230" t="s">
        <v>141</v>
      </c>
    </row>
    <row r="1368" spans="2:10" x14ac:dyDescent="0.25">
      <c r="B1368" s="235">
        <v>45054</v>
      </c>
      <c r="C1368" s="195">
        <v>1</v>
      </c>
      <c r="E1368" s="238">
        <v>0.29166666666666669</v>
      </c>
      <c r="F1368" s="204">
        <v>0.30902777777777779</v>
      </c>
      <c r="G1368" s="193">
        <f>IFERROR(IF(E1368&gt;F1368,((F1368+E376B376+1)-(E1368+#REF!))*24,HOUR(F1368-E1368)+MINUTE(F1368-E1368)/60),"")</f>
        <v>0.41666666666666669</v>
      </c>
      <c r="H1368" s="230" t="s">
        <v>55</v>
      </c>
      <c r="I1368" s="230" t="s">
        <v>509</v>
      </c>
      <c r="J1368" s="231" t="s">
        <v>114</v>
      </c>
    </row>
    <row r="1369" spans="2:10" x14ac:dyDescent="0.25">
      <c r="B1369" s="235">
        <v>45054</v>
      </c>
      <c r="C1369" s="195">
        <v>1</v>
      </c>
      <c r="E1369" s="238">
        <v>0.33124999999999999</v>
      </c>
      <c r="F1369" s="204">
        <v>0.3430555555555555</v>
      </c>
      <c r="G1369" s="193">
        <f>IFERROR(IF(E1369&gt;F1369,((F1369+E376B376+1)-(E1369+#REF!))*24,HOUR(F1369-E1369)+MINUTE(F1369-E1369)/60),"")</f>
        <v>0.28333333333333333</v>
      </c>
      <c r="H1369" s="230" t="s">
        <v>55</v>
      </c>
      <c r="I1369" s="230" t="s">
        <v>511</v>
      </c>
      <c r="J1369" s="231" t="s">
        <v>203</v>
      </c>
    </row>
    <row r="1370" spans="2:10" x14ac:dyDescent="0.25">
      <c r="B1370" s="235">
        <v>45054</v>
      </c>
      <c r="C1370" s="195">
        <v>1</v>
      </c>
      <c r="E1370" s="238">
        <v>0.35416666666666669</v>
      </c>
      <c r="F1370" s="204">
        <v>0.36458333333333331</v>
      </c>
      <c r="G1370" s="193">
        <f>IFERROR(IF(E1370&gt;F1370,((F1370+E376B376+1)-(E1370+#REF!))*24,HOUR(F1370-E1370)+MINUTE(F1370-E1370)/60),"")</f>
        <v>0.25</v>
      </c>
      <c r="H1370" s="230" t="s">
        <v>55</v>
      </c>
      <c r="I1370" s="230" t="s">
        <v>511</v>
      </c>
      <c r="J1370" s="231" t="s">
        <v>203</v>
      </c>
    </row>
    <row r="1371" spans="2:10" x14ac:dyDescent="0.25">
      <c r="B1371" s="235">
        <v>45054</v>
      </c>
      <c r="C1371" s="195">
        <v>1</v>
      </c>
      <c r="E1371" s="238">
        <v>0.3840277777777778</v>
      </c>
      <c r="F1371" s="204">
        <v>0.39444444444444443</v>
      </c>
      <c r="G1371" s="193">
        <f>IFERROR(IF(E1371&gt;F1371,((F1371+E376B376+1)-(E1371+#REF!))*24,HOUR(F1371-E1371)+MINUTE(F1371-E1371)/60),"")</f>
        <v>0.25</v>
      </c>
      <c r="H1371" s="230" t="s">
        <v>55</v>
      </c>
      <c r="I1371" s="230" t="s">
        <v>511</v>
      </c>
      <c r="J1371" s="231" t="s">
        <v>203</v>
      </c>
    </row>
    <row r="1372" spans="2:10" x14ac:dyDescent="0.25">
      <c r="B1372" s="235">
        <v>45054</v>
      </c>
      <c r="C1372" s="233">
        <v>1</v>
      </c>
      <c r="D1372" s="233"/>
      <c r="E1372" s="238">
        <v>0.45347222222222222</v>
      </c>
      <c r="F1372" s="204">
        <v>0.46388888888888885</v>
      </c>
      <c r="G1372" s="193">
        <f>IFERROR(IF(E1372&gt;F1372,((F1372+E376B376+1)-(E1372+#REF!))*24,HOUR(F1372-E1372)+MINUTE(F1372-E1372)/60),"")</f>
        <v>0.25</v>
      </c>
      <c r="H1372" s="230" t="s">
        <v>55</v>
      </c>
      <c r="I1372" s="230" t="s">
        <v>511</v>
      </c>
      <c r="J1372" s="231" t="s">
        <v>203</v>
      </c>
    </row>
    <row r="1373" spans="2:10" x14ac:dyDescent="0.25">
      <c r="B1373" s="235">
        <v>45054</v>
      </c>
      <c r="C1373" s="233">
        <v>1</v>
      </c>
      <c r="D1373" s="233"/>
      <c r="E1373" s="238">
        <v>0.50555555555555554</v>
      </c>
      <c r="F1373" s="204">
        <v>0.51597222222222217</v>
      </c>
      <c r="G1373" s="193">
        <f>IFERROR(IF(E1373&gt;F1373,((F1373+E376B376+1)-(E1373+#REF!))*24,HOUR(F1373-E1373)+MINUTE(F1373-E1373)/60),"")</f>
        <v>0.25</v>
      </c>
      <c r="H1373" s="230" t="s">
        <v>55</v>
      </c>
      <c r="I1373" s="230" t="s">
        <v>511</v>
      </c>
      <c r="J1373" s="231" t="s">
        <v>203</v>
      </c>
    </row>
    <row r="1374" spans="2:10" x14ac:dyDescent="0.25">
      <c r="B1374" s="235">
        <v>45054</v>
      </c>
      <c r="C1374" s="195">
        <v>1</v>
      </c>
      <c r="E1374" s="238">
        <v>0.59722222222222221</v>
      </c>
      <c r="F1374" s="204">
        <v>0.60763888888888895</v>
      </c>
      <c r="G1374" s="193">
        <f>IFERROR(IF(E1374&gt;F1374,((F1374+E376B376+1)-(E1374+#REF!))*24,HOUR(F1374-E1374)+MINUTE(F1374-E1374)/60),"")</f>
        <v>0.25</v>
      </c>
      <c r="H1374" s="230" t="s">
        <v>55</v>
      </c>
      <c r="I1374" s="230" t="s">
        <v>511</v>
      </c>
      <c r="J1374" s="231" t="s">
        <v>203</v>
      </c>
    </row>
    <row r="1375" spans="2:10" x14ac:dyDescent="0.25">
      <c r="B1375" s="235">
        <v>45054</v>
      </c>
      <c r="C1375" s="195">
        <v>1</v>
      </c>
      <c r="E1375" s="238">
        <v>0.60763888888888895</v>
      </c>
      <c r="F1375" s="204">
        <v>0.61805555555555558</v>
      </c>
      <c r="G1375" s="193">
        <f>IFERROR(IF(E1375&gt;F1375,((F1375+E376B376+1)-(E1375+#REF!))*24,HOUR(F1375-E1375)+MINUTE(F1375-E1375)/60),"")</f>
        <v>0.25</v>
      </c>
      <c r="H1375" s="230" t="s">
        <v>55</v>
      </c>
      <c r="I1375" s="230" t="s">
        <v>509</v>
      </c>
      <c r="J1375" s="231" t="s">
        <v>114</v>
      </c>
    </row>
    <row r="1376" spans="2:10" x14ac:dyDescent="0.25">
      <c r="B1376" s="235">
        <v>45054</v>
      </c>
      <c r="C1376" s="195">
        <v>1</v>
      </c>
      <c r="E1376" s="238">
        <v>0.62152777777777779</v>
      </c>
      <c r="F1376" s="280">
        <v>0.625</v>
      </c>
      <c r="G1376" s="193">
        <f>IFERROR(IF(E1376&gt;F1376,((F1376+E376B376+1)-(E1376+#REF!))*24,HOUR(F1376-E1376)+MINUTE(F1376-E1376)/60),"")</f>
        <v>8.3333333333333329E-2</v>
      </c>
      <c r="H1376" s="230" t="s">
        <v>55</v>
      </c>
      <c r="I1376" s="230" t="s">
        <v>509</v>
      </c>
      <c r="J1376" s="231" t="s">
        <v>211</v>
      </c>
    </row>
    <row r="1377" spans="2:11" s="233" customFormat="1" x14ac:dyDescent="0.25">
      <c r="B1377" s="235">
        <v>45054</v>
      </c>
      <c r="C1377" s="233">
        <v>2</v>
      </c>
      <c r="E1377" s="238">
        <v>0.625</v>
      </c>
      <c r="F1377" s="280">
        <v>0.63194444444444442</v>
      </c>
      <c r="G1377" s="193">
        <f>IFERROR(IF(E1377&gt;F1377,((F1377+E376B376+1)-(E1377+#REF!))*24,HOUR(F1377-E1377)+MINUTE(F1377-E1377)/60),"")</f>
        <v>0.16666666666666666</v>
      </c>
      <c r="H1377" s="230" t="s">
        <v>55</v>
      </c>
      <c r="I1377" s="230" t="s">
        <v>509</v>
      </c>
      <c r="J1377" s="231" t="s">
        <v>211</v>
      </c>
      <c r="K1377" s="176"/>
    </row>
    <row r="1378" spans="2:11" x14ac:dyDescent="0.25">
      <c r="B1378" s="235">
        <v>45054</v>
      </c>
      <c r="C1378" s="195">
        <v>2</v>
      </c>
      <c r="E1378" s="238">
        <v>0.85069444444444453</v>
      </c>
      <c r="F1378" s="204">
        <v>0.86458333333333337</v>
      </c>
      <c r="G1378" s="193">
        <f>IFERROR(IF(E1378&gt;F1378,((F1378+E376B376+1)-(E1378+#REF!))*24,HOUR(F1378-E1378)+MINUTE(F1378-E1378)/60),"")</f>
        <v>0.33333333333333331</v>
      </c>
      <c r="H1378" s="230" t="s">
        <v>55</v>
      </c>
      <c r="I1378" s="230" t="s">
        <v>511</v>
      </c>
      <c r="J1378" s="231" t="s">
        <v>203</v>
      </c>
    </row>
    <row r="1379" spans="2:11" x14ac:dyDescent="0.25">
      <c r="B1379" s="235">
        <v>45054</v>
      </c>
      <c r="C1379" s="195">
        <v>2</v>
      </c>
      <c r="E1379" s="238">
        <v>0.9375</v>
      </c>
      <c r="F1379" s="204">
        <v>0.95833333333333337</v>
      </c>
      <c r="G1379" s="193">
        <f>IFERROR(IF(E1379&gt;F1379,((F1379+E376B376+1)-(E1379+#REF!))*24,HOUR(F1379-E1379)+MINUTE(F1379-E1379)/60),"")</f>
        <v>0.5</v>
      </c>
      <c r="H1379" s="230" t="s">
        <v>55</v>
      </c>
      <c r="I1379" s="230" t="s">
        <v>509</v>
      </c>
      <c r="J1379" s="231" t="s">
        <v>114</v>
      </c>
    </row>
    <row r="1380" spans="2:11" x14ac:dyDescent="0.25">
      <c r="B1380" s="235">
        <v>45054</v>
      </c>
      <c r="C1380" s="195">
        <v>3</v>
      </c>
      <c r="E1380" s="238">
        <v>0.95833333333333337</v>
      </c>
      <c r="F1380" s="204">
        <v>0.96180555555555547</v>
      </c>
      <c r="G1380" s="193">
        <f>IFERROR(IF(E1380&gt;F1380,((F1380+E376B376+1)-(E1380+#REF!))*24,HOUR(F1380-E1380)+MINUTE(F1380-E1380)/60),"")</f>
        <v>8.3333333333333329E-2</v>
      </c>
      <c r="H1380" s="230" t="s">
        <v>55</v>
      </c>
      <c r="I1380" s="230" t="s">
        <v>509</v>
      </c>
      <c r="J1380" s="231" t="s">
        <v>114</v>
      </c>
    </row>
    <row r="1381" spans="2:11" x14ac:dyDescent="0.25">
      <c r="B1381" s="235">
        <v>45054</v>
      </c>
      <c r="C1381" s="195">
        <v>3</v>
      </c>
      <c r="E1381" s="238">
        <v>8.0555555555555561E-2</v>
      </c>
      <c r="F1381" s="204">
        <v>9.0972222222222218E-2</v>
      </c>
      <c r="G1381" s="193">
        <f>IFERROR(IF(E1381&gt;F1381,((F1381+E376B376+1)-(E1381+#REF!))*24,HOUR(F1381-E1381)+MINUTE(F1381-E1381)/60),"")</f>
        <v>0.25</v>
      </c>
      <c r="H1381" s="230" t="s">
        <v>55</v>
      </c>
      <c r="I1381" s="230" t="s">
        <v>511</v>
      </c>
      <c r="J1381" s="231" t="s">
        <v>203</v>
      </c>
      <c r="K1381" s="279" t="s">
        <v>1174</v>
      </c>
    </row>
    <row r="1382" spans="2:11" x14ac:dyDescent="0.25">
      <c r="B1382" s="235">
        <v>45054</v>
      </c>
      <c r="C1382" s="195">
        <v>3</v>
      </c>
      <c r="E1382" s="238">
        <v>0.27777777777777779</v>
      </c>
      <c r="F1382" s="204">
        <v>0.29166666666666669</v>
      </c>
      <c r="G1382" s="193">
        <f>IFERROR(IF(E1382&gt;F1382,((F1382+E376B376+1)-(E1382+#REF!))*24,HOUR(F1382-E1382)+MINUTE(F1382-E1382)/60),"")</f>
        <v>0.33333333333333331</v>
      </c>
      <c r="H1382" s="230" t="s">
        <v>55</v>
      </c>
      <c r="I1382" s="230" t="s">
        <v>509</v>
      </c>
      <c r="J1382" s="231" t="s">
        <v>114</v>
      </c>
    </row>
    <row r="1383" spans="2:11" x14ac:dyDescent="0.25">
      <c r="B1383" s="235">
        <v>45055</v>
      </c>
      <c r="C1383" s="195">
        <v>1</v>
      </c>
      <c r="E1383" s="238">
        <v>0.29166666666666669</v>
      </c>
      <c r="F1383" s="204">
        <v>0.30555555555555552</v>
      </c>
      <c r="G1383" s="193">
        <f>IFERROR(IF(E1383&gt;F1383,((F1383+E376B376+1)-(E1383+#REF!))*24,HOUR(F1383-E1383)+MINUTE(F1383-E1383)/60),"")</f>
        <v>0.33333333333333331</v>
      </c>
      <c r="H1383" s="230" t="s">
        <v>55</v>
      </c>
      <c r="I1383" s="230" t="s">
        <v>509</v>
      </c>
      <c r="J1383" s="231" t="s">
        <v>114</v>
      </c>
    </row>
    <row r="1384" spans="2:11" x14ac:dyDescent="0.25">
      <c r="B1384" s="235">
        <v>45055</v>
      </c>
      <c r="C1384" s="195">
        <v>1</v>
      </c>
      <c r="E1384" s="238">
        <v>0.3666666666666667</v>
      </c>
      <c r="F1384" s="204">
        <v>0.38055555555555554</v>
      </c>
      <c r="G1384" s="193">
        <f>IFERROR(IF(E1384&gt;F1384,((F1384+E376B376+1)-(E1384+#REF!))*24,HOUR(F1384-E1384)+MINUTE(F1384-E1384)/60),"")</f>
        <v>0.33333333333333331</v>
      </c>
      <c r="H1384" s="230" t="s">
        <v>55</v>
      </c>
      <c r="I1384" s="230" t="s">
        <v>511</v>
      </c>
      <c r="J1384" s="231" t="s">
        <v>203</v>
      </c>
    </row>
    <row r="1385" spans="2:11" x14ac:dyDescent="0.25">
      <c r="B1385" s="235">
        <v>45055</v>
      </c>
      <c r="C1385" s="195">
        <v>1</v>
      </c>
      <c r="E1385" s="238">
        <v>0.43958333333333338</v>
      </c>
      <c r="F1385" s="204">
        <v>0.44930555555555557</v>
      </c>
      <c r="G1385" s="193">
        <f>IFERROR(IF(E1385&gt;F1385,((F1385+E376B376+1)-(E1385+#REF!))*24,HOUR(F1385-E1385)+MINUTE(F1385-E1385)/60),"")</f>
        <v>0.23333333333333334</v>
      </c>
      <c r="H1385" s="230" t="s">
        <v>55</v>
      </c>
      <c r="I1385" s="230" t="s">
        <v>510</v>
      </c>
      <c r="J1385" s="231" t="s">
        <v>222</v>
      </c>
    </row>
    <row r="1386" spans="2:11" x14ac:dyDescent="0.25">
      <c r="B1386" s="235">
        <v>45055</v>
      </c>
      <c r="C1386" s="195">
        <v>1</v>
      </c>
      <c r="E1386" s="238">
        <v>0.46458333333333335</v>
      </c>
      <c r="F1386" s="204">
        <v>0.47500000000000003</v>
      </c>
      <c r="G1386" s="193">
        <f>IFERROR(IF(E1386&gt;F1386,((F1386+E376B376+1)-(E1386+#REF!))*24,HOUR(F1386-E1386)+MINUTE(F1386-E1386)/60),"")</f>
        <v>0.25</v>
      </c>
      <c r="H1386" s="230" t="s">
        <v>55</v>
      </c>
      <c r="I1386" s="230" t="s">
        <v>511</v>
      </c>
      <c r="J1386" s="231" t="s">
        <v>203</v>
      </c>
    </row>
    <row r="1387" spans="2:11" s="237" customFormat="1" x14ac:dyDescent="0.25">
      <c r="B1387" s="290">
        <v>45055</v>
      </c>
      <c r="C1387" s="237">
        <v>1</v>
      </c>
      <c r="E1387" s="291">
        <v>0.53472222222222221</v>
      </c>
      <c r="F1387" s="334">
        <v>0.54583333333333328</v>
      </c>
      <c r="G1387" s="335">
        <f>IFERROR(IF(E1387&gt;F1387,((F1387+E376B376+1)-(E1387+#REF!))*24,HOUR(F1387-E1387)+MINUTE(F1387-E1387)/60),"")</f>
        <v>0.26666666666666666</v>
      </c>
      <c r="H1387" s="329" t="s">
        <v>55</v>
      </c>
      <c r="I1387" s="329" t="s">
        <v>511</v>
      </c>
      <c r="J1387" s="329" t="s">
        <v>203</v>
      </c>
      <c r="K1387" s="336"/>
    </row>
    <row r="1388" spans="2:11" x14ac:dyDescent="0.25">
      <c r="B1388" s="235">
        <v>45055</v>
      </c>
      <c r="C1388" s="195">
        <v>1</v>
      </c>
      <c r="D1388" s="195">
        <v>11</v>
      </c>
      <c r="E1388" s="238">
        <v>0.56805555555555554</v>
      </c>
      <c r="F1388" s="204">
        <v>0.59027777777777779</v>
      </c>
      <c r="G1388" s="193">
        <f>IFERROR(IF(E1388&gt;F1388,((F1388+E376B376+1)-(E1388+#REF!))*24,HOUR(F1388-E1388)+MINUTE(F1388-E1388)/60),"")</f>
        <v>0.53333333333333333</v>
      </c>
      <c r="H1388" s="230" t="s">
        <v>55</v>
      </c>
      <c r="I1388" s="230" t="s">
        <v>509</v>
      </c>
      <c r="J1388" s="231" t="s">
        <v>211</v>
      </c>
    </row>
    <row r="1389" spans="2:11" s="237" customFormat="1" x14ac:dyDescent="0.25">
      <c r="B1389" s="290">
        <v>45055</v>
      </c>
      <c r="C1389" s="237">
        <v>1</v>
      </c>
      <c r="E1389" s="291">
        <v>0.61388888888888882</v>
      </c>
      <c r="F1389" s="334">
        <v>0.625</v>
      </c>
      <c r="G1389" s="335">
        <f>IFERROR(IF(E1389&gt;F1389,((F1389+E376B376+1)-(E1389+#REF!))*24,HOUR(F1389-E1389)+MINUTE(F1389-E1389)/60),"")</f>
        <v>0.26666666666666666</v>
      </c>
      <c r="H1389" s="329" t="s">
        <v>204</v>
      </c>
      <c r="I1389" s="329" t="s">
        <v>509</v>
      </c>
      <c r="J1389" s="329" t="s">
        <v>126</v>
      </c>
      <c r="K1389" s="336"/>
    </row>
    <row r="1390" spans="2:11" s="237" customFormat="1" x14ac:dyDescent="0.25">
      <c r="B1390" s="290">
        <v>45055</v>
      </c>
      <c r="C1390" s="237">
        <v>2</v>
      </c>
      <c r="E1390" s="291">
        <v>0.625</v>
      </c>
      <c r="F1390" s="334">
        <v>0.84097222222222223</v>
      </c>
      <c r="G1390" s="335">
        <f>IFERROR(IF(E1390&gt;F1390,((F1390+E376B376+1)-(E1390+#REF!))*24,HOUR(F1390-E1390)+MINUTE(F1390-E1390)/60),"")</f>
        <v>5.1833333333333336</v>
      </c>
      <c r="H1390" s="329" t="s">
        <v>204</v>
      </c>
      <c r="I1390" s="329" t="s">
        <v>509</v>
      </c>
      <c r="J1390" s="329" t="s">
        <v>126</v>
      </c>
      <c r="K1390" s="336" t="s">
        <v>1187</v>
      </c>
    </row>
    <row r="1391" spans="2:11" x14ac:dyDescent="0.25">
      <c r="B1391" s="235">
        <v>45055</v>
      </c>
      <c r="C1391" s="195">
        <v>2</v>
      </c>
      <c r="E1391" s="238">
        <v>0.88888888888888884</v>
      </c>
      <c r="F1391" s="280">
        <v>0.90277777777777779</v>
      </c>
      <c r="G1391" s="193">
        <f>IFERROR(IF(E1391&gt;F1391,((F1391+E376B376+1)-(E1391+#REF!))*24,HOUR(F1391-E1391)+MINUTE(F1391-E1391)/60),"")</f>
        <v>0.33333333333333331</v>
      </c>
      <c r="H1391" s="230" t="s">
        <v>195</v>
      </c>
      <c r="I1391" s="230" t="s">
        <v>509</v>
      </c>
      <c r="J1391" s="231" t="s">
        <v>499</v>
      </c>
      <c r="K1391" s="176" t="s">
        <v>1188</v>
      </c>
    </row>
    <row r="1392" spans="2:11" x14ac:dyDescent="0.25">
      <c r="B1392" s="235">
        <v>45055</v>
      </c>
      <c r="C1392" s="195">
        <v>2</v>
      </c>
      <c r="E1392" s="238">
        <v>0.94027777777777777</v>
      </c>
      <c r="F1392" s="204">
        <v>0.95624999999999993</v>
      </c>
      <c r="G1392" s="193">
        <f>IFERROR(IF(E1392&gt;F1392,((F1392+E376B376+1)-(E1392+#REF!))*24,HOUR(F1392-E1392)+MINUTE(F1392-E1392)/60),"")</f>
        <v>0.38333333333333336</v>
      </c>
      <c r="H1392" s="230" t="s">
        <v>55</v>
      </c>
      <c r="I1392" s="230" t="s">
        <v>509</v>
      </c>
      <c r="J1392" s="231" t="s">
        <v>114</v>
      </c>
    </row>
    <row r="1393" spans="2:11" x14ac:dyDescent="0.25">
      <c r="B1393" s="235">
        <v>45055</v>
      </c>
      <c r="C1393" s="195">
        <v>3</v>
      </c>
      <c r="E1393" s="238">
        <v>8.6111111111111124E-2</v>
      </c>
      <c r="F1393" s="204">
        <v>9.1666666666666674E-2</v>
      </c>
      <c r="G1393" s="193">
        <f>IFERROR(IF(E1393&gt;F1393,((F1393+E376B376+1)-(E1393+#REF!))*24,HOUR(F1393-E1393)+MINUTE(F1393-E1393)/60),"")</f>
        <v>0.13333333333333333</v>
      </c>
      <c r="H1393" s="230" t="s">
        <v>55</v>
      </c>
      <c r="I1393" s="230" t="s">
        <v>509</v>
      </c>
      <c r="J1393" s="231" t="s">
        <v>141</v>
      </c>
    </row>
    <row r="1394" spans="2:11" x14ac:dyDescent="0.25">
      <c r="B1394" s="235">
        <v>45055</v>
      </c>
      <c r="C1394" s="233">
        <v>3</v>
      </c>
      <c r="E1394" s="238">
        <v>9.1666666666666674E-2</v>
      </c>
      <c r="F1394" s="204">
        <v>9.6527777777777768E-2</v>
      </c>
      <c r="G1394" s="193">
        <f>IFERROR(IF(E1394&gt;F1394,((F1394+E376B376+1)-(E1394+#REF!))*24,HOUR(F1394-E1394)+MINUTE(F1394-E1394)/60),"")</f>
        <v>0.11666666666666667</v>
      </c>
      <c r="H1394" s="230" t="s">
        <v>147</v>
      </c>
      <c r="I1394" s="230" t="s">
        <v>511</v>
      </c>
      <c r="J1394" s="231" t="s">
        <v>758</v>
      </c>
      <c r="K1394" s="279" t="s">
        <v>1158</v>
      </c>
    </row>
    <row r="1395" spans="2:11" x14ac:dyDescent="0.25">
      <c r="B1395" s="235">
        <v>45055</v>
      </c>
      <c r="C1395" s="233">
        <v>3</v>
      </c>
      <c r="E1395" s="238">
        <v>0.16527777777777777</v>
      </c>
      <c r="F1395" s="204">
        <v>0.17569444444444446</v>
      </c>
      <c r="G1395" s="193">
        <f>IFERROR(IF(E1395&gt;F1395,((F1395+E376B376+1)-(E1395+#REF!))*24,HOUR(F1395-E1395)+MINUTE(F1395-E1395)/60),"")</f>
        <v>0.25</v>
      </c>
      <c r="H1395" s="230" t="s">
        <v>55</v>
      </c>
      <c r="I1395" s="230" t="s">
        <v>511</v>
      </c>
      <c r="J1395" s="231" t="s">
        <v>203</v>
      </c>
      <c r="K1395" s="279" t="s">
        <v>1174</v>
      </c>
    </row>
    <row r="1396" spans="2:11" x14ac:dyDescent="0.25">
      <c r="B1396" s="235">
        <v>45055</v>
      </c>
      <c r="C1396" s="233">
        <v>3</v>
      </c>
      <c r="E1396" s="238">
        <v>0.2722222222222222</v>
      </c>
      <c r="F1396" s="204">
        <v>0.29166666666666669</v>
      </c>
      <c r="G1396" s="193">
        <f>IFERROR(IF(E1396&gt;F1396,((F1396+E376B376+1)-(E1396+#REF!))*24,HOUR(F1396-E1396)+MINUTE(F1396-E1396)/60),"")</f>
        <v>0.46666666666666667</v>
      </c>
      <c r="I1396" s="230" t="s">
        <v>156</v>
      </c>
      <c r="J1396" s="339" t="s">
        <v>149</v>
      </c>
    </row>
    <row r="1397" spans="2:11" x14ac:dyDescent="0.25">
      <c r="B1397" s="235">
        <v>45056</v>
      </c>
      <c r="C1397" s="233">
        <v>1</v>
      </c>
      <c r="E1397" s="238">
        <v>0.29166666666666669</v>
      </c>
      <c r="F1397" s="204">
        <v>0.625</v>
      </c>
      <c r="G1397" s="193">
        <f>IFERROR(IF(E1397&gt;F1397,((F1397+E376B376+1)-(E1397+#REF!))*24,HOUR(F1397-E1397)+MINUTE(F1397-E1397)/60),"")</f>
        <v>8</v>
      </c>
      <c r="I1397" s="230" t="s">
        <v>156</v>
      </c>
      <c r="J1397" s="339" t="s">
        <v>149</v>
      </c>
    </row>
    <row r="1398" spans="2:11" x14ac:dyDescent="0.25">
      <c r="B1398" s="235">
        <v>45056</v>
      </c>
      <c r="C1398" s="195">
        <v>2</v>
      </c>
      <c r="E1398" s="238">
        <v>0.625</v>
      </c>
      <c r="F1398" s="204">
        <v>0.95833333333333337</v>
      </c>
      <c r="G1398" s="193">
        <f>IFERROR(IF(E1398&gt;F1398,((F1398+E376B376+1)-(E1398+#REF!))*24,HOUR(F1398-E1398)+MINUTE(F1398-E1398)/60),"")</f>
        <v>8</v>
      </c>
      <c r="I1398" s="230" t="s">
        <v>156</v>
      </c>
      <c r="J1398" s="339" t="s">
        <v>149</v>
      </c>
    </row>
    <row r="1399" spans="2:11" x14ac:dyDescent="0.25">
      <c r="B1399" s="235">
        <v>45056</v>
      </c>
      <c r="C1399" s="195">
        <v>3</v>
      </c>
      <c r="E1399" s="238">
        <v>0.95833333333333337</v>
      </c>
      <c r="F1399" s="204">
        <v>0.29166666666666669</v>
      </c>
      <c r="G1399" s="193">
        <v>8</v>
      </c>
      <c r="I1399" s="230" t="s">
        <v>513</v>
      </c>
      <c r="J1399" s="231" t="s">
        <v>141</v>
      </c>
    </row>
    <row r="1400" spans="2:11" x14ac:dyDescent="0.25">
      <c r="B1400" s="235">
        <v>45057</v>
      </c>
      <c r="C1400" s="195">
        <v>1</v>
      </c>
      <c r="E1400" s="238">
        <v>0.29166666666666669</v>
      </c>
      <c r="F1400" s="204">
        <v>0.625</v>
      </c>
      <c r="G1400" s="343">
        <f>IFERROR(IF(E1400&gt;F1400,((F1400+E376B376+1)-(E1400+#REF!))*24,HOUR(F1400-E1400)+MINUTE(F1400-E1400)/60),"")</f>
        <v>8</v>
      </c>
      <c r="I1400" s="230" t="s">
        <v>513</v>
      </c>
      <c r="J1400" s="231" t="s">
        <v>141</v>
      </c>
    </row>
    <row r="1401" spans="2:11" x14ac:dyDescent="0.25">
      <c r="B1401" s="235">
        <v>45057</v>
      </c>
      <c r="C1401" s="195">
        <v>2</v>
      </c>
      <c r="E1401" s="238">
        <v>0.625</v>
      </c>
      <c r="F1401" s="204">
        <v>0.95833333333333337</v>
      </c>
      <c r="G1401" s="193">
        <f>IFERROR(IF(E1401&gt;F1401,((F1401+E376B376+1)-(E1401+#REF!))*24,HOUR(F1401-E1401)+MINUTE(F1401-E1401)/60),"")</f>
        <v>8</v>
      </c>
      <c r="I1401" s="230" t="s">
        <v>513</v>
      </c>
      <c r="J1401" s="231" t="s">
        <v>141</v>
      </c>
    </row>
    <row r="1402" spans="2:11" x14ac:dyDescent="0.25">
      <c r="B1402" s="235">
        <v>45057</v>
      </c>
      <c r="C1402" s="195">
        <v>3</v>
      </c>
      <c r="E1402" s="238">
        <v>0.95833333333333337</v>
      </c>
      <c r="F1402" s="204">
        <v>0.29166666666666669</v>
      </c>
      <c r="G1402" s="193">
        <v>8</v>
      </c>
      <c r="I1402" s="230" t="s">
        <v>513</v>
      </c>
      <c r="J1402" s="231" t="s">
        <v>141</v>
      </c>
    </row>
    <row r="1403" spans="2:11" x14ac:dyDescent="0.25">
      <c r="B1403" s="235">
        <v>45058</v>
      </c>
      <c r="C1403" s="195">
        <v>1</v>
      </c>
      <c r="E1403" s="238">
        <v>0.29166666666666669</v>
      </c>
      <c r="F1403" s="204">
        <v>0.625</v>
      </c>
      <c r="G1403" s="193">
        <v>8</v>
      </c>
      <c r="I1403" s="230" t="s">
        <v>513</v>
      </c>
      <c r="J1403" s="231" t="s">
        <v>141</v>
      </c>
    </row>
    <row r="1404" spans="2:11" x14ac:dyDescent="0.25">
      <c r="B1404" s="235">
        <v>45058</v>
      </c>
      <c r="C1404" s="195">
        <v>2</v>
      </c>
      <c r="E1404" s="238">
        <v>0.625</v>
      </c>
      <c r="F1404" s="204">
        <v>0.95833333333333337</v>
      </c>
      <c r="G1404" s="193">
        <v>8</v>
      </c>
      <c r="I1404" s="230" t="s">
        <v>513</v>
      </c>
      <c r="J1404" s="231" t="s">
        <v>141</v>
      </c>
    </row>
    <row r="1405" spans="2:11" x14ac:dyDescent="0.25">
      <c r="B1405" s="235">
        <v>45058</v>
      </c>
      <c r="C1405" s="233">
        <v>3</v>
      </c>
      <c r="D1405" s="233"/>
      <c r="E1405" s="238">
        <v>0.95833333333333337</v>
      </c>
      <c r="F1405" s="204">
        <v>0.29166666666666669</v>
      </c>
      <c r="G1405" s="193">
        <v>8</v>
      </c>
      <c r="I1405" s="230" t="s">
        <v>513</v>
      </c>
      <c r="J1405" s="231" t="s">
        <v>141</v>
      </c>
    </row>
    <row r="1406" spans="2:11" x14ac:dyDescent="0.25">
      <c r="B1406" s="235">
        <v>45059</v>
      </c>
      <c r="C1406" s="195">
        <v>1</v>
      </c>
      <c r="E1406" s="238">
        <v>0.29166666666666669</v>
      </c>
      <c r="F1406" s="204">
        <v>0.625</v>
      </c>
      <c r="G1406" s="193">
        <f>IFERROR(IF(E1406&gt;F1406,((F1406+E376B376+1)-(E1406+#REF!))*24,HOUR(F1406-E1406)+MINUTE(F1406-E1406)/60),"")</f>
        <v>8</v>
      </c>
      <c r="I1406" s="230" t="s">
        <v>513</v>
      </c>
      <c r="J1406" s="231" t="s">
        <v>141</v>
      </c>
    </row>
    <row r="1407" spans="2:11" x14ac:dyDescent="0.25">
      <c r="B1407" s="235">
        <v>45059</v>
      </c>
      <c r="C1407" s="195">
        <v>2</v>
      </c>
      <c r="E1407" s="238">
        <v>0.625</v>
      </c>
      <c r="F1407" s="204">
        <v>0.95833333333333337</v>
      </c>
      <c r="G1407" s="193">
        <v>8</v>
      </c>
      <c r="I1407" s="230" t="s">
        <v>513</v>
      </c>
      <c r="J1407" s="231" t="s">
        <v>141</v>
      </c>
    </row>
    <row r="1408" spans="2:11" x14ac:dyDescent="0.25">
      <c r="B1408" s="235">
        <v>45059</v>
      </c>
      <c r="C1408" s="233">
        <v>3</v>
      </c>
      <c r="D1408" s="233"/>
      <c r="E1408" s="238">
        <v>0.95833333333333337</v>
      </c>
      <c r="F1408" s="204">
        <v>0.29166666666666669</v>
      </c>
      <c r="G1408" s="193">
        <v>8</v>
      </c>
      <c r="I1408" s="230" t="s">
        <v>513</v>
      </c>
      <c r="J1408" s="231" t="s">
        <v>141</v>
      </c>
    </row>
    <row r="1409" spans="2:11" x14ac:dyDescent="0.25">
      <c r="B1409" s="235">
        <v>45060</v>
      </c>
      <c r="C1409" s="233">
        <v>1</v>
      </c>
      <c r="D1409" s="233"/>
      <c r="E1409" s="238">
        <v>0.29166666666666669</v>
      </c>
      <c r="F1409" s="204">
        <v>0.625</v>
      </c>
      <c r="G1409" s="193">
        <f>IFERROR(IF(E1409&gt;F1409,((F1409+E376B376+1)-(E1409+#REF!))*24,HOUR(F1409-E1409)+MINUTE(F1409-E1409)/60),"")</f>
        <v>8</v>
      </c>
      <c r="I1409" s="230" t="s">
        <v>513</v>
      </c>
      <c r="J1409" s="231" t="s">
        <v>141</v>
      </c>
    </row>
    <row r="1410" spans="2:11" x14ac:dyDescent="0.25">
      <c r="B1410" s="235">
        <v>45060</v>
      </c>
      <c r="C1410" s="233">
        <v>2</v>
      </c>
      <c r="D1410" s="233"/>
      <c r="E1410" s="238">
        <v>0.625</v>
      </c>
      <c r="F1410" s="204">
        <v>0.95833333333333337</v>
      </c>
      <c r="G1410" s="193">
        <v>8</v>
      </c>
      <c r="I1410" s="230" t="s">
        <v>513</v>
      </c>
      <c r="J1410" s="231" t="s">
        <v>141</v>
      </c>
    </row>
    <row r="1411" spans="2:11" x14ac:dyDescent="0.25">
      <c r="B1411" s="235">
        <v>45060</v>
      </c>
      <c r="C1411" s="233">
        <v>3</v>
      </c>
      <c r="D1411" s="233"/>
      <c r="E1411" s="238">
        <v>0.95833333333333337</v>
      </c>
      <c r="F1411" s="204">
        <v>0.29166666666666669</v>
      </c>
      <c r="G1411" s="193">
        <v>8</v>
      </c>
      <c r="I1411" s="230" t="s">
        <v>513</v>
      </c>
      <c r="J1411" s="231" t="s">
        <v>141</v>
      </c>
    </row>
    <row r="1412" spans="2:11" x14ac:dyDescent="0.25">
      <c r="B1412" s="235">
        <v>45061</v>
      </c>
      <c r="C1412" s="195">
        <v>1</v>
      </c>
      <c r="E1412" s="238">
        <v>0.46180555555555558</v>
      </c>
      <c r="F1412" s="204">
        <v>0.47222222222222227</v>
      </c>
      <c r="G1412" s="193">
        <f>IFERROR(IF(E1412&gt;F1412,((F1412+E376B376+1)-(E1412+#REF!))*24,HOUR(F1412-E1412)+MINUTE(F1412-E1412)/60),"")</f>
        <v>0.25</v>
      </c>
      <c r="H1412" s="230" t="s">
        <v>55</v>
      </c>
      <c r="I1412" s="230" t="s">
        <v>511</v>
      </c>
      <c r="J1412" s="231" t="s">
        <v>203</v>
      </c>
      <c r="K1412" s="231" t="s">
        <v>1190</v>
      </c>
    </row>
    <row r="1413" spans="2:11" x14ac:dyDescent="0.25">
      <c r="B1413" s="235">
        <v>45061</v>
      </c>
      <c r="C1413" s="195">
        <v>1</v>
      </c>
      <c r="E1413" s="238">
        <v>0.50694444444444442</v>
      </c>
      <c r="F1413" s="204">
        <v>0.51388888888888895</v>
      </c>
      <c r="G1413" s="193">
        <f>IFERROR(IF(E1413&gt;F1413,((F1413+E376B376+1)-(E1413+#REF!))*24,HOUR(F1413-E1413)+MINUTE(F1413-E1413)/60),"")</f>
        <v>0.16666666666666666</v>
      </c>
      <c r="H1413" s="230" t="s">
        <v>55</v>
      </c>
      <c r="I1413" s="230" t="s">
        <v>509</v>
      </c>
      <c r="J1413" s="231" t="s">
        <v>211</v>
      </c>
      <c r="K1413" s="176" t="s">
        <v>684</v>
      </c>
    </row>
    <row r="1414" spans="2:11" x14ac:dyDescent="0.25">
      <c r="B1414" s="235">
        <v>45061</v>
      </c>
      <c r="C1414" s="233">
        <v>1</v>
      </c>
      <c r="D1414" s="233"/>
      <c r="E1414" s="238">
        <v>0.53125</v>
      </c>
      <c r="F1414" s="204">
        <v>0.54166666666666663</v>
      </c>
      <c r="G1414" s="193">
        <f>IFERROR(IF(E1414&gt;F1414,((F1414+E376B376+1)-(E1414+#REF!))*24,HOUR(F1414-E1414)+MINUTE(F1414-E1414)/60),"")</f>
        <v>0.25</v>
      </c>
      <c r="H1414" s="230" t="s">
        <v>55</v>
      </c>
      <c r="I1414" s="230" t="s">
        <v>511</v>
      </c>
      <c r="J1414" s="231" t="s">
        <v>203</v>
      </c>
    </row>
    <row r="1415" spans="2:11" x14ac:dyDescent="0.25">
      <c r="B1415" s="235">
        <v>45061</v>
      </c>
      <c r="C1415" s="233">
        <v>1</v>
      </c>
      <c r="D1415" s="233">
        <v>1</v>
      </c>
      <c r="E1415" s="238">
        <v>0.60763888888888895</v>
      </c>
      <c r="F1415" s="204">
        <v>0.625</v>
      </c>
      <c r="G1415" s="193">
        <f>IFERROR(IF(E1415&gt;F1415,((F1415+E376B376+1)-(E1415+#REF!))*24,HOUR(F1415-E1415)+MINUTE(F1415-E1415)/60),"")</f>
        <v>0.41666666666666669</v>
      </c>
      <c r="H1415" s="230" t="s">
        <v>55</v>
      </c>
      <c r="I1415" s="230" t="s">
        <v>509</v>
      </c>
      <c r="J1415" s="231" t="s">
        <v>114</v>
      </c>
    </row>
    <row r="1416" spans="2:11" x14ac:dyDescent="0.25">
      <c r="B1416" s="235">
        <v>45061</v>
      </c>
      <c r="C1416" s="195">
        <v>2</v>
      </c>
      <c r="E1416" s="238">
        <v>0.625</v>
      </c>
      <c r="F1416" s="204">
        <v>0.63402777777777775</v>
      </c>
      <c r="G1416" s="193">
        <f>IFERROR(IF(E1416&gt;F1416,((F1416+E376B376+1)-(E1416+#REF!))*24,HOUR(F1416-E1416)+MINUTE(F1416-E1416)/60),"")</f>
        <v>0.21666666666666667</v>
      </c>
      <c r="H1416" s="230" t="s">
        <v>55</v>
      </c>
      <c r="I1416" s="230" t="s">
        <v>509</v>
      </c>
      <c r="J1416" s="231" t="s">
        <v>114</v>
      </c>
    </row>
    <row r="1417" spans="2:11" x14ac:dyDescent="0.25">
      <c r="B1417" s="235">
        <v>45061</v>
      </c>
      <c r="C1417" s="195">
        <v>2</v>
      </c>
      <c r="E1417" s="238">
        <v>0.64930555555555558</v>
      </c>
      <c r="F1417" s="280">
        <v>0.80555555555555547</v>
      </c>
      <c r="G1417" s="193">
        <f>IFERROR(IF(E1417&gt;F1417,((F1417+E376B376+1)-(E1417+#REF!))*24,HOUR(F1417-E1417)+MINUTE(F1417-E1417)/60),"")</f>
        <v>3.75</v>
      </c>
      <c r="H1417" s="230" t="s">
        <v>55</v>
      </c>
      <c r="I1417" s="230" t="s">
        <v>509</v>
      </c>
      <c r="J1417" s="231" t="s">
        <v>110</v>
      </c>
    </row>
    <row r="1418" spans="2:11" x14ac:dyDescent="0.25">
      <c r="B1418" s="235">
        <v>45061</v>
      </c>
      <c r="C1418" s="195">
        <v>2</v>
      </c>
      <c r="E1418" s="238">
        <v>0.85416666666666663</v>
      </c>
      <c r="F1418" s="204">
        <v>0.89583333333333337</v>
      </c>
      <c r="G1418" s="193">
        <f>IFERROR(IF(E1418&gt;F1418,((F1418+E376B376+1)-(E1418+#REF!))*24,HOUR(F1418-E1418)+MINUTE(F1418-E1418)/60),"")</f>
        <v>1</v>
      </c>
      <c r="H1418" s="230" t="s">
        <v>55</v>
      </c>
      <c r="I1418" s="230" t="s">
        <v>509</v>
      </c>
      <c r="J1418" s="231" t="s">
        <v>211</v>
      </c>
    </row>
    <row r="1419" spans="2:11" x14ac:dyDescent="0.25">
      <c r="B1419" s="235">
        <v>45061</v>
      </c>
      <c r="C1419" s="195">
        <v>2</v>
      </c>
      <c r="E1419" s="238">
        <v>0.94861111111111107</v>
      </c>
      <c r="F1419" s="204">
        <v>0.95833333333333337</v>
      </c>
      <c r="G1419" s="193">
        <f>IFERROR(IF(E1419&gt;F1419,((F1419+E376B376+1)-(E1419+#REF!))*24,HOUR(F1419-E1419)+MINUTE(F1419-E1419)/60),"")</f>
        <v>0.23333333333333334</v>
      </c>
      <c r="H1419" s="230" t="s">
        <v>55</v>
      </c>
      <c r="I1419" s="230" t="s">
        <v>509</v>
      </c>
      <c r="J1419" s="231" t="s">
        <v>114</v>
      </c>
    </row>
    <row r="1420" spans="2:11" x14ac:dyDescent="0.25">
      <c r="B1420" s="235">
        <v>45061</v>
      </c>
      <c r="C1420" s="195">
        <v>3</v>
      </c>
      <c r="E1420" s="238">
        <v>0.95833333333333337</v>
      </c>
      <c r="F1420" s="204">
        <v>0.29166666666666669</v>
      </c>
      <c r="G1420" s="193">
        <v>8</v>
      </c>
      <c r="I1420" s="230" t="s">
        <v>513</v>
      </c>
      <c r="J1420" s="231" t="s">
        <v>141</v>
      </c>
    </row>
    <row r="1421" spans="2:11" x14ac:dyDescent="0.25">
      <c r="B1421" s="235">
        <v>45062</v>
      </c>
      <c r="C1421" s="195">
        <v>1</v>
      </c>
      <c r="E1421" s="238">
        <v>0.29166666666666669</v>
      </c>
      <c r="F1421" s="204">
        <v>0.625</v>
      </c>
      <c r="G1421" s="193">
        <f>IFERROR(IF(E1421&gt;F1421,((F1421+E376B376+1)-(E1421+#REF!))*24,HOUR(F1421-E1421)+MINUTE(F1421-E1421)/60),"")</f>
        <v>8</v>
      </c>
      <c r="I1421" s="230" t="s">
        <v>513</v>
      </c>
      <c r="J1421" s="231" t="s">
        <v>141</v>
      </c>
    </row>
    <row r="1422" spans="2:11" x14ac:dyDescent="0.25">
      <c r="B1422" s="235">
        <v>45062</v>
      </c>
      <c r="C1422" s="195">
        <v>2</v>
      </c>
      <c r="E1422" s="238">
        <v>0.625</v>
      </c>
      <c r="F1422" s="204">
        <v>0.95833333333333337</v>
      </c>
      <c r="G1422" s="193">
        <f>IFERROR(IF(E1422&gt;F1422,((F1422+E376B376+1)-(E1422+#REF!))*24,HOUR(F1422-E1422)+MINUTE(F1422-E1422)/60),"")</f>
        <v>8</v>
      </c>
      <c r="I1422" s="230" t="s">
        <v>513</v>
      </c>
      <c r="J1422" s="231" t="s">
        <v>141</v>
      </c>
    </row>
    <row r="1423" spans="2:11" x14ac:dyDescent="0.25">
      <c r="B1423" s="235">
        <v>45062</v>
      </c>
      <c r="C1423" s="195">
        <v>3</v>
      </c>
      <c r="E1423" s="238">
        <v>0.95833333333333337</v>
      </c>
      <c r="F1423" s="204">
        <v>0.29166666666666669</v>
      </c>
      <c r="G1423" s="193">
        <v>8</v>
      </c>
      <c r="I1423" s="230" t="s">
        <v>513</v>
      </c>
      <c r="J1423" s="231" t="s">
        <v>141</v>
      </c>
    </row>
    <row r="1424" spans="2:11" x14ac:dyDescent="0.25">
      <c r="B1424" s="235">
        <v>45063</v>
      </c>
      <c r="C1424" s="195">
        <v>1</v>
      </c>
      <c r="E1424" s="238">
        <v>0.29166666666666669</v>
      </c>
      <c r="F1424" s="204">
        <v>0.625</v>
      </c>
      <c r="G1424" s="193">
        <f>IFERROR(IF(E1424&gt;F1424,((F1424+E376B376+1)-(E1424+#REF!))*24,HOUR(F1424-E1424)+MINUTE(F1424-E1424)/60),"")</f>
        <v>8</v>
      </c>
      <c r="I1424" s="230" t="s">
        <v>513</v>
      </c>
      <c r="J1424" s="231" t="s">
        <v>141</v>
      </c>
    </row>
    <row r="1425" spans="2:11" x14ac:dyDescent="0.25">
      <c r="B1425" s="235">
        <v>45063</v>
      </c>
      <c r="C1425" s="195">
        <v>2</v>
      </c>
      <c r="E1425" s="238">
        <v>0.625</v>
      </c>
      <c r="F1425" s="204">
        <v>0.95833333333333337</v>
      </c>
      <c r="G1425" s="193">
        <f>IFERROR(IF(E1425&gt;F1425,((F1425+E376B376+1)-(E1425+#REF!))*24,HOUR(F1425-E1425)+MINUTE(F1425-E1425)/60),"")</f>
        <v>8</v>
      </c>
      <c r="I1425" s="230" t="s">
        <v>513</v>
      </c>
      <c r="J1425" s="231" t="s">
        <v>141</v>
      </c>
    </row>
    <row r="1426" spans="2:11" x14ac:dyDescent="0.25">
      <c r="B1426" s="235">
        <v>45063</v>
      </c>
      <c r="C1426" s="195">
        <v>3</v>
      </c>
      <c r="E1426" s="238">
        <v>0.95833333333333337</v>
      </c>
      <c r="F1426" s="204">
        <v>0.29166666666666669</v>
      </c>
      <c r="G1426" s="193">
        <v>8</v>
      </c>
      <c r="I1426" s="230" t="s">
        <v>513</v>
      </c>
      <c r="J1426" s="231" t="s">
        <v>141</v>
      </c>
    </row>
    <row r="1427" spans="2:11" x14ac:dyDescent="0.25">
      <c r="B1427" s="235">
        <v>45064</v>
      </c>
      <c r="C1427" s="195">
        <v>1</v>
      </c>
      <c r="E1427" s="238">
        <v>0.29166666666666669</v>
      </c>
      <c r="F1427" s="204">
        <v>0.625</v>
      </c>
      <c r="G1427" s="193">
        <f>IFERROR(IF(E1427&gt;F1427,((F1427+E376B376+1)-(E1427+#REF!))*24,HOUR(F1427-E1427)+MINUTE(F1427-E1427)/60),"")</f>
        <v>8</v>
      </c>
      <c r="I1427" s="230" t="s">
        <v>513</v>
      </c>
      <c r="J1427" s="231" t="s">
        <v>141</v>
      </c>
    </row>
    <row r="1428" spans="2:11" x14ac:dyDescent="0.25">
      <c r="B1428" s="235">
        <v>45064</v>
      </c>
      <c r="C1428" s="195">
        <v>2</v>
      </c>
      <c r="E1428" s="238">
        <v>0.625</v>
      </c>
      <c r="F1428" s="204">
        <v>0.95833333333333337</v>
      </c>
      <c r="G1428" s="193">
        <f>IFERROR(IF(E1428&gt;F1428,((F1428+E376B376+1)-(E1428+#REF!))*24,HOUR(F1428-E1428)+MINUTE(F1428-E1428)/60),"")</f>
        <v>8</v>
      </c>
      <c r="I1428" s="230" t="s">
        <v>513</v>
      </c>
      <c r="J1428" s="231" t="s">
        <v>141</v>
      </c>
    </row>
    <row r="1429" spans="2:11" x14ac:dyDescent="0.25">
      <c r="B1429" s="235">
        <v>45064</v>
      </c>
      <c r="C1429" s="195">
        <v>3</v>
      </c>
      <c r="E1429" s="238">
        <v>0.95833333333333337</v>
      </c>
      <c r="F1429" s="204">
        <v>0.98888888888888893</v>
      </c>
      <c r="G1429" s="193">
        <f>IFERROR(IF(E1429&gt;F1429,((F1429+E376B376+1)-(E1429+#REF!))*24,HOUR(F1429-E1429)+MINUTE(F1429-E1429)/60),"")</f>
        <v>0.73333333333333328</v>
      </c>
      <c r="H1429" s="230" t="s">
        <v>55</v>
      </c>
      <c r="I1429" s="230" t="s">
        <v>509</v>
      </c>
      <c r="J1429" s="231" t="s">
        <v>211</v>
      </c>
    </row>
    <row r="1430" spans="2:11" x14ac:dyDescent="0.25">
      <c r="B1430" s="235">
        <v>45064</v>
      </c>
      <c r="C1430" s="233">
        <v>3</v>
      </c>
      <c r="E1430" s="238">
        <v>4.1666666666666666E-3</v>
      </c>
      <c r="F1430" s="204">
        <v>2.5694444444444447E-2</v>
      </c>
      <c r="G1430" s="193">
        <f>IFERROR(IF(E1430&gt;F1430,((F1430+E376B376+1)-(E1430+#REF!))*24,HOUR(F1430-E1430)+MINUTE(F1430-E1430)/60),"")</f>
        <v>0.51666666666666672</v>
      </c>
      <c r="H1430" s="230" t="s">
        <v>55</v>
      </c>
      <c r="I1430" s="230" t="s">
        <v>510</v>
      </c>
      <c r="J1430" s="231" t="s">
        <v>227</v>
      </c>
    </row>
    <row r="1431" spans="2:11" x14ac:dyDescent="0.25">
      <c r="B1431" s="235">
        <v>45064</v>
      </c>
      <c r="C1431" s="233">
        <v>3</v>
      </c>
      <c r="E1431" s="238">
        <v>6.25E-2</v>
      </c>
      <c r="F1431" s="204">
        <v>9.9999999999999992E-2</v>
      </c>
      <c r="G1431" s="193">
        <f>IFERROR(IF(E1431&gt;F1431,((F1431+E376B376+1)-(E1431+#REF!))*24,HOUR(F1431-E1431)+MINUTE(F1431-E1431)/60),"")</f>
        <v>0.9</v>
      </c>
      <c r="H1431" s="230" t="s">
        <v>204</v>
      </c>
      <c r="I1431" s="230" t="s">
        <v>513</v>
      </c>
      <c r="J1431" s="231" t="s">
        <v>534</v>
      </c>
      <c r="K1431" s="176" t="s">
        <v>1197</v>
      </c>
    </row>
    <row r="1432" spans="2:11" x14ac:dyDescent="0.25">
      <c r="B1432" s="235">
        <v>45064</v>
      </c>
      <c r="C1432" s="233">
        <v>3</v>
      </c>
      <c r="E1432" s="238">
        <v>0.16944444444444443</v>
      </c>
      <c r="F1432" s="204">
        <v>0.18263888888888891</v>
      </c>
      <c r="G1432" s="193">
        <f>IFERROR(IF(E1432&gt;F1432,((F1432+E376B376+1)-(E1432+#REF!))*24,HOUR(F1432-E1432)+MINUTE(F1432-E1432)/60),"")</f>
        <v>0.31666666666666665</v>
      </c>
      <c r="H1432" s="230" t="s">
        <v>55</v>
      </c>
      <c r="I1432" s="230" t="s">
        <v>509</v>
      </c>
      <c r="J1432" s="231" t="s">
        <v>211</v>
      </c>
    </row>
    <row r="1433" spans="2:11" x14ac:dyDescent="0.25">
      <c r="B1433" s="235">
        <v>45064</v>
      </c>
      <c r="C1433" s="195">
        <v>3</v>
      </c>
      <c r="E1433" s="238">
        <v>0.28402777777777777</v>
      </c>
      <c r="F1433" s="204">
        <v>0.29166666666666669</v>
      </c>
      <c r="G1433" s="193">
        <f>IFERROR(IF(E1433&gt;F1433,((F1433+E376B376+1)-(E1433+#REF!))*24,HOUR(F1433-E1433)+MINUTE(F1433-E1433)/60),"")</f>
        <v>0.18333333333333332</v>
      </c>
      <c r="H1433" s="230" t="s">
        <v>55</v>
      </c>
      <c r="I1433" s="230" t="s">
        <v>509</v>
      </c>
      <c r="J1433" s="231" t="s">
        <v>114</v>
      </c>
    </row>
    <row r="1434" spans="2:11" s="233" customFormat="1" x14ac:dyDescent="0.25">
      <c r="B1434" s="235">
        <v>45065</v>
      </c>
      <c r="C1434" s="233">
        <v>1</v>
      </c>
      <c r="E1434" s="238">
        <v>0.29166666666666669</v>
      </c>
      <c r="F1434" s="204">
        <v>0.2951388888888889</v>
      </c>
      <c r="G1434" s="193">
        <f>IFERROR(IF(E1434&gt;F1434,((F1434+E376B376+1)-(E1434+#REF!))*24,HOUR(F1434-E1434)+MINUTE(F1434-E1434)/60),"")</f>
        <v>8.3333333333333329E-2</v>
      </c>
      <c r="H1434" s="230" t="s">
        <v>55</v>
      </c>
      <c r="I1434" s="230" t="s">
        <v>509</v>
      </c>
      <c r="J1434" s="231" t="s">
        <v>114</v>
      </c>
      <c r="K1434" s="176"/>
    </row>
    <row r="1435" spans="2:11" x14ac:dyDescent="0.25">
      <c r="B1435" s="235">
        <v>45065</v>
      </c>
      <c r="C1435" s="195">
        <v>1</v>
      </c>
      <c r="E1435" s="238">
        <v>0.3888888888888889</v>
      </c>
      <c r="F1435" s="204">
        <v>0.40416666666666662</v>
      </c>
      <c r="G1435" s="193">
        <f>IFERROR(IF(E1435&gt;F1435,((F1435+E376B376+1)-(E1435+#REF!))*24,HOUR(F1435-E1435)+MINUTE(F1435-E1435)/60),"")</f>
        <v>0.36666666666666664</v>
      </c>
      <c r="H1435" s="230" t="s">
        <v>195</v>
      </c>
      <c r="I1435" s="230" t="s">
        <v>509</v>
      </c>
      <c r="J1435" s="231" t="s">
        <v>110</v>
      </c>
      <c r="K1435" s="176" t="s">
        <v>809</v>
      </c>
    </row>
    <row r="1436" spans="2:11" x14ac:dyDescent="0.25">
      <c r="B1436" s="235">
        <v>45065</v>
      </c>
      <c r="C1436" s="195">
        <v>1</v>
      </c>
      <c r="E1436" s="238">
        <v>0.52777777777777779</v>
      </c>
      <c r="F1436" s="204">
        <v>0.53888888888888886</v>
      </c>
      <c r="G1436" s="193">
        <f>IFERROR(IF(E1436&gt;F1436,((F1436+E376B376+1)-(E1436+#REF!))*24,HOUR(F1436-E1436)+MINUTE(F1436-E1436)/60),"")</f>
        <v>0.26666666666666666</v>
      </c>
      <c r="H1436" s="230" t="s">
        <v>55</v>
      </c>
      <c r="I1436" s="230" t="s">
        <v>509</v>
      </c>
      <c r="J1436" s="231" t="s">
        <v>211</v>
      </c>
    </row>
    <row r="1437" spans="2:11" x14ac:dyDescent="0.25">
      <c r="B1437" s="235">
        <v>45065</v>
      </c>
      <c r="C1437" s="195">
        <v>1</v>
      </c>
      <c r="E1437" s="238">
        <v>0.61111111111111105</v>
      </c>
      <c r="F1437" s="204">
        <v>0.625</v>
      </c>
      <c r="G1437" s="193">
        <f>IFERROR(IF(E1437&gt;F1437,((F1437+E376B376+1)-(E1437+#REF!))*24,HOUR(F1437-E1437)+MINUTE(F1437-E1437)/60),"")</f>
        <v>0.33333333333333331</v>
      </c>
      <c r="H1437" s="230" t="s">
        <v>55</v>
      </c>
      <c r="I1437" s="230" t="s">
        <v>509</v>
      </c>
      <c r="J1437" s="231" t="s">
        <v>114</v>
      </c>
    </row>
    <row r="1438" spans="2:11" x14ac:dyDescent="0.25">
      <c r="B1438" s="235">
        <v>45065</v>
      </c>
      <c r="C1438" s="195">
        <v>2</v>
      </c>
      <c r="E1438" s="238">
        <v>0.625</v>
      </c>
      <c r="F1438" s="204">
        <v>0.64583333333333337</v>
      </c>
      <c r="G1438" s="193">
        <f>IFERROR(IF(E1438&gt;F1438,((F1438+E376B376+1)-(E1438+#REF!))*24,HOUR(F1438-E1438)+MINUTE(F1438-E1438)/60),"")</f>
        <v>0.5</v>
      </c>
      <c r="H1438" s="230" t="s">
        <v>55</v>
      </c>
      <c r="I1438" s="230" t="s">
        <v>509</v>
      </c>
      <c r="J1438" s="231" t="s">
        <v>114</v>
      </c>
    </row>
    <row r="1439" spans="2:11" x14ac:dyDescent="0.25">
      <c r="B1439" s="235">
        <v>45065</v>
      </c>
      <c r="C1439" s="195">
        <v>2</v>
      </c>
      <c r="E1439" s="238">
        <v>0.75</v>
      </c>
      <c r="F1439" s="204">
        <v>0.78125</v>
      </c>
      <c r="G1439" s="193">
        <f>IFERROR(IF(E1439&gt;F1439,((F1439+E376B376+1)-(E1439+#REF!))*24,HOUR(F1439-E1439)+MINUTE(F1439-E1439)/60),"")</f>
        <v>0.75</v>
      </c>
      <c r="H1439" s="230" t="s">
        <v>55</v>
      </c>
      <c r="I1439" s="230" t="s">
        <v>509</v>
      </c>
      <c r="J1439" s="231" t="s">
        <v>211</v>
      </c>
      <c r="K1439" s="176" t="s">
        <v>684</v>
      </c>
    </row>
    <row r="1440" spans="2:11" x14ac:dyDescent="0.25">
      <c r="B1440" s="235">
        <v>45065</v>
      </c>
      <c r="C1440" s="195">
        <v>2</v>
      </c>
      <c r="E1440" s="238">
        <v>0.79513888888888884</v>
      </c>
      <c r="F1440" s="204">
        <v>0.80555555555555547</v>
      </c>
      <c r="G1440" s="193">
        <f>IFERROR(IF(E1440&gt;F1440,((F1440+E376B376+1)-(E1440+#REF!))*24,HOUR(F1440-E1440)+MINUTE(F1440-E1440)/60),"")</f>
        <v>0.25</v>
      </c>
      <c r="H1440" s="230" t="s">
        <v>55</v>
      </c>
      <c r="I1440" s="230" t="s">
        <v>511</v>
      </c>
      <c r="J1440" s="231" t="s">
        <v>203</v>
      </c>
      <c r="K1440" s="176" t="s">
        <v>1201</v>
      </c>
    </row>
    <row r="1441" spans="2:11" x14ac:dyDescent="0.25">
      <c r="B1441" s="235">
        <v>45065</v>
      </c>
      <c r="C1441" s="195">
        <v>2</v>
      </c>
      <c r="E1441" s="238">
        <v>0.87152777777777779</v>
      </c>
      <c r="F1441" s="204">
        <v>0.88194444444444453</v>
      </c>
      <c r="G1441" s="193">
        <f>IFERROR(IF(E1441&gt;F1441,((F1441+E376B376+1)-(E1441+#REF!))*24,HOUR(F1441-E1441)+MINUTE(F1441-E1441)/60),"")</f>
        <v>0.25</v>
      </c>
      <c r="H1441" s="230" t="s">
        <v>55</v>
      </c>
      <c r="I1441" s="230" t="s">
        <v>511</v>
      </c>
      <c r="J1441" s="231" t="s">
        <v>203</v>
      </c>
      <c r="K1441" s="176" t="s">
        <v>1201</v>
      </c>
    </row>
    <row r="1442" spans="2:11" x14ac:dyDescent="0.25">
      <c r="B1442" s="235">
        <v>45065</v>
      </c>
      <c r="C1442" s="195">
        <v>2</v>
      </c>
      <c r="E1442" s="238">
        <v>0.93402777777777779</v>
      </c>
      <c r="F1442" s="204">
        <v>0.94444444444444453</v>
      </c>
      <c r="G1442" s="193">
        <f>IFERROR(IF(E1442&gt;F1442,((F1442+E376B376+1)-(E1442+#REF!))*24,HOUR(F1442-E1442)+MINUTE(F1442-E1442)/60),"")</f>
        <v>0.25</v>
      </c>
      <c r="H1442" s="230" t="s">
        <v>55</v>
      </c>
      <c r="I1442" s="230" t="s">
        <v>511</v>
      </c>
      <c r="J1442" s="231" t="s">
        <v>203</v>
      </c>
      <c r="K1442" s="176" t="s">
        <v>1201</v>
      </c>
    </row>
    <row r="1443" spans="2:11" x14ac:dyDescent="0.25">
      <c r="B1443" s="235">
        <v>45065</v>
      </c>
      <c r="C1443" s="195">
        <v>2</v>
      </c>
      <c r="E1443" s="238">
        <v>0.94444444444444453</v>
      </c>
      <c r="F1443" s="204">
        <v>0.95833333333333337</v>
      </c>
      <c r="G1443" s="193">
        <f>IFERROR(IF(E1443&gt;F1443,((F1443+E376B376+1)-(E1443+#REF!))*24,HOUR(F1443-E1443)+MINUTE(F1443-E1443)/60),"")</f>
        <v>0.33333333333333331</v>
      </c>
      <c r="H1443" s="230" t="s">
        <v>55</v>
      </c>
      <c r="I1443" s="230" t="s">
        <v>509</v>
      </c>
      <c r="J1443" s="231" t="s">
        <v>114</v>
      </c>
    </row>
    <row r="1444" spans="2:11" x14ac:dyDescent="0.25">
      <c r="B1444" s="235">
        <v>45065</v>
      </c>
      <c r="C1444" s="195">
        <v>3</v>
      </c>
      <c r="E1444" s="238">
        <v>0.95833333333333337</v>
      </c>
      <c r="F1444" s="204">
        <v>0.96180555555555547</v>
      </c>
      <c r="G1444" s="193">
        <f>IFERROR(IF(E1444&gt;F1444,((F1444+E376B376+1)-(E1444+#REF!))*24,HOUR(F1444-E1444)+MINUTE(F1444-E1444)/60),"")</f>
        <v>8.3333333333333329E-2</v>
      </c>
      <c r="H1444" s="230" t="s">
        <v>55</v>
      </c>
      <c r="I1444" s="230" t="s">
        <v>509</v>
      </c>
      <c r="J1444" s="231" t="s">
        <v>114</v>
      </c>
    </row>
    <row r="1445" spans="2:11" x14ac:dyDescent="0.25">
      <c r="B1445" s="235">
        <v>45065</v>
      </c>
      <c r="C1445" s="195">
        <v>3</v>
      </c>
      <c r="E1445" s="238">
        <v>0.97499999999999998</v>
      </c>
      <c r="F1445" s="204">
        <v>0.98611111111111116</v>
      </c>
      <c r="G1445" s="193">
        <f>IFERROR(IF(E1445&gt;F1445,((F1445+E376B376+1)-(E1445+#REF!))*24,HOUR(F1445-E1445)+MINUTE(F1445-E1445)/60),"")</f>
        <v>0.26666666666666666</v>
      </c>
      <c r="H1445" s="230" t="s">
        <v>55</v>
      </c>
      <c r="I1445" s="230" t="s">
        <v>511</v>
      </c>
      <c r="J1445" s="231" t="s">
        <v>203</v>
      </c>
    </row>
    <row r="1446" spans="2:11" x14ac:dyDescent="0.25">
      <c r="B1446" s="235">
        <v>45065</v>
      </c>
      <c r="C1446" s="195">
        <v>3</v>
      </c>
      <c r="E1446" s="238">
        <v>0.98611111111111116</v>
      </c>
      <c r="F1446" s="204">
        <v>45066.291666666664</v>
      </c>
      <c r="G1446" s="193">
        <f>IFERROR(IF(E1446&gt;F1446,((F1446+E376B376+1)-(E1446+#REF!))*24,HOUR(F1446-E1446)+MINUTE(F1446-E1446)/60),"")</f>
        <v>7.333333333333333</v>
      </c>
      <c r="H1446" s="230" t="s">
        <v>147</v>
      </c>
      <c r="I1446" s="230" t="s">
        <v>511</v>
      </c>
      <c r="J1446" s="231" t="s">
        <v>82</v>
      </c>
    </row>
    <row r="1447" spans="2:11" x14ac:dyDescent="0.25">
      <c r="B1447" s="235">
        <v>45066</v>
      </c>
      <c r="C1447" s="195">
        <v>1</v>
      </c>
      <c r="E1447" s="238">
        <v>0.29166666666666669</v>
      </c>
      <c r="F1447" s="204">
        <v>0.625</v>
      </c>
      <c r="G1447" s="193">
        <f>IFERROR(IF(E1447&gt;F1447,((F1447+E376B376+1)-(E1447+#REF!))*24,HOUR(F1447-E1447)+MINUTE(F1447-E1447)/60),"")</f>
        <v>8</v>
      </c>
      <c r="H1447" s="230" t="s">
        <v>147</v>
      </c>
      <c r="I1447" s="230" t="s">
        <v>511</v>
      </c>
      <c r="J1447" s="231" t="s">
        <v>82</v>
      </c>
    </row>
    <row r="1448" spans="2:11" x14ac:dyDescent="0.25">
      <c r="B1448" s="235">
        <v>45066</v>
      </c>
      <c r="C1448" s="195">
        <v>2</v>
      </c>
      <c r="E1448" s="238">
        <v>0.625</v>
      </c>
      <c r="F1448" s="204">
        <v>0.95833333333333337</v>
      </c>
      <c r="G1448" s="193">
        <f>IFERROR(IF(E1448&gt;F1448,((F1448+E376B376+1)-(E1448+#REF!))*24,HOUR(F1448-E1448)+MINUTE(F1448-E1448)/60),"")</f>
        <v>8</v>
      </c>
      <c r="H1448" s="230" t="s">
        <v>147</v>
      </c>
      <c r="I1448" s="230" t="s">
        <v>511</v>
      </c>
      <c r="J1448" s="231" t="s">
        <v>82</v>
      </c>
    </row>
    <row r="1449" spans="2:11" x14ac:dyDescent="0.25">
      <c r="B1449" s="235">
        <v>45066</v>
      </c>
      <c r="C1449" s="195">
        <v>3</v>
      </c>
      <c r="E1449" s="238">
        <v>0.95833333333333337</v>
      </c>
      <c r="F1449" s="204">
        <v>45067.291666666664</v>
      </c>
      <c r="G1449" s="193">
        <f>IFERROR(IF(E1449&gt;F1449,((F1449+E376B376+1)-(E1449+#REF!))*24,HOUR(F1449-E1449)+MINUTE(F1449-E1449)/60),"")</f>
        <v>8</v>
      </c>
      <c r="H1449" s="230" t="s">
        <v>147</v>
      </c>
      <c r="I1449" s="230" t="s">
        <v>511</v>
      </c>
      <c r="J1449" s="231" t="s">
        <v>82</v>
      </c>
    </row>
    <row r="1450" spans="2:11" x14ac:dyDescent="0.25">
      <c r="B1450" s="235">
        <v>45067</v>
      </c>
      <c r="C1450" s="195">
        <v>1</v>
      </c>
      <c r="E1450" s="238">
        <v>0.29166666666666669</v>
      </c>
      <c r="F1450" s="204">
        <v>0.625</v>
      </c>
      <c r="G1450" s="193">
        <f>IFERROR(IF(E1450&gt;F1450,((F1450+E376B376+1)-(E1450+#REF!))*24,HOUR(F1450-E1450)+MINUTE(F1450-E1450)/60),"")</f>
        <v>8</v>
      </c>
      <c r="H1450" s="230" t="s">
        <v>147</v>
      </c>
      <c r="I1450" s="230" t="s">
        <v>511</v>
      </c>
      <c r="J1450" s="231" t="s">
        <v>82</v>
      </c>
    </row>
    <row r="1451" spans="2:11" x14ac:dyDescent="0.25">
      <c r="B1451" s="235">
        <v>45067</v>
      </c>
      <c r="C1451" s="195">
        <v>2</v>
      </c>
      <c r="E1451" s="238">
        <v>0.625</v>
      </c>
      <c r="F1451" s="204">
        <v>0.95833333333333337</v>
      </c>
      <c r="G1451" s="193">
        <f>IFERROR(IF(E1451&gt;F1451,((F1451+E376B376+1)-(E1451+#REF!))*24,HOUR(F1451-E1451)+MINUTE(F1451-E1451)/60),"")</f>
        <v>8</v>
      </c>
      <c r="H1451" s="230" t="s">
        <v>147</v>
      </c>
      <c r="I1451" s="230" t="s">
        <v>511</v>
      </c>
      <c r="J1451" s="231" t="s">
        <v>82</v>
      </c>
    </row>
    <row r="1452" spans="2:11" x14ac:dyDescent="0.25">
      <c r="B1452" s="235">
        <v>45067</v>
      </c>
      <c r="C1452" s="195">
        <v>3</v>
      </c>
      <c r="E1452" s="238">
        <v>0.95833333333333337</v>
      </c>
      <c r="F1452" s="204">
        <v>45068.291666666664</v>
      </c>
      <c r="G1452" s="193">
        <f>IFERROR(IF(E1452&gt;F1452,((F1452+E376B376+1)-(E1452+#REF!))*24,HOUR(F1452-E1452)+MINUTE(F1452-E1452)/60),"")</f>
        <v>8</v>
      </c>
      <c r="H1452" s="230" t="s">
        <v>147</v>
      </c>
      <c r="I1452" s="230" t="s">
        <v>511</v>
      </c>
      <c r="J1452" s="231" t="s">
        <v>82</v>
      </c>
    </row>
    <row r="1453" spans="2:11" x14ac:dyDescent="0.25">
      <c r="B1453" s="235">
        <v>45068</v>
      </c>
      <c r="C1453" s="195">
        <v>1</v>
      </c>
      <c r="E1453" s="238">
        <v>0.29166666666666669</v>
      </c>
      <c r="F1453" s="204">
        <v>0.57638888888888895</v>
      </c>
      <c r="G1453" s="193">
        <f>IFERROR(IF(E1453&gt;F1453,((F1453+E376B376+1)-(E1453+#REF!))*24,HOUR(F1453-E1453)+MINUTE(F1453-E1453)/60),"")</f>
        <v>6.833333333333333</v>
      </c>
      <c r="H1453" s="230" t="s">
        <v>147</v>
      </c>
      <c r="I1453" s="230" t="s">
        <v>511</v>
      </c>
      <c r="J1453" s="231" t="s">
        <v>82</v>
      </c>
    </row>
    <row r="1454" spans="2:11" x14ac:dyDescent="0.25">
      <c r="B1454" s="235">
        <v>45068</v>
      </c>
      <c r="C1454" s="195">
        <v>1</v>
      </c>
      <c r="E1454" s="238">
        <v>0.61111111111111105</v>
      </c>
      <c r="F1454" s="204">
        <v>0.625</v>
      </c>
      <c r="G1454" s="193">
        <f>IFERROR(IF(E1454&gt;F1454,((F1454+E376B376+1)-(E1454+#REF!))*24,HOUR(F1454-E1454)+MINUTE(F1454-E1454)/60),"")</f>
        <v>0.33333333333333331</v>
      </c>
      <c r="H1454" s="230" t="s">
        <v>55</v>
      </c>
      <c r="I1454" s="230" t="s">
        <v>509</v>
      </c>
      <c r="J1454" s="231" t="s">
        <v>114</v>
      </c>
    </row>
    <row r="1455" spans="2:11" x14ac:dyDescent="0.25">
      <c r="B1455" s="235">
        <v>45068</v>
      </c>
      <c r="C1455" s="195">
        <v>2</v>
      </c>
      <c r="E1455" s="238">
        <v>0.66111111111111109</v>
      </c>
      <c r="F1455" s="204">
        <v>0.67499999999999993</v>
      </c>
      <c r="G1455" s="193">
        <f>IFERROR(IF(E1455&gt;F1455,((F1455+E376B376+1)-(E1455+#REF!))*24,HOUR(F1455-E1455)+MINUTE(F1455-E1455)/60),"")</f>
        <v>0.33333333333333331</v>
      </c>
      <c r="H1455" s="230" t="s">
        <v>55</v>
      </c>
      <c r="I1455" s="230" t="s">
        <v>509</v>
      </c>
      <c r="J1455" s="231" t="s">
        <v>203</v>
      </c>
    </row>
    <row r="1456" spans="2:11" x14ac:dyDescent="0.25">
      <c r="B1456" s="235">
        <v>45068</v>
      </c>
      <c r="C1456" s="195">
        <v>2</v>
      </c>
      <c r="E1456" s="238">
        <v>0.75</v>
      </c>
      <c r="F1456" s="204">
        <v>0.76041666666666663</v>
      </c>
      <c r="G1456" s="193">
        <f>IFERROR(IF(E1456&gt;F1456,((F1456+E376B376+1)-(E1456+#REF!))*24,HOUR(F1456-E1456)+MINUTE(F1456-E1456)/60),"")</f>
        <v>0.25</v>
      </c>
      <c r="H1456" s="230" t="s">
        <v>55</v>
      </c>
      <c r="I1456" s="230" t="s">
        <v>509</v>
      </c>
      <c r="J1456" s="231" t="s">
        <v>203</v>
      </c>
    </row>
    <row r="1457" spans="2:11" x14ac:dyDescent="0.25">
      <c r="B1457" s="235">
        <v>45068</v>
      </c>
      <c r="C1457" s="195">
        <v>2</v>
      </c>
      <c r="E1457" s="238">
        <v>0.93333333333333324</v>
      </c>
      <c r="F1457" s="204">
        <v>0.95000000000000007</v>
      </c>
      <c r="G1457" s="193">
        <f>IFERROR(IF(E1457&gt;F1457,((F1457+E376B376+1)-(E1457+#REF!))*24,HOUR(F1457-E1457)+MINUTE(F1457-E1457)/60),"")</f>
        <v>0.4</v>
      </c>
      <c r="H1457" s="230" t="s">
        <v>55</v>
      </c>
      <c r="I1457" s="230" t="s">
        <v>509</v>
      </c>
      <c r="J1457" s="231" t="s">
        <v>211</v>
      </c>
    </row>
    <row r="1458" spans="2:11" x14ac:dyDescent="0.25">
      <c r="B1458" s="235">
        <v>45068</v>
      </c>
      <c r="C1458" s="195">
        <v>2</v>
      </c>
      <c r="E1458" s="238">
        <v>0.95138888888888884</v>
      </c>
      <c r="F1458" s="204">
        <v>0.95833333333333337</v>
      </c>
      <c r="G1458" s="193">
        <f>IFERROR(IF(E1458&gt;F1458,((F1458+E376B376+1)-(E1458+#REF!))*24,HOUR(F1458-E1458)+MINUTE(F1458-E1458)/60),"")</f>
        <v>0.16666666666666666</v>
      </c>
      <c r="H1458" s="230" t="s">
        <v>55</v>
      </c>
      <c r="I1458" s="230" t="s">
        <v>509</v>
      </c>
      <c r="J1458" s="231" t="s">
        <v>211</v>
      </c>
    </row>
    <row r="1459" spans="2:11" x14ac:dyDescent="0.25">
      <c r="B1459" s="235">
        <v>45068</v>
      </c>
      <c r="C1459" s="233">
        <v>3</v>
      </c>
      <c r="E1459" s="238">
        <v>0.11805555555555557</v>
      </c>
      <c r="F1459" s="204">
        <v>0.125</v>
      </c>
      <c r="G1459" s="193">
        <f>IFERROR(IF(E1459&gt;F1459,((F1459+E376B376+1)-(E1459+#REF!))*24,HOUR(F1459-E1459)+MINUTE(F1459-E1459)/60),"")</f>
        <v>0.16666666666666666</v>
      </c>
      <c r="H1459" s="230" t="s">
        <v>55</v>
      </c>
      <c r="I1459" s="230" t="s">
        <v>509</v>
      </c>
      <c r="J1459" s="231" t="s">
        <v>211</v>
      </c>
    </row>
    <row r="1460" spans="2:11" x14ac:dyDescent="0.25">
      <c r="B1460" s="235">
        <v>45068</v>
      </c>
      <c r="C1460" s="233">
        <v>3</v>
      </c>
      <c r="E1460" s="238">
        <v>0.21527777777777779</v>
      </c>
      <c r="F1460" s="204">
        <v>0.22569444444444445</v>
      </c>
      <c r="G1460" s="193">
        <f>IFERROR(IF(E1460&gt;F1460,((F1460+E376B376+1)-(E1460+#REF!))*24,HOUR(F1460-E1460)+MINUTE(F1460-E1460)/60),"")</f>
        <v>0.25</v>
      </c>
      <c r="H1460" s="230" t="s">
        <v>187</v>
      </c>
      <c r="I1460" s="230" t="s">
        <v>511</v>
      </c>
      <c r="J1460" s="231" t="s">
        <v>200</v>
      </c>
      <c r="K1460" s="176" t="s">
        <v>1204</v>
      </c>
    </row>
    <row r="1461" spans="2:11" x14ac:dyDescent="0.25">
      <c r="B1461" s="235">
        <v>45068</v>
      </c>
      <c r="C1461" s="233">
        <v>3</v>
      </c>
      <c r="E1461" s="238">
        <v>0.22569444444444445</v>
      </c>
      <c r="F1461" s="204">
        <v>0.24861111111111112</v>
      </c>
      <c r="G1461" s="193">
        <f>IFERROR(IF(E1461&gt;F1461,((F1461+E376B376+1)-(E1461+#REF!))*24,HOUR(F1461-E1461)+MINUTE(F1461-E1461)/60),"")</f>
        <v>0.55000000000000004</v>
      </c>
      <c r="H1461" s="230" t="s">
        <v>55</v>
      </c>
      <c r="I1461" s="230" t="s">
        <v>509</v>
      </c>
      <c r="J1461" s="231" t="s">
        <v>211</v>
      </c>
    </row>
    <row r="1462" spans="2:11" x14ac:dyDescent="0.25">
      <c r="B1462" s="235">
        <v>45068</v>
      </c>
      <c r="C1462" s="233">
        <v>3</v>
      </c>
      <c r="E1462" s="238">
        <v>0.26041666666666669</v>
      </c>
      <c r="F1462" s="204">
        <v>0.27083333333333331</v>
      </c>
      <c r="G1462" s="193">
        <f>IFERROR(IF(E1462&gt;F1462,((F1462+E376B376+1)-(E1462+#REF!))*24,HOUR(F1462-E1462)+MINUTE(F1462-E1462)/60),"")</f>
        <v>0.25</v>
      </c>
      <c r="H1462" s="230" t="s">
        <v>55</v>
      </c>
      <c r="I1462" s="230" t="s">
        <v>509</v>
      </c>
      <c r="J1462" s="231" t="s">
        <v>203</v>
      </c>
      <c r="K1462" s="231" t="s">
        <v>203</v>
      </c>
    </row>
    <row r="1463" spans="2:11" x14ac:dyDescent="0.25">
      <c r="B1463" s="235">
        <v>45069</v>
      </c>
      <c r="C1463" s="195">
        <v>1</v>
      </c>
      <c r="E1463" s="238">
        <v>0.29166666666666669</v>
      </c>
      <c r="F1463" s="204">
        <v>0.41319444444444442</v>
      </c>
      <c r="G1463" s="193">
        <f>IFERROR(IF(E1463&gt;F1463,((F1463+E376B376+1)-(E1463+#REF!))*24,HOUR(F1463-E1463)+MINUTE(F1463-E1463)/60),"")</f>
        <v>2.9166666666666665</v>
      </c>
      <c r="H1463" s="230" t="s">
        <v>204</v>
      </c>
      <c r="I1463" s="230" t="s">
        <v>509</v>
      </c>
      <c r="J1463" s="231" t="s">
        <v>600</v>
      </c>
      <c r="K1463" s="231" t="s">
        <v>600</v>
      </c>
    </row>
    <row r="1464" spans="2:11" x14ac:dyDescent="0.25">
      <c r="B1464" s="235">
        <v>45069</v>
      </c>
      <c r="C1464" s="195">
        <v>1</v>
      </c>
      <c r="E1464" s="238">
        <v>0.48958333333333331</v>
      </c>
      <c r="F1464" s="204">
        <v>0.5</v>
      </c>
      <c r="G1464" s="193">
        <f>IFERROR(IF(E1464&gt;F1464,((F1464+E376B376+1)-(E1464+#REF!))*24,HOUR(F1464-E1464)+MINUTE(F1464-E1464)/60),"")</f>
        <v>0.25</v>
      </c>
      <c r="H1464" s="230" t="s">
        <v>55</v>
      </c>
      <c r="I1464" s="230" t="s">
        <v>509</v>
      </c>
      <c r="J1464" s="231" t="s">
        <v>203</v>
      </c>
      <c r="K1464" s="231" t="s">
        <v>203</v>
      </c>
    </row>
    <row r="1465" spans="2:11" x14ac:dyDescent="0.25">
      <c r="B1465" s="235">
        <v>45069</v>
      </c>
      <c r="C1465" s="195">
        <v>1</v>
      </c>
      <c r="E1465" s="238">
        <v>0.54722222222222217</v>
      </c>
      <c r="F1465" s="204">
        <v>0.55902777777777779</v>
      </c>
      <c r="G1465" s="193">
        <f>IFERROR(IF(E1465&gt;F1465,((F1465+E376B376+1)-(E1465+#REF!))*24,HOUR(F1465-E1465)+MINUTE(F1465-E1465)/60),"")</f>
        <v>0.28333333333333333</v>
      </c>
      <c r="H1465" s="230" t="s">
        <v>55</v>
      </c>
      <c r="I1465" s="230" t="s">
        <v>509</v>
      </c>
      <c r="J1465" s="231" t="s">
        <v>203</v>
      </c>
      <c r="K1465" s="231" t="s">
        <v>203</v>
      </c>
    </row>
    <row r="1466" spans="2:11" x14ac:dyDescent="0.25">
      <c r="B1466" s="235">
        <v>45069</v>
      </c>
      <c r="C1466" s="195">
        <v>1</v>
      </c>
      <c r="E1466" s="238">
        <v>0.56944444444444442</v>
      </c>
      <c r="F1466" s="204">
        <v>0.57986111111111105</v>
      </c>
      <c r="G1466" s="193">
        <f>IFERROR(IF(E1466&gt;F1466,((F1466+E376B376+1)-(E1466+#REF!))*24,HOUR(F1466-E1466)+MINUTE(F1466-E1466)/60),"")</f>
        <v>0.25</v>
      </c>
      <c r="H1466" s="230" t="s">
        <v>55</v>
      </c>
      <c r="I1466" s="230" t="s">
        <v>509</v>
      </c>
      <c r="J1466" s="231" t="s">
        <v>213</v>
      </c>
      <c r="K1466" s="231" t="s">
        <v>213</v>
      </c>
    </row>
    <row r="1467" spans="2:11" x14ac:dyDescent="0.25">
      <c r="B1467" s="235">
        <v>45069</v>
      </c>
      <c r="C1467" s="195">
        <v>1</v>
      </c>
      <c r="E1467" s="238">
        <v>0.60763888888888895</v>
      </c>
      <c r="F1467" s="280">
        <v>0.625</v>
      </c>
      <c r="G1467" s="193">
        <f>IFERROR(IF(E1467&gt;F1467,((F1467+E376B376+1)-(E1467+#REF!))*24,HOUR(F1467-E1467)+MINUTE(F1467-E1467)/60),"")</f>
        <v>0.41666666666666669</v>
      </c>
      <c r="H1467" s="230" t="s">
        <v>55</v>
      </c>
      <c r="I1467" s="230" t="s">
        <v>509</v>
      </c>
      <c r="J1467" s="231" t="s">
        <v>211</v>
      </c>
      <c r="K1467" s="231" t="s">
        <v>211</v>
      </c>
    </row>
    <row r="1468" spans="2:11" x14ac:dyDescent="0.25">
      <c r="B1468" s="235">
        <v>45069</v>
      </c>
      <c r="C1468" s="195">
        <v>2</v>
      </c>
      <c r="E1468" s="238">
        <v>0.625</v>
      </c>
      <c r="F1468" s="204">
        <v>0.95833333333333337</v>
      </c>
      <c r="G1468" s="193">
        <f>IFERROR(IF(E1468&gt;F1468,((F1468+E376B376+1)-(E1468+#REF!))*24,HOUR(F1468-E1468)+MINUTE(F1468-E1468)/60),"")</f>
        <v>8</v>
      </c>
      <c r="I1468" s="230" t="s">
        <v>513</v>
      </c>
      <c r="J1468" s="231" t="s">
        <v>141</v>
      </c>
    </row>
    <row r="1469" spans="2:11" x14ac:dyDescent="0.25">
      <c r="B1469" s="235">
        <v>45069</v>
      </c>
      <c r="C1469" s="195">
        <v>3</v>
      </c>
      <c r="E1469" s="238">
        <v>0.95833333333333337</v>
      </c>
      <c r="F1469" s="204">
        <v>0.29166666666666669</v>
      </c>
      <c r="G1469" s="193">
        <v>8</v>
      </c>
      <c r="I1469" s="230" t="s">
        <v>513</v>
      </c>
      <c r="J1469" s="231" t="s">
        <v>141</v>
      </c>
      <c r="K1469" s="176" t="s">
        <v>1206</v>
      </c>
    </row>
    <row r="1470" spans="2:11" x14ac:dyDescent="0.25">
      <c r="B1470" s="235">
        <v>45070</v>
      </c>
      <c r="C1470" s="195">
        <v>1</v>
      </c>
      <c r="E1470" s="238">
        <v>0.29166666666666669</v>
      </c>
      <c r="F1470" s="204">
        <v>0.625</v>
      </c>
      <c r="G1470" s="193">
        <f>IFERROR(IF(E1470&gt;F1470,((F1470+E376B376+1)-(E1470+#REF!))*24,HOUR(F1470-E1470)+MINUTE(F1470-E1470)/60),"")</f>
        <v>8</v>
      </c>
      <c r="I1470" s="230" t="s">
        <v>513</v>
      </c>
      <c r="J1470" s="231" t="s">
        <v>141</v>
      </c>
      <c r="K1470" s="176" t="s">
        <v>1206</v>
      </c>
    </row>
    <row r="1471" spans="2:11" x14ac:dyDescent="0.25">
      <c r="B1471" s="235">
        <v>45070</v>
      </c>
      <c r="C1471" s="195">
        <v>2</v>
      </c>
      <c r="E1471" s="238">
        <v>0.625</v>
      </c>
      <c r="F1471" s="204">
        <v>0.80347222222222225</v>
      </c>
      <c r="G1471" s="193">
        <f>IFERROR(IF(E1471&gt;F1471,((F1471+E376B376+1)-(E1471+#REF!))*24,HOUR(F1471-E1471)+MINUTE(F1471-E1471)/60),"")</f>
        <v>4.2833333333333332</v>
      </c>
      <c r="I1471" s="230" t="s">
        <v>513</v>
      </c>
      <c r="J1471" s="231" t="s">
        <v>141</v>
      </c>
      <c r="K1471" s="176" t="s">
        <v>1206</v>
      </c>
    </row>
    <row r="1472" spans="2:11" x14ac:dyDescent="0.25">
      <c r="B1472" s="235">
        <v>45070</v>
      </c>
      <c r="C1472" s="195">
        <v>2</v>
      </c>
      <c r="E1472" s="238">
        <v>0.93888888888888899</v>
      </c>
      <c r="F1472" s="204">
        <v>0.95833333333333337</v>
      </c>
      <c r="G1472" s="193">
        <f>IFERROR(IF(E1472&gt;F1472,((F1472+E376B376+1)-(E1472+#REF!))*24,HOUR(F1472-E1472)+MINUTE(F1472-E1472)/60),"")</f>
        <v>0.46666666666666667</v>
      </c>
      <c r="H1472" s="230" t="s">
        <v>55</v>
      </c>
      <c r="I1472" s="230" t="s">
        <v>509</v>
      </c>
      <c r="J1472" s="231" t="s">
        <v>213</v>
      </c>
    </row>
    <row r="1473" spans="2:11" x14ac:dyDescent="0.25">
      <c r="B1473" s="235">
        <v>45070</v>
      </c>
      <c r="C1473" s="195">
        <v>3</v>
      </c>
      <c r="E1473" s="238">
        <v>0.95833333333333337</v>
      </c>
      <c r="F1473" s="204">
        <v>0.96527777777777779</v>
      </c>
      <c r="G1473" s="193">
        <f>IFERROR(IF(E1473&gt;F1473,((F1473+E376B376+1)-(E1473+#REF!))*24,HOUR(F1473-E1473)+MINUTE(F1473-E1473)/60),"")</f>
        <v>0.16666666666666666</v>
      </c>
      <c r="H1473" s="230" t="s">
        <v>55</v>
      </c>
      <c r="I1473" s="230" t="s">
        <v>509</v>
      </c>
      <c r="J1473" s="231" t="s">
        <v>213</v>
      </c>
    </row>
    <row r="1474" spans="2:11" x14ac:dyDescent="0.25">
      <c r="B1474" s="235">
        <v>45070</v>
      </c>
      <c r="C1474" s="195">
        <v>3</v>
      </c>
      <c r="E1474" s="238">
        <v>4.5138888888888888E-2</v>
      </c>
      <c r="F1474" s="204">
        <v>5.9027777777777783E-2</v>
      </c>
      <c r="G1474" s="193">
        <f>IFERROR(IF(E1474&gt;F1474,((F1474+E376B376+1)-(E1474+#REF!))*24,HOUR(F1474-E1474)+MINUTE(F1474-E1474)/60),"")</f>
        <v>0.33333333333333331</v>
      </c>
      <c r="H1474" s="230" t="s">
        <v>55</v>
      </c>
      <c r="I1474" s="230" t="s">
        <v>511</v>
      </c>
      <c r="J1474" s="231" t="s">
        <v>203</v>
      </c>
      <c r="K1474" s="231" t="s">
        <v>1190</v>
      </c>
    </row>
    <row r="1475" spans="2:11" x14ac:dyDescent="0.25">
      <c r="B1475" s="235">
        <v>45070</v>
      </c>
      <c r="C1475" s="195">
        <v>3</v>
      </c>
      <c r="E1475" s="238">
        <v>8.6805555555555566E-2</v>
      </c>
      <c r="F1475" s="204">
        <v>9.7222222222222224E-2</v>
      </c>
      <c r="G1475" s="193">
        <f>IFERROR(IF(E1475&gt;F1475,((F1475+E376B376+1)-(E1475+#REF!))*24,HOUR(F1475-E1475)+MINUTE(F1475-E1475)/60),"")</f>
        <v>0.25</v>
      </c>
      <c r="H1475" s="230" t="s">
        <v>178</v>
      </c>
      <c r="I1475" s="230" t="s">
        <v>509</v>
      </c>
      <c r="J1475" s="231" t="s">
        <v>213</v>
      </c>
    </row>
    <row r="1476" spans="2:11" x14ac:dyDescent="0.25">
      <c r="B1476" s="235">
        <v>45070</v>
      </c>
      <c r="C1476" s="195">
        <v>3</v>
      </c>
      <c r="E1476" s="238">
        <v>9.7222222222222224E-2</v>
      </c>
      <c r="F1476" s="204">
        <v>0.17013888888888887</v>
      </c>
      <c r="G1476" s="193">
        <f>IFERROR(IF(E1476&gt;F1476,((F1476+E376B376+1)-(E1476+#REF!))*24,HOUR(F1476-E1476)+MINUTE(F1476-E1476)/60),"")</f>
        <v>1.75</v>
      </c>
      <c r="H1476" s="230" t="s">
        <v>174</v>
      </c>
      <c r="I1476" s="230" t="s">
        <v>509</v>
      </c>
      <c r="J1476" s="231" t="s">
        <v>110</v>
      </c>
      <c r="K1476" s="176" t="s">
        <v>1211</v>
      </c>
    </row>
    <row r="1477" spans="2:11" x14ac:dyDescent="0.25">
      <c r="B1477" s="235">
        <v>45070</v>
      </c>
      <c r="C1477" s="195">
        <v>3</v>
      </c>
      <c r="E1477" s="238">
        <v>0.20486111111111113</v>
      </c>
      <c r="F1477" s="204">
        <v>0.21527777777777779</v>
      </c>
      <c r="G1477" s="193">
        <f>IFERROR(IF(E1477&gt;F1477,((F1477+E376B376+1)-(E1477+#REF!))*24,HOUR(F1477-E1477)+MINUTE(F1477-E1477)/60),"")</f>
        <v>0.25</v>
      </c>
      <c r="H1477" s="230" t="s">
        <v>55</v>
      </c>
      <c r="I1477" s="230" t="s">
        <v>511</v>
      </c>
      <c r="J1477" s="231" t="s">
        <v>203</v>
      </c>
      <c r="K1477" s="231" t="s">
        <v>1190</v>
      </c>
    </row>
    <row r="1478" spans="2:11" x14ac:dyDescent="0.25">
      <c r="B1478" s="235">
        <v>45070</v>
      </c>
      <c r="C1478" s="195">
        <v>3</v>
      </c>
      <c r="E1478" s="238">
        <v>0.27083333333333331</v>
      </c>
      <c r="F1478" s="204">
        <v>0.29166666666666669</v>
      </c>
      <c r="G1478" s="193">
        <f>IFERROR(IF(E1478&gt;F1478,((F1478+E376B376+1)-(E1478+#REF!))*24,HOUR(F1478-E1478)+MINUTE(F1478-E1478)/60),"")</f>
        <v>0.5</v>
      </c>
      <c r="H1478" s="230" t="s">
        <v>55</v>
      </c>
      <c r="I1478" s="230" t="s">
        <v>511</v>
      </c>
      <c r="J1478" s="231" t="s">
        <v>203</v>
      </c>
      <c r="K1478" s="231" t="s">
        <v>1190</v>
      </c>
    </row>
    <row r="1479" spans="2:11" x14ac:dyDescent="0.25">
      <c r="B1479" s="235">
        <v>45071</v>
      </c>
      <c r="C1479" s="195">
        <v>1</v>
      </c>
      <c r="E1479" s="238">
        <v>0.29166666666666669</v>
      </c>
      <c r="F1479" s="280">
        <v>0.31597222222222221</v>
      </c>
      <c r="G1479" s="193">
        <f>IFERROR(IF(E1479&gt;F1479,((F1479+E376B376+1)-(E1479+#REF!))*24,HOUR(F1479-E1479)+MINUTE(F1479-E1479)/60),"")</f>
        <v>0.58333333333333337</v>
      </c>
      <c r="H1479" s="230" t="s">
        <v>55</v>
      </c>
      <c r="I1479" s="230" t="s">
        <v>509</v>
      </c>
      <c r="J1479" s="231" t="s">
        <v>114</v>
      </c>
    </row>
    <row r="1480" spans="2:11" x14ac:dyDescent="0.25">
      <c r="B1480" s="235">
        <v>45071</v>
      </c>
      <c r="C1480" s="195">
        <v>1</v>
      </c>
      <c r="E1480" s="238">
        <v>0.38541666666666669</v>
      </c>
      <c r="F1480" s="204">
        <v>0.39583333333333331</v>
      </c>
      <c r="G1480" s="193">
        <f>IFERROR(IF(E1480&gt;F1480,((F1480+E376B376+1)-(E1480+#REF!))*24,HOUR(F1480-E1480)+MINUTE(F1480-E1480)/60),"")</f>
        <v>0.25</v>
      </c>
      <c r="H1480" s="230" t="s">
        <v>55</v>
      </c>
      <c r="I1480" s="230" t="s">
        <v>511</v>
      </c>
      <c r="J1480" s="231" t="s">
        <v>203</v>
      </c>
    </row>
    <row r="1481" spans="2:11" x14ac:dyDescent="0.25">
      <c r="B1481" s="235">
        <v>45071</v>
      </c>
      <c r="C1481" s="195">
        <v>1</v>
      </c>
      <c r="E1481" s="238">
        <v>0.4375</v>
      </c>
      <c r="F1481" s="204">
        <v>0.45833333333333331</v>
      </c>
      <c r="G1481" s="193">
        <f>IFERROR(IF(E1481&gt;F1481,((F1481+E376B376+1)-(E1481+#REF!))*24,HOUR(F1481-E1481)+MINUTE(F1481-E1481)/60),"")</f>
        <v>0.5</v>
      </c>
      <c r="H1481" s="230" t="s">
        <v>204</v>
      </c>
      <c r="I1481" s="230" t="s">
        <v>509</v>
      </c>
      <c r="J1481" s="231" t="s">
        <v>517</v>
      </c>
    </row>
    <row r="1482" spans="2:11" x14ac:dyDescent="0.25">
      <c r="B1482" s="235">
        <v>45071</v>
      </c>
      <c r="C1482" s="195">
        <v>1</v>
      </c>
      <c r="E1482" s="238">
        <v>0.55208333333333337</v>
      </c>
      <c r="F1482" s="204">
        <v>0.56319444444444444</v>
      </c>
      <c r="G1482" s="193">
        <f>IFERROR(IF(E1482&gt;F1482,((F1482+E376B376+1)-(E1482+#REF!))*24,HOUR(F1482-E1482)+MINUTE(F1482-E1482)/60),"")</f>
        <v>0.26666666666666666</v>
      </c>
      <c r="H1482" s="230" t="s">
        <v>55</v>
      </c>
      <c r="I1482" s="230" t="s">
        <v>511</v>
      </c>
      <c r="J1482" s="231" t="s">
        <v>203</v>
      </c>
    </row>
    <row r="1483" spans="2:11" x14ac:dyDescent="0.25">
      <c r="B1483" s="235">
        <v>45071</v>
      </c>
      <c r="C1483" s="195">
        <v>1</v>
      </c>
      <c r="E1483" s="238">
        <v>0.59166666666666667</v>
      </c>
      <c r="F1483" s="204">
        <v>0.6020833333333333</v>
      </c>
      <c r="G1483" s="193">
        <f>IFERROR(IF(E1483&gt;F1483,((F1483+E376B376+1)-(E1483+#REF!))*24,HOUR(F1483-E1483)+MINUTE(F1483-E1483)/60),"")</f>
        <v>0.25</v>
      </c>
      <c r="H1483" s="230" t="s">
        <v>55</v>
      </c>
      <c r="I1483" s="230" t="s">
        <v>511</v>
      </c>
      <c r="J1483" s="231" t="s">
        <v>203</v>
      </c>
    </row>
    <row r="1484" spans="2:11" x14ac:dyDescent="0.25">
      <c r="B1484" s="235">
        <v>45071</v>
      </c>
      <c r="C1484" s="195">
        <v>1</v>
      </c>
      <c r="E1484" s="238">
        <v>0.61319444444444449</v>
      </c>
      <c r="F1484" s="204">
        <v>0.625</v>
      </c>
      <c r="G1484" s="193">
        <f>IFERROR(IF(E1484&gt;F1484,((F1484+E376B376+1)-(E1484+#REF!))*24,HOUR(F1484-E1484)+MINUTE(F1484-E1484)/60),"")</f>
        <v>0.28333333333333333</v>
      </c>
      <c r="H1484" s="230" t="s">
        <v>55</v>
      </c>
      <c r="I1484" s="230" t="s">
        <v>509</v>
      </c>
      <c r="J1484" s="231" t="s">
        <v>114</v>
      </c>
    </row>
    <row r="1485" spans="2:11" x14ac:dyDescent="0.25">
      <c r="B1485" s="235">
        <v>45071</v>
      </c>
      <c r="C1485" s="195">
        <v>2</v>
      </c>
      <c r="E1485" s="238">
        <v>0.625</v>
      </c>
      <c r="F1485" s="204">
        <v>0.63472222222222219</v>
      </c>
      <c r="G1485" s="193">
        <f>IFERROR(IF(E1485&gt;F1485,((F1485+E376B376+1)-(E1485+#REF!))*24,HOUR(F1485-E1485)+MINUTE(F1485-E1485)/60),"")</f>
        <v>0.23333333333333334</v>
      </c>
      <c r="H1485" s="230" t="s">
        <v>55</v>
      </c>
      <c r="I1485" s="230" t="s">
        <v>509</v>
      </c>
      <c r="J1485" s="231" t="s">
        <v>114</v>
      </c>
    </row>
    <row r="1486" spans="2:11" x14ac:dyDescent="0.25">
      <c r="B1486" s="235">
        <v>45071</v>
      </c>
      <c r="C1486" s="233">
        <v>2</v>
      </c>
      <c r="E1486" s="238">
        <v>0.89861111111111114</v>
      </c>
      <c r="F1486" s="204">
        <v>0.90972222222222221</v>
      </c>
      <c r="G1486" s="193">
        <f>IFERROR(IF(E1486&gt;F1486,((F1486+E376B376+1)-(E1486+#REF!))*24,HOUR(F1486-E1486)+MINUTE(F1486-E1486)/60),"")</f>
        <v>0.26666666666666666</v>
      </c>
      <c r="H1486" s="230" t="s">
        <v>55</v>
      </c>
      <c r="I1486" s="230" t="s">
        <v>509</v>
      </c>
      <c r="J1486" s="231" t="s">
        <v>211</v>
      </c>
    </row>
    <row r="1487" spans="2:11" x14ac:dyDescent="0.25">
      <c r="B1487" s="235">
        <v>45071</v>
      </c>
      <c r="C1487" s="233">
        <v>2</v>
      </c>
      <c r="E1487" s="238">
        <v>0.90972222222222221</v>
      </c>
      <c r="F1487" s="204">
        <v>0.92013888888888884</v>
      </c>
      <c r="G1487" s="193">
        <f>IFERROR(IF(E1487&gt;F1487,((F1487+E376B376+1)-(E1487+#REF!))*24,HOUR(F1487-E1487)+MINUTE(F1487-E1487)/60),"")</f>
        <v>0.25</v>
      </c>
      <c r="H1487" s="230" t="s">
        <v>55</v>
      </c>
      <c r="I1487" s="230" t="s">
        <v>511</v>
      </c>
      <c r="J1487" s="231" t="s">
        <v>203</v>
      </c>
    </row>
    <row r="1488" spans="2:11" x14ac:dyDescent="0.25">
      <c r="B1488" s="235">
        <v>45071</v>
      </c>
      <c r="C1488" s="233">
        <v>2</v>
      </c>
      <c r="E1488" s="238">
        <v>0.94791666666666663</v>
      </c>
      <c r="F1488" s="204">
        <v>0.95833333333333337</v>
      </c>
      <c r="G1488" s="193">
        <f>IFERROR(IF(E1488&gt;F1488,((F1488+E376B376+1)-(E1488+#REF!))*24,HOUR(F1488-E1488)+MINUTE(F1488-E1488)/60),"")</f>
        <v>0.25</v>
      </c>
      <c r="H1488" s="230" t="s">
        <v>55</v>
      </c>
      <c r="I1488" s="230" t="s">
        <v>509</v>
      </c>
      <c r="J1488" s="231" t="s">
        <v>114</v>
      </c>
    </row>
    <row r="1489" spans="2:11" x14ac:dyDescent="0.25">
      <c r="B1489" s="235">
        <v>45071</v>
      </c>
      <c r="C1489" s="195">
        <v>3</v>
      </c>
      <c r="E1489" s="238">
        <v>0.95833333333333337</v>
      </c>
      <c r="F1489" s="204">
        <v>0.96527777777777779</v>
      </c>
      <c r="G1489" s="193">
        <f>IFERROR(IF(E1489&gt;F1489,((F1489+E376B376+1)-(E1489+#REF!))*24,HOUR(F1489-E1489)+MINUTE(F1489-E1489)/60),"")</f>
        <v>0.16666666666666666</v>
      </c>
      <c r="H1489" s="230" t="s">
        <v>55</v>
      </c>
      <c r="I1489" s="230" t="s">
        <v>509</v>
      </c>
      <c r="J1489" s="231" t="s">
        <v>114</v>
      </c>
    </row>
    <row r="1490" spans="2:11" x14ac:dyDescent="0.25">
      <c r="B1490" s="235">
        <v>45071</v>
      </c>
      <c r="C1490" s="195">
        <v>3</v>
      </c>
      <c r="E1490" s="238">
        <v>0.97916666666666663</v>
      </c>
      <c r="F1490" s="204">
        <v>0.98958333333333337</v>
      </c>
      <c r="G1490" s="193">
        <f>IFERROR(IF(E1490&gt;F1490,((F1490+E376B376+1)-(E1490+#REF!))*24,HOUR(F1490-E1490)+MINUTE(F1490-E1490)/60),"")</f>
        <v>0.25</v>
      </c>
      <c r="H1490" s="230" t="s">
        <v>55</v>
      </c>
      <c r="I1490" s="230" t="s">
        <v>511</v>
      </c>
      <c r="J1490" s="231" t="s">
        <v>203</v>
      </c>
    </row>
    <row r="1491" spans="2:11" x14ac:dyDescent="0.25">
      <c r="B1491" s="235">
        <v>45071</v>
      </c>
      <c r="C1491" s="195">
        <v>3</v>
      </c>
      <c r="E1491" s="238">
        <v>2.7777777777777776E-2</v>
      </c>
      <c r="F1491" s="204">
        <v>0.29166666666666669</v>
      </c>
      <c r="G1491" s="193">
        <f>IFERROR(IF(E1491&gt;F1491,((F1491+E376B376+1)-(E1491+#REF!))*24,HOUR(F1491-E1491)+MINUTE(F1491-E1491)/60),"")</f>
        <v>6.333333333333333</v>
      </c>
      <c r="I1491" s="230" t="s">
        <v>513</v>
      </c>
      <c r="J1491" s="231" t="s">
        <v>229</v>
      </c>
    </row>
    <row r="1492" spans="2:11" x14ac:dyDescent="0.25">
      <c r="B1492" s="235">
        <v>45072</v>
      </c>
      <c r="C1492" s="195">
        <v>1</v>
      </c>
      <c r="E1492" s="238">
        <v>0.29166666666666669</v>
      </c>
      <c r="F1492" s="204">
        <v>0.3576388888888889</v>
      </c>
      <c r="G1492" s="193">
        <f>IFERROR(IF(E1492&gt;F1492,((F1492+E376B376+1)-(E1492+#REF!))*24,HOUR(F1492-E1492)+MINUTE(F1492-E1492)/60),"")</f>
        <v>1.5833333333333335</v>
      </c>
      <c r="I1492" s="230" t="s">
        <v>513</v>
      </c>
      <c r="J1492" s="231" t="s">
        <v>229</v>
      </c>
    </row>
    <row r="1493" spans="2:11" x14ac:dyDescent="0.25">
      <c r="B1493" s="235">
        <v>45072</v>
      </c>
      <c r="C1493" s="195">
        <v>1</v>
      </c>
      <c r="E1493" s="238">
        <v>0.5180555555555556</v>
      </c>
      <c r="F1493" s="204">
        <v>0.54166666666666663</v>
      </c>
      <c r="G1493" s="193">
        <f>IFERROR(IF(E1493&gt;F1493,((F1493+E376B376+1)-(E1493+#REF!))*24,HOUR(F1493-E1493)+MINUTE(F1493-E1493)/60),"")</f>
        <v>0.56666666666666665</v>
      </c>
      <c r="H1493" s="230" t="s">
        <v>174</v>
      </c>
      <c r="I1493" s="230" t="s">
        <v>509</v>
      </c>
      <c r="J1493" s="231" t="s">
        <v>110</v>
      </c>
    </row>
    <row r="1494" spans="2:11" x14ac:dyDescent="0.25">
      <c r="B1494" s="235">
        <v>45072</v>
      </c>
      <c r="C1494" s="195">
        <v>1</v>
      </c>
      <c r="E1494" s="238">
        <v>0.5625</v>
      </c>
      <c r="F1494" s="204">
        <v>0.57291666666666663</v>
      </c>
      <c r="G1494" s="193">
        <f>IFERROR(IF(E1494&gt;F1494,((F1494+E376B376+1)-(E1494+#REF!))*24,HOUR(F1494-E1494)+MINUTE(F1494-E1494)/60),"")</f>
        <v>0.25</v>
      </c>
      <c r="H1494" s="230" t="s">
        <v>167</v>
      </c>
      <c r="I1494" s="230" t="s">
        <v>511</v>
      </c>
      <c r="J1494" s="231" t="s">
        <v>200</v>
      </c>
      <c r="K1494" s="176" t="s">
        <v>1219</v>
      </c>
    </row>
    <row r="1495" spans="2:11" x14ac:dyDescent="0.25">
      <c r="B1495" s="235">
        <v>45072</v>
      </c>
      <c r="C1495" s="233">
        <v>1</v>
      </c>
      <c r="E1495" s="238">
        <v>0.60416666666666663</v>
      </c>
      <c r="F1495" s="204">
        <v>0.625</v>
      </c>
      <c r="G1495" s="193">
        <f>IFERROR(IF(E1495&gt;F1495,((F1495+E376B376+1)-(E1495+#REF!))*24,HOUR(F1495-E1495)+MINUTE(F1495-E1495)/60),"")</f>
        <v>0.5</v>
      </c>
      <c r="H1495" s="230" t="s">
        <v>55</v>
      </c>
      <c r="I1495" s="230" t="s">
        <v>509</v>
      </c>
      <c r="J1495" s="231" t="s">
        <v>114</v>
      </c>
    </row>
    <row r="1496" spans="2:11" x14ac:dyDescent="0.25">
      <c r="B1496" s="235">
        <v>45072</v>
      </c>
      <c r="C1496" s="195">
        <v>2</v>
      </c>
      <c r="E1496" s="238">
        <v>0.66666666666666663</v>
      </c>
      <c r="F1496" s="204">
        <v>0.67708333333333337</v>
      </c>
      <c r="G1496" s="193">
        <f>IFERROR(IF(E1496&gt;F1496,((F1496+E376B376+1)-(E1496+#REF!))*24,HOUR(F1496-E1496)+MINUTE(F1496-E1496)/60),"")</f>
        <v>0.25</v>
      </c>
      <c r="H1496" s="230" t="s">
        <v>167</v>
      </c>
      <c r="I1496" s="230" t="s">
        <v>511</v>
      </c>
      <c r="J1496" s="231" t="s">
        <v>200</v>
      </c>
    </row>
    <row r="1497" spans="2:11" x14ac:dyDescent="0.25">
      <c r="B1497" s="235">
        <v>45072</v>
      </c>
      <c r="C1497" s="233">
        <v>2</v>
      </c>
      <c r="E1497" s="238">
        <v>0.68333333333333324</v>
      </c>
      <c r="F1497" s="204">
        <v>0.7006944444444444</v>
      </c>
      <c r="G1497" s="193">
        <f>IFERROR(IF(E1497&gt;F1497,((F1497+E376B376+1)-(E1497+#REF!))*24,HOUR(F1497-E1497)+MINUTE(F1497-E1497)/60),"")</f>
        <v>0.41666666666666669</v>
      </c>
      <c r="H1497" s="230" t="s">
        <v>167</v>
      </c>
      <c r="I1497" s="230" t="s">
        <v>511</v>
      </c>
      <c r="J1497" s="231" t="s">
        <v>200</v>
      </c>
    </row>
    <row r="1498" spans="2:11" x14ac:dyDescent="0.25">
      <c r="B1498" s="235">
        <v>45072</v>
      </c>
      <c r="C1498" s="233">
        <v>2</v>
      </c>
      <c r="E1498" s="238">
        <v>0.74652777777777779</v>
      </c>
      <c r="F1498" s="204">
        <v>0.78125</v>
      </c>
      <c r="G1498" s="193">
        <f>IFERROR(IF(E1498&gt;F1498,((F1498+E376B376+1)-(E1498+#REF!))*24,HOUR(F1498-E1498)+MINUTE(F1498-E1498)/60),"")</f>
        <v>0.83333333333333337</v>
      </c>
      <c r="H1498" s="230" t="s">
        <v>174</v>
      </c>
      <c r="I1498" s="230" t="s">
        <v>509</v>
      </c>
      <c r="J1498" s="231" t="s">
        <v>110</v>
      </c>
      <c r="K1498" s="176" t="s">
        <v>1211</v>
      </c>
    </row>
    <row r="1499" spans="2:11" x14ac:dyDescent="0.25">
      <c r="B1499" s="235">
        <v>45072</v>
      </c>
      <c r="C1499" s="233">
        <v>2</v>
      </c>
      <c r="E1499" s="238">
        <v>0.80208333333333337</v>
      </c>
      <c r="F1499" s="204">
        <v>0.8125</v>
      </c>
      <c r="G1499" s="193">
        <f>IFERROR(IF(E1499&gt;F1499,((F1499+E376B376+1)-(E1499+#REF!))*24,HOUR(F1499-E1499)+MINUTE(F1499-E1499)/60),"")</f>
        <v>0.25</v>
      </c>
      <c r="H1499" s="230" t="s">
        <v>167</v>
      </c>
      <c r="I1499" s="230" t="s">
        <v>511</v>
      </c>
      <c r="J1499" s="231" t="s">
        <v>200</v>
      </c>
    </row>
    <row r="1500" spans="2:11" x14ac:dyDescent="0.25">
      <c r="B1500" s="235">
        <v>45072</v>
      </c>
      <c r="C1500" s="195">
        <v>2</v>
      </c>
      <c r="E1500" s="238">
        <v>0.94097222222222221</v>
      </c>
      <c r="F1500" s="204">
        <v>0.95833333333333337</v>
      </c>
      <c r="G1500" s="193">
        <f>IFERROR(IF(E1500&gt;F1500,((F1500+E376B376+1)-(E1500+#REF!))*24,HOUR(F1500-E1500)+MINUTE(F1500-E1500)/60),"")</f>
        <v>0.41666666666666669</v>
      </c>
      <c r="H1500" s="230" t="s">
        <v>55</v>
      </c>
      <c r="I1500" s="230" t="s">
        <v>509</v>
      </c>
      <c r="J1500" s="231" t="s">
        <v>211</v>
      </c>
    </row>
    <row r="1501" spans="2:11" x14ac:dyDescent="0.25">
      <c r="B1501" s="235">
        <v>45072</v>
      </c>
      <c r="C1501" s="195">
        <v>3</v>
      </c>
      <c r="E1501" s="238">
        <v>0.95833333333333337</v>
      </c>
      <c r="F1501" s="204">
        <v>0.97569444444444453</v>
      </c>
      <c r="G1501" s="193">
        <f>IFERROR(IF(E1501&gt;F1501,((F1501+E376B376+1)-(E1501+#REF!))*24,HOUR(F1501-E1501)+MINUTE(F1501-E1501)/60),"")</f>
        <v>0.41666666666666669</v>
      </c>
      <c r="H1501" s="230" t="s">
        <v>55</v>
      </c>
      <c r="I1501" s="230" t="s">
        <v>509</v>
      </c>
      <c r="J1501" s="231" t="s">
        <v>211</v>
      </c>
    </row>
    <row r="1502" spans="2:11" x14ac:dyDescent="0.25">
      <c r="B1502" s="235">
        <v>45072</v>
      </c>
      <c r="C1502" s="195">
        <v>3</v>
      </c>
      <c r="E1502" s="238">
        <v>0.13194444444444445</v>
      </c>
      <c r="F1502" s="204">
        <v>0.1423611111111111</v>
      </c>
      <c r="G1502" s="193">
        <f>IFERROR(IF(E1502&gt;F1502,((F1502+E376B376+1)-(E1502+#REF!))*24,HOUR(F1502-E1502)+MINUTE(F1502-E1502)/60),"")</f>
        <v>0.25</v>
      </c>
      <c r="H1502" s="230" t="s">
        <v>55</v>
      </c>
      <c r="I1502" s="230" t="s">
        <v>509</v>
      </c>
      <c r="J1502" s="231" t="s">
        <v>211</v>
      </c>
    </row>
    <row r="1503" spans="2:11" x14ac:dyDescent="0.25">
      <c r="B1503" s="235">
        <v>45072</v>
      </c>
      <c r="C1503" s="195">
        <v>3</v>
      </c>
      <c r="E1503" s="238">
        <v>0.18402777777777779</v>
      </c>
      <c r="F1503" s="204">
        <v>0.19444444444444445</v>
      </c>
      <c r="G1503" s="193">
        <f>IFERROR(IF(E1503&gt;F1503,((F1503+E376B376+1)-(E1503+#REF!))*24,HOUR(F1503-E1503)+MINUTE(F1503-E1503)/60),"")</f>
        <v>0.25</v>
      </c>
      <c r="H1503" s="230" t="s">
        <v>55</v>
      </c>
      <c r="I1503" s="230" t="s">
        <v>511</v>
      </c>
      <c r="J1503" s="231" t="s">
        <v>203</v>
      </c>
      <c r="K1503" s="231" t="s">
        <v>1190</v>
      </c>
    </row>
    <row r="1504" spans="2:11" x14ac:dyDescent="0.25">
      <c r="B1504" s="235">
        <v>45072</v>
      </c>
      <c r="C1504" s="195">
        <v>3</v>
      </c>
      <c r="E1504" s="238">
        <v>0.22569444444444445</v>
      </c>
      <c r="F1504" s="204">
        <v>0.23611111111111113</v>
      </c>
      <c r="G1504" s="193">
        <f>IFERROR(IF(E1504&gt;F1504,((F1504+E376B376+1)-(E1504+#REF!))*24,HOUR(F1504-E1504)+MINUTE(F1504-E1504)/60),"")</f>
        <v>0.25</v>
      </c>
      <c r="H1504" s="230" t="s">
        <v>55</v>
      </c>
      <c r="I1504" s="230" t="s">
        <v>511</v>
      </c>
      <c r="J1504" s="231" t="s">
        <v>203</v>
      </c>
      <c r="K1504" s="231" t="s">
        <v>1190</v>
      </c>
    </row>
    <row r="1505" spans="2:11" x14ac:dyDescent="0.25">
      <c r="B1505" s="235">
        <v>45072</v>
      </c>
      <c r="C1505" s="195">
        <v>3</v>
      </c>
      <c r="E1505" s="238">
        <v>0.27083333333333331</v>
      </c>
      <c r="F1505" s="204">
        <v>0.29166666666666669</v>
      </c>
      <c r="G1505" s="193">
        <f>IFERROR(IF(E1505&gt;F1505,((F1505+E376B376+1)-(E1505+#REF!))*24,HOUR(F1505-E1505)+MINUTE(F1505-E1505)/60),"")</f>
        <v>0.5</v>
      </c>
      <c r="I1505" s="230" t="s">
        <v>513</v>
      </c>
      <c r="J1505" s="231" t="s">
        <v>141</v>
      </c>
    </row>
    <row r="1506" spans="2:11" x14ac:dyDescent="0.25">
      <c r="B1506" s="235">
        <v>45073</v>
      </c>
      <c r="C1506" s="195">
        <v>1</v>
      </c>
      <c r="E1506" s="238">
        <v>0.29166666666666669</v>
      </c>
      <c r="F1506" s="204">
        <v>0.625</v>
      </c>
      <c r="G1506" s="193">
        <f>IFERROR(IF(E1506&gt;F1506,((F1506+E376B376+1)-(E1506+#REF!))*24,HOUR(F1506-E1506)+MINUTE(F1506-E1506)/60),"")</f>
        <v>8</v>
      </c>
      <c r="I1506" s="230" t="s">
        <v>513</v>
      </c>
      <c r="J1506" s="231" t="s">
        <v>141</v>
      </c>
    </row>
    <row r="1507" spans="2:11" x14ac:dyDescent="0.25">
      <c r="B1507" s="235">
        <v>45073</v>
      </c>
      <c r="C1507" s="195">
        <v>2</v>
      </c>
      <c r="E1507" s="238">
        <v>0.625</v>
      </c>
      <c r="F1507" s="204">
        <v>0.95833333333333337</v>
      </c>
      <c r="G1507" s="193">
        <f>IFERROR(IF(E1507&gt;F1507,((F1507+E376B376+1)-(E1507+#REF!))*24,HOUR(F1507-E1507)+MINUTE(F1507-E1507)/60),"")</f>
        <v>8</v>
      </c>
      <c r="I1507" s="230" t="s">
        <v>513</v>
      </c>
      <c r="J1507" s="231" t="s">
        <v>141</v>
      </c>
    </row>
    <row r="1508" spans="2:11" x14ac:dyDescent="0.25">
      <c r="B1508" s="235">
        <v>45073</v>
      </c>
      <c r="C1508" s="195">
        <v>3</v>
      </c>
      <c r="E1508" s="238">
        <v>0.95833333333333337</v>
      </c>
      <c r="F1508" s="204">
        <v>0.29166666666666669</v>
      </c>
      <c r="G1508" s="193">
        <v>8</v>
      </c>
      <c r="I1508" s="230" t="s">
        <v>513</v>
      </c>
      <c r="J1508" s="231" t="s">
        <v>141</v>
      </c>
    </row>
    <row r="1509" spans="2:11" x14ac:dyDescent="0.25">
      <c r="B1509" s="235">
        <v>45074</v>
      </c>
      <c r="C1509" s="195">
        <v>1</v>
      </c>
      <c r="D1509" s="238">
        <v>0.29166666666666669</v>
      </c>
      <c r="E1509" s="238">
        <v>0.29166666666666669</v>
      </c>
      <c r="F1509" s="204">
        <v>0.625</v>
      </c>
      <c r="G1509" s="193">
        <v>8</v>
      </c>
      <c r="I1509" s="230" t="s">
        <v>513</v>
      </c>
      <c r="J1509" s="231" t="s">
        <v>141</v>
      </c>
    </row>
    <row r="1510" spans="2:11" x14ac:dyDescent="0.25">
      <c r="B1510" s="235">
        <v>45074</v>
      </c>
      <c r="C1510" s="195">
        <v>2</v>
      </c>
      <c r="E1510" s="238">
        <v>0.625</v>
      </c>
      <c r="F1510" s="204">
        <v>0.95833333333333337</v>
      </c>
      <c r="G1510" s="193">
        <v>8</v>
      </c>
      <c r="I1510" s="230" t="s">
        <v>513</v>
      </c>
      <c r="J1510" s="231" t="s">
        <v>141</v>
      </c>
    </row>
    <row r="1511" spans="2:11" x14ac:dyDescent="0.25">
      <c r="B1511" s="235">
        <v>45074</v>
      </c>
      <c r="C1511" s="195">
        <v>3</v>
      </c>
      <c r="E1511" s="238">
        <v>0.95833333333333337</v>
      </c>
      <c r="F1511" s="204">
        <v>0.29166666666666669</v>
      </c>
      <c r="G1511" s="193">
        <v>8</v>
      </c>
      <c r="I1511" s="230" t="s">
        <v>513</v>
      </c>
      <c r="J1511" s="231" t="s">
        <v>141</v>
      </c>
    </row>
    <row r="1512" spans="2:11" s="233" customFormat="1" x14ac:dyDescent="0.25">
      <c r="B1512" s="235">
        <v>45075</v>
      </c>
      <c r="C1512" s="233">
        <v>1</v>
      </c>
      <c r="E1512" s="238">
        <v>0.29166666666666669</v>
      </c>
      <c r="F1512" s="204">
        <v>0.33333333333333331</v>
      </c>
      <c r="G1512" s="193">
        <f>IFERROR(IF(E1512&gt;F1512,((F1512+E376B376+1)-(E1512+#REF!))*24,HOUR(F1512-E1512)+MINUTE(F1512-E1512)/60),"")</f>
        <v>1</v>
      </c>
      <c r="H1512" s="230"/>
      <c r="I1512" s="230" t="s">
        <v>513</v>
      </c>
      <c r="J1512" s="231" t="s">
        <v>141</v>
      </c>
      <c r="K1512" s="176"/>
    </row>
    <row r="1513" spans="2:11" s="233" customFormat="1" x14ac:dyDescent="0.25">
      <c r="B1513" s="235">
        <v>45075</v>
      </c>
      <c r="C1513" s="233">
        <v>1</v>
      </c>
      <c r="E1513" s="238">
        <v>0.33333333333333331</v>
      </c>
      <c r="F1513" s="204">
        <v>0.34513888888888888</v>
      </c>
      <c r="G1513" s="193">
        <f>IFERROR(IF(E1513&gt;F1513,((F1513+E376B376+1)-(E1513+#REF!))*24,HOUR(F1513-E1513)+MINUTE(F1513-E1513)/60),"")</f>
        <v>0.28333333333333333</v>
      </c>
      <c r="H1513" s="230" t="s">
        <v>176</v>
      </c>
      <c r="I1513" s="230" t="s">
        <v>511</v>
      </c>
      <c r="J1513" s="231" t="s">
        <v>200</v>
      </c>
      <c r="K1513" s="176"/>
    </row>
    <row r="1514" spans="2:11" s="233" customFormat="1" x14ac:dyDescent="0.25">
      <c r="B1514" s="235">
        <v>45075</v>
      </c>
      <c r="C1514" s="233">
        <v>1</v>
      </c>
      <c r="E1514" s="238">
        <v>0.43472222222222223</v>
      </c>
      <c r="F1514" s="204">
        <v>0.4458333333333333</v>
      </c>
      <c r="G1514" s="193">
        <f>IFERROR(IF(E1514&gt;F1514,((F1514+E376B376+1)-(E1514+#REF!))*24,HOUR(F1514-E1514)+MINUTE(F1514-E1514)/60),"")</f>
        <v>0.26666666666666666</v>
      </c>
      <c r="H1514" s="230" t="s">
        <v>55</v>
      </c>
      <c r="I1514" s="230" t="s">
        <v>509</v>
      </c>
      <c r="J1514" s="231" t="s">
        <v>203</v>
      </c>
      <c r="K1514" s="176"/>
    </row>
    <row r="1515" spans="2:11" s="233" customFormat="1" x14ac:dyDescent="0.25">
      <c r="B1515" s="235">
        <v>45075</v>
      </c>
      <c r="C1515" s="233">
        <v>1</v>
      </c>
      <c r="E1515" s="238">
        <v>0.3888888888888889</v>
      </c>
      <c r="F1515" s="204">
        <v>0.40069444444444446</v>
      </c>
      <c r="G1515" s="193">
        <f>IFERROR(IF(E1515&gt;F1515,((F1515+E376B376+1)-(E1515+#REF!))*24,HOUR(F1515-E1515)+MINUTE(F1515-E1515)/60),"")</f>
        <v>0.28333333333333333</v>
      </c>
      <c r="H1515" s="230" t="s">
        <v>55</v>
      </c>
      <c r="I1515" s="230" t="s">
        <v>509</v>
      </c>
      <c r="J1515" s="231" t="s">
        <v>203</v>
      </c>
      <c r="K1515" s="176"/>
    </row>
    <row r="1516" spans="2:11" s="233" customFormat="1" x14ac:dyDescent="0.25">
      <c r="B1516" s="235">
        <v>45075</v>
      </c>
      <c r="C1516" s="233">
        <v>1</v>
      </c>
      <c r="E1516" s="238">
        <v>0.56388888888888888</v>
      </c>
      <c r="F1516" s="204">
        <v>0.57777777777777783</v>
      </c>
      <c r="G1516" s="193">
        <f>IFERROR(IF(E1516&gt;F1516,((F1516+E376B376+1)-(E1516+#REF!))*24,HOUR(F1516-E1516)+MINUTE(F1516-E1516)/60),"")</f>
        <v>0.33333333333333331</v>
      </c>
      <c r="H1516" s="230" t="s">
        <v>55</v>
      </c>
      <c r="I1516" s="230" t="s">
        <v>509</v>
      </c>
      <c r="J1516" s="231" t="s">
        <v>211</v>
      </c>
      <c r="K1516" s="176"/>
    </row>
    <row r="1517" spans="2:11" s="233" customFormat="1" x14ac:dyDescent="0.25">
      <c r="B1517" s="235">
        <v>45075</v>
      </c>
      <c r="C1517" s="233">
        <v>1</v>
      </c>
      <c r="E1517" s="238">
        <v>0.50972222222222219</v>
      </c>
      <c r="F1517" s="204">
        <v>0.52708333333333335</v>
      </c>
      <c r="G1517" s="193">
        <f>IFERROR(IF(E1517&gt;F1517,((F1517+E376B376+1)-(E1517+#REF!))*24,HOUR(F1517-E1517)+MINUTE(F1517-E1517)/60),"")</f>
        <v>0.41666666666666669</v>
      </c>
      <c r="H1517" s="230" t="s">
        <v>195</v>
      </c>
      <c r="I1517" s="230" t="s">
        <v>509</v>
      </c>
      <c r="J1517" s="231" t="s">
        <v>110</v>
      </c>
      <c r="K1517" s="176"/>
    </row>
    <row r="1518" spans="2:11" x14ac:dyDescent="0.25">
      <c r="B1518" s="235">
        <v>45075</v>
      </c>
      <c r="C1518" s="195">
        <v>1</v>
      </c>
      <c r="E1518" s="238">
        <v>0.60763888888888895</v>
      </c>
      <c r="F1518" s="204">
        <v>0.625</v>
      </c>
      <c r="G1518" s="193">
        <f>IFERROR(IF(E1518&gt;F1518,((F1518+E376B376+1)-(E1518+#REF!))*24,HOUR(F1518-E1518)+MINUTE(F1518-E1518)/60),"")</f>
        <v>0.41666666666666669</v>
      </c>
      <c r="H1518" s="230" t="s">
        <v>55</v>
      </c>
      <c r="I1518" s="230" t="s">
        <v>509</v>
      </c>
      <c r="J1518" s="231" t="s">
        <v>114</v>
      </c>
    </row>
    <row r="1519" spans="2:11" x14ac:dyDescent="0.25">
      <c r="B1519" s="235">
        <v>45075</v>
      </c>
      <c r="C1519" s="195">
        <v>2</v>
      </c>
      <c r="E1519" s="238">
        <v>0.76736111111111116</v>
      </c>
      <c r="F1519" s="204">
        <v>0.77777777777777779</v>
      </c>
      <c r="G1519" s="193">
        <f>IFERROR(IF(E1519&gt;F1519,((F1519+E376B376+1)-(E1519+#REF!))*24,HOUR(F1519-E1519)+MINUTE(F1519-E1519)/60),"")</f>
        <v>0.25</v>
      </c>
      <c r="H1519" s="230" t="s">
        <v>55</v>
      </c>
      <c r="I1519" s="230" t="s">
        <v>511</v>
      </c>
      <c r="J1519" s="231" t="s">
        <v>203</v>
      </c>
      <c r="K1519" s="231" t="s">
        <v>1190</v>
      </c>
    </row>
    <row r="1520" spans="2:11" x14ac:dyDescent="0.25">
      <c r="B1520" s="235">
        <v>45075</v>
      </c>
      <c r="C1520" s="195">
        <v>2</v>
      </c>
      <c r="E1520" s="238">
        <v>0.81597222222222221</v>
      </c>
      <c r="F1520" s="204">
        <v>0.82638888888888884</v>
      </c>
      <c r="G1520" s="193">
        <f>IFERROR(IF(E1520&gt;F1520,((F1520+E376B376+1)-(E1520+#REF!))*24,HOUR(F1520-E1520)+MINUTE(F1520-E1520)/60),"")</f>
        <v>0.25</v>
      </c>
      <c r="H1520" s="230" t="s">
        <v>55</v>
      </c>
      <c r="I1520" s="230" t="s">
        <v>509</v>
      </c>
      <c r="J1520" s="231" t="s">
        <v>211</v>
      </c>
      <c r="K1520" s="176" t="s">
        <v>684</v>
      </c>
    </row>
    <row r="1521" spans="2:11" x14ac:dyDescent="0.25">
      <c r="B1521" s="235">
        <v>45075</v>
      </c>
      <c r="C1521" s="195">
        <v>2</v>
      </c>
      <c r="E1521" s="238">
        <v>0.86805555555555547</v>
      </c>
      <c r="F1521" s="204">
        <v>0.87847222222222221</v>
      </c>
      <c r="G1521" s="193">
        <f>IFERROR(IF(E1521&gt;F1521,((F1521+E376B376+1)-(E1521+#REF!))*24,HOUR(F1521-E1521)+MINUTE(F1521-E1521)/60),"")</f>
        <v>0.25</v>
      </c>
      <c r="H1521" s="230" t="s">
        <v>55</v>
      </c>
      <c r="I1521" s="230" t="s">
        <v>511</v>
      </c>
      <c r="J1521" s="231" t="s">
        <v>203</v>
      </c>
    </row>
    <row r="1522" spans="2:11" x14ac:dyDescent="0.25">
      <c r="B1522" s="235">
        <v>45075</v>
      </c>
      <c r="C1522" s="195">
        <v>2</v>
      </c>
      <c r="E1522" s="238">
        <v>0.88194444444444453</v>
      </c>
      <c r="F1522" s="204">
        <v>0.89583333333333337</v>
      </c>
      <c r="G1522" s="193">
        <f>IFERROR(IF(E1522&gt;F1522,((F1522+E376B376+1)-(E1522+#REF!))*24,HOUR(F1522-E1522)+MINUTE(F1522-E1522)/60),"")</f>
        <v>0.33333333333333331</v>
      </c>
      <c r="H1522" s="230" t="s">
        <v>55</v>
      </c>
      <c r="I1522" s="230" t="s">
        <v>509</v>
      </c>
      <c r="J1522" s="231" t="s">
        <v>600</v>
      </c>
      <c r="K1522" s="176" t="s">
        <v>1227</v>
      </c>
    </row>
    <row r="1523" spans="2:11" x14ac:dyDescent="0.25">
      <c r="B1523" s="235">
        <v>45075</v>
      </c>
      <c r="C1523" s="195">
        <v>2</v>
      </c>
      <c r="E1523" s="238">
        <v>0.92361111111111116</v>
      </c>
      <c r="F1523" s="204">
        <v>0.93402777777777779</v>
      </c>
      <c r="G1523" s="193">
        <f>IFERROR(IF(E1523&gt;F1523,((F1523+E376B376+1)-(E1523+#REF!))*24,HOUR(F1523-E1523)+MINUTE(F1523-E1523)/60),"")</f>
        <v>0.25</v>
      </c>
      <c r="H1523" s="230" t="s">
        <v>55</v>
      </c>
      <c r="I1523" s="230" t="s">
        <v>509</v>
      </c>
      <c r="J1523" s="231" t="s">
        <v>211</v>
      </c>
      <c r="K1523" s="176" t="s">
        <v>684</v>
      </c>
    </row>
    <row r="1524" spans="2:11" x14ac:dyDescent="0.25">
      <c r="B1524" s="235">
        <v>45075</v>
      </c>
      <c r="C1524" s="233">
        <v>2</v>
      </c>
      <c r="E1524" s="238">
        <v>0.94444444444444453</v>
      </c>
      <c r="F1524" s="204">
        <v>0.94513888888888886</v>
      </c>
      <c r="G1524" s="193">
        <f>IFERROR(IF(E1524&gt;F1524,((F1524+E376B376+1)-(E1524+#REF!))*24,HOUR(F1524-E1524)+MINUTE(F1524-E1524)/60),"")</f>
        <v>1.6666666666666666E-2</v>
      </c>
      <c r="H1524" s="230" t="s">
        <v>55</v>
      </c>
      <c r="I1524" s="230" t="s">
        <v>509</v>
      </c>
      <c r="J1524" s="231" t="s">
        <v>114</v>
      </c>
    </row>
    <row r="1525" spans="2:11" x14ac:dyDescent="0.25">
      <c r="B1525" s="235">
        <v>45075</v>
      </c>
      <c r="C1525" s="233">
        <v>2</v>
      </c>
      <c r="E1525" s="238">
        <v>0.94513888888888886</v>
      </c>
      <c r="F1525" s="204">
        <v>0.95486111111111116</v>
      </c>
      <c r="G1525" s="193">
        <f>IFERROR(IF(E1525&gt;F1525,((F1525+E376B376+1)-(E1525+#REF!))*24,HOUR(F1525-E1525)+MINUTE(F1525-E1525)/60),"")</f>
        <v>0.23333333333333334</v>
      </c>
      <c r="H1525" s="230" t="s">
        <v>147</v>
      </c>
      <c r="I1525" s="230" t="s">
        <v>511</v>
      </c>
      <c r="J1525" s="231" t="s">
        <v>758</v>
      </c>
      <c r="K1525" s="279" t="s">
        <v>1158</v>
      </c>
    </row>
    <row r="1526" spans="2:11" x14ac:dyDescent="0.25">
      <c r="B1526" s="235">
        <v>45075</v>
      </c>
      <c r="C1526" s="195">
        <v>3</v>
      </c>
      <c r="E1526" s="238">
        <v>1.6666666666666666E-2</v>
      </c>
      <c r="F1526" s="204">
        <v>2.6388888888888889E-2</v>
      </c>
      <c r="G1526" s="193">
        <f>IFERROR(IF(E1526&gt;F1526,((F1526+E376B376+1)-(E1526+#REF!))*24,HOUR(F1526-E1526)+MINUTE(F1526-E1526)/60),"")</f>
        <v>0.23333333333333334</v>
      </c>
      <c r="H1526" s="230" t="s">
        <v>55</v>
      </c>
      <c r="I1526" s="230" t="s">
        <v>509</v>
      </c>
      <c r="J1526" s="231" t="s">
        <v>211</v>
      </c>
      <c r="K1526" s="176" t="s">
        <v>684</v>
      </c>
    </row>
    <row r="1527" spans="2:11" x14ac:dyDescent="0.25">
      <c r="B1527" s="235">
        <v>45075</v>
      </c>
      <c r="C1527" s="233">
        <v>3</v>
      </c>
      <c r="E1527" s="238">
        <v>0.10972222222222222</v>
      </c>
      <c r="F1527" s="204">
        <v>0.12430555555555556</v>
      </c>
      <c r="G1527" s="193">
        <f>IFERROR(IF(E1527&gt;F1527,((F1527+E376B376+1)-(E1527+#REF!))*24,HOUR(F1527-E1527)+MINUTE(F1527-E1527)/60),"")</f>
        <v>0.35</v>
      </c>
      <c r="H1527" s="230" t="s">
        <v>55</v>
      </c>
      <c r="I1527" s="230" t="s">
        <v>509</v>
      </c>
      <c r="J1527" s="231" t="s">
        <v>211</v>
      </c>
      <c r="K1527" s="176" t="s">
        <v>684</v>
      </c>
    </row>
    <row r="1528" spans="2:11" x14ac:dyDescent="0.25">
      <c r="B1528" s="235">
        <v>45075</v>
      </c>
      <c r="C1528" s="233">
        <v>3</v>
      </c>
      <c r="E1528" s="238">
        <v>0.13680555555555554</v>
      </c>
      <c r="F1528" s="204">
        <v>0.14722222222222223</v>
      </c>
      <c r="G1528" s="193">
        <f>IFERROR(IF(E1528&gt;F1528,((F1528+E376B376+1)-(E1528+#REF!))*24,HOUR(F1528-E1528)+MINUTE(F1528-E1528)/60),"")</f>
        <v>0.25</v>
      </c>
      <c r="H1528" s="230" t="s">
        <v>55</v>
      </c>
      <c r="I1528" s="230" t="s">
        <v>511</v>
      </c>
      <c r="J1528" s="231" t="s">
        <v>203</v>
      </c>
      <c r="K1528" s="330" t="s">
        <v>1190</v>
      </c>
    </row>
    <row r="1529" spans="2:11" x14ac:dyDescent="0.25">
      <c r="B1529" s="235">
        <v>45075</v>
      </c>
      <c r="C1529" s="233">
        <v>3</v>
      </c>
      <c r="E1529" s="238">
        <v>0.18194444444444444</v>
      </c>
      <c r="F1529" s="204">
        <v>0.19027777777777777</v>
      </c>
      <c r="G1529" s="193">
        <f>IFERROR(IF(E1529&gt;F1529,((F1529+E376B376+1)-(E1529+#REF!))*24,HOUR(F1529-E1529)+MINUTE(F1529-E1529)/60),"")</f>
        <v>0.2</v>
      </c>
      <c r="H1529" s="230" t="s">
        <v>172</v>
      </c>
      <c r="I1529" s="230" t="s">
        <v>510</v>
      </c>
      <c r="J1529" s="231" t="s">
        <v>621</v>
      </c>
      <c r="K1529" s="176" t="s">
        <v>1230</v>
      </c>
    </row>
    <row r="1530" spans="2:11" x14ac:dyDescent="0.25">
      <c r="B1530" s="235">
        <v>45075</v>
      </c>
      <c r="C1530" s="233">
        <v>3</v>
      </c>
      <c r="E1530" s="238">
        <v>0.19027777777777777</v>
      </c>
      <c r="F1530" s="204">
        <v>0.19236111111111112</v>
      </c>
      <c r="G1530" s="193">
        <f>IFERROR(IF(E1530&gt;F1530,((F1530+E376B376+1)-(E1530+#REF!))*24,HOUR(F1530-E1530)+MINUTE(F1530-E1530)/60),"")</f>
        <v>0.05</v>
      </c>
      <c r="H1530" s="230" t="s">
        <v>147</v>
      </c>
      <c r="I1530" s="230" t="s">
        <v>511</v>
      </c>
      <c r="J1530" s="231" t="s">
        <v>758</v>
      </c>
      <c r="K1530" s="279" t="s">
        <v>1231</v>
      </c>
    </row>
    <row r="1531" spans="2:11" x14ac:dyDescent="0.25">
      <c r="B1531" s="235">
        <v>45075</v>
      </c>
      <c r="C1531" s="233">
        <v>3</v>
      </c>
      <c r="E1531" s="238">
        <v>0.21388888888888891</v>
      </c>
      <c r="F1531" s="204">
        <v>0.22013888888888888</v>
      </c>
      <c r="G1531" s="193">
        <f>IFERROR(IF(E1531&gt;F1531,((F1531+E376B376+1)-(E1531+#REF!))*24,HOUR(F1531-E1531)+MINUTE(F1531-E1531)/60),"")</f>
        <v>0.15</v>
      </c>
      <c r="H1531" s="230" t="s">
        <v>172</v>
      </c>
      <c r="I1531" s="230" t="s">
        <v>510</v>
      </c>
      <c r="J1531" s="231" t="s">
        <v>621</v>
      </c>
      <c r="K1531" s="176" t="s">
        <v>1230</v>
      </c>
    </row>
    <row r="1532" spans="2:11" x14ac:dyDescent="0.25">
      <c r="B1532" s="235">
        <v>45075</v>
      </c>
      <c r="C1532" s="233">
        <v>3</v>
      </c>
      <c r="E1532" s="238">
        <v>0.22013888888888888</v>
      </c>
      <c r="F1532" s="204">
        <v>0.22430555555555556</v>
      </c>
      <c r="G1532" s="193">
        <f>IFERROR(IF(E1532&gt;F1532,((F1532+E376B376+1)-(E1532+#REF!))*24,HOUR(F1532-E1532)+MINUTE(F1532-E1532)/60),"")</f>
        <v>0.1</v>
      </c>
      <c r="H1532" s="230" t="s">
        <v>147</v>
      </c>
      <c r="I1532" s="230" t="s">
        <v>511</v>
      </c>
      <c r="J1532" s="231" t="s">
        <v>758</v>
      </c>
      <c r="K1532" s="279" t="s">
        <v>1231</v>
      </c>
    </row>
    <row r="1533" spans="2:11" x14ac:dyDescent="0.25">
      <c r="B1533" s="235">
        <v>45075</v>
      </c>
      <c r="C1533" s="233">
        <v>3</v>
      </c>
      <c r="E1533" s="238">
        <v>0.23263888888888887</v>
      </c>
      <c r="F1533" s="204">
        <v>0.24305555555555555</v>
      </c>
      <c r="G1533" s="193">
        <f>IFERROR(IF(E1533&gt;F1533,((F1533+E376B376+1)-(E1533+#REF!))*24,HOUR(F1533-E1533)+MINUTE(F1533-E1533)/60),"")</f>
        <v>0.25</v>
      </c>
      <c r="H1533" s="230" t="s">
        <v>55</v>
      </c>
      <c r="I1533" s="230" t="s">
        <v>511</v>
      </c>
      <c r="J1533" s="231" t="s">
        <v>203</v>
      </c>
      <c r="K1533" s="330" t="s">
        <v>1190</v>
      </c>
    </row>
    <row r="1534" spans="2:11" x14ac:dyDescent="0.25">
      <c r="B1534" s="235">
        <v>45075</v>
      </c>
      <c r="C1534" s="233">
        <v>3</v>
      </c>
      <c r="E1534" s="238">
        <v>0.26458333333333334</v>
      </c>
      <c r="F1534" s="204">
        <v>0.27083333333333331</v>
      </c>
      <c r="G1534" s="193">
        <f>IFERROR(IF(E1534&gt;F1534,((F1534+E376B376+1)-(E1534+#REF!))*24,HOUR(F1534-E1534)+MINUTE(F1534-E1534)/60),"")</f>
        <v>0.15</v>
      </c>
      <c r="H1534" s="230" t="s">
        <v>172</v>
      </c>
      <c r="I1534" s="230" t="s">
        <v>510</v>
      </c>
      <c r="J1534" s="231" t="s">
        <v>621</v>
      </c>
      <c r="K1534" s="176" t="s">
        <v>1232</v>
      </c>
    </row>
    <row r="1535" spans="2:11" x14ac:dyDescent="0.25">
      <c r="B1535" s="235">
        <v>45075</v>
      </c>
      <c r="C1535" s="233">
        <v>3</v>
      </c>
      <c r="E1535" s="238">
        <v>0.27083333333333331</v>
      </c>
      <c r="F1535" s="204">
        <v>0.27499999999999997</v>
      </c>
      <c r="G1535" s="193">
        <f>IFERROR(IF(E1535&gt;F1535,((F1535+E376B376+1)-(E1535+#REF!))*24,HOUR(F1535-E1535)+MINUTE(F1535-E1535)/60),"")</f>
        <v>0.1</v>
      </c>
      <c r="H1535" s="230" t="s">
        <v>147</v>
      </c>
      <c r="I1535" s="230" t="s">
        <v>511</v>
      </c>
      <c r="J1535" s="231" t="s">
        <v>758</v>
      </c>
      <c r="K1535" s="279" t="s">
        <v>1231</v>
      </c>
    </row>
    <row r="1536" spans="2:11" x14ac:dyDescent="0.25">
      <c r="B1536" s="235">
        <v>45075</v>
      </c>
      <c r="C1536" s="233">
        <v>3</v>
      </c>
      <c r="E1536" s="238">
        <v>0.27499999999999997</v>
      </c>
      <c r="F1536" s="204">
        <v>0.29166666666666669</v>
      </c>
      <c r="G1536" s="193">
        <f>IFERROR(IF(E1536&gt;F1536,((F1536+E376B376+1)-(E1536+#REF!))*24,HOUR(F1536-E1536)+MINUTE(F1536-E1536)/60),"")</f>
        <v>0.4</v>
      </c>
      <c r="H1536" s="230" t="s">
        <v>55</v>
      </c>
      <c r="I1536" s="230" t="s">
        <v>509</v>
      </c>
      <c r="J1536" s="231" t="s">
        <v>114</v>
      </c>
    </row>
    <row r="1537" spans="2:11" x14ac:dyDescent="0.25">
      <c r="B1537" s="235">
        <v>45076</v>
      </c>
      <c r="C1537" s="233">
        <v>1</v>
      </c>
      <c r="E1537" s="238">
        <v>0.29166666666666669</v>
      </c>
      <c r="F1537" s="204">
        <v>0.29583333333333334</v>
      </c>
      <c r="G1537" s="193">
        <f>IFERROR(IF(E1537&gt;F1537,((F1537+E376B376+1)-(E1537+#REF!))*24,HOUR(F1537-E1537)+MINUTE(F1537-E1537)/60),"")</f>
        <v>0.1</v>
      </c>
      <c r="H1537" s="230" t="s">
        <v>55</v>
      </c>
      <c r="I1537" s="230" t="s">
        <v>509</v>
      </c>
      <c r="J1537" s="231" t="s">
        <v>114</v>
      </c>
    </row>
    <row r="1538" spans="2:11" x14ac:dyDescent="0.25">
      <c r="B1538" s="235">
        <v>45076</v>
      </c>
      <c r="C1538" s="233">
        <v>1</v>
      </c>
      <c r="E1538" s="238">
        <v>0.34375</v>
      </c>
      <c r="F1538" s="204">
        <v>0.35416666666666669</v>
      </c>
      <c r="G1538" s="193">
        <f>IFERROR(IF(E1538&gt;F1538,((F1538+E376B376+1)-(E1538+#REF!))*24,HOUR(F1538-E1538)+MINUTE(F1538-E1538)/60),"")</f>
        <v>0.25</v>
      </c>
      <c r="H1538" s="230" t="s">
        <v>172</v>
      </c>
      <c r="I1538" s="230" t="s">
        <v>510</v>
      </c>
      <c r="J1538" s="231" t="s">
        <v>621</v>
      </c>
    </row>
    <row r="1539" spans="2:11" x14ac:dyDescent="0.25">
      <c r="B1539" s="235">
        <v>45076</v>
      </c>
      <c r="C1539" s="233">
        <v>1</v>
      </c>
      <c r="E1539" s="238">
        <v>0.35416666666666669</v>
      </c>
      <c r="F1539" s="204">
        <v>0.42291666666666666</v>
      </c>
      <c r="G1539" s="193">
        <f>IFERROR(IF(E1539&gt;F1539,((F1539+E376B376+1)-(E1539+#REF!))*24,HOUR(F1539-E1539)+MINUTE(F1539-E1539)/60),"")</f>
        <v>1.65</v>
      </c>
      <c r="H1539" s="230" t="s">
        <v>142</v>
      </c>
      <c r="I1539" s="230" t="s">
        <v>511</v>
      </c>
      <c r="J1539" s="231" t="s">
        <v>197</v>
      </c>
    </row>
    <row r="1540" spans="2:11" x14ac:dyDescent="0.25">
      <c r="B1540" s="235">
        <v>45076</v>
      </c>
      <c r="C1540" s="233">
        <v>1</v>
      </c>
      <c r="E1540" s="238">
        <v>0.4513888888888889</v>
      </c>
      <c r="F1540" s="204">
        <v>0.46527777777777773</v>
      </c>
      <c r="G1540" s="193">
        <f>IFERROR(IF(E1540&gt;F1540,((F1540+E376B376+1)-(E1540+#REF!))*24,HOUR(F1540-E1540)+MINUTE(F1540-E1540)/60),"")</f>
        <v>0.33333333333333331</v>
      </c>
      <c r="H1540" s="230" t="s">
        <v>147</v>
      </c>
      <c r="I1540" s="230" t="s">
        <v>511</v>
      </c>
      <c r="J1540" s="231" t="s">
        <v>517</v>
      </c>
    </row>
    <row r="1541" spans="2:11" x14ac:dyDescent="0.25">
      <c r="B1541" s="235">
        <v>45076</v>
      </c>
      <c r="C1541" s="233">
        <v>1</v>
      </c>
      <c r="E1541" s="238">
        <v>0.5</v>
      </c>
      <c r="F1541" s="204">
        <v>0.51180555555555551</v>
      </c>
      <c r="G1541" s="193">
        <f>IFERROR(IF(E1541&gt;F1541,((F1541+E376B376+1)-(E1541+#REF!))*24,HOUR(F1541-E1541)+MINUTE(F1541-E1541)/60),"")</f>
        <v>0.28333333333333333</v>
      </c>
      <c r="H1541" s="230" t="s">
        <v>195</v>
      </c>
      <c r="I1541" s="230" t="s">
        <v>509</v>
      </c>
      <c r="J1541" s="231" t="s">
        <v>194</v>
      </c>
    </row>
    <row r="1542" spans="2:11" x14ac:dyDescent="0.25">
      <c r="B1542" s="235">
        <v>45076</v>
      </c>
      <c r="C1542" s="233">
        <v>1</v>
      </c>
      <c r="E1542" s="238">
        <v>0.52777777777777779</v>
      </c>
      <c r="F1542" s="204">
        <v>0.53819444444444442</v>
      </c>
      <c r="G1542" s="193">
        <f>IFERROR(IF(E1542&gt;F1542,((F1542+E376B376+1)-(E1542+#REF!))*24,HOUR(F1542-E1542)+MINUTE(F1542-E1542)/60),"")</f>
        <v>0.25</v>
      </c>
      <c r="H1542" s="230" t="s">
        <v>195</v>
      </c>
      <c r="I1542" s="230" t="s">
        <v>509</v>
      </c>
      <c r="J1542" s="231" t="s">
        <v>194</v>
      </c>
    </row>
    <row r="1543" spans="2:11" x14ac:dyDescent="0.25">
      <c r="B1543" s="235">
        <v>45076</v>
      </c>
      <c r="C1543" s="233">
        <v>1</v>
      </c>
      <c r="D1543" s="233"/>
      <c r="E1543" s="238">
        <v>0.58333333333333337</v>
      </c>
      <c r="F1543" s="204">
        <v>0.59375</v>
      </c>
      <c r="G1543" s="193">
        <f>IFERROR(IF(E1543&gt;F1543,((F1543+E376B376+1)-(E1543+#REF!))*24,HOUR(F1543-E1543)+MINUTE(F1543-E1543)/60),"")</f>
        <v>0.25</v>
      </c>
      <c r="H1543" s="230" t="s">
        <v>55</v>
      </c>
      <c r="I1543" s="230" t="s">
        <v>509</v>
      </c>
      <c r="J1543" s="231" t="s">
        <v>203</v>
      </c>
    </row>
    <row r="1544" spans="2:11" x14ac:dyDescent="0.25">
      <c r="B1544" s="235">
        <v>45076</v>
      </c>
      <c r="C1544" s="233">
        <v>1</v>
      </c>
      <c r="D1544" s="233"/>
      <c r="E1544" s="238">
        <v>0.60833333333333328</v>
      </c>
      <c r="F1544" s="204">
        <v>0.625</v>
      </c>
      <c r="G1544" s="193">
        <f>IFERROR(IF(E1544&gt;F1544,((F1544+E376B376+1)-(E1544+#REF!))*24,HOUR(F1544-E1544)+MINUTE(F1544-E1544)/60),"")</f>
        <v>0.4</v>
      </c>
      <c r="H1544" s="230" t="s">
        <v>55</v>
      </c>
      <c r="I1544" s="230" t="s">
        <v>509</v>
      </c>
      <c r="J1544" s="231" t="s">
        <v>114</v>
      </c>
    </row>
    <row r="1545" spans="2:11" x14ac:dyDescent="0.25">
      <c r="B1545" s="235">
        <v>45076</v>
      </c>
      <c r="C1545" s="233">
        <v>2</v>
      </c>
      <c r="D1545" s="233"/>
      <c r="E1545" s="238">
        <v>0.625</v>
      </c>
      <c r="F1545" s="204">
        <v>0.63194444444444442</v>
      </c>
      <c r="G1545" s="193">
        <f>IFERROR(IF(E1545&gt;F1545,((F1545+E376B376+1)-(E1545+#REF!))*24,HOUR(F1545-E1545)+MINUTE(F1545-E1545)/60),"")</f>
        <v>0.16666666666666666</v>
      </c>
      <c r="H1545" s="230" t="s">
        <v>55</v>
      </c>
      <c r="I1545" s="230" t="s">
        <v>509</v>
      </c>
      <c r="J1545" s="231" t="s">
        <v>114</v>
      </c>
    </row>
    <row r="1546" spans="2:11" x14ac:dyDescent="0.25">
      <c r="B1546" s="235">
        <v>45076</v>
      </c>
      <c r="C1546" s="233">
        <v>2</v>
      </c>
      <c r="D1546" s="233"/>
      <c r="E1546" s="238">
        <v>0.67361111111111116</v>
      </c>
      <c r="F1546" s="204">
        <v>0.6875</v>
      </c>
      <c r="G1546" s="193">
        <f>IFERROR(IF(E1546&gt;F1546,((F1546+E376B376+1)-(E1546+#REF!))*24,HOUR(F1546-E1546)+MINUTE(F1546-E1546)/60),"")</f>
        <v>0.33333333333333331</v>
      </c>
      <c r="H1546" s="230" t="s">
        <v>55</v>
      </c>
      <c r="I1546" s="230" t="s">
        <v>509</v>
      </c>
      <c r="J1546" s="231" t="s">
        <v>211</v>
      </c>
      <c r="K1546" s="176" t="s">
        <v>684</v>
      </c>
    </row>
    <row r="1547" spans="2:11" x14ac:dyDescent="0.25">
      <c r="B1547" s="235">
        <v>45076</v>
      </c>
      <c r="C1547" s="233">
        <v>2</v>
      </c>
      <c r="D1547" s="233"/>
      <c r="E1547" s="238">
        <v>0.75694444444444453</v>
      </c>
      <c r="F1547" s="204">
        <v>0.95833333333333337</v>
      </c>
      <c r="G1547" s="193">
        <f>IFERROR(IF(E1547&gt;F1547,((F1547+E376B376+1)-(E1547+#REF!))*24,HOUR(F1547-E1547)+MINUTE(F1547-E1547)/60),"")</f>
        <v>4.833333333333333</v>
      </c>
      <c r="I1547" s="230" t="s">
        <v>513</v>
      </c>
      <c r="J1547" s="231" t="s">
        <v>229</v>
      </c>
      <c r="K1547" s="176" t="s">
        <v>1234</v>
      </c>
    </row>
    <row r="1548" spans="2:11" x14ac:dyDescent="0.25">
      <c r="B1548" s="235">
        <v>45076</v>
      </c>
      <c r="C1548" s="195">
        <v>3</v>
      </c>
      <c r="E1548" s="238">
        <v>0.95833333333333337</v>
      </c>
      <c r="F1548" s="204">
        <v>0.9770833333333333</v>
      </c>
      <c r="G1548" s="193">
        <f>IFERROR(IF(E1548&gt;F1548,((F1548+E376B376+1)-(E1548+#REF!))*24,HOUR(F1548-E1548)+MINUTE(F1548-E1548)/60),"")</f>
        <v>0.45</v>
      </c>
      <c r="H1548" s="230" t="s">
        <v>55</v>
      </c>
      <c r="I1548" s="230" t="s">
        <v>509</v>
      </c>
      <c r="J1548" s="231" t="s">
        <v>211</v>
      </c>
    </row>
    <row r="1549" spans="2:11" x14ac:dyDescent="0.25">
      <c r="B1549" s="235">
        <v>45076</v>
      </c>
      <c r="C1549" s="233">
        <v>3</v>
      </c>
      <c r="E1549" s="238">
        <v>6.2499999999999995E-3</v>
      </c>
      <c r="F1549" s="204">
        <v>1.6666666666666666E-2</v>
      </c>
      <c r="G1549" s="193">
        <f>IFERROR(IF(E1549&gt;F1549,((F1549+E376B376+1)-(E1549+#REF!))*24,HOUR(F1549-E1549)+MINUTE(F1549-E1549)/60),"")</f>
        <v>0.25</v>
      </c>
      <c r="H1549" s="230" t="s">
        <v>55</v>
      </c>
      <c r="I1549" s="230" t="s">
        <v>509</v>
      </c>
      <c r="J1549" s="231" t="s">
        <v>203</v>
      </c>
      <c r="K1549" s="330" t="s">
        <v>1190</v>
      </c>
    </row>
    <row r="1550" spans="2:11" x14ac:dyDescent="0.25">
      <c r="B1550" s="235">
        <v>45076</v>
      </c>
      <c r="C1550" s="233">
        <v>3</v>
      </c>
      <c r="E1550" s="238">
        <v>7.9861111111111105E-2</v>
      </c>
      <c r="F1550" s="204">
        <v>9.0277777777777776E-2</v>
      </c>
      <c r="G1550" s="193">
        <f>IFERROR(IF(E1550&gt;F1550,((F1550+E376B376+1)-(E1550+#REF!))*24,HOUR(F1550-E1550)+MINUTE(F1550-E1550)/60),"")</f>
        <v>0.25</v>
      </c>
      <c r="H1550" s="230" t="s">
        <v>55</v>
      </c>
      <c r="I1550" s="230" t="s">
        <v>509</v>
      </c>
      <c r="J1550" s="231" t="s">
        <v>203</v>
      </c>
      <c r="K1550" s="330" t="s">
        <v>1190</v>
      </c>
    </row>
    <row r="1551" spans="2:11" x14ac:dyDescent="0.25">
      <c r="B1551" s="235">
        <v>45076</v>
      </c>
      <c r="C1551" s="233">
        <v>3</v>
      </c>
      <c r="E1551" s="238">
        <v>0.19375000000000001</v>
      </c>
      <c r="F1551" s="204">
        <v>0.21180555555555555</v>
      </c>
      <c r="G1551" s="193">
        <f>IFERROR(IF(E1551&gt;F1551,((F1551+E376B376+1)-(E1551+#REF!))*24,HOUR(F1551-E1551)+MINUTE(F1551-E1551)/60),"")</f>
        <v>0.43333333333333335</v>
      </c>
      <c r="H1551" s="230" t="s">
        <v>204</v>
      </c>
      <c r="I1551" s="230" t="s">
        <v>509</v>
      </c>
      <c r="J1551" s="231" t="s">
        <v>211</v>
      </c>
    </row>
    <row r="1552" spans="2:11" x14ac:dyDescent="0.25">
      <c r="B1552" s="235">
        <v>45076</v>
      </c>
      <c r="C1552" s="233">
        <v>3</v>
      </c>
      <c r="E1552" s="238">
        <v>0.27569444444444446</v>
      </c>
      <c r="F1552" s="204">
        <v>0.29166666666666669</v>
      </c>
      <c r="G1552" s="193">
        <f>IFERROR(IF(E1552&gt;F1552,((F1552+E376B376+1)-(E1552+#REF!))*24,HOUR(F1552-E1552)+MINUTE(F1552-E1552)/60),"")</f>
        <v>0.38333333333333336</v>
      </c>
      <c r="I1552" s="230" t="s">
        <v>513</v>
      </c>
      <c r="J1552" s="231" t="s">
        <v>141</v>
      </c>
      <c r="K1552" s="176" t="s">
        <v>1237</v>
      </c>
    </row>
    <row r="1553" spans="2:11" x14ac:dyDescent="0.25">
      <c r="B1553" s="235">
        <v>45077</v>
      </c>
      <c r="C1553" s="195">
        <v>1</v>
      </c>
      <c r="E1553" s="238">
        <v>0.29166666666666669</v>
      </c>
      <c r="F1553" s="204">
        <v>0.3263888888888889</v>
      </c>
      <c r="G1553" s="193">
        <f>IFERROR(IF(E1553&gt;F1553,((F1553+E376B376+1)-(E1553+#REF!))*24,HOUR(F1553-E1553)+MINUTE(F1553-E1553)/60),"")</f>
        <v>0.83333333333333337</v>
      </c>
      <c r="I1553" s="230" t="s">
        <v>513</v>
      </c>
      <c r="J1553" s="231" t="s">
        <v>141</v>
      </c>
    </row>
    <row r="1554" spans="2:11" x14ac:dyDescent="0.25">
      <c r="B1554" s="235">
        <v>45077</v>
      </c>
      <c r="C1554" s="195">
        <v>1</v>
      </c>
      <c r="E1554" s="238">
        <v>0.33680555555555558</v>
      </c>
      <c r="F1554" s="204">
        <v>0.34722222222222227</v>
      </c>
      <c r="G1554" s="193">
        <f>IFERROR(IF(E1554&gt;F1554,((F1554+E376B376+1)-(E1554+#REF!))*24,HOUR(F1554-E1554)+MINUTE(F1554-E1554)/60),"")</f>
        <v>0.25</v>
      </c>
      <c r="H1554" s="230" t="s">
        <v>158</v>
      </c>
      <c r="I1554" s="230" t="s">
        <v>509</v>
      </c>
      <c r="J1554" s="231" t="s">
        <v>495</v>
      </c>
      <c r="K1554" s="176" t="s">
        <v>1238</v>
      </c>
    </row>
    <row r="1555" spans="2:11" x14ac:dyDescent="0.25">
      <c r="B1555" s="235">
        <v>45077</v>
      </c>
      <c r="C1555" s="195">
        <v>1</v>
      </c>
      <c r="E1555" s="238">
        <v>0.35416666666666669</v>
      </c>
      <c r="F1555" s="204">
        <v>0.3576388888888889</v>
      </c>
      <c r="G1555" s="193">
        <f>IFERROR(IF(E1555&gt;F1555,((F1555+E376B376+1)-(E1555+#REF!))*24,HOUR(F1555-E1555)+MINUTE(F1555-E1555)/60),"")</f>
        <v>8.3333333333333329E-2</v>
      </c>
      <c r="H1555" s="230" t="s">
        <v>55</v>
      </c>
      <c r="I1555" s="230" t="s">
        <v>510</v>
      </c>
      <c r="J1555" s="231" t="s">
        <v>222</v>
      </c>
    </row>
    <row r="1556" spans="2:11" x14ac:dyDescent="0.25">
      <c r="B1556" s="235">
        <v>45077</v>
      </c>
      <c r="C1556" s="195">
        <v>1</v>
      </c>
      <c r="E1556" s="238">
        <v>0.36805555555555558</v>
      </c>
      <c r="F1556" s="204">
        <v>0.37916666666666665</v>
      </c>
      <c r="G1556" s="193">
        <f>IFERROR(IF(E1556&gt;F1556,((F1556+E376B376+1)-(E1556+#REF!))*24,HOUR(F1556-E1556)+MINUTE(F1556-E1556)/60),"")</f>
        <v>0.26666666666666666</v>
      </c>
      <c r="H1556" s="230" t="s">
        <v>147</v>
      </c>
      <c r="I1556" s="230" t="s">
        <v>511</v>
      </c>
      <c r="J1556" s="231" t="s">
        <v>517</v>
      </c>
    </row>
    <row r="1557" spans="2:11" x14ac:dyDescent="0.25">
      <c r="B1557" s="235">
        <v>45077</v>
      </c>
      <c r="C1557" s="195">
        <v>1</v>
      </c>
      <c r="E1557" s="238">
        <v>0.45555555555555555</v>
      </c>
      <c r="F1557" s="204">
        <v>0.46736111111111112</v>
      </c>
      <c r="G1557" s="193">
        <f>IFERROR(IF(E1557&gt;F1557,((F1557+E376B376+1)-(E1557+#REF!))*24,HOUR(F1557-E1557)+MINUTE(F1557-E1557)/60),"")</f>
        <v>0.28333333333333333</v>
      </c>
      <c r="H1557" s="230" t="s">
        <v>55</v>
      </c>
      <c r="I1557" s="230" t="s">
        <v>509</v>
      </c>
      <c r="J1557" s="231" t="s">
        <v>203</v>
      </c>
    </row>
    <row r="1558" spans="2:11" x14ac:dyDescent="0.25">
      <c r="B1558" s="235">
        <v>45077</v>
      </c>
      <c r="C1558" s="195">
        <v>1</v>
      </c>
      <c r="E1558" s="238">
        <v>0.52222222222222225</v>
      </c>
      <c r="F1558" s="204">
        <v>0.53333333333333333</v>
      </c>
      <c r="G1558" s="193">
        <f>IFERROR(IF(E1558&gt;F1558,((F1558+E376B376+1)-(E1558+#REF!))*24,HOUR(F1558-E1558)+MINUTE(F1558-E1558)/60),"")</f>
        <v>0.26666666666666666</v>
      </c>
      <c r="H1558" s="230" t="s">
        <v>55</v>
      </c>
      <c r="I1558" s="230" t="s">
        <v>509</v>
      </c>
      <c r="J1558" s="231" t="s">
        <v>203</v>
      </c>
    </row>
    <row r="1559" spans="2:11" x14ac:dyDescent="0.25">
      <c r="B1559" s="235">
        <v>45077</v>
      </c>
      <c r="C1559" s="195">
        <v>1</v>
      </c>
      <c r="E1559" s="238">
        <v>0.5708333333333333</v>
      </c>
      <c r="F1559" s="204">
        <v>0.57986111111111105</v>
      </c>
      <c r="G1559" s="193">
        <f>IFERROR(IF(E1559&gt;F1559,((F1559+E376B376+1)-(E1559+#REF!))*24,HOUR(F1559-E1559)+MINUTE(F1559-E1559)/60),"")</f>
        <v>0.21666666666666667</v>
      </c>
      <c r="H1559" s="230" t="s">
        <v>55</v>
      </c>
      <c r="I1559" s="230" t="s">
        <v>509</v>
      </c>
      <c r="J1559" s="231" t="s">
        <v>203</v>
      </c>
    </row>
    <row r="1560" spans="2:11" x14ac:dyDescent="0.25">
      <c r="B1560" s="235">
        <v>45077</v>
      </c>
      <c r="C1560" s="195">
        <v>1</v>
      </c>
      <c r="E1560" s="238">
        <v>0.60416666666666663</v>
      </c>
      <c r="F1560" s="204">
        <v>0.62152777777777779</v>
      </c>
      <c r="G1560" s="193">
        <f>IFERROR(IF(E1560&gt;F1560,((F1560+E376B376+1)-(E1560+#REF!))*24,HOUR(F1560-E1560)+MINUTE(F1560-E1560)/60),"")</f>
        <v>0.41666666666666669</v>
      </c>
      <c r="H1560" s="230" t="s">
        <v>55</v>
      </c>
      <c r="I1560" s="230" t="s">
        <v>509</v>
      </c>
      <c r="J1560" s="231" t="s">
        <v>114</v>
      </c>
    </row>
    <row r="1561" spans="2:11" x14ac:dyDescent="0.25">
      <c r="B1561" s="235">
        <v>45077</v>
      </c>
      <c r="C1561" s="195">
        <v>2</v>
      </c>
      <c r="E1561" s="238">
        <v>0.67361111111111116</v>
      </c>
      <c r="F1561" s="204">
        <v>0.6875</v>
      </c>
      <c r="G1561" s="193">
        <f>IFERROR(IF(E1561&gt;F1561,((F1561+E376B376+1)-(E1561+#REF!))*24,HOUR(F1561-E1561)+MINUTE(F1561-E1561)/60),"")</f>
        <v>0.33333333333333331</v>
      </c>
      <c r="H1561" s="230" t="s">
        <v>55</v>
      </c>
      <c r="I1561" s="230" t="s">
        <v>509</v>
      </c>
      <c r="J1561" s="231" t="s">
        <v>211</v>
      </c>
      <c r="K1561" s="176" t="s">
        <v>684</v>
      </c>
    </row>
    <row r="1562" spans="2:11" x14ac:dyDescent="0.25">
      <c r="B1562" s="235">
        <v>45077</v>
      </c>
      <c r="C1562" s="233">
        <v>2</v>
      </c>
      <c r="E1562" s="238">
        <v>0.6875</v>
      </c>
      <c r="F1562" s="204">
        <v>0.70833333333333337</v>
      </c>
      <c r="G1562" s="193">
        <f>IFERROR(IF(E1562&gt;F1562,((F1562+E376B376+1)-(E1562+#REF!))*24,HOUR(F1562-E1562)+MINUTE(F1562-E1562)/60),"")</f>
        <v>0.5</v>
      </c>
      <c r="H1562" s="230" t="s">
        <v>55</v>
      </c>
      <c r="I1562" s="230" t="s">
        <v>511</v>
      </c>
      <c r="J1562" s="231" t="s">
        <v>118</v>
      </c>
    </row>
    <row r="1563" spans="2:11" x14ac:dyDescent="0.25">
      <c r="B1563" s="235">
        <v>45077</v>
      </c>
      <c r="C1563" s="195">
        <v>2</v>
      </c>
      <c r="E1563" s="238">
        <v>0.79166666666666663</v>
      </c>
      <c r="F1563" s="204">
        <v>0.80555555555555547</v>
      </c>
      <c r="G1563" s="193">
        <f>IFERROR(IF(E1563&gt;F1563,((F1563+E376B376+1)-(E1563+#REF!))*24,HOUR(F1563-E1563)+MINUTE(F1563-E1563)/60),"")</f>
        <v>0.33333333333333331</v>
      </c>
      <c r="H1563" s="230" t="s">
        <v>55</v>
      </c>
      <c r="I1563" s="230" t="s">
        <v>511</v>
      </c>
      <c r="J1563" s="231" t="s">
        <v>203</v>
      </c>
    </row>
    <row r="1564" spans="2:11" x14ac:dyDescent="0.25">
      <c r="B1564" s="235">
        <v>45077</v>
      </c>
      <c r="C1564" s="195">
        <v>2</v>
      </c>
      <c r="E1564" s="238">
        <v>0.85069444444444453</v>
      </c>
      <c r="F1564" s="204">
        <v>0.87152777777777779</v>
      </c>
      <c r="G1564" s="193">
        <f>IFERROR(IF(E1564&gt;F1564,((F1564+E376B376+1)-(E1564+#REF!))*24,HOUR(F1564-E1564)+MINUTE(F1564-E1564)/60),"")</f>
        <v>0.5</v>
      </c>
      <c r="H1564" s="230" t="s">
        <v>204</v>
      </c>
      <c r="I1564" s="230" t="s">
        <v>509</v>
      </c>
      <c r="J1564" s="231" t="s">
        <v>200</v>
      </c>
      <c r="K1564" s="176" t="s">
        <v>1244</v>
      </c>
    </row>
    <row r="1565" spans="2:11" x14ac:dyDescent="0.25">
      <c r="B1565" s="235">
        <v>45077</v>
      </c>
      <c r="C1565" s="233">
        <v>2</v>
      </c>
      <c r="E1565" s="238">
        <v>0.9375</v>
      </c>
      <c r="F1565" s="204">
        <v>0.95486111111111116</v>
      </c>
      <c r="G1565" s="193">
        <f>IFERROR(IF(E1565&gt;F1565,((F1565+E376B376+1)-(E1565+#REF!))*24,HOUR(F1565-E1565)+MINUTE(F1565-E1565)/60),"")</f>
        <v>0.41666666666666669</v>
      </c>
      <c r="H1565" s="230" t="s">
        <v>55</v>
      </c>
      <c r="I1565" s="230" t="s">
        <v>511</v>
      </c>
      <c r="J1565" s="231" t="s">
        <v>203</v>
      </c>
    </row>
    <row r="1566" spans="2:11" x14ac:dyDescent="0.25">
      <c r="B1566" s="235">
        <v>45077</v>
      </c>
      <c r="C1566" s="195">
        <v>3</v>
      </c>
      <c r="E1566" s="238">
        <v>2.7777777777777776E-2</v>
      </c>
      <c r="F1566" s="204">
        <v>4.5138888888888888E-2</v>
      </c>
      <c r="G1566" s="193">
        <f>IFERROR(IF(E1566&gt;F1566,((F1566+E376B376+1)-(E1566+#REF!))*24,HOUR(F1566-E1566)+MINUTE(F1566-E1566)/60),"")</f>
        <v>0.41666666666666669</v>
      </c>
      <c r="H1566" s="230" t="s">
        <v>55</v>
      </c>
      <c r="I1566" s="230" t="s">
        <v>509</v>
      </c>
      <c r="J1566" s="231" t="s">
        <v>211</v>
      </c>
    </row>
    <row r="1567" spans="2:11" x14ac:dyDescent="0.25">
      <c r="B1567" s="235">
        <v>45077</v>
      </c>
      <c r="C1567" s="195">
        <v>3</v>
      </c>
      <c r="E1567" s="238">
        <v>6.7361111111111108E-2</v>
      </c>
      <c r="F1567" s="204">
        <v>7.8472222222222221E-2</v>
      </c>
      <c r="G1567" s="193">
        <f>IFERROR(IF(E1567&gt;F1567,((F1567+E376B376+1)-(E1567+#REF!))*24,HOUR(F1567-E1567)+MINUTE(F1567-E1567)/60),"")</f>
        <v>0.26666666666666666</v>
      </c>
      <c r="H1567" s="230" t="s">
        <v>55</v>
      </c>
      <c r="I1567" s="230" t="s">
        <v>511</v>
      </c>
      <c r="J1567" s="231" t="s">
        <v>203</v>
      </c>
    </row>
    <row r="1568" spans="2:11" x14ac:dyDescent="0.25">
      <c r="B1568" s="235">
        <v>45077</v>
      </c>
      <c r="C1568" s="195">
        <v>3</v>
      </c>
      <c r="E1568" s="238">
        <v>0.19652777777777777</v>
      </c>
      <c r="F1568" s="204">
        <v>0.20972222222222223</v>
      </c>
      <c r="G1568" s="193">
        <f>IFERROR(IF(E1568&gt;F1568,((F1568+E376B376+1)-(E1568+#REF!))*24,HOUR(F1568-E1568)+MINUTE(F1568-E1568)/60),"")</f>
        <v>0.31666666666666665</v>
      </c>
      <c r="H1568" s="230" t="s">
        <v>55</v>
      </c>
      <c r="I1568" s="230" t="s">
        <v>511</v>
      </c>
      <c r="J1568" s="231" t="s">
        <v>203</v>
      </c>
    </row>
    <row r="1569" spans="2:11" x14ac:dyDescent="0.25">
      <c r="B1569" s="235">
        <v>45077</v>
      </c>
      <c r="C1569" s="195">
        <v>3</v>
      </c>
      <c r="E1569" s="238">
        <v>0.22500000000000001</v>
      </c>
      <c r="F1569" s="204">
        <v>0.23958333333333334</v>
      </c>
      <c r="G1569" s="193">
        <f>IFERROR(IF(E1569&gt;F1569,((F1569+E376B376+1)-(E1569+#REF!))*24,HOUR(F1569-E1569)+MINUTE(F1569-E1569)/60),"")</f>
        <v>0.35</v>
      </c>
      <c r="H1569" s="230" t="s">
        <v>55</v>
      </c>
      <c r="I1569" s="230" t="s">
        <v>509</v>
      </c>
      <c r="J1569" s="231" t="s">
        <v>211</v>
      </c>
    </row>
    <row r="1570" spans="2:11" x14ac:dyDescent="0.25">
      <c r="B1570" s="235">
        <v>45077</v>
      </c>
      <c r="C1570" s="195">
        <v>3</v>
      </c>
      <c r="E1570" s="238">
        <v>0.26041666666666669</v>
      </c>
      <c r="F1570" s="204">
        <v>0.27291666666666664</v>
      </c>
      <c r="G1570" s="193">
        <f>IFERROR(IF(E1570&gt;F1570,((F1570+E376B376+1)-(E1570+#REF!))*24,HOUR(F1570-E1570)+MINUTE(F1570-E1570)/60),"")</f>
        <v>0.3</v>
      </c>
      <c r="H1570" s="230" t="s">
        <v>55</v>
      </c>
      <c r="I1570" s="230" t="s">
        <v>511</v>
      </c>
      <c r="J1570" s="231" t="s">
        <v>203</v>
      </c>
    </row>
    <row r="1571" spans="2:11" x14ac:dyDescent="0.25">
      <c r="B1571" s="235">
        <v>45077</v>
      </c>
      <c r="C1571" s="195">
        <v>3</v>
      </c>
      <c r="E1571" s="238">
        <v>0.27083333333333331</v>
      </c>
      <c r="F1571" s="204">
        <v>0.29166666666666669</v>
      </c>
      <c r="G1571" s="193">
        <f>IFERROR(IF(E1571&gt;F1571,((F1571+E376B376+1)-(E1571+#REF!))*24,HOUR(F1571-E1571)+MINUTE(F1571-E1571)/60),"")</f>
        <v>0.5</v>
      </c>
      <c r="H1571" s="230" t="s">
        <v>55</v>
      </c>
      <c r="I1571" s="230" t="s">
        <v>509</v>
      </c>
      <c r="J1571" s="231" t="s">
        <v>114</v>
      </c>
    </row>
    <row r="1572" spans="2:11" x14ac:dyDescent="0.25">
      <c r="B1572" s="235">
        <v>45078</v>
      </c>
      <c r="C1572" s="195">
        <v>1</v>
      </c>
      <c r="E1572" s="238">
        <v>0.29166666666666669</v>
      </c>
      <c r="F1572" s="204">
        <v>0.625</v>
      </c>
      <c r="G1572" s="193">
        <f>IFERROR(IF(E1572&gt;F1572,((F1572+E376B376+1)-(E1572+#REF!))*24,HOUR(F1572-E1572)+MINUTE(F1572-E1572)/60),"")</f>
        <v>8</v>
      </c>
      <c r="I1572" s="230" t="s">
        <v>156</v>
      </c>
      <c r="J1572" s="339" t="s">
        <v>149</v>
      </c>
    </row>
    <row r="1573" spans="2:11" x14ac:dyDescent="0.25">
      <c r="B1573" s="235">
        <v>45078</v>
      </c>
      <c r="C1573" s="195">
        <v>2</v>
      </c>
      <c r="E1573" s="238">
        <v>0.625</v>
      </c>
      <c r="F1573" s="204">
        <v>0.95833333333333337</v>
      </c>
      <c r="G1573" s="193">
        <f>IFERROR(IF(E1573&gt;F1573,((F1573+E376B376+1)-(E1573+#REF!))*24,HOUR(F1573-E1573)+MINUTE(F1573-E1573)/60),"")</f>
        <v>8</v>
      </c>
      <c r="I1573" s="230" t="s">
        <v>156</v>
      </c>
      <c r="J1573" s="339" t="s">
        <v>149</v>
      </c>
    </row>
    <row r="1574" spans="2:11" x14ac:dyDescent="0.25">
      <c r="B1574" s="235">
        <v>45078</v>
      </c>
      <c r="C1574" s="195">
        <v>3</v>
      </c>
      <c r="E1574" s="204">
        <v>0.95833333333333337</v>
      </c>
      <c r="F1574" s="238">
        <v>0.9784722222222223</v>
      </c>
      <c r="G1574" s="193">
        <f>IFERROR(IF(E1574&gt;F1574,((F1574+E376B376+1)-(E1574+#REF!))*24,HOUR(F1574-E1574)+MINUTE(F1574-E1574)/60),"")</f>
        <v>0.48333333333333334</v>
      </c>
      <c r="I1574" s="230" t="s">
        <v>156</v>
      </c>
      <c r="J1574" s="339" t="s">
        <v>149</v>
      </c>
    </row>
    <row r="1575" spans="2:11" x14ac:dyDescent="0.25">
      <c r="B1575" s="235">
        <v>45078</v>
      </c>
      <c r="C1575" s="195">
        <v>3</v>
      </c>
      <c r="E1575" s="238">
        <v>2.361111111111111E-2</v>
      </c>
      <c r="F1575" s="204">
        <v>51.034722222222221</v>
      </c>
      <c r="G1575" s="193">
        <f>IFERROR(IF(E1575&gt;F1575,((F1575+E376B376+1)-(E1575+#REF!))*24,HOUR(F1575-E1575)+MINUTE(F1575-E1575)/60),"")</f>
        <v>0.26666666666666666</v>
      </c>
      <c r="H1575" s="230" t="s">
        <v>55</v>
      </c>
      <c r="I1575" s="330"/>
      <c r="J1575" s="231" t="s">
        <v>203</v>
      </c>
      <c r="K1575" s="330" t="s">
        <v>1190</v>
      </c>
    </row>
    <row r="1576" spans="2:11" x14ac:dyDescent="0.25">
      <c r="B1576" s="235">
        <v>45078</v>
      </c>
      <c r="C1576" s="233">
        <v>3</v>
      </c>
      <c r="E1576" s="238">
        <v>0.12152777777777778</v>
      </c>
      <c r="F1576" s="204">
        <v>0.14097222222222222</v>
      </c>
      <c r="G1576" s="193">
        <f>IFERROR(IF(E1576&gt;F1576,((F1576+E376B376+1)-(E1576+#REF!))*24,HOUR(F1576-E1576)+MINUTE(F1576-E1576)/60),"")</f>
        <v>0.46666666666666667</v>
      </c>
      <c r="H1576" s="230" t="s">
        <v>55</v>
      </c>
      <c r="I1576" s="330"/>
      <c r="J1576" s="231" t="s">
        <v>203</v>
      </c>
      <c r="K1576" s="330" t="s">
        <v>1190</v>
      </c>
    </row>
    <row r="1577" spans="2:11" x14ac:dyDescent="0.25">
      <c r="B1577" s="235">
        <v>45078</v>
      </c>
      <c r="C1577" s="233">
        <v>3</v>
      </c>
      <c r="E1577" s="238">
        <v>0.15347222222222223</v>
      </c>
      <c r="F1577" s="204">
        <v>0.16388888888888889</v>
      </c>
      <c r="G1577" s="193">
        <f>IFERROR(IF(E1577&gt;F1577,((F1577+E376B376+1)-(E1577+#REF!))*24,HOUR(F1577-E1577)+MINUTE(F1577-E1577)/60),"")</f>
        <v>0.25</v>
      </c>
      <c r="H1577" s="230" t="s">
        <v>55</v>
      </c>
      <c r="I1577" s="330"/>
      <c r="J1577" s="231" t="s">
        <v>203</v>
      </c>
      <c r="K1577" s="330" t="s">
        <v>1190</v>
      </c>
    </row>
    <row r="1578" spans="2:11" x14ac:dyDescent="0.25">
      <c r="B1578" s="235">
        <v>45078</v>
      </c>
      <c r="C1578" s="233">
        <v>3</v>
      </c>
      <c r="E1578" s="238">
        <v>0.26666666666666666</v>
      </c>
      <c r="F1578" s="204">
        <v>0.27708333333333335</v>
      </c>
      <c r="G1578" s="193">
        <f>IFERROR(IF(E1578&gt;F1578,((F1578+E376B376+1)-(E1578+#REF!))*24,HOUR(F1578-E1578)+MINUTE(F1578-E1578)/60),"")</f>
        <v>0.25</v>
      </c>
      <c r="H1578" s="230" t="s">
        <v>55</v>
      </c>
      <c r="I1578" s="330"/>
      <c r="J1578" s="231" t="s">
        <v>203</v>
      </c>
      <c r="K1578" s="330" t="s">
        <v>1190</v>
      </c>
    </row>
    <row r="1579" spans="2:11" x14ac:dyDescent="0.25">
      <c r="B1579" s="235">
        <v>45078</v>
      </c>
      <c r="C1579" s="233">
        <v>3</v>
      </c>
      <c r="E1579" s="238">
        <v>0.27708333333333335</v>
      </c>
      <c r="F1579" s="204">
        <v>0.29166666666666669</v>
      </c>
      <c r="G1579" s="193">
        <f>IFERROR(IF(E1579&gt;F1579,((F1579+E376B376+1)-(E1579+#REF!))*24,HOUR(F1579-E1579)+MINUTE(F1579-E1579)/60),"")</f>
        <v>0.35</v>
      </c>
      <c r="H1579" s="230" t="s">
        <v>55</v>
      </c>
      <c r="I1579" s="230" t="s">
        <v>509</v>
      </c>
      <c r="J1579" s="231" t="s">
        <v>114</v>
      </c>
    </row>
    <row r="1580" spans="2:11" x14ac:dyDescent="0.25">
      <c r="B1580" s="235">
        <v>45079</v>
      </c>
      <c r="C1580" s="195">
        <v>1</v>
      </c>
      <c r="E1580" s="238">
        <v>0.33333333333333331</v>
      </c>
      <c r="F1580" s="204">
        <v>0.34722222222222227</v>
      </c>
      <c r="G1580" s="193">
        <f>IFERROR(IF(E1580&gt;F1580,((F1580+E376B376+1)-(E1580+#REF!))*24,HOUR(F1580-E1580)+MINUTE(F1580-E1580)/60),"")</f>
        <v>0.33333333333333331</v>
      </c>
      <c r="H1580" s="230" t="s">
        <v>55</v>
      </c>
      <c r="I1580" s="230" t="s">
        <v>511</v>
      </c>
      <c r="J1580" s="231" t="s">
        <v>203</v>
      </c>
    </row>
    <row r="1581" spans="2:11" x14ac:dyDescent="0.25">
      <c r="B1581" s="235">
        <v>45079</v>
      </c>
      <c r="C1581" s="233">
        <v>1</v>
      </c>
      <c r="E1581" s="238">
        <v>0.40277777777777773</v>
      </c>
      <c r="F1581" s="204">
        <v>0.41319444444444442</v>
      </c>
      <c r="G1581" s="193">
        <f>IFERROR(IF(E1581&gt;F1581,((F1581+E376B376+1)-(E1581+#REF!))*24,HOUR(F1581-E1581)+MINUTE(F1581-E1581)/60),"")</f>
        <v>0.25</v>
      </c>
      <c r="H1581" s="230" t="s">
        <v>55</v>
      </c>
      <c r="I1581" s="230" t="s">
        <v>511</v>
      </c>
      <c r="J1581" s="231" t="s">
        <v>203</v>
      </c>
    </row>
    <row r="1582" spans="2:11" x14ac:dyDescent="0.25">
      <c r="B1582" s="235">
        <v>45079</v>
      </c>
      <c r="C1582" s="233">
        <v>1</v>
      </c>
      <c r="E1582" s="238">
        <v>0.54861111111111105</v>
      </c>
      <c r="F1582" s="204">
        <v>0.56944444444444442</v>
      </c>
      <c r="G1582" s="193">
        <f>IFERROR(IF(E1582&gt;F1582,((F1582+E376B376+1)-(E1582+#REF!))*24,HOUR(F1582-E1582)+MINUTE(F1582-E1582)/60),"")</f>
        <v>0.5</v>
      </c>
      <c r="H1582" s="230" t="s">
        <v>55</v>
      </c>
      <c r="I1582" s="230" t="s">
        <v>509</v>
      </c>
      <c r="J1582" s="231" t="s">
        <v>211</v>
      </c>
    </row>
    <row r="1583" spans="2:11" x14ac:dyDescent="0.25">
      <c r="B1583" s="235">
        <v>45079</v>
      </c>
      <c r="C1583" s="233">
        <v>1</v>
      </c>
      <c r="E1583" s="238">
        <v>0.56944444444444442</v>
      </c>
      <c r="F1583" s="204">
        <v>0.61805555555555558</v>
      </c>
      <c r="G1583" s="193">
        <f>IFERROR(IF(E1583&gt;F1583,((F1583+E376B376+1)-(E1583+#REF!))*24,HOUR(F1583-E1583)+MINUTE(F1583-E1583)/60),"")</f>
        <v>1.1666666666666667</v>
      </c>
      <c r="H1583" s="230" t="s">
        <v>55</v>
      </c>
      <c r="I1583" s="230" t="s">
        <v>513</v>
      </c>
      <c r="J1583" s="231"/>
      <c r="K1583" s="176" t="s">
        <v>1246</v>
      </c>
    </row>
    <row r="1584" spans="2:11" x14ac:dyDescent="0.25">
      <c r="B1584" s="235">
        <v>45079</v>
      </c>
      <c r="C1584" s="195">
        <v>2</v>
      </c>
      <c r="E1584" s="238">
        <v>0.625</v>
      </c>
      <c r="F1584" s="204">
        <v>0.64930555555555558</v>
      </c>
      <c r="G1584" s="193">
        <f>IFERROR(IF(E1584&gt;F1584,((F1584+E376B376+1)-(E1584+#REF!))*24,HOUR(F1584-E1584)+MINUTE(F1584-E1584)/60),"")</f>
        <v>0.58333333333333337</v>
      </c>
      <c r="H1584" s="230" t="s">
        <v>55</v>
      </c>
      <c r="I1584" s="230" t="s">
        <v>509</v>
      </c>
      <c r="J1584" s="231" t="s">
        <v>211</v>
      </c>
      <c r="K1584" s="176" t="s">
        <v>684</v>
      </c>
    </row>
    <row r="1585" spans="2:11" x14ac:dyDescent="0.25">
      <c r="B1585" s="235">
        <v>45079</v>
      </c>
      <c r="C1585" s="195">
        <v>2</v>
      </c>
      <c r="E1585" s="238">
        <v>0.72569444444444453</v>
      </c>
      <c r="F1585" s="204">
        <v>0.73611111111111116</v>
      </c>
      <c r="G1585" s="193">
        <f>IFERROR(IF(E1585&gt;F1585,((F1585+E376B376+1)-(E1585+#REF!))*24,HOUR(F1585-E1585)+MINUTE(F1585-E1585)/60),"")</f>
        <v>0.25</v>
      </c>
      <c r="H1585" s="230" t="s">
        <v>55</v>
      </c>
      <c r="I1585" s="230" t="s">
        <v>511</v>
      </c>
      <c r="J1585" s="231" t="s">
        <v>203</v>
      </c>
    </row>
    <row r="1586" spans="2:11" x14ac:dyDescent="0.25">
      <c r="B1586" s="235">
        <v>45079</v>
      </c>
      <c r="C1586" s="195">
        <v>2</v>
      </c>
      <c r="E1586" s="238">
        <v>0.76736111111111116</v>
      </c>
      <c r="F1586" s="204">
        <v>0.77777777777777779</v>
      </c>
      <c r="G1586" s="193">
        <f>IFERROR(IF(E1586&gt;F1586,((F1586+E376B376+1)-(E1586+#REF!))*24,HOUR(F1586-E1586)+MINUTE(F1586-E1586)/60),"")</f>
        <v>0.25</v>
      </c>
      <c r="H1586" s="230" t="s">
        <v>55</v>
      </c>
      <c r="I1586" s="230" t="s">
        <v>511</v>
      </c>
      <c r="J1586" s="231" t="s">
        <v>203</v>
      </c>
    </row>
    <row r="1587" spans="2:11" x14ac:dyDescent="0.25">
      <c r="B1587" s="235">
        <v>45079</v>
      </c>
      <c r="C1587" s="233">
        <v>2</v>
      </c>
      <c r="E1587" s="238">
        <v>0.79166666666666663</v>
      </c>
      <c r="F1587" s="204">
        <v>0.80555555555555547</v>
      </c>
      <c r="G1587" s="193">
        <f>IFERROR(IF(E1587&gt;F1587,((F1587+E376B376+1)-(E1587+#REF!))*24,HOUR(F1587-E1587)+MINUTE(F1587-E1587)/60),"")</f>
        <v>0.33333333333333331</v>
      </c>
      <c r="H1587" s="230" t="s">
        <v>55</v>
      </c>
      <c r="I1587" s="230" t="s">
        <v>511</v>
      </c>
      <c r="J1587" s="231" t="s">
        <v>203</v>
      </c>
    </row>
    <row r="1588" spans="2:11" x14ac:dyDescent="0.25">
      <c r="B1588" s="235">
        <v>45079</v>
      </c>
      <c r="C1588" s="195">
        <v>2</v>
      </c>
      <c r="E1588" s="238">
        <v>0.91666666666666663</v>
      </c>
      <c r="F1588" s="204">
        <v>0.92708333333333337</v>
      </c>
      <c r="G1588" s="193">
        <f>IFERROR(IF(E1588&gt;F1588,((F1588+E376B376+1)-(E1588+#REF!))*24,HOUR(F1588-E1588)+MINUTE(F1588-E1588)/60),"")</f>
        <v>0.25</v>
      </c>
      <c r="H1588" s="230" t="s">
        <v>55</v>
      </c>
      <c r="I1588" s="230" t="s">
        <v>509</v>
      </c>
      <c r="J1588" s="231" t="s">
        <v>211</v>
      </c>
      <c r="K1588" s="176" t="s">
        <v>684</v>
      </c>
    </row>
    <row r="1589" spans="2:11" x14ac:dyDescent="0.25">
      <c r="B1589" s="235">
        <v>45079</v>
      </c>
      <c r="C1589" s="195">
        <v>2</v>
      </c>
      <c r="E1589" s="238">
        <v>0.94166666666666676</v>
      </c>
      <c r="F1589" s="204">
        <v>0.95208333333333339</v>
      </c>
      <c r="G1589" s="193">
        <f>IFERROR(IF(E1589&gt;F1589,((F1589+E376B376+1)-(E1589+#REF!))*24,HOUR(F1589-E1589)+MINUTE(F1589-E1589)/60),"")</f>
        <v>0.25</v>
      </c>
      <c r="H1589" s="230" t="s">
        <v>55</v>
      </c>
      <c r="I1589" s="230" t="s">
        <v>509</v>
      </c>
      <c r="J1589" s="231" t="s">
        <v>114</v>
      </c>
    </row>
    <row r="1590" spans="2:11" x14ac:dyDescent="0.25">
      <c r="B1590" s="235">
        <v>45079</v>
      </c>
      <c r="C1590" s="195">
        <v>2</v>
      </c>
      <c r="D1590" s="233"/>
      <c r="E1590" s="238">
        <v>0.95208333333333339</v>
      </c>
      <c r="F1590" s="204">
        <v>0.95833333333333337</v>
      </c>
      <c r="G1590" s="193">
        <f>IFERROR(IF(E1590&gt;F1590,((F1590+E376B376+1)-(E1590+#REF!))*24,HOUR(F1590-E1590)+MINUTE(F1590-E1590)/60),"")</f>
        <v>0.15</v>
      </c>
      <c r="I1590" s="230" t="s">
        <v>513</v>
      </c>
      <c r="J1590" s="231" t="s">
        <v>229</v>
      </c>
    </row>
    <row r="1591" spans="2:11" x14ac:dyDescent="0.25">
      <c r="B1591" s="235">
        <v>45079</v>
      </c>
      <c r="C1591" s="195">
        <v>3</v>
      </c>
      <c r="E1591" s="238">
        <v>0.95833333333333337</v>
      </c>
      <c r="F1591" s="204">
        <v>0.29166666666666669</v>
      </c>
      <c r="G1591" s="193" t="str">
        <f>IFERROR(IF(E1591&gt;F1591,((F1591+E376B376+1)-(E1591+#REF!))*24,HOUR(F1591-E1591)+MINUTE(F1591-E1591)/60),"")</f>
        <v/>
      </c>
      <c r="I1591" s="230" t="s">
        <v>513</v>
      </c>
      <c r="J1591" s="231" t="s">
        <v>229</v>
      </c>
    </row>
    <row r="1592" spans="2:11" x14ac:dyDescent="0.25">
      <c r="B1592" s="235">
        <v>45080</v>
      </c>
      <c r="C1592" s="195">
        <v>1</v>
      </c>
      <c r="E1592" s="238">
        <v>0.29166666666666669</v>
      </c>
      <c r="F1592" s="204">
        <v>0.625</v>
      </c>
      <c r="G1592" s="193">
        <f>IFERROR(IF(E1592&gt;F1592,((F1592+E376B376+1)-(E1592+#REF!))*24,HOUR(F1592-E1592)+MINUTE(F1592-E1592)/60),"")</f>
        <v>8</v>
      </c>
      <c r="H1592" s="230" t="s">
        <v>158</v>
      </c>
      <c r="I1592" s="230" t="s">
        <v>509</v>
      </c>
      <c r="J1592" s="231" t="s">
        <v>141</v>
      </c>
    </row>
    <row r="1593" spans="2:11" x14ac:dyDescent="0.25">
      <c r="B1593" s="235">
        <v>45080</v>
      </c>
      <c r="C1593" s="195">
        <v>2</v>
      </c>
      <c r="E1593" s="238">
        <v>0.625</v>
      </c>
      <c r="F1593" s="204">
        <v>0.95833333333333337</v>
      </c>
      <c r="G1593" s="193">
        <f>IFERROR(IF(E1593&gt;F1593,((F1593+E376B376+1)-(E1593+#REF!))*24,HOUR(F1593-E1593)+MINUTE(F1593-E1593)/60),"")</f>
        <v>8</v>
      </c>
      <c r="I1593" s="230" t="s">
        <v>509</v>
      </c>
      <c r="J1593" s="231" t="s">
        <v>141</v>
      </c>
    </row>
    <row r="1594" spans="2:11" x14ac:dyDescent="0.25">
      <c r="B1594" s="235">
        <v>45080</v>
      </c>
      <c r="C1594" s="195">
        <v>3</v>
      </c>
      <c r="E1594" s="238">
        <v>0.95833333333333337</v>
      </c>
      <c r="F1594" s="204">
        <v>0.29166666666666669</v>
      </c>
      <c r="G1594" s="193" t="str">
        <f>IFERROR(IF(E1594&gt;F1594,((F1594+E376B376+1)-(E1594+#REF!))*24,HOUR(F1594-E1594)+MINUTE(F1594-E1594)/60),"")</f>
        <v/>
      </c>
      <c r="I1594" s="230" t="s">
        <v>509</v>
      </c>
      <c r="J1594" s="231" t="s">
        <v>141</v>
      </c>
    </row>
    <row r="1595" spans="2:11" x14ac:dyDescent="0.25">
      <c r="B1595" s="235">
        <v>45081</v>
      </c>
      <c r="C1595" s="195">
        <v>1</v>
      </c>
      <c r="E1595" s="238">
        <v>0.29166666666666669</v>
      </c>
      <c r="F1595" s="204">
        <v>0.625</v>
      </c>
      <c r="G1595" s="193">
        <f>IFERROR(IF(E1595&gt;F1595,((F1595+E376B376+1)-(E1595+#REF!))*24,HOUR(F1595-E1595)+MINUTE(F1595-E1595)/60),"")</f>
        <v>8</v>
      </c>
      <c r="I1595" s="230" t="s">
        <v>509</v>
      </c>
      <c r="J1595" s="231" t="s">
        <v>141</v>
      </c>
    </row>
    <row r="1596" spans="2:11" x14ac:dyDescent="0.25">
      <c r="B1596" s="235">
        <v>45081</v>
      </c>
      <c r="C1596" s="195">
        <v>2</v>
      </c>
      <c r="E1596" s="238">
        <v>0.625</v>
      </c>
      <c r="F1596" s="204">
        <v>0.95833333333333337</v>
      </c>
      <c r="G1596" s="193">
        <f>IFERROR(IF(E1596&gt;F1596,((F1596+E376B376+1)-(E1596+#REF!))*24,HOUR(F1596-E1596)+MINUTE(F1596-E1596)/60),"")</f>
        <v>8</v>
      </c>
      <c r="I1596" s="230" t="s">
        <v>509</v>
      </c>
      <c r="J1596" s="231" t="s">
        <v>141</v>
      </c>
    </row>
    <row r="1597" spans="2:11" x14ac:dyDescent="0.25">
      <c r="B1597" s="235">
        <v>45081</v>
      </c>
      <c r="C1597" s="195">
        <v>3</v>
      </c>
      <c r="E1597" s="238">
        <v>0.95833333333333337</v>
      </c>
      <c r="F1597" s="204">
        <v>0.29166666666666669</v>
      </c>
      <c r="G1597" s="193" t="str">
        <f>IFERROR(IF(E1597&gt;F1597,((F1597+E376B376+1)-(E1597+#REF!))*24,HOUR(F1597-E1597)+MINUTE(F1597-E1597)/60),"")</f>
        <v/>
      </c>
      <c r="I1597" s="230" t="s">
        <v>509</v>
      </c>
      <c r="J1597" s="231" t="s">
        <v>141</v>
      </c>
    </row>
    <row r="1598" spans="2:11" x14ac:dyDescent="0.25">
      <c r="B1598" s="235">
        <v>45082</v>
      </c>
      <c r="C1598" s="195">
        <v>1</v>
      </c>
      <c r="E1598" s="238">
        <v>0.29166666666666669</v>
      </c>
      <c r="F1598" s="204">
        <v>0.625</v>
      </c>
      <c r="G1598" s="193">
        <f>IFERROR(IF(E1598&gt;F1598,((F1598+E376B376+1)-(E1598+#REF!))*24,HOUR(F1598-E1598)+MINUTE(F1598-E1598)/60),"")</f>
        <v>8</v>
      </c>
      <c r="I1598" s="230" t="s">
        <v>509</v>
      </c>
      <c r="J1598" s="231" t="s">
        <v>141</v>
      </c>
    </row>
    <row r="1599" spans="2:11" x14ac:dyDescent="0.25">
      <c r="B1599" s="235">
        <v>45082</v>
      </c>
      <c r="C1599" s="195">
        <v>2</v>
      </c>
      <c r="E1599" s="238">
        <v>0.625</v>
      </c>
      <c r="F1599" s="204">
        <v>0.67361111111111116</v>
      </c>
      <c r="G1599" s="193">
        <f>IFERROR(IF(E1599&gt;F1599,((F1599+E376B376+1)-(E1599+#REF!))*24,HOUR(F1599-E1599)+MINUTE(F1599-E1599)/60),"")</f>
        <v>1.1666666666666667</v>
      </c>
      <c r="I1599" s="230" t="s">
        <v>509</v>
      </c>
      <c r="J1599" s="231" t="s">
        <v>141</v>
      </c>
    </row>
    <row r="1600" spans="2:11" s="233" customFormat="1" x14ac:dyDescent="0.25">
      <c r="B1600" s="235">
        <v>45082</v>
      </c>
      <c r="C1600" s="233">
        <v>2</v>
      </c>
      <c r="E1600" s="238">
        <v>0.69444444444444453</v>
      </c>
      <c r="F1600" s="204">
        <v>0.7055555555555556</v>
      </c>
      <c r="G1600" s="193">
        <f>IFERROR(IF(E1600&gt;F1600,((F1600+E376B376+1)-(E1600+#REF!))*24,HOUR(F1600-E1600)+MINUTE(F1600-E1600)/60),"")</f>
        <v>0.26666666666666666</v>
      </c>
      <c r="H1600" s="230" t="s">
        <v>55</v>
      </c>
      <c r="I1600" s="230" t="s">
        <v>511</v>
      </c>
      <c r="J1600" s="231" t="s">
        <v>203</v>
      </c>
      <c r="K1600" s="176"/>
    </row>
    <row r="1601" spans="2:11" x14ac:dyDescent="0.25">
      <c r="B1601" s="235">
        <v>45082</v>
      </c>
      <c r="C1601" s="233">
        <v>2</v>
      </c>
      <c r="E1601" s="238">
        <v>0.76458333333333339</v>
      </c>
      <c r="F1601" s="204">
        <v>0.77847222222222223</v>
      </c>
      <c r="G1601" s="193">
        <f>IFERROR(IF(E1601&gt;F1601,((F1601+E376B376+1)-(E1601+#REF!))*24,HOUR(F1601-E1601)+MINUTE(F1601-E1601)/60),"")</f>
        <v>0.33333333333333331</v>
      </c>
      <c r="H1601" s="230" t="s">
        <v>55</v>
      </c>
      <c r="I1601" s="230" t="s">
        <v>511</v>
      </c>
      <c r="J1601" s="231" t="s">
        <v>203</v>
      </c>
    </row>
    <row r="1602" spans="2:11" x14ac:dyDescent="0.25">
      <c r="B1602" s="235">
        <v>45082</v>
      </c>
      <c r="C1602" s="233">
        <v>2</v>
      </c>
      <c r="E1602" s="238">
        <v>0.94027777777777777</v>
      </c>
      <c r="F1602" s="204">
        <v>0.95833333333333337</v>
      </c>
      <c r="G1602" s="193">
        <f>IFERROR(IF(E1602&gt;F1602,((F1602+E376B376+1)-(E1602+#REF!))*24,HOUR(F1602-E1602)+MINUTE(F1602-E1602)/60),"")</f>
        <v>0.43333333333333335</v>
      </c>
      <c r="H1602" s="230" t="s">
        <v>55</v>
      </c>
      <c r="I1602" s="230" t="s">
        <v>509</v>
      </c>
      <c r="J1602" s="231" t="s">
        <v>114</v>
      </c>
    </row>
    <row r="1603" spans="2:11" x14ac:dyDescent="0.25">
      <c r="B1603" s="235">
        <v>45082</v>
      </c>
      <c r="C1603" s="195">
        <v>3</v>
      </c>
      <c r="E1603" s="238">
        <v>0.95833333333333337</v>
      </c>
      <c r="F1603" s="204">
        <v>0.97013888888888899</v>
      </c>
      <c r="G1603" s="193">
        <f>IFERROR(IF(E1603&gt;F1603,((F1603+E376B376+1)-(E1603+#REF!))*24,HOUR(F1603-E1603)+MINUTE(F1603-E1603)/60),"")</f>
        <v>0.28333333333333333</v>
      </c>
      <c r="H1603" s="230" t="s">
        <v>55</v>
      </c>
      <c r="I1603" s="230" t="s">
        <v>509</v>
      </c>
      <c r="J1603" s="231" t="s">
        <v>114</v>
      </c>
    </row>
    <row r="1604" spans="2:11" x14ac:dyDescent="0.25">
      <c r="B1604" s="235">
        <v>45082</v>
      </c>
      <c r="C1604" s="233">
        <v>3</v>
      </c>
      <c r="E1604" s="238">
        <v>2.0833333333333332E-2</v>
      </c>
      <c r="F1604" s="204">
        <v>3.1944444444444449E-2</v>
      </c>
      <c r="G1604" s="193">
        <f>IFERROR(IF(E1604&gt;F1604,((F1604+E376B376+1)-(E1604+#REF!))*24,HOUR(F1604-E1604)+MINUTE(F1604-E1604)/60),"")</f>
        <v>0.26666666666666666</v>
      </c>
      <c r="H1604" s="230" t="s">
        <v>55</v>
      </c>
      <c r="I1604" s="230" t="s">
        <v>511</v>
      </c>
      <c r="J1604" s="231" t="s">
        <v>203</v>
      </c>
    </row>
    <row r="1605" spans="2:11" x14ac:dyDescent="0.25">
      <c r="B1605" s="235">
        <v>45082</v>
      </c>
      <c r="C1605" s="233">
        <v>3</v>
      </c>
      <c r="E1605" s="238">
        <v>0.27083333333333331</v>
      </c>
      <c r="F1605" s="204">
        <v>0.29166666666666669</v>
      </c>
      <c r="G1605" s="193">
        <f>IFERROR(IF(E1605&gt;F1605,((F1605+E376B376+1)-(E1605+#REF!))*24,HOUR(F1605-E1605)+MINUTE(F1605-E1605)/60),"")</f>
        <v>0.5</v>
      </c>
      <c r="H1605" s="230" t="s">
        <v>55</v>
      </c>
      <c r="I1605" s="230" t="s">
        <v>509</v>
      </c>
      <c r="J1605" s="231" t="s">
        <v>211</v>
      </c>
    </row>
    <row r="1606" spans="2:11" x14ac:dyDescent="0.25">
      <c r="B1606" s="235">
        <v>45083</v>
      </c>
      <c r="C1606" s="195">
        <v>1</v>
      </c>
      <c r="E1606" s="238">
        <v>0.29166666666666669</v>
      </c>
      <c r="F1606" s="204">
        <v>0.34722222222222227</v>
      </c>
      <c r="G1606" s="193">
        <f>IFERROR(IF(E1606&gt;F1606,((F1606+E376B376+1)-(E1606+#REF!))*24,HOUR(F1606-E1606)+MINUTE(F1606-E1606)/60),"")</f>
        <v>1.3333333333333333</v>
      </c>
      <c r="H1606" s="230" t="s">
        <v>55</v>
      </c>
      <c r="I1606" s="230" t="s">
        <v>510</v>
      </c>
      <c r="J1606" s="231" t="s">
        <v>517</v>
      </c>
    </row>
    <row r="1607" spans="2:11" x14ac:dyDescent="0.25">
      <c r="B1607" s="235">
        <v>45083</v>
      </c>
      <c r="C1607" s="195">
        <v>1</v>
      </c>
      <c r="E1607" s="238">
        <v>0.40625</v>
      </c>
      <c r="F1607" s="204">
        <v>0.4236111111111111</v>
      </c>
      <c r="G1607" s="193">
        <f>IFERROR(IF(E1607&gt;F1607,((F1607+E376B376+1)-(E1607+#REF!))*24,HOUR(F1607-E1607)+MINUTE(F1607-E1607)/60),"")</f>
        <v>0.41666666666666669</v>
      </c>
      <c r="H1607" s="230" t="s">
        <v>187</v>
      </c>
      <c r="I1607" s="230" t="s">
        <v>509</v>
      </c>
      <c r="J1607" s="231" t="s">
        <v>604</v>
      </c>
    </row>
    <row r="1608" spans="2:11" x14ac:dyDescent="0.25">
      <c r="B1608" s="235">
        <v>45083</v>
      </c>
      <c r="C1608" s="195">
        <v>1</v>
      </c>
      <c r="E1608" s="238">
        <v>0.4513888888888889</v>
      </c>
      <c r="F1608" s="204">
        <v>0.45833333333333331</v>
      </c>
      <c r="G1608" s="193">
        <f>IFERROR(IF(E1608&gt;F1608,((F1608+E376B376+1)-(E1608+#REF!))*24,HOUR(F1608-E1608)+MINUTE(F1608-E1608)/60),"")</f>
        <v>0.16666666666666666</v>
      </c>
      <c r="H1608" s="230" t="s">
        <v>55</v>
      </c>
      <c r="I1608" s="230" t="s">
        <v>509</v>
      </c>
      <c r="J1608" s="231" t="s">
        <v>213</v>
      </c>
    </row>
    <row r="1609" spans="2:11" x14ac:dyDescent="0.25">
      <c r="B1609" s="235">
        <v>45083</v>
      </c>
      <c r="C1609" s="195">
        <v>1</v>
      </c>
      <c r="E1609" s="238">
        <v>0.47916666666666669</v>
      </c>
      <c r="F1609" s="204">
        <v>0.48680555555555555</v>
      </c>
      <c r="G1609" s="193">
        <f>IFERROR(IF(E1609&gt;F1609,((F1609+E376B376+1)-(E1609+#REF!))*24,HOUR(F1609-E1609)+MINUTE(F1609-E1609)/60),"")</f>
        <v>0.18333333333333332</v>
      </c>
      <c r="H1609" s="230" t="s">
        <v>55</v>
      </c>
      <c r="I1609" s="230" t="s">
        <v>511</v>
      </c>
      <c r="J1609" s="231" t="s">
        <v>203</v>
      </c>
    </row>
    <row r="1610" spans="2:11" x14ac:dyDescent="0.25">
      <c r="B1610" s="235">
        <v>45083</v>
      </c>
      <c r="C1610" s="195">
        <v>1</v>
      </c>
      <c r="E1610" s="238">
        <v>0.48958333333333331</v>
      </c>
      <c r="F1610" s="204">
        <v>0.50347222222222221</v>
      </c>
      <c r="G1610" s="193">
        <f>IFERROR(IF(E1610&gt;F1610,((F1610+E376B376+1)-(E1610+#REF!))*24,HOUR(F1610-E1610)+MINUTE(F1610-E1610)/60),"")</f>
        <v>0.33333333333333331</v>
      </c>
      <c r="H1610" s="230" t="s">
        <v>170</v>
      </c>
      <c r="I1610" s="230" t="s">
        <v>510</v>
      </c>
      <c r="J1610" s="231" t="s">
        <v>238</v>
      </c>
      <c r="K1610" s="176" t="s">
        <v>1256</v>
      </c>
    </row>
    <row r="1611" spans="2:11" x14ac:dyDescent="0.25">
      <c r="B1611" s="235">
        <v>45083</v>
      </c>
      <c r="C1611" s="195">
        <v>1</v>
      </c>
      <c r="E1611" s="238">
        <v>0.50347222222222221</v>
      </c>
      <c r="F1611" s="204">
        <v>0.51041666666666663</v>
      </c>
      <c r="G1611" s="193">
        <f>IFERROR(IF(E1611&gt;F1611,((F1611+E376B376+1)-(E1611+#REF!))*24,HOUR(F1611-E1611)+MINUTE(F1611-E1611)/60),"")</f>
        <v>0.16666666666666666</v>
      </c>
      <c r="H1611" s="230" t="s">
        <v>204</v>
      </c>
      <c r="I1611" s="230" t="s">
        <v>509</v>
      </c>
      <c r="J1611" s="233" t="s">
        <v>499</v>
      </c>
      <c r="K1611" s="176" t="s">
        <v>1257</v>
      </c>
    </row>
    <row r="1612" spans="2:11" x14ac:dyDescent="0.25">
      <c r="B1612" s="235">
        <v>45083</v>
      </c>
      <c r="C1612" s="195">
        <v>1</v>
      </c>
      <c r="E1612" s="238">
        <v>0.61111111111111105</v>
      </c>
      <c r="F1612" s="204">
        <v>0.625</v>
      </c>
      <c r="G1612" s="193">
        <f>IFERROR(IF(E1612&gt;F1612,((F1612+E376B376+1)-(E1612+#REF!))*24,HOUR(F1612-E1612)+MINUTE(F1612-E1612)/60),"")</f>
        <v>0.33333333333333331</v>
      </c>
      <c r="H1612" s="230" t="s">
        <v>55</v>
      </c>
      <c r="I1612" s="230" t="s">
        <v>509</v>
      </c>
      <c r="J1612" s="231" t="s">
        <v>114</v>
      </c>
    </row>
    <row r="1613" spans="2:11" x14ac:dyDescent="0.25">
      <c r="B1613" s="235">
        <v>45083</v>
      </c>
      <c r="C1613" s="195">
        <v>2</v>
      </c>
      <c r="E1613" s="238">
        <v>0.625</v>
      </c>
      <c r="F1613" s="204">
        <v>0.63888888888888895</v>
      </c>
      <c r="G1613" s="193">
        <f>IFERROR(IF(E1613&gt;F1613,((F1613+E376B376+1)-(E1613+#REF!))*24,HOUR(F1613-E1613)+MINUTE(F1613-E1613)/60),"")</f>
        <v>0.33333333333333331</v>
      </c>
      <c r="H1613" s="230" t="s">
        <v>55</v>
      </c>
      <c r="I1613" s="230" t="s">
        <v>509</v>
      </c>
      <c r="J1613" s="231" t="s">
        <v>114</v>
      </c>
    </row>
    <row r="1614" spans="2:11" x14ac:dyDescent="0.25">
      <c r="B1614" s="235">
        <v>45083</v>
      </c>
      <c r="C1614" s="195">
        <v>2</v>
      </c>
      <c r="E1614" s="238">
        <v>0.70138888888888884</v>
      </c>
      <c r="F1614" s="204">
        <v>0.71180555555555547</v>
      </c>
      <c r="G1614" s="193">
        <f>IFERROR(IF(E1614&gt;F1614,((F1614+E376B376+1)-(E1614+#REF!))*24,HOUR(F1614-E1614)+MINUTE(F1614-E1614)/60),"")</f>
        <v>0.25</v>
      </c>
      <c r="H1614" s="230" t="s">
        <v>198</v>
      </c>
      <c r="I1614" s="230" t="s">
        <v>510</v>
      </c>
      <c r="J1614" s="231" t="s">
        <v>515</v>
      </c>
    </row>
    <row r="1615" spans="2:11" x14ac:dyDescent="0.25">
      <c r="B1615" s="235">
        <v>45083</v>
      </c>
      <c r="C1615" s="195">
        <v>2</v>
      </c>
      <c r="E1615" s="238">
        <v>0.77083333333333337</v>
      </c>
      <c r="F1615" s="204">
        <v>0.78125</v>
      </c>
      <c r="G1615" s="193">
        <f>IFERROR(IF(E1615&gt;F1615,((F1615+E376B376+1)-(E1615+#REF!))*24,HOUR(F1615-E1615)+MINUTE(F1615-E1615)/60),"")</f>
        <v>0.25</v>
      </c>
      <c r="H1615" s="230" t="s">
        <v>55</v>
      </c>
      <c r="I1615" s="230" t="s">
        <v>511</v>
      </c>
      <c r="J1615" s="231" t="s">
        <v>203</v>
      </c>
    </row>
    <row r="1616" spans="2:11" x14ac:dyDescent="0.25">
      <c r="B1616" s="235">
        <v>45083</v>
      </c>
      <c r="C1616" s="195">
        <v>2</v>
      </c>
      <c r="E1616" s="238">
        <v>0.79861111111111116</v>
      </c>
      <c r="F1616" s="204">
        <v>0.80902777777777779</v>
      </c>
      <c r="G1616" s="193">
        <f>IFERROR(IF(E1616&gt;F1616,((F1616+E376B376+1)-(E1616+#REF!))*24,HOUR(F1616-E1616)+MINUTE(F1616-E1616)/60),"")</f>
        <v>0.25</v>
      </c>
      <c r="H1616" s="230" t="s">
        <v>195</v>
      </c>
      <c r="I1616" s="230" t="s">
        <v>509</v>
      </c>
      <c r="J1616" s="231" t="s">
        <v>110</v>
      </c>
      <c r="K1616" s="176" t="s">
        <v>1070</v>
      </c>
    </row>
    <row r="1617" spans="2:11" x14ac:dyDescent="0.25">
      <c r="B1617" s="235">
        <v>45083</v>
      </c>
      <c r="C1617" s="195">
        <v>2</v>
      </c>
      <c r="E1617" s="238">
        <v>0.90277777777777779</v>
      </c>
      <c r="F1617" s="204">
        <v>0.91319444444444453</v>
      </c>
      <c r="G1617" s="193">
        <f>IFERROR(IF(E1617&gt;F1617,((F1617+E376B376+1)-(E1617+#REF!))*24,HOUR(F1617-E1617)+MINUTE(F1617-E1617)/60),"")</f>
        <v>0.25</v>
      </c>
      <c r="H1617" s="230" t="s">
        <v>55</v>
      </c>
      <c r="I1617" s="330"/>
      <c r="J1617" s="231" t="s">
        <v>203</v>
      </c>
      <c r="K1617" s="330" t="s">
        <v>1190</v>
      </c>
    </row>
    <row r="1618" spans="2:11" x14ac:dyDescent="0.25">
      <c r="B1618" s="235">
        <v>45083</v>
      </c>
      <c r="C1618" s="195">
        <v>2</v>
      </c>
      <c r="E1618" s="238">
        <v>0.94444444444444453</v>
      </c>
      <c r="F1618" s="204">
        <v>0.95833333333333337</v>
      </c>
      <c r="G1618" s="193">
        <f>IFERROR(IF(E1618&gt;F1618,((F1618+E376B376+1)-(E1618+#REF!))*24,HOUR(F1618-E1618)+MINUTE(F1618-E1618)/60),"")</f>
        <v>0.33333333333333331</v>
      </c>
      <c r="H1618" s="230" t="s">
        <v>55</v>
      </c>
      <c r="I1618" s="230" t="s">
        <v>509</v>
      </c>
      <c r="J1618" s="231" t="s">
        <v>114</v>
      </c>
    </row>
    <row r="1619" spans="2:11" x14ac:dyDescent="0.25">
      <c r="B1619" s="235">
        <v>45083</v>
      </c>
      <c r="C1619" s="195">
        <v>3</v>
      </c>
      <c r="E1619" s="238">
        <v>0.97916666666666663</v>
      </c>
      <c r="F1619" s="204">
        <v>0.98958333333333337</v>
      </c>
      <c r="G1619" s="193">
        <f>IFERROR(IF(E1619&gt;F1619,((F1619+E376B376+1)-(E1619+#REF!))*24,HOUR(F1619-E1619)+MINUTE(F1619-E1619)/60),"")</f>
        <v>0.25</v>
      </c>
      <c r="H1619" s="230" t="s">
        <v>204</v>
      </c>
      <c r="I1619" s="230" t="s">
        <v>511</v>
      </c>
      <c r="J1619" s="231" t="s">
        <v>200</v>
      </c>
      <c r="K1619" s="176" t="s">
        <v>1244</v>
      </c>
    </row>
    <row r="1620" spans="2:11" x14ac:dyDescent="0.25">
      <c r="B1620" s="235">
        <v>45083</v>
      </c>
      <c r="C1620" s="195">
        <v>3</v>
      </c>
      <c r="E1620" s="238">
        <v>0.98958333333333337</v>
      </c>
      <c r="F1620" s="204">
        <v>0.99930555555555556</v>
      </c>
      <c r="G1620" s="193">
        <f>IFERROR(IF(E1620&gt;F1620,((F1620+E376B376+1)-(E1620+#REF!))*24,HOUR(F1620-E1620)+MINUTE(F1620-E1620)/60),"")</f>
        <v>0.23333333333333334</v>
      </c>
      <c r="H1620" s="230" t="s">
        <v>204</v>
      </c>
      <c r="I1620" s="230" t="s">
        <v>509</v>
      </c>
      <c r="J1620" s="231" t="s">
        <v>211</v>
      </c>
      <c r="K1620" s="176" t="s">
        <v>1261</v>
      </c>
    </row>
    <row r="1621" spans="2:11" x14ac:dyDescent="0.25">
      <c r="B1621" s="235">
        <v>45083</v>
      </c>
      <c r="C1621" s="195">
        <v>3</v>
      </c>
      <c r="E1621" s="238">
        <v>0</v>
      </c>
      <c r="F1621" s="204">
        <v>1.4583333333333332E-2</v>
      </c>
      <c r="G1621" s="193">
        <f>IFERROR(IF(E1621&gt;F1621,((F1621+E376B376+1)-(E1621+#REF!))*24,HOUR(F1621-E1621)+MINUTE(F1621-E1621)/60),"")</f>
        <v>0.35</v>
      </c>
      <c r="H1621" s="230" t="s">
        <v>207</v>
      </c>
      <c r="I1621" s="230" t="s">
        <v>513</v>
      </c>
      <c r="J1621" s="231" t="s">
        <v>534</v>
      </c>
      <c r="K1621" s="176" t="s">
        <v>1262</v>
      </c>
    </row>
    <row r="1622" spans="2:11" x14ac:dyDescent="0.25">
      <c r="B1622" s="235">
        <v>45083</v>
      </c>
      <c r="C1622" s="195">
        <v>3</v>
      </c>
      <c r="E1622" s="238">
        <v>5.5555555555555552E-2</v>
      </c>
      <c r="F1622" s="204">
        <v>7.2916666666666671E-2</v>
      </c>
      <c r="G1622" s="193">
        <f>IFERROR(IF(E1622&gt;F1622,((F1622+E376B376+1)-(E1622+#REF!))*24,HOUR(F1622-E1622)+MINUTE(F1622-E1622)/60),"")</f>
        <v>0.41666666666666669</v>
      </c>
      <c r="H1622" s="230" t="s">
        <v>55</v>
      </c>
      <c r="I1622" s="230" t="s">
        <v>509</v>
      </c>
      <c r="J1622" s="231" t="s">
        <v>211</v>
      </c>
    </row>
    <row r="1623" spans="2:11" x14ac:dyDescent="0.25">
      <c r="B1623" s="235">
        <v>45083</v>
      </c>
      <c r="C1623" s="195">
        <v>3</v>
      </c>
      <c r="E1623" s="238">
        <v>7.2916666666666671E-2</v>
      </c>
      <c r="F1623" s="204">
        <v>0.1076388888888889</v>
      </c>
      <c r="G1623" s="193">
        <f>IFERROR(IF(E1623&gt;F1623,((F1623+E376B376+1)-(E1623+#REF!))*24,HOUR(F1623-E1623)+MINUTE(F1623-E1623)/60),"")</f>
        <v>0.83333333333333337</v>
      </c>
      <c r="H1623" s="230" t="s">
        <v>207</v>
      </c>
      <c r="I1623" s="230" t="s">
        <v>513</v>
      </c>
      <c r="J1623" s="231" t="s">
        <v>534</v>
      </c>
    </row>
    <row r="1624" spans="2:11" x14ac:dyDescent="0.25">
      <c r="B1624" s="235">
        <v>45083</v>
      </c>
      <c r="C1624" s="195">
        <v>3</v>
      </c>
      <c r="E1624" s="238">
        <v>0.26874999999999999</v>
      </c>
      <c r="F1624" s="204">
        <v>0.29166666666666669</v>
      </c>
      <c r="G1624" s="193">
        <f>IFERROR(IF(E1624&gt;F1624,((F1624+E376B376+1)-(E1624+#REF!))*24,HOUR(F1624-E1624)+MINUTE(F1624-E1624)/60),"")</f>
        <v>0.55000000000000004</v>
      </c>
      <c r="H1624" s="230" t="s">
        <v>55</v>
      </c>
      <c r="I1624" s="230" t="s">
        <v>509</v>
      </c>
      <c r="J1624" s="231" t="s">
        <v>211</v>
      </c>
    </row>
    <row r="1625" spans="2:11" x14ac:dyDescent="0.25">
      <c r="B1625" s="235">
        <v>45084</v>
      </c>
      <c r="C1625" s="195">
        <v>1</v>
      </c>
      <c r="E1625" s="238">
        <v>0.29166666666666669</v>
      </c>
      <c r="F1625" s="204">
        <v>0.625</v>
      </c>
      <c r="G1625" s="193">
        <f>IFERROR(IF(E1625&gt;F1625,((F1625+E376B376+1)-(E1625+#REF!))*24,HOUR(F1625-E1625)+MINUTE(F1625-E1625)/60),"")</f>
        <v>8</v>
      </c>
      <c r="H1625" s="176" t="s">
        <v>428</v>
      </c>
      <c r="I1625" s="230" t="s">
        <v>513</v>
      </c>
      <c r="J1625" s="176" t="s">
        <v>1133</v>
      </c>
      <c r="K1625" s="176" t="s">
        <v>1133</v>
      </c>
    </row>
    <row r="1626" spans="2:11" x14ac:dyDescent="0.25">
      <c r="B1626" s="235">
        <v>45084</v>
      </c>
      <c r="C1626" s="195">
        <v>2</v>
      </c>
      <c r="E1626" s="238">
        <v>0.625</v>
      </c>
      <c r="F1626" s="204">
        <v>0.95833333333333337</v>
      </c>
      <c r="G1626" s="193">
        <f>IFERROR(IF(E1626&gt;F1626,((F1626+E376B376+1)-(E1626+#REF!))*24,HOUR(F1626-E1626)+MINUTE(F1626-E1626)/60),"")</f>
        <v>8</v>
      </c>
      <c r="H1626" s="176" t="s">
        <v>428</v>
      </c>
      <c r="I1626" s="230" t="s">
        <v>513</v>
      </c>
      <c r="J1626" s="176" t="s">
        <v>1133</v>
      </c>
      <c r="K1626" s="176" t="s">
        <v>1133</v>
      </c>
    </row>
    <row r="1627" spans="2:11" x14ac:dyDescent="0.25">
      <c r="B1627" s="235">
        <v>45084</v>
      </c>
      <c r="C1627" s="195">
        <v>3</v>
      </c>
      <c r="E1627" s="238">
        <v>0.95833333333333337</v>
      </c>
      <c r="F1627" s="204">
        <v>0.29166666666666669</v>
      </c>
      <c r="G1627" s="193" t="str">
        <f>IFERROR(IF(E1627&gt;F1627,((F1627+E376B376+1)-(E1627+#REF!))*24,HOUR(F1627-E1627)+MINUTE(F1627-E1627)/60),"")</f>
        <v/>
      </c>
      <c r="H1627" s="176" t="s">
        <v>428</v>
      </c>
      <c r="I1627" s="230" t="s">
        <v>513</v>
      </c>
      <c r="J1627" s="176" t="s">
        <v>1133</v>
      </c>
      <c r="K1627" s="176" t="s">
        <v>1133</v>
      </c>
    </row>
    <row r="1628" spans="2:11" x14ac:dyDescent="0.25">
      <c r="B1628" s="235">
        <v>45085</v>
      </c>
      <c r="C1628" s="195">
        <v>1</v>
      </c>
      <c r="E1628" s="238">
        <v>0.29166666666666669</v>
      </c>
      <c r="F1628" s="204">
        <v>0.34375</v>
      </c>
      <c r="G1628" s="193">
        <f>IFERROR(IF(E1628&gt;F1628,((F1628+E376B376+1)-(E1628+#REF!))*24,HOUR(F1628-E1628)+MINUTE(F1628-E1628)/60),"")</f>
        <v>1.25</v>
      </c>
      <c r="H1628" s="230" t="s">
        <v>204</v>
      </c>
      <c r="I1628" s="230" t="s">
        <v>509</v>
      </c>
      <c r="J1628" s="231" t="s">
        <v>493</v>
      </c>
      <c r="K1628" s="176" t="s">
        <v>1270</v>
      </c>
    </row>
    <row r="1629" spans="2:11" x14ac:dyDescent="0.25">
      <c r="B1629" s="235">
        <v>45085</v>
      </c>
      <c r="C1629" s="195">
        <v>1</v>
      </c>
      <c r="E1629" s="238">
        <v>0.34722222222222227</v>
      </c>
      <c r="F1629" s="204">
        <v>0.4548611111111111</v>
      </c>
      <c r="G1629" s="193">
        <f>IFERROR(IF(E1629&gt;F1629,((F1629+E376B376+1)-(E1629+#REF!))*24,HOUR(F1629-E1629)+MINUTE(F1629-E1629)/60),"")</f>
        <v>2.5833333333333335</v>
      </c>
      <c r="H1629" s="230" t="s">
        <v>204</v>
      </c>
      <c r="I1629" s="230" t="s">
        <v>511</v>
      </c>
      <c r="J1629" s="231" t="s">
        <v>493</v>
      </c>
      <c r="K1629" s="176" t="s">
        <v>1271</v>
      </c>
    </row>
    <row r="1630" spans="2:11" x14ac:dyDescent="0.25">
      <c r="B1630" s="235">
        <v>45085</v>
      </c>
      <c r="C1630" s="195">
        <v>1</v>
      </c>
      <c r="E1630" s="238">
        <v>0.46180555555555558</v>
      </c>
      <c r="F1630" s="204">
        <v>0.46527777777777773</v>
      </c>
      <c r="G1630" s="193">
        <f>IFERROR(IF(E1630&gt;F1630,((F1630+E376B376+1)-(E1630+#REF!))*24,HOUR(F1630-E1630)+MINUTE(F1630-E1630)/60),"")</f>
        <v>8.3333333333333329E-2</v>
      </c>
      <c r="H1630" s="230" t="s">
        <v>147</v>
      </c>
      <c r="I1630" s="230" t="s">
        <v>511</v>
      </c>
      <c r="J1630" s="231" t="s">
        <v>549</v>
      </c>
    </row>
    <row r="1631" spans="2:11" x14ac:dyDescent="0.25">
      <c r="B1631" s="235">
        <v>45085</v>
      </c>
      <c r="C1631" s="195">
        <v>1</v>
      </c>
      <c r="E1631" s="238">
        <v>0.46527777777777773</v>
      </c>
      <c r="F1631" s="204">
        <v>0.4861111111111111</v>
      </c>
      <c r="G1631" s="193">
        <f>IFERROR(IF(E1631&gt;F1631,((F1631+E376B376+1)-(E1631+#REF!))*24,HOUR(F1631-E1631)+MINUTE(F1631-E1631)/60),"")</f>
        <v>0.5</v>
      </c>
      <c r="H1631" s="230" t="s">
        <v>55</v>
      </c>
      <c r="I1631" s="230" t="s">
        <v>509</v>
      </c>
      <c r="J1631" s="231" t="s">
        <v>211</v>
      </c>
    </row>
    <row r="1632" spans="2:11" x14ac:dyDescent="0.25">
      <c r="B1632" s="235">
        <v>45085</v>
      </c>
      <c r="C1632" s="195">
        <v>1</v>
      </c>
      <c r="E1632" s="238">
        <v>0.60069444444444442</v>
      </c>
      <c r="F1632" s="204">
        <v>0.625</v>
      </c>
      <c r="G1632" s="193">
        <f>IFERROR(IF(E1632&gt;F1632,((F1632+E376B376+1)-(E1632+#REF!))*24,HOUR(F1632-E1632)+MINUTE(F1632-E1632)/60),"")</f>
        <v>0.58333333333333337</v>
      </c>
      <c r="H1632" s="230" t="s">
        <v>55</v>
      </c>
      <c r="I1632" s="230" t="s">
        <v>509</v>
      </c>
      <c r="J1632" s="231" t="s">
        <v>114</v>
      </c>
    </row>
    <row r="1633" spans="2:11" x14ac:dyDescent="0.25">
      <c r="B1633" s="235">
        <v>45085</v>
      </c>
      <c r="C1633" s="195">
        <v>2</v>
      </c>
      <c r="E1633" s="238">
        <v>0.625</v>
      </c>
      <c r="F1633" s="204">
        <v>0.62847222222222221</v>
      </c>
      <c r="G1633" s="193">
        <f>IFERROR(IF(E1633&gt;F1633,((F1633+E376B376+1)-(E1633+#REF!))*24,HOUR(F1633-E1633)+MINUTE(F1633-E1633)/60),"")</f>
        <v>8.3333333333333329E-2</v>
      </c>
      <c r="H1633" s="230" t="s">
        <v>55</v>
      </c>
      <c r="I1633" s="230" t="s">
        <v>509</v>
      </c>
      <c r="J1633" s="231" t="s">
        <v>114</v>
      </c>
    </row>
    <row r="1634" spans="2:11" x14ac:dyDescent="0.25">
      <c r="B1634" s="235">
        <v>45085</v>
      </c>
      <c r="C1634" s="195">
        <v>2</v>
      </c>
      <c r="E1634" s="238">
        <v>0.68541666666666667</v>
      </c>
      <c r="F1634" s="204">
        <v>0.6958333333333333</v>
      </c>
      <c r="G1634" s="193">
        <f>IFERROR(IF(E1634&gt;F1634,((F1634+E376B376+1)-(E1634+#REF!))*24,HOUR(F1634-E1634)+MINUTE(F1634-E1634)/60),"")</f>
        <v>0.25</v>
      </c>
      <c r="H1634" s="230" t="s">
        <v>55</v>
      </c>
      <c r="I1634" s="330"/>
      <c r="J1634" s="231" t="s">
        <v>203</v>
      </c>
      <c r="K1634" s="330" t="s">
        <v>1190</v>
      </c>
    </row>
    <row r="1635" spans="2:11" x14ac:dyDescent="0.25">
      <c r="B1635" s="235">
        <v>45085</v>
      </c>
      <c r="C1635" s="195">
        <v>2</v>
      </c>
      <c r="E1635" s="238">
        <v>0.72569444444444453</v>
      </c>
      <c r="F1635" s="204">
        <v>0.74236111111111114</v>
      </c>
      <c r="G1635" s="193">
        <f>IFERROR(IF(E1635&gt;F1635,((F1635+E376B376+1)-(E1635+#REF!))*24,HOUR(F1635-E1635)+MINUTE(F1635-E1635)/60),"")</f>
        <v>0.4</v>
      </c>
      <c r="H1635" s="230" t="s">
        <v>55</v>
      </c>
      <c r="I1635" s="230" t="s">
        <v>509</v>
      </c>
      <c r="J1635" s="231" t="s">
        <v>211</v>
      </c>
      <c r="K1635" s="176" t="s">
        <v>684</v>
      </c>
    </row>
    <row r="1636" spans="2:11" x14ac:dyDescent="0.25">
      <c r="B1636" s="235">
        <v>45085</v>
      </c>
      <c r="C1636" s="195">
        <v>2</v>
      </c>
      <c r="E1636" s="238">
        <v>0.79583333333333339</v>
      </c>
      <c r="F1636" s="238">
        <v>0.8027777777777777</v>
      </c>
      <c r="G1636" s="193">
        <f>IFERROR(IF(E1636&gt;F1636,((F1636+E376B376+1)-(E1636+#REF!))*24,HOUR(F1636-E1636)+MINUTE(F1636-E1636)/60),"")</f>
        <v>0.16666666666666666</v>
      </c>
      <c r="H1636" s="230" t="s">
        <v>55</v>
      </c>
      <c r="I1636" s="230" t="s">
        <v>510</v>
      </c>
      <c r="J1636" s="231" t="s">
        <v>517</v>
      </c>
    </row>
    <row r="1637" spans="2:11" x14ac:dyDescent="0.25">
      <c r="B1637" s="235">
        <v>45085</v>
      </c>
      <c r="C1637" s="195">
        <v>2</v>
      </c>
      <c r="E1637" s="238">
        <v>0.8027777777777777</v>
      </c>
      <c r="F1637" s="204">
        <v>0.80625000000000002</v>
      </c>
      <c r="G1637" s="193">
        <f>IFERROR(IF(E1637&gt;F1637,((F1637+E376B376+1)-(E1637+#REF!))*24,HOUR(F1637-E1637)+MINUTE(F1637-E1637)/60),"")</f>
        <v>8.3333333333333329E-2</v>
      </c>
      <c r="H1637" s="230" t="s">
        <v>147</v>
      </c>
      <c r="I1637" s="330"/>
      <c r="J1637" s="231" t="s">
        <v>758</v>
      </c>
      <c r="K1637" s="279" t="s">
        <v>1231</v>
      </c>
    </row>
    <row r="1638" spans="2:11" x14ac:dyDescent="0.25">
      <c r="B1638" s="235">
        <v>45085</v>
      </c>
      <c r="C1638" s="195">
        <v>2</v>
      </c>
      <c r="E1638" s="238">
        <v>0.94166666666666676</v>
      </c>
      <c r="F1638" s="204">
        <v>0.95833333333333337</v>
      </c>
      <c r="G1638" s="193">
        <f>IFERROR(IF(E1638&gt;F1638,((F1638+E376B376+1)-(E1638+#REF!))*24,HOUR(F1638-E1638)+MINUTE(F1638-E1638)/60),"")</f>
        <v>0.4</v>
      </c>
      <c r="H1638" s="230" t="s">
        <v>55</v>
      </c>
      <c r="I1638" s="230" t="s">
        <v>509</v>
      </c>
      <c r="J1638" s="231" t="s">
        <v>114</v>
      </c>
    </row>
    <row r="1639" spans="2:11" s="233" customFormat="1" x14ac:dyDescent="0.25">
      <c r="B1639" s="235">
        <v>45085</v>
      </c>
      <c r="C1639" s="233">
        <v>3</v>
      </c>
      <c r="E1639" s="238">
        <v>4.1666666666666664E-2</v>
      </c>
      <c r="F1639" s="204">
        <v>5.2083333333333336E-2</v>
      </c>
      <c r="G1639" s="193">
        <f>IFERROR(IF(E1639&gt;F1639,((F1639+E376B376+1)-(E1639+#REF!))*24,HOUR(F1639-E1639)+MINUTE(F1639-E1639)/60),"")</f>
        <v>0.25</v>
      </c>
      <c r="H1639" s="230" t="s">
        <v>195</v>
      </c>
      <c r="I1639" s="330" t="s">
        <v>509</v>
      </c>
      <c r="J1639" s="231" t="s">
        <v>110</v>
      </c>
      <c r="K1639" s="176"/>
    </row>
    <row r="1640" spans="2:11" x14ac:dyDescent="0.25">
      <c r="B1640" s="235">
        <v>45085</v>
      </c>
      <c r="C1640" s="233">
        <v>3</v>
      </c>
      <c r="E1640" s="238">
        <v>5.9027777777777783E-2</v>
      </c>
      <c r="F1640" s="204">
        <v>7.2916666666666671E-2</v>
      </c>
      <c r="G1640" s="193">
        <f>IFERROR(IF(E1640&gt;F1640,((F1640+E376B376+1)-(E1640+#REF!))*24,HOUR(F1640-E1640)+MINUTE(F1640-E1640)/60),"")</f>
        <v>0.33333333333333331</v>
      </c>
      <c r="H1640" s="230" t="s">
        <v>55</v>
      </c>
      <c r="I1640" s="330" t="s">
        <v>509</v>
      </c>
      <c r="J1640" s="231" t="s">
        <v>203</v>
      </c>
    </row>
    <row r="1641" spans="2:11" x14ac:dyDescent="0.25">
      <c r="B1641" s="235">
        <v>45085</v>
      </c>
      <c r="C1641" s="233">
        <v>3</v>
      </c>
      <c r="E1641" s="238">
        <v>0.24097222222222223</v>
      </c>
      <c r="F1641" s="204">
        <v>0.27430555555555552</v>
      </c>
      <c r="G1641" s="193">
        <f>IFERROR(IF(E1641&gt;F1641,((F1641+E376B376+1)-(E1641+#REF!))*24,HOUR(F1641-E1641)+MINUTE(F1641-E1641)/60),"")</f>
        <v>0.8</v>
      </c>
      <c r="I1641" s="230" t="s">
        <v>513</v>
      </c>
      <c r="J1641" s="231" t="s">
        <v>229</v>
      </c>
    </row>
    <row r="1642" spans="2:11" x14ac:dyDescent="0.25">
      <c r="B1642" s="235">
        <v>45085</v>
      </c>
      <c r="C1642" s="233">
        <v>3</v>
      </c>
      <c r="E1642" s="238">
        <v>0.27430555555555552</v>
      </c>
      <c r="F1642" s="204">
        <v>0.28472222222222221</v>
      </c>
      <c r="G1642" s="193">
        <f>IFERROR(IF(E1642&gt;F1642,((F1642+E376B376+1)-(E1642+#REF!))*24,HOUR(F1642-E1642)+MINUTE(F1642-E1642)/60),"")</f>
        <v>0.25</v>
      </c>
      <c r="H1642" s="230" t="s">
        <v>55</v>
      </c>
      <c r="I1642" s="230" t="s">
        <v>509</v>
      </c>
      <c r="J1642" s="231" t="s">
        <v>114</v>
      </c>
    </row>
    <row r="1643" spans="2:11" x14ac:dyDescent="0.25">
      <c r="B1643" s="235">
        <v>45086</v>
      </c>
      <c r="C1643" s="195">
        <v>1</v>
      </c>
      <c r="E1643" s="238">
        <v>0.29166666666666669</v>
      </c>
      <c r="F1643" s="204">
        <v>0.33611111111111108</v>
      </c>
      <c r="G1643" s="193">
        <f>IFERROR(IF(E1643&gt;F1643,((F1643+E376B376+1)-(E1643+#REF!))*24,HOUR(F1643-E1643)+MINUTE(F1643-E1643)/60),"")</f>
        <v>1.0666666666666667</v>
      </c>
      <c r="H1643" s="230" t="s">
        <v>142</v>
      </c>
      <c r="I1643" s="230" t="s">
        <v>511</v>
      </c>
      <c r="J1643" s="231" t="s">
        <v>197</v>
      </c>
    </row>
    <row r="1644" spans="2:11" x14ac:dyDescent="0.25">
      <c r="B1644" s="235">
        <v>45086</v>
      </c>
      <c r="C1644" s="195">
        <v>1</v>
      </c>
      <c r="E1644" s="238">
        <v>0.34027777777777773</v>
      </c>
      <c r="F1644" s="204">
        <v>0.35416666666666669</v>
      </c>
      <c r="G1644" s="193">
        <f>IFERROR(IF(E1644&gt;F1644,((F1644+E376B376+1)-(E1644+#REF!))*24,HOUR(F1644-E1644)+MINUTE(F1644-E1644)/60),"")</f>
        <v>0.33333333333333331</v>
      </c>
      <c r="H1644" s="230" t="s">
        <v>55</v>
      </c>
      <c r="I1644" s="230" t="s">
        <v>509</v>
      </c>
      <c r="J1644" s="231" t="s">
        <v>213</v>
      </c>
    </row>
    <row r="1645" spans="2:11" x14ac:dyDescent="0.25">
      <c r="B1645" s="235">
        <v>45086</v>
      </c>
      <c r="C1645" s="195">
        <v>1</v>
      </c>
      <c r="E1645" s="238">
        <v>0.39583333333333331</v>
      </c>
      <c r="F1645" s="204">
        <v>0.4145833333333333</v>
      </c>
      <c r="G1645" s="193">
        <f>IFERROR(IF(E1645&gt;F1645,((F1645+E376B376+1)-(E1645+#REF!))*24,HOUR(F1645-E1645)+MINUTE(F1645-E1645)/60),"")</f>
        <v>0.45</v>
      </c>
      <c r="H1645" s="230" t="s">
        <v>187</v>
      </c>
      <c r="I1645" s="230" t="s">
        <v>509</v>
      </c>
      <c r="J1645" s="231" t="s">
        <v>110</v>
      </c>
    </row>
    <row r="1646" spans="2:11" x14ac:dyDescent="0.25">
      <c r="B1646" s="235">
        <v>45086</v>
      </c>
      <c r="C1646" s="195">
        <v>1</v>
      </c>
      <c r="E1646" s="238">
        <v>0.46180555555555558</v>
      </c>
      <c r="F1646" s="204">
        <v>0.47222222222222227</v>
      </c>
      <c r="G1646" s="193">
        <f>IFERROR(IF(E1646&gt;F1646,((F1646+E376B376+1)-(E1646+#REF!))*24,HOUR(F1646-E1646)+MINUTE(F1646-E1646)/60),"")</f>
        <v>0.25</v>
      </c>
      <c r="H1646" s="230" t="s">
        <v>195</v>
      </c>
      <c r="I1646" s="230" t="s">
        <v>509</v>
      </c>
      <c r="J1646" s="231" t="s">
        <v>110</v>
      </c>
      <c r="K1646" s="176" t="s">
        <v>1273</v>
      </c>
    </row>
    <row r="1647" spans="2:11" x14ac:dyDescent="0.25">
      <c r="B1647" s="235">
        <v>45086</v>
      </c>
      <c r="C1647" s="195">
        <v>1</v>
      </c>
      <c r="E1647" s="238">
        <v>0.53125</v>
      </c>
      <c r="F1647" s="204">
        <v>0.54166666666666663</v>
      </c>
      <c r="G1647" s="193">
        <f>IFERROR(IF(E1647&gt;F1647,((F1647+E376B376+1)-(E1647+#REF!))*24,HOUR(F1647-E1647)+MINUTE(F1647-E1647)/60),"")</f>
        <v>0.25</v>
      </c>
      <c r="H1647" s="230" t="s">
        <v>55</v>
      </c>
      <c r="I1647" s="230" t="s">
        <v>511</v>
      </c>
      <c r="J1647" s="231" t="s">
        <v>203</v>
      </c>
    </row>
    <row r="1648" spans="2:11" x14ac:dyDescent="0.25">
      <c r="B1648" s="235">
        <v>45086</v>
      </c>
      <c r="C1648" s="195">
        <v>1</v>
      </c>
      <c r="E1648" s="238">
        <v>0.58680555555555558</v>
      </c>
      <c r="F1648" s="204">
        <v>0.59722222222222221</v>
      </c>
      <c r="G1648" s="193">
        <f>IFERROR(IF(E1648&gt;F1648,((F1648+E376B376+1)-(E1648+#REF!))*24,HOUR(F1648-E1648)+MINUTE(F1648-E1648)/60),"")</f>
        <v>0.25</v>
      </c>
      <c r="H1648" s="230" t="s">
        <v>55</v>
      </c>
      <c r="I1648" s="230" t="s">
        <v>511</v>
      </c>
      <c r="J1648" s="231" t="s">
        <v>203</v>
      </c>
    </row>
    <row r="1649" spans="2:11" x14ac:dyDescent="0.25">
      <c r="B1649" s="235">
        <v>45086</v>
      </c>
      <c r="C1649" s="195">
        <v>1</v>
      </c>
      <c r="E1649" s="238">
        <v>0.61111111111111105</v>
      </c>
      <c r="F1649" s="204">
        <v>0.625</v>
      </c>
      <c r="G1649" s="193">
        <f>IFERROR(IF(E1649&gt;F1649,((F1649+E376B376+1)-(E1649+#REF!))*24,HOUR(F1649-E1649)+MINUTE(F1649-E1649)/60),"")</f>
        <v>0.33333333333333331</v>
      </c>
      <c r="H1649" s="230" t="s">
        <v>55</v>
      </c>
      <c r="I1649" s="230" t="s">
        <v>509</v>
      </c>
      <c r="J1649" s="231" t="s">
        <v>114</v>
      </c>
    </row>
    <row r="1650" spans="2:11" x14ac:dyDescent="0.25">
      <c r="B1650" s="235">
        <v>45086</v>
      </c>
      <c r="C1650" s="195">
        <v>2</v>
      </c>
      <c r="E1650" s="238">
        <v>0.625</v>
      </c>
      <c r="F1650" s="204">
        <v>0.62916666666666665</v>
      </c>
      <c r="G1650" s="193">
        <f>IFERROR(IF(E1650&gt;F1650,((F1650+E376B376+1)-(E1650+#REF!))*24,HOUR(F1650-E1650)+MINUTE(F1650-E1650)/60),"")</f>
        <v>0.1</v>
      </c>
      <c r="H1650" s="230" t="s">
        <v>55</v>
      </c>
      <c r="I1650" s="230" t="s">
        <v>509</v>
      </c>
      <c r="J1650" s="231" t="s">
        <v>114</v>
      </c>
    </row>
    <row r="1651" spans="2:11" x14ac:dyDescent="0.25">
      <c r="B1651" s="235">
        <v>45086</v>
      </c>
      <c r="C1651" s="195">
        <v>2</v>
      </c>
      <c r="E1651" s="238">
        <v>0.70486111111111116</v>
      </c>
      <c r="F1651" s="204">
        <v>0.73263888888888884</v>
      </c>
      <c r="G1651" s="193">
        <f>IFERROR(IF(E1651&gt;F1651,((F1651+E376B376+1)-(E1651+#REF!))*24,HOUR(F1651-E1651)+MINUTE(F1651-E1651)/60),"")</f>
        <v>0.66666666666666663</v>
      </c>
      <c r="H1651" s="230" t="s">
        <v>55</v>
      </c>
      <c r="I1651" s="230" t="s">
        <v>509</v>
      </c>
      <c r="J1651" s="231" t="s">
        <v>211</v>
      </c>
      <c r="K1651" s="176" t="s">
        <v>684</v>
      </c>
    </row>
    <row r="1652" spans="2:11" x14ac:dyDescent="0.25">
      <c r="B1652" s="235">
        <v>45086</v>
      </c>
      <c r="C1652" s="195">
        <v>2</v>
      </c>
      <c r="E1652" s="238">
        <v>0.93888888888888899</v>
      </c>
      <c r="F1652" s="204">
        <v>0.95833333333333337</v>
      </c>
      <c r="G1652" s="193">
        <f>IFERROR(IF(E1652&gt;F1652,((F1652+E376B376+1)-(E1652+#REF!))*24,HOUR(F1652-E1652)+MINUTE(F1652-E1652)/60),"")</f>
        <v>0.46666666666666667</v>
      </c>
      <c r="H1652" s="230" t="s">
        <v>55</v>
      </c>
      <c r="I1652" s="230" t="s">
        <v>509</v>
      </c>
      <c r="J1652" s="231" t="s">
        <v>114</v>
      </c>
    </row>
    <row r="1653" spans="2:11" x14ac:dyDescent="0.25">
      <c r="B1653" s="235">
        <v>45086</v>
      </c>
      <c r="C1653" s="195">
        <v>3</v>
      </c>
      <c r="E1653" s="238">
        <v>2.0833333333333332E-2</v>
      </c>
      <c r="F1653" s="204">
        <v>3.125E-2</v>
      </c>
      <c r="G1653" s="193">
        <f>IFERROR(IF(E1653&gt;F1653,((F1653+E376B376+1)-(E1653+#REF!))*24,HOUR(F1653-E1653)+MINUTE(F1653-E1653)/60),"")</f>
        <v>0.25</v>
      </c>
      <c r="H1653" s="230" t="s">
        <v>55</v>
      </c>
      <c r="I1653" s="230" t="s">
        <v>511</v>
      </c>
      <c r="J1653" s="231" t="s">
        <v>203</v>
      </c>
    </row>
    <row r="1654" spans="2:11" x14ac:dyDescent="0.25">
      <c r="B1654" s="235">
        <v>45086</v>
      </c>
      <c r="C1654" s="195">
        <v>3</v>
      </c>
      <c r="E1654" s="238">
        <v>9.375E-2</v>
      </c>
      <c r="F1654" s="204">
        <v>0.10416666666666667</v>
      </c>
      <c r="G1654" s="193">
        <f>IFERROR(IF(E1654&gt;F1654,((F1654+E376B376+1)-(E1654+#REF!))*24,HOUR(F1654-E1654)+MINUTE(F1654-E1654)/60),"")</f>
        <v>0.25</v>
      </c>
      <c r="H1654" s="230" t="s">
        <v>55</v>
      </c>
      <c r="I1654" s="230" t="s">
        <v>511</v>
      </c>
      <c r="J1654" s="231" t="s">
        <v>203</v>
      </c>
    </row>
    <row r="1655" spans="2:11" x14ac:dyDescent="0.25">
      <c r="B1655" s="235">
        <v>45086</v>
      </c>
      <c r="C1655" s="233">
        <v>3</v>
      </c>
      <c r="E1655" s="238">
        <v>0.17361111111111113</v>
      </c>
      <c r="F1655" s="204">
        <v>0.20069444444444443</v>
      </c>
      <c r="G1655" s="193">
        <f>IFERROR(IF(E1655&gt;F1655,((F1655+E376B376+1)-(E1655+#REF!))*24,HOUR(F1655-E1655)+MINUTE(F1655-E1655)/60),"")</f>
        <v>0.65</v>
      </c>
      <c r="H1655" s="230" t="s">
        <v>55</v>
      </c>
      <c r="I1655" s="230" t="s">
        <v>509</v>
      </c>
      <c r="J1655" s="231" t="s">
        <v>211</v>
      </c>
      <c r="K1655" s="176" t="s">
        <v>684</v>
      </c>
    </row>
    <row r="1656" spans="2:11" x14ac:dyDescent="0.25">
      <c r="B1656" s="235">
        <v>45086</v>
      </c>
      <c r="C1656" s="233">
        <v>3</v>
      </c>
      <c r="E1656" s="238">
        <v>0.2722222222222222</v>
      </c>
      <c r="F1656" s="204">
        <v>0.29166666666666669</v>
      </c>
      <c r="G1656" s="193">
        <f>IFERROR(IF(E1656&gt;F1656,((F1656+E376B376+1)-(E1656+#REF!))*24,HOUR(F1656-E1656)+MINUTE(F1656-E1656)/60),"")</f>
        <v>0.46666666666666667</v>
      </c>
      <c r="H1656" s="230" t="s">
        <v>55</v>
      </c>
      <c r="I1656" s="230" t="s">
        <v>509</v>
      </c>
      <c r="J1656" s="231" t="s">
        <v>114</v>
      </c>
    </row>
    <row r="1657" spans="2:11" x14ac:dyDescent="0.25">
      <c r="B1657" s="235">
        <v>45087</v>
      </c>
      <c r="C1657" s="195">
        <v>1</v>
      </c>
      <c r="E1657" s="238">
        <v>0.29166666666666669</v>
      </c>
      <c r="F1657" s="204">
        <v>0.625</v>
      </c>
      <c r="G1657" s="193">
        <f>IFERROR(IF(E1657&gt;F1657,((F1657+E376B376+1)-(E1657+#REF!))*24,HOUR(F1657-E1657)+MINUTE(F1657-E1657)/60),"")</f>
        <v>8</v>
      </c>
      <c r="I1657" s="230" t="s">
        <v>509</v>
      </c>
      <c r="J1657" s="231" t="s">
        <v>141</v>
      </c>
    </row>
    <row r="1658" spans="2:11" x14ac:dyDescent="0.25">
      <c r="B1658" s="235">
        <v>45087</v>
      </c>
      <c r="C1658" s="233">
        <v>2</v>
      </c>
      <c r="E1658" s="238">
        <v>0.625</v>
      </c>
      <c r="F1658" s="204">
        <v>0.95833333333333337</v>
      </c>
      <c r="G1658" s="193">
        <f>IFERROR(IF(E1658&gt;F1658,((F1658+E376B376+1)-(E1658+#REF!))*24,HOUR(F1658-E1658)+MINUTE(F1658-E1658)/60),"")</f>
        <v>8</v>
      </c>
      <c r="I1658" s="230" t="s">
        <v>509</v>
      </c>
      <c r="J1658" s="231" t="s">
        <v>141</v>
      </c>
    </row>
    <row r="1659" spans="2:11" x14ac:dyDescent="0.25">
      <c r="B1659" s="235">
        <v>45087</v>
      </c>
      <c r="C1659" s="195">
        <v>3</v>
      </c>
      <c r="E1659" s="238">
        <v>0.95833333333333337</v>
      </c>
      <c r="F1659" s="204">
        <v>0.29166666666666669</v>
      </c>
      <c r="G1659" s="193" t="str">
        <f>IFERROR(IF(E1659&gt;F1659,((F1659+E376B376+1)-(E1659+#REF!))*24,HOUR(F1659-E1659)+MINUTE(F1659-E1659)/60),"")</f>
        <v/>
      </c>
      <c r="I1659" s="230" t="s">
        <v>509</v>
      </c>
      <c r="J1659" s="231" t="s">
        <v>141</v>
      </c>
    </row>
    <row r="1660" spans="2:11" x14ac:dyDescent="0.25">
      <c r="B1660" s="235">
        <v>45088</v>
      </c>
      <c r="C1660" s="195">
        <v>1</v>
      </c>
      <c r="E1660" s="238">
        <v>0.29166666666666669</v>
      </c>
      <c r="F1660" s="204">
        <v>0.625</v>
      </c>
      <c r="G1660" s="193">
        <f>IFERROR(IF(E1660&gt;F1660,((F1660+E376B376+1)-(E1660+#REF!))*24,HOUR(F1660-E1660)+MINUTE(F1660-E1660)/60),"")</f>
        <v>8</v>
      </c>
      <c r="I1660" s="230" t="s">
        <v>509</v>
      </c>
      <c r="J1660" s="231" t="s">
        <v>141</v>
      </c>
    </row>
    <row r="1661" spans="2:11" x14ac:dyDescent="0.25">
      <c r="B1661" s="235">
        <v>45088</v>
      </c>
      <c r="C1661" s="195">
        <v>2</v>
      </c>
      <c r="E1661" s="238">
        <v>0.625</v>
      </c>
      <c r="F1661" s="204">
        <v>0.95833333333333337</v>
      </c>
      <c r="G1661" s="193">
        <f>IFERROR(IF(E1661&gt;F1661,((F1661+E376B376+1)-(E1661+#REF!))*24,HOUR(F1661-E1661)+MINUTE(F1661-E1661)/60),"")</f>
        <v>8</v>
      </c>
      <c r="I1661" s="230" t="s">
        <v>509</v>
      </c>
      <c r="J1661" s="231" t="s">
        <v>141</v>
      </c>
    </row>
    <row r="1662" spans="2:11" x14ac:dyDescent="0.25">
      <c r="B1662" s="235">
        <v>45088</v>
      </c>
      <c r="C1662" s="195">
        <v>3</v>
      </c>
      <c r="E1662" s="238">
        <v>0.95833333333333337</v>
      </c>
      <c r="F1662" s="204">
        <v>0.29166666666666669</v>
      </c>
      <c r="G1662" s="193" t="str">
        <f>IFERROR(IF(E1662&gt;F1662,((F1662+E376B376+1)-(E1662+#REF!))*24,HOUR(F1662-E1662)+MINUTE(F1662-E1662)/60),"")</f>
        <v/>
      </c>
      <c r="I1662" s="230" t="s">
        <v>509</v>
      </c>
      <c r="J1662" s="231" t="s">
        <v>141</v>
      </c>
    </row>
    <row r="1663" spans="2:11" x14ac:dyDescent="0.25">
      <c r="B1663" s="235">
        <v>45089</v>
      </c>
      <c r="C1663" s="195">
        <v>1</v>
      </c>
      <c r="E1663" s="238">
        <v>0.29166666666666669</v>
      </c>
      <c r="F1663" s="204">
        <v>0.3444444444444445</v>
      </c>
      <c r="G1663" s="193">
        <f>IFERROR(IF(E1663&gt;F1663,((F1663+E376B376+1)-(E1663+#REF!))*24,HOUR(F1663-E1663)+MINUTE(F1663-E1663)/60),"")</f>
        <v>1.2666666666666666</v>
      </c>
      <c r="H1663" s="230" t="s">
        <v>55</v>
      </c>
      <c r="I1663" s="230" t="s">
        <v>509</v>
      </c>
      <c r="J1663" s="231" t="s">
        <v>114</v>
      </c>
    </row>
    <row r="1664" spans="2:11" x14ac:dyDescent="0.25">
      <c r="B1664" s="235">
        <v>45089</v>
      </c>
      <c r="C1664" s="195">
        <v>1</v>
      </c>
      <c r="E1664" s="238">
        <v>0.36458333333333331</v>
      </c>
      <c r="F1664" s="204">
        <v>0.375</v>
      </c>
      <c r="G1664" s="193">
        <f>IFERROR(IF(E1664&gt;F1664,((F1664+E376B376+1)-(E1664+#REF!))*24,HOUR(F1664-E1664)+MINUTE(F1664-E1664)/60),"")</f>
        <v>0.25</v>
      </c>
      <c r="H1664" s="230" t="s">
        <v>204</v>
      </c>
      <c r="I1664" s="230" t="s">
        <v>509</v>
      </c>
      <c r="J1664" s="231" t="s">
        <v>191</v>
      </c>
    </row>
    <row r="1665" spans="2:11" x14ac:dyDescent="0.25">
      <c r="B1665" s="235">
        <v>45089</v>
      </c>
      <c r="C1665" s="195">
        <v>1</v>
      </c>
      <c r="E1665" s="238">
        <v>0.54305555555555551</v>
      </c>
      <c r="F1665" s="204">
        <v>0.5541666666666667</v>
      </c>
      <c r="G1665" s="193">
        <f>IFERROR(IF(E1665&gt;F1665,((F1665+E376B376+1)-(E1665+#REF!))*24,HOUR(F1665-E1665)+MINUTE(F1665-E1665)/60),"")</f>
        <v>0.26666666666666666</v>
      </c>
      <c r="H1665" s="230" t="s">
        <v>55</v>
      </c>
      <c r="I1665" s="230" t="s">
        <v>511</v>
      </c>
      <c r="J1665" s="231" t="s">
        <v>203</v>
      </c>
    </row>
    <row r="1666" spans="2:11" x14ac:dyDescent="0.25">
      <c r="B1666" s="235">
        <v>45089</v>
      </c>
      <c r="C1666" s="195">
        <v>1</v>
      </c>
      <c r="E1666" s="238">
        <v>0.6069444444444444</v>
      </c>
      <c r="F1666" s="204">
        <v>0.625</v>
      </c>
      <c r="G1666" s="193">
        <f>IFERROR(IF(E1666&gt;F1666,((F1666+E376B376+1)-(E1666+#REF!))*24,HOUR(F1666-E1666)+MINUTE(F1666-E1666)/60),"")</f>
        <v>0.43333333333333335</v>
      </c>
      <c r="H1666" s="230" t="s">
        <v>55</v>
      </c>
      <c r="I1666" s="230" t="s">
        <v>509</v>
      </c>
      <c r="J1666" s="231" t="s">
        <v>114</v>
      </c>
    </row>
    <row r="1667" spans="2:11" s="233" customFormat="1" x14ac:dyDescent="0.25">
      <c r="B1667" s="235">
        <v>45089</v>
      </c>
      <c r="C1667" s="233">
        <v>2</v>
      </c>
      <c r="E1667" s="238">
        <v>0.625</v>
      </c>
      <c r="F1667" s="204">
        <v>0.63888888888888895</v>
      </c>
      <c r="G1667" s="193">
        <f>IFERROR(IF(E1667&gt;F1667,((F1667+E376B376+1)-(E1667+#REF!))*24,HOUR(F1667-E1667)+MINUTE(F1667-E1667)/60),"")</f>
        <v>0.33333333333333331</v>
      </c>
      <c r="H1667" s="230" t="s">
        <v>55</v>
      </c>
      <c r="I1667" s="230" t="s">
        <v>509</v>
      </c>
      <c r="J1667" s="231"/>
      <c r="K1667" s="176" t="s">
        <v>1283</v>
      </c>
    </row>
    <row r="1668" spans="2:11" x14ac:dyDescent="0.25">
      <c r="B1668" s="235">
        <v>45089</v>
      </c>
      <c r="C1668" s="195">
        <v>2</v>
      </c>
      <c r="E1668" s="238">
        <v>0.63888888888888895</v>
      </c>
      <c r="F1668" s="204">
        <v>0.64930555555555558</v>
      </c>
      <c r="G1668" s="193">
        <f>IFERROR(IF(E1668&gt;F1668,((F1668+E376B376+1)-(E1668+#REF!))*24,HOUR(F1668-E1668)+MINUTE(F1668-E1668)/60),"")</f>
        <v>0.25</v>
      </c>
      <c r="H1668" s="230" t="s">
        <v>55</v>
      </c>
      <c r="I1668" s="230" t="s">
        <v>509</v>
      </c>
      <c r="J1668" s="231" t="s">
        <v>203</v>
      </c>
    </row>
    <row r="1669" spans="2:11" x14ac:dyDescent="0.25">
      <c r="B1669" s="235">
        <v>45089</v>
      </c>
      <c r="C1669" s="233">
        <v>2</v>
      </c>
      <c r="E1669" s="238">
        <v>0.65972222222222221</v>
      </c>
      <c r="F1669" s="204">
        <v>0.67291666666666661</v>
      </c>
      <c r="G1669" s="193">
        <f>IFERROR(IF(E1669&gt;F1669,((F1669+E376B376+1)-(E1669+#REF!))*24,HOUR(F1669-E1669)+MINUTE(F1669-E1669)/60),"")</f>
        <v>0.31666666666666665</v>
      </c>
      <c r="H1669" s="230" t="s">
        <v>1282</v>
      </c>
      <c r="I1669" s="230" t="s">
        <v>509</v>
      </c>
      <c r="J1669" s="231" t="s">
        <v>110</v>
      </c>
    </row>
    <row r="1670" spans="2:11" x14ac:dyDescent="0.25">
      <c r="B1670" s="235">
        <v>45089</v>
      </c>
      <c r="C1670" s="233">
        <v>2</v>
      </c>
      <c r="E1670" s="238">
        <v>0.71111111111111114</v>
      </c>
      <c r="F1670" s="204">
        <v>0.72152777777777777</v>
      </c>
      <c r="G1670" s="193">
        <f>IFERROR(IF(E1670&gt;F1670,((F1670+E376B376+1)-(E1670+#REF!))*24,HOUR(F1670-E1670)+MINUTE(F1670-E1670)/60),"")</f>
        <v>0.25</v>
      </c>
      <c r="H1670" s="230" t="s">
        <v>204</v>
      </c>
      <c r="I1670" s="230" t="s">
        <v>509</v>
      </c>
      <c r="J1670" s="231" t="s">
        <v>200</v>
      </c>
    </row>
    <row r="1671" spans="2:11" x14ac:dyDescent="0.25">
      <c r="B1671" s="235">
        <v>45089</v>
      </c>
      <c r="C1671" s="233">
        <v>2</v>
      </c>
      <c r="E1671" s="238">
        <v>0.75</v>
      </c>
      <c r="F1671" s="204">
        <v>0.76111111111111107</v>
      </c>
      <c r="G1671" s="193">
        <f>IFERROR(IF(E1671&gt;F1671,((F1671+E376B376+1)-(E1671+#REF!))*24,HOUR(F1671-E1671)+MINUTE(F1671-E1671)/60),"")</f>
        <v>0.26666666666666666</v>
      </c>
      <c r="H1671" s="230" t="s">
        <v>55</v>
      </c>
      <c r="I1671" s="230" t="s">
        <v>509</v>
      </c>
      <c r="J1671" s="231" t="s">
        <v>211</v>
      </c>
    </row>
    <row r="1672" spans="2:11" x14ac:dyDescent="0.25">
      <c r="B1672" s="235">
        <v>45089</v>
      </c>
      <c r="C1672" s="233">
        <v>2</v>
      </c>
      <c r="E1672" s="238">
        <v>0.78125</v>
      </c>
      <c r="F1672" s="204">
        <v>0.79861111111111116</v>
      </c>
      <c r="G1672" s="193">
        <f>IFERROR(IF(E1672&gt;F1672,((F1672+E376B376+1)-(E1672+#REF!))*24,HOUR(F1672-E1672)+MINUTE(F1672-E1672)/60),"")</f>
        <v>0.41666666666666669</v>
      </c>
      <c r="H1672" s="230" t="s">
        <v>204</v>
      </c>
      <c r="I1672" s="230" t="s">
        <v>509</v>
      </c>
      <c r="J1672" s="231" t="s">
        <v>110</v>
      </c>
    </row>
    <row r="1673" spans="2:11" x14ac:dyDescent="0.25">
      <c r="B1673" s="235">
        <v>45089</v>
      </c>
      <c r="C1673" s="195">
        <v>2</v>
      </c>
      <c r="E1673" s="238">
        <v>0.8027777777777777</v>
      </c>
      <c r="F1673" s="204">
        <v>0.82986111111111116</v>
      </c>
      <c r="G1673" s="193">
        <f>IFERROR(IF(E1673&gt;F1673,((F1673+E376B376+1)-(E1673+#REF!))*24,HOUR(F1673-E1673)+MINUTE(F1673-E1673)/60),"")</f>
        <v>0.65</v>
      </c>
      <c r="H1673" s="230" t="s">
        <v>204</v>
      </c>
      <c r="I1673" s="230" t="s">
        <v>509</v>
      </c>
      <c r="J1673" s="231" t="s">
        <v>110</v>
      </c>
    </row>
    <row r="1674" spans="2:11" x14ac:dyDescent="0.25">
      <c r="B1674" s="235">
        <v>45089</v>
      </c>
      <c r="C1674" s="195">
        <v>2</v>
      </c>
      <c r="E1674" s="238">
        <v>0.88888888888888884</v>
      </c>
      <c r="F1674" s="204">
        <v>0.9</v>
      </c>
      <c r="G1674" s="193">
        <f>IFERROR(IF(E1674&gt;F1674,((F1674+E376B376+1)-(E1674+#REF!))*24,HOUR(F1674-E1674)+MINUTE(F1674-E1674)/60),"")</f>
        <v>0.26666666666666666</v>
      </c>
      <c r="H1674" s="230" t="s">
        <v>1282</v>
      </c>
      <c r="I1674" s="230" t="s">
        <v>509</v>
      </c>
      <c r="J1674" s="231" t="s">
        <v>110</v>
      </c>
    </row>
    <row r="1675" spans="2:11" x14ac:dyDescent="0.25">
      <c r="B1675" s="235">
        <v>45089</v>
      </c>
      <c r="C1675" s="233">
        <v>2</v>
      </c>
      <c r="E1675" s="238">
        <v>0.93194444444444446</v>
      </c>
      <c r="F1675" s="204">
        <v>0.94236111111111109</v>
      </c>
      <c r="G1675" s="193">
        <f>IFERROR(IF(E1675&gt;F1675,((F1675+E376B376+1)-(E1675+#REF!))*24,HOUR(F1675-E1675)+MINUTE(F1675-E1675)/60),"")</f>
        <v>0.25</v>
      </c>
      <c r="H1675" s="230" t="s">
        <v>55</v>
      </c>
      <c r="I1675" s="230" t="s">
        <v>509</v>
      </c>
      <c r="J1675" s="231" t="s">
        <v>203</v>
      </c>
    </row>
    <row r="1676" spans="2:11" x14ac:dyDescent="0.25">
      <c r="B1676" s="235">
        <v>45089</v>
      </c>
      <c r="C1676" s="233">
        <v>2</v>
      </c>
      <c r="E1676" s="238">
        <v>0.94236111111111109</v>
      </c>
      <c r="F1676" s="204">
        <v>0.95833333333333337</v>
      </c>
      <c r="G1676" s="193">
        <f>IFERROR(IF(E1676&gt;F1676,((F1676+E376B376+1)-(E1676+#REF!))*24,HOUR(F1676-E1676)+MINUTE(F1676-E1676)/60),"")</f>
        <v>0.38333333333333336</v>
      </c>
      <c r="H1676" s="230" t="s">
        <v>55</v>
      </c>
      <c r="I1676" s="230" t="s">
        <v>509</v>
      </c>
      <c r="J1676" s="231" t="s">
        <v>114</v>
      </c>
    </row>
    <row r="1677" spans="2:11" x14ac:dyDescent="0.25">
      <c r="B1677" s="235">
        <v>45089</v>
      </c>
      <c r="C1677" s="195">
        <v>3</v>
      </c>
      <c r="E1677" s="238">
        <v>0.95833333333333337</v>
      </c>
      <c r="F1677" s="204">
        <v>0.96736111111111101</v>
      </c>
      <c r="G1677" s="193">
        <f>IFERROR(IF(E1677&gt;F1677,((F1677+E376B376+1)-(E1677+#REF!))*24,HOUR(F1677-E1677)+MINUTE(F1677-E1677)/60),"")</f>
        <v>0.21666666666666667</v>
      </c>
      <c r="H1677" s="230" t="s">
        <v>187</v>
      </c>
      <c r="I1677" s="230" t="s">
        <v>509</v>
      </c>
      <c r="J1677" s="231" t="s">
        <v>110</v>
      </c>
    </row>
    <row r="1678" spans="2:11" s="281" customFormat="1" x14ac:dyDescent="0.25">
      <c r="B1678" s="370">
        <v>45089</v>
      </c>
      <c r="C1678" s="281">
        <v>3</v>
      </c>
      <c r="E1678" s="371">
        <v>0.96736111111111101</v>
      </c>
      <c r="F1678" s="372">
        <v>1.5972222222222224E-2</v>
      </c>
      <c r="G1678" s="373">
        <v>1.1599999999999999</v>
      </c>
      <c r="H1678" s="330" t="s">
        <v>204</v>
      </c>
      <c r="I1678" s="330" t="s">
        <v>509</v>
      </c>
      <c r="J1678" s="330" t="s">
        <v>114</v>
      </c>
      <c r="K1678" s="279"/>
    </row>
    <row r="1679" spans="2:11" x14ac:dyDescent="0.25">
      <c r="B1679" s="235">
        <v>45089</v>
      </c>
      <c r="C1679" s="233">
        <v>3</v>
      </c>
      <c r="E1679" s="238">
        <v>3.4027777777777775E-2</v>
      </c>
      <c r="F1679" s="204">
        <v>7.6388888888888895E-2</v>
      </c>
      <c r="G1679" s="193">
        <f>IFERROR(IF(E1679&gt;F1679,((F1679+E376B376+1)-(E1679+#REF!))*24,HOUR(F1679-E1679)+MINUTE(F1679-E1679)/60),"")</f>
        <v>1.0166666666666666</v>
      </c>
      <c r="H1679" s="230" t="s">
        <v>55</v>
      </c>
      <c r="I1679" s="230" t="s">
        <v>510</v>
      </c>
      <c r="J1679" s="231" t="s">
        <v>495</v>
      </c>
      <c r="K1679" s="176" t="s">
        <v>1285</v>
      </c>
    </row>
    <row r="1680" spans="2:11" x14ac:dyDescent="0.25">
      <c r="B1680" s="235">
        <v>45089</v>
      </c>
      <c r="C1680" s="233">
        <v>3</v>
      </c>
      <c r="E1680" s="238">
        <v>0.10625</v>
      </c>
      <c r="F1680" s="204">
        <v>0.11666666666666665</v>
      </c>
      <c r="G1680" s="193">
        <f>IFERROR(IF(E1680&gt;F1680,((F1680+E376B376+1)-(E1680+#REF!))*24,HOUR(F1680-E1680)+MINUTE(F1680-E1680)/60),"")</f>
        <v>0.25</v>
      </c>
      <c r="H1680" s="230" t="s">
        <v>195</v>
      </c>
      <c r="I1680" s="230" t="s">
        <v>509</v>
      </c>
      <c r="J1680" s="231" t="s">
        <v>110</v>
      </c>
    </row>
    <row r="1681" spans="2:11" s="376" customFormat="1" x14ac:dyDescent="0.25">
      <c r="B1681" s="375">
        <v>45089</v>
      </c>
      <c r="C1681" s="376">
        <v>3</v>
      </c>
      <c r="E1681" s="377">
        <v>0.125</v>
      </c>
      <c r="F1681" s="378">
        <v>0.14027777777777778</v>
      </c>
      <c r="G1681" s="379">
        <f>IFERROR(IF(E1681&gt;F1681,((F1681+E376B376+1)-(E1681+#REF!))*24,HOUR(F1681-E1681)+MINUTE(F1681-E1681)/60),"")</f>
        <v>0.36666666666666664</v>
      </c>
      <c r="H1681" s="374" t="s">
        <v>204</v>
      </c>
      <c r="I1681" s="374" t="s">
        <v>509</v>
      </c>
      <c r="J1681" s="374" t="s">
        <v>110</v>
      </c>
      <c r="K1681" s="380"/>
    </row>
    <row r="1682" spans="2:11" s="376" customFormat="1" x14ac:dyDescent="0.25">
      <c r="B1682" s="375">
        <v>45089</v>
      </c>
      <c r="C1682" s="376">
        <v>3</v>
      </c>
      <c r="E1682" s="381">
        <v>0.14097222222222222</v>
      </c>
      <c r="F1682" s="378">
        <v>0.16666666666666666</v>
      </c>
      <c r="G1682" s="379">
        <f>IFERROR(IF(E1682&gt;F1682,((F1682+E376B376+1)-(E1682+#REF!))*24,HOUR(F1682-E1682)+MINUTE(F1682-E1682)/60),"")</f>
        <v>0.6166666666666667</v>
      </c>
      <c r="H1682" s="374" t="s">
        <v>204</v>
      </c>
      <c r="I1682" s="374" t="s">
        <v>511</v>
      </c>
      <c r="J1682" s="374" t="s">
        <v>69</v>
      </c>
      <c r="K1682" s="380" t="s">
        <v>1286</v>
      </c>
    </row>
    <row r="1683" spans="2:11" s="376" customFormat="1" x14ac:dyDescent="0.25">
      <c r="B1683" s="375">
        <v>45089</v>
      </c>
      <c r="C1683" s="376">
        <v>3</v>
      </c>
      <c r="E1683" s="381">
        <v>0.18402777777777779</v>
      </c>
      <c r="F1683" s="378">
        <v>0.19722222222222222</v>
      </c>
      <c r="G1683" s="379">
        <f>IFERROR(IF(E1683&gt;F1683,((F1683+E376B376+1)-(E1683+#REF!))*24,HOUR(F1683-E1683)+MINUTE(F1683-E1683)/60),"")</f>
        <v>0.31666666666666665</v>
      </c>
      <c r="H1683" s="374" t="s">
        <v>204</v>
      </c>
      <c r="I1683" s="374" t="s">
        <v>511</v>
      </c>
      <c r="J1683" s="374" t="s">
        <v>69</v>
      </c>
      <c r="K1683" s="380" t="s">
        <v>1287</v>
      </c>
    </row>
    <row r="1684" spans="2:11" s="376" customFormat="1" x14ac:dyDescent="0.25">
      <c r="B1684" s="375">
        <v>45089</v>
      </c>
      <c r="C1684" s="376">
        <v>3</v>
      </c>
      <c r="E1684" s="381">
        <v>0.19999999999999998</v>
      </c>
      <c r="F1684" s="378">
        <v>0.21666666666666667</v>
      </c>
      <c r="G1684" s="379">
        <f>IFERROR(IF(E1684&gt;F1684,((F1684+E376B376+1)-(E1684+#REF!))*24,HOUR(F1684-E1684)+MINUTE(F1684-E1684)/60),"")</f>
        <v>0.4</v>
      </c>
      <c r="H1684" s="374" t="s">
        <v>204</v>
      </c>
      <c r="I1684" s="374" t="s">
        <v>511</v>
      </c>
      <c r="J1684" s="374" t="s">
        <v>69</v>
      </c>
      <c r="K1684" s="380" t="s">
        <v>1288</v>
      </c>
    </row>
    <row r="1685" spans="2:11" s="376" customFormat="1" x14ac:dyDescent="0.25">
      <c r="B1685" s="375">
        <v>45089</v>
      </c>
      <c r="C1685" s="376">
        <v>3</v>
      </c>
      <c r="E1685" s="381">
        <v>0.21944444444444444</v>
      </c>
      <c r="F1685" s="378">
        <v>0.24305555555555555</v>
      </c>
      <c r="G1685" s="379">
        <f>IFERROR(IF(E1685&gt;F1685,((F1685+E376B376+1)-(E1685+#REF!))*24,HOUR(F1685-E1685)+MINUTE(F1685-E1685)/60),"")</f>
        <v>0.56666666666666665</v>
      </c>
      <c r="H1685" s="374" t="s">
        <v>195</v>
      </c>
      <c r="I1685" s="374" t="s">
        <v>509</v>
      </c>
      <c r="J1685" s="374" t="s">
        <v>110</v>
      </c>
      <c r="K1685" s="380"/>
    </row>
    <row r="1686" spans="2:11" s="376" customFormat="1" x14ac:dyDescent="0.25">
      <c r="B1686" s="375">
        <v>45089</v>
      </c>
      <c r="C1686" s="376">
        <v>3</v>
      </c>
      <c r="E1686" s="381">
        <v>0.25</v>
      </c>
      <c r="F1686" s="378">
        <v>0.29166666666666669</v>
      </c>
      <c r="G1686" s="379">
        <f>IFERROR(IF(E1686&gt;F1686,((F1686+E376B376+1)-(E1686+#REF!))*24,HOUR(F1686-E1686)+MINUTE(F1686-E1686)/60),"")</f>
        <v>1</v>
      </c>
      <c r="H1686" s="374" t="s">
        <v>201</v>
      </c>
      <c r="I1686" s="374" t="s">
        <v>509</v>
      </c>
      <c r="J1686" s="374" t="s">
        <v>611</v>
      </c>
      <c r="K1686" s="380"/>
    </row>
    <row r="1687" spans="2:11" x14ac:dyDescent="0.25">
      <c r="B1687" s="199">
        <v>45090</v>
      </c>
      <c r="C1687" s="195">
        <v>1</v>
      </c>
      <c r="E1687" s="238">
        <v>0.29166666666666669</v>
      </c>
      <c r="F1687" s="204">
        <v>0.625</v>
      </c>
      <c r="G1687" s="379">
        <f>IFERROR(IF(E1687&gt;F1687,((F1687+E376B376+1)-(E1687+#REF!))*24,HOUR(F1687-E1687)+MINUTE(F1687-E1687)/60),"")</f>
        <v>8</v>
      </c>
      <c r="H1687" s="230" t="s">
        <v>1290</v>
      </c>
      <c r="I1687" s="230" t="s">
        <v>509</v>
      </c>
      <c r="J1687" s="231" t="s">
        <v>110</v>
      </c>
      <c r="K1687" s="176" t="s">
        <v>1291</v>
      </c>
    </row>
    <row r="1688" spans="2:11" x14ac:dyDescent="0.25">
      <c r="B1688" s="199">
        <v>45090</v>
      </c>
      <c r="C1688" s="195">
        <v>2</v>
      </c>
      <c r="E1688" s="238">
        <v>0.625</v>
      </c>
      <c r="F1688" s="204">
        <v>0.63888888888888895</v>
      </c>
      <c r="G1688" s="379">
        <f>IFERROR(IF(E1688&gt;F1688,((F1688+E376B376+1)-(E1688+#REF!))*24,HOUR(F1688-E1688)+MINUTE(F1688-E1688)/60),"")</f>
        <v>0.33333333333333331</v>
      </c>
      <c r="H1688" s="230" t="s">
        <v>55</v>
      </c>
      <c r="I1688" s="230" t="s">
        <v>509</v>
      </c>
      <c r="J1688" s="231" t="s">
        <v>203</v>
      </c>
    </row>
    <row r="1689" spans="2:11" x14ac:dyDescent="0.25">
      <c r="B1689" s="199">
        <v>45090</v>
      </c>
      <c r="C1689" s="195">
        <v>2</v>
      </c>
      <c r="E1689" s="238">
        <v>0.66666666666666663</v>
      </c>
      <c r="F1689" s="204">
        <v>0.68402777777777779</v>
      </c>
      <c r="G1689" s="379">
        <f>IFERROR(IF(E1689&gt;F1689,((F1689+E376B376+1)-(E1689+#REF!))*24,HOUR(F1689-E1689)+MINUTE(F1689-E1689)/60),"")</f>
        <v>0.41666666666666669</v>
      </c>
      <c r="H1689" s="230" t="s">
        <v>55</v>
      </c>
      <c r="I1689" s="230" t="s">
        <v>509</v>
      </c>
      <c r="J1689" s="231" t="s">
        <v>211</v>
      </c>
      <c r="K1689" s="176" t="s">
        <v>684</v>
      </c>
    </row>
    <row r="1690" spans="2:11" s="233" customFormat="1" x14ac:dyDescent="0.25">
      <c r="B1690" s="199">
        <v>45090</v>
      </c>
      <c r="C1690" s="233">
        <v>2</v>
      </c>
      <c r="E1690" s="238">
        <v>0.69444444444444453</v>
      </c>
      <c r="F1690" s="204">
        <v>0.70486111111111116</v>
      </c>
      <c r="G1690" s="379">
        <f>IFERROR(IF(E1690&gt;F1690,((F1690+E376B376+1)-(E1690+#REF!))*24,HOUR(F1690-E1690)+MINUTE(F1690-E1690)/60),"")</f>
        <v>0.25</v>
      </c>
      <c r="H1690" s="230" t="s">
        <v>55</v>
      </c>
      <c r="I1690" s="230" t="s">
        <v>509</v>
      </c>
      <c r="J1690" s="231" t="s">
        <v>203</v>
      </c>
      <c r="K1690" s="176"/>
    </row>
    <row r="1691" spans="2:11" x14ac:dyDescent="0.25">
      <c r="B1691" s="199">
        <v>45090</v>
      </c>
      <c r="C1691" s="195">
        <v>2</v>
      </c>
      <c r="E1691" s="238">
        <v>0.70833333333333337</v>
      </c>
      <c r="F1691" s="204">
        <v>0.71875</v>
      </c>
      <c r="G1691" s="379">
        <f>IFERROR(IF(E1691&gt;F1691,((F1691+E376B376+1)-(E1691+#REF!))*24,HOUR(F1691-E1691)+MINUTE(F1691-E1691)/60),"")</f>
        <v>0.25</v>
      </c>
      <c r="H1691" s="230" t="s">
        <v>55</v>
      </c>
      <c r="I1691" s="230" t="s">
        <v>509</v>
      </c>
      <c r="J1691" s="231" t="s">
        <v>203</v>
      </c>
    </row>
    <row r="1692" spans="2:11" x14ac:dyDescent="0.25">
      <c r="B1692" s="199">
        <v>45090</v>
      </c>
      <c r="C1692" s="195">
        <v>2</v>
      </c>
      <c r="E1692" s="238">
        <v>0.8520833333333333</v>
      </c>
      <c r="F1692" s="204">
        <v>0.87152777777777779</v>
      </c>
      <c r="G1692" s="379">
        <f>IFERROR(IF(E1692&gt;F1692,((F1692+E376B376+1)-(E1692+#REF!))*24,HOUR(F1692-E1692)+MINUTE(F1692-E1692)/60),"")</f>
        <v>0.46666666666666667</v>
      </c>
      <c r="H1692" s="230" t="s">
        <v>187</v>
      </c>
      <c r="I1692" s="230" t="s">
        <v>509</v>
      </c>
      <c r="J1692" s="231" t="s">
        <v>604</v>
      </c>
    </row>
    <row r="1693" spans="2:11" x14ac:dyDescent="0.25">
      <c r="B1693" s="199">
        <v>45090</v>
      </c>
      <c r="C1693" s="195">
        <v>2</v>
      </c>
      <c r="E1693" s="238">
        <v>0.8881944444444444</v>
      </c>
      <c r="F1693" s="204">
        <v>0.90277777777777779</v>
      </c>
      <c r="G1693" s="379">
        <f>IFERROR(IF(E1693&gt;F1693,((F1693+E376B376+1)-(E1693+#REF!))*24,HOUR(F1693-E1693)+MINUTE(F1693-E1693)/60),"")</f>
        <v>0.35</v>
      </c>
      <c r="H1693" s="230" t="s">
        <v>178</v>
      </c>
      <c r="I1693" s="230" t="s">
        <v>511</v>
      </c>
      <c r="J1693" s="231" t="s">
        <v>200</v>
      </c>
    </row>
    <row r="1694" spans="2:11" x14ac:dyDescent="0.25">
      <c r="B1694" s="199">
        <v>45090</v>
      </c>
      <c r="C1694" s="195">
        <v>2</v>
      </c>
      <c r="E1694" s="238">
        <v>0.91666666666666663</v>
      </c>
      <c r="F1694" s="204">
        <v>0.92708333333333337</v>
      </c>
      <c r="G1694" s="379">
        <f>IFERROR(IF(E1694&gt;F1694,((F1694+E376B376+1)-(E1694+#REF!))*24,HOUR(F1694-E1694)+MINUTE(F1694-E1694)/60),"")</f>
        <v>0.25</v>
      </c>
      <c r="H1694" s="230" t="s">
        <v>55</v>
      </c>
      <c r="I1694" s="230" t="s">
        <v>509</v>
      </c>
      <c r="J1694" s="231" t="s">
        <v>203</v>
      </c>
    </row>
    <row r="1695" spans="2:11" x14ac:dyDescent="0.25">
      <c r="B1695" s="199">
        <v>45090</v>
      </c>
      <c r="C1695" s="233">
        <v>2</v>
      </c>
      <c r="E1695" s="238">
        <v>0.9458333333333333</v>
      </c>
      <c r="F1695" s="204">
        <v>0.95833333333333337</v>
      </c>
      <c r="G1695" s="379">
        <f>IFERROR(IF(E1695&gt;F1695,((F1695+E376B376+1)-(E1695+#REF!))*24,HOUR(F1695-E1695)+MINUTE(F1695-E1695)/60),"")</f>
        <v>0.3</v>
      </c>
      <c r="H1695" s="230" t="s">
        <v>55</v>
      </c>
      <c r="I1695" s="230" t="s">
        <v>509</v>
      </c>
      <c r="J1695" s="231" t="s">
        <v>114</v>
      </c>
    </row>
    <row r="1696" spans="2:11" x14ac:dyDescent="0.25">
      <c r="B1696" s="199">
        <v>45090</v>
      </c>
      <c r="C1696" s="195">
        <v>3</v>
      </c>
      <c r="E1696" s="238">
        <v>0.95833333333333337</v>
      </c>
      <c r="F1696" s="204">
        <v>0.97222222222222221</v>
      </c>
      <c r="G1696" s="379">
        <f>IFERROR(IF(E1696&gt;F1696,((F1696+E376B376+1)-(E1696+#REF!))*24,HOUR(F1696-E1696)+MINUTE(F1696-E1696)/60),"")</f>
        <v>0.33333333333333331</v>
      </c>
      <c r="H1696" s="230" t="s">
        <v>55</v>
      </c>
      <c r="I1696" s="230" t="s">
        <v>509</v>
      </c>
      <c r="J1696" s="231" t="s">
        <v>114</v>
      </c>
    </row>
    <row r="1697" spans="2:11" x14ac:dyDescent="0.25">
      <c r="B1697" s="199">
        <v>45090</v>
      </c>
      <c r="C1697" s="233">
        <v>3</v>
      </c>
      <c r="E1697" s="238">
        <v>4.5138888888888888E-2</v>
      </c>
      <c r="F1697" s="204">
        <v>5.5555555555555552E-2</v>
      </c>
      <c r="G1697" s="379">
        <f>IFERROR(IF(E1697&gt;F1697,((F1697+E376B376+1)-(E1697+#REF!))*24,HOUR(F1697-E1697)+MINUTE(F1697-E1697)/60),"")</f>
        <v>0.25</v>
      </c>
      <c r="H1697" s="230" t="s">
        <v>55</v>
      </c>
      <c r="I1697" s="230" t="s">
        <v>511</v>
      </c>
      <c r="J1697" s="231" t="s">
        <v>203</v>
      </c>
    </row>
    <row r="1698" spans="2:11" x14ac:dyDescent="0.25">
      <c r="B1698" s="199">
        <v>45090</v>
      </c>
      <c r="C1698" s="233">
        <v>3</v>
      </c>
      <c r="E1698" s="238">
        <v>0.10555555555555556</v>
      </c>
      <c r="F1698" s="204">
        <v>0.11805555555555557</v>
      </c>
      <c r="G1698" s="379">
        <f>IFERROR(IF(E1698&gt;F1698,((F1698+E376B376+1)-(E1698+#REF!))*24,HOUR(F1698-E1698)+MINUTE(F1698-E1698)/60),"")</f>
        <v>0.3</v>
      </c>
      <c r="H1698" s="230" t="s">
        <v>55</v>
      </c>
      <c r="I1698" s="230" t="s">
        <v>511</v>
      </c>
      <c r="J1698" s="231" t="s">
        <v>203</v>
      </c>
    </row>
    <row r="1699" spans="2:11" x14ac:dyDescent="0.25">
      <c r="B1699" s="199">
        <v>45090</v>
      </c>
      <c r="C1699" s="195">
        <v>3</v>
      </c>
      <c r="E1699" s="238">
        <v>0.27083333333333331</v>
      </c>
      <c r="F1699" s="204">
        <v>0.29166666666666669</v>
      </c>
      <c r="G1699" s="379">
        <f>IFERROR(IF(E1699&gt;F1699,((F1699+E376B376+1)-(E1699+#REF!))*24,HOUR(F1699-E1699)+MINUTE(F1699-E1699)/60),"")</f>
        <v>0.5</v>
      </c>
      <c r="H1699" s="230" t="s">
        <v>55</v>
      </c>
      <c r="I1699" s="230" t="s">
        <v>511</v>
      </c>
      <c r="J1699" s="231" t="s">
        <v>203</v>
      </c>
    </row>
    <row r="1700" spans="2:11" x14ac:dyDescent="0.25">
      <c r="B1700" s="199">
        <v>45091</v>
      </c>
      <c r="C1700" s="195">
        <v>1</v>
      </c>
      <c r="E1700" s="238">
        <v>0.29166666666666669</v>
      </c>
      <c r="F1700" s="204">
        <v>0.625</v>
      </c>
      <c r="G1700" s="379">
        <f>IFERROR(IF(E1700&gt;F1700,((F1700+E376B376+1)-(E1700+#REF!))*24,HOUR(F1700-E1700)+MINUTE(F1700-E1700)/60),"")</f>
        <v>8</v>
      </c>
      <c r="H1700" s="176" t="s">
        <v>428</v>
      </c>
      <c r="I1700" s="230" t="s">
        <v>513</v>
      </c>
      <c r="J1700" s="176" t="s">
        <v>1133</v>
      </c>
    </row>
    <row r="1701" spans="2:11" s="233" customFormat="1" x14ac:dyDescent="0.25">
      <c r="B1701" s="235">
        <v>45822</v>
      </c>
      <c r="C1701" s="233">
        <v>2</v>
      </c>
      <c r="E1701" s="238">
        <v>0.625</v>
      </c>
      <c r="F1701" s="204">
        <v>0.64236111111111105</v>
      </c>
      <c r="G1701" s="379">
        <f>IFERROR(IF(E1701&gt;F1701,((F1701+E376B376+1)-(E1701+#REF!))*24,HOUR(F1701-E1701)+MINUTE(F1701-E1701)/60),"")</f>
        <v>0.41666666666666669</v>
      </c>
      <c r="H1701" s="230" t="s">
        <v>55</v>
      </c>
      <c r="I1701" s="230" t="s">
        <v>509</v>
      </c>
      <c r="J1701" s="231" t="s">
        <v>114</v>
      </c>
      <c r="K1701" s="176" t="s">
        <v>1294</v>
      </c>
    </row>
    <row r="1702" spans="2:11" x14ac:dyDescent="0.25">
      <c r="B1702" s="235">
        <v>45822</v>
      </c>
      <c r="C1702" s="195">
        <v>2</v>
      </c>
      <c r="E1702" s="238">
        <v>0.64236111111111105</v>
      </c>
      <c r="F1702" s="204">
        <v>0.65625</v>
      </c>
      <c r="G1702" s="379">
        <f>IFERROR(IF(E1702&gt;F1702,((F1702+E376B376+1)-(E1702+#REF!))*24,HOUR(F1702-E1702)+MINUTE(F1702-E1702)/60),"")</f>
        <v>0.33333333333333331</v>
      </c>
      <c r="H1702" s="230" t="s">
        <v>55</v>
      </c>
      <c r="I1702" s="230" t="s">
        <v>509</v>
      </c>
      <c r="J1702" s="231" t="s">
        <v>211</v>
      </c>
    </row>
    <row r="1703" spans="2:11" s="233" customFormat="1" x14ac:dyDescent="0.25">
      <c r="B1703" s="235">
        <v>45822</v>
      </c>
      <c r="C1703" s="233">
        <v>2</v>
      </c>
      <c r="E1703" s="238">
        <v>0.65625</v>
      </c>
      <c r="F1703" s="204">
        <v>0.67361111111111116</v>
      </c>
      <c r="G1703" s="379">
        <f>IFERROR(IF(E1703&gt;F1703,((F1703+E376B376+1)-(E1703+#REF!))*24,HOUR(F1703-E1703)+MINUTE(F1703-E1703)/60),"")</f>
        <v>0.41666666666666669</v>
      </c>
      <c r="H1703" s="230" t="s">
        <v>142</v>
      </c>
      <c r="I1703" s="230" t="s">
        <v>511</v>
      </c>
      <c r="J1703" s="231" t="s">
        <v>97</v>
      </c>
      <c r="K1703" s="176" t="s">
        <v>1295</v>
      </c>
    </row>
    <row r="1704" spans="2:11" x14ac:dyDescent="0.25">
      <c r="B1704" s="235">
        <v>45822</v>
      </c>
      <c r="C1704" s="195">
        <v>2</v>
      </c>
      <c r="E1704" s="238">
        <v>0.67361111111111116</v>
      </c>
      <c r="F1704" s="204">
        <v>0.69166666666666676</v>
      </c>
      <c r="G1704" s="379">
        <f>IFERROR(IF(E1704&gt;F1704,((F1704+E376B376+1)-(E1704+#REF!))*24,HOUR(F1704-E1704)+MINUTE(F1704-E1704)/60),"")</f>
        <v>0.43333333333333335</v>
      </c>
      <c r="H1704" s="230" t="s">
        <v>187</v>
      </c>
      <c r="I1704" s="230" t="s">
        <v>509</v>
      </c>
      <c r="J1704" s="231" t="s">
        <v>499</v>
      </c>
    </row>
    <row r="1705" spans="2:11" x14ac:dyDescent="0.25">
      <c r="B1705" s="235">
        <v>45822</v>
      </c>
      <c r="C1705" s="233">
        <v>2</v>
      </c>
      <c r="E1705" s="238">
        <v>0.72222222222222221</v>
      </c>
      <c r="F1705" s="204">
        <v>0.73263888888888884</v>
      </c>
      <c r="G1705" s="379">
        <f>IFERROR(IF(E1705&gt;F1705,((F1705+E376B376+1)-(E1705+#REF!))*24,HOUR(F1705-E1705)+MINUTE(F1705-E1705)/60),"")</f>
        <v>0.25</v>
      </c>
      <c r="H1705" s="230" t="s">
        <v>178</v>
      </c>
      <c r="I1705" s="230" t="s">
        <v>509</v>
      </c>
      <c r="J1705" s="231" t="s">
        <v>110</v>
      </c>
    </row>
    <row r="1706" spans="2:11" x14ac:dyDescent="0.25">
      <c r="B1706" s="235">
        <v>45822</v>
      </c>
      <c r="C1706" s="233">
        <v>2</v>
      </c>
      <c r="E1706" s="238">
        <v>0.80555555555555547</v>
      </c>
      <c r="F1706" s="204">
        <v>0.81597222222222221</v>
      </c>
      <c r="G1706" s="379">
        <f>IFERROR(IF(E1706&gt;F1706,((F1706+E376B376+1)-(E1706+#REF!))*24,HOUR(F1706-E1706)+MINUTE(F1706-E1706)/60),"")</f>
        <v>0.25</v>
      </c>
      <c r="H1706" s="230" t="s">
        <v>55</v>
      </c>
      <c r="I1706" s="230" t="s">
        <v>511</v>
      </c>
      <c r="J1706" s="231" t="s">
        <v>203</v>
      </c>
    </row>
    <row r="1707" spans="2:11" x14ac:dyDescent="0.25">
      <c r="B1707" s="235">
        <v>45822</v>
      </c>
      <c r="C1707" s="233">
        <v>2</v>
      </c>
      <c r="E1707" s="238">
        <v>0.89236111111111116</v>
      </c>
      <c r="F1707" s="204">
        <v>0.90277777777777779</v>
      </c>
      <c r="G1707" s="379">
        <f>IFERROR(IF(E1707&gt;F1707,((F1707+E376B376+1)-(E1707+#REF!))*24,HOUR(F1707-E1707)+MINUTE(F1707-E1707)/60),"")</f>
        <v>0.25</v>
      </c>
      <c r="H1707" s="230" t="s">
        <v>55</v>
      </c>
      <c r="I1707" s="230" t="s">
        <v>509</v>
      </c>
      <c r="J1707" s="231" t="s">
        <v>573</v>
      </c>
    </row>
    <row r="1708" spans="2:11" x14ac:dyDescent="0.25">
      <c r="B1708" s="235">
        <v>45091</v>
      </c>
      <c r="C1708" s="195">
        <v>2</v>
      </c>
      <c r="E1708" s="238">
        <v>0.93888888888888899</v>
      </c>
      <c r="F1708" s="204">
        <v>0.94444444444444453</v>
      </c>
      <c r="G1708" s="379">
        <f>IFERROR(IF(E1708&gt;F1708,((F1708+E376B376+1)-(E1708+#REF!))*24,HOUR(F1708-E1708)+MINUTE(F1708-E1708)/60),"")</f>
        <v>0.13333333333333333</v>
      </c>
      <c r="H1708" s="230" t="s">
        <v>195</v>
      </c>
      <c r="I1708" s="230" t="s">
        <v>509</v>
      </c>
      <c r="J1708" s="231" t="s">
        <v>110</v>
      </c>
    </row>
    <row r="1709" spans="2:11" x14ac:dyDescent="0.25">
      <c r="B1709" s="235">
        <v>45091</v>
      </c>
      <c r="C1709" s="233">
        <v>2</v>
      </c>
      <c r="E1709" s="238">
        <v>0.94444444444444453</v>
      </c>
      <c r="F1709" s="204">
        <v>0.95833333333333337</v>
      </c>
      <c r="G1709" s="379">
        <f>IFERROR(IF(E1709&gt;F1709,((F1709+E376B376+1)-(E1709+#REF!))*24,HOUR(F1709-E1709)+MINUTE(F1709-E1709)/60),"")</f>
        <v>0.33333333333333331</v>
      </c>
      <c r="H1709" s="230" t="s">
        <v>55</v>
      </c>
      <c r="I1709" s="230" t="s">
        <v>509</v>
      </c>
      <c r="J1709" s="231" t="s">
        <v>114</v>
      </c>
    </row>
    <row r="1710" spans="2:11" x14ac:dyDescent="0.25">
      <c r="B1710" s="235">
        <v>45091</v>
      </c>
      <c r="C1710" s="195">
        <v>3</v>
      </c>
      <c r="E1710" s="238">
        <v>0.95833333333333337</v>
      </c>
      <c r="F1710" s="204">
        <v>0.96875</v>
      </c>
      <c r="G1710" s="379">
        <f>IFERROR(IF(E1710&gt;F1710,((F1710+E376B376+1)-(E1710+#REF!))*24,HOUR(F1710-E1710)+MINUTE(F1710-E1710)/60),"")</f>
        <v>0.25</v>
      </c>
      <c r="H1710" s="230" t="s">
        <v>55</v>
      </c>
      <c r="I1710" s="230" t="s">
        <v>509</v>
      </c>
      <c r="J1710" s="231" t="s">
        <v>114</v>
      </c>
    </row>
    <row r="1711" spans="2:11" x14ac:dyDescent="0.25">
      <c r="B1711" s="235">
        <v>45091</v>
      </c>
      <c r="C1711" s="195">
        <v>3</v>
      </c>
      <c r="E1711" s="238">
        <v>0.96875</v>
      </c>
      <c r="F1711" s="204">
        <v>0.98263888888888884</v>
      </c>
      <c r="G1711" s="379">
        <f>IFERROR(IF(E1711&gt;F1711,((F1711+E376B376+1)-(E1711+#REF!))*24,HOUR(F1711-E1711)+MINUTE(F1711-E1711)/60),"")</f>
        <v>0.33333333333333331</v>
      </c>
      <c r="H1711" s="230" t="s">
        <v>204</v>
      </c>
      <c r="I1711" s="230" t="s">
        <v>509</v>
      </c>
      <c r="J1711" s="231" t="s">
        <v>211</v>
      </c>
      <c r="K1711" s="176" t="s">
        <v>1297</v>
      </c>
    </row>
    <row r="1712" spans="2:11" x14ac:dyDescent="0.25">
      <c r="B1712" s="235">
        <v>45091</v>
      </c>
      <c r="C1712" s="233">
        <v>3</v>
      </c>
      <c r="E1712" s="238">
        <v>0.21527777777777779</v>
      </c>
      <c r="F1712" s="204">
        <v>0.22569444444444445</v>
      </c>
      <c r="G1712" s="379">
        <f>IFERROR(IF(E1712&gt;F1712,((F1712+E376B376+1)-(E1712+#REF!))*24,HOUR(F1712-E1712)+MINUTE(F1712-E1712)/60),"")</f>
        <v>0.25</v>
      </c>
      <c r="H1712" s="230" t="s">
        <v>55</v>
      </c>
      <c r="I1712" s="230" t="s">
        <v>511</v>
      </c>
      <c r="J1712" s="231" t="s">
        <v>203</v>
      </c>
    </row>
    <row r="1713" spans="2:11" x14ac:dyDescent="0.25">
      <c r="B1713" s="235">
        <v>45091</v>
      </c>
      <c r="C1713" s="233">
        <v>3</v>
      </c>
      <c r="E1713" s="238">
        <v>0.24652777777777779</v>
      </c>
      <c r="F1713" s="204">
        <v>0.29166666666666669</v>
      </c>
      <c r="G1713" s="379">
        <f>IFERROR(IF(E1713&gt;F1713,((F1713+E376B376+1)-(E1713+#REF!))*24,HOUR(F1713-E1713)+MINUTE(F1713-E1713)/60),"")</f>
        <v>1.0833333333333333</v>
      </c>
      <c r="H1713" s="230" t="s">
        <v>192</v>
      </c>
      <c r="I1713" s="230" t="s">
        <v>509</v>
      </c>
      <c r="J1713" s="231" t="s">
        <v>604</v>
      </c>
    </row>
    <row r="1714" spans="2:11" x14ac:dyDescent="0.25">
      <c r="B1714" s="235">
        <v>45092</v>
      </c>
      <c r="C1714" s="195">
        <v>1</v>
      </c>
      <c r="E1714" s="238">
        <v>0.29166666666666669</v>
      </c>
      <c r="F1714" s="204">
        <v>0.32013888888888892</v>
      </c>
      <c r="G1714" s="379">
        <f>IFERROR(IF(E1714&gt;F1714,((F1714+E376B376+1)-(E1714+#REF!))*24,HOUR(F1714-E1714)+MINUTE(F1714-E1714)/60),"")</f>
        <v>0.68333333333333335</v>
      </c>
      <c r="H1714" s="230" t="s">
        <v>195</v>
      </c>
      <c r="I1714" s="230" t="s">
        <v>509</v>
      </c>
      <c r="J1714" s="231" t="s">
        <v>604</v>
      </c>
    </row>
    <row r="1715" spans="2:11" x14ac:dyDescent="0.25">
      <c r="B1715" s="235">
        <v>45092</v>
      </c>
      <c r="C1715" s="195">
        <v>1</v>
      </c>
      <c r="E1715" s="238">
        <v>0.4055555555555555</v>
      </c>
      <c r="F1715" s="204">
        <v>0.4284722222222222</v>
      </c>
      <c r="G1715" s="379">
        <f>IFERROR(IF(E1715&gt;F1715,((F1715+E376B376+1)-(E1715+#REF!))*24,HOUR(F1715-E1715)+MINUTE(F1715-E1715)/60),"")</f>
        <v>0.55000000000000004</v>
      </c>
      <c r="H1715" s="176" t="s">
        <v>428</v>
      </c>
      <c r="I1715" s="230" t="s">
        <v>513</v>
      </c>
      <c r="J1715" s="231" t="s">
        <v>517</v>
      </c>
      <c r="K1715" s="176" t="s">
        <v>1298</v>
      </c>
    </row>
    <row r="1716" spans="2:11" x14ac:dyDescent="0.25">
      <c r="B1716" s="235">
        <v>45092</v>
      </c>
      <c r="C1716" s="195">
        <v>1</v>
      </c>
      <c r="E1716" s="238">
        <v>0.44305555555555554</v>
      </c>
      <c r="F1716" s="204">
        <v>0.45277777777777778</v>
      </c>
      <c r="G1716" s="379">
        <f>IFERROR(IF(E1716&gt;F1716,((F1716+E376B376+1)-(E1716+#REF!))*24,HOUR(F1716-E1716)+MINUTE(F1716-E1716)/60),"")</f>
        <v>0.23333333333333334</v>
      </c>
      <c r="H1716" s="230" t="s">
        <v>55</v>
      </c>
      <c r="I1716" s="230" t="s">
        <v>511</v>
      </c>
      <c r="J1716" s="231" t="s">
        <v>203</v>
      </c>
    </row>
    <row r="1717" spans="2:11" x14ac:dyDescent="0.25">
      <c r="B1717" s="235">
        <v>45092</v>
      </c>
      <c r="C1717" s="195">
        <v>1</v>
      </c>
      <c r="E1717" s="238">
        <v>0.46180555555555558</v>
      </c>
      <c r="F1717" s="204">
        <v>0.47222222222222227</v>
      </c>
      <c r="G1717" s="379">
        <f>IFERROR(IF(E1717&gt;F1717,((F1717+E376B376+1)-(E1717+#REF!))*24,HOUR(F1717-E1717)+MINUTE(F1717-E1717)/60),"")</f>
        <v>0.25</v>
      </c>
      <c r="H1717" s="230" t="s">
        <v>55</v>
      </c>
      <c r="I1717" s="230" t="s">
        <v>511</v>
      </c>
      <c r="J1717" s="231" t="s">
        <v>203</v>
      </c>
    </row>
    <row r="1718" spans="2:11" x14ac:dyDescent="0.25">
      <c r="B1718" s="235">
        <v>45092</v>
      </c>
      <c r="C1718" s="195">
        <v>1</v>
      </c>
      <c r="E1718" s="238">
        <v>0.60902777777777783</v>
      </c>
      <c r="F1718" s="204">
        <v>0.625</v>
      </c>
      <c r="G1718" s="379">
        <f>IFERROR(IF(E1718&gt;F1718,((F1718+E376B376+1)-(E1718+#REF!))*24,HOUR(F1718-E1718)+MINUTE(F1718-E1718)/60),"")</f>
        <v>0.38333333333333336</v>
      </c>
      <c r="H1718" s="230" t="s">
        <v>55</v>
      </c>
      <c r="I1718" s="230" t="s">
        <v>509</v>
      </c>
      <c r="J1718" s="231" t="s">
        <v>114</v>
      </c>
    </row>
    <row r="1719" spans="2:11" s="196" customFormat="1" x14ac:dyDescent="0.25">
      <c r="B1719" s="199">
        <v>45092</v>
      </c>
      <c r="C1719" s="196">
        <v>2</v>
      </c>
      <c r="E1719" s="277">
        <v>0.63541666666666663</v>
      </c>
      <c r="F1719" s="283">
        <v>0.64583333333333337</v>
      </c>
      <c r="G1719" s="379">
        <f>IFERROR(IF(E1719&gt;F1719,((F1719+E376B376+1)-(E1719+#REF!))*24,HOUR(F1719-E1719)+MINUTE(F1719-E1719)/60),"")</f>
        <v>0.25</v>
      </c>
      <c r="H1719" s="231" t="s">
        <v>55</v>
      </c>
      <c r="I1719" s="231" t="s">
        <v>511</v>
      </c>
      <c r="J1719" s="231" t="s">
        <v>203</v>
      </c>
      <c r="K1719" s="231" t="s">
        <v>1190</v>
      </c>
    </row>
    <row r="1720" spans="2:11" x14ac:dyDescent="0.25">
      <c r="B1720" s="235">
        <v>45092</v>
      </c>
      <c r="C1720" s="195">
        <v>2</v>
      </c>
      <c r="E1720" s="238">
        <v>0.78541666666666676</v>
      </c>
      <c r="F1720" s="204">
        <v>0.79583333333333339</v>
      </c>
      <c r="G1720" s="379">
        <f>IFERROR(IF(E1720&gt;F1720,((F1720+E376B376+1)-(E1720+#REF!))*24,HOUR(F1720-E1720)+MINUTE(F1720-E1720)/60),"")</f>
        <v>0.25</v>
      </c>
      <c r="H1720" s="230" t="s">
        <v>158</v>
      </c>
      <c r="I1720" s="230" t="s">
        <v>509</v>
      </c>
      <c r="J1720" s="231" t="s">
        <v>1300</v>
      </c>
      <c r="K1720" s="176" t="s">
        <v>1300</v>
      </c>
    </row>
    <row r="1721" spans="2:11" x14ac:dyDescent="0.25">
      <c r="B1721" s="235">
        <v>45092</v>
      </c>
      <c r="C1721" s="195">
        <v>2</v>
      </c>
      <c r="E1721" s="238">
        <v>0.88402777777777775</v>
      </c>
      <c r="F1721" s="204">
        <v>0.89583333333333337</v>
      </c>
      <c r="G1721" s="379">
        <f>IFERROR(IF(E1721&gt;F1721,((F1721+E376B376+1)-(E1721+#REF!))*24,HOUR(F1721-E1721)+MINUTE(F1721-E1721)/60),"")</f>
        <v>0.28333333333333333</v>
      </c>
      <c r="H1721" s="230" t="s">
        <v>55</v>
      </c>
      <c r="I1721" s="230" t="s">
        <v>509</v>
      </c>
      <c r="J1721" s="231" t="s">
        <v>211</v>
      </c>
      <c r="K1721" s="176" t="s">
        <v>684</v>
      </c>
    </row>
    <row r="1722" spans="2:11" x14ac:dyDescent="0.25">
      <c r="B1722" s="235">
        <v>45092</v>
      </c>
      <c r="C1722" s="195">
        <v>2</v>
      </c>
      <c r="E1722" s="238">
        <v>0.94097222222222221</v>
      </c>
      <c r="F1722" s="204">
        <v>0.95833333333333337</v>
      </c>
      <c r="G1722" s="379">
        <f>IFERROR(IF(E1722&gt;F1722,((F1722+E376B376+1)-(E1722+#REF!))*24,HOUR(F1722-E1722)+MINUTE(F1722-E1722)/60),"")</f>
        <v>0.41666666666666669</v>
      </c>
      <c r="H1722" s="230" t="s">
        <v>55</v>
      </c>
      <c r="I1722" s="230" t="s">
        <v>509</v>
      </c>
      <c r="J1722" s="231" t="s">
        <v>114</v>
      </c>
    </row>
    <row r="1723" spans="2:11" x14ac:dyDescent="0.25">
      <c r="B1723" s="235">
        <v>45092</v>
      </c>
      <c r="C1723" s="195">
        <v>3</v>
      </c>
      <c r="E1723" s="238">
        <v>0.95833333333333337</v>
      </c>
      <c r="F1723" s="204">
        <v>0.97222222222222221</v>
      </c>
      <c r="G1723" s="379">
        <f>IFERROR(IF(E1723&gt;F1723,((F1723+E376B376+1)-(E1723+#REF!))*24,HOUR(F1723-E1723)+MINUTE(F1723-E1723)/60),"")</f>
        <v>0.33333333333333331</v>
      </c>
      <c r="H1723" s="230" t="s">
        <v>55</v>
      </c>
      <c r="I1723" s="230" t="s">
        <v>509</v>
      </c>
      <c r="J1723" s="231" t="s">
        <v>114</v>
      </c>
    </row>
    <row r="1724" spans="2:11" x14ac:dyDescent="0.25">
      <c r="B1724" s="235">
        <v>45092</v>
      </c>
      <c r="C1724" s="195">
        <v>3</v>
      </c>
      <c r="E1724" s="238">
        <v>0.97569444444444453</v>
      </c>
      <c r="F1724" s="204">
        <v>0.98958333333333337</v>
      </c>
      <c r="G1724" s="379">
        <f>IFERROR(IF(E1724&gt;F1724,((F1724+E376B376+1)-(E1724+#REF!))*24,HOUR(F1724-E1724)+MINUTE(F1724-E1724)/60),"")</f>
        <v>0.33333333333333331</v>
      </c>
      <c r="H1724" s="230" t="s">
        <v>55</v>
      </c>
      <c r="I1724" s="230" t="s">
        <v>509</v>
      </c>
      <c r="J1724" s="231" t="s">
        <v>213</v>
      </c>
    </row>
    <row r="1725" spans="2:11" x14ac:dyDescent="0.25">
      <c r="B1725" s="235">
        <v>45092</v>
      </c>
      <c r="C1725" s="195">
        <v>3</v>
      </c>
      <c r="E1725" s="238">
        <v>4.5138888888888888E-2</v>
      </c>
      <c r="F1725" s="204">
        <v>5.5555555555555552E-2</v>
      </c>
      <c r="G1725" s="379">
        <f>IFERROR(IF(E1725&gt;F1725,((F1725+E376B376+1)-(E1725+#REF!))*24,HOUR(F1725-E1725)+MINUTE(F1725-E1725)/60),"")</f>
        <v>0.25</v>
      </c>
      <c r="H1725" s="231" t="s">
        <v>55</v>
      </c>
      <c r="I1725" s="231" t="s">
        <v>511</v>
      </c>
      <c r="J1725" s="231" t="s">
        <v>203</v>
      </c>
      <c r="K1725" s="231" t="s">
        <v>1190</v>
      </c>
    </row>
    <row r="1726" spans="2:11" x14ac:dyDescent="0.25">
      <c r="B1726" s="235">
        <v>45092</v>
      </c>
      <c r="C1726" s="195">
        <v>3</v>
      </c>
      <c r="E1726" s="238">
        <v>0.1076388888888889</v>
      </c>
      <c r="F1726" s="204">
        <v>0.11805555555555557</v>
      </c>
      <c r="G1726" s="379">
        <f>IFERROR(IF(E1726&gt;F1726,((F1726+E376B376+1)-(E1726+#REF!))*24,HOUR(F1726-E1726)+MINUTE(F1726-E1726)/60),"")</f>
        <v>0.25</v>
      </c>
      <c r="H1726" s="231" t="s">
        <v>55</v>
      </c>
      <c r="I1726" s="231" t="s">
        <v>511</v>
      </c>
      <c r="J1726" s="231" t="s">
        <v>203</v>
      </c>
      <c r="K1726" s="231" t="s">
        <v>1190</v>
      </c>
    </row>
    <row r="1727" spans="2:11" x14ac:dyDescent="0.25">
      <c r="B1727" s="235">
        <v>45092</v>
      </c>
      <c r="C1727" s="195">
        <v>3</v>
      </c>
      <c r="E1727" s="238">
        <v>0.14375000000000002</v>
      </c>
      <c r="F1727" s="204">
        <v>0.16319444444444445</v>
      </c>
      <c r="G1727" s="379">
        <f>IFERROR(IF(E1727&gt;F1727,((F1727+E376B376+1)-(E1727+#REF!))*24,HOUR(F1727-E1727)+MINUTE(F1727-E1727)/60),"")</f>
        <v>0.46666666666666667</v>
      </c>
      <c r="H1727" s="230" t="s">
        <v>55</v>
      </c>
      <c r="I1727" s="230" t="s">
        <v>509</v>
      </c>
      <c r="J1727" s="231" t="s">
        <v>211</v>
      </c>
      <c r="K1727" s="176" t="s">
        <v>684</v>
      </c>
    </row>
    <row r="1728" spans="2:11" x14ac:dyDescent="0.25">
      <c r="B1728" s="235">
        <v>45092</v>
      </c>
      <c r="C1728" s="233">
        <v>3</v>
      </c>
      <c r="E1728" s="238">
        <v>0.20833333333333334</v>
      </c>
      <c r="F1728" s="204">
        <v>0.21875</v>
      </c>
      <c r="G1728" s="379">
        <f>IFERROR(IF(E1728&gt;F1728,((F1728+E376B376+1)-(E1728+#REF!))*24,HOUR(F1728-E1728)+MINUTE(F1728-E1728)/60),"")</f>
        <v>0.25</v>
      </c>
      <c r="H1728" s="231" t="s">
        <v>55</v>
      </c>
      <c r="I1728" s="231" t="s">
        <v>511</v>
      </c>
      <c r="J1728" s="231" t="s">
        <v>203</v>
      </c>
      <c r="K1728" s="231" t="s">
        <v>1190</v>
      </c>
    </row>
    <row r="1729" spans="2:11" x14ac:dyDescent="0.25">
      <c r="B1729" s="235">
        <v>45092</v>
      </c>
      <c r="C1729" s="233">
        <v>3</v>
      </c>
      <c r="E1729" s="238">
        <v>0.27083333333333331</v>
      </c>
      <c r="F1729" s="204">
        <v>0.29166666666666669</v>
      </c>
      <c r="G1729" s="379">
        <f>IFERROR(IF(E1729&gt;F1729,((F1729+E376B376+1)-(E1729+#REF!))*24,HOUR(F1729-E1729)+MINUTE(F1729-E1729)/60),"")</f>
        <v>0.5</v>
      </c>
      <c r="H1729" s="230" t="s">
        <v>55</v>
      </c>
      <c r="I1729" s="230" t="s">
        <v>509</v>
      </c>
      <c r="J1729" s="231" t="s">
        <v>114</v>
      </c>
    </row>
    <row r="1730" spans="2:11" x14ac:dyDescent="0.25">
      <c r="B1730" s="235">
        <v>45093</v>
      </c>
      <c r="C1730" s="195">
        <v>1</v>
      </c>
      <c r="E1730" s="238">
        <v>0.29166666666666669</v>
      </c>
      <c r="F1730" s="204">
        <v>0.3125</v>
      </c>
      <c r="G1730" s="379">
        <f>IFERROR(IF(E1730&gt;F1730,((F1730+E376B376+1)-(E1730+#REF!))*24,HOUR(F1730-E1730)+MINUTE(F1730-E1730)/60),"")</f>
        <v>0.5</v>
      </c>
      <c r="H1730" s="230" t="s">
        <v>55</v>
      </c>
      <c r="I1730" s="230" t="s">
        <v>509</v>
      </c>
      <c r="J1730" s="231" t="s">
        <v>114</v>
      </c>
    </row>
    <row r="1731" spans="2:11" x14ac:dyDescent="0.25">
      <c r="B1731" s="3" t="s">
        <v>1304</v>
      </c>
      <c r="C1731" s="195">
        <v>1</v>
      </c>
      <c r="E1731" s="238">
        <v>0.34375</v>
      </c>
      <c r="F1731" s="204">
        <v>0.35416666666666669</v>
      </c>
      <c r="G1731" s="379">
        <f>IFERROR(IF(E1731&gt;F1731,((F1731+E376B376+1)-(E1731+#REF!))*24,HOUR(F1731-E1731)+MINUTE(F1731-E1731)/60),"")</f>
        <v>0.25</v>
      </c>
      <c r="H1731" s="230" t="s">
        <v>1128</v>
      </c>
      <c r="I1731" s="230" t="s">
        <v>509</v>
      </c>
      <c r="J1731" s="231" t="s">
        <v>110</v>
      </c>
    </row>
    <row r="1732" spans="2:11" x14ac:dyDescent="0.25">
      <c r="B1732" s="235">
        <v>45093</v>
      </c>
      <c r="C1732" s="195">
        <v>1</v>
      </c>
      <c r="D1732" s="238">
        <v>0.41736111111111113</v>
      </c>
      <c r="E1732" s="238">
        <v>0.41805555555555557</v>
      </c>
      <c r="F1732" s="204">
        <v>0.4513888888888889</v>
      </c>
      <c r="G1732" s="379">
        <f>IFERROR(IF(E1732&gt;F1732,((F1732+E376B376+1)-(E1732+#REF!))*24,HOUR(F1732-E1732)+MINUTE(F1732-E1732)/60),"")</f>
        <v>0.8</v>
      </c>
      <c r="H1732" s="230" t="s">
        <v>55</v>
      </c>
      <c r="I1732" s="230" t="s">
        <v>510</v>
      </c>
      <c r="J1732" s="231" t="s">
        <v>517</v>
      </c>
      <c r="K1732" s="176" t="s">
        <v>1118</v>
      </c>
    </row>
    <row r="1733" spans="2:11" x14ac:dyDescent="0.25">
      <c r="B1733" s="235">
        <v>45093</v>
      </c>
      <c r="C1733" s="195">
        <v>1</v>
      </c>
      <c r="E1733" s="238">
        <v>0.50694444444444442</v>
      </c>
      <c r="F1733" s="204">
        <v>0.51874999999999993</v>
      </c>
      <c r="G1733" s="379">
        <f>IFERROR(IF(E1733&gt;F1733,((F1733+E376B376+1)-(E1733+#REF!))*24,HOUR(F1733-E1733)+MINUTE(F1733-E1733)/60),"")</f>
        <v>0.28333333333333333</v>
      </c>
      <c r="H1733" s="230" t="s">
        <v>55</v>
      </c>
      <c r="I1733" s="230" t="s">
        <v>509</v>
      </c>
      <c r="J1733" s="231" t="s">
        <v>211</v>
      </c>
      <c r="K1733" s="176" t="s">
        <v>684</v>
      </c>
    </row>
    <row r="1734" spans="2:11" x14ac:dyDescent="0.25">
      <c r="B1734" s="235">
        <v>45093</v>
      </c>
      <c r="C1734" s="195">
        <v>1</v>
      </c>
      <c r="E1734" s="238">
        <v>0.57638888888888895</v>
      </c>
      <c r="F1734" s="204">
        <v>0.58680555555555558</v>
      </c>
      <c r="G1734" s="379">
        <f>IFERROR(IF(E1734&gt;F1734,((F1734+E376B376+1)-(E1734+#REF!))*24,HOUR(F1734-E1734)+MINUTE(F1734-E1734)/60),"")</f>
        <v>0.25</v>
      </c>
      <c r="H1734" s="231" t="s">
        <v>55</v>
      </c>
      <c r="I1734" s="231" t="s">
        <v>511</v>
      </c>
      <c r="J1734" s="231" t="s">
        <v>203</v>
      </c>
    </row>
    <row r="1735" spans="2:11" x14ac:dyDescent="0.25">
      <c r="B1735" s="235">
        <v>45093</v>
      </c>
      <c r="C1735" s="195">
        <v>1</v>
      </c>
      <c r="E1735" s="238">
        <v>0.60902777777777783</v>
      </c>
      <c r="F1735" s="204">
        <v>0.625</v>
      </c>
      <c r="G1735" s="379">
        <f>IFERROR(IF(E1735&gt;F1735,((F1735+E376B376+1)-(E1735+#REF!))*24,HOUR(F1735-E1735)+MINUTE(F1735-E1735)/60),"")</f>
        <v>0.38333333333333336</v>
      </c>
      <c r="H1735" s="230" t="s">
        <v>55</v>
      </c>
      <c r="I1735" s="230" t="s">
        <v>509</v>
      </c>
      <c r="J1735" s="231" t="s">
        <v>114</v>
      </c>
    </row>
    <row r="1736" spans="2:11" x14ac:dyDescent="0.25">
      <c r="B1736" s="235">
        <v>45093</v>
      </c>
      <c r="C1736" s="195">
        <v>2</v>
      </c>
      <c r="E1736" s="238">
        <v>0.625</v>
      </c>
      <c r="F1736" s="204">
        <v>0.63124999999999998</v>
      </c>
      <c r="G1736" s="379">
        <f>IFERROR(IF(E1736&gt;F1736,((F1736+E376B376+1)-(E1736+#REF!))*24,HOUR(F1736-E1736)+MINUTE(F1736-E1736)/60),"")</f>
        <v>0.15</v>
      </c>
      <c r="H1736" s="230" t="s">
        <v>55</v>
      </c>
      <c r="I1736" s="230" t="s">
        <v>509</v>
      </c>
      <c r="J1736" s="231" t="s">
        <v>114</v>
      </c>
    </row>
    <row r="1737" spans="2:11" x14ac:dyDescent="0.25">
      <c r="B1737" s="235">
        <v>45093</v>
      </c>
      <c r="C1737" s="233">
        <v>2</v>
      </c>
      <c r="E1737" s="238">
        <v>0.63124999999999998</v>
      </c>
      <c r="F1737" s="204">
        <v>0.64513888888888882</v>
      </c>
      <c r="G1737" s="379">
        <f>IFERROR(IF(E1737&gt;F1737,((F1737+E376B376+1)-(E1737+#REF!))*24,HOUR(F1737-E1737)+MINUTE(F1737-E1737)/60),"")</f>
        <v>0.33333333333333331</v>
      </c>
      <c r="H1737" s="230" t="s">
        <v>204</v>
      </c>
      <c r="I1737" s="230" t="s">
        <v>509</v>
      </c>
      <c r="J1737" s="231" t="s">
        <v>114</v>
      </c>
    </row>
    <row r="1738" spans="2:11" s="196" customFormat="1" x14ac:dyDescent="0.25">
      <c r="B1738" s="199">
        <v>45093</v>
      </c>
      <c r="C1738" s="196">
        <v>2</v>
      </c>
      <c r="E1738" s="277">
        <v>0.8520833333333333</v>
      </c>
      <c r="F1738" s="283">
        <v>0.86249999999999993</v>
      </c>
      <c r="G1738" s="379">
        <f>IFERROR(IF(E1738&gt;F1738,((F1738+E376B376+1)-(E1738+#REF!))*24,HOUR(F1738-E1738)+MINUTE(F1738-E1738)/60),"")</f>
        <v>0.25</v>
      </c>
      <c r="H1738" s="231" t="s">
        <v>55</v>
      </c>
      <c r="I1738" s="231" t="s">
        <v>511</v>
      </c>
      <c r="J1738" s="231" t="s">
        <v>203</v>
      </c>
      <c r="K1738" s="231" t="s">
        <v>1190</v>
      </c>
    </row>
    <row r="1739" spans="2:11" x14ac:dyDescent="0.25">
      <c r="B1739" s="235">
        <v>45093</v>
      </c>
      <c r="C1739" s="233">
        <v>2</v>
      </c>
      <c r="E1739" s="238">
        <v>0.90347222222222223</v>
      </c>
      <c r="F1739" s="204">
        <v>0.91388888888888886</v>
      </c>
      <c r="G1739" s="379">
        <f>IFERROR(IF(E1739&gt;F1739,((F1739+E376B376+1)-(E1739+#REF!))*24,HOUR(F1739-E1739)+MINUTE(F1739-E1739)/60),"")</f>
        <v>0.25</v>
      </c>
      <c r="H1739" s="231" t="s">
        <v>55</v>
      </c>
      <c r="I1739" s="231" t="s">
        <v>511</v>
      </c>
      <c r="J1739" s="231" t="s">
        <v>203</v>
      </c>
    </row>
    <row r="1740" spans="2:11" x14ac:dyDescent="0.25">
      <c r="B1740" s="235">
        <v>45093</v>
      </c>
      <c r="C1740" s="233">
        <v>2</v>
      </c>
      <c r="E1740" s="238">
        <v>0.92708333333333337</v>
      </c>
      <c r="F1740" s="204">
        <v>0.9375</v>
      </c>
      <c r="G1740" s="379">
        <f>IFERROR(IF(E1740&gt;F1740,((F1740+E376B376+1)-(E1740+#REF!))*24,HOUR(F1740-E1740)+MINUTE(F1740-E1740)/60),"")</f>
        <v>0.25</v>
      </c>
      <c r="H1740" s="231" t="s">
        <v>55</v>
      </c>
      <c r="I1740" s="231" t="s">
        <v>511</v>
      </c>
      <c r="J1740" s="231" t="s">
        <v>203</v>
      </c>
    </row>
    <row r="1741" spans="2:11" x14ac:dyDescent="0.25">
      <c r="B1741" s="235">
        <v>45093</v>
      </c>
      <c r="C1741" s="195">
        <v>2</v>
      </c>
      <c r="E1741" s="238">
        <v>0.94305555555555554</v>
      </c>
      <c r="F1741" s="204">
        <v>0.95833333333333337</v>
      </c>
      <c r="G1741" s="379">
        <f>IFERROR(IF(E1741&gt;F1741,((F1741+E376B376+1)-(E1741+#REF!))*24,HOUR(F1741-E1741)+MINUTE(F1741-E1741)/60),"")</f>
        <v>0.36666666666666664</v>
      </c>
      <c r="H1741" s="230" t="s">
        <v>55</v>
      </c>
      <c r="I1741" s="230" t="s">
        <v>509</v>
      </c>
      <c r="J1741" s="231" t="s">
        <v>114</v>
      </c>
    </row>
    <row r="1742" spans="2:11" x14ac:dyDescent="0.25">
      <c r="B1742" s="235">
        <v>45093</v>
      </c>
      <c r="C1742" s="195">
        <v>3</v>
      </c>
      <c r="E1742" s="238">
        <v>0.95833333333333337</v>
      </c>
      <c r="F1742" s="204">
        <v>0.97569444444444453</v>
      </c>
      <c r="G1742" s="379">
        <f>IFERROR(IF(E1742&gt;F1742,((F1742+E376B376+1)-(E1742+#REF!))*24,HOUR(F1742-E1742)+MINUTE(F1742-E1742)/60),"")</f>
        <v>0.41666666666666669</v>
      </c>
      <c r="H1742" s="230" t="s">
        <v>55</v>
      </c>
      <c r="I1742" s="230" t="s">
        <v>509</v>
      </c>
      <c r="J1742" s="231" t="s">
        <v>114</v>
      </c>
    </row>
    <row r="1743" spans="2:11" x14ac:dyDescent="0.25">
      <c r="B1743" s="235">
        <v>45093</v>
      </c>
      <c r="C1743" s="195">
        <v>3</v>
      </c>
      <c r="E1743" s="238">
        <v>1.7361111111111112E-2</v>
      </c>
      <c r="F1743" s="204">
        <v>2.7777777777777776E-2</v>
      </c>
      <c r="G1743" s="379">
        <f>IFERROR(IF(E1743&gt;F1743,((F1743+E376B376+1)-(E1743+#REF!))*24,HOUR(F1743-E1743)+MINUTE(F1743-E1743)/60),"")</f>
        <v>0.25</v>
      </c>
      <c r="H1743" s="231" t="s">
        <v>55</v>
      </c>
      <c r="I1743" s="231" t="s">
        <v>511</v>
      </c>
      <c r="J1743" s="231" t="s">
        <v>203</v>
      </c>
    </row>
    <row r="1744" spans="2:11" x14ac:dyDescent="0.25">
      <c r="B1744" s="235">
        <v>45093</v>
      </c>
      <c r="C1744" s="233">
        <v>3</v>
      </c>
      <c r="E1744" s="238">
        <v>9.0277777777777776E-2</v>
      </c>
      <c r="F1744" s="204">
        <v>0.10069444444444443</v>
      </c>
      <c r="G1744" s="379">
        <f>IFERROR(IF(E1744&gt;F1744,((F1744+E376B376+1)-(E1744+#REF!))*24,HOUR(F1744-E1744)+MINUTE(F1744-E1744)/60),"")</f>
        <v>0.25</v>
      </c>
      <c r="H1744" s="231" t="s">
        <v>55</v>
      </c>
      <c r="I1744" s="231" t="s">
        <v>511</v>
      </c>
      <c r="J1744" s="231" t="s">
        <v>203</v>
      </c>
    </row>
    <row r="1745" spans="2:11" x14ac:dyDescent="0.25">
      <c r="B1745" s="235">
        <v>45093</v>
      </c>
      <c r="C1745" s="195">
        <v>3</v>
      </c>
      <c r="E1745" s="238">
        <v>0.1388888888888889</v>
      </c>
      <c r="F1745" s="204">
        <v>0.14930555555555555</v>
      </c>
      <c r="G1745" s="379">
        <f>IFERROR(IF(E1745&gt;F1745,((F1745+E376B376+1)-(E1745+#REF!))*24,HOUR(F1745-E1745)+MINUTE(F1745-E1745)/60),"")</f>
        <v>0.25</v>
      </c>
      <c r="H1745" s="230" t="s">
        <v>55</v>
      </c>
      <c r="I1745" s="230" t="s">
        <v>509</v>
      </c>
      <c r="J1745" s="231" t="s">
        <v>211</v>
      </c>
      <c r="K1745" s="176" t="s">
        <v>684</v>
      </c>
    </row>
    <row r="1746" spans="2:11" x14ac:dyDescent="0.25">
      <c r="B1746" s="235">
        <v>45093</v>
      </c>
      <c r="C1746" s="195">
        <v>3</v>
      </c>
      <c r="E1746" s="238">
        <v>0.18402777777777779</v>
      </c>
      <c r="F1746" s="204">
        <v>0.19444444444444445</v>
      </c>
      <c r="G1746" s="379">
        <f>IFERROR(IF(E1746&gt;F1746,((F1746+E376B376+1)-(E1746+#REF!))*24,HOUR(F1746-E1746)+MINUTE(F1746-E1746)/60),"")</f>
        <v>0.25</v>
      </c>
      <c r="H1746" s="231" t="s">
        <v>55</v>
      </c>
      <c r="I1746" s="231" t="s">
        <v>511</v>
      </c>
      <c r="J1746" s="231" t="s">
        <v>203</v>
      </c>
    </row>
    <row r="1747" spans="2:11" x14ac:dyDescent="0.25">
      <c r="B1747" s="235">
        <v>45093</v>
      </c>
      <c r="C1747" s="233">
        <v>3</v>
      </c>
      <c r="E1747" s="238">
        <v>0.27430555555555552</v>
      </c>
      <c r="F1747" s="204">
        <v>0.29166666666666669</v>
      </c>
      <c r="G1747" s="379">
        <f>IFERROR(IF(E1747&gt;F1747,((F1747+E376B376+1)-(E1747+#REF!))*24,HOUR(F1747-E1747)+MINUTE(F1747-E1747)/60),"")</f>
        <v>0.41666666666666669</v>
      </c>
      <c r="H1747" s="176" t="s">
        <v>428</v>
      </c>
      <c r="I1747" s="230" t="s">
        <v>513</v>
      </c>
      <c r="J1747" s="176" t="s">
        <v>1308</v>
      </c>
    </row>
    <row r="1748" spans="2:11" x14ac:dyDescent="0.25">
      <c r="B1748" s="235">
        <v>45094</v>
      </c>
      <c r="C1748" s="195">
        <v>1</v>
      </c>
      <c r="E1748" s="238">
        <v>0.29166666666666669</v>
      </c>
      <c r="F1748" s="204">
        <v>0.30902777777777779</v>
      </c>
      <c r="G1748" s="379">
        <f>IFERROR(IF(E1748&gt;F1748,((F1748+E376B376+1)-(E1748+#REF!))*24,HOUR(F1748-E1748)+MINUTE(F1748-E1748)/60),"")</f>
        <v>0.41666666666666669</v>
      </c>
      <c r="H1748" s="176" t="s">
        <v>428</v>
      </c>
      <c r="I1748" s="230" t="s">
        <v>513</v>
      </c>
      <c r="J1748" s="176" t="s">
        <v>1308</v>
      </c>
      <c r="K1748" s="176" t="s">
        <v>1065</v>
      </c>
    </row>
    <row r="1749" spans="2:11" x14ac:dyDescent="0.25">
      <c r="B1749" s="235">
        <v>45094</v>
      </c>
      <c r="C1749" s="195">
        <v>1</v>
      </c>
      <c r="E1749" s="238">
        <v>0.31875000000000003</v>
      </c>
      <c r="F1749" s="204">
        <v>0.625</v>
      </c>
      <c r="G1749" s="379">
        <f>IFERROR(IF(E1749&gt;F1749,((F1749+E376B376+1)-(E1749+#REF!))*24,HOUR(F1749-E1749)+MINUTE(F1749-E1749)/60),"")</f>
        <v>7.35</v>
      </c>
      <c r="H1749" s="176" t="s">
        <v>428</v>
      </c>
      <c r="I1749" s="230" t="s">
        <v>513</v>
      </c>
      <c r="J1749" s="176" t="s">
        <v>1308</v>
      </c>
    </row>
    <row r="1750" spans="2:11" x14ac:dyDescent="0.25">
      <c r="B1750" s="235">
        <v>45094</v>
      </c>
      <c r="C1750" s="195">
        <v>2</v>
      </c>
      <c r="E1750" s="238">
        <v>0.625</v>
      </c>
      <c r="F1750" s="204">
        <v>0.95833333333333337</v>
      </c>
      <c r="G1750" s="379">
        <f>IFERROR(IF(E1750&gt;F1750,((F1750+E376B376+1)-(E1750+#REF!))*24,HOUR(F1750-E1750)+MINUTE(F1750-E1750)/60),"")</f>
        <v>8</v>
      </c>
      <c r="H1750" s="176" t="s">
        <v>428</v>
      </c>
      <c r="I1750" s="230" t="s">
        <v>513</v>
      </c>
      <c r="J1750" s="176" t="s">
        <v>1308</v>
      </c>
    </row>
    <row r="1751" spans="2:11" x14ac:dyDescent="0.25">
      <c r="B1751" s="235">
        <v>45094</v>
      </c>
      <c r="C1751" s="195">
        <v>3</v>
      </c>
      <c r="E1751" s="238">
        <v>0.95833333333333337</v>
      </c>
      <c r="F1751" s="204">
        <v>0.29166666666666669</v>
      </c>
      <c r="G1751" s="379" t="str">
        <f>IFERROR(IF(E1751&gt;F1751,((F1751+E376B376+1)-(E1751+#REF!))*24,HOUR(F1751-E1751)+MINUTE(F1751-E1751)/60),"")</f>
        <v/>
      </c>
      <c r="H1751" s="176" t="s">
        <v>428</v>
      </c>
      <c r="I1751" s="230" t="s">
        <v>513</v>
      </c>
      <c r="J1751" s="176" t="s">
        <v>1308</v>
      </c>
    </row>
    <row r="1752" spans="2:11" x14ac:dyDescent="0.25">
      <c r="B1752" s="235">
        <v>45095</v>
      </c>
      <c r="C1752" s="195">
        <v>1</v>
      </c>
      <c r="E1752" s="238">
        <v>0.29166666666666669</v>
      </c>
      <c r="F1752" s="204">
        <v>0.625</v>
      </c>
      <c r="G1752" s="379">
        <f>IFERROR(IF(E1752&gt;F1752,((F1752+E376B376+1)-(E1752+#REF!))*24,HOUR(F1752-E1752)+MINUTE(F1752-E1752)/60),"")</f>
        <v>8</v>
      </c>
      <c r="H1752" s="176" t="s">
        <v>428</v>
      </c>
      <c r="I1752" s="230" t="s">
        <v>513</v>
      </c>
      <c r="J1752" s="176" t="s">
        <v>1308</v>
      </c>
    </row>
    <row r="1753" spans="2:11" x14ac:dyDescent="0.25">
      <c r="B1753" s="235">
        <v>45095</v>
      </c>
      <c r="C1753" s="195">
        <v>2</v>
      </c>
      <c r="E1753" s="238">
        <v>0.625</v>
      </c>
      <c r="F1753" s="204">
        <v>0.95833333333333337</v>
      </c>
      <c r="G1753" s="379">
        <f>IFERROR(IF(E1753&gt;F1753,((F1753+E376B376+1)-(E1753+#REF!))*24,HOUR(F1753-E1753)+MINUTE(F1753-E1753)/60),"")</f>
        <v>8</v>
      </c>
      <c r="H1753" s="176" t="s">
        <v>428</v>
      </c>
      <c r="I1753" s="230" t="s">
        <v>513</v>
      </c>
      <c r="J1753" s="176" t="s">
        <v>1308</v>
      </c>
    </row>
    <row r="1754" spans="2:11" x14ac:dyDescent="0.25">
      <c r="B1754" s="235">
        <v>45095</v>
      </c>
      <c r="C1754" s="195">
        <v>3</v>
      </c>
      <c r="E1754" s="238">
        <v>0.95833333333333337</v>
      </c>
      <c r="F1754" s="204">
        <v>0.29166666666666669</v>
      </c>
      <c r="G1754" s="379" t="str">
        <f>IFERROR(IF(E1754&gt;F1754,((F1754+E376B376+1)-(E1754+#REF!))*24,HOUR(F1754-E1754)+MINUTE(F1754-E1754)/60),"")</f>
        <v/>
      </c>
      <c r="H1754" s="176" t="s">
        <v>428</v>
      </c>
      <c r="I1754" s="230" t="s">
        <v>513</v>
      </c>
      <c r="J1754" s="176" t="s">
        <v>1308</v>
      </c>
    </row>
    <row r="1755" spans="2:11" x14ac:dyDescent="0.25">
      <c r="B1755" s="235">
        <v>45096</v>
      </c>
      <c r="C1755" s="195">
        <v>1</v>
      </c>
      <c r="E1755" s="238">
        <v>0.29166666666666669</v>
      </c>
      <c r="F1755" s="204">
        <v>0.34166666666666662</v>
      </c>
      <c r="G1755" s="379">
        <f>IFERROR(IF(E1755&gt;F1755,((F1755+E376B376+1)-(E1755+#REF!))*24,HOUR(F1755-E1755)+MINUTE(F1755-E1755)/60),"")</f>
        <v>1.2</v>
      </c>
      <c r="H1755" s="176" t="s">
        <v>428</v>
      </c>
      <c r="I1755" s="230" t="s">
        <v>513</v>
      </c>
      <c r="J1755" s="176" t="s">
        <v>1308</v>
      </c>
    </row>
    <row r="1756" spans="2:11" x14ac:dyDescent="0.25">
      <c r="B1756" s="235">
        <v>45096</v>
      </c>
      <c r="C1756" s="195">
        <v>1</v>
      </c>
      <c r="E1756" s="238">
        <v>0.35416666666666669</v>
      </c>
      <c r="F1756" s="204">
        <v>0.36805555555555558</v>
      </c>
      <c r="G1756" s="379">
        <f>IFERROR(IF(E1756&gt;F1756,((F1756+E376B376+1)-(E1756+#REF!))*24,HOUR(F1756-E1756)+MINUTE(F1756-E1756)/60),"")</f>
        <v>0.33333333333333331</v>
      </c>
      <c r="H1756" s="231" t="s">
        <v>55</v>
      </c>
      <c r="I1756" s="231" t="s">
        <v>511</v>
      </c>
      <c r="J1756" s="231" t="s">
        <v>203</v>
      </c>
    </row>
    <row r="1757" spans="2:11" x14ac:dyDescent="0.25">
      <c r="B1757" s="235">
        <v>45096</v>
      </c>
      <c r="C1757" s="233">
        <v>1</v>
      </c>
      <c r="E1757" s="238">
        <v>0.3923611111111111</v>
      </c>
      <c r="F1757" s="204">
        <v>0.40972222222222227</v>
      </c>
      <c r="G1757" s="379">
        <f>IFERROR(IF(E1757&gt;F1757,((F1757+E376B376+1)-(E1757+#REF!))*24,HOUR(F1757-E1757)+MINUTE(F1757-E1757)/60),"")</f>
        <v>0.41666666666666669</v>
      </c>
      <c r="H1757" s="230" t="s">
        <v>55</v>
      </c>
      <c r="I1757" s="230" t="s">
        <v>510</v>
      </c>
      <c r="J1757" s="231" t="s">
        <v>222</v>
      </c>
    </row>
    <row r="1758" spans="2:11" x14ac:dyDescent="0.25">
      <c r="B1758" s="235">
        <v>45096</v>
      </c>
      <c r="C1758" s="233">
        <v>1</v>
      </c>
      <c r="E1758" s="238">
        <v>0.43888888888888888</v>
      </c>
      <c r="F1758" s="204">
        <v>0.45</v>
      </c>
      <c r="G1758" s="379">
        <f>IFERROR(IF(E1758&gt;F1758,((F1758+E376B376+1)-(E1758+#REF!))*24,HOUR(F1758-E1758)+MINUTE(F1758-E1758)/60),"")</f>
        <v>0.26666666666666666</v>
      </c>
      <c r="H1758" s="231" t="s">
        <v>55</v>
      </c>
      <c r="I1758" s="231" t="s">
        <v>511</v>
      </c>
      <c r="J1758" s="231" t="s">
        <v>203</v>
      </c>
    </row>
    <row r="1759" spans="2:11" x14ac:dyDescent="0.25">
      <c r="B1759" s="235">
        <v>45096</v>
      </c>
      <c r="C1759" s="195">
        <v>1</v>
      </c>
      <c r="E1759" s="238">
        <v>0.60416666666666663</v>
      </c>
      <c r="F1759" s="204">
        <v>0.625</v>
      </c>
      <c r="G1759" s="379">
        <f>IFERROR(IF(E1759&gt;F1759,((F1759+E376B376+1)-(E1759+#REF!))*24,HOUR(F1759-E1759)+MINUTE(F1759-E1759)/60),"")</f>
        <v>0.5</v>
      </c>
      <c r="H1759" s="230" t="s">
        <v>55</v>
      </c>
      <c r="I1759" s="230" t="s">
        <v>509</v>
      </c>
      <c r="J1759" s="231" t="s">
        <v>114</v>
      </c>
    </row>
    <row r="1760" spans="2:11" x14ac:dyDescent="0.25">
      <c r="B1760" s="235">
        <v>45096</v>
      </c>
      <c r="C1760" s="195">
        <v>2</v>
      </c>
      <c r="E1760" s="238">
        <v>0.625</v>
      </c>
      <c r="F1760" s="204">
        <v>0.6333333333333333</v>
      </c>
      <c r="G1760" s="379">
        <f>IFERROR(IF(E1760&gt;F1760,((F1760+E376B376+1)-(E1760+#REF!))*24,HOUR(F1760-E1760)+MINUTE(F1760-E1760)/60),"")</f>
        <v>0.2</v>
      </c>
      <c r="H1760" s="230" t="s">
        <v>55</v>
      </c>
      <c r="I1760" s="230" t="s">
        <v>509</v>
      </c>
      <c r="J1760" s="231" t="s">
        <v>114</v>
      </c>
    </row>
    <row r="1761" spans="2:11" x14ac:dyDescent="0.25">
      <c r="B1761" s="235">
        <v>45096</v>
      </c>
      <c r="C1761" s="195">
        <v>2</v>
      </c>
      <c r="E1761" s="238">
        <v>0.64583333333333337</v>
      </c>
      <c r="F1761" s="204">
        <v>0.66666666666666663</v>
      </c>
      <c r="G1761" s="379">
        <f>IFERROR(IF(E1761&gt;F1761,((F1761+E376B376+1)-(E1761+#REF!))*24,HOUR(F1761-E1761)+MINUTE(F1761-E1761)/60),"")</f>
        <v>0.5</v>
      </c>
      <c r="H1761" s="230" t="s">
        <v>55</v>
      </c>
      <c r="I1761" s="230" t="s">
        <v>509</v>
      </c>
      <c r="J1761" s="231" t="s">
        <v>211</v>
      </c>
      <c r="K1761" s="176" t="s">
        <v>684</v>
      </c>
    </row>
    <row r="1762" spans="2:11" x14ac:dyDescent="0.25">
      <c r="B1762" s="235">
        <v>45096</v>
      </c>
      <c r="C1762" s="195">
        <v>2</v>
      </c>
      <c r="E1762" s="238">
        <v>0.72916666666666663</v>
      </c>
      <c r="F1762" s="204">
        <v>0.73958333333333337</v>
      </c>
      <c r="G1762" s="379">
        <f>IFERROR(IF(E1762&gt;F1762,((F1762+E376B376+1)-(E1762+#REF!))*24,HOUR(F1762-E1762)+MINUTE(F1762-E1762)/60),"")</f>
        <v>0.25</v>
      </c>
      <c r="H1762" s="231" t="s">
        <v>55</v>
      </c>
      <c r="I1762" s="231" t="s">
        <v>511</v>
      </c>
      <c r="J1762" s="231" t="s">
        <v>203</v>
      </c>
    </row>
    <row r="1763" spans="2:11" x14ac:dyDescent="0.25">
      <c r="B1763" s="235">
        <v>45096</v>
      </c>
      <c r="C1763" s="195">
        <v>2</v>
      </c>
      <c r="E1763" s="238">
        <v>0.82638888888888884</v>
      </c>
      <c r="F1763" s="204">
        <v>0.83680555555555547</v>
      </c>
      <c r="G1763" s="379">
        <f>IFERROR(IF(E1763&gt;F1763,((F1763+E376B376+1)-(E1763+#REF!))*24,HOUR(F1763-E1763)+MINUTE(F1763-E1763)/60),"")</f>
        <v>0.25</v>
      </c>
      <c r="H1763" s="231" t="s">
        <v>55</v>
      </c>
      <c r="I1763" s="231" t="s">
        <v>511</v>
      </c>
      <c r="J1763" s="231" t="s">
        <v>203</v>
      </c>
    </row>
    <row r="1764" spans="2:11" x14ac:dyDescent="0.25">
      <c r="B1764" s="235">
        <v>45096</v>
      </c>
      <c r="C1764" s="195">
        <v>2</v>
      </c>
      <c r="E1764" s="238">
        <v>0.90277777777777779</v>
      </c>
      <c r="F1764" s="204">
        <v>0.91666666666666663</v>
      </c>
      <c r="G1764" s="379">
        <f>IFERROR(IF(E1764&gt;F1764,((F1764+E376B376+1)-(E1764+#REF!))*24,HOUR(F1764-E1764)+MINUTE(F1764-E1764)/60),"")</f>
        <v>0.33333333333333331</v>
      </c>
      <c r="H1764" s="231" t="s">
        <v>55</v>
      </c>
      <c r="I1764" s="231" t="s">
        <v>511</v>
      </c>
      <c r="J1764" s="231" t="s">
        <v>203</v>
      </c>
    </row>
    <row r="1765" spans="2:11" x14ac:dyDescent="0.25">
      <c r="B1765" s="235">
        <v>45096</v>
      </c>
      <c r="C1765" s="195">
        <v>2</v>
      </c>
      <c r="E1765" s="238">
        <v>0.9458333333333333</v>
      </c>
      <c r="F1765" s="204">
        <v>0.95833333333333337</v>
      </c>
      <c r="G1765" s="379">
        <f>IFERROR(IF(E1765&gt;F1765,((F1765+E376B376+1)-(E1765+#REF!))*24,HOUR(F1765-E1765)+MINUTE(F1765-E1765)/60),"")</f>
        <v>0.3</v>
      </c>
      <c r="H1765" s="230" t="s">
        <v>55</v>
      </c>
      <c r="I1765" s="230" t="s">
        <v>509</v>
      </c>
      <c r="J1765" s="231" t="s">
        <v>114</v>
      </c>
    </row>
    <row r="1766" spans="2:11" x14ac:dyDescent="0.25">
      <c r="B1766" s="235">
        <v>45096</v>
      </c>
      <c r="C1766" s="195">
        <v>3</v>
      </c>
      <c r="E1766" s="238">
        <v>0.95833333333333337</v>
      </c>
      <c r="F1766" s="204">
        <v>0.96458333333333324</v>
      </c>
      <c r="G1766" s="379">
        <f>IFERROR(IF(E1766&gt;F1766,((F1766+E376B376+1)-(E1766+#REF!))*24,HOUR(F1766-E1766)+MINUTE(F1766-E1766)/60),"")</f>
        <v>0.15</v>
      </c>
      <c r="H1766" s="230" t="s">
        <v>55</v>
      </c>
      <c r="I1766" s="230" t="s">
        <v>509</v>
      </c>
      <c r="J1766" s="231" t="s">
        <v>114</v>
      </c>
    </row>
    <row r="1767" spans="2:11" x14ac:dyDescent="0.25">
      <c r="B1767" s="235">
        <v>45096</v>
      </c>
      <c r="C1767" s="195">
        <v>3</v>
      </c>
      <c r="E1767" s="238">
        <v>0.98472222222222217</v>
      </c>
      <c r="F1767" s="204">
        <v>0.99513888888888891</v>
      </c>
      <c r="G1767" s="379">
        <f>IFERROR(IF(E1767&gt;F1767,((F1767+E376B376+1)-(E1767+#REF!))*24,HOUR(F1767-E1767)+MINUTE(F1767-E1767)/60),"")</f>
        <v>0.25</v>
      </c>
      <c r="H1767" s="230" t="s">
        <v>55</v>
      </c>
      <c r="I1767" s="231" t="s">
        <v>511</v>
      </c>
      <c r="J1767" s="231" t="s">
        <v>203</v>
      </c>
      <c r="K1767" s="330" t="s">
        <v>1190</v>
      </c>
    </row>
    <row r="1768" spans="2:11" x14ac:dyDescent="0.25">
      <c r="B1768" s="235">
        <v>45096</v>
      </c>
      <c r="C1768" s="233">
        <v>3</v>
      </c>
      <c r="E1768" s="238">
        <v>0.15208333333333332</v>
      </c>
      <c r="F1768" s="204">
        <v>0.1875</v>
      </c>
      <c r="G1768" s="379">
        <f>IFERROR(IF(E1768&gt;F1768,((F1768+E376B376+1)-(E1768+#REF!))*24,HOUR(F1768-E1768)+MINUTE(F1768-E1768)/60),"")</f>
        <v>0.85</v>
      </c>
      <c r="H1768" s="230" t="s">
        <v>55</v>
      </c>
      <c r="I1768" s="230" t="s">
        <v>509</v>
      </c>
      <c r="J1768" s="231" t="s">
        <v>211</v>
      </c>
      <c r="K1768" s="176" t="s">
        <v>684</v>
      </c>
    </row>
    <row r="1769" spans="2:11" x14ac:dyDescent="0.25">
      <c r="B1769" s="235">
        <v>45096</v>
      </c>
      <c r="C1769" s="233">
        <v>3</v>
      </c>
      <c r="E1769" s="238">
        <v>0.19375000000000001</v>
      </c>
      <c r="F1769" s="204">
        <v>0.20416666666666669</v>
      </c>
      <c r="G1769" s="379">
        <f>IFERROR(IF(E1769&gt;F1769,((F1769+E376B376+1)-(E1769+#REF!))*24,HOUR(F1769-E1769)+MINUTE(F1769-E1769)/60),"")</f>
        <v>0.25</v>
      </c>
      <c r="H1769" s="230" t="s">
        <v>55</v>
      </c>
      <c r="I1769" s="231" t="s">
        <v>511</v>
      </c>
      <c r="J1769" s="231" t="s">
        <v>203</v>
      </c>
      <c r="K1769" s="330" t="s">
        <v>1190</v>
      </c>
    </row>
    <row r="1770" spans="2:11" x14ac:dyDescent="0.25">
      <c r="B1770" s="235">
        <v>45096</v>
      </c>
      <c r="C1770" s="233">
        <v>3</v>
      </c>
      <c r="E1770" s="238">
        <v>0.26874999999999999</v>
      </c>
      <c r="F1770" s="204">
        <v>0.27916666666666667</v>
      </c>
      <c r="G1770" s="379">
        <f>IFERROR(IF(E1770&gt;F1770,((F1770+E376B376+1)-(E1770+#REF!))*24,HOUR(F1770-E1770)+MINUTE(F1770-E1770)/60),"")</f>
        <v>0.25</v>
      </c>
      <c r="H1770" s="230" t="s">
        <v>55</v>
      </c>
      <c r="I1770" s="231" t="s">
        <v>511</v>
      </c>
      <c r="J1770" s="231" t="s">
        <v>203</v>
      </c>
      <c r="K1770" s="330" t="s">
        <v>1190</v>
      </c>
    </row>
    <row r="1771" spans="2:11" x14ac:dyDescent="0.25">
      <c r="B1771" s="235">
        <v>45096</v>
      </c>
      <c r="C1771" s="233">
        <v>3</v>
      </c>
      <c r="E1771" s="238">
        <v>0.27916666666666667</v>
      </c>
      <c r="F1771" s="204">
        <v>0.29166666666666669</v>
      </c>
      <c r="G1771" s="379">
        <f>IFERROR(IF(E1771&gt;F1771,((F1771+E376B376+1)-(E1771+#REF!))*24,HOUR(F1771-E1771)+MINUTE(F1771-E1771)/60),"")</f>
        <v>0.3</v>
      </c>
      <c r="H1771" s="230" t="s">
        <v>55</v>
      </c>
      <c r="I1771" s="230" t="s">
        <v>509</v>
      </c>
      <c r="J1771" s="231" t="s">
        <v>114</v>
      </c>
    </row>
    <row r="1772" spans="2:11" x14ac:dyDescent="0.25">
      <c r="B1772" s="235">
        <v>45097</v>
      </c>
      <c r="C1772" s="233">
        <v>1</v>
      </c>
      <c r="E1772" s="238">
        <v>0.29166666666666669</v>
      </c>
      <c r="F1772" s="204">
        <v>0.31597222222222221</v>
      </c>
      <c r="G1772" s="379">
        <f>IFERROR(IF(E1772&gt;F1772,((F1772+E376B376+1)-(E1772+#REF!))*24,HOUR(F1772-E1772)+MINUTE(F1772-E1772)/60),"")</f>
        <v>0.58333333333333337</v>
      </c>
      <c r="H1772" s="230" t="s">
        <v>55</v>
      </c>
      <c r="I1772" s="230" t="s">
        <v>509</v>
      </c>
      <c r="J1772" s="231" t="s">
        <v>114</v>
      </c>
    </row>
    <row r="1773" spans="2:11" x14ac:dyDescent="0.25">
      <c r="B1773" s="235">
        <v>45097</v>
      </c>
      <c r="C1773" s="233">
        <v>1</v>
      </c>
      <c r="E1773" s="238">
        <v>0.38541666666666669</v>
      </c>
      <c r="F1773" s="204">
        <v>0.39930555555555558</v>
      </c>
      <c r="G1773" s="379">
        <f>IFERROR(IF(E1773&gt;F1773,((F1773+E376B376+1)-(E1773+#REF!))*24,HOUR(F1773-E1773)+MINUTE(F1773-E1773)/60),"")</f>
        <v>0.33333333333333331</v>
      </c>
      <c r="H1773" s="231" t="s">
        <v>55</v>
      </c>
      <c r="I1773" s="231" t="s">
        <v>511</v>
      </c>
      <c r="J1773" s="231" t="s">
        <v>203</v>
      </c>
    </row>
    <row r="1774" spans="2:11" x14ac:dyDescent="0.25">
      <c r="B1774" s="235">
        <v>45097</v>
      </c>
      <c r="C1774" s="233">
        <v>1</v>
      </c>
      <c r="E1774" s="238">
        <v>0.375</v>
      </c>
      <c r="F1774" s="204">
        <v>0.3923611111111111</v>
      </c>
      <c r="G1774" s="379">
        <f>IFERROR(IF(E1774&gt;F1774,((F1774+E376B376+1)-(E1774+#REF!))*24,HOUR(F1774-E1774)+MINUTE(F1774-E1774)/60),"")</f>
        <v>0.41666666666666669</v>
      </c>
      <c r="H1774" s="231" t="s">
        <v>55</v>
      </c>
      <c r="I1774" s="231" t="s">
        <v>511</v>
      </c>
      <c r="J1774" s="231" t="s">
        <v>203</v>
      </c>
    </row>
    <row r="1775" spans="2:11" x14ac:dyDescent="0.25">
      <c r="B1775" s="235">
        <v>45097</v>
      </c>
      <c r="C1775" s="233">
        <v>1</v>
      </c>
      <c r="E1775" s="238">
        <v>0.39583333333333331</v>
      </c>
      <c r="F1775" s="204">
        <v>0.40625</v>
      </c>
      <c r="G1775" s="379">
        <f>IFERROR(IF(E1775&gt;F1775,((F1775+E376B376+1)-(E1775+#REF!))*24,HOUR(F1775-E1775)+MINUTE(F1775-E1775)/60),"")</f>
        <v>0.25</v>
      </c>
      <c r="H1775" s="230" t="s">
        <v>198</v>
      </c>
      <c r="I1775" s="230" t="s">
        <v>509</v>
      </c>
      <c r="J1775" s="231" t="s">
        <v>126</v>
      </c>
    </row>
    <row r="1776" spans="2:11" x14ac:dyDescent="0.25">
      <c r="B1776" s="235">
        <v>45097</v>
      </c>
      <c r="C1776" s="233">
        <v>1</v>
      </c>
      <c r="E1776" s="238">
        <v>0.44791666666666669</v>
      </c>
      <c r="F1776" s="204">
        <v>0.4604166666666667</v>
      </c>
      <c r="G1776" s="379">
        <f>IFERROR(IF(E1776&gt;F1776,((F1776+E376B376+1)-(E1776+#REF!))*24,HOUR(F1776-E1776)+MINUTE(F1776-E1776)/60),"")</f>
        <v>0.3</v>
      </c>
      <c r="H1776" s="231" t="s">
        <v>55</v>
      </c>
      <c r="I1776" s="231" t="s">
        <v>511</v>
      </c>
      <c r="J1776" s="231" t="s">
        <v>203</v>
      </c>
    </row>
    <row r="1777" spans="2:11" x14ac:dyDescent="0.25">
      <c r="B1777" s="235">
        <v>45097</v>
      </c>
      <c r="C1777" s="233">
        <v>1</v>
      </c>
      <c r="E1777" s="238">
        <v>0.46875</v>
      </c>
      <c r="F1777" s="204">
        <v>0.5229166666666667</v>
      </c>
      <c r="G1777" s="379">
        <f>IFERROR(IF(E1777&gt;F1777,((F1777+E376B376+1)-(E1777+#REF!))*24,HOUR(F1777-E1777)+MINUTE(F1777-E1777)/60),"")</f>
        <v>1.3</v>
      </c>
      <c r="H1777" s="230" t="s">
        <v>55</v>
      </c>
      <c r="I1777" s="230" t="s">
        <v>509</v>
      </c>
      <c r="J1777" s="231" t="s">
        <v>114</v>
      </c>
    </row>
    <row r="1778" spans="2:11" x14ac:dyDescent="0.25">
      <c r="B1778" s="235">
        <v>45097</v>
      </c>
      <c r="C1778" s="233">
        <v>1</v>
      </c>
      <c r="E1778" s="238">
        <v>0.59791666666666665</v>
      </c>
      <c r="F1778" s="204">
        <v>0.625</v>
      </c>
      <c r="G1778" s="379">
        <f>IFERROR(IF(E1778&gt;F1778,((F1778+E376B376+1)-(E1778+#REF!))*24,HOUR(F1778-E1778)+MINUTE(F1778-E1778)/60),"")</f>
        <v>0.65</v>
      </c>
      <c r="H1778" s="230" t="s">
        <v>55</v>
      </c>
      <c r="I1778" s="230" t="s">
        <v>509</v>
      </c>
      <c r="J1778" s="231" t="s">
        <v>114</v>
      </c>
    </row>
    <row r="1779" spans="2:11" x14ac:dyDescent="0.25">
      <c r="B1779" s="235">
        <v>45097</v>
      </c>
      <c r="C1779" s="195">
        <v>2</v>
      </c>
      <c r="E1779" s="238">
        <v>0.625</v>
      </c>
      <c r="F1779" s="204">
        <v>0.63888888888888895</v>
      </c>
      <c r="G1779" s="379">
        <f>IFERROR(IF(E1779&gt;F1779,((F1779+E376B376+1)-(E1779+#REF!))*24,HOUR(F1779-E1779)+MINUTE(F1779-E1779)/60),"")</f>
        <v>0.33333333333333331</v>
      </c>
      <c r="H1779" s="230" t="s">
        <v>142</v>
      </c>
      <c r="I1779" s="230" t="s">
        <v>509</v>
      </c>
      <c r="J1779" s="176" t="s">
        <v>1315</v>
      </c>
      <c r="K1779" s="176" t="s">
        <v>1315</v>
      </c>
    </row>
    <row r="1780" spans="2:11" x14ac:dyDescent="0.25">
      <c r="B1780" s="235">
        <v>45097</v>
      </c>
      <c r="C1780" s="195">
        <v>2</v>
      </c>
      <c r="E1780" s="238">
        <v>0.64583333333333337</v>
      </c>
      <c r="F1780" s="204">
        <v>0.65972222222222221</v>
      </c>
      <c r="G1780" s="379">
        <f>IFERROR(IF(E1780&gt;F1780,((F1780+E376B376+1)-(E1780+#REF!))*24,HOUR(F1780-E1780)+MINUTE(F1780-E1780)/60),"")</f>
        <v>0.33333333333333331</v>
      </c>
      <c r="H1780" s="230" t="s">
        <v>55</v>
      </c>
      <c r="I1780" s="230" t="s">
        <v>509</v>
      </c>
      <c r="J1780" s="231" t="s">
        <v>211</v>
      </c>
      <c r="K1780" s="176" t="s">
        <v>1317</v>
      </c>
    </row>
    <row r="1781" spans="2:11" x14ac:dyDescent="0.25">
      <c r="B1781" s="235">
        <v>45097</v>
      </c>
      <c r="C1781" s="195">
        <v>2</v>
      </c>
      <c r="E1781" s="238">
        <v>0.67708333333333337</v>
      </c>
      <c r="F1781" s="204">
        <v>0.6875</v>
      </c>
      <c r="G1781" s="379">
        <f>IFERROR(IF(E1781&gt;F1781,((F1781+E376B376+1)-(E1781+#REF!))*24,HOUR(F1781-E1781)+MINUTE(F1781-E1781)/60),"")</f>
        <v>0.25</v>
      </c>
      <c r="H1781" s="230" t="s">
        <v>55</v>
      </c>
      <c r="I1781" s="231" t="s">
        <v>511</v>
      </c>
      <c r="J1781" s="231" t="s">
        <v>203</v>
      </c>
    </row>
    <row r="1782" spans="2:11" x14ac:dyDescent="0.25">
      <c r="B1782" s="235">
        <v>45097</v>
      </c>
      <c r="C1782" s="195">
        <v>2</v>
      </c>
      <c r="E1782" s="238">
        <v>0.75</v>
      </c>
      <c r="F1782" s="204">
        <v>0.76041666666666663</v>
      </c>
      <c r="G1782" s="379">
        <f>IFERROR(IF(E1782&gt;F1782,((F1782+E376B376+1)-(E1782+#REF!))*24,HOUR(F1782-E1782)+MINUTE(F1782-E1782)/60),"")</f>
        <v>0.25</v>
      </c>
      <c r="H1782" s="230" t="s">
        <v>55</v>
      </c>
      <c r="I1782" s="231" t="s">
        <v>511</v>
      </c>
      <c r="J1782" s="231" t="s">
        <v>203</v>
      </c>
    </row>
    <row r="1783" spans="2:11" x14ac:dyDescent="0.25">
      <c r="B1783" s="235">
        <v>45097</v>
      </c>
      <c r="C1783" s="195">
        <v>2</v>
      </c>
      <c r="E1783" s="238">
        <v>0.79166666666666663</v>
      </c>
      <c r="F1783" s="204">
        <v>0.80555555555555547</v>
      </c>
      <c r="G1783" s="379">
        <f>IFERROR(IF(E1783&gt;F1783,((F1783+E376B376+1)-(E1783+#REF!))*24,HOUR(F1783-E1783)+MINUTE(F1783-E1783)/60),"")</f>
        <v>0.33333333333333331</v>
      </c>
      <c r="H1783" s="230" t="s">
        <v>55</v>
      </c>
      <c r="I1783" s="230" t="s">
        <v>509</v>
      </c>
      <c r="J1783" s="176" t="s">
        <v>1002</v>
      </c>
      <c r="K1783" s="176" t="s">
        <v>1318</v>
      </c>
    </row>
    <row r="1784" spans="2:11" x14ac:dyDescent="0.25">
      <c r="B1784" s="235">
        <v>45097</v>
      </c>
      <c r="C1784" s="195">
        <v>2</v>
      </c>
      <c r="E1784" s="238">
        <v>0.85416666666666663</v>
      </c>
      <c r="F1784" s="204">
        <v>0.88194444444444453</v>
      </c>
      <c r="G1784" s="379">
        <f>IFERROR(IF(E1784&gt;F1784,((F1784+E376B376+1)-(E1784+#REF!))*24,HOUR(F1784-E1784)+MINUTE(F1784-E1784)/60),"")</f>
        <v>0.66666666666666663</v>
      </c>
      <c r="H1784" s="230" t="s">
        <v>55</v>
      </c>
      <c r="I1784" s="230" t="s">
        <v>509</v>
      </c>
      <c r="J1784" s="176" t="s">
        <v>1002</v>
      </c>
      <c r="K1784" s="176" t="s">
        <v>1318</v>
      </c>
    </row>
    <row r="1785" spans="2:11" x14ac:dyDescent="0.25">
      <c r="B1785" s="235">
        <v>45097</v>
      </c>
      <c r="C1785" s="195">
        <v>2</v>
      </c>
      <c r="E1785" s="238">
        <v>0.9375</v>
      </c>
      <c r="F1785" s="204">
        <v>0.95833333333333337</v>
      </c>
      <c r="G1785" s="379">
        <f>IFERROR(IF(E1785&gt;F1785,((F1785+E376B376+1)-(E1785+#REF!))*24,HOUR(F1785-E1785)+MINUTE(F1785-E1785)/60),"")</f>
        <v>0.5</v>
      </c>
      <c r="H1785" s="230" t="s">
        <v>55</v>
      </c>
      <c r="I1785" s="230" t="s">
        <v>509</v>
      </c>
      <c r="J1785" s="176" t="s">
        <v>1002</v>
      </c>
      <c r="K1785" s="176" t="s">
        <v>1318</v>
      </c>
    </row>
    <row r="1786" spans="2:11" x14ac:dyDescent="0.25">
      <c r="B1786" s="235">
        <v>45097</v>
      </c>
      <c r="C1786" s="195">
        <v>3</v>
      </c>
      <c r="E1786" s="238">
        <v>0.95833333333333337</v>
      </c>
      <c r="F1786" s="204">
        <v>0.98472222222222217</v>
      </c>
      <c r="G1786" s="379">
        <f>IFERROR(IF(E1786&gt;F1786,((F1786+E376B376+1)-(E1786+#REF!))*24,HOUR(F1786-E1786)+MINUTE(F1786-E1786)/60),"")</f>
        <v>0.6333333333333333</v>
      </c>
      <c r="H1786" s="230" t="s">
        <v>55</v>
      </c>
      <c r="I1786" s="230" t="s">
        <v>509</v>
      </c>
      <c r="J1786" s="176" t="s">
        <v>1002</v>
      </c>
      <c r="K1786" s="176" t="s">
        <v>1318</v>
      </c>
    </row>
    <row r="1787" spans="2:11" x14ac:dyDescent="0.25">
      <c r="B1787" s="235">
        <v>45097</v>
      </c>
      <c r="C1787" s="195">
        <v>3</v>
      </c>
      <c r="E1787" s="238">
        <v>0.27083333333333331</v>
      </c>
      <c r="F1787" s="204">
        <v>0.29166666666666669</v>
      </c>
      <c r="G1787" s="379">
        <f>IFERROR(IF(E1787&gt;F1787,((F1787+E376B376+1)-(E1787+#REF!))*24,HOUR(F1787-E1787)+MINUTE(F1787-E1787)/60),"")</f>
        <v>0.5</v>
      </c>
      <c r="H1787" s="230" t="s">
        <v>55</v>
      </c>
      <c r="I1787" s="230" t="s">
        <v>509</v>
      </c>
      <c r="J1787" s="176" t="s">
        <v>1002</v>
      </c>
      <c r="K1787" s="176" t="s">
        <v>1318</v>
      </c>
    </row>
    <row r="1788" spans="2:11" x14ac:dyDescent="0.25">
      <c r="B1788" s="235">
        <v>45098</v>
      </c>
      <c r="C1788" s="195">
        <v>1</v>
      </c>
      <c r="E1788" s="238">
        <v>0.29166666666666669</v>
      </c>
      <c r="F1788" s="204">
        <v>0.31944444444444448</v>
      </c>
      <c r="G1788" s="379">
        <f>IFERROR(IF(E1788&gt;F1788,((F1788+E376B376+1)-(E1788+#REF!))*24,HOUR(F1788-E1788)+MINUTE(F1788-E1788)/60),"")</f>
        <v>0.66666666666666663</v>
      </c>
      <c r="H1788" s="230" t="s">
        <v>55</v>
      </c>
      <c r="I1788" s="230" t="s">
        <v>509</v>
      </c>
      <c r="J1788" s="176" t="s">
        <v>1002</v>
      </c>
      <c r="K1788" s="176" t="s">
        <v>1321</v>
      </c>
    </row>
    <row r="1789" spans="2:11" x14ac:dyDescent="0.25">
      <c r="B1789" s="235">
        <v>45098</v>
      </c>
      <c r="C1789" s="195">
        <v>1</v>
      </c>
      <c r="E1789" s="238">
        <v>0.34236111111111112</v>
      </c>
      <c r="F1789" s="204">
        <v>0.35416666666666669</v>
      </c>
      <c r="G1789" s="379">
        <f>IFERROR(IF(E1789&gt;F1789,((F1789+E376B376+1)-(E1789+#REF!))*24,HOUR(F1789-E1789)+MINUTE(F1789-E1789)/60),"")</f>
        <v>0.28333333333333333</v>
      </c>
      <c r="H1789" s="230" t="s">
        <v>55</v>
      </c>
      <c r="I1789" s="230" t="s">
        <v>509</v>
      </c>
      <c r="J1789" s="231" t="s">
        <v>114</v>
      </c>
      <c r="K1789" s="176" t="s">
        <v>1322</v>
      </c>
    </row>
    <row r="1790" spans="2:11" x14ac:dyDescent="0.25">
      <c r="B1790" s="235">
        <v>45098</v>
      </c>
      <c r="C1790" s="195">
        <v>1</v>
      </c>
      <c r="E1790" s="238">
        <v>0.35416666666666669</v>
      </c>
      <c r="F1790" s="204">
        <v>0.625</v>
      </c>
      <c r="G1790" s="379">
        <f>IFERROR(IF(E1790&gt;F1790,((F1790+E376B376+1)-(E1790+#REF!))*24,HOUR(F1790-E1790)+MINUTE(F1790-E1790)/60),"")</f>
        <v>6.5</v>
      </c>
      <c r="I1790" s="230" t="s">
        <v>513</v>
      </c>
      <c r="J1790" s="231" t="s">
        <v>149</v>
      </c>
    </row>
    <row r="1791" spans="2:11" x14ac:dyDescent="0.25">
      <c r="B1791" s="235">
        <v>45098</v>
      </c>
      <c r="C1791" s="195">
        <v>2</v>
      </c>
      <c r="E1791" s="238">
        <v>0.625</v>
      </c>
      <c r="F1791" s="204">
        <v>0.67013888888888884</v>
      </c>
      <c r="G1791" s="379">
        <f>IFERROR(IF(E1791&gt;F1791,((F1791+E376B376+1)-(E1791+#REF!))*24,HOUR(F1791-E1791)+MINUTE(F1791-E1791)/60),"")</f>
        <v>1.0833333333333333</v>
      </c>
      <c r="I1791" s="230" t="s">
        <v>513</v>
      </c>
      <c r="J1791" s="231" t="s">
        <v>149</v>
      </c>
    </row>
    <row r="1792" spans="2:11" x14ac:dyDescent="0.25">
      <c r="B1792" s="235">
        <v>45098</v>
      </c>
      <c r="C1792" s="195">
        <v>2</v>
      </c>
      <c r="E1792" s="238">
        <v>0.71875</v>
      </c>
      <c r="F1792" s="204">
        <v>0.72916666666666663</v>
      </c>
      <c r="G1792" s="379">
        <f>IFERROR(IF(E1792&gt;F1792,((F1792+E376B376+1)-(E1792+#REF!))*24,HOUR(F1792-E1792)+MINUTE(F1792-E1792)/60),"")</f>
        <v>0.25</v>
      </c>
      <c r="H1792" s="230" t="s">
        <v>55</v>
      </c>
      <c r="I1792" s="231" t="s">
        <v>511</v>
      </c>
      <c r="J1792" s="231" t="s">
        <v>203</v>
      </c>
    </row>
    <row r="1793" spans="2:11" x14ac:dyDescent="0.25">
      <c r="B1793" s="235">
        <v>45098</v>
      </c>
      <c r="C1793" s="195">
        <v>2</v>
      </c>
      <c r="E1793" s="238">
        <v>0.78819444444444453</v>
      </c>
      <c r="F1793" s="204">
        <v>0.79861111111111116</v>
      </c>
      <c r="G1793" s="379">
        <f>IFERROR(IF(E1793&gt;F1793,((F1793+E376B376+1)-(E1793+#REF!))*24,HOUR(F1793-E1793)+MINUTE(F1793-E1793)/60),"")</f>
        <v>0.25</v>
      </c>
      <c r="H1793" s="230" t="s">
        <v>55</v>
      </c>
      <c r="I1793" s="231" t="s">
        <v>511</v>
      </c>
      <c r="J1793" s="231" t="s">
        <v>203</v>
      </c>
    </row>
    <row r="1794" spans="2:11" x14ac:dyDescent="0.25">
      <c r="B1794" s="235">
        <v>45098</v>
      </c>
      <c r="C1794" s="195">
        <v>2</v>
      </c>
      <c r="E1794" s="238">
        <v>0.86805555555555547</v>
      </c>
      <c r="F1794" s="204">
        <v>0.87847222222222221</v>
      </c>
      <c r="G1794" s="379">
        <f>IFERROR(IF(E1794&gt;F1794,((F1794+E376B376+1)-(E1794+#REF!))*24,HOUR(F1794-E1794)+MINUTE(F1794-E1794)/60),"")</f>
        <v>0.25</v>
      </c>
      <c r="H1794" s="230" t="s">
        <v>55</v>
      </c>
      <c r="I1794" s="231" t="s">
        <v>511</v>
      </c>
      <c r="J1794" s="231" t="s">
        <v>203</v>
      </c>
    </row>
    <row r="1795" spans="2:11" x14ac:dyDescent="0.25">
      <c r="B1795" s="235">
        <v>45098</v>
      </c>
      <c r="C1795" s="195">
        <v>2</v>
      </c>
      <c r="E1795" s="238">
        <v>0.94444444444444453</v>
      </c>
      <c r="F1795" s="204">
        <v>0.95833333333333337</v>
      </c>
      <c r="G1795" s="379">
        <f>IFERROR(IF(E1795&gt;F1795,((F1795+E376B376+1)-(E1795+#REF!))*24,HOUR(F1795-E1795)+MINUTE(F1795-E1795)/60),"")</f>
        <v>0.33333333333333331</v>
      </c>
      <c r="H1795" s="230" t="s">
        <v>55</v>
      </c>
      <c r="I1795" s="230" t="s">
        <v>509</v>
      </c>
      <c r="J1795" s="231" t="s">
        <v>114</v>
      </c>
    </row>
    <row r="1796" spans="2:11" x14ac:dyDescent="0.25">
      <c r="B1796" s="235">
        <v>45098</v>
      </c>
      <c r="C1796" s="195">
        <v>3</v>
      </c>
      <c r="E1796" s="238">
        <v>0.95833333333333337</v>
      </c>
      <c r="F1796" s="204">
        <v>0.96527777777777779</v>
      </c>
      <c r="G1796" s="379">
        <f>IFERROR(IF(E1796&gt;F1796,((F1796+E376B376+1)-(E1796+#REF!))*24,HOUR(F1796-E1796)+MINUTE(F1796-E1796)/60),"")</f>
        <v>0.16666666666666666</v>
      </c>
      <c r="H1796" s="230" t="s">
        <v>55</v>
      </c>
      <c r="I1796" s="230" t="s">
        <v>509</v>
      </c>
      <c r="J1796" s="231" t="s">
        <v>114</v>
      </c>
    </row>
    <row r="1797" spans="2:11" x14ac:dyDescent="0.25">
      <c r="B1797" s="235">
        <v>45098</v>
      </c>
      <c r="C1797" s="195">
        <v>3</v>
      </c>
      <c r="E1797" s="238">
        <v>0.97916666666666663</v>
      </c>
      <c r="F1797" s="204">
        <v>0.98958333333333337</v>
      </c>
      <c r="G1797" s="379">
        <f>IFERROR(IF(E1797&gt;F1797,((F1797+E376B376+1)-(E1797+#REF!))*24,HOUR(F1797-E1797)+MINUTE(F1797-E1797)/60),"")</f>
        <v>0.25</v>
      </c>
      <c r="H1797" s="231" t="s">
        <v>55</v>
      </c>
      <c r="I1797" s="231" t="s">
        <v>511</v>
      </c>
      <c r="J1797" s="231" t="s">
        <v>203</v>
      </c>
    </row>
    <row r="1798" spans="2:11" x14ac:dyDescent="0.25">
      <c r="B1798" s="235">
        <v>45098</v>
      </c>
      <c r="C1798" s="195">
        <v>3</v>
      </c>
      <c r="E1798" s="238">
        <v>6.5972222222222224E-2</v>
      </c>
      <c r="F1798" s="204">
        <v>7.6388888888888895E-2</v>
      </c>
      <c r="G1798" s="379">
        <f>IFERROR(IF(E1798&gt;F1798,((F1798+E376B376+1)-(E1798+#REF!))*24,HOUR(F1798-E1798)+MINUTE(F1798-E1798)/60),"")</f>
        <v>0.25</v>
      </c>
      <c r="H1798" s="231" t="s">
        <v>55</v>
      </c>
      <c r="I1798" s="231" t="s">
        <v>511</v>
      </c>
      <c r="J1798" s="231" t="s">
        <v>203</v>
      </c>
    </row>
    <row r="1799" spans="2:11" x14ac:dyDescent="0.25">
      <c r="B1799" s="235">
        <v>45098</v>
      </c>
      <c r="C1799" s="195">
        <v>3</v>
      </c>
      <c r="E1799" s="238">
        <v>0.1423611111111111</v>
      </c>
      <c r="F1799" s="204">
        <v>0.15972222222222224</v>
      </c>
      <c r="G1799" s="379">
        <f>IFERROR(IF(E1799&gt;F1799,((F1799+E376B376+1)-(E1799+#REF!))*24,HOUR(F1799-E1799)+MINUTE(F1799-E1799)/60),"")</f>
        <v>0.41666666666666669</v>
      </c>
      <c r="H1799" s="230" t="s">
        <v>55</v>
      </c>
      <c r="I1799" s="230" t="s">
        <v>509</v>
      </c>
      <c r="J1799" s="231" t="s">
        <v>211</v>
      </c>
    </row>
    <row r="1800" spans="2:11" x14ac:dyDescent="0.25">
      <c r="B1800" s="235">
        <v>45098</v>
      </c>
      <c r="C1800" s="195">
        <v>3</v>
      </c>
      <c r="E1800" s="238">
        <v>0.21875</v>
      </c>
      <c r="F1800" s="204">
        <v>0.22916666666666666</v>
      </c>
      <c r="G1800" s="379">
        <f>IFERROR(IF(E1800&gt;F1800,((F1800+E376B376+1)-(E1800+#REF!))*24,HOUR(F1800-E1800)+MINUTE(F1800-E1800)/60),"")</f>
        <v>0.25</v>
      </c>
      <c r="H1800" s="231" t="s">
        <v>55</v>
      </c>
      <c r="I1800" s="231" t="s">
        <v>511</v>
      </c>
      <c r="J1800" s="231" t="s">
        <v>203</v>
      </c>
    </row>
    <row r="1801" spans="2:11" x14ac:dyDescent="0.25">
      <c r="B1801" s="235">
        <v>45098</v>
      </c>
      <c r="C1801" s="195">
        <v>3</v>
      </c>
      <c r="E1801" s="238">
        <v>0.23611111111111113</v>
      </c>
      <c r="F1801" s="204">
        <v>0.24722222222222223</v>
      </c>
      <c r="G1801" s="379">
        <f>IFERROR(IF(E1801&gt;F1801,((F1801+E376B376+1)-(E1801+#REF!))*24,HOUR(F1801-E1801)+MINUTE(F1801-E1801)/60),"")</f>
        <v>0.26666666666666666</v>
      </c>
      <c r="H1801" s="231" t="s">
        <v>55</v>
      </c>
      <c r="I1801" s="231" t="s">
        <v>511</v>
      </c>
      <c r="J1801" s="231" t="s">
        <v>203</v>
      </c>
    </row>
    <row r="1802" spans="2:11" x14ac:dyDescent="0.25">
      <c r="B1802" s="235">
        <v>45098</v>
      </c>
      <c r="C1802" s="195">
        <v>3</v>
      </c>
      <c r="E1802" s="238">
        <v>0.21527777777777779</v>
      </c>
      <c r="F1802" s="204">
        <v>0.22569444444444445</v>
      </c>
      <c r="G1802" s="379">
        <f>IFERROR(IF(E1802&gt;F1802,((F1802+E376B376+1)-(E1802+#REF!))*24,HOUR(F1802-E1802)+MINUTE(F1802-E1802)/60),"")</f>
        <v>0.25</v>
      </c>
      <c r="H1802" s="231" t="s">
        <v>55</v>
      </c>
      <c r="I1802" s="231" t="s">
        <v>511</v>
      </c>
      <c r="J1802" s="231" t="s">
        <v>203</v>
      </c>
    </row>
    <row r="1803" spans="2:11" x14ac:dyDescent="0.25">
      <c r="B1803" s="235">
        <v>45098</v>
      </c>
      <c r="C1803" s="195">
        <v>3</v>
      </c>
      <c r="E1803" s="238">
        <v>0.22569444444444445</v>
      </c>
      <c r="F1803" s="204">
        <v>0.29166666666666669</v>
      </c>
      <c r="G1803" s="379">
        <f>IFERROR(IF(E1803&gt;F1803,((F1803+E376B376+1)-(E1803+#REF!))*24,HOUR(F1803-E1803)+MINUTE(F1803-E1803)/60),"")</f>
        <v>1.5833333333333335</v>
      </c>
      <c r="H1803" s="230" t="s">
        <v>55</v>
      </c>
      <c r="I1803" s="230" t="s">
        <v>509</v>
      </c>
      <c r="J1803" s="231" t="s">
        <v>114</v>
      </c>
    </row>
    <row r="1804" spans="2:11" x14ac:dyDescent="0.25">
      <c r="B1804" s="235">
        <v>45098</v>
      </c>
      <c r="C1804" s="233">
        <v>3</v>
      </c>
      <c r="E1804" s="238">
        <v>0.29166666666666669</v>
      </c>
      <c r="F1804" s="204">
        <v>0.35069444444444442</v>
      </c>
      <c r="G1804" s="379">
        <f>IFERROR(IF(E1804&gt;F1804,((F1804+E376B376+1)-(E1804+#REF!))*24,HOUR(F1804-E1804)+MINUTE(F1804-E1804)/60),"")</f>
        <v>1.4166666666666667</v>
      </c>
      <c r="H1804" s="230" t="s">
        <v>55</v>
      </c>
      <c r="I1804" s="230" t="s">
        <v>509</v>
      </c>
      <c r="J1804" s="231" t="s">
        <v>114</v>
      </c>
    </row>
    <row r="1805" spans="2:11" x14ac:dyDescent="0.25">
      <c r="B1805" s="235">
        <v>45099</v>
      </c>
      <c r="C1805" s="195">
        <v>1</v>
      </c>
      <c r="E1805" s="238">
        <v>0.29166666666666669</v>
      </c>
      <c r="F1805" s="204">
        <v>0.35833333333333334</v>
      </c>
      <c r="G1805" s="379">
        <f>IFERROR(IF(E1805&gt;F1805,((F1805+E376B376+1)-(E1805+#REF!))*24,HOUR(F1805-E1805)+MINUTE(F1805-E1805)/60),"")</f>
        <v>1.6</v>
      </c>
      <c r="H1805" s="230" t="s">
        <v>55</v>
      </c>
      <c r="I1805" s="230" t="s">
        <v>509</v>
      </c>
      <c r="J1805" s="231" t="s">
        <v>114</v>
      </c>
    </row>
    <row r="1806" spans="2:11" x14ac:dyDescent="0.25">
      <c r="B1806" s="235">
        <v>45099</v>
      </c>
      <c r="C1806" s="233">
        <v>1</v>
      </c>
      <c r="E1806" s="238">
        <v>0.45833333333333331</v>
      </c>
      <c r="F1806" s="204">
        <v>0.625</v>
      </c>
      <c r="G1806" s="379">
        <f>IFERROR(IF(E1806&gt;F1806,((F1806+E376B376+1)-(E1806+#REF!))*24,HOUR(F1806-E1806)+MINUTE(F1806-E1806)/60),"")</f>
        <v>4</v>
      </c>
      <c r="H1806" s="230" t="s">
        <v>55</v>
      </c>
      <c r="I1806" s="230" t="s">
        <v>509</v>
      </c>
      <c r="J1806" s="231" t="s">
        <v>114</v>
      </c>
      <c r="K1806" s="176" t="s">
        <v>494</v>
      </c>
    </row>
    <row r="1807" spans="2:11" x14ac:dyDescent="0.25">
      <c r="B1807" s="235">
        <v>45099</v>
      </c>
      <c r="C1807" s="195">
        <v>2</v>
      </c>
      <c r="E1807" s="238">
        <v>0.625</v>
      </c>
      <c r="F1807" s="204">
        <v>0.65</v>
      </c>
      <c r="G1807" s="379">
        <f>IFERROR(IF(E1807&gt;F1807,((F1807+E376B376+1)-(E1807+#REF!))*24,HOUR(F1807-E1807)+MINUTE(F1807-E1807)/60),"")</f>
        <v>0.6</v>
      </c>
      <c r="H1807" s="230" t="s">
        <v>55</v>
      </c>
      <c r="I1807" s="230" t="s">
        <v>509</v>
      </c>
      <c r="J1807" s="231" t="s">
        <v>114</v>
      </c>
      <c r="K1807" s="176" t="s">
        <v>494</v>
      </c>
    </row>
    <row r="1808" spans="2:11" x14ac:dyDescent="0.25">
      <c r="B1808" s="235">
        <v>45099</v>
      </c>
      <c r="C1808" s="195">
        <v>2</v>
      </c>
      <c r="E1808" s="238">
        <v>0.75694444444444453</v>
      </c>
      <c r="F1808" s="204">
        <v>0.76736111111111116</v>
      </c>
      <c r="G1808" s="379">
        <f>IFERROR(IF(E1808&gt;F1808,((F1808+E376B376+1)-(E1808+#REF!))*24,HOUR(F1808-E1808)+MINUTE(F1808-E1808)/60),"")</f>
        <v>0.25</v>
      </c>
      <c r="H1808" s="231" t="s">
        <v>55</v>
      </c>
      <c r="I1808" s="231" t="s">
        <v>511</v>
      </c>
      <c r="J1808" s="231" t="s">
        <v>203</v>
      </c>
    </row>
    <row r="1809" spans="2:11" x14ac:dyDescent="0.25">
      <c r="B1809" s="235">
        <v>45099</v>
      </c>
      <c r="C1809" s="233">
        <v>2</v>
      </c>
      <c r="E1809" s="238">
        <v>0.88194444444444453</v>
      </c>
      <c r="F1809" s="204">
        <v>0.89236111111111116</v>
      </c>
      <c r="G1809" s="379">
        <f>IFERROR(IF(E1809&gt;F1809,((F1809+E376B376+1)-(E1809+#REF!))*24,HOUR(F1809-E1809)+MINUTE(F1809-E1809)/60),"")</f>
        <v>0.25</v>
      </c>
      <c r="H1809" s="231" t="s">
        <v>55</v>
      </c>
      <c r="I1809" s="231" t="s">
        <v>511</v>
      </c>
      <c r="J1809" s="231" t="s">
        <v>203</v>
      </c>
    </row>
    <row r="1810" spans="2:11" x14ac:dyDescent="0.25">
      <c r="B1810" s="235">
        <v>45099</v>
      </c>
      <c r="C1810" s="195">
        <v>2</v>
      </c>
      <c r="E1810" s="238">
        <v>0.94791666666666663</v>
      </c>
      <c r="F1810" s="204">
        <v>0.95833333333333337</v>
      </c>
      <c r="G1810" s="379">
        <f>IFERROR(IF(E1810&gt;F1810,((F1810+E376B376+1)-(E1810+#REF!))*24,HOUR(F1810-E1810)+MINUTE(F1810-E1810)/60),"")</f>
        <v>0.25</v>
      </c>
      <c r="H1810" s="231" t="s">
        <v>55</v>
      </c>
      <c r="I1810" s="231" t="s">
        <v>511</v>
      </c>
      <c r="J1810" s="231" t="s">
        <v>203</v>
      </c>
    </row>
    <row r="1811" spans="2:11" x14ac:dyDescent="0.25">
      <c r="B1811" s="235">
        <v>45099</v>
      </c>
      <c r="C1811" s="195">
        <v>3</v>
      </c>
      <c r="E1811" s="238">
        <v>0.95833333333333337</v>
      </c>
      <c r="F1811" s="204">
        <v>0.96944444444444444</v>
      </c>
      <c r="G1811" s="379">
        <f>IFERROR(IF(E1811&gt;F1811,((F1811+E376B376+1)-(E1811+#REF!))*24,HOUR(F1811-E1811)+MINUTE(F1811-E1811)/60),"")</f>
        <v>0.26666666666666666</v>
      </c>
      <c r="H1811" s="230" t="s">
        <v>55</v>
      </c>
      <c r="I1811" s="230" t="s">
        <v>509</v>
      </c>
      <c r="J1811" s="231" t="s">
        <v>114</v>
      </c>
    </row>
    <row r="1812" spans="2:11" x14ac:dyDescent="0.25">
      <c r="B1812" s="235">
        <v>45099</v>
      </c>
      <c r="C1812" s="233">
        <v>3</v>
      </c>
      <c r="E1812" s="238">
        <v>5.8333333333333327E-2</v>
      </c>
      <c r="F1812" s="204">
        <v>0.29166666666666669</v>
      </c>
      <c r="G1812" s="379">
        <f>IFERROR(IF(E1812&gt;F1812,((F1812+E376B376+1)-(E1812+#REF!))*24,HOUR(F1812-E1812)+MINUTE(F1812-E1812)/60),"")</f>
        <v>5.6</v>
      </c>
      <c r="H1812" s="230" t="s">
        <v>1060</v>
      </c>
      <c r="I1812" s="230" t="s">
        <v>509</v>
      </c>
      <c r="J1812" s="231" t="s">
        <v>494</v>
      </c>
      <c r="K1812" s="176" t="s">
        <v>1330</v>
      </c>
    </row>
    <row r="1813" spans="2:11" x14ac:dyDescent="0.25">
      <c r="B1813" s="235">
        <v>45100</v>
      </c>
      <c r="C1813" s="195">
        <v>1</v>
      </c>
      <c r="E1813" s="238">
        <v>0.29166666666666669</v>
      </c>
      <c r="F1813" s="204">
        <v>0.35416666666666669</v>
      </c>
      <c r="G1813" s="379">
        <f>IFERROR(IF(E1813&gt;F1813,((F1813+E376B376+1)-(E1813+#REF!))*24,HOUR(F1813-E1813)+MINUTE(F1813-E1813)/60),"")</f>
        <v>1.5</v>
      </c>
      <c r="H1813" s="230" t="s">
        <v>55</v>
      </c>
      <c r="I1813" s="230" t="s">
        <v>513</v>
      </c>
      <c r="J1813" s="231" t="s">
        <v>229</v>
      </c>
    </row>
    <row r="1814" spans="2:11" x14ac:dyDescent="0.25">
      <c r="B1814" s="235">
        <v>45100</v>
      </c>
      <c r="C1814" s="195">
        <v>1</v>
      </c>
      <c r="E1814" s="238">
        <v>0.3923611111111111</v>
      </c>
      <c r="F1814" s="204">
        <v>0.40277777777777773</v>
      </c>
      <c r="G1814" s="379">
        <f>IFERROR(IF(E1814&gt;F1814,((F1814+E376B376+1)-(E1814+#REF!))*24,HOUR(F1814-E1814)+MINUTE(F1814-E1814)/60),"")</f>
        <v>0.25</v>
      </c>
      <c r="H1814" s="230" t="s">
        <v>172</v>
      </c>
      <c r="I1814" s="230" t="s">
        <v>510</v>
      </c>
      <c r="J1814" s="231" t="s">
        <v>621</v>
      </c>
    </row>
    <row r="1815" spans="2:11" x14ac:dyDescent="0.25">
      <c r="B1815" s="235">
        <v>45100</v>
      </c>
      <c r="C1815" s="233">
        <v>1</v>
      </c>
      <c r="E1815" s="238">
        <v>0.40972222222222227</v>
      </c>
      <c r="F1815" s="204">
        <v>0.4201388888888889</v>
      </c>
      <c r="G1815" s="379">
        <f>IFERROR(IF(E1815&gt;F1815,((F1815+E376B376+1)-(E1815+#REF!))*24,HOUR(F1815-E1815)+MINUTE(F1815-E1815)/60),"")</f>
        <v>0.25</v>
      </c>
      <c r="H1815" s="230" t="s">
        <v>172</v>
      </c>
      <c r="I1815" s="230" t="s">
        <v>510</v>
      </c>
      <c r="J1815" s="231" t="s">
        <v>621</v>
      </c>
    </row>
    <row r="1816" spans="2:11" x14ac:dyDescent="0.25">
      <c r="B1816" s="235">
        <v>45100</v>
      </c>
      <c r="C1816" s="233">
        <v>1</v>
      </c>
      <c r="E1816" s="238">
        <v>0.52777777777777779</v>
      </c>
      <c r="F1816" s="204">
        <v>0.625</v>
      </c>
      <c r="G1816" s="379">
        <f>IFERROR(IF(E1816&gt;F1816,((F1816+E376B376+1)-(E1816+#REF!))*24,HOUR(F1816-E1816)+MINUTE(F1816-E1816)/60),"")</f>
        <v>2.3333333333333335</v>
      </c>
      <c r="H1816" s="230" t="s">
        <v>1060</v>
      </c>
      <c r="I1816" s="230" t="s">
        <v>509</v>
      </c>
      <c r="J1816" s="231" t="s">
        <v>494</v>
      </c>
    </row>
    <row r="1817" spans="2:11" x14ac:dyDescent="0.25">
      <c r="B1817" s="235">
        <v>45100</v>
      </c>
      <c r="C1817" s="195">
        <v>2</v>
      </c>
      <c r="E1817" s="238">
        <v>0.625</v>
      </c>
      <c r="F1817" s="204">
        <v>0.76736111111111116</v>
      </c>
      <c r="G1817" s="379">
        <f>IFERROR(IF(E1817&gt;F1817,((F1817+E376B376+1)-(E1817+#REF!))*24,HOUR(F1817-E1817)+MINUTE(F1817-E1817)/60),"")</f>
        <v>3.4166666666666665</v>
      </c>
      <c r="H1817" s="230" t="s">
        <v>55</v>
      </c>
      <c r="I1817" s="230" t="s">
        <v>510</v>
      </c>
      <c r="J1817" s="176" t="s">
        <v>1331</v>
      </c>
      <c r="K1817" s="176" t="s">
        <v>1331</v>
      </c>
    </row>
    <row r="1818" spans="2:11" x14ac:dyDescent="0.25">
      <c r="B1818" s="235">
        <v>45100</v>
      </c>
      <c r="C1818" s="233">
        <v>2</v>
      </c>
      <c r="E1818" s="238">
        <v>0.86805555555555547</v>
      </c>
      <c r="F1818" s="204">
        <v>0.87847222222222221</v>
      </c>
      <c r="G1818" s="379">
        <f>IFERROR(IF(E1818&gt;F1818,((F1818+E376B376+1)-(E1818+#REF!))*24,HOUR(F1818-E1818)+MINUTE(F1818-E1818)/60),"")</f>
        <v>0.25</v>
      </c>
      <c r="H1818" s="231" t="s">
        <v>55</v>
      </c>
      <c r="I1818" s="231" t="s">
        <v>511</v>
      </c>
      <c r="J1818" s="231" t="s">
        <v>203</v>
      </c>
    </row>
    <row r="1819" spans="2:11" x14ac:dyDescent="0.25">
      <c r="B1819" s="235">
        <v>45100</v>
      </c>
      <c r="C1819" s="233">
        <v>2</v>
      </c>
      <c r="E1819" s="238">
        <v>0.93402777777777779</v>
      </c>
      <c r="F1819" s="204">
        <v>0.94444444444444453</v>
      </c>
      <c r="G1819" s="379">
        <f>IFERROR(IF(E1819&gt;F1819,((F1819+E376B376+1)-(E1819+#REF!))*24,HOUR(F1819-E1819)+MINUTE(F1819-E1819)/60),"")</f>
        <v>0.25</v>
      </c>
      <c r="H1819" s="231" t="s">
        <v>55</v>
      </c>
      <c r="I1819" s="231" t="s">
        <v>511</v>
      </c>
      <c r="J1819" s="231" t="s">
        <v>203</v>
      </c>
    </row>
    <row r="1820" spans="2:11" x14ac:dyDescent="0.25">
      <c r="B1820" s="235">
        <v>45100</v>
      </c>
      <c r="C1820" s="233">
        <v>2</v>
      </c>
      <c r="E1820" s="238">
        <v>0.94444444444444453</v>
      </c>
      <c r="F1820" s="204">
        <v>0.95833333333333337</v>
      </c>
      <c r="G1820" s="379">
        <f>IFERROR(IF(E1820&gt;F1820,((F1820+E376B376+1)-(E1820+#REF!))*24,HOUR(F1820-E1820)+MINUTE(F1820-E1820)/60),"")</f>
        <v>0.33333333333333331</v>
      </c>
      <c r="H1820" s="230" t="s">
        <v>55</v>
      </c>
      <c r="I1820" s="230" t="s">
        <v>509</v>
      </c>
      <c r="J1820" s="231" t="s">
        <v>114</v>
      </c>
    </row>
    <row r="1821" spans="2:11" x14ac:dyDescent="0.25">
      <c r="B1821" s="235">
        <v>45100</v>
      </c>
      <c r="C1821" s="195">
        <v>3</v>
      </c>
      <c r="E1821" s="238">
        <v>0.95833333333333337</v>
      </c>
      <c r="F1821" s="204">
        <v>0.96944444444444444</v>
      </c>
      <c r="G1821" s="379">
        <f>IFERROR(IF(E1821&gt;F1821,((F1821+E376B376+1)-(E1821+#REF!))*24,HOUR(F1821-E1821)+MINUTE(F1821-E1821)/60),"")</f>
        <v>0.26666666666666666</v>
      </c>
      <c r="H1821" s="230" t="s">
        <v>55</v>
      </c>
      <c r="I1821" s="230" t="s">
        <v>509</v>
      </c>
      <c r="J1821" s="231" t="s">
        <v>114</v>
      </c>
    </row>
    <row r="1822" spans="2:11" x14ac:dyDescent="0.25">
      <c r="B1822" s="235">
        <v>45100</v>
      </c>
      <c r="C1822" s="195">
        <v>3</v>
      </c>
      <c r="E1822" s="238">
        <v>6.7361111111111108E-2</v>
      </c>
      <c r="F1822" s="204">
        <v>0.29166666666666669</v>
      </c>
      <c r="G1822" s="379">
        <f>IFERROR(IF(E1822&gt;F1822,((F1822+E376B376+1)-(E1822+#REF!))*24,HOUR(F1822-E1822)+MINUTE(F1822-E1822)/60),"")</f>
        <v>5.3833333333333337</v>
      </c>
      <c r="H1822" s="330"/>
      <c r="I1822" s="330"/>
      <c r="J1822" s="330"/>
      <c r="K1822" s="279" t="s">
        <v>1334</v>
      </c>
    </row>
    <row r="1823" spans="2:11" x14ac:dyDescent="0.25">
      <c r="B1823" s="235">
        <v>45101</v>
      </c>
      <c r="C1823" s="195">
        <v>1</v>
      </c>
      <c r="E1823" s="238">
        <v>0.29166666666666669</v>
      </c>
      <c r="F1823" s="204">
        <v>0.625</v>
      </c>
      <c r="G1823" s="379">
        <f>IFERROR(IF(E1823&gt;F1823,((F1823+E376B376+1)-(E1823+#REF!))*24,HOUR(F1823-E1823)+MINUTE(F1823-E1823)/60),"")</f>
        <v>8</v>
      </c>
      <c r="I1823" s="230" t="s">
        <v>509</v>
      </c>
      <c r="J1823" s="231" t="s">
        <v>141</v>
      </c>
    </row>
    <row r="1824" spans="2:11" x14ac:dyDescent="0.25">
      <c r="B1824" s="235">
        <v>45101</v>
      </c>
      <c r="C1824" s="195">
        <v>2</v>
      </c>
      <c r="E1824" s="238">
        <v>0.625</v>
      </c>
      <c r="F1824" s="204">
        <v>0.95833333333333337</v>
      </c>
      <c r="G1824" s="379">
        <f>IFERROR(IF(E1824&gt;F1824,((F1824+E376B376+1)-(E1824+#REF!))*24,HOUR(F1824-E1824)+MINUTE(F1824-E1824)/60),"")</f>
        <v>8</v>
      </c>
      <c r="I1824" s="230" t="s">
        <v>509</v>
      </c>
      <c r="J1824" s="231" t="s">
        <v>141</v>
      </c>
    </row>
    <row r="1825" spans="2:11" x14ac:dyDescent="0.25">
      <c r="B1825" s="235">
        <v>45101</v>
      </c>
      <c r="C1825" s="195">
        <v>3</v>
      </c>
      <c r="E1825" s="238">
        <v>0.95833333333333337</v>
      </c>
      <c r="F1825" s="204">
        <v>0.29166666666666669</v>
      </c>
      <c r="G1825" s="379">
        <v>8</v>
      </c>
      <c r="I1825" s="230" t="s">
        <v>509</v>
      </c>
      <c r="J1825" s="231" t="s">
        <v>141</v>
      </c>
    </row>
    <row r="1826" spans="2:11" x14ac:dyDescent="0.25">
      <c r="B1826" s="235">
        <v>45102</v>
      </c>
      <c r="C1826" s="233">
        <v>1</v>
      </c>
      <c r="D1826" s="233"/>
      <c r="E1826" s="238">
        <v>0.29166666666666669</v>
      </c>
      <c r="F1826" s="204">
        <v>0.625</v>
      </c>
      <c r="G1826" s="379">
        <f>IFERROR(IF(E1826&gt;F1826,((F1826+E376B376+1)-(E1826+#REF!))*24,HOUR(F1826-E1826)+MINUTE(F1826-E1826)/60),"")</f>
        <v>8</v>
      </c>
      <c r="I1826" s="230" t="s">
        <v>509</v>
      </c>
      <c r="J1826" s="231" t="s">
        <v>141</v>
      </c>
    </row>
    <row r="1827" spans="2:11" x14ac:dyDescent="0.25">
      <c r="B1827" s="235">
        <v>45102</v>
      </c>
      <c r="C1827" s="233">
        <v>2</v>
      </c>
      <c r="D1827" s="233"/>
      <c r="E1827" s="238">
        <v>0.625</v>
      </c>
      <c r="F1827" s="204">
        <v>0.95833333333333337</v>
      </c>
      <c r="G1827" s="379">
        <f>IFERROR(IF(E1827&gt;F1827,((F1827+E376B376+1)-(E1827+#REF!))*24,HOUR(F1827-E1827)+MINUTE(F1827-E1827)/60),"")</f>
        <v>8</v>
      </c>
      <c r="I1827" s="230" t="s">
        <v>509</v>
      </c>
      <c r="J1827" s="231" t="s">
        <v>141</v>
      </c>
    </row>
    <row r="1828" spans="2:11" x14ac:dyDescent="0.25">
      <c r="B1828" s="235">
        <v>45102</v>
      </c>
      <c r="C1828" s="195">
        <v>3</v>
      </c>
      <c r="E1828" s="238">
        <v>0.95833333333333337</v>
      </c>
      <c r="F1828" s="204">
        <v>0.29166666666666669</v>
      </c>
      <c r="G1828" s="379">
        <v>8</v>
      </c>
      <c r="I1828" s="230" t="s">
        <v>509</v>
      </c>
      <c r="J1828" s="231" t="s">
        <v>141</v>
      </c>
    </row>
    <row r="1829" spans="2:11" x14ac:dyDescent="0.25">
      <c r="B1829" s="235">
        <v>45103</v>
      </c>
      <c r="C1829" s="195">
        <v>1</v>
      </c>
      <c r="E1829" s="238">
        <v>0.29166666666666669</v>
      </c>
      <c r="F1829" s="204">
        <v>0.34375</v>
      </c>
      <c r="G1829" s="379">
        <f>IFERROR(IF(E1829&gt;F1829,((F1829+E376B376+1)-(E1829+#REF!))*24,HOUR(F1829-E1829)+MINUTE(F1829-E1829)/60),"")</f>
        <v>1.25</v>
      </c>
      <c r="I1829" s="230" t="s">
        <v>509</v>
      </c>
      <c r="J1829" s="231" t="s">
        <v>141</v>
      </c>
    </row>
    <row r="1830" spans="2:11" x14ac:dyDescent="0.25">
      <c r="B1830" s="235">
        <v>45103</v>
      </c>
      <c r="C1830" s="195">
        <v>1</v>
      </c>
      <c r="E1830" s="238">
        <v>0.4236111111111111</v>
      </c>
      <c r="F1830" s="204">
        <v>0.43402777777777773</v>
      </c>
      <c r="G1830" s="379">
        <f>IFERROR(IF(E1830&gt;F1830,((F1830+E376B376+1)-(E1830+#REF!))*24,HOUR(F1830-E1830)+MINUTE(F1830-E1830)/60),"")</f>
        <v>0.25</v>
      </c>
      <c r="H1830" s="230" t="s">
        <v>147</v>
      </c>
      <c r="I1830" s="230" t="s">
        <v>510</v>
      </c>
      <c r="J1830" s="231" t="s">
        <v>222</v>
      </c>
      <c r="K1830" s="176" t="s">
        <v>1338</v>
      </c>
    </row>
    <row r="1831" spans="2:11" x14ac:dyDescent="0.25">
      <c r="B1831" s="235">
        <v>45103</v>
      </c>
      <c r="C1831" s="233">
        <v>1</v>
      </c>
      <c r="E1831" s="238">
        <v>0.44444444444444442</v>
      </c>
      <c r="F1831" s="204">
        <v>0.4548611111111111</v>
      </c>
      <c r="G1831" s="379">
        <f>IFERROR(IF(E1831&gt;F1831,((F1831+E376B376+1)-(E1831+#REF!))*24,HOUR(F1831-E1831)+MINUTE(F1831-E1831)/60),"")</f>
        <v>0.25</v>
      </c>
      <c r="H1831" s="230" t="s">
        <v>142</v>
      </c>
      <c r="I1831" s="230" t="s">
        <v>510</v>
      </c>
      <c r="J1831" s="231" t="s">
        <v>222</v>
      </c>
      <c r="K1831" s="176" t="s">
        <v>1339</v>
      </c>
    </row>
    <row r="1832" spans="2:11" x14ac:dyDescent="0.25">
      <c r="B1832" s="235">
        <v>45103</v>
      </c>
      <c r="C1832" s="233">
        <v>1</v>
      </c>
      <c r="E1832" s="238">
        <v>0.46180555555555558</v>
      </c>
      <c r="F1832" s="204">
        <v>0.47222222222222227</v>
      </c>
      <c r="G1832" s="379">
        <f>IFERROR(IF(E1832&gt;F1832,((F1832+E376B376+1)-(E1832+#REF!))*24,HOUR(F1832-E1832)+MINUTE(F1832-E1832)/60),"")</f>
        <v>0.25</v>
      </c>
      <c r="H1832" s="230" t="s">
        <v>55</v>
      </c>
      <c r="I1832" s="230" t="s">
        <v>509</v>
      </c>
      <c r="J1832" s="231" t="s">
        <v>200</v>
      </c>
    </row>
    <row r="1833" spans="2:11" x14ac:dyDescent="0.25">
      <c r="B1833" s="235">
        <v>45103</v>
      </c>
      <c r="C1833" s="233">
        <v>1</v>
      </c>
      <c r="E1833" s="238">
        <v>0.57500000000000007</v>
      </c>
      <c r="F1833" s="204">
        <v>0.625</v>
      </c>
      <c r="G1833" s="379">
        <f>IFERROR(IF(E1833&gt;F1833,((F1833+E376B376+1)-(E1833+#REF!))*24,HOUR(F1833-E1833)+MINUTE(F1833-E1833)/60),"")</f>
        <v>1.2</v>
      </c>
      <c r="H1833" s="230" t="s">
        <v>204</v>
      </c>
      <c r="I1833" s="230" t="s">
        <v>511</v>
      </c>
      <c r="J1833" s="231" t="s">
        <v>504</v>
      </c>
      <c r="K1833" s="176" t="s">
        <v>1340</v>
      </c>
    </row>
    <row r="1834" spans="2:11" s="233" customFormat="1" x14ac:dyDescent="0.25">
      <c r="B1834" s="235">
        <v>45103</v>
      </c>
      <c r="C1834" s="233">
        <v>2</v>
      </c>
      <c r="E1834" s="238">
        <v>0.63194444444444442</v>
      </c>
      <c r="F1834" s="204">
        <v>0.63680555555555551</v>
      </c>
      <c r="G1834" s="379">
        <f>IFERROR(IF(E1834&gt;F1834,((F1834+E376B376+1)-(E1834+#REF!))*24,HOUR(F1834-E1834)+MINUTE(F1834-E1834)/60),"")</f>
        <v>0.11666666666666667</v>
      </c>
      <c r="H1834" s="230" t="s">
        <v>1344</v>
      </c>
      <c r="I1834" s="230" t="s">
        <v>509</v>
      </c>
      <c r="J1834" s="231" t="s">
        <v>114</v>
      </c>
      <c r="K1834" s="176"/>
    </row>
    <row r="1835" spans="2:11" s="233" customFormat="1" x14ac:dyDescent="0.25">
      <c r="B1835" s="235">
        <v>45103</v>
      </c>
      <c r="C1835" s="233">
        <v>2</v>
      </c>
      <c r="E1835" s="238">
        <v>0.71875</v>
      </c>
      <c r="F1835" s="204">
        <v>0.73472222222222217</v>
      </c>
      <c r="G1835" s="379">
        <f>IFERROR(IF(E1835&gt;F1835,((F1835+E376B376+1)-(E1835+#REF!))*24,HOUR(F1835-E1835)+MINUTE(F1835-E1835)/60),"")</f>
        <v>0.38333333333333336</v>
      </c>
      <c r="H1835" s="230" t="s">
        <v>55</v>
      </c>
      <c r="I1835" s="230" t="s">
        <v>509</v>
      </c>
      <c r="J1835" s="231" t="s">
        <v>211</v>
      </c>
      <c r="K1835" s="176"/>
    </row>
    <row r="1836" spans="2:11" s="233" customFormat="1" x14ac:dyDescent="0.25">
      <c r="B1836" s="235">
        <v>45103</v>
      </c>
      <c r="C1836" s="233">
        <v>2</v>
      </c>
      <c r="E1836" s="238">
        <v>0.73611111111111116</v>
      </c>
      <c r="F1836" s="204">
        <v>0.84722222222222221</v>
      </c>
      <c r="G1836" s="379">
        <f>IFERROR(IF(E1836&gt;F1836,((F1836+E376B376+1)-(E1836+#REF!))*24,HOUR(F1836-E1836)+MINUTE(F1836-E1836)/60),"")</f>
        <v>2.6666666666666665</v>
      </c>
      <c r="H1836" s="230"/>
      <c r="I1836" s="230" t="s">
        <v>513</v>
      </c>
      <c r="J1836" s="231" t="s">
        <v>566</v>
      </c>
      <c r="K1836" s="279" t="s">
        <v>1343</v>
      </c>
    </row>
    <row r="1837" spans="2:11" s="233" customFormat="1" x14ac:dyDescent="0.25">
      <c r="B1837" s="235">
        <v>45103</v>
      </c>
      <c r="C1837" s="233">
        <v>2</v>
      </c>
      <c r="E1837" s="238">
        <v>0.84722222222222221</v>
      </c>
      <c r="F1837" s="204">
        <v>0.86805555555555547</v>
      </c>
      <c r="G1837" s="379">
        <f>IFERROR(IF(E1837&gt;F1837,((F1837+E376B376+1)-(E1837+#REF!))*24,HOUR(F1837-E1837)+MINUTE(F1837-E1837)/60),"")</f>
        <v>0.5</v>
      </c>
      <c r="H1837" s="230" t="s">
        <v>55</v>
      </c>
      <c r="I1837" s="231" t="s">
        <v>511</v>
      </c>
      <c r="J1837" s="231" t="s">
        <v>118</v>
      </c>
      <c r="K1837" s="176"/>
    </row>
    <row r="1838" spans="2:11" x14ac:dyDescent="0.25">
      <c r="B1838" s="235">
        <v>45103</v>
      </c>
      <c r="C1838" s="233">
        <v>2</v>
      </c>
      <c r="E1838" s="238">
        <v>0.93888888888888899</v>
      </c>
      <c r="F1838" s="204">
        <v>0.95833333333333337</v>
      </c>
      <c r="G1838" s="379">
        <f>IFERROR(IF(E1838&gt;F1838,((F1838+E376B376+1)-(E1838+#REF!))*24,HOUR(F1838-E1838)+MINUTE(F1838-E1838)/60),"")</f>
        <v>0.46666666666666667</v>
      </c>
      <c r="H1838" s="230" t="s">
        <v>55</v>
      </c>
      <c r="I1838" s="230" t="s">
        <v>509</v>
      </c>
      <c r="J1838" s="231" t="s">
        <v>114</v>
      </c>
    </row>
    <row r="1839" spans="2:11" x14ac:dyDescent="0.25">
      <c r="B1839" s="235">
        <v>45103</v>
      </c>
      <c r="C1839" s="233">
        <v>3</v>
      </c>
      <c r="E1839" s="238">
        <v>0.95833333333333337</v>
      </c>
      <c r="F1839" s="204">
        <v>0.96527777777777779</v>
      </c>
      <c r="G1839" s="379">
        <f>IFERROR(IF(E1839&gt;F1839,((F1839+E376B376+1)-(E1839+#REF!))*24,HOUR(F1839-E1839)+MINUTE(F1839-E1839)/60),"")</f>
        <v>0.16666666666666666</v>
      </c>
      <c r="H1839" s="230" t="s">
        <v>55</v>
      </c>
      <c r="I1839" s="230" t="s">
        <v>509</v>
      </c>
      <c r="J1839" s="231" t="s">
        <v>114</v>
      </c>
      <c r="K1839" s="192"/>
    </row>
    <row r="1840" spans="2:11" x14ac:dyDescent="0.25">
      <c r="B1840" s="235">
        <v>45103</v>
      </c>
      <c r="C1840" s="233">
        <v>3</v>
      </c>
      <c r="E1840" s="238">
        <v>0.97569444444444453</v>
      </c>
      <c r="F1840" s="204">
        <v>0.99513888888888891</v>
      </c>
      <c r="G1840" s="379">
        <f>IFERROR(IF(E1840&gt;F1840,((F1840+E376B376+1)-(E1840+#REF!))*24,HOUR(F1840-E1840)+MINUTE(F1840-E1840)/60),"")</f>
        <v>0.46666666666666667</v>
      </c>
      <c r="H1840" s="230" t="s">
        <v>55</v>
      </c>
      <c r="I1840" s="231" t="s">
        <v>513</v>
      </c>
      <c r="J1840" s="231" t="s">
        <v>115</v>
      </c>
      <c r="K1840" s="176" t="s">
        <v>1345</v>
      </c>
    </row>
    <row r="1841" spans="2:11" x14ac:dyDescent="0.25">
      <c r="B1841" s="235">
        <v>45103</v>
      </c>
      <c r="C1841" s="233">
        <v>3</v>
      </c>
      <c r="E1841" s="238">
        <v>4.5138888888888888E-2</v>
      </c>
      <c r="F1841" s="204">
        <v>5.5555555555555552E-2</v>
      </c>
      <c r="G1841" s="379">
        <f>IFERROR(IF(E1841&gt;F1841,((F1841+E376B376+1)-(E1841+#REF!))*24,HOUR(F1841-E1841)+MINUTE(F1841-E1841)/60),"")</f>
        <v>0.25</v>
      </c>
      <c r="H1841" s="230" t="s">
        <v>55</v>
      </c>
      <c r="I1841" s="230" t="s">
        <v>509</v>
      </c>
      <c r="J1841" s="231" t="s">
        <v>211</v>
      </c>
      <c r="K1841" s="176" t="s">
        <v>684</v>
      </c>
    </row>
    <row r="1842" spans="2:11" x14ac:dyDescent="0.25">
      <c r="B1842" s="235">
        <v>45103</v>
      </c>
      <c r="C1842" s="233">
        <v>3</v>
      </c>
      <c r="E1842" s="238">
        <v>0.1388888888888889</v>
      </c>
      <c r="F1842" s="204">
        <v>0.29166666666666669</v>
      </c>
      <c r="G1842" s="379">
        <f>IFERROR(IF(E1842&gt;F1842,((F1842+E376B376+1)-(E1842+#REF!))*24,HOUR(F1842-E1842)+MINUTE(F1842-E1842)/60),"")</f>
        <v>3.6666666666666665</v>
      </c>
      <c r="H1842" s="230" t="s">
        <v>55</v>
      </c>
      <c r="I1842" s="230" t="s">
        <v>509</v>
      </c>
      <c r="J1842" s="231" t="s">
        <v>114</v>
      </c>
    </row>
    <row r="1843" spans="2:11" x14ac:dyDescent="0.25">
      <c r="B1843" s="235">
        <v>45104</v>
      </c>
      <c r="C1843" s="195">
        <v>1</v>
      </c>
      <c r="E1843" s="238">
        <v>0.29166666666666669</v>
      </c>
      <c r="F1843" s="204">
        <v>0.30555555555555552</v>
      </c>
      <c r="G1843" s="379">
        <f>IFERROR(IF(E1843&gt;F1843,((F1843+E376B376+1)-(E1843+#REF!))*24,HOUR(F1843-E1843)+MINUTE(F1843-E1843)/60),"")</f>
        <v>0.33333333333333331</v>
      </c>
      <c r="H1843" s="230" t="s">
        <v>55</v>
      </c>
      <c r="I1843" s="230" t="s">
        <v>509</v>
      </c>
      <c r="J1843" s="231" t="s">
        <v>114</v>
      </c>
    </row>
    <row r="1844" spans="2:11" x14ac:dyDescent="0.25">
      <c r="B1844" s="235">
        <v>45104</v>
      </c>
      <c r="C1844" s="195">
        <v>1</v>
      </c>
      <c r="E1844" s="238">
        <v>0.35902777777777778</v>
      </c>
      <c r="F1844" s="204">
        <v>0.37013888888888885</v>
      </c>
      <c r="G1844" s="379">
        <f>IFERROR(IF(E1844&gt;F1844,((F1844+E376B376+1)-(E1844+#REF!))*24,HOUR(F1844-E1844)+MINUTE(F1844-E1844)/60),"")</f>
        <v>0.26666666666666666</v>
      </c>
      <c r="H1844" s="230" t="s">
        <v>55</v>
      </c>
      <c r="I1844" s="230" t="s">
        <v>509</v>
      </c>
      <c r="J1844" s="231" t="s">
        <v>573</v>
      </c>
    </row>
    <row r="1845" spans="2:11" x14ac:dyDescent="0.25">
      <c r="B1845" s="235">
        <v>45104</v>
      </c>
      <c r="C1845" s="195">
        <v>1</v>
      </c>
      <c r="E1845" s="238">
        <v>0.40625</v>
      </c>
      <c r="F1845" s="204">
        <v>0.41666666666666669</v>
      </c>
      <c r="G1845" s="379">
        <f>IFERROR(IF(E1845&gt;F1845,((F1845+E376B376+1)-(E1845+#REF!))*24,HOUR(F1845-E1845)+MINUTE(F1845-E1845)/60),"")</f>
        <v>0.25</v>
      </c>
      <c r="H1845" s="230" t="s">
        <v>1346</v>
      </c>
      <c r="I1845" s="230" t="s">
        <v>509</v>
      </c>
      <c r="J1845" s="231" t="s">
        <v>110</v>
      </c>
    </row>
    <row r="1846" spans="2:11" x14ac:dyDescent="0.25">
      <c r="B1846" s="235">
        <v>45104</v>
      </c>
      <c r="C1846" s="195">
        <v>1</v>
      </c>
      <c r="E1846" s="238">
        <v>0.4604166666666667</v>
      </c>
      <c r="F1846" s="204">
        <v>0.47222222222222227</v>
      </c>
      <c r="G1846" s="379">
        <f>IFERROR(IF(E1846&gt;F1846,((F1846+E376B376+1)-(E1846+#REF!))*24,HOUR(F1846-E1846)+MINUTE(F1846-E1846)/60),"")</f>
        <v>0.28333333333333333</v>
      </c>
      <c r="H1846" s="230" t="s">
        <v>55</v>
      </c>
      <c r="I1846" s="230" t="s">
        <v>509</v>
      </c>
      <c r="J1846" s="231" t="s">
        <v>200</v>
      </c>
    </row>
    <row r="1847" spans="2:11" x14ac:dyDescent="0.25">
      <c r="B1847" s="235">
        <v>45104</v>
      </c>
      <c r="C1847" s="195">
        <v>1</v>
      </c>
      <c r="E1847" s="238">
        <v>0.4777777777777778</v>
      </c>
      <c r="F1847" s="204">
        <v>0.48888888888888887</v>
      </c>
      <c r="G1847" s="379">
        <f>IFERROR(IF(E1847&gt;F1847,((F1847+E376B376+1)-(E1847+#REF!))*24,HOUR(F1847-E1847)+MINUTE(F1847-E1847)/60),"")</f>
        <v>0.26666666666666666</v>
      </c>
      <c r="H1847" s="230" t="s">
        <v>55</v>
      </c>
      <c r="I1847" s="230" t="s">
        <v>509</v>
      </c>
      <c r="J1847" s="231" t="s">
        <v>114</v>
      </c>
    </row>
    <row r="1848" spans="2:11" x14ac:dyDescent="0.25">
      <c r="B1848" s="235">
        <v>45104</v>
      </c>
      <c r="C1848" s="195">
        <v>1</v>
      </c>
      <c r="E1848" s="238">
        <v>0.49583333333333335</v>
      </c>
      <c r="F1848" s="204">
        <v>0.50694444444444442</v>
      </c>
      <c r="G1848" s="379">
        <f>IFERROR(IF(E1848&gt;F1848,((F1848+E376B376+1)-(E1848+#REF!))*24,HOUR(F1848-E1848)+MINUTE(F1848-E1848)/60),"")</f>
        <v>0.26666666666666666</v>
      </c>
      <c r="H1848" s="230" t="s">
        <v>55</v>
      </c>
      <c r="I1848" s="230" t="s">
        <v>509</v>
      </c>
      <c r="J1848" s="231" t="s">
        <v>200</v>
      </c>
    </row>
    <row r="1849" spans="2:11" x14ac:dyDescent="0.25">
      <c r="B1849" s="235">
        <v>45104</v>
      </c>
      <c r="C1849" s="195">
        <v>1</v>
      </c>
      <c r="E1849" s="238">
        <v>0.60763888888888895</v>
      </c>
      <c r="F1849" s="204">
        <v>0.625</v>
      </c>
      <c r="G1849" s="379">
        <f>IFERROR(IF(E1849&gt;F1849,((F1849+E376B376+1)-(E1849+#REF!))*24,HOUR(F1849-E1849)+MINUTE(F1849-E1849)/60),"")</f>
        <v>0.41666666666666669</v>
      </c>
      <c r="H1849" s="230" t="s">
        <v>55</v>
      </c>
      <c r="I1849" s="230" t="s">
        <v>511</v>
      </c>
      <c r="J1849" s="231" t="s">
        <v>200</v>
      </c>
    </row>
    <row r="1850" spans="2:11" x14ac:dyDescent="0.25">
      <c r="B1850" s="235">
        <v>45104</v>
      </c>
      <c r="C1850" s="195">
        <v>2</v>
      </c>
      <c r="E1850" s="238">
        <v>0.625</v>
      </c>
      <c r="F1850" s="204">
        <v>0.875</v>
      </c>
      <c r="G1850" s="379">
        <f>IFERROR(IF(E1850&gt;F1850,((F1850+E376B376+1)-(E1850+#REF!))*24,HOUR(F1850-E1850)+MINUTE(F1850-E1850)/60),"")</f>
        <v>6</v>
      </c>
      <c r="I1850" s="230" t="s">
        <v>513</v>
      </c>
      <c r="J1850" s="231" t="s">
        <v>566</v>
      </c>
      <c r="K1850" s="279" t="s">
        <v>1343</v>
      </c>
    </row>
    <row r="1851" spans="2:11" x14ac:dyDescent="0.25">
      <c r="B1851" s="235">
        <v>45104</v>
      </c>
      <c r="C1851" s="195">
        <v>3</v>
      </c>
      <c r="E1851" s="238">
        <v>0.98958333333333337</v>
      </c>
      <c r="F1851" s="204">
        <v>0</v>
      </c>
      <c r="G1851" s="379">
        <v>0.25</v>
      </c>
      <c r="H1851" s="230" t="s">
        <v>55</v>
      </c>
      <c r="I1851" s="230" t="s">
        <v>509</v>
      </c>
      <c r="J1851" s="231" t="s">
        <v>573</v>
      </c>
    </row>
    <row r="1852" spans="2:11" x14ac:dyDescent="0.25">
      <c r="B1852" s="235">
        <v>45104</v>
      </c>
      <c r="C1852" s="195">
        <v>3</v>
      </c>
      <c r="E1852" s="238">
        <v>2.0833333333333332E-2</v>
      </c>
      <c r="F1852" s="204">
        <v>3.125E-2</v>
      </c>
      <c r="G1852" s="379">
        <f>IFERROR(IF(E1852&gt;F1852,((F1852+E376B376+1)-(E1852+#REF!))*24,HOUR(F1852-E1852)+MINUTE(F1852-E1852)/60),"")</f>
        <v>0.25</v>
      </c>
      <c r="H1852" s="230" t="s">
        <v>55</v>
      </c>
      <c r="I1852" s="230" t="s">
        <v>511</v>
      </c>
      <c r="J1852" s="231" t="s">
        <v>200</v>
      </c>
    </row>
    <row r="1853" spans="2:11" x14ac:dyDescent="0.25">
      <c r="B1853" s="235">
        <v>45104</v>
      </c>
      <c r="C1853" s="195">
        <v>3</v>
      </c>
      <c r="E1853" s="238">
        <v>6.25E-2</v>
      </c>
      <c r="F1853" s="204">
        <v>7.2916666666666671E-2</v>
      </c>
      <c r="G1853" s="379">
        <f>IFERROR(IF(E1853&gt;F1853,((F1853+E376B376+1)-(E1853+#REF!))*24,HOUR(F1853-E1853)+MINUTE(F1853-E1853)/60),"")</f>
        <v>0.25</v>
      </c>
      <c r="H1853" s="230" t="s">
        <v>55</v>
      </c>
      <c r="I1853" s="230" t="s">
        <v>511</v>
      </c>
      <c r="J1853" s="231" t="s">
        <v>200</v>
      </c>
    </row>
    <row r="1854" spans="2:11" x14ac:dyDescent="0.25">
      <c r="B1854" s="235">
        <v>45104</v>
      </c>
      <c r="C1854" s="195">
        <v>3</v>
      </c>
      <c r="E1854" s="238">
        <v>0.13194444444444445</v>
      </c>
      <c r="F1854" s="204">
        <v>0.1423611111111111</v>
      </c>
      <c r="G1854" s="379">
        <f>IFERROR(IF(E1854&gt;F1854,((F1854+E376B376+1)-(E1854+#REF!))*24,HOUR(F1854-E1854)+MINUTE(F1854-E1854)/60),"")</f>
        <v>0.25</v>
      </c>
      <c r="H1854" s="230" t="s">
        <v>55</v>
      </c>
      <c r="I1854" s="230" t="s">
        <v>511</v>
      </c>
      <c r="J1854" s="231" t="s">
        <v>200</v>
      </c>
    </row>
    <row r="1855" spans="2:11" x14ac:dyDescent="0.25">
      <c r="B1855" s="235">
        <v>45104</v>
      </c>
      <c r="C1855" s="195">
        <v>3</v>
      </c>
      <c r="E1855" s="238">
        <v>0.16319444444444445</v>
      </c>
      <c r="F1855" s="204">
        <v>0.17361111111111113</v>
      </c>
      <c r="G1855" s="379">
        <f>IFERROR(IF(E1855&gt;F1855,((F1855+E376B376+1)-(E1855+#REF!))*24,HOUR(F1855-E1855)+MINUTE(F1855-E1855)/60),"")</f>
        <v>0.25</v>
      </c>
      <c r="H1855" s="230" t="s">
        <v>55</v>
      </c>
      <c r="I1855" s="230" t="s">
        <v>511</v>
      </c>
      <c r="J1855" s="231" t="s">
        <v>200</v>
      </c>
    </row>
    <row r="1856" spans="2:11" x14ac:dyDescent="0.25">
      <c r="B1856" s="235">
        <v>45104</v>
      </c>
      <c r="C1856" s="233">
        <v>3</v>
      </c>
      <c r="E1856" s="238">
        <v>0.20138888888888887</v>
      </c>
      <c r="F1856" s="204">
        <v>0.21180555555555555</v>
      </c>
      <c r="G1856" s="379">
        <f>IFERROR(IF(E1856&gt;F1856,((F1856+E376B376+1)-(E1856+#REF!))*24,HOUR(F1856-E1856)+MINUTE(F1856-E1856)/60),"")</f>
        <v>0.25</v>
      </c>
      <c r="H1856" s="230" t="s">
        <v>55</v>
      </c>
      <c r="I1856" s="230" t="s">
        <v>511</v>
      </c>
      <c r="J1856" s="231" t="s">
        <v>200</v>
      </c>
    </row>
    <row r="1857" spans="2:11" x14ac:dyDescent="0.25">
      <c r="B1857" s="235">
        <v>45104</v>
      </c>
      <c r="C1857" s="195">
        <v>3</v>
      </c>
      <c r="E1857" s="238">
        <v>0.21875</v>
      </c>
      <c r="F1857" s="204">
        <v>0.29166666666666669</v>
      </c>
      <c r="G1857" s="379">
        <f>IFERROR(IF(E1857&gt;F1857,((F1857+E376B376+1)-(E1857+#REF!))*24,HOUR(F1857-E1857)+MINUTE(F1857-E1857)/60),"")</f>
        <v>1.75</v>
      </c>
      <c r="I1857" s="230" t="s">
        <v>509</v>
      </c>
      <c r="J1857" s="176" t="s">
        <v>1349</v>
      </c>
      <c r="K1857" s="176" t="s">
        <v>1349</v>
      </c>
    </row>
    <row r="1858" spans="2:11" x14ac:dyDescent="0.25">
      <c r="B1858" s="235">
        <v>45105</v>
      </c>
      <c r="C1858" s="195">
        <v>1</v>
      </c>
      <c r="E1858" s="238">
        <v>0.29166666666666669</v>
      </c>
      <c r="F1858" s="204">
        <v>0.625</v>
      </c>
      <c r="G1858" s="379">
        <f>IFERROR(IF(E1858&gt;F1858,((F1858+E376B376+1)-(E1858+#REF!))*24,HOUR(F1858-E1858)+MINUTE(F1858-E1858)/60),"")</f>
        <v>8</v>
      </c>
      <c r="I1858" s="230" t="s">
        <v>513</v>
      </c>
      <c r="J1858" s="231" t="s">
        <v>141</v>
      </c>
    </row>
    <row r="1859" spans="2:11" x14ac:dyDescent="0.25">
      <c r="B1859" s="235">
        <v>45105</v>
      </c>
      <c r="C1859" s="195">
        <v>2</v>
      </c>
      <c r="E1859" s="238">
        <v>0.625</v>
      </c>
      <c r="F1859" s="204">
        <v>0.95833333333333337</v>
      </c>
      <c r="G1859" s="379">
        <f>IFERROR(IF(E1859&gt;F1859,((F1859+E376B376+1)-(E1859+#REF!))*24,HOUR(F1859-E1859)+MINUTE(F1859-E1859)/60),"")</f>
        <v>8</v>
      </c>
      <c r="I1859" s="230" t="s">
        <v>513</v>
      </c>
      <c r="J1859" s="231" t="s">
        <v>141</v>
      </c>
    </row>
    <row r="1860" spans="2:11" x14ac:dyDescent="0.25">
      <c r="B1860" s="235">
        <v>45105</v>
      </c>
      <c r="C1860" s="195">
        <v>3</v>
      </c>
      <c r="E1860" s="238">
        <v>0.95833333333333337</v>
      </c>
      <c r="F1860" s="204">
        <v>0.29166666666666669</v>
      </c>
      <c r="G1860" s="379" t="str">
        <f>IFERROR(IF(E1860&gt;F1860,((F1860+E376B376+1)-(E1860+#REF!))*24,HOUR(F1860-E1860)+MINUTE(F1860-E1860)/60),"")</f>
        <v/>
      </c>
      <c r="I1860" s="230" t="s">
        <v>513</v>
      </c>
      <c r="J1860" s="231" t="s">
        <v>141</v>
      </c>
    </row>
    <row r="1861" spans="2:11" x14ac:dyDescent="0.25">
      <c r="B1861" s="235">
        <v>45106</v>
      </c>
      <c r="C1861" s="195">
        <v>1</v>
      </c>
      <c r="E1861" s="238">
        <v>0.29166666666666669</v>
      </c>
      <c r="F1861" s="204">
        <v>0.625</v>
      </c>
      <c r="G1861" s="379">
        <f>IFERROR(IF(E1861&gt;F1861,((F1861+E376B376+1)-(E1861+#REF!))*24,HOUR(F1861-E1861)+MINUTE(F1861-E1861)/60),"")</f>
        <v>8</v>
      </c>
      <c r="I1861" s="230" t="s">
        <v>513</v>
      </c>
      <c r="J1861" s="231" t="s">
        <v>141</v>
      </c>
    </row>
    <row r="1862" spans="2:11" x14ac:dyDescent="0.25">
      <c r="B1862" s="235">
        <v>45106</v>
      </c>
      <c r="C1862" s="195">
        <v>2</v>
      </c>
      <c r="E1862" s="238">
        <v>0.625</v>
      </c>
      <c r="F1862" s="204">
        <v>0.95833333333333337</v>
      </c>
      <c r="G1862" s="379">
        <f>IFERROR(IF(E1862&gt;F1862,((F1862+E376B376+1)-(E1862+#REF!))*24,HOUR(F1862-E1862)+MINUTE(F1862-E1862)/60),"")</f>
        <v>8</v>
      </c>
      <c r="I1862" s="230" t="s">
        <v>513</v>
      </c>
      <c r="J1862" s="231" t="s">
        <v>141</v>
      </c>
    </row>
    <row r="1863" spans="2:11" x14ac:dyDescent="0.25">
      <c r="B1863" s="235">
        <v>45106</v>
      </c>
      <c r="C1863" s="195">
        <v>3</v>
      </c>
      <c r="E1863" s="238">
        <v>0.95833333333333337</v>
      </c>
      <c r="F1863" s="204">
        <v>0.29166666666666669</v>
      </c>
      <c r="G1863" s="379" t="str">
        <f>IFERROR(IF(E1863&gt;F1863,((F1863+E376B376+1)-(E1863+#REF!))*24,HOUR(F1863-E1863)+MINUTE(F1863-E1863)/60),"")</f>
        <v/>
      </c>
      <c r="I1863" s="230" t="s">
        <v>513</v>
      </c>
      <c r="J1863" s="231" t="s">
        <v>141</v>
      </c>
    </row>
    <row r="1864" spans="2:11" x14ac:dyDescent="0.25">
      <c r="B1864" s="235">
        <v>45107</v>
      </c>
      <c r="C1864" s="195">
        <v>1</v>
      </c>
      <c r="E1864" s="238">
        <v>0.29166666666666669</v>
      </c>
      <c r="F1864" s="204">
        <v>0.625</v>
      </c>
      <c r="G1864" s="379">
        <f>IFERROR(IF(E1864&gt;F1864,((F1864+E376B376+1)-(E1864+#REF!))*24,HOUR(F1864-E1864)+MINUTE(F1864-E1864)/60),"")</f>
        <v>8</v>
      </c>
      <c r="I1864" s="230" t="s">
        <v>513</v>
      </c>
      <c r="J1864" s="231" t="s">
        <v>141</v>
      </c>
    </row>
    <row r="1865" spans="2:11" x14ac:dyDescent="0.25">
      <c r="B1865" s="235">
        <v>45107</v>
      </c>
      <c r="C1865" s="195">
        <v>2</v>
      </c>
      <c r="E1865" s="238">
        <v>0.625</v>
      </c>
      <c r="F1865" s="204">
        <v>0.95833333333333337</v>
      </c>
      <c r="G1865" s="379">
        <f>IFERROR(IF(E1865&gt;F1865,((F1865+E376B376+1)-(E1865+#REF!))*24,HOUR(F1865-E1865)+MINUTE(F1865-E1865)/60),"")</f>
        <v>8</v>
      </c>
      <c r="I1865" s="230" t="s">
        <v>513</v>
      </c>
      <c r="J1865" s="231" t="s">
        <v>141</v>
      </c>
    </row>
    <row r="1866" spans="2:11" x14ac:dyDescent="0.25">
      <c r="B1866" s="235">
        <v>45107</v>
      </c>
      <c r="C1866" s="195">
        <v>3</v>
      </c>
      <c r="E1866" s="238">
        <v>0.95833333333333337</v>
      </c>
      <c r="F1866" s="204">
        <v>0.29166666666666669</v>
      </c>
      <c r="G1866" s="379" t="str">
        <f>IFERROR(IF(E1866&gt;F1866,((F1866+E376B376+1)-(E1866+#REF!))*24,HOUR(F1866-E1866)+MINUTE(F1866-E1866)/60),"")</f>
        <v/>
      </c>
      <c r="I1866" s="230" t="s">
        <v>513</v>
      </c>
      <c r="J1866" s="231" t="s">
        <v>141</v>
      </c>
    </row>
    <row r="1867" spans="2:11" x14ac:dyDescent="0.25">
      <c r="B1867" s="235">
        <v>45108</v>
      </c>
      <c r="C1867" s="195">
        <v>1</v>
      </c>
      <c r="E1867" s="238">
        <v>0.29166666666666669</v>
      </c>
      <c r="F1867" s="204">
        <v>0.625</v>
      </c>
      <c r="G1867" s="379">
        <f>IFERROR(IF(E1867&gt;F1867,((F1867+E376B376+1)-(E1867+#REF!))*24,HOUR(F1867-E1867)+MINUTE(F1867-E1867)/60),"")</f>
        <v>8</v>
      </c>
      <c r="I1867" s="230" t="s">
        <v>513</v>
      </c>
      <c r="J1867" s="231" t="s">
        <v>141</v>
      </c>
    </row>
    <row r="1868" spans="2:11" s="233" customFormat="1" x14ac:dyDescent="0.25">
      <c r="B1868" s="235">
        <v>45108</v>
      </c>
      <c r="C1868" s="233">
        <v>2</v>
      </c>
      <c r="E1868" s="238">
        <v>0.625</v>
      </c>
      <c r="F1868" s="204">
        <v>0.95833333333333337</v>
      </c>
      <c r="G1868" s="379">
        <f>IFERROR(IF(E1868&gt;F1868,((F1868+E376B376+1)-(E1868+#REF!))*24,HOUR(F1868-E1868)+MINUTE(F1868-E1868)/60),"")</f>
        <v>8</v>
      </c>
      <c r="H1868" s="230"/>
      <c r="I1868" s="230" t="s">
        <v>513</v>
      </c>
      <c r="J1868" s="231" t="s">
        <v>141</v>
      </c>
      <c r="K1868" s="176"/>
    </row>
    <row r="1869" spans="2:11" s="233" customFormat="1" x14ac:dyDescent="0.25">
      <c r="B1869" s="235">
        <v>45108</v>
      </c>
      <c r="C1869" s="233">
        <v>3</v>
      </c>
      <c r="E1869" s="238">
        <v>0.95833333333333337</v>
      </c>
      <c r="F1869" s="204">
        <v>0.29166666666666669</v>
      </c>
      <c r="G1869" s="379" t="str">
        <f>IFERROR(IF(E1869&gt;F1869,((F1869+E376B376+1)-(E1869+#REF!))*24,HOUR(F1869-E1869)+MINUTE(F1869-E1869)/60),"")</f>
        <v/>
      </c>
      <c r="H1869" s="230"/>
      <c r="I1869" s="230" t="s">
        <v>513</v>
      </c>
      <c r="J1869" s="231" t="s">
        <v>141</v>
      </c>
      <c r="K1869" s="176"/>
    </row>
    <row r="1870" spans="2:11" x14ac:dyDescent="0.25">
      <c r="B1870" s="235">
        <v>45109</v>
      </c>
      <c r="C1870" s="195">
        <v>1</v>
      </c>
      <c r="E1870" s="238">
        <v>0.29166666666666669</v>
      </c>
      <c r="F1870" s="204">
        <v>0.625</v>
      </c>
      <c r="G1870" s="379">
        <f>IFERROR(IF(E1870&gt;F1870,((F1870+E376B376+1)-(E1870+#REF!))*24,HOUR(F1870-E1870)+MINUTE(F1870-E1870)/60),"")</f>
        <v>8</v>
      </c>
      <c r="I1870" s="230" t="s">
        <v>513</v>
      </c>
      <c r="J1870" s="231" t="s">
        <v>141</v>
      </c>
    </row>
    <row r="1871" spans="2:11" x14ac:dyDescent="0.25">
      <c r="B1871" s="235">
        <v>45109</v>
      </c>
      <c r="C1871" s="195">
        <v>2</v>
      </c>
      <c r="E1871" s="238">
        <v>0.625</v>
      </c>
      <c r="F1871" s="204">
        <v>0.95833333333333337</v>
      </c>
      <c r="G1871" s="379">
        <f>IFERROR(IF(E1871&gt;F1871,((F1871+E376B376+1)-(E1871+#REF!))*24,HOUR(F1871-E1871)+MINUTE(F1871-E1871)/60),"")</f>
        <v>8</v>
      </c>
      <c r="I1871" s="230" t="s">
        <v>513</v>
      </c>
      <c r="J1871" s="231" t="s">
        <v>141</v>
      </c>
    </row>
    <row r="1872" spans="2:11" x14ac:dyDescent="0.25">
      <c r="B1872" s="388">
        <v>45109</v>
      </c>
      <c r="C1872" s="389">
        <v>3</v>
      </c>
      <c r="D1872" s="389"/>
      <c r="E1872" s="390">
        <v>0.95833333333333337</v>
      </c>
      <c r="F1872" s="391">
        <v>0.29166666666666669</v>
      </c>
      <c r="G1872" s="392" t="str">
        <f>IFERROR(IF(E1872&gt;F1872,((F1872+E376B376+1)-(E1872+#REF!))*24,HOUR(F1872-E1872)+MINUTE(F1872-E1872)/60),"")</f>
        <v/>
      </c>
      <c r="H1872" s="393"/>
      <c r="I1872" s="393" t="s">
        <v>513</v>
      </c>
      <c r="J1872" s="393" t="s">
        <v>141</v>
      </c>
      <c r="K1872" s="394"/>
    </row>
    <row r="1873" spans="2:11" x14ac:dyDescent="0.25">
      <c r="B1873" s="388">
        <v>45110</v>
      </c>
      <c r="C1873" s="389">
        <v>1</v>
      </c>
      <c r="D1873" s="389"/>
      <c r="E1873" s="390">
        <v>0.29166666666666669</v>
      </c>
      <c r="F1873" s="391">
        <v>0.30694444444444441</v>
      </c>
      <c r="G1873" s="392">
        <f>IFERROR(IF(E1873&gt;F1873,((F1873+E376B376+1)-(E1873+#REF!))*24,HOUR(F1873-E1873)+MINUTE(F1873-E1873)/60),"")</f>
        <v>0.36666666666666664</v>
      </c>
      <c r="H1873" s="393" t="s">
        <v>55</v>
      </c>
      <c r="I1873" s="393" t="s">
        <v>509</v>
      </c>
      <c r="J1873" s="393" t="s">
        <v>114</v>
      </c>
      <c r="K1873" s="394"/>
    </row>
    <row r="1874" spans="2:11" x14ac:dyDescent="0.25">
      <c r="B1874" s="388">
        <v>45110</v>
      </c>
      <c r="C1874" s="389">
        <v>1</v>
      </c>
      <c r="D1874" s="389"/>
      <c r="E1874" s="390">
        <v>0.30694444444444441</v>
      </c>
      <c r="F1874" s="391">
        <v>0.34027777777777773</v>
      </c>
      <c r="G1874" s="392">
        <f>IFERROR(IF(E1874&gt;F1874,((F1874+E376B376+1)-(E1874+#REF!))*24,HOUR(F1874-E1874)+MINUTE(F1874-E1874)/60),"")</f>
        <v>0.8</v>
      </c>
      <c r="H1874" s="393" t="s">
        <v>55</v>
      </c>
      <c r="I1874" s="393" t="s">
        <v>509</v>
      </c>
      <c r="J1874" s="393" t="s">
        <v>211</v>
      </c>
      <c r="K1874" s="394" t="s">
        <v>1351</v>
      </c>
    </row>
    <row r="1875" spans="2:11" x14ac:dyDescent="0.25">
      <c r="B1875" s="388">
        <v>45110</v>
      </c>
      <c r="C1875" s="389">
        <v>1</v>
      </c>
      <c r="D1875" s="389"/>
      <c r="E1875" s="390">
        <v>0.3666666666666667</v>
      </c>
      <c r="F1875" s="391">
        <v>0.37708333333333338</v>
      </c>
      <c r="G1875" s="392">
        <f>IFERROR(IF(E1875&gt;F1875,((F1875+E376B376+1)-(E1875+#REF!))*24,HOUR(F1875-E1875)+MINUTE(F1875-E1875)/60),"")</f>
        <v>0.25</v>
      </c>
      <c r="H1875" s="393" t="s">
        <v>55</v>
      </c>
      <c r="I1875" s="393"/>
      <c r="J1875" s="393" t="s">
        <v>203</v>
      </c>
      <c r="K1875" s="393" t="s">
        <v>1190</v>
      </c>
    </row>
    <row r="1876" spans="2:11" x14ac:dyDescent="0.25">
      <c r="B1876" s="388">
        <v>45110</v>
      </c>
      <c r="C1876" s="389">
        <v>1</v>
      </c>
      <c r="D1876" s="389"/>
      <c r="E1876" s="390">
        <v>0.4548611111111111</v>
      </c>
      <c r="F1876" s="391">
        <v>0.625</v>
      </c>
      <c r="G1876" s="392">
        <f>IFERROR(IF(E1876&gt;F1876,((F1876+E376B376+1)-(E1876+#REF!))*24,HOUR(F1876-E1876)+MINUTE(F1876-E1876)/60),"")</f>
        <v>4.083333333333333</v>
      </c>
      <c r="H1876" s="393" t="s">
        <v>55</v>
      </c>
      <c r="I1876" s="393" t="s">
        <v>509</v>
      </c>
      <c r="J1876" s="394" t="s">
        <v>1349</v>
      </c>
      <c r="K1876" s="394"/>
    </row>
    <row r="1877" spans="2:11" x14ac:dyDescent="0.25">
      <c r="B1877" s="388">
        <v>45110</v>
      </c>
      <c r="C1877" s="389">
        <v>2</v>
      </c>
      <c r="D1877" s="389"/>
      <c r="E1877" s="390">
        <v>0.625</v>
      </c>
      <c r="F1877" s="391">
        <v>0.63888888888888895</v>
      </c>
      <c r="G1877" s="392">
        <f>IFERROR(IF(E1877&gt;F1877,((F1877+E376B376+1)-(E1877+#REF!))*24,HOUR(F1877-E1877)+MINUTE(F1877-E1877)/60),"")</f>
        <v>0.33333333333333331</v>
      </c>
      <c r="H1877" s="393" t="s">
        <v>55</v>
      </c>
      <c r="I1877" s="393" t="s">
        <v>509</v>
      </c>
      <c r="J1877" s="393" t="s">
        <v>114</v>
      </c>
      <c r="K1877" s="394"/>
    </row>
    <row r="1878" spans="2:11" x14ac:dyDescent="0.25">
      <c r="B1878" s="388">
        <v>45110</v>
      </c>
      <c r="C1878" s="389">
        <v>2</v>
      </c>
      <c r="D1878" s="389"/>
      <c r="E1878" s="390">
        <v>0.66666666666666663</v>
      </c>
      <c r="F1878" s="391">
        <v>0.67708333333333337</v>
      </c>
      <c r="G1878" s="392">
        <f>IFERROR(IF(E1878&gt;F1878,((F1878+E376B376+1)-(E1878+#REF!))*24,HOUR(F1878-E1878)+MINUTE(F1878-E1878)/60),"")</f>
        <v>0.25</v>
      </c>
      <c r="H1878" s="393" t="s">
        <v>55</v>
      </c>
      <c r="I1878" s="393" t="s">
        <v>509</v>
      </c>
      <c r="J1878" s="393" t="s">
        <v>200</v>
      </c>
      <c r="K1878" s="394"/>
    </row>
    <row r="1879" spans="2:11" x14ac:dyDescent="0.25">
      <c r="B1879" s="388">
        <v>45110</v>
      </c>
      <c r="C1879" s="389">
        <v>2</v>
      </c>
      <c r="D1879" s="389"/>
      <c r="E1879" s="390">
        <v>0.6875</v>
      </c>
      <c r="F1879" s="391">
        <v>0.69791666666666663</v>
      </c>
      <c r="G1879" s="392">
        <f>IFERROR(IF(E1879&gt;F1879,((F1879+E376B376+1)-(E1879+#REF!))*24,HOUR(F1879-E1879)+MINUTE(F1879-E1879)/60),"")</f>
        <v>0.25</v>
      </c>
      <c r="H1879" s="393" t="s">
        <v>198</v>
      </c>
      <c r="I1879" s="393" t="s">
        <v>509</v>
      </c>
      <c r="J1879" s="393" t="s">
        <v>126</v>
      </c>
      <c r="K1879" s="394"/>
    </row>
    <row r="1880" spans="2:11" x14ac:dyDescent="0.25">
      <c r="B1880" s="388">
        <v>45110</v>
      </c>
      <c r="C1880" s="389">
        <v>2</v>
      </c>
      <c r="D1880" s="389"/>
      <c r="E1880" s="390">
        <v>0.69791666666666663</v>
      </c>
      <c r="F1880" s="391">
        <v>0.72916666666666663</v>
      </c>
      <c r="G1880" s="392">
        <f>IFERROR(IF(E1880&gt;F1880,((F1880+E376B376+1)-(E1880+#REF!))*24,HOUR(F1880-E1880)+MINUTE(F1880-E1880)/60),"")</f>
        <v>0.75</v>
      </c>
      <c r="H1880" s="393" t="s">
        <v>204</v>
      </c>
      <c r="I1880" s="393" t="s">
        <v>509</v>
      </c>
      <c r="J1880" s="393" t="s">
        <v>203</v>
      </c>
      <c r="K1880" s="394"/>
    </row>
    <row r="1881" spans="2:11" x14ac:dyDescent="0.25">
      <c r="B1881" s="388">
        <v>45110</v>
      </c>
      <c r="C1881" s="389">
        <v>2</v>
      </c>
      <c r="D1881" s="389"/>
      <c r="E1881" s="390">
        <v>0.76041666666666663</v>
      </c>
      <c r="F1881" s="391">
        <v>0.77430555555555547</v>
      </c>
      <c r="G1881" s="392">
        <f>IFERROR(IF(E1881&gt;F1881,((F1881+E376B376+1)-(E1881+#REF!))*24,HOUR(F1881-E1881)+MINUTE(F1881-E1881)/60),"")</f>
        <v>0.33333333333333331</v>
      </c>
      <c r="H1881" s="393" t="s">
        <v>55</v>
      </c>
      <c r="I1881" s="393" t="s">
        <v>509</v>
      </c>
      <c r="J1881" s="393" t="s">
        <v>203</v>
      </c>
      <c r="K1881" s="394"/>
    </row>
    <row r="1882" spans="2:11" x14ac:dyDescent="0.25">
      <c r="B1882" s="388">
        <v>45110</v>
      </c>
      <c r="C1882" s="389">
        <v>2</v>
      </c>
      <c r="D1882" s="389"/>
      <c r="E1882" s="390">
        <v>0.78819444444444453</v>
      </c>
      <c r="F1882" s="391">
        <v>0.79861111111111116</v>
      </c>
      <c r="G1882" s="392">
        <f>IFERROR(IF(E1882&gt;F1882,((F1882+E376B376+1)-(E1882+#REF!))*24,HOUR(F1882-E1882)+MINUTE(F1882-E1882)/60),"")</f>
        <v>0.25</v>
      </c>
      <c r="H1882" s="393" t="s">
        <v>55</v>
      </c>
      <c r="I1882" s="393" t="s">
        <v>509</v>
      </c>
      <c r="J1882" s="393" t="s">
        <v>203</v>
      </c>
      <c r="K1882" s="394"/>
    </row>
    <row r="1883" spans="2:11" x14ac:dyDescent="0.25">
      <c r="B1883" s="388">
        <v>45110</v>
      </c>
      <c r="C1883" s="389">
        <v>2</v>
      </c>
      <c r="D1883" s="389"/>
      <c r="E1883" s="390">
        <v>0.79861111111111116</v>
      </c>
      <c r="F1883" s="391">
        <v>0.81805555555555554</v>
      </c>
      <c r="G1883" s="392">
        <f>IFERROR(IF(E1883&gt;F1883,((F1883+E376B376+1)-(E1883+#REF!))*24,HOUR(F1883-E1883)+MINUTE(F1883-E1883)/60),"")</f>
        <v>0.46666666666666667</v>
      </c>
      <c r="H1883" s="393" t="s">
        <v>55</v>
      </c>
      <c r="I1883" s="393" t="s">
        <v>509</v>
      </c>
      <c r="J1883" s="393" t="s">
        <v>114</v>
      </c>
      <c r="K1883" s="394"/>
    </row>
    <row r="1884" spans="2:11" x14ac:dyDescent="0.25">
      <c r="B1884" s="388">
        <v>45110</v>
      </c>
      <c r="C1884" s="389">
        <v>2</v>
      </c>
      <c r="D1884" s="389"/>
      <c r="E1884" s="390">
        <v>0.875</v>
      </c>
      <c r="F1884" s="391">
        <v>0.88611111111111107</v>
      </c>
      <c r="G1884" s="392">
        <f>IFERROR(IF(E1884&gt;F1884,((F1884+E376B376+1)-(E1884+#REF!))*24,HOUR(F1884-E1884)+MINUTE(F1884-E1884)/60),"")</f>
        <v>0.26666666666666666</v>
      </c>
      <c r="H1884" s="393" t="s">
        <v>55</v>
      </c>
      <c r="I1884" s="393" t="s">
        <v>509</v>
      </c>
      <c r="J1884" s="393" t="s">
        <v>203</v>
      </c>
      <c r="K1884" s="394"/>
    </row>
    <row r="1885" spans="2:11" x14ac:dyDescent="0.25">
      <c r="B1885" s="388">
        <v>45110</v>
      </c>
      <c r="C1885" s="389">
        <v>2</v>
      </c>
      <c r="D1885" s="389"/>
      <c r="E1885" s="390">
        <v>0.89236111111111116</v>
      </c>
      <c r="F1885" s="391">
        <v>0.90277777777777779</v>
      </c>
      <c r="G1885" s="392">
        <f>IFERROR(IF(E1885&gt;F1885,((F1885+E376B376+1)-(E1885+#REF!))*24,HOUR(F1885-E1885)+MINUTE(F1885-E1885)/60),"")</f>
        <v>0.25</v>
      </c>
      <c r="H1885" s="393" t="s">
        <v>55</v>
      </c>
      <c r="I1885" s="393" t="s">
        <v>509</v>
      </c>
      <c r="J1885" s="393" t="s">
        <v>203</v>
      </c>
      <c r="K1885" s="394"/>
    </row>
    <row r="1886" spans="2:11" x14ac:dyDescent="0.25">
      <c r="B1886" s="388">
        <v>45110</v>
      </c>
      <c r="C1886" s="389">
        <v>2</v>
      </c>
      <c r="D1886" s="389"/>
      <c r="E1886" s="390">
        <v>0.92708333333333337</v>
      </c>
      <c r="F1886" s="391">
        <v>0.95833333333333337</v>
      </c>
      <c r="G1886" s="392">
        <f>IFERROR(IF(E1886&gt;F1886,((F1886+E376B376+1)-(E1886+#REF!))*24,HOUR(F1886-E1886)+MINUTE(F1886-E1886)/60),"")</f>
        <v>0.75</v>
      </c>
      <c r="H1886" s="393" t="s">
        <v>55</v>
      </c>
      <c r="I1886" s="393" t="s">
        <v>509</v>
      </c>
      <c r="J1886" s="393" t="s">
        <v>211</v>
      </c>
      <c r="K1886" s="394"/>
    </row>
    <row r="1887" spans="2:11" x14ac:dyDescent="0.25">
      <c r="B1887" s="235">
        <v>45110</v>
      </c>
      <c r="C1887" s="195">
        <v>3</v>
      </c>
      <c r="E1887" s="238">
        <v>0.95833333333333337</v>
      </c>
      <c r="F1887" s="204">
        <v>0.97916666666666663</v>
      </c>
      <c r="G1887" s="379">
        <f>IFERROR(IF(E1887&gt;F1887,((F1887+E376B376+1)-(E1887+#REF!))*24,HOUR(F1887-E1887)+MINUTE(F1887-E1887)/60),"")</f>
        <v>0.5</v>
      </c>
      <c r="H1887" s="230" t="s">
        <v>55</v>
      </c>
      <c r="I1887" s="230" t="s">
        <v>509</v>
      </c>
      <c r="J1887" s="231" t="s">
        <v>211</v>
      </c>
      <c r="K1887" s="176" t="s">
        <v>684</v>
      </c>
    </row>
    <row r="1888" spans="2:11" x14ac:dyDescent="0.25">
      <c r="B1888" s="235">
        <v>45110</v>
      </c>
      <c r="C1888" s="233">
        <v>3</v>
      </c>
      <c r="E1888" s="238">
        <v>2.4305555555555556E-2</v>
      </c>
      <c r="F1888" s="204">
        <v>3.4722222222222224E-2</v>
      </c>
      <c r="G1888" s="379">
        <f>IFERROR(IF(E1888&gt;F1888,((F1888+E376B376+1)-(E1888+#REF!))*24,HOUR(F1888-E1888)+MINUTE(F1888-E1888)/60),"")</f>
        <v>0.25</v>
      </c>
      <c r="H1888" s="230" t="s">
        <v>207</v>
      </c>
      <c r="I1888" s="230" t="s">
        <v>509</v>
      </c>
      <c r="J1888" s="231" t="s">
        <v>495</v>
      </c>
      <c r="K1888" s="176" t="s">
        <v>1359</v>
      </c>
    </row>
    <row r="1889" spans="2:11" x14ac:dyDescent="0.25">
      <c r="B1889" s="235">
        <v>45110</v>
      </c>
      <c r="C1889" s="195">
        <v>3</v>
      </c>
      <c r="E1889" s="238">
        <v>3.4722222222222224E-2</v>
      </c>
      <c r="F1889" s="204">
        <v>4.5138888888888888E-2</v>
      </c>
      <c r="G1889" s="379">
        <f>IFERROR(IF(E1889&gt;F1889,((F1889+E376B376+1)-(E1889+#REF!))*24,HOUR(F1889-E1889)+MINUTE(F1889-E1889)/60),"")</f>
        <v>0.25</v>
      </c>
      <c r="H1889" s="230" t="s">
        <v>195</v>
      </c>
      <c r="I1889" s="230" t="s">
        <v>509</v>
      </c>
      <c r="J1889" s="231" t="s">
        <v>110</v>
      </c>
      <c r="K1889" s="176" t="s">
        <v>1070</v>
      </c>
    </row>
    <row r="1890" spans="2:11" x14ac:dyDescent="0.25">
      <c r="B1890" s="235">
        <v>45110</v>
      </c>
      <c r="C1890" s="195">
        <v>3</v>
      </c>
      <c r="E1890" s="238">
        <v>6.9444444444444434E-2</v>
      </c>
      <c r="F1890" s="204">
        <v>9.375E-2</v>
      </c>
      <c r="G1890" s="379">
        <f>IFERROR(IF(E1890&gt;F1890,((F1890+E376B376+1)-(E1890+#REF!))*24,HOUR(F1890-E1890)+MINUTE(F1890-E1890)/60),"")</f>
        <v>0.58333333333333337</v>
      </c>
      <c r="H1890" s="230" t="s">
        <v>195</v>
      </c>
      <c r="I1890" s="230" t="s">
        <v>509</v>
      </c>
      <c r="J1890" s="231" t="s">
        <v>499</v>
      </c>
      <c r="K1890" s="176" t="s">
        <v>1361</v>
      </c>
    </row>
    <row r="1891" spans="2:11" x14ac:dyDescent="0.25">
      <c r="B1891" s="235">
        <v>45110</v>
      </c>
      <c r="C1891" s="195">
        <v>3</v>
      </c>
      <c r="E1891" s="238">
        <v>0.11458333333333333</v>
      </c>
      <c r="F1891" s="204">
        <v>0.125</v>
      </c>
      <c r="G1891" s="379">
        <f>IFERROR(IF(E1891&gt;F1891,((F1891+E376B376+1)-(E1891+#REF!))*24,HOUR(F1891-E1891)+MINUTE(F1891-E1891)/60),"")</f>
        <v>0.25</v>
      </c>
      <c r="H1891" s="230" t="s">
        <v>55</v>
      </c>
      <c r="I1891" s="230" t="s">
        <v>509</v>
      </c>
      <c r="J1891" s="231" t="s">
        <v>203</v>
      </c>
    </row>
    <row r="1892" spans="2:11" x14ac:dyDescent="0.25">
      <c r="B1892" s="235">
        <v>45110</v>
      </c>
      <c r="C1892" s="233">
        <v>3</v>
      </c>
      <c r="E1892" s="238">
        <v>0.15972222222222224</v>
      </c>
      <c r="F1892" s="204">
        <v>0.17013888888888887</v>
      </c>
      <c r="G1892" s="379">
        <f>IFERROR(IF(E1892&gt;F1892,((F1892+E376B376+1)-(E1892+#REF!))*24,HOUR(F1892-E1892)+MINUTE(F1892-E1892)/60),"")</f>
        <v>0.25</v>
      </c>
      <c r="H1892" s="230" t="s">
        <v>55</v>
      </c>
      <c r="I1892" s="230" t="s">
        <v>509</v>
      </c>
      <c r="J1892" s="231" t="s">
        <v>203</v>
      </c>
    </row>
    <row r="1893" spans="2:11" x14ac:dyDescent="0.25">
      <c r="B1893" s="235">
        <v>45110</v>
      </c>
      <c r="C1893" s="195">
        <v>3</v>
      </c>
      <c r="E1893" s="238">
        <v>0.27430555555555552</v>
      </c>
      <c r="F1893" s="204">
        <v>0.29166666666666669</v>
      </c>
      <c r="G1893" s="379">
        <f>IFERROR(IF(E1893&gt;F1893,((F1893+E376B376+1)-(E1893+#REF!))*24,HOUR(F1893-E1893)+MINUTE(F1893-E1893)/60),"")</f>
        <v>0.41666666666666669</v>
      </c>
      <c r="H1893" s="230" t="s">
        <v>55</v>
      </c>
      <c r="I1893" s="230" t="s">
        <v>509</v>
      </c>
      <c r="J1893" s="231" t="s">
        <v>114</v>
      </c>
    </row>
    <row r="1894" spans="2:11" x14ac:dyDescent="0.25">
      <c r="B1894" s="235">
        <v>45111</v>
      </c>
      <c r="C1894" s="195">
        <v>1</v>
      </c>
      <c r="E1894" s="238">
        <v>0.37986111111111115</v>
      </c>
      <c r="F1894" s="204">
        <v>0.39027777777777778</v>
      </c>
      <c r="G1894" s="379">
        <f>IFERROR(IF(E1894&gt;F1894,((F1894+E376B376+1)-(E1894+#REF!))*24,HOUR(F1894-E1894)+MINUTE(F1894-E1894)/60),"")</f>
        <v>0.25</v>
      </c>
      <c r="H1894" s="230" t="s">
        <v>55</v>
      </c>
      <c r="I1894" s="330"/>
      <c r="J1894" s="231" t="s">
        <v>203</v>
      </c>
      <c r="K1894" s="330" t="s">
        <v>1190</v>
      </c>
    </row>
    <row r="1895" spans="2:11" x14ac:dyDescent="0.25">
      <c r="B1895" s="235">
        <v>45111</v>
      </c>
      <c r="C1895" s="233">
        <v>1</v>
      </c>
      <c r="E1895" s="238">
        <v>0.46319444444444446</v>
      </c>
      <c r="F1895" s="204">
        <v>0.51944444444444449</v>
      </c>
      <c r="G1895" s="379">
        <f>IFERROR(IF(E1895&gt;F1895,((F1895+E376B376+1)-(E1895+#REF!))*24,HOUR(F1895-E1895)+MINUTE(F1895-E1895)/60),"")</f>
        <v>1.35</v>
      </c>
      <c r="H1895" s="230" t="s">
        <v>55</v>
      </c>
      <c r="I1895" s="230" t="s">
        <v>510</v>
      </c>
      <c r="J1895" s="231"/>
      <c r="K1895" s="176" t="s">
        <v>1363</v>
      </c>
    </row>
    <row r="1896" spans="2:11" x14ac:dyDescent="0.25">
      <c r="B1896" s="235">
        <v>45111</v>
      </c>
      <c r="C1896" s="233">
        <v>1</v>
      </c>
      <c r="E1896" s="238">
        <v>0.60416666666666663</v>
      </c>
      <c r="F1896" s="204">
        <v>0.625</v>
      </c>
      <c r="G1896" s="379">
        <f>IFERROR(IF(E1896&gt;F1896,((F1896+E376B376+1)-(E1896+#REF!))*24,HOUR(F1896-E1896)+MINUTE(F1896-E1896)/60),"")</f>
        <v>0.5</v>
      </c>
      <c r="H1896" s="230" t="s">
        <v>55</v>
      </c>
      <c r="I1896" s="230" t="s">
        <v>509</v>
      </c>
      <c r="J1896" s="231" t="s">
        <v>114</v>
      </c>
    </row>
    <row r="1897" spans="2:11" x14ac:dyDescent="0.25">
      <c r="B1897" s="235">
        <v>45111</v>
      </c>
      <c r="C1897" s="233">
        <v>2</v>
      </c>
      <c r="E1897" s="238">
        <v>0.625</v>
      </c>
      <c r="F1897" s="204">
        <v>0.62986111111111109</v>
      </c>
      <c r="G1897" s="379">
        <f>IFERROR(IF(E1897&gt;F1897,((F1897+E376B376+1)-(E1897+#REF!))*24,HOUR(F1897-E1897)+MINUTE(F1897-E1897)/60),"")</f>
        <v>0.11666666666666667</v>
      </c>
      <c r="H1897" s="230" t="s">
        <v>55</v>
      </c>
      <c r="I1897" s="230" t="s">
        <v>509</v>
      </c>
      <c r="J1897" s="231" t="s">
        <v>114</v>
      </c>
    </row>
    <row r="1898" spans="2:11" x14ac:dyDescent="0.25">
      <c r="B1898" s="235">
        <v>45111</v>
      </c>
      <c r="C1898" s="233">
        <v>2</v>
      </c>
      <c r="E1898" s="238">
        <v>0.71319444444444446</v>
      </c>
      <c r="F1898" s="204">
        <v>0.72499999999999998</v>
      </c>
      <c r="G1898" s="379">
        <f>IFERROR(IF(E1898&gt;F1898,((F1898+E376B376+1)-(E1898+#REF!))*24,HOUR(F1898-E1898)+MINUTE(F1898-E1898)/60),"")</f>
        <v>0.28333333333333333</v>
      </c>
      <c r="H1898" s="230" t="s">
        <v>55</v>
      </c>
      <c r="I1898" s="230" t="s">
        <v>509</v>
      </c>
      <c r="J1898" s="231" t="s">
        <v>211</v>
      </c>
      <c r="K1898" s="176" t="s">
        <v>684</v>
      </c>
    </row>
    <row r="1899" spans="2:11" x14ac:dyDescent="0.25">
      <c r="B1899" s="235">
        <v>45111</v>
      </c>
      <c r="C1899" s="233">
        <v>2</v>
      </c>
      <c r="E1899" s="238">
        <v>0.78472222222222221</v>
      </c>
      <c r="F1899" s="204">
        <v>0.79861111111111116</v>
      </c>
      <c r="G1899" s="379">
        <f>IFERROR(IF(E1899&gt;F1899,((F1899+E376B376+1)-(E1899+#REF!))*24,HOUR(F1899-E1899)+MINUTE(F1899-E1899)/60),"")</f>
        <v>0.33333333333333331</v>
      </c>
      <c r="H1899" s="230" t="s">
        <v>55</v>
      </c>
      <c r="I1899" s="230" t="s">
        <v>509</v>
      </c>
      <c r="J1899" s="231" t="s">
        <v>203</v>
      </c>
    </row>
    <row r="1900" spans="2:11" x14ac:dyDescent="0.25">
      <c r="B1900" s="235">
        <v>45111</v>
      </c>
      <c r="C1900" s="233">
        <v>2</v>
      </c>
      <c r="E1900" s="238">
        <v>0.82430555555555562</v>
      </c>
      <c r="F1900" s="204">
        <v>0.83472222222222225</v>
      </c>
      <c r="G1900" s="379">
        <f>IFERROR(IF(E1900&gt;F1900,((F1900+E376B376+1)-(E1900+#REF!))*24,HOUR(F1900-E1900)+MINUTE(F1900-E1900)/60),"")</f>
        <v>0.25</v>
      </c>
      <c r="H1900" s="230" t="s">
        <v>55</v>
      </c>
      <c r="I1900" s="230" t="s">
        <v>509</v>
      </c>
      <c r="J1900" s="231" t="s">
        <v>203</v>
      </c>
    </row>
    <row r="1901" spans="2:11" x14ac:dyDescent="0.25">
      <c r="B1901" s="235">
        <v>45111</v>
      </c>
      <c r="C1901" s="233">
        <v>2</v>
      </c>
      <c r="E1901" s="238">
        <v>0.85416666666666663</v>
      </c>
      <c r="F1901" s="204">
        <v>0.86458333333333337</v>
      </c>
      <c r="G1901" s="379">
        <f>IFERROR(IF(E1901&gt;F1901,((F1901+E376B376+1)-(E1901+#REF!))*24,HOUR(F1901-E1901)+MINUTE(F1901-E1901)/60),"")</f>
        <v>0.25</v>
      </c>
      <c r="H1901" s="230" t="s">
        <v>55</v>
      </c>
      <c r="I1901" s="230" t="s">
        <v>509</v>
      </c>
      <c r="J1901" s="231" t="s">
        <v>203</v>
      </c>
    </row>
    <row r="1902" spans="2:11" x14ac:dyDescent="0.25">
      <c r="B1902" s="235">
        <v>45111</v>
      </c>
      <c r="C1902" s="233">
        <v>2</v>
      </c>
      <c r="E1902" s="238">
        <v>0.87847222222222221</v>
      </c>
      <c r="F1902" s="204">
        <v>0.88888888888888884</v>
      </c>
      <c r="G1902" s="379">
        <f>IFERROR(IF(E1902&gt;F1902,((F1902+E376B376+1)-(E1902+#REF!))*24,HOUR(F1902-E1902)+MINUTE(F1902-E1902)/60),"")</f>
        <v>0.25</v>
      </c>
      <c r="H1902" s="230" t="s">
        <v>55</v>
      </c>
      <c r="I1902" s="230" t="s">
        <v>509</v>
      </c>
      <c r="J1902" s="231" t="s">
        <v>203</v>
      </c>
    </row>
    <row r="1903" spans="2:11" x14ac:dyDescent="0.25">
      <c r="B1903" s="235">
        <v>45111</v>
      </c>
      <c r="C1903" s="195">
        <v>2</v>
      </c>
      <c r="E1903" s="238">
        <v>0.93402777777777779</v>
      </c>
      <c r="F1903" s="204">
        <v>0.95833333333333337</v>
      </c>
      <c r="G1903" s="379">
        <f>IFERROR(IF(E1903&gt;F1903,((F1903+E376B376+1)-(E1903+#REF!))*24,HOUR(F1903-E1903)+MINUTE(F1903-E1903)/60),"")</f>
        <v>0.58333333333333337</v>
      </c>
      <c r="H1903" s="230" t="s">
        <v>204</v>
      </c>
      <c r="I1903" s="230" t="s">
        <v>509</v>
      </c>
      <c r="J1903" s="231" t="s">
        <v>200</v>
      </c>
    </row>
    <row r="1904" spans="2:11" x14ac:dyDescent="0.25">
      <c r="B1904" s="235">
        <v>45111</v>
      </c>
      <c r="C1904" s="195">
        <v>3</v>
      </c>
      <c r="E1904" s="238">
        <v>0.99097222222222225</v>
      </c>
      <c r="F1904" s="204">
        <v>2.7777777777777779E-3</v>
      </c>
      <c r="G1904" s="379">
        <v>0.28000000000000003</v>
      </c>
      <c r="H1904" s="230" t="s">
        <v>204</v>
      </c>
      <c r="I1904" s="230" t="s">
        <v>509</v>
      </c>
      <c r="J1904" s="231" t="s">
        <v>602</v>
      </c>
    </row>
    <row r="1905" spans="2:11" x14ac:dyDescent="0.25">
      <c r="B1905" s="235">
        <v>45111</v>
      </c>
      <c r="C1905" s="233">
        <v>3</v>
      </c>
      <c r="E1905" s="238">
        <v>0.11458333333333333</v>
      </c>
      <c r="F1905" s="204">
        <v>0.12847222222222224</v>
      </c>
      <c r="G1905" s="379">
        <f>IFERROR(IF(E1905&gt;F1905,((F1905+E376B376+1)-(E1905+#REF!))*24,HOUR(F1905-E1905)+MINUTE(F1905-E1905)/60),"")</f>
        <v>0.33333333333333331</v>
      </c>
      <c r="H1905" s="230" t="s">
        <v>55</v>
      </c>
      <c r="I1905" s="230" t="s">
        <v>509</v>
      </c>
      <c r="J1905" s="231" t="s">
        <v>203</v>
      </c>
    </row>
    <row r="1906" spans="2:11" x14ac:dyDescent="0.25">
      <c r="B1906" s="235">
        <v>45111</v>
      </c>
      <c r="C1906" s="233">
        <v>3</v>
      </c>
      <c r="E1906" s="238">
        <v>0.16319444444444445</v>
      </c>
      <c r="F1906" s="204">
        <v>0.18402777777777779</v>
      </c>
      <c r="G1906" s="379">
        <f>IFERROR(IF(E1906&gt;F1906,((F1906+E376B376+1)-(E1906+#REF!))*24,HOUR(F1906-E1906)+MINUTE(F1906-E1906)/60),"")</f>
        <v>0.5</v>
      </c>
      <c r="H1906" s="230" t="s">
        <v>55</v>
      </c>
      <c r="I1906" s="230" t="s">
        <v>509</v>
      </c>
      <c r="J1906" s="231" t="s">
        <v>211</v>
      </c>
      <c r="K1906" s="176" t="s">
        <v>684</v>
      </c>
    </row>
    <row r="1907" spans="2:11" x14ac:dyDescent="0.25">
      <c r="B1907" s="235">
        <v>45111</v>
      </c>
      <c r="C1907" s="233">
        <v>3</v>
      </c>
      <c r="E1907" s="238">
        <v>0.24305555555555555</v>
      </c>
      <c r="F1907" s="204">
        <v>0.25694444444444448</v>
      </c>
      <c r="G1907" s="379">
        <f>IFERROR(IF(E1907&gt;F1907,((F1907+E376B376+1)-(E1907+#REF!))*24,HOUR(F1907-E1907)+MINUTE(F1907-E1907)/60),"")</f>
        <v>0.33333333333333331</v>
      </c>
      <c r="H1907" s="230" t="s">
        <v>55</v>
      </c>
      <c r="I1907" s="230" t="s">
        <v>509</v>
      </c>
      <c r="J1907" s="176" t="s">
        <v>1366</v>
      </c>
      <c r="K1907" s="176" t="s">
        <v>1366</v>
      </c>
    </row>
    <row r="1908" spans="2:11" x14ac:dyDescent="0.25">
      <c r="B1908" s="235">
        <v>45111</v>
      </c>
      <c r="C1908" s="233">
        <v>3</v>
      </c>
      <c r="E1908" s="238">
        <v>0.27430555555555552</v>
      </c>
      <c r="F1908" s="204">
        <v>0.29166666666666669</v>
      </c>
      <c r="G1908" s="379">
        <f>IFERROR(IF(E1908&gt;F1908,((F1908+E376B376+1)-(E1908+#REF!))*24,HOUR(F1908-E1908)+MINUTE(F1908-E1908)/60),"")</f>
        <v>0.41666666666666669</v>
      </c>
      <c r="H1908" s="230" t="s">
        <v>55</v>
      </c>
      <c r="I1908" s="230" t="s">
        <v>509</v>
      </c>
      <c r="J1908" s="231" t="s">
        <v>114</v>
      </c>
    </row>
    <row r="1909" spans="2:11" x14ac:dyDescent="0.25">
      <c r="B1909" s="235">
        <v>45112</v>
      </c>
      <c r="C1909" s="195">
        <v>1</v>
      </c>
      <c r="E1909" s="238">
        <v>0.29166666666666669</v>
      </c>
      <c r="F1909" s="204">
        <v>0.30416666666666664</v>
      </c>
      <c r="G1909" s="379">
        <f>IFERROR(IF(E1909&gt;F1909,((F1909+E376B376+1)-(E1909+#REF!))*24,HOUR(F1909-E1909)+MINUTE(F1909-E1909)/60),"")</f>
        <v>0.3</v>
      </c>
      <c r="H1909" s="230" t="s">
        <v>55</v>
      </c>
      <c r="I1909" s="230" t="s">
        <v>509</v>
      </c>
      <c r="J1909" s="231" t="s">
        <v>114</v>
      </c>
    </row>
    <row r="1910" spans="2:11" x14ac:dyDescent="0.25">
      <c r="B1910" s="235">
        <v>45112</v>
      </c>
      <c r="C1910" s="233">
        <v>1</v>
      </c>
      <c r="E1910" s="238">
        <v>0.40416666666666662</v>
      </c>
      <c r="F1910" s="204">
        <v>0.4145833333333333</v>
      </c>
      <c r="G1910" s="379">
        <f>IFERROR(IF(E1910&gt;F1910,((F1910+E376B376+1)-(E1910+#REF!))*24,HOUR(F1910-E1910)+MINUTE(F1910-E1910)/60),"")</f>
        <v>0.25</v>
      </c>
      <c r="H1910" s="230" t="s">
        <v>55</v>
      </c>
      <c r="I1910" s="330"/>
      <c r="J1910" s="231" t="s">
        <v>203</v>
      </c>
      <c r="K1910" s="330" t="s">
        <v>1190</v>
      </c>
    </row>
    <row r="1911" spans="2:11" x14ac:dyDescent="0.25">
      <c r="B1911" s="235">
        <v>45112</v>
      </c>
      <c r="C1911" s="233">
        <v>1</v>
      </c>
      <c r="E1911" s="238">
        <v>0.4145833333333333</v>
      </c>
      <c r="F1911" s="204">
        <v>0.44861111111111113</v>
      </c>
      <c r="G1911" s="379">
        <f>IFERROR(IF(E1911&gt;F1911,((F1911+E376B376+1)-(E1911+#REF!))*24,HOUR(F1911-E1911)+MINUTE(F1911-E1911)/60),"")</f>
        <v>0.81666666666666665</v>
      </c>
      <c r="H1911" s="230" t="s">
        <v>55</v>
      </c>
      <c r="I1911" s="230" t="s">
        <v>509</v>
      </c>
      <c r="J1911" s="231" t="s">
        <v>213</v>
      </c>
    </row>
    <row r="1912" spans="2:11" x14ac:dyDescent="0.25">
      <c r="B1912" s="235">
        <v>45112</v>
      </c>
      <c r="C1912" s="233">
        <v>1</v>
      </c>
      <c r="E1912" s="238">
        <v>0.44861111111111113</v>
      </c>
      <c r="F1912" s="204">
        <v>0.46180555555555558</v>
      </c>
      <c r="G1912" s="379">
        <f>IFERROR(IF(E1912&gt;F1912,((F1912+E376B376+1)-(E1912+#REF!))*24,HOUR(F1912-E1912)+MINUTE(F1912-E1912)/60),"")</f>
        <v>0.31666666666666665</v>
      </c>
      <c r="H1912" s="230" t="s">
        <v>189</v>
      </c>
      <c r="I1912" s="230" t="s">
        <v>509</v>
      </c>
      <c r="J1912" s="231" t="s">
        <v>499</v>
      </c>
    </row>
    <row r="1913" spans="2:11" x14ac:dyDescent="0.25">
      <c r="B1913" s="235">
        <v>45112</v>
      </c>
      <c r="C1913" s="233">
        <v>1</v>
      </c>
      <c r="E1913" s="238">
        <v>0.46180555555555558</v>
      </c>
      <c r="F1913" s="204">
        <v>0.46736111111111112</v>
      </c>
      <c r="G1913" s="379">
        <f>IFERROR(IF(E1913&gt;F1913,((F1913+E376B376+1)-(E1913+#REF!))*24,HOUR(F1913-E1913)+MINUTE(F1913-E1913)/60),"")</f>
        <v>0.13333333333333333</v>
      </c>
      <c r="H1913" s="230" t="s">
        <v>55</v>
      </c>
      <c r="I1913" s="230" t="s">
        <v>509</v>
      </c>
      <c r="J1913" s="231" t="s">
        <v>114</v>
      </c>
      <c r="K1913" s="176" t="s">
        <v>1367</v>
      </c>
    </row>
    <row r="1914" spans="2:11" x14ac:dyDescent="0.25">
      <c r="B1914" s="235">
        <v>45112</v>
      </c>
      <c r="C1914" s="233">
        <v>1</v>
      </c>
      <c r="E1914" s="238">
        <v>0.46736111111111112</v>
      </c>
      <c r="F1914" s="204">
        <v>0.47152777777777777</v>
      </c>
      <c r="G1914" s="379">
        <f>IFERROR(IF(E1914&gt;F1914,((F1914+E376B376+1)-(E1914+#REF!))*24,HOUR(F1914-E1914)+MINUTE(F1914-E1914)/60),"")</f>
        <v>0.1</v>
      </c>
      <c r="H1914" s="230" t="s">
        <v>55</v>
      </c>
      <c r="I1914" s="230" t="s">
        <v>509</v>
      </c>
      <c r="J1914" s="231" t="s">
        <v>191</v>
      </c>
      <c r="K1914" s="176" t="s">
        <v>1367</v>
      </c>
    </row>
    <row r="1915" spans="2:11" x14ac:dyDescent="0.25">
      <c r="B1915" s="235">
        <v>45112</v>
      </c>
      <c r="C1915" s="233">
        <v>1</v>
      </c>
      <c r="E1915" s="238">
        <v>0.54097222222222219</v>
      </c>
      <c r="F1915" s="204">
        <v>0.55138888888888882</v>
      </c>
      <c r="G1915" s="379">
        <f>IFERROR(IF(E1915&gt;F1915,((F1915+E376B376+1)-(E1915+#REF!))*24,HOUR(F1915-E1915)+MINUTE(F1915-E1915)/60),"")</f>
        <v>0.25</v>
      </c>
      <c r="H1915" s="230" t="s">
        <v>55</v>
      </c>
      <c r="I1915" s="330"/>
      <c r="J1915" s="231" t="s">
        <v>1370</v>
      </c>
      <c r="K1915" s="330" t="s">
        <v>1190</v>
      </c>
    </row>
    <row r="1916" spans="2:11" x14ac:dyDescent="0.25">
      <c r="B1916" s="235">
        <v>45112</v>
      </c>
      <c r="C1916" s="233">
        <v>1</v>
      </c>
      <c r="E1916" s="238">
        <v>0.5625</v>
      </c>
      <c r="F1916" s="204">
        <v>0.57291666666666663</v>
      </c>
      <c r="G1916" s="379">
        <f>IFERROR(IF(E1916&gt;F1916,((F1916+E376B376+1)-(E1916+#REF!))*24,HOUR(F1916-E1916)+MINUTE(F1916-E1916)/60),"")</f>
        <v>0.25</v>
      </c>
      <c r="H1916" s="230" t="s">
        <v>55</v>
      </c>
      <c r="I1916" s="330"/>
      <c r="J1916" s="231" t="s">
        <v>1370</v>
      </c>
      <c r="K1916" s="330" t="s">
        <v>1190</v>
      </c>
    </row>
    <row r="1917" spans="2:11" x14ac:dyDescent="0.25">
      <c r="B1917" s="235">
        <v>45112</v>
      </c>
      <c r="C1917" s="233">
        <v>1</v>
      </c>
      <c r="E1917" s="238">
        <v>0.58333333333333337</v>
      </c>
      <c r="F1917" s="204">
        <v>0.59375</v>
      </c>
      <c r="G1917" s="379">
        <f>IFERROR(IF(E1917&gt;F1917,((F1917+E376B376+1)-(E1917+#REF!))*24,HOUR(F1917-E1917)+MINUTE(F1917-E1917)/60),"")</f>
        <v>0.25</v>
      </c>
      <c r="H1917" s="230" t="s">
        <v>55</v>
      </c>
      <c r="I1917" s="330"/>
      <c r="J1917" s="231" t="s">
        <v>1370</v>
      </c>
      <c r="K1917" s="330" t="s">
        <v>1190</v>
      </c>
    </row>
    <row r="1918" spans="2:11" x14ac:dyDescent="0.25">
      <c r="B1918" s="235">
        <v>45112</v>
      </c>
      <c r="C1918" s="233">
        <v>1</v>
      </c>
      <c r="E1918" s="238">
        <v>0.60763888888888895</v>
      </c>
      <c r="F1918" s="204">
        <v>0.625</v>
      </c>
      <c r="G1918" s="379">
        <f>IFERROR(IF(E1918&gt;F1918,((F1918+E376B376+1)-(E1918+#REF!))*24,HOUR(F1918-E1918)+MINUTE(F1918-E1918)/60),"")</f>
        <v>0.41666666666666669</v>
      </c>
      <c r="H1918" s="230" t="s">
        <v>55</v>
      </c>
      <c r="I1918" s="230" t="s">
        <v>509</v>
      </c>
      <c r="J1918" s="231" t="s">
        <v>211</v>
      </c>
      <c r="K1918" s="176" t="s">
        <v>684</v>
      </c>
    </row>
    <row r="1919" spans="2:11" x14ac:dyDescent="0.25">
      <c r="B1919" s="235">
        <v>45112</v>
      </c>
      <c r="C1919" s="195">
        <v>2</v>
      </c>
      <c r="E1919" s="238">
        <v>0.625</v>
      </c>
      <c r="F1919" s="204">
        <v>0.66875000000000007</v>
      </c>
      <c r="G1919" s="379">
        <f>IFERROR(IF(E1919&gt;F1919,((F1919+E376B376+1)-(E1919+#REF!))*24,HOUR(F1919-E1919)+MINUTE(F1919-E1919)/60),"")</f>
        <v>1.05</v>
      </c>
      <c r="H1919" s="230" t="s">
        <v>55</v>
      </c>
      <c r="I1919" s="230" t="s">
        <v>509</v>
      </c>
      <c r="J1919" s="231" t="s">
        <v>211</v>
      </c>
    </row>
    <row r="1920" spans="2:11" x14ac:dyDescent="0.25">
      <c r="B1920" s="235">
        <v>45112</v>
      </c>
      <c r="C1920" s="195">
        <v>2</v>
      </c>
      <c r="E1920" s="238">
        <v>0.79861111111111116</v>
      </c>
      <c r="F1920" s="204">
        <v>0.95833333333333337</v>
      </c>
      <c r="G1920" s="379">
        <f>IFERROR(IF(E1920&gt;F1920,((F1920+E376B376+1)-(E1920+#REF!))*24,HOUR(F1920-E1920)+MINUTE(F1920-E1920)/60),"")</f>
        <v>3.8333333333333335</v>
      </c>
      <c r="H1920" s="230" t="s">
        <v>55</v>
      </c>
      <c r="I1920" s="230" t="s">
        <v>513</v>
      </c>
      <c r="J1920" s="231" t="s">
        <v>494</v>
      </c>
      <c r="K1920" s="176" t="s">
        <v>1234</v>
      </c>
    </row>
    <row r="1921" spans="2:11" x14ac:dyDescent="0.25">
      <c r="B1921" s="235">
        <v>45112</v>
      </c>
      <c r="C1921" s="195">
        <v>3</v>
      </c>
      <c r="E1921" s="238">
        <v>0.95833333333333337</v>
      </c>
      <c r="F1921" s="204">
        <v>0.97222222222222221</v>
      </c>
      <c r="G1921" s="379">
        <f>IFERROR(IF(E1921&gt;F1921,((F1921+E376B376+1)-(E1921+#REF!))*24,HOUR(F1921-E1921)+MINUTE(F1921-E1921)/60),"")</f>
        <v>0.33333333333333331</v>
      </c>
      <c r="H1921" s="230" t="s">
        <v>55</v>
      </c>
      <c r="I1921" s="230" t="s">
        <v>513</v>
      </c>
      <c r="J1921" s="231" t="s">
        <v>494</v>
      </c>
      <c r="K1921" s="176" t="s">
        <v>1234</v>
      </c>
    </row>
    <row r="1922" spans="2:11" x14ac:dyDescent="0.25">
      <c r="B1922" s="235">
        <v>45112</v>
      </c>
      <c r="C1922" s="195">
        <v>3</v>
      </c>
      <c r="E1922" s="238">
        <v>3.4722222222222224E-2</v>
      </c>
      <c r="F1922" s="204">
        <v>4.5138888888888888E-2</v>
      </c>
      <c r="G1922" s="379">
        <f>IFERROR(IF(E1922&gt;F1922,((F1922+E376B376+1)-(E1922+#REF!))*24,HOUR(F1922-E1922)+MINUTE(F1922-E1922)/60),"")</f>
        <v>0.25</v>
      </c>
      <c r="H1922" s="230" t="s">
        <v>55</v>
      </c>
      <c r="I1922" s="230" t="s">
        <v>511</v>
      </c>
      <c r="J1922" s="231" t="s">
        <v>203</v>
      </c>
      <c r="K1922" s="330" t="s">
        <v>1190</v>
      </c>
    </row>
    <row r="1923" spans="2:11" x14ac:dyDescent="0.25">
      <c r="B1923" s="235">
        <v>45112</v>
      </c>
      <c r="C1923" s="195">
        <v>3</v>
      </c>
      <c r="E1923" s="238">
        <v>8.3333333333333329E-2</v>
      </c>
      <c r="F1923" s="204">
        <v>0.29166666666666669</v>
      </c>
      <c r="G1923" s="379">
        <f>IFERROR(IF(E1923&gt;F1923,((F1923+E376B376+1)-(E1923+#REF!))*24,HOUR(F1923-E1923)+MINUTE(F1923-E1923)/60),"")</f>
        <v>5</v>
      </c>
      <c r="I1923" s="230" t="s">
        <v>513</v>
      </c>
      <c r="J1923" s="231" t="s">
        <v>494</v>
      </c>
      <c r="K1923" s="176" t="s">
        <v>1234</v>
      </c>
    </row>
    <row r="1924" spans="2:11" x14ac:dyDescent="0.25">
      <c r="B1924" s="235">
        <v>45113</v>
      </c>
      <c r="C1924" s="195">
        <v>1</v>
      </c>
      <c r="E1924" s="238">
        <v>0.29166666666666669</v>
      </c>
      <c r="F1924" s="204">
        <v>0.43888888888888888</v>
      </c>
      <c r="G1924" s="379">
        <f>IFERROR(IF(E1924&gt;F1924,((F1924+E376B376+1)-(E1924+#REF!))*24,HOUR(F1924-E1924)+MINUTE(F1924-E1924)/60),"")</f>
        <v>3.5333333333333332</v>
      </c>
      <c r="I1924" s="230" t="s">
        <v>513</v>
      </c>
      <c r="J1924" s="231" t="s">
        <v>494</v>
      </c>
      <c r="K1924" s="176" t="s">
        <v>1234</v>
      </c>
    </row>
    <row r="1925" spans="2:11" x14ac:dyDescent="0.25">
      <c r="B1925" s="235">
        <v>45113</v>
      </c>
      <c r="C1925" s="233">
        <v>1</v>
      </c>
      <c r="E1925" s="238">
        <v>0.43888888888888888</v>
      </c>
      <c r="F1925" s="204">
        <v>0.46319444444444446</v>
      </c>
      <c r="G1925" s="379">
        <f>IFERROR(IF(E1925&gt;F1925,((F1925+E376B376+1)-(E1925+#REF!))*24,HOUR(F1925-E1925)+MINUTE(F1925-E1925)/60),"")</f>
        <v>0.58333333333333337</v>
      </c>
      <c r="H1925" s="230" t="s">
        <v>55</v>
      </c>
      <c r="I1925" s="230" t="s">
        <v>509</v>
      </c>
      <c r="J1925" s="231" t="s">
        <v>211</v>
      </c>
    </row>
    <row r="1926" spans="2:11" x14ac:dyDescent="0.25">
      <c r="B1926" s="235">
        <v>45113</v>
      </c>
      <c r="C1926" s="233">
        <v>1</v>
      </c>
      <c r="E1926" s="238">
        <v>0.60069444444444442</v>
      </c>
      <c r="F1926" s="204">
        <v>0.625</v>
      </c>
      <c r="G1926" s="379">
        <f>IFERROR(IF(E1926&gt;F1926,((F1926+E376B376+1)-(E1926+#REF!))*24,HOUR(F1926-E1926)+MINUTE(F1926-E1926)/60),"")</f>
        <v>0.58333333333333337</v>
      </c>
      <c r="H1926" s="230" t="s">
        <v>55</v>
      </c>
      <c r="I1926" s="230" t="s">
        <v>509</v>
      </c>
      <c r="J1926" s="231" t="s">
        <v>114</v>
      </c>
    </row>
    <row r="1927" spans="2:11" x14ac:dyDescent="0.25">
      <c r="B1927" s="235">
        <v>45113</v>
      </c>
      <c r="C1927" s="233">
        <v>2</v>
      </c>
      <c r="E1927" s="238">
        <v>0.625</v>
      </c>
      <c r="F1927" s="204">
        <v>0.63888888888888895</v>
      </c>
      <c r="G1927" s="379">
        <f>IFERROR(IF(E1927&gt;F1927,((F1927+E376B376+1)-(E1927+#REF!))*24,HOUR(F1927-E1927)+MINUTE(F1927-E1927)/60),"")</f>
        <v>0.33333333333333331</v>
      </c>
      <c r="H1927" s="230" t="s">
        <v>55</v>
      </c>
      <c r="I1927" s="230" t="s">
        <v>509</v>
      </c>
      <c r="J1927" s="231" t="s">
        <v>114</v>
      </c>
    </row>
    <row r="1928" spans="2:11" x14ac:dyDescent="0.25">
      <c r="B1928" s="235">
        <v>45113</v>
      </c>
      <c r="C1928" s="233">
        <v>2</v>
      </c>
      <c r="E1928" s="238">
        <v>0.70833333333333337</v>
      </c>
      <c r="F1928" s="204">
        <v>0.72222222222222221</v>
      </c>
      <c r="G1928" s="379">
        <f>IFERROR(IF(E1928&gt;F1928,((F1928+E376B376+1)-(E1928+#REF!))*24,HOUR(F1928-E1928)+MINUTE(F1928-E1928)/60),"")</f>
        <v>0.33333333333333331</v>
      </c>
      <c r="H1928" s="230" t="s">
        <v>55</v>
      </c>
      <c r="I1928" s="230" t="s">
        <v>511</v>
      </c>
      <c r="J1928" s="231" t="s">
        <v>203</v>
      </c>
    </row>
    <row r="1929" spans="2:11" x14ac:dyDescent="0.25">
      <c r="B1929" s="235">
        <v>45113</v>
      </c>
      <c r="C1929" s="195">
        <v>2</v>
      </c>
      <c r="E1929" s="238">
        <v>0.74652777777777779</v>
      </c>
      <c r="F1929" s="204">
        <v>0.95833333333333337</v>
      </c>
      <c r="G1929" s="379">
        <f>IFERROR(IF(E1929&gt;F1929,((F1929+E376B376+1)-(E1929+#REF!))*24,HOUR(F1929-E1929)+MINUTE(F1929-E1929)/60),"")</f>
        <v>5.083333333333333</v>
      </c>
      <c r="I1929" s="230" t="s">
        <v>513</v>
      </c>
      <c r="J1929" s="231" t="s">
        <v>494</v>
      </c>
      <c r="K1929" s="176" t="s">
        <v>1234</v>
      </c>
    </row>
    <row r="1930" spans="2:11" x14ac:dyDescent="0.25">
      <c r="B1930" s="235">
        <v>45113</v>
      </c>
      <c r="C1930" s="195">
        <v>3</v>
      </c>
      <c r="E1930" s="238">
        <v>0.95833333333333337</v>
      </c>
      <c r="F1930" s="204">
        <v>0.97222222222222221</v>
      </c>
      <c r="G1930" s="379">
        <f>IFERROR(IF(E1930&gt;F1930,((F1930+E376B376+1)-(E1930+#REF!))*24,HOUR(F1930-E1930)+MINUTE(F1930-E1930)/60),"")</f>
        <v>0.33333333333333331</v>
      </c>
      <c r="I1930" s="230" t="s">
        <v>513</v>
      </c>
      <c r="J1930" s="231" t="s">
        <v>494</v>
      </c>
      <c r="K1930" s="176" t="s">
        <v>1234</v>
      </c>
    </row>
    <row r="1931" spans="2:11" x14ac:dyDescent="0.25">
      <c r="B1931" s="235">
        <v>45113</v>
      </c>
      <c r="C1931" s="233">
        <v>3</v>
      </c>
      <c r="E1931" s="238">
        <v>6.25E-2</v>
      </c>
      <c r="F1931" s="204">
        <v>7.2916666666666671E-2</v>
      </c>
      <c r="G1931" s="379">
        <f>IFERROR(IF(E1931&gt;F1931,((F1931+E376B376+1)-(E1931+#REF!))*24,HOUR(F1931-E1931)+MINUTE(F1931-E1931)/60),"")</f>
        <v>0.25</v>
      </c>
      <c r="H1931" s="230" t="s">
        <v>55</v>
      </c>
      <c r="I1931" s="230" t="s">
        <v>511</v>
      </c>
      <c r="J1931" s="231" t="s">
        <v>203</v>
      </c>
    </row>
    <row r="1932" spans="2:11" x14ac:dyDescent="0.25">
      <c r="B1932" s="235">
        <v>45113</v>
      </c>
      <c r="C1932" s="195">
        <v>3</v>
      </c>
      <c r="E1932" s="238">
        <v>0.1076388888888889</v>
      </c>
      <c r="F1932" s="204">
        <v>0.13194444444444445</v>
      </c>
      <c r="G1932" s="379">
        <f>IFERROR(IF(E1932&gt;F1932,((F1932+E376B376+1)-(E1932+#REF!))*24,HOUR(F1932-E1932)+MINUTE(F1932-E1932)/60),"")</f>
        <v>0.58333333333333337</v>
      </c>
      <c r="H1932" s="230" t="s">
        <v>55</v>
      </c>
      <c r="I1932" s="230" t="s">
        <v>509</v>
      </c>
      <c r="J1932" s="231" t="s">
        <v>211</v>
      </c>
      <c r="K1932" s="176" t="s">
        <v>684</v>
      </c>
    </row>
    <row r="1933" spans="2:11" x14ac:dyDescent="0.25">
      <c r="B1933" s="235">
        <v>45113</v>
      </c>
      <c r="C1933" s="195">
        <v>3</v>
      </c>
      <c r="E1933" s="238">
        <v>0.1875</v>
      </c>
      <c r="F1933" s="204">
        <v>0.19791666666666666</v>
      </c>
      <c r="G1933" s="379">
        <f>IFERROR(IF(E1933&gt;F1933,((F1933+E376B376+1)-(E1933+#REF!))*24,HOUR(F1933-E1933)+MINUTE(F1933-E1933)/60),"")</f>
        <v>0.25</v>
      </c>
      <c r="H1933" s="230" t="s">
        <v>55</v>
      </c>
      <c r="I1933" s="230" t="s">
        <v>511</v>
      </c>
      <c r="J1933" s="231" t="s">
        <v>203</v>
      </c>
    </row>
    <row r="1934" spans="2:11" x14ac:dyDescent="0.25">
      <c r="B1934" s="235">
        <v>45113</v>
      </c>
      <c r="C1934" s="195">
        <v>3</v>
      </c>
      <c r="E1934" s="238">
        <v>0.22222222222222221</v>
      </c>
      <c r="F1934" s="204">
        <v>0.29166666666666669</v>
      </c>
      <c r="G1934" s="379">
        <f>IFERROR(IF(E1934&gt;F1934,((F1934+E376B376+1)-(E1934+#REF!))*24,HOUR(F1934-E1934)+MINUTE(F1934-E1934)/60),"")</f>
        <v>1.6666666666666665</v>
      </c>
      <c r="I1934" s="230" t="s">
        <v>513</v>
      </c>
      <c r="J1934" s="231" t="s">
        <v>494</v>
      </c>
      <c r="K1934" s="176" t="s">
        <v>1234</v>
      </c>
    </row>
    <row r="1935" spans="2:11" x14ac:dyDescent="0.25">
      <c r="B1935" s="235">
        <v>45114</v>
      </c>
      <c r="C1935" s="195">
        <v>1</v>
      </c>
      <c r="E1935" s="238">
        <v>0.29166666666666669</v>
      </c>
      <c r="F1935" s="204">
        <v>0.625</v>
      </c>
      <c r="G1935" s="379">
        <f>IFERROR(IF(E1935&gt;F1935,((F1935+E376B376+1)-(E1935+#REF!))*24,HOUR(F1935-E1935)+MINUTE(F1935-E1935)/60),"")</f>
        <v>8</v>
      </c>
      <c r="H1935" s="396"/>
      <c r="I1935" s="396" t="s">
        <v>513</v>
      </c>
      <c r="J1935" s="396" t="s">
        <v>141</v>
      </c>
    </row>
    <row r="1936" spans="2:11" x14ac:dyDescent="0.25">
      <c r="B1936" s="235">
        <v>45114</v>
      </c>
      <c r="C1936" s="195">
        <v>2</v>
      </c>
      <c r="E1936" s="238">
        <v>0.625</v>
      </c>
      <c r="F1936" s="204">
        <v>0.95833333333333337</v>
      </c>
      <c r="G1936" s="379">
        <f>IFERROR(IF(E1936&gt;F1936,((F1936+E376B376+1)-(E1936+#REF!))*24,HOUR(F1936-E1936)+MINUTE(F1936-E1936)/60),"")</f>
        <v>8</v>
      </c>
      <c r="H1936" s="396"/>
      <c r="I1936" s="396" t="s">
        <v>513</v>
      </c>
      <c r="J1936" s="396" t="s">
        <v>141</v>
      </c>
    </row>
    <row r="1937" spans="2:10" x14ac:dyDescent="0.25">
      <c r="B1937" s="235">
        <v>45114</v>
      </c>
      <c r="C1937" s="195">
        <v>3</v>
      </c>
      <c r="E1937" s="238">
        <v>0.625</v>
      </c>
      <c r="F1937" s="204">
        <v>0.95833333333333337</v>
      </c>
      <c r="G1937" s="379">
        <f>IFERROR(IF(E1937&gt;F1937,((F1937+E376B376+1)-(E1937+#REF!))*24,HOUR(F1937-E1937)+MINUTE(F1937-E1937)/60),"")</f>
        <v>8</v>
      </c>
      <c r="H1937" s="396"/>
      <c r="I1937" s="396" t="s">
        <v>513</v>
      </c>
      <c r="J1937" s="396" t="s">
        <v>141</v>
      </c>
    </row>
    <row r="1938" spans="2:10" x14ac:dyDescent="0.25">
      <c r="B1938" s="235">
        <v>45115</v>
      </c>
      <c r="C1938" s="233">
        <v>1</v>
      </c>
      <c r="E1938" s="238">
        <v>0.29166666666666669</v>
      </c>
      <c r="F1938" s="204">
        <v>0.625</v>
      </c>
      <c r="G1938" s="379">
        <f>IFERROR(IF(E1938&gt;F1938,((F1938+E376B376+1)-(E1938+#REF!))*24,HOUR(F1938-E1938)+MINUTE(F1938-E1938)/60),"")</f>
        <v>8</v>
      </c>
      <c r="H1938" s="396"/>
      <c r="I1938" s="396" t="s">
        <v>513</v>
      </c>
      <c r="J1938" s="396" t="s">
        <v>141</v>
      </c>
    </row>
    <row r="1939" spans="2:10" x14ac:dyDescent="0.25">
      <c r="B1939" s="235">
        <v>45115</v>
      </c>
      <c r="C1939" s="233">
        <v>2</v>
      </c>
      <c r="D1939" s="233"/>
      <c r="E1939" s="238">
        <v>0.625</v>
      </c>
      <c r="F1939" s="204">
        <v>0.95833333333333337</v>
      </c>
      <c r="G1939" s="379">
        <f>IFERROR(IF(E1939&gt;F1939,((F1939+E376B376+1)-(E1939+#REF!))*24,HOUR(F1939-E1939)+MINUTE(F1939-E1939)/60),"")</f>
        <v>8</v>
      </c>
      <c r="H1939" s="396"/>
      <c r="I1939" s="396" t="s">
        <v>513</v>
      </c>
      <c r="J1939" s="396" t="s">
        <v>141</v>
      </c>
    </row>
    <row r="1940" spans="2:10" x14ac:dyDescent="0.25">
      <c r="B1940" s="235">
        <v>45115</v>
      </c>
      <c r="C1940" s="233">
        <v>3</v>
      </c>
      <c r="D1940" s="233"/>
      <c r="E1940" s="238">
        <v>0.625</v>
      </c>
      <c r="F1940" s="204">
        <v>0.95833333333333337</v>
      </c>
      <c r="G1940" s="379">
        <f>IFERROR(IF(E1940&gt;F1940,((F1940+E376B376+1)-(E1940+#REF!))*24,HOUR(F1940-E1940)+MINUTE(F1940-E1940)/60),"")</f>
        <v>8</v>
      </c>
      <c r="H1940" s="396"/>
      <c r="I1940" s="396" t="s">
        <v>513</v>
      </c>
      <c r="J1940" s="396" t="s">
        <v>141</v>
      </c>
    </row>
    <row r="1941" spans="2:10" x14ac:dyDescent="0.25">
      <c r="B1941" s="235">
        <v>45116</v>
      </c>
      <c r="C1941" s="233">
        <v>1</v>
      </c>
      <c r="E1941" s="238">
        <v>0.29166666666666669</v>
      </c>
      <c r="F1941" s="204">
        <v>0.625</v>
      </c>
      <c r="G1941" s="379">
        <f>IFERROR(IF(E1941&gt;F1941,((F1941+E376B376+1)-(E1941+#REF!))*24,HOUR(F1941-E1941)+MINUTE(F1941-E1941)/60),"")</f>
        <v>8</v>
      </c>
      <c r="H1941" s="396"/>
      <c r="I1941" s="396" t="s">
        <v>513</v>
      </c>
      <c r="J1941" s="396" t="s">
        <v>141</v>
      </c>
    </row>
    <row r="1942" spans="2:10" x14ac:dyDescent="0.25">
      <c r="B1942" s="235">
        <v>45116</v>
      </c>
      <c r="C1942" s="195">
        <v>2</v>
      </c>
      <c r="E1942" s="238">
        <v>0.625</v>
      </c>
      <c r="F1942" s="204">
        <v>0.95833333333333337</v>
      </c>
      <c r="G1942" s="379">
        <f>IFERROR(IF(E1942&gt;F1942,((F1942+E376B376+1)-(E1942+#REF!))*24,HOUR(F1942-E1942)+MINUTE(F1942-E1942)/60),"")</f>
        <v>8</v>
      </c>
      <c r="H1942" s="396"/>
      <c r="I1942" s="396" t="s">
        <v>513</v>
      </c>
      <c r="J1942" s="396" t="s">
        <v>141</v>
      </c>
    </row>
    <row r="1943" spans="2:10" x14ac:dyDescent="0.25">
      <c r="B1943" s="235">
        <v>45116</v>
      </c>
      <c r="C1943" s="195">
        <v>3</v>
      </c>
      <c r="E1943" s="238">
        <v>0.95833333333333337</v>
      </c>
      <c r="F1943" s="204">
        <v>0.29166666666666669</v>
      </c>
      <c r="G1943" s="379">
        <v>8</v>
      </c>
      <c r="H1943" s="396"/>
      <c r="I1943" s="396" t="s">
        <v>513</v>
      </c>
      <c r="J1943" s="396" t="s">
        <v>141</v>
      </c>
    </row>
    <row r="1944" spans="2:10" x14ac:dyDescent="0.25">
      <c r="B1944" s="235">
        <v>45117</v>
      </c>
      <c r="C1944" s="195">
        <v>1</v>
      </c>
      <c r="E1944" s="238">
        <v>0.29166666666666669</v>
      </c>
      <c r="F1944" s="204">
        <v>0.625</v>
      </c>
      <c r="G1944" s="379">
        <f>IFERROR(IF(E1944&gt;F1944,((F1944+E376B376+1)-(E1944+#REF!))*24,HOUR(F1944-E1944)+MINUTE(F1944-E1944)/60),"")</f>
        <v>8</v>
      </c>
      <c r="H1944" s="396"/>
      <c r="I1944" s="396" t="s">
        <v>513</v>
      </c>
      <c r="J1944" s="396" t="s">
        <v>141</v>
      </c>
    </row>
    <row r="1945" spans="2:10" x14ac:dyDescent="0.25">
      <c r="I1945" s="230"/>
      <c r="J1945" s="231"/>
    </row>
    <row r="1946" spans="2:10" x14ac:dyDescent="0.25">
      <c r="I1946" s="230"/>
      <c r="J1946" s="231"/>
    </row>
    <row r="1947" spans="2:10" x14ac:dyDescent="0.25">
      <c r="I1947" s="230"/>
      <c r="J1947" s="231"/>
    </row>
    <row r="1948" spans="2:10" x14ac:dyDescent="0.25">
      <c r="I1948" s="230"/>
      <c r="J1948" s="231"/>
    </row>
    <row r="1949" spans="2:10" x14ac:dyDescent="0.25">
      <c r="I1949" s="230"/>
      <c r="J1949" s="231"/>
    </row>
    <row r="1950" spans="2:10" x14ac:dyDescent="0.25">
      <c r="I1950" s="230"/>
      <c r="J1950" s="231"/>
    </row>
    <row r="1951" spans="2:10" x14ac:dyDescent="0.25">
      <c r="I1951" s="230"/>
      <c r="J1951" s="231"/>
    </row>
    <row r="1952" spans="2:10" x14ac:dyDescent="0.25">
      <c r="I1952" s="230"/>
      <c r="J1952" s="231"/>
    </row>
    <row r="1953" spans="9:10" x14ac:dyDescent="0.25">
      <c r="I1953" s="230"/>
      <c r="J1953" s="231"/>
    </row>
    <row r="1954" spans="9:10" x14ac:dyDescent="0.25">
      <c r="I1954" s="230"/>
      <c r="J1954" s="231"/>
    </row>
    <row r="1955" spans="9:10" x14ac:dyDescent="0.25">
      <c r="I1955" s="230"/>
      <c r="J1955" s="231"/>
    </row>
    <row r="1956" spans="9:10" x14ac:dyDescent="0.25">
      <c r="I1956" s="230"/>
      <c r="J1956" s="231"/>
    </row>
    <row r="1957" spans="9:10" x14ac:dyDescent="0.25">
      <c r="I1957" s="230"/>
      <c r="J1957" s="231"/>
    </row>
    <row r="1958" spans="9:10" x14ac:dyDescent="0.25">
      <c r="I1958" s="230"/>
      <c r="J1958" s="231"/>
    </row>
    <row r="1959" spans="9:10" x14ac:dyDescent="0.25">
      <c r="I1959" s="230"/>
      <c r="J1959" s="231"/>
    </row>
    <row r="1960" spans="9:10" x14ac:dyDescent="0.25">
      <c r="I1960" s="230"/>
      <c r="J1960" s="231"/>
    </row>
    <row r="1961" spans="9:10" x14ac:dyDescent="0.25">
      <c r="I1961" s="230"/>
      <c r="J1961" s="231"/>
    </row>
    <row r="1962" spans="9:10" x14ac:dyDescent="0.25">
      <c r="I1962" s="230"/>
      <c r="J1962" s="231"/>
    </row>
    <row r="1963" spans="9:10" x14ac:dyDescent="0.25">
      <c r="I1963" s="230"/>
      <c r="J1963" s="231"/>
    </row>
    <row r="1964" spans="9:10" x14ac:dyDescent="0.25">
      <c r="I1964" s="230"/>
      <c r="J1964" s="231"/>
    </row>
    <row r="1965" spans="9:10" x14ac:dyDescent="0.25">
      <c r="I1965" s="230"/>
      <c r="J1965" s="231"/>
    </row>
    <row r="1966" spans="9:10" x14ac:dyDescent="0.25">
      <c r="I1966" s="230"/>
      <c r="J1966" s="231"/>
    </row>
    <row r="1967" spans="9:10" x14ac:dyDescent="0.25">
      <c r="I1967" s="230"/>
      <c r="J1967" s="231"/>
    </row>
    <row r="1968" spans="9:10" x14ac:dyDescent="0.25">
      <c r="I1968" s="230"/>
      <c r="J1968" s="231"/>
    </row>
    <row r="1969" spans="9:10" x14ac:dyDescent="0.25">
      <c r="I1969" s="230"/>
      <c r="J1969" s="231"/>
    </row>
    <row r="1970" spans="9:10" x14ac:dyDescent="0.25">
      <c r="I1970" s="230"/>
      <c r="J1970" s="231"/>
    </row>
    <row r="1971" spans="9:10" x14ac:dyDescent="0.25">
      <c r="I1971" s="230"/>
      <c r="J1971" s="231"/>
    </row>
    <row r="1972" spans="9:10" x14ac:dyDescent="0.25">
      <c r="I1972" s="230"/>
      <c r="J1972" s="231"/>
    </row>
    <row r="1973" spans="9:10" x14ac:dyDescent="0.25">
      <c r="I1973" s="230"/>
      <c r="J1973" s="231"/>
    </row>
    <row r="1974" spans="9:10" x14ac:dyDescent="0.25">
      <c r="I1974" s="230"/>
      <c r="J1974" s="231"/>
    </row>
    <row r="1975" spans="9:10" x14ac:dyDescent="0.25">
      <c r="I1975" s="230"/>
      <c r="J1975" s="231"/>
    </row>
    <row r="1976" spans="9:10" x14ac:dyDescent="0.25">
      <c r="I1976" s="230"/>
      <c r="J1976" s="231"/>
    </row>
    <row r="1977" spans="9:10" x14ac:dyDescent="0.25">
      <c r="I1977" s="230"/>
      <c r="J1977" s="231"/>
    </row>
    <row r="1978" spans="9:10" x14ac:dyDescent="0.25">
      <c r="I1978" s="230"/>
      <c r="J1978" s="231"/>
    </row>
    <row r="1979" spans="9:10" x14ac:dyDescent="0.25">
      <c r="I1979" s="230"/>
      <c r="J1979" s="231"/>
    </row>
    <row r="1980" spans="9:10" x14ac:dyDescent="0.25">
      <c r="I1980" s="230"/>
      <c r="J1980" s="231"/>
    </row>
    <row r="1981" spans="9:10" x14ac:dyDescent="0.25">
      <c r="I1981" s="230"/>
      <c r="J1981" s="231"/>
    </row>
    <row r="1982" spans="9:10" x14ac:dyDescent="0.25">
      <c r="I1982" s="230"/>
      <c r="J1982" s="231"/>
    </row>
    <row r="1983" spans="9:10" x14ac:dyDescent="0.25">
      <c r="I1983" s="230"/>
      <c r="J1983" s="231"/>
    </row>
    <row r="1984" spans="9:10" x14ac:dyDescent="0.25">
      <c r="I1984" s="230"/>
      <c r="J1984" s="231"/>
    </row>
    <row r="1985" spans="9:10" x14ac:dyDescent="0.25">
      <c r="I1985" s="230"/>
      <c r="J1985" s="231"/>
    </row>
    <row r="1986" spans="9:10" x14ac:dyDescent="0.25">
      <c r="I1986" s="230"/>
      <c r="J1986" s="231"/>
    </row>
    <row r="1987" spans="9:10" x14ac:dyDescent="0.25">
      <c r="I1987" s="230"/>
      <c r="J1987" s="231"/>
    </row>
    <row r="1988" spans="9:10" x14ac:dyDescent="0.25">
      <c r="I1988" s="230"/>
      <c r="J1988" s="231"/>
    </row>
    <row r="1989" spans="9:10" x14ac:dyDescent="0.25">
      <c r="I1989" s="230"/>
      <c r="J1989" s="231"/>
    </row>
    <row r="1990" spans="9:10" x14ac:dyDescent="0.25">
      <c r="I1990" s="230"/>
      <c r="J1990" s="231"/>
    </row>
    <row r="1991" spans="9:10" x14ac:dyDescent="0.25">
      <c r="I1991" s="230"/>
      <c r="J1991" s="231"/>
    </row>
    <row r="1992" spans="9:10" x14ac:dyDescent="0.25">
      <c r="I1992" s="230"/>
      <c r="J1992" s="231"/>
    </row>
    <row r="1993" spans="9:10" x14ac:dyDescent="0.25">
      <c r="I1993" s="230"/>
      <c r="J1993" s="231"/>
    </row>
    <row r="1994" spans="9:10" x14ac:dyDescent="0.25">
      <c r="I1994" s="230"/>
      <c r="J1994" s="231"/>
    </row>
    <row r="1995" spans="9:10" x14ac:dyDescent="0.25">
      <c r="I1995" s="230"/>
      <c r="J1995" s="231"/>
    </row>
    <row r="1996" spans="9:10" x14ac:dyDescent="0.25">
      <c r="I1996" s="230"/>
      <c r="J1996" s="231"/>
    </row>
    <row r="1997" spans="9:10" x14ac:dyDescent="0.25">
      <c r="I1997" s="230"/>
      <c r="J1997" s="231"/>
    </row>
    <row r="1998" spans="9:10" x14ac:dyDescent="0.25">
      <c r="I1998" s="230"/>
      <c r="J1998" s="231"/>
    </row>
    <row r="1999" spans="9:10" x14ac:dyDescent="0.25">
      <c r="I1999" s="230"/>
      <c r="J1999" s="231"/>
    </row>
    <row r="2000" spans="9:10" x14ac:dyDescent="0.25">
      <c r="I2000" s="230"/>
      <c r="J2000" s="231"/>
    </row>
    <row r="2001" spans="9:10" x14ac:dyDescent="0.25">
      <c r="I2001" s="230"/>
      <c r="J2001" s="231"/>
    </row>
    <row r="2002" spans="9:10" x14ac:dyDescent="0.25">
      <c r="I2002" s="230"/>
      <c r="J2002" s="231"/>
    </row>
    <row r="2003" spans="9:10" x14ac:dyDescent="0.25">
      <c r="I2003" s="230"/>
      <c r="J2003" s="231"/>
    </row>
    <row r="2004" spans="9:10" x14ac:dyDescent="0.25">
      <c r="I2004" s="230"/>
      <c r="J2004" s="231"/>
    </row>
    <row r="2005" spans="9:10" x14ac:dyDescent="0.25">
      <c r="I2005" s="230"/>
      <c r="J2005" s="231"/>
    </row>
    <row r="2006" spans="9:10" x14ac:dyDescent="0.25">
      <c r="I2006" s="230"/>
      <c r="J2006" s="231"/>
    </row>
    <row r="2007" spans="9:10" x14ac:dyDescent="0.25">
      <c r="I2007" s="230"/>
      <c r="J2007" s="231"/>
    </row>
    <row r="2008" spans="9:10" x14ac:dyDescent="0.25">
      <c r="I2008" s="230"/>
      <c r="J2008" s="231"/>
    </row>
    <row r="2009" spans="9:10" x14ac:dyDescent="0.25">
      <c r="I2009" s="230"/>
      <c r="J2009" s="231"/>
    </row>
    <row r="2010" spans="9:10" x14ac:dyDescent="0.25">
      <c r="I2010" s="230"/>
      <c r="J2010" s="231"/>
    </row>
    <row r="2011" spans="9:10" x14ac:dyDescent="0.25">
      <c r="I2011" s="230"/>
      <c r="J2011" s="231"/>
    </row>
    <row r="2012" spans="9:10" x14ac:dyDescent="0.25">
      <c r="I2012" s="230"/>
      <c r="J2012" s="231"/>
    </row>
    <row r="2013" spans="9:10" x14ac:dyDescent="0.25">
      <c r="I2013" s="230"/>
      <c r="J2013" s="231"/>
    </row>
    <row r="2014" spans="9:10" x14ac:dyDescent="0.25">
      <c r="I2014" s="230"/>
      <c r="J2014" s="231"/>
    </row>
    <row r="2015" spans="9:10" x14ac:dyDescent="0.25">
      <c r="I2015" s="230"/>
      <c r="J2015" s="231"/>
    </row>
    <row r="2016" spans="9:10" x14ac:dyDescent="0.25">
      <c r="I2016" s="230"/>
      <c r="J2016" s="231"/>
    </row>
    <row r="2017" spans="9:10" x14ac:dyDescent="0.25">
      <c r="I2017" s="230"/>
      <c r="J2017" s="231"/>
    </row>
    <row r="2018" spans="9:10" x14ac:dyDescent="0.25">
      <c r="I2018" s="230"/>
      <c r="J2018" s="231"/>
    </row>
    <row r="2019" spans="9:10" x14ac:dyDescent="0.25">
      <c r="I2019" s="230"/>
      <c r="J2019" s="231"/>
    </row>
    <row r="2020" spans="9:10" x14ac:dyDescent="0.25">
      <c r="I2020" s="230"/>
      <c r="J2020" s="231"/>
    </row>
    <row r="2021" spans="9:10" x14ac:dyDescent="0.25">
      <c r="I2021" s="230"/>
      <c r="J2021" s="231"/>
    </row>
    <row r="2022" spans="9:10" x14ac:dyDescent="0.25">
      <c r="I2022" s="230"/>
      <c r="J2022" s="231"/>
    </row>
    <row r="2023" spans="9:10" x14ac:dyDescent="0.25">
      <c r="I2023" s="230"/>
      <c r="J2023" s="231"/>
    </row>
    <row r="2024" spans="9:10" x14ac:dyDescent="0.25">
      <c r="I2024" s="230"/>
      <c r="J2024" s="231"/>
    </row>
    <row r="2025" spans="9:10" x14ac:dyDescent="0.25">
      <c r="I2025" s="230"/>
      <c r="J2025" s="231"/>
    </row>
    <row r="2026" spans="9:10" x14ac:dyDescent="0.25">
      <c r="I2026" s="230"/>
      <c r="J2026" s="231"/>
    </row>
    <row r="2027" spans="9:10" x14ac:dyDescent="0.25">
      <c r="I2027" s="230"/>
      <c r="J2027" s="231"/>
    </row>
    <row r="2028" spans="9:10" x14ac:dyDescent="0.25">
      <c r="I2028" s="230"/>
      <c r="J2028" s="231"/>
    </row>
    <row r="2029" spans="9:10" x14ac:dyDescent="0.25">
      <c r="I2029" s="230"/>
      <c r="J2029" s="231"/>
    </row>
    <row r="2030" spans="9:10" x14ac:dyDescent="0.25">
      <c r="I2030" s="230"/>
      <c r="J2030" s="231"/>
    </row>
    <row r="2031" spans="9:10" x14ac:dyDescent="0.25">
      <c r="I2031" s="230"/>
      <c r="J2031" s="231"/>
    </row>
    <row r="2032" spans="9:10" x14ac:dyDescent="0.25">
      <c r="I2032" s="230"/>
      <c r="J2032" s="231"/>
    </row>
    <row r="2033" spans="9:10" x14ac:dyDescent="0.25">
      <c r="I2033" s="230"/>
      <c r="J2033" s="231"/>
    </row>
    <row r="2034" spans="9:10" x14ac:dyDescent="0.25">
      <c r="I2034" s="230"/>
      <c r="J2034" s="231"/>
    </row>
    <row r="2035" spans="9:10" x14ac:dyDescent="0.25">
      <c r="I2035" s="230"/>
      <c r="J2035" s="231"/>
    </row>
    <row r="2036" spans="9:10" x14ac:dyDescent="0.25">
      <c r="I2036" s="230"/>
      <c r="J2036" s="231"/>
    </row>
    <row r="2037" spans="9:10" x14ac:dyDescent="0.25">
      <c r="I2037" s="230"/>
      <c r="J2037" s="231"/>
    </row>
    <row r="2038" spans="9:10" x14ac:dyDescent="0.25">
      <c r="I2038" s="230"/>
      <c r="J2038" s="231"/>
    </row>
    <row r="2039" spans="9:10" x14ac:dyDescent="0.25">
      <c r="I2039" s="230"/>
      <c r="J2039" s="231"/>
    </row>
    <row r="2040" spans="9:10" x14ac:dyDescent="0.25">
      <c r="I2040" s="230"/>
      <c r="J2040" s="231"/>
    </row>
    <row r="2041" spans="9:10" x14ac:dyDescent="0.25">
      <c r="I2041" s="230"/>
      <c r="J2041" s="231"/>
    </row>
    <row r="2042" spans="9:10" x14ac:dyDescent="0.25">
      <c r="I2042" s="230"/>
      <c r="J2042" s="231"/>
    </row>
    <row r="2043" spans="9:10" x14ac:dyDescent="0.25">
      <c r="I2043" s="230"/>
      <c r="J2043" s="231"/>
    </row>
    <row r="2044" spans="9:10" x14ac:dyDescent="0.25">
      <c r="I2044" s="230"/>
      <c r="J2044" s="231"/>
    </row>
    <row r="2045" spans="9:10" x14ac:dyDescent="0.25">
      <c r="I2045" s="230"/>
      <c r="J2045" s="231"/>
    </row>
    <row r="2046" spans="9:10" x14ac:dyDescent="0.25">
      <c r="I2046" s="230"/>
      <c r="J2046" s="231"/>
    </row>
    <row r="2047" spans="9:10" x14ac:dyDescent="0.25">
      <c r="I2047" s="230"/>
      <c r="J2047" s="231"/>
    </row>
    <row r="2048" spans="9:10" x14ac:dyDescent="0.25">
      <c r="I2048" s="230"/>
      <c r="J2048" s="231"/>
    </row>
    <row r="2049" spans="9:10" x14ac:dyDescent="0.25">
      <c r="I2049" s="230"/>
      <c r="J2049" s="231"/>
    </row>
    <row r="2050" spans="9:10" x14ac:dyDescent="0.25">
      <c r="I2050" s="230"/>
      <c r="J2050" s="231"/>
    </row>
    <row r="2051" spans="9:10" x14ac:dyDescent="0.25">
      <c r="I2051" s="230"/>
      <c r="J2051" s="231"/>
    </row>
    <row r="2052" spans="9:10" x14ac:dyDescent="0.25">
      <c r="I2052" s="230"/>
      <c r="J2052" s="231"/>
    </row>
    <row r="2053" spans="9:10" x14ac:dyDescent="0.25">
      <c r="I2053" s="230"/>
      <c r="J2053" s="231"/>
    </row>
    <row r="2054" spans="9:10" x14ac:dyDescent="0.25">
      <c r="I2054" s="230"/>
      <c r="J2054" s="231"/>
    </row>
    <row r="2055" spans="9:10" x14ac:dyDescent="0.25">
      <c r="I2055" s="230"/>
      <c r="J2055" s="231"/>
    </row>
    <row r="2056" spans="9:10" x14ac:dyDescent="0.25">
      <c r="I2056" s="230"/>
      <c r="J2056" s="231"/>
    </row>
    <row r="2057" spans="9:10" x14ac:dyDescent="0.25">
      <c r="I2057" s="230"/>
      <c r="J2057" s="231"/>
    </row>
    <row r="2058" spans="9:10" x14ac:dyDescent="0.25">
      <c r="I2058" s="230"/>
      <c r="J2058" s="231"/>
    </row>
    <row r="2059" spans="9:10" x14ac:dyDescent="0.25">
      <c r="I2059" s="230"/>
      <c r="J2059" s="231"/>
    </row>
    <row r="2060" spans="9:10" x14ac:dyDescent="0.25">
      <c r="I2060" s="230"/>
      <c r="J2060" s="231"/>
    </row>
    <row r="2061" spans="9:10" x14ac:dyDescent="0.25">
      <c r="I2061" s="230"/>
      <c r="J2061" s="231"/>
    </row>
    <row r="2062" spans="9:10" x14ac:dyDescent="0.25">
      <c r="I2062" s="230"/>
      <c r="J2062" s="231"/>
    </row>
    <row r="2063" spans="9:10" x14ac:dyDescent="0.25">
      <c r="I2063" s="230"/>
      <c r="J2063" s="231"/>
    </row>
    <row r="2064" spans="9:10" x14ac:dyDescent="0.25">
      <c r="I2064" s="230"/>
      <c r="J2064" s="231"/>
    </row>
    <row r="2065" spans="9:10" x14ac:dyDescent="0.25">
      <c r="I2065" s="230"/>
      <c r="J2065" s="231"/>
    </row>
    <row r="2066" spans="9:10" x14ac:dyDescent="0.25">
      <c r="I2066" s="230"/>
      <c r="J2066" s="231"/>
    </row>
    <row r="2067" spans="9:10" x14ac:dyDescent="0.25">
      <c r="I2067" s="230"/>
      <c r="J2067" s="231"/>
    </row>
    <row r="2068" spans="9:10" x14ac:dyDescent="0.25">
      <c r="I2068" s="230"/>
      <c r="J2068" s="231"/>
    </row>
    <row r="2069" spans="9:10" x14ac:dyDescent="0.25">
      <c r="I2069" s="230"/>
      <c r="J2069" s="231"/>
    </row>
    <row r="2070" spans="9:10" x14ac:dyDescent="0.25">
      <c r="I2070" s="230"/>
      <c r="J2070" s="231"/>
    </row>
    <row r="2071" spans="9:10" x14ac:dyDescent="0.25">
      <c r="I2071" s="230"/>
      <c r="J2071" s="231"/>
    </row>
    <row r="2072" spans="9:10" x14ac:dyDescent="0.25">
      <c r="I2072" s="230"/>
      <c r="J2072" s="231"/>
    </row>
    <row r="2073" spans="9:10" x14ac:dyDescent="0.25">
      <c r="I2073" s="230"/>
      <c r="J2073" s="231"/>
    </row>
    <row r="2074" spans="9:10" x14ac:dyDescent="0.25">
      <c r="I2074" s="230"/>
      <c r="J2074" s="231"/>
    </row>
    <row r="2075" spans="9:10" x14ac:dyDescent="0.25">
      <c r="I2075" s="230"/>
      <c r="J2075" s="231"/>
    </row>
    <row r="2076" spans="9:10" x14ac:dyDescent="0.25">
      <c r="I2076" s="230"/>
      <c r="J2076" s="231"/>
    </row>
    <row r="2077" spans="9:10" x14ac:dyDescent="0.25">
      <c r="I2077" s="230"/>
      <c r="J2077" s="231"/>
    </row>
    <row r="2078" spans="9:10" x14ac:dyDescent="0.25">
      <c r="I2078" s="230"/>
      <c r="J2078" s="231"/>
    </row>
    <row r="2079" spans="9:10" x14ac:dyDescent="0.25">
      <c r="I2079" s="230"/>
      <c r="J2079" s="231"/>
    </row>
    <row r="2080" spans="9:10" x14ac:dyDescent="0.25">
      <c r="I2080" s="230"/>
      <c r="J2080" s="231"/>
    </row>
    <row r="2081" spans="9:10" x14ac:dyDescent="0.25">
      <c r="I2081" s="230"/>
      <c r="J2081" s="231"/>
    </row>
    <row r="2082" spans="9:10" x14ac:dyDescent="0.25">
      <c r="I2082" s="230"/>
      <c r="J2082" s="231"/>
    </row>
    <row r="2083" spans="9:10" x14ac:dyDescent="0.25">
      <c r="I2083" s="230"/>
      <c r="J2083" s="231"/>
    </row>
    <row r="2084" spans="9:10" x14ac:dyDescent="0.25">
      <c r="I2084" s="230"/>
      <c r="J2084" s="231"/>
    </row>
    <row r="2085" spans="9:10" x14ac:dyDescent="0.25">
      <c r="I2085" s="230"/>
      <c r="J2085" s="231"/>
    </row>
    <row r="2086" spans="9:10" x14ac:dyDescent="0.25">
      <c r="I2086" s="230"/>
      <c r="J2086" s="231"/>
    </row>
    <row r="2087" spans="9:10" x14ac:dyDescent="0.25">
      <c r="I2087" s="230"/>
      <c r="J2087" s="231"/>
    </row>
    <row r="2088" spans="9:10" x14ac:dyDescent="0.25">
      <c r="I2088" s="230"/>
      <c r="J2088" s="231"/>
    </row>
    <row r="2089" spans="9:10" x14ac:dyDescent="0.25">
      <c r="I2089" s="230"/>
      <c r="J2089" s="231"/>
    </row>
    <row r="2090" spans="9:10" x14ac:dyDescent="0.25">
      <c r="I2090" s="230"/>
      <c r="J2090" s="231"/>
    </row>
    <row r="2091" spans="9:10" x14ac:dyDescent="0.25">
      <c r="I2091" s="230"/>
      <c r="J2091" s="231"/>
    </row>
    <row r="2092" spans="9:10" x14ac:dyDescent="0.25">
      <c r="I2092" s="230"/>
      <c r="J2092" s="231"/>
    </row>
    <row r="2093" spans="9:10" x14ac:dyDescent="0.25">
      <c r="I2093" s="230"/>
      <c r="J2093" s="231"/>
    </row>
    <row r="2094" spans="9:10" x14ac:dyDescent="0.25">
      <c r="I2094" s="230"/>
      <c r="J2094" s="231"/>
    </row>
    <row r="2095" spans="9:10" x14ac:dyDescent="0.25">
      <c r="I2095" s="230"/>
      <c r="J2095" s="231"/>
    </row>
    <row r="2096" spans="9:10" x14ac:dyDescent="0.25">
      <c r="I2096" s="230"/>
      <c r="J2096" s="231"/>
    </row>
    <row r="2097" spans="9:10" x14ac:dyDescent="0.25">
      <c r="I2097" s="230"/>
      <c r="J2097" s="231"/>
    </row>
    <row r="2098" spans="9:10" x14ac:dyDescent="0.25">
      <c r="I2098" s="230"/>
      <c r="J2098" s="231"/>
    </row>
    <row r="2099" spans="9:10" x14ac:dyDescent="0.25">
      <c r="I2099" s="230"/>
      <c r="J2099" s="231"/>
    </row>
    <row r="2100" spans="9:10" x14ac:dyDescent="0.25">
      <c r="I2100" s="230"/>
      <c r="J2100" s="231"/>
    </row>
    <row r="2101" spans="9:10" x14ac:dyDescent="0.25">
      <c r="I2101" s="230"/>
      <c r="J2101" s="231"/>
    </row>
    <row r="2102" spans="9:10" x14ac:dyDescent="0.25">
      <c r="I2102" s="230"/>
      <c r="J2102" s="231"/>
    </row>
    <row r="2103" spans="9:10" x14ac:dyDescent="0.25">
      <c r="I2103" s="230"/>
      <c r="J2103" s="231"/>
    </row>
    <row r="2104" spans="9:10" x14ac:dyDescent="0.25">
      <c r="I2104" s="230"/>
      <c r="J2104" s="231"/>
    </row>
    <row r="2105" spans="9:10" x14ac:dyDescent="0.25">
      <c r="I2105" s="230"/>
      <c r="J2105" s="231"/>
    </row>
    <row r="2106" spans="9:10" x14ac:dyDescent="0.25">
      <c r="I2106" s="230"/>
      <c r="J2106" s="231"/>
    </row>
    <row r="2107" spans="9:10" x14ac:dyDescent="0.25">
      <c r="I2107" s="230"/>
      <c r="J2107" s="231"/>
    </row>
    <row r="2108" spans="9:10" x14ac:dyDescent="0.25">
      <c r="I2108" s="230"/>
      <c r="J2108" s="231"/>
    </row>
    <row r="2109" spans="9:10" x14ac:dyDescent="0.25">
      <c r="I2109" s="230"/>
      <c r="J2109" s="231"/>
    </row>
    <row r="2110" spans="9:10" x14ac:dyDescent="0.25">
      <c r="I2110" s="230"/>
      <c r="J2110" s="231"/>
    </row>
    <row r="2111" spans="9:10" x14ac:dyDescent="0.25">
      <c r="I2111" s="230"/>
      <c r="J2111" s="231"/>
    </row>
    <row r="2112" spans="9:10" x14ac:dyDescent="0.25">
      <c r="I2112" s="230"/>
      <c r="J2112" s="231"/>
    </row>
    <row r="2113" spans="9:10" x14ac:dyDescent="0.25">
      <c r="I2113" s="230"/>
      <c r="J2113" s="231"/>
    </row>
    <row r="2114" spans="9:10" x14ac:dyDescent="0.25">
      <c r="I2114" s="230"/>
      <c r="J2114" s="231"/>
    </row>
    <row r="2115" spans="9:10" x14ac:dyDescent="0.25">
      <c r="I2115" s="230"/>
      <c r="J2115" s="231"/>
    </row>
    <row r="2116" spans="9:10" x14ac:dyDescent="0.25">
      <c r="I2116" s="230"/>
      <c r="J2116" s="231"/>
    </row>
    <row r="2117" spans="9:10" x14ac:dyDescent="0.25">
      <c r="I2117" s="230"/>
      <c r="J2117" s="231"/>
    </row>
    <row r="2118" spans="9:10" x14ac:dyDescent="0.25">
      <c r="I2118" s="230"/>
      <c r="J2118" s="231"/>
    </row>
    <row r="2119" spans="9:10" x14ac:dyDescent="0.25">
      <c r="I2119" s="230"/>
      <c r="J2119" s="231"/>
    </row>
    <row r="2120" spans="9:10" x14ac:dyDescent="0.25">
      <c r="I2120" s="230"/>
      <c r="J2120" s="231"/>
    </row>
    <row r="2121" spans="9:10" x14ac:dyDescent="0.25">
      <c r="I2121" s="230"/>
      <c r="J2121" s="231"/>
    </row>
    <row r="2122" spans="9:10" x14ac:dyDescent="0.25">
      <c r="I2122" s="230"/>
      <c r="J2122" s="231"/>
    </row>
    <row r="2123" spans="9:10" x14ac:dyDescent="0.25">
      <c r="I2123" s="230"/>
      <c r="J2123" s="231"/>
    </row>
    <row r="2124" spans="9:10" x14ac:dyDescent="0.25">
      <c r="I2124" s="230"/>
      <c r="J2124" s="231"/>
    </row>
    <row r="2125" spans="9:10" x14ac:dyDescent="0.25">
      <c r="I2125" s="230"/>
      <c r="J2125" s="231"/>
    </row>
    <row r="2126" spans="9:10" x14ac:dyDescent="0.25">
      <c r="I2126" s="230"/>
      <c r="J2126" s="231"/>
    </row>
    <row r="2127" spans="9:10" x14ac:dyDescent="0.25">
      <c r="I2127" s="230"/>
      <c r="J2127" s="231"/>
    </row>
    <row r="2128" spans="9:10" x14ac:dyDescent="0.25">
      <c r="I2128" s="230"/>
      <c r="J2128" s="231"/>
    </row>
    <row r="2129" spans="9:10" x14ac:dyDescent="0.25">
      <c r="I2129" s="230"/>
      <c r="J2129" s="231"/>
    </row>
    <row r="2130" spans="9:10" x14ac:dyDescent="0.25">
      <c r="I2130" s="230"/>
      <c r="J2130" s="231"/>
    </row>
    <row r="2131" spans="9:10" x14ac:dyDescent="0.25">
      <c r="I2131" s="230"/>
      <c r="J2131" s="231"/>
    </row>
    <row r="2132" spans="9:10" x14ac:dyDescent="0.25">
      <c r="I2132" s="230"/>
      <c r="J2132" s="231"/>
    </row>
    <row r="2133" spans="9:10" x14ac:dyDescent="0.25">
      <c r="I2133" s="230"/>
      <c r="J2133" s="231"/>
    </row>
    <row r="2134" spans="9:10" x14ac:dyDescent="0.25">
      <c r="I2134" s="230"/>
      <c r="J2134" s="231"/>
    </row>
    <row r="2135" spans="9:10" x14ac:dyDescent="0.25">
      <c r="I2135" s="230"/>
      <c r="J2135" s="231"/>
    </row>
    <row r="2136" spans="9:10" x14ac:dyDescent="0.25">
      <c r="I2136" s="230"/>
      <c r="J2136" s="231"/>
    </row>
    <row r="2137" spans="9:10" x14ac:dyDescent="0.25">
      <c r="I2137" s="230"/>
      <c r="J2137" s="231"/>
    </row>
    <row r="2138" spans="9:10" x14ac:dyDescent="0.25">
      <c r="I2138" s="230"/>
      <c r="J2138" s="231"/>
    </row>
    <row r="2139" spans="9:10" x14ac:dyDescent="0.25">
      <c r="I2139" s="230"/>
      <c r="J2139" s="231"/>
    </row>
    <row r="2140" spans="9:10" x14ac:dyDescent="0.25">
      <c r="I2140" s="230"/>
      <c r="J2140" s="231"/>
    </row>
    <row r="2141" spans="9:10" x14ac:dyDescent="0.25">
      <c r="I2141" s="230"/>
      <c r="J2141" s="231"/>
    </row>
    <row r="2142" spans="9:10" x14ac:dyDescent="0.25">
      <c r="I2142" s="230"/>
      <c r="J2142" s="231"/>
    </row>
    <row r="2143" spans="9:10" x14ac:dyDescent="0.25">
      <c r="I2143" s="230"/>
      <c r="J2143" s="231"/>
    </row>
    <row r="2144" spans="9:10" x14ac:dyDescent="0.25">
      <c r="I2144" s="230"/>
      <c r="J2144" s="231"/>
    </row>
    <row r="2145" spans="9:10" x14ac:dyDescent="0.25">
      <c r="I2145" s="230"/>
      <c r="J2145" s="231"/>
    </row>
    <row r="2146" spans="9:10" x14ac:dyDescent="0.25">
      <c r="I2146" s="230"/>
      <c r="J2146" s="231"/>
    </row>
    <row r="2147" spans="9:10" x14ac:dyDescent="0.25">
      <c r="I2147" s="230"/>
      <c r="J2147" s="231"/>
    </row>
    <row r="2148" spans="9:10" x14ac:dyDescent="0.25">
      <c r="I2148" s="230"/>
      <c r="J2148" s="231"/>
    </row>
    <row r="2149" spans="9:10" x14ac:dyDescent="0.25">
      <c r="I2149" s="230"/>
      <c r="J2149" s="231"/>
    </row>
    <row r="2150" spans="9:10" x14ac:dyDescent="0.25">
      <c r="I2150" s="230"/>
      <c r="J2150" s="231"/>
    </row>
    <row r="2151" spans="9:10" x14ac:dyDescent="0.25">
      <c r="I2151" s="230"/>
      <c r="J2151" s="231"/>
    </row>
    <row r="2152" spans="9:10" x14ac:dyDescent="0.25">
      <c r="I2152" s="230"/>
      <c r="J2152" s="231"/>
    </row>
    <row r="2153" spans="9:10" x14ac:dyDescent="0.25">
      <c r="I2153" s="230"/>
      <c r="J2153" s="231"/>
    </row>
    <row r="2154" spans="9:10" x14ac:dyDescent="0.25">
      <c r="I2154" s="230"/>
      <c r="J2154" s="231"/>
    </row>
    <row r="2155" spans="9:10" x14ac:dyDescent="0.25">
      <c r="I2155" s="230"/>
      <c r="J2155" s="231"/>
    </row>
    <row r="2156" spans="9:10" x14ac:dyDescent="0.25">
      <c r="I2156" s="230"/>
      <c r="J2156" s="231"/>
    </row>
    <row r="2157" spans="9:10" x14ac:dyDescent="0.25">
      <c r="I2157" s="230"/>
      <c r="J2157" s="231"/>
    </row>
    <row r="2158" spans="9:10" x14ac:dyDescent="0.25">
      <c r="I2158" s="230"/>
      <c r="J2158" s="231"/>
    </row>
    <row r="2159" spans="9:10" x14ac:dyDescent="0.25">
      <c r="I2159" s="230"/>
      <c r="J2159" s="231"/>
    </row>
    <row r="2160" spans="9:10" x14ac:dyDescent="0.25">
      <c r="I2160" s="230"/>
      <c r="J2160" s="231"/>
    </row>
    <row r="2161" spans="9:10" x14ac:dyDescent="0.25">
      <c r="I2161" s="230"/>
      <c r="J2161" s="231"/>
    </row>
    <row r="2162" spans="9:10" x14ac:dyDescent="0.25">
      <c r="I2162" s="230"/>
      <c r="J2162" s="231"/>
    </row>
    <row r="2163" spans="9:10" x14ac:dyDescent="0.25">
      <c r="I2163" s="230"/>
      <c r="J2163" s="231"/>
    </row>
    <row r="2164" spans="9:10" x14ac:dyDescent="0.25">
      <c r="I2164" s="230"/>
      <c r="J2164" s="231"/>
    </row>
    <row r="2165" spans="9:10" x14ac:dyDescent="0.25">
      <c r="I2165" s="230"/>
      <c r="J2165" s="231"/>
    </row>
    <row r="2166" spans="9:10" x14ac:dyDescent="0.25">
      <c r="I2166" s="230"/>
      <c r="J2166" s="231"/>
    </row>
    <row r="2167" spans="9:10" x14ac:dyDescent="0.25">
      <c r="I2167" s="230"/>
      <c r="J2167" s="231"/>
    </row>
    <row r="2168" spans="9:10" x14ac:dyDescent="0.25">
      <c r="I2168" s="230"/>
      <c r="J2168" s="231"/>
    </row>
    <row r="2169" spans="9:10" x14ac:dyDescent="0.25">
      <c r="I2169" s="230"/>
      <c r="J2169" s="231"/>
    </row>
    <row r="2170" spans="9:10" x14ac:dyDescent="0.25">
      <c r="I2170" s="230"/>
      <c r="J2170" s="231"/>
    </row>
    <row r="2171" spans="9:10" x14ac:dyDescent="0.25">
      <c r="I2171" s="230"/>
      <c r="J2171" s="231"/>
    </row>
    <row r="2172" spans="9:10" x14ac:dyDescent="0.25">
      <c r="I2172" s="230"/>
      <c r="J2172" s="231"/>
    </row>
    <row r="2173" spans="9:10" x14ac:dyDescent="0.25">
      <c r="I2173" s="230"/>
      <c r="J2173" s="231"/>
    </row>
    <row r="2174" spans="9:10" x14ac:dyDescent="0.25">
      <c r="I2174" s="230"/>
      <c r="J2174" s="231"/>
    </row>
    <row r="2175" spans="9:10" x14ac:dyDescent="0.25">
      <c r="I2175" s="230"/>
      <c r="J2175" s="231"/>
    </row>
    <row r="2176" spans="9:10" x14ac:dyDescent="0.25">
      <c r="I2176" s="230"/>
      <c r="J2176" s="231"/>
    </row>
    <row r="2177" spans="9:10" x14ac:dyDescent="0.25">
      <c r="I2177" s="230"/>
      <c r="J2177" s="231"/>
    </row>
    <row r="2178" spans="9:10" x14ac:dyDescent="0.25">
      <c r="I2178" s="230"/>
      <c r="J2178" s="231"/>
    </row>
    <row r="2179" spans="9:10" x14ac:dyDescent="0.25">
      <c r="I2179" s="230"/>
      <c r="J2179" s="231"/>
    </row>
    <row r="2180" spans="9:10" x14ac:dyDescent="0.25">
      <c r="I2180" s="230"/>
      <c r="J2180" s="231"/>
    </row>
    <row r="2181" spans="9:10" x14ac:dyDescent="0.25">
      <c r="I2181" s="230"/>
      <c r="J2181" s="231"/>
    </row>
    <row r="2182" spans="9:10" x14ac:dyDescent="0.25">
      <c r="I2182" s="230"/>
      <c r="J2182" s="231"/>
    </row>
    <row r="2183" spans="9:10" x14ac:dyDescent="0.25">
      <c r="I2183" s="230"/>
      <c r="J2183" s="231"/>
    </row>
    <row r="2184" spans="9:10" x14ac:dyDescent="0.25">
      <c r="I2184" s="230"/>
      <c r="J2184" s="231"/>
    </row>
    <row r="2185" spans="9:10" x14ac:dyDescent="0.25">
      <c r="I2185" s="230"/>
      <c r="J2185" s="231"/>
    </row>
    <row r="2186" spans="9:10" x14ac:dyDescent="0.25">
      <c r="I2186" s="230"/>
      <c r="J2186" s="231"/>
    </row>
    <row r="2187" spans="9:10" x14ac:dyDescent="0.25">
      <c r="I2187" s="230"/>
      <c r="J2187" s="231"/>
    </row>
    <row r="2188" spans="9:10" x14ac:dyDescent="0.25">
      <c r="I2188" s="230"/>
      <c r="J2188" s="231"/>
    </row>
    <row r="2189" spans="9:10" x14ac:dyDescent="0.25">
      <c r="I2189" s="230"/>
      <c r="J2189" s="231"/>
    </row>
    <row r="2190" spans="9:10" x14ac:dyDescent="0.25">
      <c r="I2190" s="230"/>
      <c r="J2190" s="231"/>
    </row>
    <row r="2191" spans="9:10" x14ac:dyDescent="0.25">
      <c r="I2191" s="230"/>
      <c r="J2191" s="231"/>
    </row>
    <row r="2192" spans="9:10" x14ac:dyDescent="0.25">
      <c r="I2192" s="230"/>
      <c r="J2192" s="231"/>
    </row>
    <row r="2193" spans="9:10" x14ac:dyDescent="0.25">
      <c r="I2193" s="230"/>
      <c r="J2193" s="231"/>
    </row>
    <row r="2194" spans="9:10" x14ac:dyDescent="0.25">
      <c r="I2194" s="230"/>
      <c r="J2194" s="231"/>
    </row>
    <row r="2195" spans="9:10" x14ac:dyDescent="0.25">
      <c r="I2195" s="230"/>
      <c r="J2195" s="231"/>
    </row>
    <row r="2196" spans="9:10" x14ac:dyDescent="0.25">
      <c r="I2196" s="230"/>
      <c r="J2196" s="231"/>
    </row>
    <row r="2197" spans="9:10" x14ac:dyDescent="0.25">
      <c r="I2197" s="230"/>
      <c r="J2197" s="231"/>
    </row>
    <row r="2198" spans="9:10" x14ac:dyDescent="0.25">
      <c r="I2198" s="230"/>
      <c r="J2198" s="231"/>
    </row>
    <row r="2199" spans="9:10" x14ac:dyDescent="0.25">
      <c r="I2199" s="230"/>
      <c r="J2199" s="231"/>
    </row>
    <row r="2200" spans="9:10" x14ac:dyDescent="0.25">
      <c r="I2200" s="230"/>
      <c r="J2200" s="231"/>
    </row>
    <row r="2201" spans="9:10" x14ac:dyDescent="0.25">
      <c r="I2201" s="230"/>
      <c r="J2201" s="231"/>
    </row>
    <row r="2202" spans="9:10" x14ac:dyDescent="0.25">
      <c r="I2202" s="230"/>
      <c r="J2202" s="231"/>
    </row>
    <row r="2203" spans="9:10" x14ac:dyDescent="0.25">
      <c r="I2203" s="230"/>
      <c r="J2203" s="231"/>
    </row>
    <row r="2204" spans="9:10" x14ac:dyDescent="0.25">
      <c r="I2204" s="230"/>
      <c r="J2204" s="231"/>
    </row>
    <row r="2205" spans="9:10" x14ac:dyDescent="0.25">
      <c r="I2205" s="230"/>
      <c r="J2205" s="231"/>
    </row>
    <row r="2206" spans="9:10" x14ac:dyDescent="0.25">
      <c r="I2206" s="230"/>
      <c r="J2206" s="231"/>
    </row>
    <row r="2207" spans="9:10" x14ac:dyDescent="0.25">
      <c r="I2207" s="230"/>
      <c r="J2207" s="231"/>
    </row>
    <row r="2208" spans="9:10" x14ac:dyDescent="0.25">
      <c r="I2208" s="230"/>
      <c r="J2208" s="231"/>
    </row>
    <row r="2209" spans="9:10" x14ac:dyDescent="0.25">
      <c r="I2209" s="230"/>
      <c r="J2209" s="231"/>
    </row>
    <row r="2210" spans="9:10" x14ac:dyDescent="0.25">
      <c r="I2210" s="230"/>
      <c r="J2210" s="231"/>
    </row>
    <row r="2211" spans="9:10" x14ac:dyDescent="0.25">
      <c r="I2211" s="230"/>
      <c r="J2211" s="231"/>
    </row>
    <row r="2212" spans="9:10" x14ac:dyDescent="0.25">
      <c r="I2212" s="230"/>
      <c r="J2212" s="231"/>
    </row>
    <row r="2213" spans="9:10" x14ac:dyDescent="0.25">
      <c r="I2213" s="230"/>
      <c r="J2213" s="231"/>
    </row>
    <row r="2214" spans="9:10" x14ac:dyDescent="0.25">
      <c r="I2214" s="230"/>
      <c r="J2214" s="231"/>
    </row>
    <row r="2215" spans="9:10" x14ac:dyDescent="0.25">
      <c r="I2215" s="230"/>
      <c r="J2215" s="231"/>
    </row>
    <row r="2216" spans="9:10" x14ac:dyDescent="0.25">
      <c r="I2216" s="230"/>
      <c r="J2216" s="231"/>
    </row>
    <row r="2217" spans="9:10" x14ac:dyDescent="0.25">
      <c r="I2217" s="230"/>
      <c r="J2217" s="231"/>
    </row>
    <row r="2218" spans="9:10" x14ac:dyDescent="0.25">
      <c r="I2218" s="230"/>
      <c r="J2218" s="231"/>
    </row>
    <row r="2219" spans="9:10" x14ac:dyDescent="0.25">
      <c r="I2219" s="230"/>
      <c r="J2219" s="231"/>
    </row>
    <row r="2220" spans="9:10" x14ac:dyDescent="0.25">
      <c r="I2220" s="230"/>
      <c r="J2220" s="231"/>
    </row>
    <row r="2221" spans="9:10" x14ac:dyDescent="0.25">
      <c r="I2221" s="230"/>
      <c r="J2221" s="231"/>
    </row>
    <row r="2222" spans="9:10" x14ac:dyDescent="0.25">
      <c r="I2222" s="230"/>
      <c r="J2222" s="231"/>
    </row>
    <row r="2223" spans="9:10" x14ac:dyDescent="0.25">
      <c r="I2223" s="230"/>
      <c r="J2223" s="231"/>
    </row>
    <row r="2224" spans="9:10" x14ac:dyDescent="0.25">
      <c r="I2224" s="230"/>
      <c r="J2224" s="231"/>
    </row>
    <row r="2225" spans="9:10" x14ac:dyDescent="0.25">
      <c r="I2225" s="230"/>
      <c r="J2225" s="231"/>
    </row>
    <row r="2226" spans="9:10" x14ac:dyDescent="0.25">
      <c r="I2226" s="230"/>
      <c r="J2226" s="231"/>
    </row>
    <row r="2227" spans="9:10" x14ac:dyDescent="0.25">
      <c r="I2227" s="230"/>
      <c r="J2227" s="231"/>
    </row>
    <row r="2228" spans="9:10" x14ac:dyDescent="0.25">
      <c r="I2228" s="230"/>
      <c r="J2228" s="231"/>
    </row>
    <row r="2229" spans="9:10" x14ac:dyDescent="0.25">
      <c r="I2229" s="230"/>
      <c r="J2229" s="231"/>
    </row>
    <row r="2230" spans="9:10" x14ac:dyDescent="0.25">
      <c r="I2230" s="230"/>
      <c r="J2230" s="231"/>
    </row>
    <row r="2231" spans="9:10" x14ac:dyDescent="0.25">
      <c r="I2231" s="230"/>
      <c r="J2231" s="231"/>
    </row>
    <row r="2232" spans="9:10" x14ac:dyDescent="0.25">
      <c r="I2232" s="230"/>
      <c r="J2232" s="231"/>
    </row>
    <row r="2233" spans="9:10" x14ac:dyDescent="0.25">
      <c r="I2233" s="230"/>
      <c r="J2233" s="231"/>
    </row>
    <row r="2234" spans="9:10" x14ac:dyDescent="0.25">
      <c r="I2234" s="230"/>
      <c r="J2234" s="231"/>
    </row>
    <row r="2235" spans="9:10" x14ac:dyDescent="0.25">
      <c r="I2235" s="230"/>
      <c r="J2235" s="231"/>
    </row>
    <row r="2236" spans="9:10" x14ac:dyDescent="0.25">
      <c r="I2236" s="230"/>
      <c r="J2236" s="231"/>
    </row>
    <row r="2237" spans="9:10" x14ac:dyDescent="0.25">
      <c r="I2237" s="230"/>
      <c r="J2237" s="231"/>
    </row>
    <row r="2238" spans="9:10" x14ac:dyDescent="0.25">
      <c r="I2238" s="230"/>
      <c r="J2238" s="231"/>
    </row>
    <row r="2239" spans="9:10" x14ac:dyDescent="0.25">
      <c r="I2239" s="230"/>
      <c r="J2239" s="231"/>
    </row>
    <row r="2240" spans="9:10" x14ac:dyDescent="0.25">
      <c r="I2240" s="230"/>
      <c r="J2240" s="231"/>
    </row>
    <row r="2241" spans="9:10" x14ac:dyDescent="0.25">
      <c r="I2241" s="230"/>
      <c r="J2241" s="231"/>
    </row>
    <row r="2242" spans="9:10" x14ac:dyDescent="0.25">
      <c r="I2242" s="230"/>
      <c r="J2242" s="231"/>
    </row>
    <row r="2243" spans="9:10" x14ac:dyDescent="0.25">
      <c r="I2243" s="230"/>
      <c r="J2243" s="231"/>
    </row>
    <row r="2244" spans="9:10" x14ac:dyDescent="0.25">
      <c r="I2244" s="230"/>
      <c r="J2244" s="231"/>
    </row>
    <row r="2245" spans="9:10" x14ac:dyDescent="0.25">
      <c r="I2245" s="230"/>
      <c r="J2245" s="231"/>
    </row>
    <row r="2246" spans="9:10" x14ac:dyDescent="0.25">
      <c r="I2246" s="230"/>
      <c r="J2246" s="231"/>
    </row>
    <row r="2247" spans="9:10" x14ac:dyDescent="0.25">
      <c r="I2247" s="230"/>
      <c r="J2247" s="231"/>
    </row>
    <row r="2248" spans="9:10" x14ac:dyDescent="0.25">
      <c r="I2248" s="230"/>
      <c r="J2248" s="231"/>
    </row>
    <row r="2249" spans="9:10" x14ac:dyDescent="0.25">
      <c r="I2249" s="230"/>
      <c r="J2249" s="231"/>
    </row>
    <row r="2250" spans="9:10" x14ac:dyDescent="0.25">
      <c r="I2250" s="230"/>
      <c r="J2250" s="231"/>
    </row>
    <row r="2251" spans="9:10" x14ac:dyDescent="0.25">
      <c r="I2251" s="230"/>
      <c r="J2251" s="231"/>
    </row>
    <row r="2252" spans="9:10" x14ac:dyDescent="0.25">
      <c r="I2252" s="230"/>
      <c r="J2252" s="231"/>
    </row>
    <row r="2253" spans="9:10" x14ac:dyDescent="0.25">
      <c r="I2253" s="230"/>
      <c r="J2253" s="231"/>
    </row>
    <row r="2254" spans="9:10" x14ac:dyDescent="0.25">
      <c r="I2254" s="230"/>
      <c r="J2254" s="231"/>
    </row>
    <row r="2255" spans="9:10" x14ac:dyDescent="0.25">
      <c r="I2255" s="230"/>
      <c r="J2255" s="231"/>
    </row>
    <row r="2256" spans="9:10" x14ac:dyDescent="0.25">
      <c r="I2256" s="230"/>
      <c r="J2256" s="231"/>
    </row>
    <row r="2257" spans="9:10" x14ac:dyDescent="0.25">
      <c r="I2257" s="230"/>
      <c r="J2257" s="231"/>
    </row>
    <row r="2258" spans="9:10" x14ac:dyDescent="0.25">
      <c r="I2258" s="230"/>
      <c r="J2258" s="231"/>
    </row>
    <row r="2259" spans="9:10" x14ac:dyDescent="0.25">
      <c r="I2259" s="230"/>
      <c r="J2259" s="231"/>
    </row>
    <row r="2260" spans="9:10" x14ac:dyDescent="0.25">
      <c r="I2260" s="230"/>
      <c r="J2260" s="231"/>
    </row>
    <row r="2261" spans="9:10" x14ac:dyDescent="0.25">
      <c r="I2261" s="230"/>
      <c r="J2261" s="231"/>
    </row>
    <row r="2262" spans="9:10" x14ac:dyDescent="0.25">
      <c r="I2262" s="230"/>
      <c r="J2262" s="231"/>
    </row>
    <row r="2263" spans="9:10" x14ac:dyDescent="0.25">
      <c r="I2263" s="230"/>
      <c r="J2263" s="231"/>
    </row>
    <row r="2264" spans="9:10" x14ac:dyDescent="0.25">
      <c r="I2264" s="230"/>
      <c r="J2264" s="231"/>
    </row>
    <row r="2265" spans="9:10" x14ac:dyDescent="0.25">
      <c r="I2265" s="230"/>
      <c r="J2265" s="231"/>
    </row>
    <row r="2266" spans="9:10" x14ac:dyDescent="0.25">
      <c r="I2266" s="230"/>
      <c r="J2266" s="231"/>
    </row>
    <row r="2267" spans="9:10" x14ac:dyDescent="0.25">
      <c r="I2267" s="230"/>
      <c r="J2267" s="231"/>
    </row>
    <row r="2268" spans="9:10" x14ac:dyDescent="0.25">
      <c r="I2268" s="230"/>
      <c r="J2268" s="231"/>
    </row>
    <row r="2269" spans="9:10" x14ac:dyDescent="0.25">
      <c r="I2269" s="230"/>
      <c r="J2269" s="231"/>
    </row>
    <row r="2270" spans="9:10" x14ac:dyDescent="0.25">
      <c r="I2270" s="230"/>
      <c r="J2270" s="231"/>
    </row>
    <row r="2271" spans="9:10" x14ac:dyDescent="0.25">
      <c r="I2271" s="230"/>
      <c r="J2271" s="231"/>
    </row>
    <row r="2272" spans="9:10" x14ac:dyDescent="0.25">
      <c r="I2272" s="230"/>
      <c r="J2272" s="231"/>
    </row>
    <row r="2273" spans="9:10" x14ac:dyDescent="0.25">
      <c r="I2273" s="230"/>
      <c r="J2273" s="231"/>
    </row>
    <row r="2274" spans="9:10" x14ac:dyDescent="0.25">
      <c r="I2274" s="230"/>
      <c r="J2274" s="231"/>
    </row>
    <row r="2275" spans="9:10" x14ac:dyDescent="0.25">
      <c r="I2275" s="230"/>
      <c r="J2275" s="231"/>
    </row>
    <row r="2276" spans="9:10" x14ac:dyDescent="0.25">
      <c r="I2276" s="230"/>
      <c r="J2276" s="231"/>
    </row>
    <row r="2277" spans="9:10" x14ac:dyDescent="0.25">
      <c r="I2277" s="230"/>
      <c r="J2277" s="231"/>
    </row>
    <row r="2278" spans="9:10" x14ac:dyDescent="0.25">
      <c r="I2278" s="230"/>
      <c r="J2278" s="231"/>
    </row>
    <row r="2279" spans="9:10" x14ac:dyDescent="0.25">
      <c r="I2279" s="230"/>
      <c r="J2279" s="231"/>
    </row>
    <row r="2280" spans="9:10" x14ac:dyDescent="0.25">
      <c r="I2280" s="230"/>
      <c r="J2280" s="231"/>
    </row>
    <row r="2281" spans="9:10" x14ac:dyDescent="0.25">
      <c r="I2281" s="230"/>
      <c r="J2281" s="231"/>
    </row>
    <row r="2282" spans="9:10" x14ac:dyDescent="0.25">
      <c r="I2282" s="230"/>
      <c r="J2282" s="231"/>
    </row>
    <row r="2283" spans="9:10" x14ac:dyDescent="0.25">
      <c r="I2283" s="230"/>
      <c r="J2283" s="231"/>
    </row>
    <row r="2284" spans="9:10" x14ac:dyDescent="0.25">
      <c r="I2284" s="230"/>
      <c r="J2284" s="231"/>
    </row>
    <row r="2285" spans="9:10" x14ac:dyDescent="0.25">
      <c r="I2285" s="230"/>
      <c r="J2285" s="231"/>
    </row>
    <row r="2286" spans="9:10" x14ac:dyDescent="0.25">
      <c r="I2286" s="230"/>
      <c r="J2286" s="231"/>
    </row>
    <row r="2287" spans="9:10" x14ac:dyDescent="0.25">
      <c r="I2287" s="230"/>
      <c r="J2287" s="231"/>
    </row>
    <row r="2288" spans="9:10" x14ac:dyDescent="0.25">
      <c r="I2288" s="230"/>
      <c r="J2288" s="231"/>
    </row>
    <row r="2289" spans="9:10" x14ac:dyDescent="0.25">
      <c r="I2289" s="230"/>
      <c r="J2289" s="231"/>
    </row>
    <row r="2290" spans="9:10" x14ac:dyDescent="0.25">
      <c r="I2290" s="230"/>
      <c r="J2290" s="231"/>
    </row>
    <row r="2291" spans="9:10" x14ac:dyDescent="0.25">
      <c r="I2291" s="230"/>
      <c r="J2291" s="231"/>
    </row>
    <row r="2292" spans="9:10" x14ac:dyDescent="0.25">
      <c r="I2292" s="230"/>
      <c r="J2292" s="231"/>
    </row>
    <row r="2293" spans="9:10" x14ac:dyDescent="0.25">
      <c r="I2293" s="230"/>
      <c r="J2293" s="231"/>
    </row>
    <row r="2294" spans="9:10" x14ac:dyDescent="0.25">
      <c r="I2294" s="230"/>
      <c r="J2294" s="231"/>
    </row>
    <row r="2295" spans="9:10" x14ac:dyDescent="0.25">
      <c r="I2295" s="230"/>
      <c r="J2295" s="231"/>
    </row>
    <row r="2296" spans="9:10" x14ac:dyDescent="0.25">
      <c r="I2296" s="230"/>
      <c r="J2296" s="231"/>
    </row>
    <row r="2297" spans="9:10" x14ac:dyDescent="0.25">
      <c r="I2297" s="230"/>
      <c r="J2297" s="231"/>
    </row>
    <row r="2298" spans="9:10" x14ac:dyDescent="0.25">
      <c r="I2298" s="230"/>
      <c r="J2298" s="231"/>
    </row>
    <row r="2299" spans="9:10" x14ac:dyDescent="0.25">
      <c r="I2299" s="230"/>
      <c r="J2299" s="231"/>
    </row>
    <row r="2300" spans="9:10" x14ac:dyDescent="0.25">
      <c r="I2300" s="230"/>
      <c r="J2300" s="231"/>
    </row>
    <row r="2301" spans="9:10" x14ac:dyDescent="0.25">
      <c r="I2301" s="230"/>
      <c r="J2301" s="231"/>
    </row>
    <row r="2302" spans="9:10" x14ac:dyDescent="0.25">
      <c r="I2302" s="230"/>
      <c r="J2302" s="231"/>
    </row>
    <row r="2303" spans="9:10" x14ac:dyDescent="0.25">
      <c r="I2303" s="230"/>
      <c r="J2303" s="231"/>
    </row>
    <row r="2304" spans="9:10" x14ac:dyDescent="0.25">
      <c r="I2304" s="230"/>
      <c r="J2304" s="231"/>
    </row>
    <row r="2305" spans="9:10" x14ac:dyDescent="0.25">
      <c r="I2305" s="230"/>
      <c r="J2305" s="231"/>
    </row>
    <row r="2306" spans="9:10" x14ac:dyDescent="0.25">
      <c r="I2306" s="230"/>
      <c r="J2306" s="231"/>
    </row>
    <row r="2307" spans="9:10" x14ac:dyDescent="0.25">
      <c r="I2307" s="230"/>
      <c r="J2307" s="231"/>
    </row>
    <row r="2308" spans="9:10" x14ac:dyDescent="0.25">
      <c r="I2308" s="230"/>
      <c r="J2308" s="231"/>
    </row>
    <row r="2309" spans="9:10" x14ac:dyDescent="0.25">
      <c r="I2309" s="230"/>
      <c r="J2309" s="231"/>
    </row>
    <row r="2310" spans="9:10" x14ac:dyDescent="0.25">
      <c r="I2310" s="230"/>
      <c r="J2310" s="231"/>
    </row>
    <row r="2311" spans="9:10" x14ac:dyDescent="0.25">
      <c r="I2311" s="230"/>
      <c r="J2311" s="231"/>
    </row>
    <row r="2312" spans="9:10" x14ac:dyDescent="0.25">
      <c r="I2312" s="230"/>
      <c r="J2312" s="231"/>
    </row>
    <row r="2313" spans="9:10" x14ac:dyDescent="0.25">
      <c r="I2313" s="230"/>
      <c r="J2313" s="231"/>
    </row>
    <row r="2314" spans="9:10" x14ac:dyDescent="0.25">
      <c r="I2314" s="230"/>
      <c r="J2314" s="231"/>
    </row>
    <row r="2315" spans="9:10" x14ac:dyDescent="0.25">
      <c r="I2315" s="230"/>
      <c r="J2315" s="231"/>
    </row>
    <row r="2316" spans="9:10" x14ac:dyDescent="0.25">
      <c r="I2316" s="230"/>
      <c r="J2316" s="231"/>
    </row>
    <row r="2317" spans="9:10" x14ac:dyDescent="0.25">
      <c r="I2317" s="230"/>
      <c r="J2317" s="231"/>
    </row>
    <row r="2318" spans="9:10" x14ac:dyDescent="0.25">
      <c r="I2318" s="230"/>
      <c r="J2318" s="231"/>
    </row>
    <row r="2319" spans="9:10" x14ac:dyDescent="0.25">
      <c r="I2319" s="230"/>
      <c r="J2319" s="231"/>
    </row>
    <row r="2320" spans="9:10" x14ac:dyDescent="0.25">
      <c r="I2320" s="230"/>
      <c r="J2320" s="231"/>
    </row>
    <row r="2321" spans="9:10" x14ac:dyDescent="0.25">
      <c r="I2321" s="230"/>
      <c r="J2321" s="231"/>
    </row>
    <row r="2322" spans="9:10" x14ac:dyDescent="0.25">
      <c r="I2322" s="230"/>
      <c r="J2322" s="231"/>
    </row>
    <row r="2323" spans="9:10" x14ac:dyDescent="0.25">
      <c r="I2323" s="230"/>
      <c r="J2323" s="231"/>
    </row>
    <row r="2324" spans="9:10" x14ac:dyDescent="0.25">
      <c r="I2324" s="230"/>
      <c r="J2324" s="231"/>
    </row>
    <row r="2325" spans="9:10" x14ac:dyDescent="0.25">
      <c r="I2325" s="230"/>
      <c r="J2325" s="231"/>
    </row>
    <row r="2326" spans="9:10" x14ac:dyDescent="0.25">
      <c r="I2326" s="230"/>
      <c r="J2326" s="231"/>
    </row>
    <row r="2327" spans="9:10" x14ac:dyDescent="0.25">
      <c r="I2327" s="230"/>
      <c r="J2327" s="231"/>
    </row>
    <row r="2328" spans="9:10" x14ac:dyDescent="0.25">
      <c r="I2328" s="230"/>
      <c r="J2328" s="231"/>
    </row>
    <row r="2329" spans="9:10" x14ac:dyDescent="0.25">
      <c r="I2329" s="230"/>
      <c r="J2329" s="231"/>
    </row>
    <row r="2330" spans="9:10" x14ac:dyDescent="0.25">
      <c r="I2330" s="230"/>
      <c r="J2330" s="231"/>
    </row>
    <row r="2331" spans="9:10" x14ac:dyDescent="0.25">
      <c r="I2331" s="230"/>
      <c r="J2331" s="231"/>
    </row>
    <row r="2332" spans="9:10" x14ac:dyDescent="0.25">
      <c r="I2332" s="230"/>
      <c r="J2332" s="231"/>
    </row>
    <row r="2333" spans="9:10" x14ac:dyDescent="0.25">
      <c r="I2333" s="230"/>
      <c r="J2333" s="231"/>
    </row>
    <row r="2334" spans="9:10" x14ac:dyDescent="0.25">
      <c r="I2334" s="230"/>
      <c r="J2334" s="231"/>
    </row>
    <row r="2335" spans="9:10" x14ac:dyDescent="0.25">
      <c r="I2335" s="230"/>
      <c r="J2335" s="231"/>
    </row>
    <row r="2336" spans="9:10" x14ac:dyDescent="0.25">
      <c r="I2336" s="230"/>
      <c r="J2336" s="231"/>
    </row>
    <row r="2337" spans="9:10" x14ac:dyDescent="0.25">
      <c r="I2337" s="230"/>
      <c r="J2337" s="231"/>
    </row>
    <row r="2338" spans="9:10" x14ac:dyDescent="0.25">
      <c r="I2338" s="230"/>
      <c r="J2338" s="231"/>
    </row>
    <row r="2339" spans="9:10" x14ac:dyDescent="0.25">
      <c r="I2339" s="230"/>
      <c r="J2339" s="231"/>
    </row>
    <row r="2340" spans="9:10" x14ac:dyDescent="0.25">
      <c r="I2340" s="230"/>
      <c r="J2340" s="231"/>
    </row>
    <row r="2341" spans="9:10" x14ac:dyDescent="0.25">
      <c r="I2341" s="230"/>
      <c r="J2341" s="231"/>
    </row>
    <row r="2342" spans="9:10" x14ac:dyDescent="0.25">
      <c r="I2342" s="230"/>
      <c r="J2342" s="231"/>
    </row>
    <row r="2343" spans="9:10" x14ac:dyDescent="0.25">
      <c r="I2343" s="230"/>
      <c r="J2343" s="231"/>
    </row>
    <row r="2344" spans="9:10" x14ac:dyDescent="0.25">
      <c r="I2344" s="230"/>
      <c r="J2344" s="231"/>
    </row>
    <row r="2345" spans="9:10" x14ac:dyDescent="0.25">
      <c r="I2345" s="230"/>
      <c r="J2345" s="231"/>
    </row>
    <row r="2346" spans="9:10" x14ac:dyDescent="0.25">
      <c r="I2346" s="230"/>
      <c r="J2346" s="231"/>
    </row>
    <row r="2347" spans="9:10" x14ac:dyDescent="0.25">
      <c r="I2347" s="230"/>
      <c r="J2347" s="231"/>
    </row>
    <row r="2348" spans="9:10" x14ac:dyDescent="0.25">
      <c r="I2348" s="230"/>
      <c r="J2348" s="231"/>
    </row>
    <row r="2349" spans="9:10" x14ac:dyDescent="0.25">
      <c r="I2349" s="230"/>
      <c r="J2349" s="231"/>
    </row>
    <row r="2350" spans="9:10" x14ac:dyDescent="0.25">
      <c r="I2350" s="230"/>
      <c r="J2350" s="231"/>
    </row>
    <row r="2351" spans="9:10" x14ac:dyDescent="0.25">
      <c r="I2351" s="230"/>
      <c r="J2351" s="231"/>
    </row>
    <row r="2352" spans="9:10" x14ac:dyDescent="0.25">
      <c r="I2352" s="230"/>
      <c r="J2352" s="231"/>
    </row>
    <row r="2353" spans="9:10" x14ac:dyDescent="0.25">
      <c r="I2353" s="230"/>
      <c r="J2353" s="231"/>
    </row>
    <row r="2354" spans="9:10" x14ac:dyDescent="0.25">
      <c r="I2354" s="230"/>
      <c r="J2354" s="231"/>
    </row>
    <row r="2355" spans="9:10" x14ac:dyDescent="0.25">
      <c r="I2355" s="230"/>
      <c r="J2355" s="231"/>
    </row>
    <row r="2356" spans="9:10" x14ac:dyDescent="0.25">
      <c r="I2356" s="230"/>
      <c r="J2356" s="231"/>
    </row>
    <row r="2357" spans="9:10" x14ac:dyDescent="0.25">
      <c r="I2357" s="230"/>
      <c r="J2357" s="231"/>
    </row>
    <row r="2358" spans="9:10" x14ac:dyDescent="0.25">
      <c r="I2358" s="230"/>
      <c r="J2358" s="231"/>
    </row>
    <row r="2359" spans="9:10" x14ac:dyDescent="0.25">
      <c r="I2359" s="230"/>
      <c r="J2359" s="231"/>
    </row>
    <row r="2360" spans="9:10" x14ac:dyDescent="0.25">
      <c r="I2360" s="230"/>
      <c r="J2360" s="231"/>
    </row>
    <row r="2361" spans="9:10" x14ac:dyDescent="0.25">
      <c r="I2361" s="230"/>
      <c r="J2361" s="231"/>
    </row>
    <row r="2362" spans="9:10" x14ac:dyDescent="0.25">
      <c r="I2362" s="230"/>
      <c r="J2362" s="231"/>
    </row>
    <row r="2363" spans="9:10" x14ac:dyDescent="0.25">
      <c r="I2363" s="230"/>
      <c r="J2363" s="231"/>
    </row>
    <row r="2364" spans="9:10" x14ac:dyDescent="0.25">
      <c r="I2364" s="230"/>
      <c r="J2364" s="231"/>
    </row>
    <row r="2365" spans="9:10" x14ac:dyDescent="0.25">
      <c r="I2365" s="230"/>
      <c r="J2365" s="231"/>
    </row>
    <row r="2366" spans="9:10" x14ac:dyDescent="0.25">
      <c r="I2366" s="230"/>
      <c r="J2366" s="231"/>
    </row>
    <row r="2367" spans="9:10" x14ac:dyDescent="0.25">
      <c r="I2367" s="230"/>
      <c r="J2367" s="231"/>
    </row>
    <row r="2368" spans="9:10" x14ac:dyDescent="0.25">
      <c r="I2368" s="230"/>
      <c r="J2368" s="231"/>
    </row>
    <row r="2369" spans="9:10" x14ac:dyDescent="0.25">
      <c r="I2369" s="230"/>
      <c r="J2369" s="231"/>
    </row>
    <row r="2370" spans="9:10" x14ac:dyDescent="0.25">
      <c r="I2370" s="230"/>
      <c r="J2370" s="231"/>
    </row>
    <row r="2371" spans="9:10" x14ac:dyDescent="0.25">
      <c r="I2371" s="230"/>
      <c r="J2371" s="231"/>
    </row>
    <row r="2372" spans="9:10" x14ac:dyDescent="0.25">
      <c r="I2372" s="230"/>
      <c r="J2372" s="231"/>
    </row>
    <row r="2373" spans="9:10" x14ac:dyDescent="0.25">
      <c r="I2373" s="230"/>
      <c r="J2373" s="231"/>
    </row>
    <row r="2374" spans="9:10" x14ac:dyDescent="0.25">
      <c r="I2374" s="230"/>
      <c r="J2374" s="231"/>
    </row>
    <row r="2375" spans="9:10" x14ac:dyDescent="0.25">
      <c r="I2375" s="230"/>
      <c r="J2375" s="231"/>
    </row>
    <row r="2376" spans="9:10" x14ac:dyDescent="0.25">
      <c r="I2376" s="230"/>
      <c r="J2376" s="231"/>
    </row>
    <row r="2377" spans="9:10" x14ac:dyDescent="0.25">
      <c r="I2377" s="230"/>
      <c r="J2377" s="231"/>
    </row>
    <row r="2378" spans="9:10" x14ac:dyDescent="0.25">
      <c r="I2378" s="230"/>
      <c r="J2378" s="231"/>
    </row>
    <row r="2379" spans="9:10" x14ac:dyDescent="0.25">
      <c r="I2379" s="230"/>
      <c r="J2379" s="231"/>
    </row>
    <row r="2380" spans="9:10" x14ac:dyDescent="0.25">
      <c r="I2380" s="230"/>
      <c r="J2380" s="231"/>
    </row>
    <row r="2381" spans="9:10" x14ac:dyDescent="0.25">
      <c r="I2381" s="230"/>
      <c r="J2381" s="231"/>
    </row>
    <row r="2382" spans="9:10" x14ac:dyDescent="0.25">
      <c r="I2382" s="230"/>
      <c r="J2382" s="231"/>
    </row>
    <row r="2383" spans="9:10" x14ac:dyDescent="0.25">
      <c r="I2383" s="230"/>
      <c r="J2383" s="231"/>
    </row>
    <row r="2384" spans="9:10" x14ac:dyDescent="0.25">
      <c r="I2384" s="230"/>
      <c r="J2384" s="231"/>
    </row>
    <row r="2385" spans="9:10" x14ac:dyDescent="0.25">
      <c r="I2385" s="230"/>
      <c r="J2385" s="231"/>
    </row>
    <row r="2386" spans="9:10" x14ac:dyDescent="0.25">
      <c r="I2386" s="230"/>
      <c r="J2386" s="231"/>
    </row>
    <row r="2387" spans="9:10" x14ac:dyDescent="0.25">
      <c r="I2387" s="230"/>
      <c r="J2387" s="231"/>
    </row>
    <row r="2388" spans="9:10" x14ac:dyDescent="0.25">
      <c r="I2388" s="230"/>
      <c r="J2388" s="231"/>
    </row>
    <row r="2389" spans="9:10" x14ac:dyDescent="0.25">
      <c r="I2389" s="230"/>
      <c r="J2389" s="231"/>
    </row>
    <row r="2390" spans="9:10" x14ac:dyDescent="0.25">
      <c r="I2390" s="230"/>
      <c r="J2390" s="231"/>
    </row>
    <row r="2391" spans="9:10" x14ac:dyDescent="0.25">
      <c r="I2391" s="230"/>
      <c r="J2391" s="231"/>
    </row>
    <row r="2392" spans="9:10" x14ac:dyDescent="0.25">
      <c r="I2392" s="230"/>
      <c r="J2392" s="231"/>
    </row>
    <row r="2393" spans="9:10" x14ac:dyDescent="0.25">
      <c r="I2393" s="230"/>
      <c r="J2393" s="231"/>
    </row>
    <row r="2394" spans="9:10" x14ac:dyDescent="0.25">
      <c r="I2394" s="230"/>
      <c r="J2394" s="231"/>
    </row>
    <row r="2395" spans="9:10" x14ac:dyDescent="0.25">
      <c r="I2395" s="230"/>
      <c r="J2395" s="231"/>
    </row>
    <row r="2396" spans="9:10" x14ac:dyDescent="0.25">
      <c r="I2396" s="230"/>
      <c r="J2396" s="231"/>
    </row>
    <row r="2397" spans="9:10" x14ac:dyDescent="0.25">
      <c r="I2397" s="230"/>
      <c r="J2397" s="231"/>
    </row>
    <row r="2398" spans="9:10" x14ac:dyDescent="0.25">
      <c r="I2398" s="230"/>
      <c r="J2398" s="231"/>
    </row>
    <row r="2399" spans="9:10" x14ac:dyDescent="0.25">
      <c r="I2399" s="230"/>
      <c r="J2399" s="231"/>
    </row>
    <row r="2400" spans="9:10" x14ac:dyDescent="0.25">
      <c r="I2400" s="230"/>
      <c r="J2400" s="231"/>
    </row>
    <row r="2401" spans="9:10" x14ac:dyDescent="0.25">
      <c r="I2401" s="230"/>
      <c r="J2401" s="231"/>
    </row>
    <row r="2402" spans="9:10" x14ac:dyDescent="0.25">
      <c r="I2402" s="230"/>
      <c r="J2402" s="231"/>
    </row>
    <row r="2403" spans="9:10" x14ac:dyDescent="0.25">
      <c r="I2403" s="230"/>
      <c r="J2403" s="231"/>
    </row>
    <row r="2404" spans="9:10" x14ac:dyDescent="0.25">
      <c r="I2404" s="230"/>
      <c r="J2404" s="231"/>
    </row>
    <row r="2405" spans="9:10" x14ac:dyDescent="0.25">
      <c r="I2405" s="230"/>
      <c r="J2405" s="231"/>
    </row>
    <row r="2406" spans="9:10" x14ac:dyDescent="0.25">
      <c r="I2406" s="230"/>
      <c r="J2406" s="231"/>
    </row>
    <row r="2407" spans="9:10" x14ac:dyDescent="0.25">
      <c r="I2407" s="230"/>
      <c r="J2407" s="231"/>
    </row>
    <row r="2408" spans="9:10" x14ac:dyDescent="0.25">
      <c r="I2408" s="230"/>
      <c r="J2408" s="231"/>
    </row>
    <row r="2409" spans="9:10" x14ac:dyDescent="0.25">
      <c r="I2409" s="230"/>
      <c r="J2409" s="231"/>
    </row>
    <row r="2410" spans="9:10" x14ac:dyDescent="0.25">
      <c r="I2410" s="230"/>
      <c r="J2410" s="231"/>
    </row>
    <row r="2411" spans="9:10" x14ac:dyDescent="0.25">
      <c r="I2411" s="230"/>
      <c r="J2411" s="231"/>
    </row>
    <row r="2412" spans="9:10" x14ac:dyDescent="0.25">
      <c r="I2412" s="230"/>
      <c r="J2412" s="231"/>
    </row>
    <row r="2413" spans="9:10" x14ac:dyDescent="0.25">
      <c r="I2413" s="230"/>
      <c r="J2413" s="231"/>
    </row>
    <row r="2414" spans="9:10" x14ac:dyDescent="0.25">
      <c r="I2414" s="230"/>
      <c r="J2414" s="231"/>
    </row>
    <row r="2415" spans="9:10" x14ac:dyDescent="0.25">
      <c r="I2415" s="230"/>
      <c r="J2415" s="231"/>
    </row>
    <row r="2416" spans="9:10" x14ac:dyDescent="0.25">
      <c r="I2416" s="230"/>
      <c r="J2416" s="231"/>
    </row>
    <row r="2417" spans="9:10" x14ac:dyDescent="0.25">
      <c r="I2417" s="230"/>
      <c r="J2417" s="231"/>
    </row>
    <row r="2418" spans="9:10" x14ac:dyDescent="0.25">
      <c r="I2418" s="230"/>
      <c r="J2418" s="231"/>
    </row>
    <row r="2419" spans="9:10" x14ac:dyDescent="0.25">
      <c r="I2419" s="230"/>
      <c r="J2419" s="231"/>
    </row>
    <row r="2420" spans="9:10" x14ac:dyDescent="0.25">
      <c r="I2420" s="230"/>
      <c r="J2420" s="231"/>
    </row>
    <row r="2421" spans="9:10" x14ac:dyDescent="0.25">
      <c r="I2421" s="230"/>
      <c r="J2421" s="231"/>
    </row>
    <row r="2422" spans="9:10" x14ac:dyDescent="0.25">
      <c r="I2422" s="230"/>
      <c r="J2422" s="231"/>
    </row>
    <row r="2423" spans="9:10" x14ac:dyDescent="0.25">
      <c r="I2423" s="230"/>
      <c r="J2423" s="231"/>
    </row>
    <row r="2424" spans="9:10" x14ac:dyDescent="0.25">
      <c r="I2424" s="230"/>
      <c r="J2424" s="231"/>
    </row>
    <row r="2425" spans="9:10" x14ac:dyDescent="0.25">
      <c r="I2425" s="230"/>
      <c r="J2425" s="231"/>
    </row>
    <row r="2426" spans="9:10" x14ac:dyDescent="0.25">
      <c r="I2426" s="230"/>
      <c r="J2426" s="231"/>
    </row>
    <row r="2427" spans="9:10" x14ac:dyDescent="0.25">
      <c r="I2427" s="230"/>
      <c r="J2427" s="231"/>
    </row>
    <row r="2428" spans="9:10" x14ac:dyDescent="0.25">
      <c r="I2428" s="230"/>
      <c r="J2428" s="231"/>
    </row>
    <row r="2429" spans="9:10" x14ac:dyDescent="0.25">
      <c r="I2429" s="230"/>
      <c r="J2429" s="231"/>
    </row>
    <row r="2430" spans="9:10" x14ac:dyDescent="0.25">
      <c r="I2430" s="230"/>
      <c r="J2430" s="231"/>
    </row>
    <row r="2431" spans="9:10" x14ac:dyDescent="0.25">
      <c r="I2431" s="230"/>
      <c r="J2431" s="231"/>
    </row>
    <row r="2432" spans="9:10" x14ac:dyDescent="0.25">
      <c r="I2432" s="230"/>
      <c r="J2432" s="231"/>
    </row>
    <row r="2433" spans="9:10" x14ac:dyDescent="0.25">
      <c r="I2433" s="230"/>
      <c r="J2433" s="231"/>
    </row>
    <row r="2434" spans="9:10" x14ac:dyDescent="0.25">
      <c r="I2434" s="230"/>
      <c r="J2434" s="231"/>
    </row>
    <row r="2435" spans="9:10" x14ac:dyDescent="0.25">
      <c r="I2435" s="230"/>
      <c r="J2435" s="231"/>
    </row>
    <row r="2436" spans="9:10" x14ac:dyDescent="0.25">
      <c r="I2436" s="230"/>
      <c r="J2436" s="231"/>
    </row>
    <row r="2437" spans="9:10" x14ac:dyDescent="0.25">
      <c r="I2437" s="230"/>
      <c r="J2437" s="231"/>
    </row>
    <row r="2438" spans="9:10" x14ac:dyDescent="0.25">
      <c r="I2438" s="230"/>
      <c r="J2438" s="231"/>
    </row>
    <row r="2439" spans="9:10" x14ac:dyDescent="0.25">
      <c r="I2439" s="230"/>
      <c r="J2439" s="231"/>
    </row>
    <row r="2440" spans="9:10" x14ac:dyDescent="0.25">
      <c r="I2440" s="230"/>
      <c r="J2440" s="231"/>
    </row>
    <row r="2441" spans="9:10" x14ac:dyDescent="0.25">
      <c r="I2441" s="230"/>
      <c r="J2441" s="231"/>
    </row>
    <row r="2442" spans="9:10" x14ac:dyDescent="0.25">
      <c r="I2442" s="230"/>
      <c r="J2442" s="231"/>
    </row>
    <row r="2443" spans="9:10" x14ac:dyDescent="0.25">
      <c r="I2443" s="230"/>
      <c r="J2443" s="231"/>
    </row>
    <row r="2444" spans="9:10" x14ac:dyDescent="0.25">
      <c r="I2444" s="230"/>
      <c r="J2444" s="231"/>
    </row>
    <row r="2445" spans="9:10" x14ac:dyDescent="0.25">
      <c r="I2445" s="230"/>
      <c r="J2445" s="231"/>
    </row>
    <row r="2446" spans="9:10" x14ac:dyDescent="0.25">
      <c r="I2446" s="230"/>
      <c r="J2446" s="231"/>
    </row>
    <row r="2447" spans="9:10" x14ac:dyDescent="0.25">
      <c r="I2447" s="230"/>
      <c r="J2447" s="231"/>
    </row>
    <row r="2448" spans="9:10" x14ac:dyDescent="0.25">
      <c r="I2448" s="230"/>
      <c r="J2448" s="231"/>
    </row>
    <row r="2449" spans="9:10" x14ac:dyDescent="0.25">
      <c r="I2449" s="230"/>
      <c r="J2449" s="231"/>
    </row>
    <row r="2450" spans="9:10" x14ac:dyDescent="0.25">
      <c r="I2450" s="230"/>
      <c r="J2450" s="231"/>
    </row>
    <row r="2451" spans="9:10" x14ac:dyDescent="0.25">
      <c r="I2451" s="230"/>
      <c r="J2451" s="231"/>
    </row>
    <row r="2452" spans="9:10" x14ac:dyDescent="0.25">
      <c r="I2452" s="230"/>
      <c r="J2452" s="231"/>
    </row>
    <row r="2453" spans="9:10" x14ac:dyDescent="0.25">
      <c r="I2453" s="230"/>
      <c r="J2453" s="231"/>
    </row>
    <row r="2454" spans="9:10" x14ac:dyDescent="0.25">
      <c r="I2454" s="230"/>
      <c r="J2454" s="231"/>
    </row>
    <row r="2455" spans="9:10" x14ac:dyDescent="0.25">
      <c r="I2455" s="230"/>
      <c r="J2455" s="231"/>
    </row>
    <row r="2456" spans="9:10" x14ac:dyDescent="0.25">
      <c r="I2456" s="230"/>
      <c r="J2456" s="231"/>
    </row>
    <row r="2457" spans="9:10" x14ac:dyDescent="0.25">
      <c r="I2457" s="230"/>
      <c r="J2457" s="231"/>
    </row>
    <row r="2458" spans="9:10" x14ac:dyDescent="0.25">
      <c r="I2458" s="230"/>
      <c r="J2458" s="231"/>
    </row>
    <row r="2459" spans="9:10" x14ac:dyDescent="0.25">
      <c r="I2459" s="230"/>
      <c r="J2459" s="231"/>
    </row>
    <row r="2460" spans="9:10" x14ac:dyDescent="0.25">
      <c r="I2460" s="230"/>
      <c r="J2460" s="231"/>
    </row>
    <row r="2461" spans="9:10" x14ac:dyDescent="0.25">
      <c r="I2461" s="230"/>
      <c r="J2461" s="231"/>
    </row>
    <row r="2462" spans="9:10" x14ac:dyDescent="0.25">
      <c r="I2462" s="230"/>
      <c r="J2462" s="231"/>
    </row>
    <row r="2463" spans="9:10" x14ac:dyDescent="0.25">
      <c r="I2463" s="230"/>
      <c r="J2463" s="231"/>
    </row>
    <row r="2464" spans="9:10" x14ac:dyDescent="0.25">
      <c r="I2464" s="230"/>
      <c r="J2464" s="231"/>
    </row>
    <row r="2465" spans="9:10" x14ac:dyDescent="0.25">
      <c r="I2465" s="230"/>
      <c r="J2465" s="231"/>
    </row>
    <row r="2466" spans="9:10" x14ac:dyDescent="0.25">
      <c r="I2466" s="230"/>
      <c r="J2466" s="231"/>
    </row>
    <row r="2467" spans="9:10" x14ac:dyDescent="0.25">
      <c r="I2467" s="230"/>
      <c r="J2467" s="231"/>
    </row>
    <row r="2468" spans="9:10" x14ac:dyDescent="0.25">
      <c r="I2468" s="230"/>
      <c r="J2468" s="231"/>
    </row>
    <row r="2469" spans="9:10" x14ac:dyDescent="0.25">
      <c r="I2469" s="230"/>
      <c r="J2469" s="231"/>
    </row>
    <row r="2470" spans="9:10" x14ac:dyDescent="0.25">
      <c r="I2470" s="230"/>
      <c r="J2470" s="231"/>
    </row>
    <row r="2471" spans="9:10" x14ac:dyDescent="0.25">
      <c r="I2471" s="230"/>
      <c r="J2471" s="231"/>
    </row>
    <row r="2472" spans="9:10" x14ac:dyDescent="0.25">
      <c r="I2472" s="230"/>
      <c r="J2472" s="231"/>
    </row>
    <row r="2473" spans="9:10" x14ac:dyDescent="0.25">
      <c r="I2473" s="230"/>
      <c r="J2473" s="231"/>
    </row>
    <row r="2474" spans="9:10" x14ac:dyDescent="0.25">
      <c r="I2474" s="230"/>
      <c r="J2474" s="231"/>
    </row>
    <row r="2475" spans="9:10" x14ac:dyDescent="0.25">
      <c r="I2475" s="230"/>
      <c r="J2475" s="231"/>
    </row>
    <row r="2476" spans="9:10" x14ac:dyDescent="0.25">
      <c r="I2476" s="230"/>
      <c r="J2476" s="231"/>
    </row>
    <row r="2477" spans="9:10" x14ac:dyDescent="0.25">
      <c r="I2477" s="230"/>
      <c r="J2477" s="231"/>
    </row>
    <row r="2478" spans="9:10" x14ac:dyDescent="0.25">
      <c r="I2478" s="230"/>
      <c r="J2478" s="231"/>
    </row>
    <row r="2479" spans="9:10" x14ac:dyDescent="0.25">
      <c r="I2479" s="230"/>
      <c r="J2479" s="231"/>
    </row>
    <row r="2480" spans="9:10" x14ac:dyDescent="0.25">
      <c r="I2480" s="230"/>
      <c r="J2480" s="231"/>
    </row>
    <row r="2481" spans="9:10" x14ac:dyDescent="0.25">
      <c r="I2481" s="230"/>
      <c r="J2481" s="231"/>
    </row>
    <row r="2482" spans="9:10" x14ac:dyDescent="0.25">
      <c r="I2482" s="230"/>
      <c r="J2482" s="231"/>
    </row>
    <row r="2483" spans="9:10" x14ac:dyDescent="0.25">
      <c r="I2483" s="230"/>
      <c r="J2483" s="231"/>
    </row>
    <row r="2484" spans="9:10" x14ac:dyDescent="0.25">
      <c r="I2484" s="230"/>
      <c r="J2484" s="231"/>
    </row>
    <row r="2485" spans="9:10" x14ac:dyDescent="0.25">
      <c r="I2485" s="230"/>
      <c r="J2485" s="231"/>
    </row>
    <row r="2486" spans="9:10" x14ac:dyDescent="0.25">
      <c r="I2486" s="230"/>
      <c r="J2486" s="231"/>
    </row>
    <row r="2487" spans="9:10" x14ac:dyDescent="0.25">
      <c r="I2487" s="230"/>
      <c r="J2487" s="231"/>
    </row>
    <row r="2488" spans="9:10" x14ac:dyDescent="0.25">
      <c r="I2488" s="230"/>
      <c r="J2488" s="231"/>
    </row>
    <row r="2489" spans="9:10" x14ac:dyDescent="0.25">
      <c r="I2489" s="230"/>
      <c r="J2489" s="231"/>
    </row>
    <row r="2490" spans="9:10" x14ac:dyDescent="0.25">
      <c r="I2490" s="230"/>
      <c r="J2490" s="231"/>
    </row>
    <row r="2491" spans="9:10" x14ac:dyDescent="0.25">
      <c r="I2491" s="230"/>
      <c r="J2491" s="231"/>
    </row>
    <row r="2492" spans="9:10" x14ac:dyDescent="0.25">
      <c r="I2492" s="230"/>
      <c r="J2492" s="231"/>
    </row>
    <row r="2493" spans="9:10" x14ac:dyDescent="0.25">
      <c r="I2493" s="230"/>
      <c r="J2493" s="231"/>
    </row>
    <row r="2494" spans="9:10" x14ac:dyDescent="0.25">
      <c r="I2494" s="230"/>
      <c r="J2494" s="231"/>
    </row>
    <row r="2495" spans="9:10" x14ac:dyDescent="0.25">
      <c r="I2495" s="230"/>
      <c r="J2495" s="231"/>
    </row>
    <row r="2496" spans="9:10" x14ac:dyDescent="0.25">
      <c r="I2496" s="230"/>
      <c r="J2496" s="231"/>
    </row>
    <row r="2497" spans="9:10" x14ac:dyDescent="0.25">
      <c r="I2497" s="230"/>
      <c r="J2497" s="231"/>
    </row>
    <row r="2498" spans="9:10" x14ac:dyDescent="0.25">
      <c r="I2498" s="230"/>
      <c r="J2498" s="231"/>
    </row>
    <row r="2499" spans="9:10" x14ac:dyDescent="0.25">
      <c r="I2499" s="230"/>
      <c r="J2499" s="231"/>
    </row>
    <row r="2500" spans="9:10" x14ac:dyDescent="0.25">
      <c r="I2500" s="230"/>
      <c r="J2500" s="231"/>
    </row>
    <row r="2501" spans="9:10" x14ac:dyDescent="0.25">
      <c r="I2501" s="230"/>
      <c r="J2501" s="231"/>
    </row>
    <row r="2502" spans="9:10" x14ac:dyDescent="0.25">
      <c r="I2502" s="230"/>
      <c r="J2502" s="231"/>
    </row>
    <row r="2503" spans="9:10" x14ac:dyDescent="0.25">
      <c r="I2503" s="230"/>
      <c r="J2503" s="231"/>
    </row>
    <row r="2504" spans="9:10" x14ac:dyDescent="0.25">
      <c r="I2504" s="230"/>
      <c r="J2504" s="231"/>
    </row>
    <row r="2505" spans="9:10" x14ac:dyDescent="0.25">
      <c r="I2505" s="230"/>
      <c r="J2505" s="231"/>
    </row>
    <row r="2506" spans="9:10" x14ac:dyDescent="0.25">
      <c r="I2506" s="230"/>
      <c r="J2506" s="231"/>
    </row>
    <row r="2507" spans="9:10" x14ac:dyDescent="0.25">
      <c r="I2507" s="230"/>
      <c r="J2507" s="231"/>
    </row>
    <row r="2508" spans="9:10" x14ac:dyDescent="0.25">
      <c r="I2508" s="230"/>
      <c r="J2508" s="231"/>
    </row>
    <row r="2509" spans="9:10" x14ac:dyDescent="0.25">
      <c r="I2509" s="230"/>
      <c r="J2509" s="231"/>
    </row>
    <row r="2510" spans="9:10" x14ac:dyDescent="0.25">
      <c r="I2510" s="230"/>
      <c r="J2510" s="231"/>
    </row>
    <row r="2511" spans="9:10" x14ac:dyDescent="0.25">
      <c r="I2511" s="230"/>
      <c r="J2511" s="231"/>
    </row>
    <row r="2512" spans="9:10" x14ac:dyDescent="0.25">
      <c r="I2512" s="230"/>
      <c r="J2512" s="231"/>
    </row>
    <row r="2513" spans="9:10" x14ac:dyDescent="0.25">
      <c r="I2513" s="230"/>
      <c r="J2513" s="231"/>
    </row>
    <row r="2514" spans="9:10" x14ac:dyDescent="0.25">
      <c r="I2514" s="230"/>
      <c r="J2514" s="231"/>
    </row>
    <row r="2515" spans="9:10" x14ac:dyDescent="0.25">
      <c r="I2515" s="230"/>
      <c r="J2515" s="231"/>
    </row>
    <row r="2516" spans="9:10" x14ac:dyDescent="0.25">
      <c r="I2516" s="230"/>
      <c r="J2516" s="231"/>
    </row>
    <row r="2517" spans="9:10" x14ac:dyDescent="0.25">
      <c r="I2517" s="230"/>
      <c r="J2517" s="231"/>
    </row>
    <row r="2518" spans="9:10" x14ac:dyDescent="0.25">
      <c r="I2518" s="230"/>
      <c r="J2518" s="231"/>
    </row>
    <row r="2519" spans="9:10" x14ac:dyDescent="0.25">
      <c r="I2519" s="230"/>
      <c r="J2519" s="231"/>
    </row>
    <row r="2520" spans="9:10" x14ac:dyDescent="0.25">
      <c r="I2520" s="230"/>
      <c r="J2520" s="231"/>
    </row>
    <row r="2521" spans="9:10" x14ac:dyDescent="0.25">
      <c r="I2521" s="230"/>
      <c r="J2521" s="231"/>
    </row>
    <row r="2522" spans="9:10" x14ac:dyDescent="0.25">
      <c r="I2522" s="230"/>
      <c r="J2522" s="231"/>
    </row>
    <row r="2523" spans="9:10" x14ac:dyDescent="0.25">
      <c r="I2523" s="230"/>
      <c r="J2523" s="231"/>
    </row>
    <row r="2524" spans="9:10" x14ac:dyDescent="0.25">
      <c r="I2524" s="230"/>
      <c r="J2524" s="231"/>
    </row>
    <row r="2525" spans="9:10" x14ac:dyDescent="0.25">
      <c r="I2525" s="230"/>
      <c r="J2525" s="231"/>
    </row>
    <row r="2526" spans="9:10" x14ac:dyDescent="0.25">
      <c r="I2526" s="230"/>
      <c r="J2526" s="231"/>
    </row>
    <row r="2527" spans="9:10" x14ac:dyDescent="0.25">
      <c r="I2527" s="230"/>
      <c r="J2527" s="231"/>
    </row>
    <row r="2528" spans="9:10" x14ac:dyDescent="0.25">
      <c r="I2528" s="230"/>
      <c r="J2528" s="231"/>
    </row>
    <row r="2529" spans="9:10" x14ac:dyDescent="0.25">
      <c r="I2529" s="230"/>
      <c r="J2529" s="231"/>
    </row>
    <row r="2530" spans="9:10" x14ac:dyDescent="0.25">
      <c r="I2530" s="230"/>
      <c r="J2530" s="231"/>
    </row>
    <row r="2531" spans="9:10" x14ac:dyDescent="0.25">
      <c r="I2531" s="230"/>
      <c r="J2531" s="231"/>
    </row>
    <row r="2532" spans="9:10" x14ac:dyDescent="0.25">
      <c r="I2532" s="230"/>
      <c r="J2532" s="231"/>
    </row>
    <row r="2533" spans="9:10" x14ac:dyDescent="0.25">
      <c r="I2533" s="230"/>
      <c r="J2533" s="231"/>
    </row>
    <row r="2534" spans="9:10" x14ac:dyDescent="0.25">
      <c r="I2534" s="230"/>
      <c r="J2534" s="231"/>
    </row>
    <row r="2535" spans="9:10" x14ac:dyDescent="0.25">
      <c r="I2535" s="230"/>
      <c r="J2535" s="231"/>
    </row>
    <row r="2536" spans="9:10" x14ac:dyDescent="0.25">
      <c r="I2536" s="230"/>
      <c r="J2536" s="231"/>
    </row>
    <row r="2537" spans="9:10" x14ac:dyDescent="0.25">
      <c r="I2537" s="230"/>
      <c r="J2537" s="231"/>
    </row>
    <row r="2538" spans="9:10" x14ac:dyDescent="0.25">
      <c r="I2538" s="230"/>
      <c r="J2538" s="231"/>
    </row>
    <row r="2539" spans="9:10" x14ac:dyDescent="0.25">
      <c r="I2539" s="230"/>
      <c r="J2539" s="231"/>
    </row>
    <row r="2540" spans="9:10" x14ac:dyDescent="0.25">
      <c r="I2540" s="230"/>
      <c r="J2540" s="231"/>
    </row>
    <row r="2541" spans="9:10" x14ac:dyDescent="0.25">
      <c r="I2541" s="230"/>
      <c r="J2541" s="231"/>
    </row>
    <row r="2542" spans="9:10" x14ac:dyDescent="0.25">
      <c r="I2542" s="230"/>
      <c r="J2542" s="231"/>
    </row>
    <row r="2543" spans="9:10" x14ac:dyDescent="0.25">
      <c r="I2543" s="230"/>
      <c r="J2543" s="231"/>
    </row>
    <row r="2544" spans="9:10" x14ac:dyDescent="0.25">
      <c r="I2544" s="230"/>
      <c r="J2544" s="231"/>
    </row>
    <row r="2545" spans="9:10" x14ac:dyDescent="0.25">
      <c r="I2545" s="230"/>
      <c r="J2545" s="231"/>
    </row>
    <row r="2546" spans="9:10" x14ac:dyDescent="0.25">
      <c r="I2546" s="230"/>
      <c r="J2546" s="231"/>
    </row>
    <row r="2547" spans="9:10" x14ac:dyDescent="0.25">
      <c r="I2547" s="230"/>
      <c r="J2547" s="231"/>
    </row>
    <row r="2548" spans="9:10" x14ac:dyDescent="0.25">
      <c r="I2548" s="230"/>
      <c r="J2548" s="231"/>
    </row>
    <row r="2549" spans="9:10" x14ac:dyDescent="0.25">
      <c r="I2549" s="230"/>
      <c r="J2549" s="231"/>
    </row>
    <row r="2550" spans="9:10" x14ac:dyDescent="0.25">
      <c r="I2550" s="230"/>
      <c r="J2550" s="231"/>
    </row>
    <row r="2551" spans="9:10" x14ac:dyDescent="0.25">
      <c r="I2551" s="230"/>
      <c r="J2551" s="231"/>
    </row>
    <row r="2552" spans="9:10" x14ac:dyDescent="0.25">
      <c r="I2552" s="230"/>
      <c r="J2552" s="231"/>
    </row>
    <row r="2553" spans="9:10" x14ac:dyDescent="0.25">
      <c r="I2553" s="230"/>
      <c r="J2553" s="231"/>
    </row>
    <row r="2554" spans="9:10" x14ac:dyDescent="0.25">
      <c r="I2554" s="230"/>
      <c r="J2554" s="231"/>
    </row>
    <row r="2555" spans="9:10" x14ac:dyDescent="0.25">
      <c r="I2555" s="230"/>
      <c r="J2555" s="231"/>
    </row>
    <row r="2556" spans="9:10" x14ac:dyDescent="0.25">
      <c r="I2556" s="230"/>
      <c r="J2556" s="231"/>
    </row>
    <row r="2557" spans="9:10" x14ac:dyDescent="0.25">
      <c r="I2557" s="230"/>
      <c r="J2557" s="231"/>
    </row>
    <row r="2558" spans="9:10" x14ac:dyDescent="0.25">
      <c r="I2558" s="230"/>
      <c r="J2558" s="231"/>
    </row>
    <row r="2559" spans="9:10" x14ac:dyDescent="0.25">
      <c r="I2559" s="230"/>
      <c r="J2559" s="231"/>
    </row>
    <row r="2560" spans="9:10" x14ac:dyDescent="0.25">
      <c r="I2560" s="230"/>
      <c r="J2560" s="231"/>
    </row>
    <row r="2561" spans="9:10" x14ac:dyDescent="0.25">
      <c r="I2561" s="230"/>
      <c r="J2561" s="231"/>
    </row>
    <row r="2562" spans="9:10" x14ac:dyDescent="0.25">
      <c r="I2562" s="230"/>
      <c r="J2562" s="231"/>
    </row>
    <row r="2563" spans="9:10" x14ac:dyDescent="0.25">
      <c r="I2563" s="230"/>
      <c r="J2563" s="231"/>
    </row>
    <row r="2564" spans="9:10" x14ac:dyDescent="0.25">
      <c r="I2564" s="230"/>
      <c r="J2564" s="231"/>
    </row>
    <row r="2565" spans="9:10" x14ac:dyDescent="0.25">
      <c r="I2565" s="230"/>
      <c r="J2565" s="231"/>
    </row>
    <row r="2566" spans="9:10" x14ac:dyDescent="0.25">
      <c r="I2566" s="230"/>
      <c r="J2566" s="231"/>
    </row>
    <row r="2567" spans="9:10" x14ac:dyDescent="0.25">
      <c r="I2567" s="230"/>
      <c r="J2567" s="231"/>
    </row>
    <row r="2568" spans="9:10" x14ac:dyDescent="0.25">
      <c r="I2568" s="230"/>
      <c r="J2568" s="231"/>
    </row>
    <row r="2569" spans="9:10" x14ac:dyDescent="0.25">
      <c r="I2569" s="230"/>
      <c r="J2569" s="231"/>
    </row>
    <row r="2570" spans="9:10" x14ac:dyDescent="0.25">
      <c r="I2570" s="230"/>
      <c r="J2570" s="231"/>
    </row>
    <row r="2571" spans="9:10" x14ac:dyDescent="0.25">
      <c r="I2571" s="230"/>
      <c r="J2571" s="231"/>
    </row>
    <row r="2572" spans="9:10" x14ac:dyDescent="0.25">
      <c r="I2572" s="230"/>
      <c r="J2572" s="231"/>
    </row>
    <row r="2573" spans="9:10" x14ac:dyDescent="0.25">
      <c r="I2573" s="230"/>
      <c r="J2573" s="231"/>
    </row>
    <row r="2574" spans="9:10" x14ac:dyDescent="0.25">
      <c r="I2574" s="230"/>
      <c r="J2574" s="231"/>
    </row>
    <row r="2575" spans="9:10" x14ac:dyDescent="0.25">
      <c r="I2575" s="230"/>
      <c r="J2575" s="231"/>
    </row>
    <row r="2576" spans="9:10" x14ac:dyDescent="0.25">
      <c r="I2576" s="230"/>
      <c r="J2576" s="231"/>
    </row>
    <row r="2577" spans="9:10" x14ac:dyDescent="0.25">
      <c r="I2577" s="230"/>
      <c r="J2577" s="231"/>
    </row>
    <row r="2578" spans="9:10" x14ac:dyDescent="0.25">
      <c r="I2578" s="230"/>
      <c r="J2578" s="231"/>
    </row>
    <row r="2579" spans="9:10" x14ac:dyDescent="0.25">
      <c r="I2579" s="230"/>
      <c r="J2579" s="231"/>
    </row>
    <row r="2580" spans="9:10" x14ac:dyDescent="0.25">
      <c r="I2580" s="230"/>
      <c r="J2580" s="231"/>
    </row>
    <row r="2581" spans="9:10" x14ac:dyDescent="0.25">
      <c r="I2581" s="230"/>
      <c r="J2581" s="231"/>
    </row>
    <row r="2582" spans="9:10" x14ac:dyDescent="0.25">
      <c r="I2582" s="230"/>
      <c r="J2582" s="231"/>
    </row>
    <row r="2583" spans="9:10" x14ac:dyDescent="0.25">
      <c r="I2583" s="230"/>
      <c r="J2583" s="231"/>
    </row>
    <row r="2584" spans="9:10" x14ac:dyDescent="0.25">
      <c r="I2584" s="230"/>
      <c r="J2584" s="231"/>
    </row>
    <row r="2585" spans="9:10" x14ac:dyDescent="0.25">
      <c r="I2585" s="230"/>
      <c r="J2585" s="231"/>
    </row>
    <row r="2586" spans="9:10" x14ac:dyDescent="0.25">
      <c r="I2586" s="230"/>
      <c r="J2586" s="231"/>
    </row>
    <row r="2587" spans="9:10" x14ac:dyDescent="0.25">
      <c r="I2587" s="230"/>
      <c r="J2587" s="231"/>
    </row>
    <row r="2588" spans="9:10" x14ac:dyDescent="0.25">
      <c r="I2588" s="230"/>
      <c r="J2588" s="231"/>
    </row>
    <row r="2589" spans="9:10" x14ac:dyDescent="0.25">
      <c r="I2589" s="230"/>
      <c r="J2589" s="231"/>
    </row>
    <row r="2590" spans="9:10" x14ac:dyDescent="0.25">
      <c r="I2590" s="230"/>
      <c r="J2590" s="231"/>
    </row>
    <row r="2591" spans="9:10" x14ac:dyDescent="0.25">
      <c r="I2591" s="230"/>
      <c r="J2591" s="231"/>
    </row>
    <row r="2592" spans="9:10" x14ac:dyDescent="0.25">
      <c r="I2592" s="230"/>
      <c r="J2592" s="231"/>
    </row>
    <row r="2593" spans="9:10" x14ac:dyDescent="0.25">
      <c r="I2593" s="230"/>
      <c r="J2593" s="231"/>
    </row>
    <row r="2594" spans="9:10" x14ac:dyDescent="0.25">
      <c r="I2594" s="230"/>
      <c r="J2594" s="231"/>
    </row>
    <row r="2595" spans="9:10" x14ac:dyDescent="0.25">
      <c r="I2595" s="230"/>
      <c r="J2595" s="231"/>
    </row>
    <row r="2596" spans="9:10" x14ac:dyDescent="0.25">
      <c r="I2596" s="230"/>
      <c r="J2596" s="231"/>
    </row>
    <row r="2597" spans="9:10" x14ac:dyDescent="0.25">
      <c r="I2597" s="230"/>
      <c r="J2597" s="231"/>
    </row>
    <row r="2598" spans="9:10" x14ac:dyDescent="0.25">
      <c r="I2598" s="230"/>
      <c r="J2598" s="231"/>
    </row>
    <row r="2599" spans="9:10" x14ac:dyDescent="0.25">
      <c r="I2599" s="230"/>
      <c r="J2599" s="231"/>
    </row>
    <row r="2600" spans="9:10" x14ac:dyDescent="0.25">
      <c r="I2600" s="230"/>
      <c r="J2600" s="231"/>
    </row>
    <row r="2601" spans="9:10" x14ac:dyDescent="0.25">
      <c r="I2601" s="230"/>
      <c r="J2601" s="231"/>
    </row>
    <row r="2602" spans="9:10" x14ac:dyDescent="0.25">
      <c r="I2602" s="230"/>
      <c r="J2602" s="231"/>
    </row>
    <row r="2603" spans="9:10" x14ac:dyDescent="0.25">
      <c r="I2603" s="230"/>
      <c r="J2603" s="231"/>
    </row>
    <row r="2604" spans="9:10" x14ac:dyDescent="0.25">
      <c r="I2604" s="230"/>
      <c r="J2604" s="231"/>
    </row>
    <row r="2605" spans="9:10" x14ac:dyDescent="0.25">
      <c r="I2605" s="230"/>
      <c r="J2605" s="231"/>
    </row>
    <row r="2606" spans="9:10" x14ac:dyDescent="0.25">
      <c r="I2606" s="230"/>
      <c r="J2606" s="231"/>
    </row>
    <row r="2607" spans="9:10" x14ac:dyDescent="0.25">
      <c r="I2607" s="230"/>
      <c r="J2607" s="231"/>
    </row>
    <row r="2608" spans="9:10" x14ac:dyDescent="0.25">
      <c r="I2608" s="230"/>
      <c r="J2608" s="231"/>
    </row>
    <row r="2609" spans="9:10" x14ac:dyDescent="0.25">
      <c r="I2609" s="230"/>
      <c r="J2609" s="231"/>
    </row>
    <row r="2610" spans="9:10" x14ac:dyDescent="0.25">
      <c r="I2610" s="230"/>
      <c r="J2610" s="231"/>
    </row>
    <row r="2611" spans="9:10" x14ac:dyDescent="0.25">
      <c r="I2611" s="230"/>
      <c r="J2611" s="231"/>
    </row>
    <row r="2612" spans="9:10" x14ac:dyDescent="0.25">
      <c r="I2612" s="230"/>
      <c r="J2612" s="231"/>
    </row>
    <row r="2613" spans="9:10" x14ac:dyDescent="0.25">
      <c r="I2613" s="230"/>
      <c r="J2613" s="231"/>
    </row>
    <row r="2614" spans="9:10" x14ac:dyDescent="0.25">
      <c r="I2614" s="230"/>
      <c r="J2614" s="231"/>
    </row>
    <row r="2615" spans="9:10" x14ac:dyDescent="0.25">
      <c r="I2615" s="230"/>
      <c r="J2615" s="231"/>
    </row>
    <row r="2616" spans="9:10" x14ac:dyDescent="0.25">
      <c r="I2616" s="230"/>
      <c r="J2616" s="231"/>
    </row>
    <row r="2617" spans="9:10" x14ac:dyDescent="0.25">
      <c r="I2617" s="230"/>
      <c r="J2617" s="231"/>
    </row>
    <row r="2618" spans="9:10" x14ac:dyDescent="0.25">
      <c r="I2618" s="230"/>
      <c r="J2618" s="231"/>
    </row>
    <row r="2619" spans="9:10" x14ac:dyDescent="0.25">
      <c r="I2619" s="230"/>
      <c r="J2619" s="231"/>
    </row>
    <row r="2620" spans="9:10" x14ac:dyDescent="0.25">
      <c r="I2620" s="230"/>
      <c r="J2620" s="231"/>
    </row>
    <row r="2621" spans="9:10" x14ac:dyDescent="0.25">
      <c r="I2621" s="230"/>
      <c r="J2621" s="231"/>
    </row>
    <row r="2622" spans="9:10" x14ac:dyDescent="0.25">
      <c r="I2622" s="230"/>
      <c r="J2622" s="231"/>
    </row>
    <row r="2623" spans="9:10" x14ac:dyDescent="0.25">
      <c r="I2623" s="230"/>
      <c r="J2623" s="231"/>
    </row>
    <row r="2624" spans="9:10" x14ac:dyDescent="0.25">
      <c r="I2624" s="230"/>
      <c r="J2624" s="231"/>
    </row>
    <row r="2625" spans="9:10" x14ac:dyDescent="0.25">
      <c r="I2625" s="230"/>
      <c r="J2625" s="231"/>
    </row>
    <row r="2626" spans="9:10" x14ac:dyDescent="0.25">
      <c r="I2626" s="230"/>
      <c r="J2626" s="231"/>
    </row>
    <row r="2627" spans="9:10" x14ac:dyDescent="0.25">
      <c r="I2627" s="230"/>
      <c r="J2627" s="231"/>
    </row>
    <row r="2628" spans="9:10" x14ac:dyDescent="0.25">
      <c r="I2628" s="230"/>
      <c r="J2628" s="231"/>
    </row>
    <row r="2629" spans="9:10" x14ac:dyDescent="0.25">
      <c r="I2629" s="230"/>
      <c r="J2629" s="231"/>
    </row>
    <row r="2630" spans="9:10" x14ac:dyDescent="0.25">
      <c r="I2630" s="230"/>
      <c r="J2630" s="231"/>
    </row>
    <row r="2631" spans="9:10" x14ac:dyDescent="0.25">
      <c r="I2631" s="230"/>
      <c r="J2631" s="231"/>
    </row>
    <row r="2632" spans="9:10" x14ac:dyDescent="0.25">
      <c r="I2632" s="230"/>
      <c r="J2632" s="231"/>
    </row>
    <row r="2633" spans="9:10" x14ac:dyDescent="0.25">
      <c r="I2633" s="230"/>
      <c r="J2633" s="231"/>
    </row>
    <row r="2634" spans="9:10" x14ac:dyDescent="0.25">
      <c r="I2634" s="230"/>
      <c r="J2634" s="231"/>
    </row>
    <row r="2635" spans="9:10" x14ac:dyDescent="0.25">
      <c r="I2635" s="230"/>
      <c r="J2635" s="231"/>
    </row>
    <row r="2636" spans="9:10" x14ac:dyDescent="0.25">
      <c r="I2636" s="230"/>
      <c r="J2636" s="231"/>
    </row>
    <row r="2637" spans="9:10" x14ac:dyDescent="0.25">
      <c r="I2637" s="230"/>
      <c r="J2637" s="231"/>
    </row>
    <row r="2638" spans="9:10" x14ac:dyDescent="0.25">
      <c r="I2638" s="230"/>
      <c r="J2638" s="231"/>
    </row>
    <row r="2639" spans="9:10" x14ac:dyDescent="0.25">
      <c r="I2639" s="230"/>
      <c r="J2639" s="231"/>
    </row>
    <row r="2640" spans="9:10" x14ac:dyDescent="0.25">
      <c r="I2640" s="230"/>
      <c r="J2640" s="231"/>
    </row>
    <row r="2641" spans="9:10" x14ac:dyDescent="0.25">
      <c r="I2641" s="230"/>
      <c r="J2641" s="231"/>
    </row>
    <row r="2642" spans="9:10" x14ac:dyDescent="0.25">
      <c r="I2642" s="230"/>
      <c r="J2642" s="231"/>
    </row>
    <row r="2643" spans="9:10" x14ac:dyDescent="0.25">
      <c r="I2643" s="230"/>
      <c r="J2643" s="231"/>
    </row>
    <row r="2644" spans="9:10" x14ac:dyDescent="0.25">
      <c r="I2644" s="230"/>
      <c r="J2644" s="231"/>
    </row>
    <row r="2645" spans="9:10" x14ac:dyDescent="0.25">
      <c r="I2645" s="230"/>
      <c r="J2645" s="231"/>
    </row>
    <row r="2646" spans="9:10" x14ac:dyDescent="0.25">
      <c r="I2646" s="230"/>
      <c r="J2646" s="231"/>
    </row>
    <row r="2647" spans="9:10" x14ac:dyDescent="0.25">
      <c r="I2647" s="230"/>
      <c r="J2647" s="231"/>
    </row>
    <row r="2648" spans="9:10" x14ac:dyDescent="0.25">
      <c r="I2648" s="230"/>
      <c r="J2648" s="231"/>
    </row>
    <row r="2649" spans="9:10" x14ac:dyDescent="0.25">
      <c r="I2649" s="230"/>
      <c r="J2649" s="231"/>
    </row>
    <row r="2650" spans="9:10" x14ac:dyDescent="0.25">
      <c r="I2650" s="230"/>
      <c r="J2650" s="231"/>
    </row>
    <row r="2651" spans="9:10" x14ac:dyDescent="0.25">
      <c r="I2651" s="230"/>
      <c r="J2651" s="231"/>
    </row>
    <row r="2652" spans="9:10" x14ac:dyDescent="0.25">
      <c r="I2652" s="230"/>
      <c r="J2652" s="231"/>
    </row>
    <row r="2653" spans="9:10" x14ac:dyDescent="0.25">
      <c r="I2653" s="230"/>
      <c r="J2653" s="231"/>
    </row>
    <row r="2654" spans="9:10" x14ac:dyDescent="0.25">
      <c r="I2654" s="230"/>
      <c r="J2654" s="231"/>
    </row>
    <row r="2655" spans="9:10" x14ac:dyDescent="0.25">
      <c r="I2655" s="230"/>
      <c r="J2655" s="231"/>
    </row>
    <row r="2656" spans="9:10" x14ac:dyDescent="0.25">
      <c r="I2656" s="230"/>
      <c r="J2656" s="231"/>
    </row>
    <row r="2657" spans="9:10" x14ac:dyDescent="0.25">
      <c r="I2657" s="230"/>
      <c r="J2657" s="231"/>
    </row>
    <row r="2658" spans="9:10" x14ac:dyDescent="0.25">
      <c r="I2658" s="230"/>
      <c r="J2658" s="231"/>
    </row>
    <row r="2659" spans="9:10" x14ac:dyDescent="0.25">
      <c r="I2659" s="230"/>
      <c r="J2659" s="231"/>
    </row>
    <row r="2660" spans="9:10" x14ac:dyDescent="0.25">
      <c r="I2660" s="230"/>
      <c r="J2660" s="231"/>
    </row>
    <row r="2661" spans="9:10" x14ac:dyDescent="0.25">
      <c r="I2661" s="230"/>
      <c r="J2661" s="231"/>
    </row>
    <row r="2662" spans="9:10" x14ac:dyDescent="0.25">
      <c r="I2662" s="230"/>
      <c r="J2662" s="231"/>
    </row>
    <row r="2663" spans="9:10" x14ac:dyDescent="0.25">
      <c r="I2663" s="230"/>
      <c r="J2663" s="231"/>
    </row>
    <row r="2664" spans="9:10" x14ac:dyDescent="0.25">
      <c r="I2664" s="230"/>
      <c r="J2664" s="231"/>
    </row>
    <row r="2665" spans="9:10" x14ac:dyDescent="0.25">
      <c r="I2665" s="230"/>
      <c r="J2665" s="231"/>
    </row>
    <row r="2666" spans="9:10" x14ac:dyDescent="0.25">
      <c r="I2666" s="230"/>
      <c r="J2666" s="231"/>
    </row>
    <row r="2667" spans="9:10" x14ac:dyDescent="0.25">
      <c r="I2667" s="230"/>
      <c r="J2667" s="231"/>
    </row>
    <row r="2668" spans="9:10" x14ac:dyDescent="0.25">
      <c r="I2668" s="230"/>
      <c r="J2668" s="231"/>
    </row>
    <row r="2669" spans="9:10" x14ac:dyDescent="0.25">
      <c r="I2669" s="230"/>
      <c r="J2669" s="231"/>
    </row>
    <row r="2670" spans="9:10" x14ac:dyDescent="0.25">
      <c r="I2670" s="230"/>
      <c r="J2670" s="231"/>
    </row>
    <row r="2671" spans="9:10" x14ac:dyDescent="0.25">
      <c r="I2671" s="230"/>
      <c r="J2671" s="231"/>
    </row>
    <row r="2672" spans="9:10" x14ac:dyDescent="0.25">
      <c r="I2672" s="230"/>
      <c r="J2672" s="231"/>
    </row>
    <row r="2673" spans="9:10" x14ac:dyDescent="0.25">
      <c r="I2673" s="230"/>
      <c r="J2673" s="231"/>
    </row>
    <row r="2674" spans="9:10" x14ac:dyDescent="0.25">
      <c r="I2674" s="230"/>
      <c r="J2674" s="231"/>
    </row>
    <row r="2675" spans="9:10" x14ac:dyDescent="0.25">
      <c r="I2675" s="230"/>
      <c r="J2675" s="231"/>
    </row>
    <row r="2676" spans="9:10" x14ac:dyDescent="0.25">
      <c r="I2676" s="230"/>
      <c r="J2676" s="231"/>
    </row>
    <row r="2677" spans="9:10" x14ac:dyDescent="0.25">
      <c r="I2677" s="230"/>
      <c r="J2677" s="231"/>
    </row>
    <row r="2678" spans="9:10" x14ac:dyDescent="0.25">
      <c r="I2678" s="230"/>
      <c r="J2678" s="231"/>
    </row>
    <row r="2679" spans="9:10" x14ac:dyDescent="0.25">
      <c r="I2679" s="230"/>
      <c r="J2679" s="231"/>
    </row>
    <row r="2680" spans="9:10" x14ac:dyDescent="0.25">
      <c r="I2680" s="230"/>
      <c r="J2680" s="231"/>
    </row>
    <row r="2681" spans="9:10" x14ac:dyDescent="0.25">
      <c r="I2681" s="230"/>
      <c r="J2681" s="231"/>
    </row>
    <row r="2682" spans="9:10" x14ac:dyDescent="0.25">
      <c r="I2682" s="230"/>
      <c r="J2682" s="231"/>
    </row>
    <row r="2683" spans="9:10" x14ac:dyDescent="0.25">
      <c r="I2683" s="230"/>
      <c r="J2683" s="231"/>
    </row>
    <row r="2684" spans="9:10" x14ac:dyDescent="0.25">
      <c r="I2684" s="230"/>
      <c r="J2684" s="231"/>
    </row>
    <row r="2685" spans="9:10" x14ac:dyDescent="0.25">
      <c r="I2685" s="230"/>
      <c r="J2685" s="231"/>
    </row>
    <row r="2686" spans="9:10" x14ac:dyDescent="0.25">
      <c r="I2686" s="230"/>
      <c r="J2686" s="231"/>
    </row>
    <row r="2687" spans="9:10" x14ac:dyDescent="0.25">
      <c r="I2687" s="230"/>
      <c r="J2687" s="231"/>
    </row>
    <row r="2688" spans="9:10" x14ac:dyDescent="0.25">
      <c r="I2688" s="230"/>
      <c r="J2688" s="231"/>
    </row>
    <row r="2689" spans="9:10" x14ac:dyDescent="0.25">
      <c r="I2689" s="230"/>
      <c r="J2689" s="231"/>
    </row>
    <row r="2690" spans="9:10" x14ac:dyDescent="0.25">
      <c r="I2690" s="230"/>
      <c r="J2690" s="231"/>
    </row>
    <row r="2691" spans="9:10" x14ac:dyDescent="0.25">
      <c r="I2691" s="230"/>
      <c r="J2691" s="231"/>
    </row>
    <row r="2692" spans="9:10" x14ac:dyDescent="0.25">
      <c r="I2692" s="230"/>
      <c r="J2692" s="231"/>
    </row>
    <row r="2693" spans="9:10" x14ac:dyDescent="0.25">
      <c r="I2693" s="230"/>
      <c r="J2693" s="231"/>
    </row>
    <row r="2694" spans="9:10" x14ac:dyDescent="0.25">
      <c r="I2694" s="230"/>
      <c r="J2694" s="231"/>
    </row>
    <row r="2695" spans="9:10" x14ac:dyDescent="0.25">
      <c r="I2695" s="230"/>
      <c r="J2695" s="231"/>
    </row>
    <row r="2696" spans="9:10" x14ac:dyDescent="0.25">
      <c r="I2696" s="230"/>
      <c r="J2696" s="231"/>
    </row>
    <row r="2697" spans="9:10" x14ac:dyDescent="0.25">
      <c r="I2697" s="230"/>
      <c r="J2697" s="231"/>
    </row>
    <row r="2698" spans="9:10" x14ac:dyDescent="0.25">
      <c r="I2698" s="230"/>
      <c r="J2698" s="231"/>
    </row>
    <row r="2699" spans="9:10" x14ac:dyDescent="0.25">
      <c r="I2699" s="230"/>
      <c r="J2699" s="231"/>
    </row>
    <row r="2700" spans="9:10" x14ac:dyDescent="0.25">
      <c r="I2700" s="230"/>
      <c r="J2700" s="231"/>
    </row>
    <row r="2701" spans="9:10" x14ac:dyDescent="0.25">
      <c r="I2701" s="230"/>
      <c r="J2701" s="231"/>
    </row>
    <row r="2702" spans="9:10" x14ac:dyDescent="0.25">
      <c r="I2702" s="230"/>
      <c r="J2702" s="231"/>
    </row>
    <row r="2703" spans="9:10" x14ac:dyDescent="0.25">
      <c r="I2703" s="230"/>
      <c r="J2703" s="231"/>
    </row>
    <row r="2704" spans="9:10" x14ac:dyDescent="0.25">
      <c r="I2704" s="230"/>
      <c r="J2704" s="231"/>
    </row>
    <row r="2705" spans="9:10" x14ac:dyDescent="0.25">
      <c r="I2705" s="230"/>
      <c r="J2705" s="231"/>
    </row>
    <row r="2706" spans="9:10" x14ac:dyDescent="0.25">
      <c r="I2706" s="230"/>
      <c r="J2706" s="231"/>
    </row>
    <row r="2707" spans="9:10" x14ac:dyDescent="0.25">
      <c r="I2707" s="230"/>
      <c r="J2707" s="231"/>
    </row>
    <row r="2708" spans="9:10" x14ac:dyDescent="0.25">
      <c r="I2708" s="230"/>
      <c r="J2708" s="231"/>
    </row>
    <row r="2709" spans="9:10" x14ac:dyDescent="0.25">
      <c r="I2709" s="230"/>
      <c r="J2709" s="231"/>
    </row>
    <row r="2710" spans="9:10" x14ac:dyDescent="0.25">
      <c r="I2710" s="230"/>
      <c r="J2710" s="231"/>
    </row>
    <row r="2711" spans="9:10" x14ac:dyDescent="0.25">
      <c r="I2711" s="230"/>
      <c r="J2711" s="231"/>
    </row>
    <row r="2712" spans="9:10" x14ac:dyDescent="0.25">
      <c r="I2712" s="230"/>
      <c r="J2712" s="231"/>
    </row>
    <row r="2713" spans="9:10" x14ac:dyDescent="0.25">
      <c r="I2713" s="230"/>
      <c r="J2713" s="231"/>
    </row>
    <row r="2714" spans="9:10" x14ac:dyDescent="0.25">
      <c r="I2714" s="230"/>
      <c r="J2714" s="231"/>
    </row>
    <row r="2715" spans="9:10" x14ac:dyDescent="0.25">
      <c r="I2715" s="230"/>
      <c r="J2715" s="231"/>
    </row>
    <row r="2716" spans="9:10" x14ac:dyDescent="0.25">
      <c r="I2716" s="230"/>
      <c r="J2716" s="231"/>
    </row>
    <row r="2717" spans="9:10" x14ac:dyDescent="0.25">
      <c r="I2717" s="230"/>
      <c r="J2717" s="231"/>
    </row>
    <row r="2718" spans="9:10" x14ac:dyDescent="0.25">
      <c r="I2718" s="230"/>
      <c r="J2718" s="231"/>
    </row>
    <row r="2719" spans="9:10" x14ac:dyDescent="0.25">
      <c r="I2719" s="230"/>
      <c r="J2719" s="231"/>
    </row>
    <row r="2720" spans="9:10" x14ac:dyDescent="0.25">
      <c r="I2720" s="230"/>
      <c r="J2720" s="231"/>
    </row>
    <row r="2721" spans="9:10" x14ac:dyDescent="0.25">
      <c r="I2721" s="230"/>
      <c r="J2721" s="231"/>
    </row>
    <row r="2722" spans="9:10" x14ac:dyDescent="0.25">
      <c r="I2722" s="230"/>
      <c r="J2722" s="231"/>
    </row>
    <row r="2723" spans="9:10" x14ac:dyDescent="0.25">
      <c r="I2723" s="230"/>
      <c r="J2723" s="231"/>
    </row>
    <row r="2724" spans="9:10" x14ac:dyDescent="0.25">
      <c r="I2724" s="230"/>
      <c r="J2724" s="231"/>
    </row>
    <row r="2725" spans="9:10" x14ac:dyDescent="0.25">
      <c r="I2725" s="230"/>
      <c r="J2725" s="231"/>
    </row>
    <row r="2726" spans="9:10" x14ac:dyDescent="0.25">
      <c r="I2726" s="230"/>
      <c r="J2726" s="231"/>
    </row>
    <row r="2727" spans="9:10" x14ac:dyDescent="0.25">
      <c r="I2727" s="230"/>
      <c r="J2727" s="231"/>
    </row>
    <row r="2728" spans="9:10" x14ac:dyDescent="0.25">
      <c r="I2728" s="230"/>
      <c r="J2728" s="231"/>
    </row>
    <row r="2729" spans="9:10" x14ac:dyDescent="0.25">
      <c r="I2729" s="230"/>
      <c r="J2729" s="231"/>
    </row>
    <row r="2730" spans="9:10" x14ac:dyDescent="0.25">
      <c r="I2730" s="230"/>
      <c r="J2730" s="231"/>
    </row>
    <row r="2731" spans="9:10" x14ac:dyDescent="0.25">
      <c r="I2731" s="230"/>
      <c r="J2731" s="231"/>
    </row>
    <row r="2732" spans="9:10" x14ac:dyDescent="0.25">
      <c r="I2732" s="230"/>
      <c r="J2732" s="231"/>
    </row>
    <row r="2733" spans="9:10" x14ac:dyDescent="0.25">
      <c r="I2733" s="230"/>
      <c r="J2733" s="231"/>
    </row>
    <row r="2734" spans="9:10" x14ac:dyDescent="0.25">
      <c r="I2734" s="230"/>
      <c r="J2734" s="231"/>
    </row>
    <row r="2735" spans="9:10" x14ac:dyDescent="0.25">
      <c r="I2735" s="230"/>
      <c r="J2735" s="231"/>
    </row>
    <row r="2736" spans="9:10" x14ac:dyDescent="0.25">
      <c r="I2736" s="230"/>
      <c r="J2736" s="231"/>
    </row>
    <row r="2737" spans="9:10" x14ac:dyDescent="0.25">
      <c r="I2737" s="230"/>
      <c r="J2737" s="231"/>
    </row>
    <row r="2738" spans="9:10" x14ac:dyDescent="0.25">
      <c r="I2738" s="230"/>
      <c r="J2738" s="231"/>
    </row>
    <row r="2739" spans="9:10" x14ac:dyDescent="0.25">
      <c r="I2739" s="230"/>
      <c r="J2739" s="231"/>
    </row>
    <row r="2740" spans="9:10" x14ac:dyDescent="0.25">
      <c r="I2740" s="230"/>
      <c r="J2740" s="231"/>
    </row>
    <row r="2741" spans="9:10" x14ac:dyDescent="0.25">
      <c r="I2741" s="230"/>
      <c r="J2741" s="231"/>
    </row>
    <row r="2742" spans="9:10" x14ac:dyDescent="0.25">
      <c r="I2742" s="230"/>
      <c r="J2742" s="231"/>
    </row>
    <row r="2743" spans="9:10" x14ac:dyDescent="0.25">
      <c r="I2743" s="230"/>
      <c r="J2743" s="231"/>
    </row>
    <row r="2744" spans="9:10" x14ac:dyDescent="0.25">
      <c r="I2744" s="230"/>
      <c r="J2744" s="231"/>
    </row>
    <row r="2745" spans="9:10" x14ac:dyDescent="0.25">
      <c r="I2745" s="230"/>
      <c r="J2745" s="231"/>
    </row>
    <row r="2746" spans="9:10" x14ac:dyDescent="0.25">
      <c r="I2746" s="230"/>
      <c r="J2746" s="231"/>
    </row>
    <row r="2747" spans="9:10" x14ac:dyDescent="0.25">
      <c r="I2747" s="230"/>
      <c r="J2747" s="231"/>
    </row>
    <row r="2748" spans="9:10" x14ac:dyDescent="0.25">
      <c r="I2748" s="230"/>
      <c r="J2748" s="231"/>
    </row>
    <row r="2749" spans="9:10" x14ac:dyDescent="0.25">
      <c r="I2749" s="230"/>
      <c r="J2749" s="231"/>
    </row>
    <row r="2750" spans="9:10" x14ac:dyDescent="0.25">
      <c r="I2750" s="230"/>
      <c r="J2750" s="231"/>
    </row>
    <row r="2751" spans="9:10" x14ac:dyDescent="0.25">
      <c r="I2751" s="230"/>
      <c r="J2751" s="231"/>
    </row>
    <row r="2752" spans="9:10" x14ac:dyDescent="0.25">
      <c r="I2752" s="230"/>
      <c r="J2752" s="231"/>
    </row>
    <row r="2753" spans="9:10" x14ac:dyDescent="0.25">
      <c r="I2753" s="230"/>
      <c r="J2753" s="231"/>
    </row>
    <row r="2754" spans="9:10" x14ac:dyDescent="0.25">
      <c r="I2754" s="230"/>
      <c r="J2754" s="231"/>
    </row>
    <row r="2755" spans="9:10" x14ac:dyDescent="0.25">
      <c r="I2755" s="230"/>
      <c r="J2755" s="231"/>
    </row>
    <row r="2756" spans="9:10" x14ac:dyDescent="0.25">
      <c r="I2756" s="230"/>
      <c r="J2756" s="231"/>
    </row>
    <row r="2757" spans="9:10" x14ac:dyDescent="0.25">
      <c r="I2757" s="230"/>
      <c r="J2757" s="231"/>
    </row>
    <row r="2758" spans="9:10" x14ac:dyDescent="0.25">
      <c r="I2758" s="230"/>
      <c r="J2758" s="231"/>
    </row>
    <row r="2759" spans="9:10" x14ac:dyDescent="0.25">
      <c r="I2759" s="230"/>
      <c r="J2759" s="231"/>
    </row>
    <row r="2760" spans="9:10" x14ac:dyDescent="0.25">
      <c r="I2760" s="230"/>
      <c r="J2760" s="231"/>
    </row>
    <row r="2761" spans="9:10" x14ac:dyDescent="0.25">
      <c r="I2761" s="230"/>
      <c r="J2761" s="231"/>
    </row>
    <row r="2762" spans="9:10" x14ac:dyDescent="0.25">
      <c r="I2762" s="230"/>
      <c r="J2762" s="231"/>
    </row>
    <row r="2763" spans="9:10" x14ac:dyDescent="0.25">
      <c r="I2763" s="230"/>
      <c r="J2763" s="231"/>
    </row>
    <row r="2764" spans="9:10" x14ac:dyDescent="0.25">
      <c r="I2764" s="230"/>
      <c r="J2764" s="231"/>
    </row>
    <row r="2765" spans="9:10" x14ac:dyDescent="0.25">
      <c r="I2765" s="230"/>
      <c r="J2765" s="231"/>
    </row>
    <row r="2766" spans="9:10" x14ac:dyDescent="0.25">
      <c r="I2766" s="230"/>
      <c r="J2766" s="231"/>
    </row>
    <row r="2767" spans="9:10" x14ac:dyDescent="0.25">
      <c r="I2767" s="230"/>
      <c r="J2767" s="231"/>
    </row>
    <row r="2768" spans="9:10" x14ac:dyDescent="0.25">
      <c r="I2768" s="230"/>
      <c r="J2768" s="231"/>
    </row>
    <row r="2769" spans="9:10" x14ac:dyDescent="0.25">
      <c r="I2769" s="230"/>
      <c r="J2769" s="231"/>
    </row>
    <row r="2770" spans="9:10" x14ac:dyDescent="0.25">
      <c r="I2770" s="230"/>
      <c r="J2770" s="231"/>
    </row>
    <row r="2771" spans="9:10" x14ac:dyDescent="0.25">
      <c r="I2771" s="230"/>
      <c r="J2771" s="231"/>
    </row>
    <row r="2772" spans="9:10" x14ac:dyDescent="0.25">
      <c r="I2772" s="230"/>
      <c r="J2772" s="231"/>
    </row>
    <row r="2773" spans="9:10" x14ac:dyDescent="0.25">
      <c r="I2773" s="230"/>
      <c r="J2773" s="231"/>
    </row>
    <row r="2774" spans="9:10" x14ac:dyDescent="0.25">
      <c r="I2774" s="230"/>
      <c r="J2774" s="231"/>
    </row>
    <row r="2775" spans="9:10" x14ac:dyDescent="0.25">
      <c r="I2775" s="230"/>
      <c r="J2775" s="231"/>
    </row>
    <row r="2776" spans="9:10" x14ac:dyDescent="0.25">
      <c r="I2776" s="230"/>
      <c r="J2776" s="231"/>
    </row>
    <row r="2777" spans="9:10" x14ac:dyDescent="0.25">
      <c r="I2777" s="230"/>
      <c r="J2777" s="231"/>
    </row>
    <row r="2778" spans="9:10" x14ac:dyDescent="0.25">
      <c r="I2778" s="230"/>
      <c r="J2778" s="231"/>
    </row>
    <row r="2779" spans="9:10" x14ac:dyDescent="0.25">
      <c r="I2779" s="230"/>
      <c r="J2779" s="231"/>
    </row>
    <row r="2780" spans="9:10" x14ac:dyDescent="0.25">
      <c r="I2780" s="230"/>
      <c r="J2780" s="231"/>
    </row>
    <row r="2781" spans="9:10" x14ac:dyDescent="0.25">
      <c r="I2781" s="230"/>
      <c r="J2781" s="231"/>
    </row>
    <row r="2782" spans="9:10" x14ac:dyDescent="0.25">
      <c r="I2782" s="230"/>
      <c r="J2782" s="231"/>
    </row>
    <row r="2783" spans="9:10" x14ac:dyDescent="0.25">
      <c r="I2783" s="230"/>
      <c r="J2783" s="231"/>
    </row>
    <row r="2784" spans="9:10" x14ac:dyDescent="0.25">
      <c r="I2784" s="230"/>
      <c r="J2784" s="231"/>
    </row>
    <row r="2785" spans="9:10" x14ac:dyDescent="0.25">
      <c r="I2785" s="230"/>
      <c r="J2785" s="231"/>
    </row>
    <row r="2786" spans="9:10" x14ac:dyDescent="0.25">
      <c r="I2786" s="230"/>
      <c r="J2786" s="231"/>
    </row>
    <row r="2787" spans="9:10" x14ac:dyDescent="0.25">
      <c r="I2787" s="230"/>
      <c r="J2787" s="231"/>
    </row>
    <row r="2788" spans="9:10" x14ac:dyDescent="0.25">
      <c r="I2788" s="230"/>
      <c r="J2788" s="231"/>
    </row>
    <row r="2789" spans="9:10" x14ac:dyDescent="0.25">
      <c r="I2789" s="230"/>
      <c r="J2789" s="231"/>
    </row>
    <row r="2790" spans="9:10" x14ac:dyDescent="0.25">
      <c r="I2790" s="230"/>
      <c r="J2790" s="231"/>
    </row>
    <row r="2791" spans="9:10" x14ac:dyDescent="0.25">
      <c r="I2791" s="230"/>
      <c r="J2791" s="231"/>
    </row>
    <row r="2792" spans="9:10" x14ac:dyDescent="0.25">
      <c r="I2792" s="230"/>
      <c r="J2792" s="231"/>
    </row>
    <row r="2793" spans="9:10" x14ac:dyDescent="0.25">
      <c r="I2793" s="230"/>
      <c r="J2793" s="231"/>
    </row>
    <row r="2794" spans="9:10" x14ac:dyDescent="0.25">
      <c r="I2794" s="230"/>
      <c r="J2794" s="231"/>
    </row>
    <row r="2795" spans="9:10" x14ac:dyDescent="0.25">
      <c r="I2795" s="230"/>
      <c r="J2795" s="231"/>
    </row>
    <row r="2796" spans="9:10" x14ac:dyDescent="0.25">
      <c r="I2796" s="230"/>
      <c r="J2796" s="231"/>
    </row>
    <row r="2797" spans="9:10" x14ac:dyDescent="0.25">
      <c r="I2797" s="230"/>
      <c r="J2797" s="231"/>
    </row>
    <row r="2798" spans="9:10" x14ac:dyDescent="0.25">
      <c r="I2798" s="230"/>
      <c r="J2798" s="231"/>
    </row>
    <row r="2799" spans="9:10" x14ac:dyDescent="0.25">
      <c r="I2799" s="230"/>
      <c r="J2799" s="231"/>
    </row>
    <row r="2800" spans="9:10" x14ac:dyDescent="0.25">
      <c r="I2800" s="230"/>
      <c r="J2800" s="231"/>
    </row>
    <row r="2801" spans="9:10" x14ac:dyDescent="0.25">
      <c r="I2801" s="230"/>
      <c r="J2801" s="231"/>
    </row>
    <row r="2802" spans="9:10" x14ac:dyDescent="0.25">
      <c r="I2802" s="230"/>
      <c r="J2802" s="231"/>
    </row>
    <row r="2803" spans="9:10" x14ac:dyDescent="0.25">
      <c r="I2803" s="230"/>
      <c r="J2803" s="231"/>
    </row>
    <row r="2804" spans="9:10" x14ac:dyDescent="0.25">
      <c r="I2804" s="230"/>
      <c r="J2804" s="231"/>
    </row>
    <row r="2805" spans="9:10" x14ac:dyDescent="0.25">
      <c r="I2805" s="230"/>
      <c r="J2805" s="231"/>
    </row>
    <row r="2806" spans="9:10" x14ac:dyDescent="0.25">
      <c r="I2806" s="230"/>
      <c r="J2806" s="231"/>
    </row>
    <row r="2807" spans="9:10" x14ac:dyDescent="0.25">
      <c r="I2807" s="230"/>
      <c r="J2807" s="231"/>
    </row>
    <row r="2808" spans="9:10" x14ac:dyDescent="0.25">
      <c r="I2808" s="230"/>
      <c r="J2808" s="231"/>
    </row>
    <row r="2809" spans="9:10" x14ac:dyDescent="0.25">
      <c r="I2809" s="230"/>
      <c r="J2809" s="231"/>
    </row>
    <row r="2810" spans="9:10" x14ac:dyDescent="0.25">
      <c r="I2810" s="230"/>
      <c r="J2810" s="231"/>
    </row>
    <row r="2811" spans="9:10" x14ac:dyDescent="0.25">
      <c r="I2811" s="230"/>
      <c r="J2811" s="231"/>
    </row>
    <row r="2812" spans="9:10" x14ac:dyDescent="0.25">
      <c r="I2812" s="230"/>
      <c r="J2812" s="231"/>
    </row>
    <row r="2813" spans="9:10" x14ac:dyDescent="0.25">
      <c r="I2813" s="230"/>
      <c r="J2813" s="231"/>
    </row>
    <row r="2814" spans="9:10" x14ac:dyDescent="0.25">
      <c r="I2814" s="230"/>
      <c r="J2814" s="231"/>
    </row>
    <row r="2815" spans="9:10" x14ac:dyDescent="0.25">
      <c r="I2815" s="230"/>
      <c r="J2815" s="231"/>
    </row>
    <row r="2816" spans="9:10" x14ac:dyDescent="0.25">
      <c r="I2816" s="230"/>
      <c r="J2816" s="231"/>
    </row>
    <row r="2817" spans="9:10" x14ac:dyDescent="0.25">
      <c r="I2817" s="230"/>
      <c r="J2817" s="231"/>
    </row>
    <row r="2818" spans="9:10" x14ac:dyDescent="0.25">
      <c r="I2818" s="230"/>
      <c r="J2818" s="231"/>
    </row>
    <row r="2819" spans="9:10" x14ac:dyDescent="0.25">
      <c r="I2819" s="230"/>
      <c r="J2819" s="231"/>
    </row>
    <row r="2820" spans="9:10" x14ac:dyDescent="0.25">
      <c r="I2820" s="230"/>
      <c r="J2820" s="231"/>
    </row>
    <row r="2821" spans="9:10" x14ac:dyDescent="0.25">
      <c r="I2821" s="230"/>
      <c r="J2821" s="231"/>
    </row>
    <row r="2822" spans="9:10" x14ac:dyDescent="0.25">
      <c r="I2822" s="230"/>
      <c r="J2822" s="231"/>
    </row>
    <row r="2823" spans="9:10" x14ac:dyDescent="0.25">
      <c r="I2823" s="230"/>
      <c r="J2823" s="231"/>
    </row>
    <row r="2824" spans="9:10" x14ac:dyDescent="0.25">
      <c r="I2824" s="230"/>
      <c r="J2824" s="231"/>
    </row>
    <row r="2825" spans="9:10" x14ac:dyDescent="0.25">
      <c r="I2825" s="230"/>
      <c r="J2825" s="231"/>
    </row>
    <row r="2826" spans="9:10" x14ac:dyDescent="0.25">
      <c r="I2826" s="230"/>
      <c r="J2826" s="231"/>
    </row>
    <row r="2827" spans="9:10" x14ac:dyDescent="0.25">
      <c r="I2827" s="230"/>
      <c r="J2827" s="231"/>
    </row>
    <row r="2828" spans="9:10" x14ac:dyDescent="0.25">
      <c r="I2828" s="230"/>
      <c r="J2828" s="231"/>
    </row>
    <row r="2829" spans="9:10" x14ac:dyDescent="0.25">
      <c r="I2829" s="230"/>
      <c r="J2829" s="231"/>
    </row>
    <row r="2830" spans="9:10" x14ac:dyDescent="0.25">
      <c r="I2830" s="230"/>
      <c r="J2830" s="231"/>
    </row>
    <row r="2831" spans="9:10" x14ac:dyDescent="0.25">
      <c r="I2831" s="230"/>
      <c r="J2831" s="231"/>
    </row>
    <row r="2832" spans="9:10" x14ac:dyDescent="0.25">
      <c r="I2832" s="230"/>
      <c r="J2832" s="231"/>
    </row>
    <row r="2833" spans="9:10" x14ac:dyDescent="0.25">
      <c r="I2833" s="230"/>
      <c r="J2833" s="231"/>
    </row>
    <row r="2834" spans="9:10" x14ac:dyDescent="0.25">
      <c r="I2834" s="230"/>
      <c r="J2834" s="231"/>
    </row>
    <row r="2835" spans="9:10" x14ac:dyDescent="0.25">
      <c r="I2835" s="230"/>
      <c r="J2835" s="231"/>
    </row>
    <row r="2836" spans="9:10" x14ac:dyDescent="0.25">
      <c r="I2836" s="230"/>
      <c r="J2836" s="231"/>
    </row>
    <row r="2837" spans="9:10" x14ac:dyDescent="0.25">
      <c r="I2837" s="230"/>
      <c r="J2837" s="231"/>
    </row>
    <row r="2838" spans="9:10" x14ac:dyDescent="0.25">
      <c r="I2838" s="230"/>
      <c r="J2838" s="231"/>
    </row>
    <row r="2839" spans="9:10" x14ac:dyDescent="0.25">
      <c r="I2839" s="230"/>
      <c r="J2839" s="231"/>
    </row>
    <row r="2840" spans="9:10" x14ac:dyDescent="0.25">
      <c r="I2840" s="230"/>
      <c r="J2840" s="231"/>
    </row>
    <row r="2841" spans="9:10" x14ac:dyDescent="0.25">
      <c r="I2841" s="230"/>
      <c r="J2841" s="231"/>
    </row>
    <row r="2842" spans="9:10" x14ac:dyDescent="0.25">
      <c r="I2842" s="230"/>
      <c r="J2842" s="231"/>
    </row>
    <row r="2843" spans="9:10" x14ac:dyDescent="0.25">
      <c r="I2843" s="230"/>
      <c r="J2843" s="231"/>
    </row>
    <row r="2844" spans="9:10" x14ac:dyDescent="0.25">
      <c r="I2844" s="230"/>
      <c r="J2844" s="231"/>
    </row>
    <row r="2845" spans="9:10" x14ac:dyDescent="0.25">
      <c r="I2845" s="230"/>
      <c r="J2845" s="231"/>
    </row>
    <row r="2846" spans="9:10" x14ac:dyDescent="0.25">
      <c r="I2846" s="230"/>
      <c r="J2846" s="231"/>
    </row>
    <row r="2847" spans="9:10" x14ac:dyDescent="0.25">
      <c r="I2847" s="230"/>
      <c r="J2847" s="231"/>
    </row>
    <row r="2848" spans="9:10" x14ac:dyDescent="0.25">
      <c r="I2848" s="230"/>
      <c r="J2848" s="231"/>
    </row>
    <row r="2849" spans="9:10" x14ac:dyDescent="0.25">
      <c r="I2849" s="230"/>
      <c r="J2849" s="231"/>
    </row>
    <row r="2850" spans="9:10" x14ac:dyDescent="0.25">
      <c r="I2850" s="230"/>
      <c r="J2850" s="231"/>
    </row>
    <row r="2851" spans="9:10" x14ac:dyDescent="0.25">
      <c r="I2851" s="230"/>
      <c r="J2851" s="231"/>
    </row>
    <row r="2852" spans="9:10" x14ac:dyDescent="0.25">
      <c r="I2852" s="230"/>
      <c r="J2852" s="231"/>
    </row>
    <row r="2853" spans="9:10" x14ac:dyDescent="0.25">
      <c r="I2853" s="230"/>
      <c r="J2853" s="231"/>
    </row>
    <row r="2854" spans="9:10" x14ac:dyDescent="0.25">
      <c r="I2854" s="230"/>
      <c r="J2854" s="231"/>
    </row>
    <row r="2855" spans="9:10" x14ac:dyDescent="0.25">
      <c r="I2855" s="230"/>
      <c r="J2855" s="231"/>
    </row>
    <row r="2856" spans="9:10" x14ac:dyDescent="0.25">
      <c r="I2856" s="230"/>
      <c r="J2856" s="231"/>
    </row>
    <row r="2857" spans="9:10" x14ac:dyDescent="0.25">
      <c r="I2857" s="230"/>
      <c r="J2857" s="231"/>
    </row>
    <row r="2858" spans="9:10" x14ac:dyDescent="0.25">
      <c r="I2858" s="230"/>
      <c r="J2858" s="231"/>
    </row>
    <row r="2859" spans="9:10" x14ac:dyDescent="0.25">
      <c r="I2859" s="230"/>
      <c r="J2859" s="231"/>
    </row>
    <row r="2860" spans="9:10" x14ac:dyDescent="0.25">
      <c r="I2860" s="230"/>
      <c r="J2860" s="231"/>
    </row>
    <row r="2861" spans="9:10" x14ac:dyDescent="0.25">
      <c r="I2861" s="230"/>
      <c r="J2861" s="231"/>
    </row>
    <row r="2862" spans="9:10" x14ac:dyDescent="0.25">
      <c r="I2862" s="230"/>
      <c r="J2862" s="231"/>
    </row>
    <row r="2863" spans="9:10" x14ac:dyDescent="0.25">
      <c r="I2863" s="230"/>
      <c r="J2863" s="231"/>
    </row>
    <row r="2864" spans="9:10" x14ac:dyDescent="0.25">
      <c r="I2864" s="230"/>
      <c r="J2864" s="231"/>
    </row>
    <row r="2865" spans="9:10" x14ac:dyDescent="0.25">
      <c r="I2865" s="230"/>
      <c r="J2865" s="231"/>
    </row>
    <row r="2866" spans="9:10" x14ac:dyDescent="0.25">
      <c r="I2866" s="230"/>
      <c r="J2866" s="231"/>
    </row>
    <row r="2867" spans="9:10" x14ac:dyDescent="0.25">
      <c r="I2867" s="230"/>
      <c r="J2867" s="231"/>
    </row>
    <row r="2868" spans="9:10" x14ac:dyDescent="0.25">
      <c r="I2868" s="230"/>
      <c r="J2868" s="231"/>
    </row>
    <row r="2869" spans="9:10" x14ac:dyDescent="0.25">
      <c r="I2869" s="230"/>
      <c r="J2869" s="231"/>
    </row>
    <row r="2870" spans="9:10" x14ac:dyDescent="0.25">
      <c r="I2870" s="230"/>
      <c r="J2870" s="231"/>
    </row>
    <row r="2871" spans="9:10" x14ac:dyDescent="0.25">
      <c r="I2871" s="230"/>
      <c r="J2871" s="231"/>
    </row>
    <row r="2872" spans="9:10" x14ac:dyDescent="0.25">
      <c r="I2872" s="230"/>
      <c r="J2872" s="231"/>
    </row>
    <row r="2873" spans="9:10" x14ac:dyDescent="0.25">
      <c r="I2873" s="230"/>
      <c r="J2873" s="231"/>
    </row>
    <row r="2874" spans="9:10" x14ac:dyDescent="0.25">
      <c r="I2874" s="230"/>
      <c r="J2874" s="231"/>
    </row>
    <row r="2875" spans="9:10" x14ac:dyDescent="0.25">
      <c r="I2875" s="230"/>
      <c r="J2875" s="231"/>
    </row>
    <row r="2876" spans="9:10" x14ac:dyDescent="0.25">
      <c r="I2876" s="230"/>
      <c r="J2876" s="231"/>
    </row>
    <row r="2877" spans="9:10" x14ac:dyDescent="0.25">
      <c r="I2877" s="230"/>
      <c r="J2877" s="231"/>
    </row>
    <row r="2878" spans="9:10" x14ac:dyDescent="0.25">
      <c r="I2878" s="230"/>
      <c r="J2878" s="231"/>
    </row>
    <row r="2879" spans="9:10" x14ac:dyDescent="0.25">
      <c r="I2879" s="230"/>
      <c r="J2879" s="231"/>
    </row>
    <row r="2880" spans="9:10" x14ac:dyDescent="0.25">
      <c r="I2880" s="230"/>
      <c r="J2880" s="231"/>
    </row>
    <row r="2881" spans="9:10" x14ac:dyDescent="0.25">
      <c r="I2881" s="230"/>
      <c r="J2881" s="231"/>
    </row>
    <row r="2882" spans="9:10" x14ac:dyDescent="0.25">
      <c r="I2882" s="230"/>
      <c r="J2882" s="231"/>
    </row>
    <row r="2883" spans="9:10" x14ac:dyDescent="0.25">
      <c r="I2883" s="230"/>
      <c r="J2883" s="231"/>
    </row>
    <row r="2884" spans="9:10" x14ac:dyDescent="0.25">
      <c r="I2884" s="230"/>
      <c r="J2884" s="231"/>
    </row>
    <row r="2885" spans="9:10" x14ac:dyDescent="0.25">
      <c r="I2885" s="230"/>
      <c r="J2885" s="231"/>
    </row>
    <row r="2886" spans="9:10" x14ac:dyDescent="0.25">
      <c r="I2886" s="230"/>
      <c r="J2886" s="231"/>
    </row>
    <row r="2887" spans="9:10" x14ac:dyDescent="0.25">
      <c r="I2887" s="230"/>
      <c r="J2887" s="231"/>
    </row>
    <row r="2888" spans="9:10" x14ac:dyDescent="0.25">
      <c r="I2888" s="230"/>
      <c r="J2888" s="231"/>
    </row>
    <row r="2889" spans="9:10" x14ac:dyDescent="0.25">
      <c r="I2889" s="230"/>
      <c r="J2889" s="231"/>
    </row>
    <row r="2890" spans="9:10" x14ac:dyDescent="0.25">
      <c r="I2890" s="230"/>
      <c r="J2890" s="231"/>
    </row>
    <row r="2891" spans="9:10" x14ac:dyDescent="0.25">
      <c r="I2891" s="230"/>
      <c r="J2891" s="231"/>
    </row>
    <row r="2892" spans="9:10" x14ac:dyDescent="0.25">
      <c r="I2892" s="230"/>
      <c r="J2892" s="231"/>
    </row>
    <row r="2893" spans="9:10" x14ac:dyDescent="0.25">
      <c r="I2893" s="230"/>
      <c r="J2893" s="231"/>
    </row>
    <row r="2894" spans="9:10" x14ac:dyDescent="0.25">
      <c r="I2894" s="230"/>
      <c r="J2894" s="231"/>
    </row>
    <row r="2895" spans="9:10" x14ac:dyDescent="0.25">
      <c r="I2895" s="230"/>
      <c r="J2895" s="231"/>
    </row>
    <row r="2896" spans="9:10" x14ac:dyDescent="0.25">
      <c r="I2896" s="230"/>
      <c r="J2896" s="231"/>
    </row>
    <row r="2897" spans="9:10" x14ac:dyDescent="0.25">
      <c r="I2897" s="230"/>
      <c r="J2897" s="231"/>
    </row>
    <row r="2898" spans="9:10" x14ac:dyDescent="0.25">
      <c r="I2898" s="230"/>
      <c r="J2898" s="231"/>
    </row>
    <row r="2899" spans="9:10" x14ac:dyDescent="0.25">
      <c r="I2899" s="230"/>
      <c r="J2899" s="231"/>
    </row>
    <row r="2900" spans="9:10" x14ac:dyDescent="0.25">
      <c r="I2900" s="230"/>
      <c r="J2900" s="231"/>
    </row>
    <row r="2901" spans="9:10" x14ac:dyDescent="0.25">
      <c r="I2901" s="230"/>
      <c r="J2901" s="231"/>
    </row>
    <row r="2902" spans="9:10" x14ac:dyDescent="0.25">
      <c r="I2902" s="230"/>
      <c r="J2902" s="231"/>
    </row>
    <row r="2903" spans="9:10" x14ac:dyDescent="0.25">
      <c r="I2903" s="230"/>
      <c r="J2903" s="231"/>
    </row>
    <row r="2904" spans="9:10" x14ac:dyDescent="0.25">
      <c r="I2904" s="230"/>
      <c r="J2904" s="231"/>
    </row>
    <row r="2905" spans="9:10" x14ac:dyDescent="0.25">
      <c r="I2905" s="230"/>
      <c r="J2905" s="231"/>
    </row>
    <row r="2906" spans="9:10" x14ac:dyDescent="0.25">
      <c r="I2906" s="230"/>
      <c r="J2906" s="231"/>
    </row>
    <row r="2907" spans="9:10" x14ac:dyDescent="0.25">
      <c r="I2907" s="230"/>
      <c r="J2907" s="231"/>
    </row>
    <row r="2908" spans="9:10" x14ac:dyDescent="0.25">
      <c r="I2908" s="230"/>
      <c r="J2908" s="231"/>
    </row>
    <row r="2909" spans="9:10" x14ac:dyDescent="0.25">
      <c r="I2909" s="230"/>
      <c r="J2909" s="231"/>
    </row>
    <row r="2910" spans="9:10" x14ac:dyDescent="0.25">
      <c r="I2910" s="230"/>
      <c r="J2910" s="231"/>
    </row>
    <row r="2911" spans="9:10" x14ac:dyDescent="0.25">
      <c r="I2911" s="230"/>
      <c r="J2911" s="231"/>
    </row>
    <row r="2912" spans="9:10" x14ac:dyDescent="0.25">
      <c r="I2912" s="230"/>
      <c r="J2912" s="231"/>
    </row>
    <row r="2913" spans="9:10" x14ac:dyDescent="0.25">
      <c r="I2913" s="230"/>
      <c r="J2913" s="231"/>
    </row>
    <row r="2914" spans="9:10" x14ac:dyDescent="0.25">
      <c r="I2914" s="230"/>
      <c r="J2914" s="231"/>
    </row>
    <row r="2915" spans="9:10" x14ac:dyDescent="0.25">
      <c r="I2915" s="230"/>
      <c r="J2915" s="231"/>
    </row>
    <row r="2916" spans="9:10" x14ac:dyDescent="0.25">
      <c r="I2916" s="230"/>
      <c r="J2916" s="231"/>
    </row>
    <row r="2917" spans="9:10" x14ac:dyDescent="0.25">
      <c r="I2917" s="230"/>
      <c r="J2917" s="231"/>
    </row>
    <row r="2918" spans="9:10" x14ac:dyDescent="0.25">
      <c r="I2918" s="230"/>
      <c r="J2918" s="231"/>
    </row>
    <row r="2919" spans="9:10" x14ac:dyDescent="0.25">
      <c r="I2919" s="230"/>
      <c r="J2919" s="231"/>
    </row>
    <row r="2920" spans="9:10" x14ac:dyDescent="0.25">
      <c r="I2920" s="230"/>
      <c r="J2920" s="231"/>
    </row>
    <row r="2921" spans="9:10" x14ac:dyDescent="0.25">
      <c r="I2921" s="230"/>
      <c r="J2921" s="231"/>
    </row>
    <row r="2922" spans="9:10" x14ac:dyDescent="0.25">
      <c r="I2922" s="230"/>
      <c r="J2922" s="231"/>
    </row>
    <row r="2923" spans="9:10" x14ac:dyDescent="0.25">
      <c r="I2923" s="230"/>
      <c r="J2923" s="231"/>
    </row>
    <row r="2924" spans="9:10" x14ac:dyDescent="0.25">
      <c r="I2924" s="230"/>
      <c r="J2924" s="231"/>
    </row>
    <row r="2925" spans="9:10" x14ac:dyDescent="0.25">
      <c r="I2925" s="230"/>
      <c r="J2925" s="231"/>
    </row>
    <row r="2926" spans="9:10" x14ac:dyDescent="0.25">
      <c r="I2926" s="230"/>
      <c r="J2926" s="231"/>
    </row>
    <row r="2927" spans="9:10" x14ac:dyDescent="0.25">
      <c r="I2927" s="230"/>
      <c r="J2927" s="231"/>
    </row>
    <row r="2928" spans="9:10" x14ac:dyDescent="0.25">
      <c r="I2928" s="230"/>
      <c r="J2928" s="231"/>
    </row>
    <row r="2929" spans="9:10" x14ac:dyDescent="0.25">
      <c r="I2929" s="230"/>
      <c r="J2929" s="231"/>
    </row>
    <row r="2930" spans="9:10" x14ac:dyDescent="0.25">
      <c r="I2930" s="230"/>
      <c r="J2930" s="231"/>
    </row>
    <row r="2931" spans="9:10" x14ac:dyDescent="0.25">
      <c r="I2931" s="230"/>
      <c r="J2931" s="231"/>
    </row>
    <row r="2932" spans="9:10" x14ac:dyDescent="0.25">
      <c r="I2932" s="230"/>
      <c r="J2932" s="231"/>
    </row>
    <row r="2933" spans="9:10" x14ac:dyDescent="0.25">
      <c r="I2933" s="230"/>
      <c r="J2933" s="231"/>
    </row>
    <row r="2934" spans="9:10" x14ac:dyDescent="0.25">
      <c r="I2934" s="230"/>
      <c r="J2934" s="231"/>
    </row>
    <row r="2935" spans="9:10" x14ac:dyDescent="0.25">
      <c r="I2935" s="230"/>
      <c r="J2935" s="231"/>
    </row>
    <row r="2936" spans="9:10" x14ac:dyDescent="0.25">
      <c r="I2936" s="230"/>
      <c r="J2936" s="231"/>
    </row>
    <row r="2937" spans="9:10" x14ac:dyDescent="0.25">
      <c r="I2937" s="230"/>
      <c r="J2937" s="231"/>
    </row>
    <row r="2938" spans="9:10" x14ac:dyDescent="0.25">
      <c r="I2938" s="230"/>
      <c r="J2938" s="231"/>
    </row>
    <row r="2939" spans="9:10" x14ac:dyDescent="0.25">
      <c r="I2939" s="230"/>
      <c r="J2939" s="231"/>
    </row>
    <row r="2940" spans="9:10" x14ac:dyDescent="0.25">
      <c r="I2940" s="230"/>
      <c r="J2940" s="231"/>
    </row>
    <row r="2941" spans="9:10" x14ac:dyDescent="0.25">
      <c r="I2941" s="230"/>
      <c r="J2941" s="231"/>
    </row>
    <row r="2942" spans="9:10" x14ac:dyDescent="0.25">
      <c r="I2942" s="230"/>
      <c r="J2942" s="231"/>
    </row>
    <row r="2943" spans="9:10" x14ac:dyDescent="0.25">
      <c r="I2943" s="230"/>
      <c r="J2943" s="231"/>
    </row>
    <row r="2944" spans="9:10" x14ac:dyDescent="0.25">
      <c r="I2944" s="230"/>
      <c r="J2944" s="231"/>
    </row>
    <row r="2945" spans="9:10" x14ac:dyDescent="0.25">
      <c r="I2945" s="230"/>
      <c r="J2945" s="231"/>
    </row>
    <row r="2946" spans="9:10" x14ac:dyDescent="0.25">
      <c r="I2946" s="230"/>
      <c r="J2946" s="231"/>
    </row>
    <row r="2947" spans="9:10" x14ac:dyDescent="0.25">
      <c r="I2947" s="230"/>
      <c r="J2947" s="231"/>
    </row>
    <row r="2948" spans="9:10" x14ac:dyDescent="0.25">
      <c r="I2948" s="230"/>
      <c r="J2948" s="231"/>
    </row>
    <row r="2949" spans="9:10" x14ac:dyDescent="0.25">
      <c r="I2949" s="230"/>
      <c r="J2949" s="231"/>
    </row>
    <row r="2950" spans="9:10" x14ac:dyDescent="0.25">
      <c r="I2950" s="230"/>
      <c r="J2950" s="231"/>
    </row>
    <row r="2951" spans="9:10" x14ac:dyDescent="0.25">
      <c r="I2951" s="230"/>
      <c r="J2951" s="231"/>
    </row>
    <row r="2952" spans="9:10" x14ac:dyDescent="0.25">
      <c r="I2952" s="230"/>
      <c r="J2952" s="231"/>
    </row>
    <row r="2953" spans="9:10" x14ac:dyDescent="0.25">
      <c r="I2953" s="230"/>
      <c r="J2953" s="231"/>
    </row>
    <row r="2954" spans="9:10" x14ac:dyDescent="0.25">
      <c r="I2954" s="230"/>
      <c r="J2954" s="231"/>
    </row>
    <row r="2955" spans="9:10" x14ac:dyDescent="0.25">
      <c r="I2955" s="230"/>
      <c r="J2955" s="231"/>
    </row>
    <row r="2956" spans="9:10" x14ac:dyDescent="0.25">
      <c r="I2956" s="230"/>
      <c r="J2956" s="231"/>
    </row>
    <row r="2957" spans="9:10" x14ac:dyDescent="0.25">
      <c r="I2957" s="230"/>
      <c r="J2957" s="231"/>
    </row>
    <row r="2958" spans="9:10" x14ac:dyDescent="0.25">
      <c r="I2958" s="230"/>
      <c r="J2958" s="231"/>
    </row>
    <row r="2959" spans="9:10" x14ac:dyDescent="0.25">
      <c r="I2959" s="230"/>
      <c r="J2959" s="231"/>
    </row>
    <row r="2960" spans="9:10" x14ac:dyDescent="0.25">
      <c r="I2960" s="230"/>
      <c r="J2960" s="231"/>
    </row>
    <row r="2961" spans="9:10" x14ac:dyDescent="0.25">
      <c r="I2961" s="230"/>
      <c r="J2961" s="231"/>
    </row>
    <row r="2962" spans="9:10" x14ac:dyDescent="0.25">
      <c r="I2962" s="230"/>
      <c r="J2962" s="231"/>
    </row>
    <row r="2963" spans="9:10" x14ac:dyDescent="0.25">
      <c r="I2963" s="230"/>
      <c r="J2963" s="231"/>
    </row>
    <row r="2964" spans="9:10" x14ac:dyDescent="0.25">
      <c r="I2964" s="230"/>
      <c r="J2964" s="231"/>
    </row>
    <row r="2965" spans="9:10" x14ac:dyDescent="0.25">
      <c r="I2965" s="230"/>
      <c r="J2965" s="231"/>
    </row>
    <row r="2966" spans="9:10" x14ac:dyDescent="0.25">
      <c r="I2966" s="230"/>
      <c r="J2966" s="231"/>
    </row>
    <row r="2967" spans="9:10" x14ac:dyDescent="0.25">
      <c r="I2967" s="230"/>
      <c r="J2967" s="231"/>
    </row>
    <row r="2968" spans="9:10" x14ac:dyDescent="0.25">
      <c r="I2968" s="230"/>
      <c r="J2968" s="231"/>
    </row>
    <row r="2969" spans="9:10" x14ac:dyDescent="0.25">
      <c r="I2969" s="230"/>
      <c r="J2969" s="231"/>
    </row>
    <row r="2970" spans="9:10" x14ac:dyDescent="0.25">
      <c r="I2970" s="230"/>
      <c r="J2970" s="231"/>
    </row>
    <row r="2971" spans="9:10" x14ac:dyDescent="0.25">
      <c r="I2971" s="230"/>
      <c r="J2971" s="231"/>
    </row>
    <row r="2972" spans="9:10" x14ac:dyDescent="0.25">
      <c r="I2972" s="230"/>
      <c r="J2972" s="231"/>
    </row>
    <row r="2973" spans="9:10" x14ac:dyDescent="0.25">
      <c r="I2973" s="230"/>
      <c r="J2973" s="231"/>
    </row>
    <row r="2974" spans="9:10" x14ac:dyDescent="0.25">
      <c r="I2974" s="230"/>
      <c r="J2974" s="231"/>
    </row>
    <row r="2975" spans="9:10" x14ac:dyDescent="0.25">
      <c r="I2975" s="230"/>
      <c r="J2975" s="231"/>
    </row>
    <row r="2976" spans="9:10" x14ac:dyDescent="0.25">
      <c r="I2976" s="230"/>
      <c r="J2976" s="231"/>
    </row>
    <row r="2977" spans="9:10" x14ac:dyDescent="0.25">
      <c r="I2977" s="230"/>
      <c r="J2977" s="231"/>
    </row>
    <row r="2978" spans="9:10" x14ac:dyDescent="0.25">
      <c r="I2978" s="230"/>
      <c r="J2978" s="231"/>
    </row>
    <row r="2979" spans="9:10" x14ac:dyDescent="0.25">
      <c r="I2979" s="230"/>
      <c r="J2979" s="231"/>
    </row>
    <row r="2980" spans="9:10" x14ac:dyDescent="0.25">
      <c r="I2980" s="230"/>
      <c r="J2980" s="231"/>
    </row>
    <row r="2981" spans="9:10" x14ac:dyDescent="0.25">
      <c r="I2981" s="230"/>
      <c r="J2981" s="231"/>
    </row>
    <row r="2982" spans="9:10" x14ac:dyDescent="0.25">
      <c r="I2982" s="230"/>
      <c r="J2982" s="231"/>
    </row>
    <row r="2983" spans="9:10" x14ac:dyDescent="0.25">
      <c r="I2983" s="230"/>
      <c r="J2983" s="231"/>
    </row>
    <row r="2984" spans="9:10" x14ac:dyDescent="0.25">
      <c r="I2984" s="230"/>
      <c r="J2984" s="231"/>
    </row>
    <row r="2985" spans="9:10" x14ac:dyDescent="0.25">
      <c r="I2985" s="230"/>
      <c r="J2985" s="231"/>
    </row>
    <row r="2986" spans="9:10" x14ac:dyDescent="0.25">
      <c r="I2986" s="230"/>
      <c r="J2986" s="231"/>
    </row>
    <row r="2987" spans="9:10" x14ac:dyDescent="0.25">
      <c r="I2987" s="230"/>
      <c r="J2987" s="231"/>
    </row>
    <row r="2988" spans="9:10" x14ac:dyDescent="0.25">
      <c r="I2988" s="230"/>
      <c r="J2988" s="231"/>
    </row>
    <row r="2989" spans="9:10" x14ac:dyDescent="0.25">
      <c r="I2989" s="230"/>
      <c r="J2989" s="231"/>
    </row>
    <row r="2990" spans="9:10" x14ac:dyDescent="0.25">
      <c r="I2990" s="230"/>
      <c r="J2990" s="231"/>
    </row>
    <row r="2991" spans="9:10" x14ac:dyDescent="0.25">
      <c r="I2991" s="230"/>
      <c r="J2991" s="231"/>
    </row>
    <row r="2992" spans="9:10" x14ac:dyDescent="0.25">
      <c r="I2992" s="230"/>
      <c r="J2992" s="231"/>
    </row>
    <row r="2993" spans="9:10" x14ac:dyDescent="0.25">
      <c r="I2993" s="230"/>
      <c r="J2993" s="231"/>
    </row>
    <row r="2994" spans="9:10" x14ac:dyDescent="0.25">
      <c r="I2994" s="230"/>
      <c r="J2994" s="231"/>
    </row>
    <row r="2995" spans="9:10" x14ac:dyDescent="0.25">
      <c r="I2995" s="230"/>
      <c r="J2995" s="231"/>
    </row>
    <row r="2996" spans="9:10" x14ac:dyDescent="0.25">
      <c r="I2996" s="230"/>
      <c r="J2996" s="231"/>
    </row>
    <row r="2997" spans="9:10" x14ac:dyDescent="0.25">
      <c r="I2997" s="230"/>
      <c r="J2997" s="231"/>
    </row>
    <row r="2998" spans="9:10" x14ac:dyDescent="0.25">
      <c r="I2998" s="230"/>
      <c r="J2998" s="231"/>
    </row>
    <row r="2999" spans="9:10" x14ac:dyDescent="0.25">
      <c r="I2999" s="230"/>
      <c r="J2999" s="231"/>
    </row>
    <row r="3000" spans="9:10" x14ac:dyDescent="0.25">
      <c r="I3000" s="230"/>
      <c r="J3000" s="231"/>
    </row>
    <row r="3001" spans="9:10" x14ac:dyDescent="0.25">
      <c r="I3001" s="230"/>
      <c r="J3001" s="231"/>
    </row>
    <row r="3002" spans="9:10" x14ac:dyDescent="0.25">
      <c r="I3002" s="230"/>
      <c r="J3002" s="231"/>
    </row>
    <row r="3003" spans="9:10" x14ac:dyDescent="0.25">
      <c r="I3003" s="230"/>
      <c r="J3003" s="231"/>
    </row>
    <row r="3004" spans="9:10" x14ac:dyDescent="0.25">
      <c r="I3004" s="230"/>
      <c r="J3004" s="231"/>
    </row>
    <row r="3005" spans="9:10" x14ac:dyDescent="0.25">
      <c r="I3005" s="230"/>
      <c r="J3005" s="231"/>
    </row>
    <row r="3006" spans="9:10" x14ac:dyDescent="0.25">
      <c r="I3006" s="230"/>
      <c r="J3006" s="231"/>
    </row>
    <row r="3007" spans="9:10" x14ac:dyDescent="0.25">
      <c r="I3007" s="230"/>
      <c r="J3007" s="231"/>
    </row>
    <row r="3008" spans="9:10" x14ac:dyDescent="0.25">
      <c r="I3008" s="230"/>
      <c r="J3008" s="231"/>
    </row>
    <row r="3009" spans="9:10" x14ac:dyDescent="0.25">
      <c r="I3009" s="230"/>
      <c r="J3009" s="231"/>
    </row>
    <row r="3010" spans="9:10" x14ac:dyDescent="0.25">
      <c r="I3010" s="230"/>
      <c r="J3010" s="231"/>
    </row>
    <row r="3011" spans="9:10" x14ac:dyDescent="0.25">
      <c r="I3011" s="230"/>
      <c r="J3011" s="231"/>
    </row>
    <row r="3012" spans="9:10" x14ac:dyDescent="0.25">
      <c r="I3012" s="230"/>
      <c r="J3012" s="231"/>
    </row>
    <row r="3013" spans="9:10" x14ac:dyDescent="0.25">
      <c r="I3013" s="230"/>
      <c r="J3013" s="231"/>
    </row>
    <row r="3014" spans="9:10" x14ac:dyDescent="0.25">
      <c r="I3014" s="230"/>
      <c r="J3014" s="231"/>
    </row>
    <row r="3015" spans="9:10" x14ac:dyDescent="0.25">
      <c r="I3015" s="230"/>
      <c r="J3015" s="231"/>
    </row>
    <row r="3016" spans="9:10" x14ac:dyDescent="0.25">
      <c r="I3016" s="230"/>
      <c r="J3016" s="231"/>
    </row>
    <row r="3017" spans="9:10" x14ac:dyDescent="0.25">
      <c r="I3017" s="230"/>
      <c r="J3017" s="231"/>
    </row>
    <row r="3018" spans="9:10" x14ac:dyDescent="0.25">
      <c r="I3018" s="230"/>
      <c r="J3018" s="231"/>
    </row>
    <row r="3019" spans="9:10" x14ac:dyDescent="0.25">
      <c r="I3019" s="230"/>
      <c r="J3019" s="231"/>
    </row>
    <row r="3020" spans="9:10" x14ac:dyDescent="0.25">
      <c r="I3020" s="230"/>
      <c r="J3020" s="231"/>
    </row>
    <row r="3021" spans="9:10" x14ac:dyDescent="0.25">
      <c r="I3021" s="230"/>
      <c r="J3021" s="231"/>
    </row>
    <row r="3022" spans="9:10" x14ac:dyDescent="0.25">
      <c r="I3022" s="230"/>
      <c r="J3022" s="231"/>
    </row>
    <row r="3023" spans="9:10" x14ac:dyDescent="0.25">
      <c r="I3023" s="230"/>
      <c r="J3023" s="231"/>
    </row>
    <row r="3024" spans="9:10" x14ac:dyDescent="0.25">
      <c r="I3024" s="230"/>
      <c r="J3024" s="231"/>
    </row>
    <row r="3025" spans="9:10" x14ac:dyDescent="0.25">
      <c r="I3025" s="230"/>
      <c r="J3025" s="231"/>
    </row>
    <row r="3026" spans="9:10" x14ac:dyDescent="0.25">
      <c r="I3026" s="230"/>
      <c r="J3026" s="231"/>
    </row>
    <row r="3027" spans="9:10" x14ac:dyDescent="0.25">
      <c r="I3027" s="230"/>
      <c r="J3027" s="231"/>
    </row>
    <row r="3028" spans="9:10" x14ac:dyDescent="0.25">
      <c r="I3028" s="230"/>
      <c r="J3028" s="231"/>
    </row>
    <row r="3029" spans="9:10" x14ac:dyDescent="0.25">
      <c r="I3029" s="230"/>
      <c r="J3029" s="231"/>
    </row>
    <row r="3030" spans="9:10" x14ac:dyDescent="0.25">
      <c r="I3030" s="230"/>
      <c r="J3030" s="231"/>
    </row>
    <row r="3031" spans="9:10" x14ac:dyDescent="0.25">
      <c r="I3031" s="230"/>
      <c r="J3031" s="231"/>
    </row>
    <row r="3032" spans="9:10" x14ac:dyDescent="0.25">
      <c r="I3032" s="230"/>
      <c r="J3032" s="231"/>
    </row>
    <row r="3033" spans="9:10" x14ac:dyDescent="0.25">
      <c r="I3033" s="230"/>
      <c r="J3033" s="231"/>
    </row>
    <row r="3034" spans="9:10" x14ac:dyDescent="0.25">
      <c r="I3034" s="230"/>
      <c r="J3034" s="231"/>
    </row>
    <row r="3035" spans="9:10" x14ac:dyDescent="0.25">
      <c r="I3035" s="230"/>
      <c r="J3035" s="231"/>
    </row>
    <row r="3036" spans="9:10" x14ac:dyDescent="0.25">
      <c r="I3036" s="230"/>
      <c r="J3036" s="231"/>
    </row>
    <row r="3037" spans="9:10" x14ac:dyDescent="0.25">
      <c r="I3037" s="230"/>
      <c r="J3037" s="231"/>
    </row>
    <row r="3038" spans="9:10" x14ac:dyDescent="0.25">
      <c r="I3038" s="230"/>
      <c r="J3038" s="231"/>
    </row>
    <row r="3039" spans="9:10" x14ac:dyDescent="0.25">
      <c r="I3039" s="230"/>
      <c r="J3039" s="231"/>
    </row>
    <row r="3040" spans="9:10" x14ac:dyDescent="0.25">
      <c r="I3040" s="230"/>
      <c r="J3040" s="231"/>
    </row>
    <row r="3041" spans="9:10" x14ac:dyDescent="0.25">
      <c r="I3041" s="230"/>
      <c r="J3041" s="231"/>
    </row>
    <row r="3042" spans="9:10" x14ac:dyDescent="0.25">
      <c r="I3042" s="230"/>
      <c r="J3042" s="231"/>
    </row>
    <row r="3043" spans="9:10" x14ac:dyDescent="0.25">
      <c r="I3043" s="230"/>
      <c r="J3043" s="231"/>
    </row>
    <row r="3044" spans="9:10" x14ac:dyDescent="0.25">
      <c r="I3044" s="230"/>
      <c r="J3044" s="231"/>
    </row>
    <row r="3045" spans="9:10" x14ac:dyDescent="0.25">
      <c r="I3045" s="230"/>
      <c r="J3045" s="231"/>
    </row>
    <row r="3046" spans="9:10" x14ac:dyDescent="0.25">
      <c r="I3046" s="230"/>
      <c r="J3046" s="231"/>
    </row>
    <row r="3047" spans="9:10" x14ac:dyDescent="0.25">
      <c r="I3047" s="230"/>
      <c r="J3047" s="231"/>
    </row>
    <row r="3048" spans="9:10" x14ac:dyDescent="0.25">
      <c r="I3048" s="230"/>
    </row>
    <row r="3049" spans="9:10" x14ac:dyDescent="0.25">
      <c r="I3049" s="230"/>
    </row>
    <row r="3050" spans="9:10" x14ac:dyDescent="0.25">
      <c r="I3050" s="230"/>
    </row>
    <row r="3051" spans="9:10" x14ac:dyDescent="0.25">
      <c r="I3051" s="230"/>
    </row>
    <row r="3052" spans="9:10" x14ac:dyDescent="0.25">
      <c r="I3052" s="230"/>
    </row>
    <row r="3053" spans="9:10" x14ac:dyDescent="0.25">
      <c r="I3053" s="230"/>
    </row>
    <row r="3054" spans="9:10" x14ac:dyDescent="0.25">
      <c r="I3054" s="230"/>
    </row>
    <row r="3055" spans="9:10" x14ac:dyDescent="0.25">
      <c r="I3055" s="230"/>
    </row>
  </sheetData>
  <customSheetViews>
    <customSheetView guid="{3E6EB34F-E2F7-456F-8B3B-5F84BD050AA2}">
      <selection activeCell="A2" sqref="A2:L2"/>
      <pageMargins left="0.7" right="0.7" top="0.75" bottom="0.75" header="0.3" footer="0.3"/>
    </customSheetView>
    <customSheetView guid="{4F232D79-B707-4527-B1C5-2E1BF2995FFF}" scale="106" hiddenColumns="1">
      <pane xSplit="2" ySplit="2" topLeftCell="D47" activePane="bottomRight" state="frozen"/>
      <selection pane="bottomRight" activeCell="L47" sqref="L47"/>
      <pageMargins left="0.7" right="0.7" top="0.75" bottom="0.75" header="0.3" footer="0.3"/>
      <pageSetup paperSize="9" orientation="portrait" r:id="rId1"/>
    </customSheetView>
  </customSheetViews>
  <conditionalFormatting sqref="C5:C13 C2:C3 C19:C27 C31:C42 C44 C46:C53 C59:C63 C66:C68 C70 C80:C86 C88 C90 C95:C103 C106:C130 C132:C144 C147:C153 C155:C156 C158:C161 C163 C167:C168 C170:C173 C177:C189 C193:C194 C198:C205 C210:C219 C226 C235:C241 C243 C245:C246 C248 C256 C263:C265 C269 C271 C275:C282 C284 C293:C296 C304 C313:C315 C317:C321 C326:C327 C329 C298:C302 C337:C346 C353:C364 C366:C381 C384:C387 C389 C391:C404 C410:C416 C420:C422 C443:C459 C461:C473 C475:C476 C478:C503 C506:C510 C424:C436 C512:C513 C519 C522:C528 C530:C534 C536:C543 C545 C549:C556 C559 C561:C569 C571:C573 C578:C585 C589:C597 C601 C603:C611 C616 C620:C622 C625:C626 C633:C643 C646 C652:C673 C677 C683:C710 C713:C715 C719:C722 C727:C731 C733 C737 C740:C757 C759:C761 C766 C768:C773 C776:C787 C793:C796 C801:C816 C819 C825:C838 C840:C841 C845:C846 C852:C862 C864:C877 C899:C900 C879:C886 C902 C904:C908 C910:C920 C922:C924 C927:C941 C943:C959 C961:C969 C971:C972 C977:C983 C985 C987 C990:C991 C994:C1014 C1017:C1030 C1036:C1041 C1043:C1046 C1048 C1055:C1059 C1081:C1091 C1065:C1074 C1093:C1094 C1097:C1107 C1111:C1115 C1117:C1120 C1122:C1128 C1130 C1136:C1145 C1151 C1153:C1166 C1147:C1149 C1168:C1174 C1184:C1185 C1188:C1195 C1201:C1202 C1210 C1213:C1215 C1217:C1230 C1233:C1243 C1245:C1248 C1255:C1261 C1266:C1267 C1271:C1273 C1276:C1278 C1282 C1286:C1290 C1293 C1298:C1299 C1340:C1348 C1302:C1338 C1357:C1376 C1378:C1386 C1390:C1404 C1388 C1406:C1407 C1412:C1413 C1416:C1429 C1433 C1435:C1458 C1463:C1485 C1489:C1494 C1496 C1526:C1537 C1500:C1523 C1546:C1561 C1563:C1564 C1566:C1580 C1584:C1586 C1603 C1588:C1600 C1606:C1638 C1643:C1654 C1657 C1659:C1674 C1677:C1694 C1696 C1699:C1704 C1708 C1710:C1711 C1714:C1727 C1730:C1743 C1745:C1746 C1748:C1756 C1759:C1772 C1779:C1803 C1805 C1807:C1808 C1810:C1814 C1817 C1821:C1825 C1828:C1833 C1839 C1843:C1855 C1857:C1877 C1879:C1880 C1882:C1884 C1887 C1889:C1891 C1893:C1899 C1903:C1904 C1909:C1930 C1932:C1937 C1942:C1048576">
    <cfRule type="cellIs" dxfId="1472" priority="6777" operator="equal">
      <formula>3</formula>
    </cfRule>
    <cfRule type="cellIs" dxfId="1471" priority="6778" operator="equal">
      <formula>2</formula>
    </cfRule>
    <cfRule type="cellIs" dxfId="1470" priority="6779" operator="equal">
      <formula>1</formula>
    </cfRule>
  </conditionalFormatting>
  <conditionalFormatting sqref="C4">
    <cfRule type="cellIs" dxfId="1469" priority="1357" operator="equal">
      <formula>3</formula>
    </cfRule>
    <cfRule type="cellIs" dxfId="1468" priority="1358" operator="equal">
      <formula>2</formula>
    </cfRule>
    <cfRule type="cellIs" dxfId="1467" priority="1359" operator="equal">
      <formula>1</formula>
    </cfRule>
  </conditionalFormatting>
  <conditionalFormatting sqref="C14">
    <cfRule type="cellIs" dxfId="1466" priority="1351" operator="equal">
      <formula>3</formula>
    </cfRule>
    <cfRule type="cellIs" dxfId="1465" priority="1352" operator="equal">
      <formula>2</formula>
    </cfRule>
    <cfRule type="cellIs" dxfId="1464" priority="1353" operator="equal">
      <formula>1</formula>
    </cfRule>
  </conditionalFormatting>
  <conditionalFormatting sqref="C15">
    <cfRule type="cellIs" dxfId="1463" priority="1348" operator="equal">
      <formula>3</formula>
    </cfRule>
    <cfRule type="cellIs" dxfId="1462" priority="1349" operator="equal">
      <formula>2</formula>
    </cfRule>
    <cfRule type="cellIs" dxfId="1461" priority="1350" operator="equal">
      <formula>1</formula>
    </cfRule>
  </conditionalFormatting>
  <conditionalFormatting sqref="C16">
    <cfRule type="cellIs" dxfId="1460" priority="1345" operator="equal">
      <formula>3</formula>
    </cfRule>
    <cfRule type="cellIs" dxfId="1459" priority="1346" operator="equal">
      <formula>2</formula>
    </cfRule>
    <cfRule type="cellIs" dxfId="1458" priority="1347" operator="equal">
      <formula>1</formula>
    </cfRule>
  </conditionalFormatting>
  <conditionalFormatting sqref="C17">
    <cfRule type="cellIs" dxfId="1457" priority="1342" operator="equal">
      <formula>3</formula>
    </cfRule>
    <cfRule type="cellIs" dxfId="1456" priority="1343" operator="equal">
      <formula>2</formula>
    </cfRule>
    <cfRule type="cellIs" dxfId="1455" priority="1344" operator="equal">
      <formula>1</formula>
    </cfRule>
  </conditionalFormatting>
  <conditionalFormatting sqref="C18">
    <cfRule type="cellIs" dxfId="1454" priority="1339" operator="equal">
      <formula>3</formula>
    </cfRule>
    <cfRule type="cellIs" dxfId="1453" priority="1340" operator="equal">
      <formula>2</formula>
    </cfRule>
    <cfRule type="cellIs" dxfId="1452" priority="1341" operator="equal">
      <formula>1</formula>
    </cfRule>
  </conditionalFormatting>
  <conditionalFormatting sqref="C28">
    <cfRule type="cellIs" dxfId="1451" priority="1336" operator="equal">
      <formula>3</formula>
    </cfRule>
    <cfRule type="cellIs" dxfId="1450" priority="1337" operator="equal">
      <formula>2</formula>
    </cfRule>
    <cfRule type="cellIs" dxfId="1449" priority="1338" operator="equal">
      <formula>1</formula>
    </cfRule>
  </conditionalFormatting>
  <conditionalFormatting sqref="C29">
    <cfRule type="cellIs" dxfId="1448" priority="1333" operator="equal">
      <formula>3</formula>
    </cfRule>
    <cfRule type="cellIs" dxfId="1447" priority="1334" operator="equal">
      <formula>2</formula>
    </cfRule>
    <cfRule type="cellIs" dxfId="1446" priority="1335" operator="equal">
      <formula>1</formula>
    </cfRule>
  </conditionalFormatting>
  <conditionalFormatting sqref="C30">
    <cfRule type="cellIs" dxfId="1445" priority="1330" operator="equal">
      <formula>3</formula>
    </cfRule>
    <cfRule type="cellIs" dxfId="1444" priority="1331" operator="equal">
      <formula>2</formula>
    </cfRule>
    <cfRule type="cellIs" dxfId="1443" priority="1332" operator="equal">
      <formula>1</formula>
    </cfRule>
  </conditionalFormatting>
  <conditionalFormatting sqref="C43">
    <cfRule type="cellIs" dxfId="1442" priority="1327" operator="equal">
      <formula>3</formula>
    </cfRule>
    <cfRule type="cellIs" dxfId="1441" priority="1328" operator="equal">
      <formula>2</formula>
    </cfRule>
    <cfRule type="cellIs" dxfId="1440" priority="1329" operator="equal">
      <formula>1</formula>
    </cfRule>
  </conditionalFormatting>
  <conditionalFormatting sqref="C45">
    <cfRule type="cellIs" dxfId="1439" priority="1324" operator="equal">
      <formula>3</formula>
    </cfRule>
    <cfRule type="cellIs" dxfId="1438" priority="1325" operator="equal">
      <formula>2</formula>
    </cfRule>
    <cfRule type="cellIs" dxfId="1437" priority="1326" operator="equal">
      <formula>1</formula>
    </cfRule>
  </conditionalFormatting>
  <conditionalFormatting sqref="C75">
    <cfRule type="cellIs" dxfId="1436" priority="1300" operator="equal">
      <formula>3</formula>
    </cfRule>
    <cfRule type="cellIs" dxfId="1435" priority="1301" operator="equal">
      <formula>2</formula>
    </cfRule>
    <cfRule type="cellIs" dxfId="1434" priority="1302" operator="equal">
      <formula>1</formula>
    </cfRule>
  </conditionalFormatting>
  <conditionalFormatting sqref="C54:C57">
    <cfRule type="cellIs" dxfId="1433" priority="1318" operator="equal">
      <formula>3</formula>
    </cfRule>
    <cfRule type="cellIs" dxfId="1432" priority="1319" operator="equal">
      <formula>2</formula>
    </cfRule>
    <cfRule type="cellIs" dxfId="1431" priority="1320" operator="equal">
      <formula>1</formula>
    </cfRule>
  </conditionalFormatting>
  <conditionalFormatting sqref="C58">
    <cfRule type="cellIs" dxfId="1430" priority="1315" operator="equal">
      <formula>3</formula>
    </cfRule>
    <cfRule type="cellIs" dxfId="1429" priority="1316" operator="equal">
      <formula>2</formula>
    </cfRule>
    <cfRule type="cellIs" dxfId="1428" priority="1317" operator="equal">
      <formula>1</formula>
    </cfRule>
  </conditionalFormatting>
  <conditionalFormatting sqref="C64">
    <cfRule type="cellIs" dxfId="1427" priority="1312" operator="equal">
      <formula>3</formula>
    </cfRule>
    <cfRule type="cellIs" dxfId="1426" priority="1313" operator="equal">
      <formula>2</formula>
    </cfRule>
    <cfRule type="cellIs" dxfId="1425" priority="1314" operator="equal">
      <formula>1</formula>
    </cfRule>
  </conditionalFormatting>
  <conditionalFormatting sqref="C65">
    <cfRule type="cellIs" dxfId="1424" priority="1309" operator="equal">
      <formula>3</formula>
    </cfRule>
    <cfRule type="cellIs" dxfId="1423" priority="1310" operator="equal">
      <formula>2</formula>
    </cfRule>
    <cfRule type="cellIs" dxfId="1422" priority="1311" operator="equal">
      <formula>1</formula>
    </cfRule>
  </conditionalFormatting>
  <conditionalFormatting sqref="C69">
    <cfRule type="cellIs" dxfId="1421" priority="1306" operator="equal">
      <formula>3</formula>
    </cfRule>
    <cfRule type="cellIs" dxfId="1420" priority="1307" operator="equal">
      <formula>2</formula>
    </cfRule>
    <cfRule type="cellIs" dxfId="1419" priority="1308" operator="equal">
      <formula>1</formula>
    </cfRule>
  </conditionalFormatting>
  <conditionalFormatting sqref="C71:C73">
    <cfRule type="cellIs" dxfId="1418" priority="1303" operator="equal">
      <formula>3</formula>
    </cfRule>
    <cfRule type="cellIs" dxfId="1417" priority="1304" operator="equal">
      <formula>2</formula>
    </cfRule>
    <cfRule type="cellIs" dxfId="1416" priority="1305" operator="equal">
      <formula>1</formula>
    </cfRule>
  </conditionalFormatting>
  <conditionalFormatting sqref="C74">
    <cfRule type="cellIs" dxfId="1415" priority="1297" operator="equal">
      <formula>3</formula>
    </cfRule>
    <cfRule type="cellIs" dxfId="1414" priority="1298" operator="equal">
      <formula>2</formula>
    </cfRule>
    <cfRule type="cellIs" dxfId="1413" priority="1299" operator="equal">
      <formula>1</formula>
    </cfRule>
  </conditionalFormatting>
  <conditionalFormatting sqref="C76">
    <cfRule type="cellIs" dxfId="1412" priority="1294" operator="equal">
      <formula>3</formula>
    </cfRule>
    <cfRule type="cellIs" dxfId="1411" priority="1295" operator="equal">
      <formula>2</formula>
    </cfRule>
    <cfRule type="cellIs" dxfId="1410" priority="1296" operator="equal">
      <formula>1</formula>
    </cfRule>
  </conditionalFormatting>
  <conditionalFormatting sqref="C77">
    <cfRule type="cellIs" dxfId="1409" priority="1291" operator="equal">
      <formula>3</formula>
    </cfRule>
    <cfRule type="cellIs" dxfId="1408" priority="1292" operator="equal">
      <formula>2</formula>
    </cfRule>
    <cfRule type="cellIs" dxfId="1407" priority="1293" operator="equal">
      <formula>1</formula>
    </cfRule>
  </conditionalFormatting>
  <conditionalFormatting sqref="C78">
    <cfRule type="cellIs" dxfId="1406" priority="1288" operator="equal">
      <formula>3</formula>
    </cfRule>
    <cfRule type="cellIs" dxfId="1405" priority="1289" operator="equal">
      <formula>2</formula>
    </cfRule>
    <cfRule type="cellIs" dxfId="1404" priority="1290" operator="equal">
      <formula>1</formula>
    </cfRule>
  </conditionalFormatting>
  <conditionalFormatting sqref="C79">
    <cfRule type="cellIs" dxfId="1403" priority="1285" operator="equal">
      <formula>3</formula>
    </cfRule>
    <cfRule type="cellIs" dxfId="1402" priority="1286" operator="equal">
      <formula>2</formula>
    </cfRule>
    <cfRule type="cellIs" dxfId="1401" priority="1287" operator="equal">
      <formula>1</formula>
    </cfRule>
  </conditionalFormatting>
  <conditionalFormatting sqref="C87">
    <cfRule type="cellIs" dxfId="1400" priority="1282" operator="equal">
      <formula>3</formula>
    </cfRule>
    <cfRule type="cellIs" dxfId="1399" priority="1283" operator="equal">
      <formula>2</formula>
    </cfRule>
    <cfRule type="cellIs" dxfId="1398" priority="1284" operator="equal">
      <formula>1</formula>
    </cfRule>
  </conditionalFormatting>
  <conditionalFormatting sqref="C89">
    <cfRule type="cellIs" dxfId="1397" priority="1279" operator="equal">
      <formula>3</formula>
    </cfRule>
    <cfRule type="cellIs" dxfId="1396" priority="1280" operator="equal">
      <formula>2</formula>
    </cfRule>
    <cfRule type="cellIs" dxfId="1395" priority="1281" operator="equal">
      <formula>1</formula>
    </cfRule>
  </conditionalFormatting>
  <conditionalFormatting sqref="C91">
    <cfRule type="cellIs" dxfId="1394" priority="1276" operator="equal">
      <formula>3</formula>
    </cfRule>
    <cfRule type="cellIs" dxfId="1393" priority="1277" operator="equal">
      <formula>2</formula>
    </cfRule>
    <cfRule type="cellIs" dxfId="1392" priority="1278" operator="equal">
      <formula>1</formula>
    </cfRule>
  </conditionalFormatting>
  <conditionalFormatting sqref="C92">
    <cfRule type="cellIs" dxfId="1391" priority="1273" operator="equal">
      <formula>3</formula>
    </cfRule>
    <cfRule type="cellIs" dxfId="1390" priority="1274" operator="equal">
      <formula>2</formula>
    </cfRule>
    <cfRule type="cellIs" dxfId="1389" priority="1275" operator="equal">
      <formula>1</formula>
    </cfRule>
  </conditionalFormatting>
  <conditionalFormatting sqref="C93">
    <cfRule type="cellIs" dxfId="1388" priority="1270" operator="equal">
      <formula>3</formula>
    </cfRule>
    <cfRule type="cellIs" dxfId="1387" priority="1271" operator="equal">
      <formula>2</formula>
    </cfRule>
    <cfRule type="cellIs" dxfId="1386" priority="1272" operator="equal">
      <formula>1</formula>
    </cfRule>
  </conditionalFormatting>
  <conditionalFormatting sqref="C94">
    <cfRule type="cellIs" dxfId="1385" priority="1267" operator="equal">
      <formula>3</formula>
    </cfRule>
    <cfRule type="cellIs" dxfId="1384" priority="1268" operator="equal">
      <formula>2</formula>
    </cfRule>
    <cfRule type="cellIs" dxfId="1383" priority="1269" operator="equal">
      <formula>1</formula>
    </cfRule>
  </conditionalFormatting>
  <conditionalFormatting sqref="C104:C105">
    <cfRule type="cellIs" dxfId="1382" priority="1261" operator="equal">
      <formula>3</formula>
    </cfRule>
    <cfRule type="cellIs" dxfId="1381" priority="1262" operator="equal">
      <formula>2</formula>
    </cfRule>
    <cfRule type="cellIs" dxfId="1380" priority="1263" operator="equal">
      <formula>1</formula>
    </cfRule>
  </conditionalFormatting>
  <conditionalFormatting sqref="C131">
    <cfRule type="cellIs" dxfId="1379" priority="1258" operator="equal">
      <formula>3</formula>
    </cfRule>
    <cfRule type="cellIs" dxfId="1378" priority="1259" operator="equal">
      <formula>2</formula>
    </cfRule>
    <cfRule type="cellIs" dxfId="1377" priority="1260" operator="equal">
      <formula>1</formula>
    </cfRule>
  </conditionalFormatting>
  <conditionalFormatting sqref="C145">
    <cfRule type="cellIs" dxfId="1376" priority="1255" operator="equal">
      <formula>3</formula>
    </cfRule>
    <cfRule type="cellIs" dxfId="1375" priority="1256" operator="equal">
      <formula>2</formula>
    </cfRule>
    <cfRule type="cellIs" dxfId="1374" priority="1257" operator="equal">
      <formula>1</formula>
    </cfRule>
  </conditionalFormatting>
  <conditionalFormatting sqref="C146">
    <cfRule type="cellIs" dxfId="1373" priority="1252" operator="equal">
      <formula>3</formula>
    </cfRule>
    <cfRule type="cellIs" dxfId="1372" priority="1253" operator="equal">
      <formula>2</formula>
    </cfRule>
    <cfRule type="cellIs" dxfId="1371" priority="1254" operator="equal">
      <formula>1</formula>
    </cfRule>
  </conditionalFormatting>
  <conditionalFormatting sqref="C176">
    <cfRule type="cellIs" dxfId="1370" priority="1222" operator="equal">
      <formula>3</formula>
    </cfRule>
    <cfRule type="cellIs" dxfId="1369" priority="1223" operator="equal">
      <formula>2</formula>
    </cfRule>
    <cfRule type="cellIs" dxfId="1368" priority="1224" operator="equal">
      <formula>1</formula>
    </cfRule>
  </conditionalFormatting>
  <conditionalFormatting sqref="C154">
    <cfRule type="cellIs" dxfId="1367" priority="1249" operator="equal">
      <formula>3</formula>
    </cfRule>
    <cfRule type="cellIs" dxfId="1366" priority="1250" operator="equal">
      <formula>2</formula>
    </cfRule>
    <cfRule type="cellIs" dxfId="1365" priority="1251" operator="equal">
      <formula>1</formula>
    </cfRule>
  </conditionalFormatting>
  <conditionalFormatting sqref="C157">
    <cfRule type="cellIs" dxfId="1364" priority="1246" operator="equal">
      <formula>3</formula>
    </cfRule>
    <cfRule type="cellIs" dxfId="1363" priority="1247" operator="equal">
      <formula>2</formula>
    </cfRule>
    <cfRule type="cellIs" dxfId="1362" priority="1248" operator="equal">
      <formula>1</formula>
    </cfRule>
  </conditionalFormatting>
  <conditionalFormatting sqref="C162">
    <cfRule type="cellIs" dxfId="1361" priority="1243" operator="equal">
      <formula>3</formula>
    </cfRule>
    <cfRule type="cellIs" dxfId="1360" priority="1244" operator="equal">
      <formula>2</formula>
    </cfRule>
    <cfRule type="cellIs" dxfId="1359" priority="1245" operator="equal">
      <formula>1</formula>
    </cfRule>
  </conditionalFormatting>
  <conditionalFormatting sqref="C164">
    <cfRule type="cellIs" dxfId="1358" priority="1240" operator="equal">
      <formula>3</formula>
    </cfRule>
    <cfRule type="cellIs" dxfId="1357" priority="1241" operator="equal">
      <formula>2</formula>
    </cfRule>
    <cfRule type="cellIs" dxfId="1356" priority="1242" operator="equal">
      <formula>1</formula>
    </cfRule>
  </conditionalFormatting>
  <conditionalFormatting sqref="C165">
    <cfRule type="cellIs" dxfId="1355" priority="1237" operator="equal">
      <formula>3</formula>
    </cfRule>
    <cfRule type="cellIs" dxfId="1354" priority="1238" operator="equal">
      <formula>2</formula>
    </cfRule>
    <cfRule type="cellIs" dxfId="1353" priority="1239" operator="equal">
      <formula>1</formula>
    </cfRule>
  </conditionalFormatting>
  <conditionalFormatting sqref="C166">
    <cfRule type="cellIs" dxfId="1352" priority="1234" operator="equal">
      <formula>3</formula>
    </cfRule>
    <cfRule type="cellIs" dxfId="1351" priority="1235" operator="equal">
      <formula>2</formula>
    </cfRule>
    <cfRule type="cellIs" dxfId="1350" priority="1236" operator="equal">
      <formula>1</formula>
    </cfRule>
  </conditionalFormatting>
  <conditionalFormatting sqref="C169">
    <cfRule type="cellIs" dxfId="1349" priority="1231" operator="equal">
      <formula>3</formula>
    </cfRule>
    <cfRule type="cellIs" dxfId="1348" priority="1232" operator="equal">
      <formula>2</formula>
    </cfRule>
    <cfRule type="cellIs" dxfId="1347" priority="1233" operator="equal">
      <formula>1</formula>
    </cfRule>
  </conditionalFormatting>
  <conditionalFormatting sqref="C174">
    <cfRule type="cellIs" dxfId="1346" priority="1228" operator="equal">
      <formula>3</formula>
    </cfRule>
    <cfRule type="cellIs" dxfId="1345" priority="1229" operator="equal">
      <formula>2</formula>
    </cfRule>
    <cfRule type="cellIs" dxfId="1344" priority="1230" operator="equal">
      <formula>1</formula>
    </cfRule>
  </conditionalFormatting>
  <conditionalFormatting sqref="C175">
    <cfRule type="cellIs" dxfId="1343" priority="1225" operator="equal">
      <formula>3</formula>
    </cfRule>
    <cfRule type="cellIs" dxfId="1342" priority="1226" operator="equal">
      <formula>2</formula>
    </cfRule>
    <cfRule type="cellIs" dxfId="1341" priority="1227" operator="equal">
      <formula>1</formula>
    </cfRule>
  </conditionalFormatting>
  <conditionalFormatting sqref="C190">
    <cfRule type="cellIs" dxfId="1340" priority="1219" operator="equal">
      <formula>3</formula>
    </cfRule>
    <cfRule type="cellIs" dxfId="1339" priority="1220" operator="equal">
      <formula>2</formula>
    </cfRule>
    <cfRule type="cellIs" dxfId="1338" priority="1221" operator="equal">
      <formula>1</formula>
    </cfRule>
  </conditionalFormatting>
  <conditionalFormatting sqref="C191">
    <cfRule type="cellIs" dxfId="1337" priority="1216" operator="equal">
      <formula>3</formula>
    </cfRule>
    <cfRule type="cellIs" dxfId="1336" priority="1217" operator="equal">
      <formula>2</formula>
    </cfRule>
    <cfRule type="cellIs" dxfId="1335" priority="1218" operator="equal">
      <formula>1</formula>
    </cfRule>
  </conditionalFormatting>
  <conditionalFormatting sqref="C192">
    <cfRule type="cellIs" dxfId="1334" priority="1213" operator="equal">
      <formula>3</formula>
    </cfRule>
    <cfRule type="cellIs" dxfId="1333" priority="1214" operator="equal">
      <formula>2</formula>
    </cfRule>
    <cfRule type="cellIs" dxfId="1332" priority="1215" operator="equal">
      <formula>1</formula>
    </cfRule>
  </conditionalFormatting>
  <conditionalFormatting sqref="C195">
    <cfRule type="cellIs" dxfId="1331" priority="1210" operator="equal">
      <formula>3</formula>
    </cfRule>
    <cfRule type="cellIs" dxfId="1330" priority="1211" operator="equal">
      <formula>2</formula>
    </cfRule>
    <cfRule type="cellIs" dxfId="1329" priority="1212" operator="equal">
      <formula>1</formula>
    </cfRule>
  </conditionalFormatting>
  <conditionalFormatting sqref="C196">
    <cfRule type="cellIs" dxfId="1328" priority="1207" operator="equal">
      <formula>3</formula>
    </cfRule>
    <cfRule type="cellIs" dxfId="1327" priority="1208" operator="equal">
      <formula>2</formula>
    </cfRule>
    <cfRule type="cellIs" dxfId="1326" priority="1209" operator="equal">
      <formula>1</formula>
    </cfRule>
  </conditionalFormatting>
  <conditionalFormatting sqref="C197">
    <cfRule type="cellIs" dxfId="1325" priority="1204" operator="equal">
      <formula>3</formula>
    </cfRule>
    <cfRule type="cellIs" dxfId="1324" priority="1205" operator="equal">
      <formula>2</formula>
    </cfRule>
    <cfRule type="cellIs" dxfId="1323" priority="1206" operator="equal">
      <formula>1</formula>
    </cfRule>
  </conditionalFormatting>
  <conditionalFormatting sqref="C206">
    <cfRule type="cellIs" dxfId="1322" priority="1201" operator="equal">
      <formula>3</formula>
    </cfRule>
    <cfRule type="cellIs" dxfId="1321" priority="1202" operator="equal">
      <formula>2</formula>
    </cfRule>
    <cfRule type="cellIs" dxfId="1320" priority="1203" operator="equal">
      <formula>1</formula>
    </cfRule>
  </conditionalFormatting>
  <conditionalFormatting sqref="C207">
    <cfRule type="cellIs" dxfId="1319" priority="1198" operator="equal">
      <formula>3</formula>
    </cfRule>
    <cfRule type="cellIs" dxfId="1318" priority="1199" operator="equal">
      <formula>2</formula>
    </cfRule>
    <cfRule type="cellIs" dxfId="1317" priority="1200" operator="equal">
      <formula>1</formula>
    </cfRule>
  </conditionalFormatting>
  <conditionalFormatting sqref="C208">
    <cfRule type="cellIs" dxfId="1316" priority="1195" operator="equal">
      <formula>3</formula>
    </cfRule>
    <cfRule type="cellIs" dxfId="1315" priority="1196" operator="equal">
      <formula>2</formula>
    </cfRule>
    <cfRule type="cellIs" dxfId="1314" priority="1197" operator="equal">
      <formula>1</formula>
    </cfRule>
  </conditionalFormatting>
  <conditionalFormatting sqref="C209">
    <cfRule type="cellIs" dxfId="1313" priority="1192" operator="equal">
      <formula>3</formula>
    </cfRule>
    <cfRule type="cellIs" dxfId="1312" priority="1193" operator="equal">
      <formula>2</formula>
    </cfRule>
    <cfRule type="cellIs" dxfId="1311" priority="1194" operator="equal">
      <formula>1</formula>
    </cfRule>
  </conditionalFormatting>
  <conditionalFormatting sqref="C220">
    <cfRule type="cellIs" dxfId="1310" priority="1189" operator="equal">
      <formula>3</formula>
    </cfRule>
    <cfRule type="cellIs" dxfId="1309" priority="1190" operator="equal">
      <formula>2</formula>
    </cfRule>
    <cfRule type="cellIs" dxfId="1308" priority="1191" operator="equal">
      <formula>1</formula>
    </cfRule>
  </conditionalFormatting>
  <conditionalFormatting sqref="C221">
    <cfRule type="cellIs" dxfId="1307" priority="1186" operator="equal">
      <formula>3</formula>
    </cfRule>
    <cfRule type="cellIs" dxfId="1306" priority="1187" operator="equal">
      <formula>2</formula>
    </cfRule>
    <cfRule type="cellIs" dxfId="1305" priority="1188" operator="equal">
      <formula>1</formula>
    </cfRule>
  </conditionalFormatting>
  <conditionalFormatting sqref="C222">
    <cfRule type="cellIs" dxfId="1304" priority="1183" operator="equal">
      <formula>3</formula>
    </cfRule>
    <cfRule type="cellIs" dxfId="1303" priority="1184" operator="equal">
      <formula>2</formula>
    </cfRule>
    <cfRule type="cellIs" dxfId="1302" priority="1185" operator="equal">
      <formula>1</formula>
    </cfRule>
  </conditionalFormatting>
  <conditionalFormatting sqref="C223">
    <cfRule type="cellIs" dxfId="1301" priority="1180" operator="equal">
      <formula>3</formula>
    </cfRule>
    <cfRule type="cellIs" dxfId="1300" priority="1181" operator="equal">
      <formula>2</formula>
    </cfRule>
    <cfRule type="cellIs" dxfId="1299" priority="1182" operator="equal">
      <formula>1</formula>
    </cfRule>
  </conditionalFormatting>
  <conditionalFormatting sqref="C224">
    <cfRule type="cellIs" dxfId="1298" priority="1177" operator="equal">
      <formula>3</formula>
    </cfRule>
    <cfRule type="cellIs" dxfId="1297" priority="1178" operator="equal">
      <formula>2</formula>
    </cfRule>
    <cfRule type="cellIs" dxfId="1296" priority="1179" operator="equal">
      <formula>1</formula>
    </cfRule>
  </conditionalFormatting>
  <conditionalFormatting sqref="C225">
    <cfRule type="cellIs" dxfId="1295" priority="1174" operator="equal">
      <formula>3</formula>
    </cfRule>
    <cfRule type="cellIs" dxfId="1294" priority="1175" operator="equal">
      <formula>2</formula>
    </cfRule>
    <cfRule type="cellIs" dxfId="1293" priority="1176" operator="equal">
      <formula>1</formula>
    </cfRule>
  </conditionalFormatting>
  <conditionalFormatting sqref="C227">
    <cfRule type="cellIs" dxfId="1292" priority="1171" operator="equal">
      <formula>3</formula>
    </cfRule>
    <cfRule type="cellIs" dxfId="1291" priority="1172" operator="equal">
      <formula>2</formula>
    </cfRule>
    <cfRule type="cellIs" dxfId="1290" priority="1173" operator="equal">
      <formula>1</formula>
    </cfRule>
  </conditionalFormatting>
  <conditionalFormatting sqref="C228:C230">
    <cfRule type="cellIs" dxfId="1289" priority="1168" operator="equal">
      <formula>3</formula>
    </cfRule>
    <cfRule type="cellIs" dxfId="1288" priority="1169" operator="equal">
      <formula>2</formula>
    </cfRule>
    <cfRule type="cellIs" dxfId="1287" priority="1170" operator="equal">
      <formula>1</formula>
    </cfRule>
  </conditionalFormatting>
  <conditionalFormatting sqref="C231">
    <cfRule type="cellIs" dxfId="1286" priority="1165" operator="equal">
      <formula>3</formula>
    </cfRule>
    <cfRule type="cellIs" dxfId="1285" priority="1166" operator="equal">
      <formula>2</formula>
    </cfRule>
    <cfRule type="cellIs" dxfId="1284" priority="1167" operator="equal">
      <formula>1</formula>
    </cfRule>
  </conditionalFormatting>
  <conditionalFormatting sqref="C232">
    <cfRule type="cellIs" dxfId="1283" priority="1162" operator="equal">
      <formula>3</formula>
    </cfRule>
    <cfRule type="cellIs" dxfId="1282" priority="1163" operator="equal">
      <formula>2</formula>
    </cfRule>
    <cfRule type="cellIs" dxfId="1281" priority="1164" operator="equal">
      <formula>1</formula>
    </cfRule>
  </conditionalFormatting>
  <conditionalFormatting sqref="C233">
    <cfRule type="cellIs" dxfId="1280" priority="1159" operator="equal">
      <formula>3</formula>
    </cfRule>
    <cfRule type="cellIs" dxfId="1279" priority="1160" operator="equal">
      <formula>2</formula>
    </cfRule>
    <cfRule type="cellIs" dxfId="1278" priority="1161" operator="equal">
      <formula>1</formula>
    </cfRule>
  </conditionalFormatting>
  <conditionalFormatting sqref="C242">
    <cfRule type="cellIs" dxfId="1277" priority="1156" operator="equal">
      <formula>3</formula>
    </cfRule>
    <cfRule type="cellIs" dxfId="1276" priority="1157" operator="equal">
      <formula>2</formula>
    </cfRule>
    <cfRule type="cellIs" dxfId="1275" priority="1158" operator="equal">
      <formula>1</formula>
    </cfRule>
  </conditionalFormatting>
  <conditionalFormatting sqref="C244">
    <cfRule type="cellIs" dxfId="1274" priority="1153" operator="equal">
      <formula>3</formula>
    </cfRule>
    <cfRule type="cellIs" dxfId="1273" priority="1154" operator="equal">
      <formula>2</formula>
    </cfRule>
    <cfRule type="cellIs" dxfId="1272" priority="1155" operator="equal">
      <formula>1</formula>
    </cfRule>
  </conditionalFormatting>
  <conditionalFormatting sqref="C234">
    <cfRule type="cellIs" dxfId="1271" priority="1150" operator="equal">
      <formula>3</formula>
    </cfRule>
    <cfRule type="cellIs" dxfId="1270" priority="1151" operator="equal">
      <formula>2</formula>
    </cfRule>
    <cfRule type="cellIs" dxfId="1269" priority="1152" operator="equal">
      <formula>1</formula>
    </cfRule>
  </conditionalFormatting>
  <conditionalFormatting sqref="C247">
    <cfRule type="cellIs" dxfId="1268" priority="1147" operator="equal">
      <formula>3</formula>
    </cfRule>
    <cfRule type="cellIs" dxfId="1267" priority="1148" operator="equal">
      <formula>2</formula>
    </cfRule>
    <cfRule type="cellIs" dxfId="1266" priority="1149" operator="equal">
      <formula>1</formula>
    </cfRule>
  </conditionalFormatting>
  <conditionalFormatting sqref="C249:C250">
    <cfRule type="cellIs" dxfId="1265" priority="1144" operator="equal">
      <formula>3</formula>
    </cfRule>
    <cfRule type="cellIs" dxfId="1264" priority="1145" operator="equal">
      <formula>2</formula>
    </cfRule>
    <cfRule type="cellIs" dxfId="1263" priority="1146" operator="equal">
      <formula>1</formula>
    </cfRule>
  </conditionalFormatting>
  <conditionalFormatting sqref="C251:C252">
    <cfRule type="cellIs" dxfId="1262" priority="1141" operator="equal">
      <formula>3</formula>
    </cfRule>
    <cfRule type="cellIs" dxfId="1261" priority="1142" operator="equal">
      <formula>2</formula>
    </cfRule>
    <cfRule type="cellIs" dxfId="1260" priority="1143" operator="equal">
      <formula>1</formula>
    </cfRule>
  </conditionalFormatting>
  <conditionalFormatting sqref="C253">
    <cfRule type="cellIs" dxfId="1259" priority="1138" operator="equal">
      <formula>3</formula>
    </cfRule>
    <cfRule type="cellIs" dxfId="1258" priority="1139" operator="equal">
      <formula>2</formula>
    </cfRule>
    <cfRule type="cellIs" dxfId="1257" priority="1140" operator="equal">
      <formula>1</formula>
    </cfRule>
  </conditionalFormatting>
  <conditionalFormatting sqref="C254">
    <cfRule type="cellIs" dxfId="1256" priority="1135" operator="equal">
      <formula>3</formula>
    </cfRule>
    <cfRule type="cellIs" dxfId="1255" priority="1136" operator="equal">
      <formula>2</formula>
    </cfRule>
    <cfRule type="cellIs" dxfId="1254" priority="1137" operator="equal">
      <formula>1</formula>
    </cfRule>
  </conditionalFormatting>
  <conditionalFormatting sqref="C255">
    <cfRule type="cellIs" dxfId="1253" priority="1132" operator="equal">
      <formula>3</formula>
    </cfRule>
    <cfRule type="cellIs" dxfId="1252" priority="1133" operator="equal">
      <formula>2</formula>
    </cfRule>
    <cfRule type="cellIs" dxfId="1251" priority="1134" operator="equal">
      <formula>1</formula>
    </cfRule>
  </conditionalFormatting>
  <conditionalFormatting sqref="C257">
    <cfRule type="cellIs" dxfId="1250" priority="1129" operator="equal">
      <formula>3</formula>
    </cfRule>
    <cfRule type="cellIs" dxfId="1249" priority="1130" operator="equal">
      <formula>2</formula>
    </cfRule>
    <cfRule type="cellIs" dxfId="1248" priority="1131" operator="equal">
      <formula>1</formula>
    </cfRule>
  </conditionalFormatting>
  <conditionalFormatting sqref="C258">
    <cfRule type="cellIs" dxfId="1247" priority="1126" operator="equal">
      <formula>3</formula>
    </cfRule>
    <cfRule type="cellIs" dxfId="1246" priority="1127" operator="equal">
      <formula>2</formula>
    </cfRule>
    <cfRule type="cellIs" dxfId="1245" priority="1128" operator="equal">
      <formula>1</formula>
    </cfRule>
  </conditionalFormatting>
  <conditionalFormatting sqref="C259">
    <cfRule type="cellIs" dxfId="1244" priority="1123" operator="equal">
      <formula>3</formula>
    </cfRule>
    <cfRule type="cellIs" dxfId="1243" priority="1124" operator="equal">
      <formula>2</formula>
    </cfRule>
    <cfRule type="cellIs" dxfId="1242" priority="1125" operator="equal">
      <formula>1</formula>
    </cfRule>
  </conditionalFormatting>
  <conditionalFormatting sqref="C260">
    <cfRule type="cellIs" dxfId="1241" priority="1120" operator="equal">
      <formula>3</formula>
    </cfRule>
    <cfRule type="cellIs" dxfId="1240" priority="1121" operator="equal">
      <formula>2</formula>
    </cfRule>
    <cfRule type="cellIs" dxfId="1239" priority="1122" operator="equal">
      <formula>1</formula>
    </cfRule>
  </conditionalFormatting>
  <conditionalFormatting sqref="C331:C332">
    <cfRule type="cellIs" dxfId="1238" priority="1036" operator="equal">
      <formula>3</formula>
    </cfRule>
    <cfRule type="cellIs" dxfId="1237" priority="1037" operator="equal">
      <formula>2</formula>
    </cfRule>
    <cfRule type="cellIs" dxfId="1236" priority="1038" operator="equal">
      <formula>1</formula>
    </cfRule>
  </conditionalFormatting>
  <conditionalFormatting sqref="C261">
    <cfRule type="cellIs" dxfId="1235" priority="1117" operator="equal">
      <formula>3</formula>
    </cfRule>
    <cfRule type="cellIs" dxfId="1234" priority="1118" operator="equal">
      <formula>2</formula>
    </cfRule>
    <cfRule type="cellIs" dxfId="1233" priority="1119" operator="equal">
      <formula>1</formula>
    </cfRule>
  </conditionalFormatting>
  <conditionalFormatting sqref="C262">
    <cfRule type="cellIs" dxfId="1232" priority="1114" operator="equal">
      <formula>3</formula>
    </cfRule>
    <cfRule type="cellIs" dxfId="1231" priority="1115" operator="equal">
      <formula>2</formula>
    </cfRule>
    <cfRule type="cellIs" dxfId="1230" priority="1116" operator="equal">
      <formula>1</formula>
    </cfRule>
  </conditionalFormatting>
  <conditionalFormatting sqref="C266">
    <cfRule type="cellIs" dxfId="1229" priority="1111" operator="equal">
      <formula>3</formula>
    </cfRule>
    <cfRule type="cellIs" dxfId="1228" priority="1112" operator="equal">
      <formula>2</formula>
    </cfRule>
    <cfRule type="cellIs" dxfId="1227" priority="1113" operator="equal">
      <formula>1</formula>
    </cfRule>
  </conditionalFormatting>
  <conditionalFormatting sqref="C267">
    <cfRule type="cellIs" dxfId="1226" priority="1108" operator="equal">
      <formula>3</formula>
    </cfRule>
    <cfRule type="cellIs" dxfId="1225" priority="1109" operator="equal">
      <formula>2</formula>
    </cfRule>
    <cfRule type="cellIs" dxfId="1224" priority="1110" operator="equal">
      <formula>1</formula>
    </cfRule>
  </conditionalFormatting>
  <conditionalFormatting sqref="C268">
    <cfRule type="cellIs" dxfId="1223" priority="1105" operator="equal">
      <formula>3</formula>
    </cfRule>
    <cfRule type="cellIs" dxfId="1222" priority="1106" operator="equal">
      <formula>2</formula>
    </cfRule>
    <cfRule type="cellIs" dxfId="1221" priority="1107" operator="equal">
      <formula>1</formula>
    </cfRule>
  </conditionalFormatting>
  <conditionalFormatting sqref="C270">
    <cfRule type="cellIs" dxfId="1220" priority="1102" operator="equal">
      <formula>3</formula>
    </cfRule>
    <cfRule type="cellIs" dxfId="1219" priority="1103" operator="equal">
      <formula>2</formula>
    </cfRule>
    <cfRule type="cellIs" dxfId="1218" priority="1104" operator="equal">
      <formula>1</formula>
    </cfRule>
  </conditionalFormatting>
  <conditionalFormatting sqref="C272:C274">
    <cfRule type="cellIs" dxfId="1217" priority="1099" operator="equal">
      <formula>3</formula>
    </cfRule>
    <cfRule type="cellIs" dxfId="1216" priority="1100" operator="equal">
      <formula>2</formula>
    </cfRule>
    <cfRule type="cellIs" dxfId="1215" priority="1101" operator="equal">
      <formula>1</formula>
    </cfRule>
  </conditionalFormatting>
  <conditionalFormatting sqref="C283">
    <cfRule type="cellIs" dxfId="1214" priority="1096" operator="equal">
      <formula>3</formula>
    </cfRule>
    <cfRule type="cellIs" dxfId="1213" priority="1097" operator="equal">
      <formula>2</formula>
    </cfRule>
    <cfRule type="cellIs" dxfId="1212" priority="1098" operator="equal">
      <formula>1</formula>
    </cfRule>
  </conditionalFormatting>
  <conditionalFormatting sqref="C285:C287">
    <cfRule type="cellIs" dxfId="1211" priority="1093" operator="equal">
      <formula>3</formula>
    </cfRule>
    <cfRule type="cellIs" dxfId="1210" priority="1094" operator="equal">
      <formula>2</formula>
    </cfRule>
    <cfRule type="cellIs" dxfId="1209" priority="1095" operator="equal">
      <formula>1</formula>
    </cfRule>
  </conditionalFormatting>
  <conditionalFormatting sqref="C288">
    <cfRule type="cellIs" dxfId="1208" priority="1090" operator="equal">
      <formula>3</formula>
    </cfRule>
    <cfRule type="cellIs" dxfId="1207" priority="1091" operator="equal">
      <formula>2</formula>
    </cfRule>
    <cfRule type="cellIs" dxfId="1206" priority="1092" operator="equal">
      <formula>1</formula>
    </cfRule>
  </conditionalFormatting>
  <conditionalFormatting sqref="C289">
    <cfRule type="cellIs" dxfId="1205" priority="1087" operator="equal">
      <formula>3</formula>
    </cfRule>
    <cfRule type="cellIs" dxfId="1204" priority="1088" operator="equal">
      <formula>2</formula>
    </cfRule>
    <cfRule type="cellIs" dxfId="1203" priority="1089" operator="equal">
      <formula>1</formula>
    </cfRule>
  </conditionalFormatting>
  <conditionalFormatting sqref="C290:C291">
    <cfRule type="cellIs" dxfId="1202" priority="1084" operator="equal">
      <formula>3</formula>
    </cfRule>
    <cfRule type="cellIs" dxfId="1201" priority="1085" operator="equal">
      <formula>2</formula>
    </cfRule>
    <cfRule type="cellIs" dxfId="1200" priority="1086" operator="equal">
      <formula>1</formula>
    </cfRule>
  </conditionalFormatting>
  <conditionalFormatting sqref="C292">
    <cfRule type="cellIs" dxfId="1199" priority="1081" operator="equal">
      <formula>3</formula>
    </cfRule>
    <cfRule type="cellIs" dxfId="1198" priority="1082" operator="equal">
      <formula>2</formula>
    </cfRule>
    <cfRule type="cellIs" dxfId="1197" priority="1083" operator="equal">
      <formula>1</formula>
    </cfRule>
  </conditionalFormatting>
  <conditionalFormatting sqref="C303">
    <cfRule type="cellIs" dxfId="1196" priority="1078" operator="equal">
      <formula>3</formula>
    </cfRule>
    <cfRule type="cellIs" dxfId="1195" priority="1079" operator="equal">
      <formula>2</formula>
    </cfRule>
    <cfRule type="cellIs" dxfId="1194" priority="1080" operator="equal">
      <formula>1</formula>
    </cfRule>
  </conditionalFormatting>
  <conditionalFormatting sqref="C305">
    <cfRule type="cellIs" dxfId="1193" priority="1075" operator="equal">
      <formula>3</formula>
    </cfRule>
    <cfRule type="cellIs" dxfId="1192" priority="1076" operator="equal">
      <formula>2</formula>
    </cfRule>
    <cfRule type="cellIs" dxfId="1191" priority="1077" operator="equal">
      <formula>1</formula>
    </cfRule>
  </conditionalFormatting>
  <conditionalFormatting sqref="C306">
    <cfRule type="cellIs" dxfId="1190" priority="1072" operator="equal">
      <formula>3</formula>
    </cfRule>
    <cfRule type="cellIs" dxfId="1189" priority="1073" operator="equal">
      <formula>2</formula>
    </cfRule>
    <cfRule type="cellIs" dxfId="1188" priority="1074" operator="equal">
      <formula>1</formula>
    </cfRule>
  </conditionalFormatting>
  <conditionalFormatting sqref="C307:C308">
    <cfRule type="cellIs" dxfId="1187" priority="1069" operator="equal">
      <formula>3</formula>
    </cfRule>
    <cfRule type="cellIs" dxfId="1186" priority="1070" operator="equal">
      <formula>2</formula>
    </cfRule>
    <cfRule type="cellIs" dxfId="1185" priority="1071" operator="equal">
      <formula>1</formula>
    </cfRule>
  </conditionalFormatting>
  <conditionalFormatting sqref="C309">
    <cfRule type="cellIs" dxfId="1184" priority="1066" operator="equal">
      <formula>3</formula>
    </cfRule>
    <cfRule type="cellIs" dxfId="1183" priority="1067" operator="equal">
      <formula>2</formula>
    </cfRule>
    <cfRule type="cellIs" dxfId="1182" priority="1068" operator="equal">
      <formula>1</formula>
    </cfRule>
  </conditionalFormatting>
  <conditionalFormatting sqref="C310">
    <cfRule type="cellIs" dxfId="1181" priority="1063" operator="equal">
      <formula>3</formula>
    </cfRule>
    <cfRule type="cellIs" dxfId="1180" priority="1064" operator="equal">
      <formula>2</formula>
    </cfRule>
    <cfRule type="cellIs" dxfId="1179" priority="1065" operator="equal">
      <formula>1</formula>
    </cfRule>
  </conditionalFormatting>
  <conditionalFormatting sqref="C311:C312">
    <cfRule type="cellIs" dxfId="1178" priority="1060" operator="equal">
      <formula>3</formula>
    </cfRule>
    <cfRule type="cellIs" dxfId="1177" priority="1061" operator="equal">
      <formula>2</formula>
    </cfRule>
    <cfRule type="cellIs" dxfId="1176" priority="1062" operator="equal">
      <formula>1</formula>
    </cfRule>
  </conditionalFormatting>
  <conditionalFormatting sqref="C316">
    <cfRule type="cellIs" dxfId="1175" priority="1057" operator="equal">
      <formula>3</formula>
    </cfRule>
    <cfRule type="cellIs" dxfId="1174" priority="1058" operator="equal">
      <formula>2</formula>
    </cfRule>
    <cfRule type="cellIs" dxfId="1173" priority="1059" operator="equal">
      <formula>1</formula>
    </cfRule>
  </conditionalFormatting>
  <conditionalFormatting sqref="C322">
    <cfRule type="cellIs" dxfId="1172" priority="1054" operator="equal">
      <formula>3</formula>
    </cfRule>
    <cfRule type="cellIs" dxfId="1171" priority="1055" operator="equal">
      <formula>2</formula>
    </cfRule>
    <cfRule type="cellIs" dxfId="1170" priority="1056" operator="equal">
      <formula>1</formula>
    </cfRule>
  </conditionalFormatting>
  <conditionalFormatting sqref="C323">
    <cfRule type="cellIs" dxfId="1169" priority="1051" operator="equal">
      <formula>3</formula>
    </cfRule>
    <cfRule type="cellIs" dxfId="1168" priority="1052" operator="equal">
      <formula>2</formula>
    </cfRule>
    <cfRule type="cellIs" dxfId="1167" priority="1053" operator="equal">
      <formula>1</formula>
    </cfRule>
  </conditionalFormatting>
  <conditionalFormatting sqref="C324">
    <cfRule type="cellIs" dxfId="1166" priority="1048" operator="equal">
      <formula>3</formula>
    </cfRule>
    <cfRule type="cellIs" dxfId="1165" priority="1049" operator="equal">
      <formula>2</formula>
    </cfRule>
    <cfRule type="cellIs" dxfId="1164" priority="1050" operator="equal">
      <formula>1</formula>
    </cfRule>
  </conditionalFormatting>
  <conditionalFormatting sqref="C325">
    <cfRule type="cellIs" dxfId="1163" priority="1045" operator="equal">
      <formula>3</formula>
    </cfRule>
    <cfRule type="cellIs" dxfId="1162" priority="1046" operator="equal">
      <formula>2</formula>
    </cfRule>
    <cfRule type="cellIs" dxfId="1161" priority="1047" operator="equal">
      <formula>1</formula>
    </cfRule>
  </conditionalFormatting>
  <conditionalFormatting sqref="C328">
    <cfRule type="cellIs" dxfId="1160" priority="1042" operator="equal">
      <formula>3</formula>
    </cfRule>
    <cfRule type="cellIs" dxfId="1159" priority="1043" operator="equal">
      <formula>2</formula>
    </cfRule>
    <cfRule type="cellIs" dxfId="1158" priority="1044" operator="equal">
      <formula>1</formula>
    </cfRule>
  </conditionalFormatting>
  <conditionalFormatting sqref="C330">
    <cfRule type="cellIs" dxfId="1157" priority="1039" operator="equal">
      <formula>3</formula>
    </cfRule>
    <cfRule type="cellIs" dxfId="1156" priority="1040" operator="equal">
      <formula>2</formula>
    </cfRule>
    <cfRule type="cellIs" dxfId="1155" priority="1041" operator="equal">
      <formula>1</formula>
    </cfRule>
  </conditionalFormatting>
  <conditionalFormatting sqref="C297">
    <cfRule type="cellIs" dxfId="1154" priority="1033" operator="equal">
      <formula>3</formula>
    </cfRule>
    <cfRule type="cellIs" dxfId="1153" priority="1034" operator="equal">
      <formula>2</formula>
    </cfRule>
    <cfRule type="cellIs" dxfId="1152" priority="1035" operator="equal">
      <formula>1</formula>
    </cfRule>
  </conditionalFormatting>
  <conditionalFormatting sqref="C333:C334">
    <cfRule type="cellIs" dxfId="1151" priority="1030" operator="equal">
      <formula>3</formula>
    </cfRule>
    <cfRule type="cellIs" dxfId="1150" priority="1031" operator="equal">
      <formula>2</formula>
    </cfRule>
    <cfRule type="cellIs" dxfId="1149" priority="1032" operator="equal">
      <formula>1</formula>
    </cfRule>
  </conditionalFormatting>
  <conditionalFormatting sqref="C335">
    <cfRule type="cellIs" dxfId="1148" priority="1027" operator="equal">
      <formula>3</formula>
    </cfRule>
    <cfRule type="cellIs" dxfId="1147" priority="1028" operator="equal">
      <formula>2</formula>
    </cfRule>
    <cfRule type="cellIs" dxfId="1146" priority="1029" operator="equal">
      <formula>1</formula>
    </cfRule>
  </conditionalFormatting>
  <conditionalFormatting sqref="C336">
    <cfRule type="cellIs" dxfId="1145" priority="1024" operator="equal">
      <formula>3</formula>
    </cfRule>
    <cfRule type="cellIs" dxfId="1144" priority="1025" operator="equal">
      <formula>2</formula>
    </cfRule>
    <cfRule type="cellIs" dxfId="1143" priority="1026" operator="equal">
      <formula>1</formula>
    </cfRule>
  </conditionalFormatting>
  <conditionalFormatting sqref="C347:C348">
    <cfRule type="cellIs" dxfId="1142" priority="1021" operator="equal">
      <formula>3</formula>
    </cfRule>
    <cfRule type="cellIs" dxfId="1141" priority="1022" operator="equal">
      <formula>2</formula>
    </cfRule>
    <cfRule type="cellIs" dxfId="1140" priority="1023" operator="equal">
      <formula>1</formula>
    </cfRule>
  </conditionalFormatting>
  <conditionalFormatting sqref="C349:C350">
    <cfRule type="cellIs" dxfId="1139" priority="1018" operator="equal">
      <formula>3</formula>
    </cfRule>
    <cfRule type="cellIs" dxfId="1138" priority="1019" operator="equal">
      <formula>2</formula>
    </cfRule>
    <cfRule type="cellIs" dxfId="1137" priority="1020" operator="equal">
      <formula>1</formula>
    </cfRule>
  </conditionalFormatting>
  <conditionalFormatting sqref="C351">
    <cfRule type="cellIs" dxfId="1136" priority="1015" operator="equal">
      <formula>3</formula>
    </cfRule>
    <cfRule type="cellIs" dxfId="1135" priority="1016" operator="equal">
      <formula>2</formula>
    </cfRule>
    <cfRule type="cellIs" dxfId="1134" priority="1017" operator="equal">
      <formula>1</formula>
    </cfRule>
  </conditionalFormatting>
  <conditionalFormatting sqref="C352">
    <cfRule type="cellIs" dxfId="1133" priority="1012" operator="equal">
      <formula>3</formula>
    </cfRule>
    <cfRule type="cellIs" dxfId="1132" priority="1013" operator="equal">
      <formula>2</formula>
    </cfRule>
    <cfRule type="cellIs" dxfId="1131" priority="1014" operator="equal">
      <formula>1</formula>
    </cfRule>
  </conditionalFormatting>
  <conditionalFormatting sqref="C365">
    <cfRule type="cellIs" dxfId="1130" priority="1009" operator="equal">
      <formula>3</formula>
    </cfRule>
    <cfRule type="cellIs" dxfId="1129" priority="1010" operator="equal">
      <formula>2</formula>
    </cfRule>
    <cfRule type="cellIs" dxfId="1128" priority="1011" operator="equal">
      <formula>1</formula>
    </cfRule>
  </conditionalFormatting>
  <conditionalFormatting sqref="C382">
    <cfRule type="cellIs" dxfId="1127" priority="1006" operator="equal">
      <formula>3</formula>
    </cfRule>
    <cfRule type="cellIs" dxfId="1126" priority="1007" operator="equal">
      <formula>2</formula>
    </cfRule>
    <cfRule type="cellIs" dxfId="1125" priority="1008" operator="equal">
      <formula>1</formula>
    </cfRule>
  </conditionalFormatting>
  <conditionalFormatting sqref="C383">
    <cfRule type="cellIs" dxfId="1124" priority="1003" operator="equal">
      <formula>3</formula>
    </cfRule>
    <cfRule type="cellIs" dxfId="1123" priority="1004" operator="equal">
      <formula>2</formula>
    </cfRule>
    <cfRule type="cellIs" dxfId="1122" priority="1005" operator="equal">
      <formula>1</formula>
    </cfRule>
  </conditionalFormatting>
  <conditionalFormatting sqref="C390">
    <cfRule type="cellIs" dxfId="1121" priority="997" operator="equal">
      <formula>3</formula>
    </cfRule>
    <cfRule type="cellIs" dxfId="1120" priority="998" operator="equal">
      <formula>2</formula>
    </cfRule>
    <cfRule type="cellIs" dxfId="1119" priority="999" operator="equal">
      <formula>1</formula>
    </cfRule>
  </conditionalFormatting>
  <conditionalFormatting sqref="C388">
    <cfRule type="cellIs" dxfId="1118" priority="1000" operator="equal">
      <formula>3</formula>
    </cfRule>
    <cfRule type="cellIs" dxfId="1117" priority="1001" operator="equal">
      <formula>2</formula>
    </cfRule>
    <cfRule type="cellIs" dxfId="1116" priority="1002" operator="equal">
      <formula>1</formula>
    </cfRule>
  </conditionalFormatting>
  <conditionalFormatting sqref="C409">
    <cfRule type="cellIs" dxfId="1115" priority="982" operator="equal">
      <formula>3</formula>
    </cfRule>
    <cfRule type="cellIs" dxfId="1114" priority="983" operator="equal">
      <formula>2</formula>
    </cfRule>
    <cfRule type="cellIs" dxfId="1113" priority="984" operator="equal">
      <formula>1</formula>
    </cfRule>
  </conditionalFormatting>
  <conditionalFormatting sqref="C405">
    <cfRule type="cellIs" dxfId="1112" priority="994" operator="equal">
      <formula>3</formula>
    </cfRule>
    <cfRule type="cellIs" dxfId="1111" priority="995" operator="equal">
      <formula>2</formula>
    </cfRule>
    <cfRule type="cellIs" dxfId="1110" priority="996" operator="equal">
      <formula>1</formula>
    </cfRule>
  </conditionalFormatting>
  <conditionalFormatting sqref="C406">
    <cfRule type="cellIs" dxfId="1109" priority="991" operator="equal">
      <formula>3</formula>
    </cfRule>
    <cfRule type="cellIs" dxfId="1108" priority="992" operator="equal">
      <formula>2</formula>
    </cfRule>
    <cfRule type="cellIs" dxfId="1107" priority="993" operator="equal">
      <formula>1</formula>
    </cfRule>
  </conditionalFormatting>
  <conditionalFormatting sqref="C407">
    <cfRule type="cellIs" dxfId="1106" priority="988" operator="equal">
      <formula>3</formula>
    </cfRule>
    <cfRule type="cellIs" dxfId="1105" priority="989" operator="equal">
      <formula>2</formula>
    </cfRule>
    <cfRule type="cellIs" dxfId="1104" priority="990" operator="equal">
      <formula>1</formula>
    </cfRule>
  </conditionalFormatting>
  <conditionalFormatting sqref="C408">
    <cfRule type="cellIs" dxfId="1103" priority="985" operator="equal">
      <formula>3</formula>
    </cfRule>
    <cfRule type="cellIs" dxfId="1102" priority="986" operator="equal">
      <formula>2</formula>
    </cfRule>
    <cfRule type="cellIs" dxfId="1101" priority="987" operator="equal">
      <formula>1</formula>
    </cfRule>
  </conditionalFormatting>
  <conditionalFormatting sqref="C417">
    <cfRule type="cellIs" dxfId="1100" priority="979" operator="equal">
      <formula>3</formula>
    </cfRule>
    <cfRule type="cellIs" dxfId="1099" priority="980" operator="equal">
      <formula>2</formula>
    </cfRule>
    <cfRule type="cellIs" dxfId="1098" priority="981" operator="equal">
      <formula>1</formula>
    </cfRule>
  </conditionalFormatting>
  <conditionalFormatting sqref="C418">
    <cfRule type="cellIs" dxfId="1097" priority="976" operator="equal">
      <formula>3</formula>
    </cfRule>
    <cfRule type="cellIs" dxfId="1096" priority="977" operator="equal">
      <formula>2</formula>
    </cfRule>
    <cfRule type="cellIs" dxfId="1095" priority="978" operator="equal">
      <formula>1</formula>
    </cfRule>
  </conditionalFormatting>
  <conditionalFormatting sqref="C419">
    <cfRule type="cellIs" dxfId="1094" priority="973" operator="equal">
      <formula>3</formula>
    </cfRule>
    <cfRule type="cellIs" dxfId="1093" priority="974" operator="equal">
      <formula>2</formula>
    </cfRule>
    <cfRule type="cellIs" dxfId="1092" priority="975" operator="equal">
      <formula>1</formula>
    </cfRule>
  </conditionalFormatting>
  <conditionalFormatting sqref="C437">
    <cfRule type="cellIs" dxfId="1091" priority="970" operator="equal">
      <formula>3</formula>
    </cfRule>
    <cfRule type="cellIs" dxfId="1090" priority="971" operator="equal">
      <formula>2</formula>
    </cfRule>
    <cfRule type="cellIs" dxfId="1089" priority="972" operator="equal">
      <formula>1</formula>
    </cfRule>
  </conditionalFormatting>
  <conditionalFormatting sqref="C438">
    <cfRule type="cellIs" dxfId="1088" priority="967" operator="equal">
      <formula>3</formula>
    </cfRule>
    <cfRule type="cellIs" dxfId="1087" priority="968" operator="equal">
      <formula>2</formula>
    </cfRule>
    <cfRule type="cellIs" dxfId="1086" priority="969" operator="equal">
      <formula>1</formula>
    </cfRule>
  </conditionalFormatting>
  <conditionalFormatting sqref="C439">
    <cfRule type="cellIs" dxfId="1085" priority="964" operator="equal">
      <formula>3</formula>
    </cfRule>
    <cfRule type="cellIs" dxfId="1084" priority="965" operator="equal">
      <formula>2</formula>
    </cfRule>
    <cfRule type="cellIs" dxfId="1083" priority="966" operator="equal">
      <formula>1</formula>
    </cfRule>
  </conditionalFormatting>
  <conditionalFormatting sqref="C440">
    <cfRule type="cellIs" dxfId="1082" priority="961" operator="equal">
      <formula>3</formula>
    </cfRule>
    <cfRule type="cellIs" dxfId="1081" priority="962" operator="equal">
      <formula>2</formula>
    </cfRule>
    <cfRule type="cellIs" dxfId="1080" priority="963" operator="equal">
      <formula>1</formula>
    </cfRule>
  </conditionalFormatting>
  <conditionalFormatting sqref="C441">
    <cfRule type="cellIs" dxfId="1079" priority="958" operator="equal">
      <formula>3</formula>
    </cfRule>
    <cfRule type="cellIs" dxfId="1078" priority="959" operator="equal">
      <formula>2</formula>
    </cfRule>
    <cfRule type="cellIs" dxfId="1077" priority="960" operator="equal">
      <formula>1</formula>
    </cfRule>
  </conditionalFormatting>
  <conditionalFormatting sqref="C460">
    <cfRule type="cellIs" dxfId="1076" priority="955" operator="equal">
      <formula>3</formula>
    </cfRule>
    <cfRule type="cellIs" dxfId="1075" priority="956" operator="equal">
      <formula>2</formula>
    </cfRule>
    <cfRule type="cellIs" dxfId="1074" priority="957" operator="equal">
      <formula>1</formula>
    </cfRule>
  </conditionalFormatting>
  <conditionalFormatting sqref="C474">
    <cfRule type="cellIs" dxfId="1073" priority="952" operator="equal">
      <formula>3</formula>
    </cfRule>
    <cfRule type="cellIs" dxfId="1072" priority="953" operator="equal">
      <formula>2</formula>
    </cfRule>
    <cfRule type="cellIs" dxfId="1071" priority="954" operator="equal">
      <formula>1</formula>
    </cfRule>
  </conditionalFormatting>
  <conditionalFormatting sqref="C477">
    <cfRule type="cellIs" dxfId="1070" priority="949" operator="equal">
      <formula>3</formula>
    </cfRule>
    <cfRule type="cellIs" dxfId="1069" priority="950" operator="equal">
      <formula>2</formula>
    </cfRule>
    <cfRule type="cellIs" dxfId="1068" priority="951" operator="equal">
      <formula>1</formula>
    </cfRule>
  </conditionalFormatting>
  <conditionalFormatting sqref="C504:C505">
    <cfRule type="cellIs" dxfId="1067" priority="946" operator="equal">
      <formula>3</formula>
    </cfRule>
    <cfRule type="cellIs" dxfId="1066" priority="947" operator="equal">
      <formula>2</formula>
    </cfRule>
    <cfRule type="cellIs" dxfId="1065" priority="948" operator="equal">
      <formula>1</formula>
    </cfRule>
  </conditionalFormatting>
  <conditionalFormatting sqref="C423">
    <cfRule type="cellIs" dxfId="1064" priority="943" operator="equal">
      <formula>3</formula>
    </cfRule>
    <cfRule type="cellIs" dxfId="1063" priority="944" operator="equal">
      <formula>2</formula>
    </cfRule>
    <cfRule type="cellIs" dxfId="1062" priority="945" operator="equal">
      <formula>1</formula>
    </cfRule>
  </conditionalFormatting>
  <conditionalFormatting sqref="C442">
    <cfRule type="cellIs" dxfId="1061" priority="940" operator="equal">
      <formula>3</formula>
    </cfRule>
    <cfRule type="cellIs" dxfId="1060" priority="941" operator="equal">
      <formula>2</formula>
    </cfRule>
    <cfRule type="cellIs" dxfId="1059" priority="942" operator="equal">
      <formula>1</formula>
    </cfRule>
  </conditionalFormatting>
  <conditionalFormatting sqref="C517:C518">
    <cfRule type="cellIs" dxfId="1058" priority="928" operator="equal">
      <formula>3</formula>
    </cfRule>
    <cfRule type="cellIs" dxfId="1057" priority="929" operator="equal">
      <formula>2</formula>
    </cfRule>
    <cfRule type="cellIs" dxfId="1056" priority="930" operator="equal">
      <formula>1</formula>
    </cfRule>
  </conditionalFormatting>
  <conditionalFormatting sqref="C511">
    <cfRule type="cellIs" dxfId="1055" priority="937" operator="equal">
      <formula>3</formula>
    </cfRule>
    <cfRule type="cellIs" dxfId="1054" priority="938" operator="equal">
      <formula>2</formula>
    </cfRule>
    <cfRule type="cellIs" dxfId="1053" priority="939" operator="equal">
      <formula>1</formula>
    </cfRule>
  </conditionalFormatting>
  <conditionalFormatting sqref="C514">
    <cfRule type="cellIs" dxfId="1052" priority="934" operator="equal">
      <formula>3</formula>
    </cfRule>
    <cfRule type="cellIs" dxfId="1051" priority="935" operator="equal">
      <formula>2</formula>
    </cfRule>
    <cfRule type="cellIs" dxfId="1050" priority="936" operator="equal">
      <formula>1</formula>
    </cfRule>
  </conditionalFormatting>
  <conditionalFormatting sqref="C515:C516">
    <cfRule type="cellIs" dxfId="1049" priority="931" operator="equal">
      <formula>3</formula>
    </cfRule>
    <cfRule type="cellIs" dxfId="1048" priority="932" operator="equal">
      <formula>2</formula>
    </cfRule>
    <cfRule type="cellIs" dxfId="1047" priority="933" operator="equal">
      <formula>1</formula>
    </cfRule>
  </conditionalFormatting>
  <conditionalFormatting sqref="C520">
    <cfRule type="cellIs" dxfId="1046" priority="925" operator="equal">
      <formula>3</formula>
    </cfRule>
    <cfRule type="cellIs" dxfId="1045" priority="926" operator="equal">
      <formula>2</formula>
    </cfRule>
    <cfRule type="cellIs" dxfId="1044" priority="927" operator="equal">
      <formula>1</formula>
    </cfRule>
  </conditionalFormatting>
  <conditionalFormatting sqref="C521">
    <cfRule type="cellIs" dxfId="1043" priority="922" operator="equal">
      <formula>3</formula>
    </cfRule>
    <cfRule type="cellIs" dxfId="1042" priority="923" operator="equal">
      <formula>2</formula>
    </cfRule>
    <cfRule type="cellIs" dxfId="1041" priority="924" operator="equal">
      <formula>1</formula>
    </cfRule>
  </conditionalFormatting>
  <conditionalFormatting sqref="C529">
    <cfRule type="cellIs" dxfId="1040" priority="919" operator="equal">
      <formula>3</formula>
    </cfRule>
    <cfRule type="cellIs" dxfId="1039" priority="920" operator="equal">
      <formula>2</formula>
    </cfRule>
    <cfRule type="cellIs" dxfId="1038" priority="921" operator="equal">
      <formula>1</formula>
    </cfRule>
  </conditionalFormatting>
  <conditionalFormatting sqref="C535">
    <cfRule type="cellIs" dxfId="1037" priority="916" operator="equal">
      <formula>3</formula>
    </cfRule>
    <cfRule type="cellIs" dxfId="1036" priority="917" operator="equal">
      <formula>2</formula>
    </cfRule>
    <cfRule type="cellIs" dxfId="1035" priority="918" operator="equal">
      <formula>1</formula>
    </cfRule>
  </conditionalFormatting>
  <conditionalFormatting sqref="C544">
    <cfRule type="cellIs" dxfId="1034" priority="913" operator="equal">
      <formula>3</formula>
    </cfRule>
    <cfRule type="cellIs" dxfId="1033" priority="914" operator="equal">
      <formula>2</formula>
    </cfRule>
    <cfRule type="cellIs" dxfId="1032" priority="915" operator="equal">
      <formula>1</formula>
    </cfRule>
  </conditionalFormatting>
  <conditionalFormatting sqref="C546">
    <cfRule type="cellIs" dxfId="1031" priority="910" operator="equal">
      <formula>3</formula>
    </cfRule>
    <cfRule type="cellIs" dxfId="1030" priority="911" operator="equal">
      <formula>2</formula>
    </cfRule>
    <cfRule type="cellIs" dxfId="1029" priority="912" operator="equal">
      <formula>1</formula>
    </cfRule>
  </conditionalFormatting>
  <conditionalFormatting sqref="C547">
    <cfRule type="cellIs" dxfId="1028" priority="907" operator="equal">
      <formula>3</formula>
    </cfRule>
    <cfRule type="cellIs" dxfId="1027" priority="908" operator="equal">
      <formula>2</formula>
    </cfRule>
    <cfRule type="cellIs" dxfId="1026" priority="909" operator="equal">
      <formula>1</formula>
    </cfRule>
  </conditionalFormatting>
  <conditionalFormatting sqref="C548">
    <cfRule type="cellIs" dxfId="1025" priority="904" operator="equal">
      <formula>3</formula>
    </cfRule>
    <cfRule type="cellIs" dxfId="1024" priority="905" operator="equal">
      <formula>2</formula>
    </cfRule>
    <cfRule type="cellIs" dxfId="1023" priority="906" operator="equal">
      <formula>1</formula>
    </cfRule>
  </conditionalFormatting>
  <conditionalFormatting sqref="C557">
    <cfRule type="cellIs" dxfId="1022" priority="901" operator="equal">
      <formula>3</formula>
    </cfRule>
    <cfRule type="cellIs" dxfId="1021" priority="902" operator="equal">
      <formula>2</formula>
    </cfRule>
    <cfRule type="cellIs" dxfId="1020" priority="903" operator="equal">
      <formula>1</formula>
    </cfRule>
  </conditionalFormatting>
  <conditionalFormatting sqref="C558">
    <cfRule type="cellIs" dxfId="1019" priority="898" operator="equal">
      <formula>3</formula>
    </cfRule>
    <cfRule type="cellIs" dxfId="1018" priority="899" operator="equal">
      <formula>2</formula>
    </cfRule>
    <cfRule type="cellIs" dxfId="1017" priority="900" operator="equal">
      <formula>1</formula>
    </cfRule>
  </conditionalFormatting>
  <conditionalFormatting sqref="C560">
    <cfRule type="cellIs" dxfId="1016" priority="895" operator="equal">
      <formula>3</formula>
    </cfRule>
    <cfRule type="cellIs" dxfId="1015" priority="896" operator="equal">
      <formula>2</formula>
    </cfRule>
    <cfRule type="cellIs" dxfId="1014" priority="897" operator="equal">
      <formula>1</formula>
    </cfRule>
  </conditionalFormatting>
  <conditionalFormatting sqref="C570">
    <cfRule type="cellIs" dxfId="1013" priority="892" operator="equal">
      <formula>3</formula>
    </cfRule>
    <cfRule type="cellIs" dxfId="1012" priority="893" operator="equal">
      <formula>2</formula>
    </cfRule>
    <cfRule type="cellIs" dxfId="1011" priority="894" operator="equal">
      <formula>1</formula>
    </cfRule>
  </conditionalFormatting>
  <conditionalFormatting sqref="C574:C575">
    <cfRule type="cellIs" dxfId="1010" priority="889" operator="equal">
      <formula>3</formula>
    </cfRule>
    <cfRule type="cellIs" dxfId="1009" priority="890" operator="equal">
      <formula>2</formula>
    </cfRule>
    <cfRule type="cellIs" dxfId="1008" priority="891" operator="equal">
      <formula>1</formula>
    </cfRule>
  </conditionalFormatting>
  <conditionalFormatting sqref="C576">
    <cfRule type="cellIs" dxfId="1007" priority="886" operator="equal">
      <formula>3</formula>
    </cfRule>
    <cfRule type="cellIs" dxfId="1006" priority="887" operator="equal">
      <formula>2</formula>
    </cfRule>
    <cfRule type="cellIs" dxfId="1005" priority="888" operator="equal">
      <formula>1</formula>
    </cfRule>
  </conditionalFormatting>
  <conditionalFormatting sqref="C577">
    <cfRule type="cellIs" dxfId="1004" priority="883" operator="equal">
      <formula>3</formula>
    </cfRule>
    <cfRule type="cellIs" dxfId="1003" priority="884" operator="equal">
      <formula>2</formula>
    </cfRule>
    <cfRule type="cellIs" dxfId="1002" priority="885" operator="equal">
      <formula>1</formula>
    </cfRule>
  </conditionalFormatting>
  <conditionalFormatting sqref="C586:C588">
    <cfRule type="cellIs" dxfId="1001" priority="880" operator="equal">
      <formula>3</formula>
    </cfRule>
    <cfRule type="cellIs" dxfId="1000" priority="881" operator="equal">
      <formula>2</formula>
    </cfRule>
    <cfRule type="cellIs" dxfId="999" priority="882" operator="equal">
      <formula>1</formula>
    </cfRule>
  </conditionalFormatting>
  <conditionalFormatting sqref="C598">
    <cfRule type="cellIs" dxfId="998" priority="877" operator="equal">
      <formula>3</formula>
    </cfRule>
    <cfRule type="cellIs" dxfId="997" priority="878" operator="equal">
      <formula>2</formula>
    </cfRule>
    <cfRule type="cellIs" dxfId="996" priority="879" operator="equal">
      <formula>1</formula>
    </cfRule>
  </conditionalFormatting>
  <conditionalFormatting sqref="C599">
    <cfRule type="cellIs" dxfId="995" priority="874" operator="equal">
      <formula>3</formula>
    </cfRule>
    <cfRule type="cellIs" dxfId="994" priority="875" operator="equal">
      <formula>2</formula>
    </cfRule>
    <cfRule type="cellIs" dxfId="993" priority="876" operator="equal">
      <formula>1</formula>
    </cfRule>
  </conditionalFormatting>
  <conditionalFormatting sqref="C600">
    <cfRule type="cellIs" dxfId="992" priority="871" operator="equal">
      <formula>3</formula>
    </cfRule>
    <cfRule type="cellIs" dxfId="991" priority="872" operator="equal">
      <formula>2</formula>
    </cfRule>
    <cfRule type="cellIs" dxfId="990" priority="873" operator="equal">
      <formula>1</formula>
    </cfRule>
  </conditionalFormatting>
  <conditionalFormatting sqref="C602">
    <cfRule type="cellIs" dxfId="989" priority="868" operator="equal">
      <formula>3</formula>
    </cfRule>
    <cfRule type="cellIs" dxfId="988" priority="869" operator="equal">
      <formula>2</formula>
    </cfRule>
    <cfRule type="cellIs" dxfId="987" priority="870" operator="equal">
      <formula>1</formula>
    </cfRule>
  </conditionalFormatting>
  <conditionalFormatting sqref="C612">
    <cfRule type="cellIs" dxfId="986" priority="865" operator="equal">
      <formula>3</formula>
    </cfRule>
    <cfRule type="cellIs" dxfId="985" priority="866" operator="equal">
      <formula>2</formula>
    </cfRule>
    <cfRule type="cellIs" dxfId="984" priority="867" operator="equal">
      <formula>1</formula>
    </cfRule>
  </conditionalFormatting>
  <conditionalFormatting sqref="C613">
    <cfRule type="cellIs" dxfId="983" priority="862" operator="equal">
      <formula>3</formula>
    </cfRule>
    <cfRule type="cellIs" dxfId="982" priority="863" operator="equal">
      <formula>2</formula>
    </cfRule>
    <cfRule type="cellIs" dxfId="981" priority="864" operator="equal">
      <formula>1</formula>
    </cfRule>
  </conditionalFormatting>
  <conditionalFormatting sqref="C614">
    <cfRule type="cellIs" dxfId="980" priority="859" operator="equal">
      <formula>3</formula>
    </cfRule>
    <cfRule type="cellIs" dxfId="979" priority="860" operator="equal">
      <formula>2</formula>
    </cfRule>
    <cfRule type="cellIs" dxfId="978" priority="861" operator="equal">
      <formula>1</formula>
    </cfRule>
  </conditionalFormatting>
  <conditionalFormatting sqref="C615">
    <cfRule type="cellIs" dxfId="977" priority="856" operator="equal">
      <formula>3</formula>
    </cfRule>
    <cfRule type="cellIs" dxfId="976" priority="857" operator="equal">
      <formula>2</formula>
    </cfRule>
    <cfRule type="cellIs" dxfId="975" priority="858" operator="equal">
      <formula>1</formula>
    </cfRule>
  </conditionalFormatting>
  <conditionalFormatting sqref="C617">
    <cfRule type="cellIs" dxfId="974" priority="853" operator="equal">
      <formula>3</formula>
    </cfRule>
    <cfRule type="cellIs" dxfId="973" priority="854" operator="equal">
      <formula>2</formula>
    </cfRule>
    <cfRule type="cellIs" dxfId="972" priority="855" operator="equal">
      <formula>1</formula>
    </cfRule>
  </conditionalFormatting>
  <conditionalFormatting sqref="C618">
    <cfRule type="cellIs" dxfId="971" priority="850" operator="equal">
      <formula>3</formula>
    </cfRule>
    <cfRule type="cellIs" dxfId="970" priority="851" operator="equal">
      <formula>2</formula>
    </cfRule>
    <cfRule type="cellIs" dxfId="969" priority="852" operator="equal">
      <formula>1</formula>
    </cfRule>
  </conditionalFormatting>
  <conditionalFormatting sqref="C619">
    <cfRule type="cellIs" dxfId="968" priority="847" operator="equal">
      <formula>3</formula>
    </cfRule>
    <cfRule type="cellIs" dxfId="967" priority="848" operator="equal">
      <formula>2</formula>
    </cfRule>
    <cfRule type="cellIs" dxfId="966" priority="849" operator="equal">
      <formula>1</formula>
    </cfRule>
  </conditionalFormatting>
  <conditionalFormatting sqref="C623">
    <cfRule type="cellIs" dxfId="965" priority="844" operator="equal">
      <formula>3</formula>
    </cfRule>
    <cfRule type="cellIs" dxfId="964" priority="845" operator="equal">
      <formula>2</formula>
    </cfRule>
    <cfRule type="cellIs" dxfId="963" priority="846" operator="equal">
      <formula>1</formula>
    </cfRule>
  </conditionalFormatting>
  <conditionalFormatting sqref="C624">
    <cfRule type="cellIs" dxfId="962" priority="841" operator="equal">
      <formula>3</formula>
    </cfRule>
    <cfRule type="cellIs" dxfId="961" priority="842" operator="equal">
      <formula>2</formula>
    </cfRule>
    <cfRule type="cellIs" dxfId="960" priority="843" operator="equal">
      <formula>1</formula>
    </cfRule>
  </conditionalFormatting>
  <conditionalFormatting sqref="C627">
    <cfRule type="cellIs" dxfId="959" priority="838" operator="equal">
      <formula>3</formula>
    </cfRule>
    <cfRule type="cellIs" dxfId="958" priority="839" operator="equal">
      <formula>2</formula>
    </cfRule>
    <cfRule type="cellIs" dxfId="957" priority="840" operator="equal">
      <formula>1</formula>
    </cfRule>
  </conditionalFormatting>
  <conditionalFormatting sqref="C628">
    <cfRule type="cellIs" dxfId="956" priority="835" operator="equal">
      <formula>3</formula>
    </cfRule>
    <cfRule type="cellIs" dxfId="955" priority="836" operator="equal">
      <formula>2</formula>
    </cfRule>
    <cfRule type="cellIs" dxfId="954" priority="837" operator="equal">
      <formula>1</formula>
    </cfRule>
  </conditionalFormatting>
  <conditionalFormatting sqref="C629">
    <cfRule type="cellIs" dxfId="953" priority="832" operator="equal">
      <formula>3</formula>
    </cfRule>
    <cfRule type="cellIs" dxfId="952" priority="833" operator="equal">
      <formula>2</formula>
    </cfRule>
    <cfRule type="cellIs" dxfId="951" priority="834" operator="equal">
      <formula>1</formula>
    </cfRule>
  </conditionalFormatting>
  <conditionalFormatting sqref="C630">
    <cfRule type="cellIs" dxfId="950" priority="829" operator="equal">
      <formula>3</formula>
    </cfRule>
    <cfRule type="cellIs" dxfId="949" priority="830" operator="equal">
      <formula>2</formula>
    </cfRule>
    <cfRule type="cellIs" dxfId="948" priority="831" operator="equal">
      <formula>1</formula>
    </cfRule>
  </conditionalFormatting>
  <conditionalFormatting sqref="C631">
    <cfRule type="cellIs" dxfId="947" priority="826" operator="equal">
      <formula>3</formula>
    </cfRule>
    <cfRule type="cellIs" dxfId="946" priority="827" operator="equal">
      <formula>2</formula>
    </cfRule>
    <cfRule type="cellIs" dxfId="945" priority="828" operator="equal">
      <formula>1</formula>
    </cfRule>
  </conditionalFormatting>
  <conditionalFormatting sqref="C632">
    <cfRule type="cellIs" dxfId="944" priority="823" operator="equal">
      <formula>3</formula>
    </cfRule>
    <cfRule type="cellIs" dxfId="943" priority="824" operator="equal">
      <formula>2</formula>
    </cfRule>
    <cfRule type="cellIs" dxfId="942" priority="825" operator="equal">
      <formula>1</formula>
    </cfRule>
  </conditionalFormatting>
  <conditionalFormatting sqref="C644:C645">
    <cfRule type="cellIs" dxfId="941" priority="820" operator="equal">
      <formula>3</formula>
    </cfRule>
    <cfRule type="cellIs" dxfId="940" priority="821" operator="equal">
      <formula>2</formula>
    </cfRule>
    <cfRule type="cellIs" dxfId="939" priority="822" operator="equal">
      <formula>1</formula>
    </cfRule>
  </conditionalFormatting>
  <conditionalFormatting sqref="C647:C651">
    <cfRule type="cellIs" dxfId="938" priority="817" operator="equal">
      <formula>3</formula>
    </cfRule>
    <cfRule type="cellIs" dxfId="937" priority="818" operator="equal">
      <formula>2</formula>
    </cfRule>
    <cfRule type="cellIs" dxfId="936" priority="819" operator="equal">
      <formula>1</formula>
    </cfRule>
  </conditionalFormatting>
  <conditionalFormatting sqref="C674">
    <cfRule type="cellIs" dxfId="935" priority="814" operator="equal">
      <formula>3</formula>
    </cfRule>
    <cfRule type="cellIs" dxfId="934" priority="815" operator="equal">
      <formula>2</formula>
    </cfRule>
    <cfRule type="cellIs" dxfId="933" priority="816" operator="equal">
      <formula>1</formula>
    </cfRule>
  </conditionalFormatting>
  <conditionalFormatting sqref="C675">
    <cfRule type="cellIs" dxfId="932" priority="811" operator="equal">
      <formula>3</formula>
    </cfRule>
    <cfRule type="cellIs" dxfId="931" priority="812" operator="equal">
      <formula>2</formula>
    </cfRule>
    <cfRule type="cellIs" dxfId="930" priority="813" operator="equal">
      <formula>1</formula>
    </cfRule>
  </conditionalFormatting>
  <conditionalFormatting sqref="C676">
    <cfRule type="cellIs" dxfId="929" priority="808" operator="equal">
      <formula>3</formula>
    </cfRule>
    <cfRule type="cellIs" dxfId="928" priority="809" operator="equal">
      <formula>2</formula>
    </cfRule>
    <cfRule type="cellIs" dxfId="927" priority="810" operator="equal">
      <formula>1</formula>
    </cfRule>
  </conditionalFormatting>
  <conditionalFormatting sqref="C678:C680">
    <cfRule type="cellIs" dxfId="926" priority="805" operator="equal">
      <formula>3</formula>
    </cfRule>
    <cfRule type="cellIs" dxfId="925" priority="806" operator="equal">
      <formula>2</formula>
    </cfRule>
    <cfRule type="cellIs" dxfId="924" priority="807" operator="equal">
      <formula>1</formula>
    </cfRule>
  </conditionalFormatting>
  <conditionalFormatting sqref="C681">
    <cfRule type="cellIs" dxfId="923" priority="802" operator="equal">
      <formula>3</formula>
    </cfRule>
    <cfRule type="cellIs" dxfId="922" priority="803" operator="equal">
      <formula>2</formula>
    </cfRule>
    <cfRule type="cellIs" dxfId="921" priority="804" operator="equal">
      <formula>1</formula>
    </cfRule>
  </conditionalFormatting>
  <conditionalFormatting sqref="C682">
    <cfRule type="cellIs" dxfId="920" priority="799" operator="equal">
      <formula>3</formula>
    </cfRule>
    <cfRule type="cellIs" dxfId="919" priority="800" operator="equal">
      <formula>2</formula>
    </cfRule>
    <cfRule type="cellIs" dxfId="918" priority="801" operator="equal">
      <formula>1</formula>
    </cfRule>
  </conditionalFormatting>
  <conditionalFormatting sqref="C711">
    <cfRule type="cellIs" dxfId="917" priority="796" operator="equal">
      <formula>3</formula>
    </cfRule>
    <cfRule type="cellIs" dxfId="916" priority="797" operator="equal">
      <formula>2</formula>
    </cfRule>
    <cfRule type="cellIs" dxfId="915" priority="798" operator="equal">
      <formula>1</formula>
    </cfRule>
  </conditionalFormatting>
  <conditionalFormatting sqref="C712">
    <cfRule type="cellIs" dxfId="914" priority="793" operator="equal">
      <formula>3</formula>
    </cfRule>
    <cfRule type="cellIs" dxfId="913" priority="794" operator="equal">
      <formula>2</formula>
    </cfRule>
    <cfRule type="cellIs" dxfId="912" priority="795" operator="equal">
      <formula>1</formula>
    </cfRule>
  </conditionalFormatting>
  <conditionalFormatting sqref="C716">
    <cfRule type="cellIs" dxfId="911" priority="790" operator="equal">
      <formula>3</formula>
    </cfRule>
    <cfRule type="cellIs" dxfId="910" priority="791" operator="equal">
      <formula>2</formula>
    </cfRule>
    <cfRule type="cellIs" dxfId="909" priority="792" operator="equal">
      <formula>1</formula>
    </cfRule>
  </conditionalFormatting>
  <conditionalFormatting sqref="C717">
    <cfRule type="cellIs" dxfId="908" priority="787" operator="equal">
      <formula>3</formula>
    </cfRule>
    <cfRule type="cellIs" dxfId="907" priority="788" operator="equal">
      <formula>2</formula>
    </cfRule>
    <cfRule type="cellIs" dxfId="906" priority="789" operator="equal">
      <formula>1</formula>
    </cfRule>
  </conditionalFormatting>
  <conditionalFormatting sqref="C718">
    <cfRule type="cellIs" dxfId="905" priority="784" operator="equal">
      <formula>3</formula>
    </cfRule>
    <cfRule type="cellIs" dxfId="904" priority="785" operator="equal">
      <formula>2</formula>
    </cfRule>
    <cfRule type="cellIs" dxfId="903" priority="786" operator="equal">
      <formula>1</formula>
    </cfRule>
  </conditionalFormatting>
  <conditionalFormatting sqref="C723:C724">
    <cfRule type="cellIs" dxfId="902" priority="781" operator="equal">
      <formula>3</formula>
    </cfRule>
    <cfRule type="cellIs" dxfId="901" priority="782" operator="equal">
      <formula>2</formula>
    </cfRule>
    <cfRule type="cellIs" dxfId="900" priority="783" operator="equal">
      <formula>1</formula>
    </cfRule>
  </conditionalFormatting>
  <conditionalFormatting sqref="C725">
    <cfRule type="cellIs" dxfId="899" priority="778" operator="equal">
      <formula>3</formula>
    </cfRule>
    <cfRule type="cellIs" dxfId="898" priority="779" operator="equal">
      <formula>2</formula>
    </cfRule>
    <cfRule type="cellIs" dxfId="897" priority="780" operator="equal">
      <formula>1</formula>
    </cfRule>
  </conditionalFormatting>
  <conditionalFormatting sqref="C726">
    <cfRule type="cellIs" dxfId="896" priority="775" operator="equal">
      <formula>3</formula>
    </cfRule>
    <cfRule type="cellIs" dxfId="895" priority="776" operator="equal">
      <formula>2</formula>
    </cfRule>
    <cfRule type="cellIs" dxfId="894" priority="777" operator="equal">
      <formula>1</formula>
    </cfRule>
  </conditionalFormatting>
  <conditionalFormatting sqref="C732">
    <cfRule type="cellIs" dxfId="893" priority="772" operator="equal">
      <formula>3</formula>
    </cfRule>
    <cfRule type="cellIs" dxfId="892" priority="773" operator="equal">
      <formula>2</formula>
    </cfRule>
    <cfRule type="cellIs" dxfId="891" priority="774" operator="equal">
      <formula>1</formula>
    </cfRule>
  </conditionalFormatting>
  <conditionalFormatting sqref="C734">
    <cfRule type="cellIs" dxfId="890" priority="769" operator="equal">
      <formula>3</formula>
    </cfRule>
    <cfRule type="cellIs" dxfId="889" priority="770" operator="equal">
      <formula>2</formula>
    </cfRule>
    <cfRule type="cellIs" dxfId="888" priority="771" operator="equal">
      <formula>1</formula>
    </cfRule>
  </conditionalFormatting>
  <conditionalFormatting sqref="C735:C736">
    <cfRule type="cellIs" dxfId="887" priority="766" operator="equal">
      <formula>3</formula>
    </cfRule>
    <cfRule type="cellIs" dxfId="886" priority="767" operator="equal">
      <formula>2</formula>
    </cfRule>
    <cfRule type="cellIs" dxfId="885" priority="768" operator="equal">
      <formula>1</formula>
    </cfRule>
  </conditionalFormatting>
  <conditionalFormatting sqref="C738">
    <cfRule type="cellIs" dxfId="884" priority="763" operator="equal">
      <formula>3</formula>
    </cfRule>
    <cfRule type="cellIs" dxfId="883" priority="764" operator="equal">
      <formula>2</formula>
    </cfRule>
    <cfRule type="cellIs" dxfId="882" priority="765" operator="equal">
      <formula>1</formula>
    </cfRule>
  </conditionalFormatting>
  <conditionalFormatting sqref="C739">
    <cfRule type="cellIs" dxfId="881" priority="760" operator="equal">
      <formula>3</formula>
    </cfRule>
    <cfRule type="cellIs" dxfId="880" priority="761" operator="equal">
      <formula>2</formula>
    </cfRule>
    <cfRule type="cellIs" dxfId="879" priority="762" operator="equal">
      <formula>1</formula>
    </cfRule>
  </conditionalFormatting>
  <conditionalFormatting sqref="C758">
    <cfRule type="cellIs" dxfId="878" priority="757" operator="equal">
      <formula>3</formula>
    </cfRule>
    <cfRule type="cellIs" dxfId="877" priority="758" operator="equal">
      <formula>2</formula>
    </cfRule>
    <cfRule type="cellIs" dxfId="876" priority="759" operator="equal">
      <formula>1</formula>
    </cfRule>
  </conditionalFormatting>
  <conditionalFormatting sqref="C762:C763">
    <cfRule type="cellIs" dxfId="875" priority="754" operator="equal">
      <formula>3</formula>
    </cfRule>
    <cfRule type="cellIs" dxfId="874" priority="755" operator="equal">
      <formula>2</formula>
    </cfRule>
    <cfRule type="cellIs" dxfId="873" priority="756" operator="equal">
      <formula>1</formula>
    </cfRule>
  </conditionalFormatting>
  <conditionalFormatting sqref="C764">
    <cfRule type="cellIs" dxfId="872" priority="751" operator="equal">
      <formula>3</formula>
    </cfRule>
    <cfRule type="cellIs" dxfId="871" priority="752" operator="equal">
      <formula>2</formula>
    </cfRule>
    <cfRule type="cellIs" dxfId="870" priority="753" operator="equal">
      <formula>1</formula>
    </cfRule>
  </conditionalFormatting>
  <conditionalFormatting sqref="C765">
    <cfRule type="cellIs" dxfId="869" priority="748" operator="equal">
      <formula>3</formula>
    </cfRule>
    <cfRule type="cellIs" dxfId="868" priority="749" operator="equal">
      <formula>2</formula>
    </cfRule>
    <cfRule type="cellIs" dxfId="867" priority="750" operator="equal">
      <formula>1</formula>
    </cfRule>
  </conditionalFormatting>
  <conditionalFormatting sqref="C767">
    <cfRule type="cellIs" dxfId="866" priority="745" operator="equal">
      <formula>3</formula>
    </cfRule>
    <cfRule type="cellIs" dxfId="865" priority="746" operator="equal">
      <formula>2</formula>
    </cfRule>
    <cfRule type="cellIs" dxfId="864" priority="747" operator="equal">
      <formula>1</formula>
    </cfRule>
  </conditionalFormatting>
  <conditionalFormatting sqref="C774">
    <cfRule type="cellIs" dxfId="863" priority="742" operator="equal">
      <formula>3</formula>
    </cfRule>
    <cfRule type="cellIs" dxfId="862" priority="743" operator="equal">
      <formula>2</formula>
    </cfRule>
    <cfRule type="cellIs" dxfId="861" priority="744" operator="equal">
      <formula>1</formula>
    </cfRule>
  </conditionalFormatting>
  <conditionalFormatting sqref="C775">
    <cfRule type="cellIs" dxfId="860" priority="739" operator="equal">
      <formula>3</formula>
    </cfRule>
    <cfRule type="cellIs" dxfId="859" priority="740" operator="equal">
      <formula>2</formula>
    </cfRule>
    <cfRule type="cellIs" dxfId="858" priority="741" operator="equal">
      <formula>1</formula>
    </cfRule>
  </conditionalFormatting>
  <conditionalFormatting sqref="C788:C789">
    <cfRule type="cellIs" dxfId="857" priority="736" operator="equal">
      <formula>3</formula>
    </cfRule>
    <cfRule type="cellIs" dxfId="856" priority="737" operator="equal">
      <formula>2</formula>
    </cfRule>
    <cfRule type="cellIs" dxfId="855" priority="738" operator="equal">
      <formula>1</formula>
    </cfRule>
  </conditionalFormatting>
  <conditionalFormatting sqref="C790:C791">
    <cfRule type="cellIs" dxfId="854" priority="733" operator="equal">
      <formula>3</formula>
    </cfRule>
    <cfRule type="cellIs" dxfId="853" priority="734" operator="equal">
      <formula>2</formula>
    </cfRule>
    <cfRule type="cellIs" dxfId="852" priority="735" operator="equal">
      <formula>1</formula>
    </cfRule>
  </conditionalFormatting>
  <conditionalFormatting sqref="C792">
    <cfRule type="cellIs" dxfId="851" priority="730" operator="equal">
      <formula>3</formula>
    </cfRule>
    <cfRule type="cellIs" dxfId="850" priority="731" operator="equal">
      <formula>2</formula>
    </cfRule>
    <cfRule type="cellIs" dxfId="849" priority="732" operator="equal">
      <formula>1</formula>
    </cfRule>
  </conditionalFormatting>
  <conditionalFormatting sqref="C797">
    <cfRule type="cellIs" dxfId="848" priority="727" operator="equal">
      <formula>3</formula>
    </cfRule>
    <cfRule type="cellIs" dxfId="847" priority="728" operator="equal">
      <formula>2</formula>
    </cfRule>
    <cfRule type="cellIs" dxfId="846" priority="729" operator="equal">
      <formula>1</formula>
    </cfRule>
  </conditionalFormatting>
  <conditionalFormatting sqref="C798">
    <cfRule type="cellIs" dxfId="845" priority="724" operator="equal">
      <formula>3</formula>
    </cfRule>
    <cfRule type="cellIs" dxfId="844" priority="725" operator="equal">
      <formula>2</formula>
    </cfRule>
    <cfRule type="cellIs" dxfId="843" priority="726" operator="equal">
      <formula>1</formula>
    </cfRule>
  </conditionalFormatting>
  <conditionalFormatting sqref="C799">
    <cfRule type="cellIs" dxfId="842" priority="721" operator="equal">
      <formula>3</formula>
    </cfRule>
    <cfRule type="cellIs" dxfId="841" priority="722" operator="equal">
      <formula>2</formula>
    </cfRule>
    <cfRule type="cellIs" dxfId="840" priority="723" operator="equal">
      <formula>1</formula>
    </cfRule>
  </conditionalFormatting>
  <conditionalFormatting sqref="C800">
    <cfRule type="cellIs" dxfId="839" priority="718" operator="equal">
      <formula>3</formula>
    </cfRule>
    <cfRule type="cellIs" dxfId="838" priority="719" operator="equal">
      <formula>2</formula>
    </cfRule>
    <cfRule type="cellIs" dxfId="837" priority="720" operator="equal">
      <formula>1</formula>
    </cfRule>
  </conditionalFormatting>
  <conditionalFormatting sqref="C817">
    <cfRule type="cellIs" dxfId="836" priority="715" operator="equal">
      <formula>3</formula>
    </cfRule>
    <cfRule type="cellIs" dxfId="835" priority="716" operator="equal">
      <formula>2</formula>
    </cfRule>
    <cfRule type="cellIs" dxfId="834" priority="717" operator="equal">
      <formula>1</formula>
    </cfRule>
  </conditionalFormatting>
  <conditionalFormatting sqref="C818">
    <cfRule type="cellIs" dxfId="833" priority="712" operator="equal">
      <formula>3</formula>
    </cfRule>
    <cfRule type="cellIs" dxfId="832" priority="713" operator="equal">
      <formula>2</formula>
    </cfRule>
    <cfRule type="cellIs" dxfId="831" priority="714" operator="equal">
      <formula>1</formula>
    </cfRule>
  </conditionalFormatting>
  <conditionalFormatting sqref="C820:C824">
    <cfRule type="cellIs" dxfId="830" priority="709" operator="equal">
      <formula>3</formula>
    </cfRule>
    <cfRule type="cellIs" dxfId="829" priority="710" operator="equal">
      <formula>2</formula>
    </cfRule>
    <cfRule type="cellIs" dxfId="828" priority="711" operator="equal">
      <formula>1</formula>
    </cfRule>
  </conditionalFormatting>
  <conditionalFormatting sqref="C839">
    <cfRule type="cellIs" dxfId="827" priority="706" operator="equal">
      <formula>3</formula>
    </cfRule>
    <cfRule type="cellIs" dxfId="826" priority="707" operator="equal">
      <formula>2</formula>
    </cfRule>
    <cfRule type="cellIs" dxfId="825" priority="708" operator="equal">
      <formula>1</formula>
    </cfRule>
  </conditionalFormatting>
  <conditionalFormatting sqref="C842:C843">
    <cfRule type="cellIs" dxfId="824" priority="703" operator="equal">
      <formula>3</formula>
    </cfRule>
    <cfRule type="cellIs" dxfId="823" priority="704" operator="equal">
      <formula>2</formula>
    </cfRule>
    <cfRule type="cellIs" dxfId="822" priority="705" operator="equal">
      <formula>1</formula>
    </cfRule>
  </conditionalFormatting>
  <conditionalFormatting sqref="C844">
    <cfRule type="cellIs" dxfId="821" priority="700" operator="equal">
      <formula>3</formula>
    </cfRule>
    <cfRule type="cellIs" dxfId="820" priority="701" operator="equal">
      <formula>2</formula>
    </cfRule>
    <cfRule type="cellIs" dxfId="819" priority="702" operator="equal">
      <formula>1</formula>
    </cfRule>
  </conditionalFormatting>
  <conditionalFormatting sqref="C847">
    <cfRule type="cellIs" dxfId="818" priority="697" operator="equal">
      <formula>3</formula>
    </cfRule>
    <cfRule type="cellIs" dxfId="817" priority="698" operator="equal">
      <formula>2</formula>
    </cfRule>
    <cfRule type="cellIs" dxfId="816" priority="699" operator="equal">
      <formula>1</formula>
    </cfRule>
  </conditionalFormatting>
  <conditionalFormatting sqref="C848">
    <cfRule type="cellIs" dxfId="815" priority="694" operator="equal">
      <formula>3</formula>
    </cfRule>
    <cfRule type="cellIs" dxfId="814" priority="695" operator="equal">
      <formula>2</formula>
    </cfRule>
    <cfRule type="cellIs" dxfId="813" priority="696" operator="equal">
      <formula>1</formula>
    </cfRule>
  </conditionalFormatting>
  <conditionalFormatting sqref="C849">
    <cfRule type="cellIs" dxfId="812" priority="691" operator="equal">
      <formula>3</formula>
    </cfRule>
    <cfRule type="cellIs" dxfId="811" priority="692" operator="equal">
      <formula>2</formula>
    </cfRule>
    <cfRule type="cellIs" dxfId="810" priority="693" operator="equal">
      <formula>1</formula>
    </cfRule>
  </conditionalFormatting>
  <conditionalFormatting sqref="C850">
    <cfRule type="cellIs" dxfId="809" priority="688" operator="equal">
      <formula>3</formula>
    </cfRule>
    <cfRule type="cellIs" dxfId="808" priority="689" operator="equal">
      <formula>2</formula>
    </cfRule>
    <cfRule type="cellIs" dxfId="807" priority="690" operator="equal">
      <formula>1</formula>
    </cfRule>
  </conditionalFormatting>
  <conditionalFormatting sqref="C851">
    <cfRule type="cellIs" dxfId="806" priority="685" operator="equal">
      <formula>3</formula>
    </cfRule>
    <cfRule type="cellIs" dxfId="805" priority="686" operator="equal">
      <formula>2</formula>
    </cfRule>
    <cfRule type="cellIs" dxfId="804" priority="687" operator="equal">
      <formula>1</formula>
    </cfRule>
  </conditionalFormatting>
  <conditionalFormatting sqref="C863">
    <cfRule type="cellIs" dxfId="803" priority="682" operator="equal">
      <formula>3</formula>
    </cfRule>
    <cfRule type="cellIs" dxfId="802" priority="683" operator="equal">
      <formula>2</formula>
    </cfRule>
    <cfRule type="cellIs" dxfId="801" priority="684" operator="equal">
      <formula>1</formula>
    </cfRule>
  </conditionalFormatting>
  <conditionalFormatting sqref="C889:C890">
    <cfRule type="cellIs" dxfId="800" priority="676" operator="equal">
      <formula>3</formula>
    </cfRule>
    <cfRule type="cellIs" dxfId="799" priority="677" operator="equal">
      <formula>2</formula>
    </cfRule>
    <cfRule type="cellIs" dxfId="798" priority="678" operator="equal">
      <formula>1</formula>
    </cfRule>
  </conditionalFormatting>
  <conditionalFormatting sqref="C887:C888">
    <cfRule type="cellIs" dxfId="797" priority="679" operator="equal">
      <formula>3</formula>
    </cfRule>
    <cfRule type="cellIs" dxfId="796" priority="680" operator="equal">
      <formula>2</formula>
    </cfRule>
    <cfRule type="cellIs" dxfId="795" priority="681" operator="equal">
      <formula>1</formula>
    </cfRule>
  </conditionalFormatting>
  <conditionalFormatting sqref="C903">
    <cfRule type="cellIs" dxfId="794" priority="652" operator="equal">
      <formula>3</formula>
    </cfRule>
    <cfRule type="cellIs" dxfId="793" priority="653" operator="equal">
      <formula>2</formula>
    </cfRule>
    <cfRule type="cellIs" dxfId="792" priority="654" operator="equal">
      <formula>1</formula>
    </cfRule>
  </conditionalFormatting>
  <conditionalFormatting sqref="C878">
    <cfRule type="cellIs" dxfId="791" priority="673" operator="equal">
      <formula>3</formula>
    </cfRule>
    <cfRule type="cellIs" dxfId="790" priority="674" operator="equal">
      <formula>2</formula>
    </cfRule>
    <cfRule type="cellIs" dxfId="789" priority="675" operator="equal">
      <formula>1</formula>
    </cfRule>
  </conditionalFormatting>
  <conditionalFormatting sqref="C891">
    <cfRule type="cellIs" dxfId="788" priority="670" operator="equal">
      <formula>3</formula>
    </cfRule>
    <cfRule type="cellIs" dxfId="787" priority="671" operator="equal">
      <formula>2</formula>
    </cfRule>
    <cfRule type="cellIs" dxfId="786" priority="672" operator="equal">
      <formula>1</formula>
    </cfRule>
  </conditionalFormatting>
  <conditionalFormatting sqref="C892">
    <cfRule type="cellIs" dxfId="785" priority="667" operator="equal">
      <formula>3</formula>
    </cfRule>
    <cfRule type="cellIs" dxfId="784" priority="668" operator="equal">
      <formula>2</formula>
    </cfRule>
    <cfRule type="cellIs" dxfId="783" priority="669" operator="equal">
      <formula>1</formula>
    </cfRule>
  </conditionalFormatting>
  <conditionalFormatting sqref="C893:C896">
    <cfRule type="cellIs" dxfId="782" priority="664" operator="equal">
      <formula>3</formula>
    </cfRule>
    <cfRule type="cellIs" dxfId="781" priority="665" operator="equal">
      <formula>2</formula>
    </cfRule>
    <cfRule type="cellIs" dxfId="780" priority="666" operator="equal">
      <formula>1</formula>
    </cfRule>
  </conditionalFormatting>
  <conditionalFormatting sqref="C897">
    <cfRule type="cellIs" dxfId="779" priority="661" operator="equal">
      <formula>3</formula>
    </cfRule>
    <cfRule type="cellIs" dxfId="778" priority="662" operator="equal">
      <formula>2</formula>
    </cfRule>
    <cfRule type="cellIs" dxfId="777" priority="663" operator="equal">
      <formula>1</formula>
    </cfRule>
  </conditionalFormatting>
  <conditionalFormatting sqref="C898">
    <cfRule type="cellIs" dxfId="776" priority="658" operator="equal">
      <formula>3</formula>
    </cfRule>
    <cfRule type="cellIs" dxfId="775" priority="659" operator="equal">
      <formula>2</formula>
    </cfRule>
    <cfRule type="cellIs" dxfId="774" priority="660" operator="equal">
      <formula>1</formula>
    </cfRule>
  </conditionalFormatting>
  <conditionalFormatting sqref="C901">
    <cfRule type="cellIs" dxfId="773" priority="655" operator="equal">
      <formula>3</formula>
    </cfRule>
    <cfRule type="cellIs" dxfId="772" priority="656" operator="equal">
      <formula>2</formula>
    </cfRule>
    <cfRule type="cellIs" dxfId="771" priority="657" operator="equal">
      <formula>1</formula>
    </cfRule>
  </conditionalFormatting>
  <conditionalFormatting sqref="C909">
    <cfRule type="cellIs" dxfId="770" priority="649" operator="equal">
      <formula>3</formula>
    </cfRule>
    <cfRule type="cellIs" dxfId="769" priority="650" operator="equal">
      <formula>2</formula>
    </cfRule>
    <cfRule type="cellIs" dxfId="768" priority="651" operator="equal">
      <formula>1</formula>
    </cfRule>
  </conditionalFormatting>
  <conditionalFormatting sqref="C921">
    <cfRule type="cellIs" dxfId="767" priority="646" operator="equal">
      <formula>3</formula>
    </cfRule>
    <cfRule type="cellIs" dxfId="766" priority="647" operator="equal">
      <formula>2</formula>
    </cfRule>
    <cfRule type="cellIs" dxfId="765" priority="648" operator="equal">
      <formula>1</formula>
    </cfRule>
  </conditionalFormatting>
  <conditionalFormatting sqref="C926">
    <cfRule type="cellIs" dxfId="764" priority="640" operator="equal">
      <formula>3</formula>
    </cfRule>
    <cfRule type="cellIs" dxfId="763" priority="641" operator="equal">
      <formula>2</formula>
    </cfRule>
    <cfRule type="cellIs" dxfId="762" priority="642" operator="equal">
      <formula>1</formula>
    </cfRule>
  </conditionalFormatting>
  <conditionalFormatting sqref="C925">
    <cfRule type="cellIs" dxfId="761" priority="643" operator="equal">
      <formula>3</formula>
    </cfRule>
    <cfRule type="cellIs" dxfId="760" priority="644" operator="equal">
      <formula>2</formula>
    </cfRule>
    <cfRule type="cellIs" dxfId="759" priority="645" operator="equal">
      <formula>1</formula>
    </cfRule>
  </conditionalFormatting>
  <conditionalFormatting sqref="C942">
    <cfRule type="cellIs" dxfId="758" priority="637" operator="equal">
      <formula>3</formula>
    </cfRule>
    <cfRule type="cellIs" dxfId="757" priority="638" operator="equal">
      <formula>2</formula>
    </cfRule>
    <cfRule type="cellIs" dxfId="756" priority="639" operator="equal">
      <formula>1</formula>
    </cfRule>
  </conditionalFormatting>
  <conditionalFormatting sqref="C960">
    <cfRule type="cellIs" dxfId="755" priority="634" operator="equal">
      <formula>3</formula>
    </cfRule>
    <cfRule type="cellIs" dxfId="754" priority="635" operator="equal">
      <formula>2</formula>
    </cfRule>
    <cfRule type="cellIs" dxfId="753" priority="636" operator="equal">
      <formula>1</formula>
    </cfRule>
  </conditionalFormatting>
  <conditionalFormatting sqref="C970">
    <cfRule type="cellIs" dxfId="752" priority="631" operator="equal">
      <formula>3</formula>
    </cfRule>
    <cfRule type="cellIs" dxfId="751" priority="632" operator="equal">
      <formula>2</formula>
    </cfRule>
    <cfRule type="cellIs" dxfId="750" priority="633" operator="equal">
      <formula>1</formula>
    </cfRule>
  </conditionalFormatting>
  <conditionalFormatting sqref="C973:C974">
    <cfRule type="cellIs" dxfId="749" priority="628" operator="equal">
      <formula>3</formula>
    </cfRule>
    <cfRule type="cellIs" dxfId="748" priority="629" operator="equal">
      <formula>2</formula>
    </cfRule>
    <cfRule type="cellIs" dxfId="747" priority="630" operator="equal">
      <formula>1</formula>
    </cfRule>
  </conditionalFormatting>
  <conditionalFormatting sqref="C975">
    <cfRule type="cellIs" dxfId="746" priority="625" operator="equal">
      <formula>3</formula>
    </cfRule>
    <cfRule type="cellIs" dxfId="745" priority="626" operator="equal">
      <formula>2</formula>
    </cfRule>
    <cfRule type="cellIs" dxfId="744" priority="627" operator="equal">
      <formula>1</formula>
    </cfRule>
  </conditionalFormatting>
  <conditionalFormatting sqref="C976">
    <cfRule type="cellIs" dxfId="743" priority="622" operator="equal">
      <formula>3</formula>
    </cfRule>
    <cfRule type="cellIs" dxfId="742" priority="623" operator="equal">
      <formula>2</formula>
    </cfRule>
    <cfRule type="cellIs" dxfId="741" priority="624" operator="equal">
      <formula>1</formula>
    </cfRule>
  </conditionalFormatting>
  <conditionalFormatting sqref="C984">
    <cfRule type="cellIs" dxfId="740" priority="619" operator="equal">
      <formula>3</formula>
    </cfRule>
    <cfRule type="cellIs" dxfId="739" priority="620" operator="equal">
      <formula>2</formula>
    </cfRule>
    <cfRule type="cellIs" dxfId="738" priority="621" operator="equal">
      <formula>1</formula>
    </cfRule>
  </conditionalFormatting>
  <conditionalFormatting sqref="C986">
    <cfRule type="cellIs" dxfId="737" priority="616" operator="equal">
      <formula>3</formula>
    </cfRule>
    <cfRule type="cellIs" dxfId="736" priority="617" operator="equal">
      <formula>2</formula>
    </cfRule>
    <cfRule type="cellIs" dxfId="735" priority="618" operator="equal">
      <formula>1</formula>
    </cfRule>
  </conditionalFormatting>
  <conditionalFormatting sqref="C993">
    <cfRule type="cellIs" dxfId="734" priority="604" operator="equal">
      <formula>3</formula>
    </cfRule>
    <cfRule type="cellIs" dxfId="733" priority="605" operator="equal">
      <formula>2</formula>
    </cfRule>
    <cfRule type="cellIs" dxfId="732" priority="606" operator="equal">
      <formula>1</formula>
    </cfRule>
  </conditionalFormatting>
  <conditionalFormatting sqref="C988">
    <cfRule type="cellIs" dxfId="731" priority="613" operator="equal">
      <formula>3</formula>
    </cfRule>
    <cfRule type="cellIs" dxfId="730" priority="614" operator="equal">
      <formula>2</formula>
    </cfRule>
    <cfRule type="cellIs" dxfId="729" priority="615" operator="equal">
      <formula>1</formula>
    </cfRule>
  </conditionalFormatting>
  <conditionalFormatting sqref="C989">
    <cfRule type="cellIs" dxfId="728" priority="610" operator="equal">
      <formula>3</formula>
    </cfRule>
    <cfRule type="cellIs" dxfId="727" priority="611" operator="equal">
      <formula>2</formula>
    </cfRule>
    <cfRule type="cellIs" dxfId="726" priority="612" operator="equal">
      <formula>1</formula>
    </cfRule>
  </conditionalFormatting>
  <conditionalFormatting sqref="C992">
    <cfRule type="cellIs" dxfId="725" priority="607" operator="equal">
      <formula>3</formula>
    </cfRule>
    <cfRule type="cellIs" dxfId="724" priority="608" operator="equal">
      <formula>2</formula>
    </cfRule>
    <cfRule type="cellIs" dxfId="723" priority="609" operator="equal">
      <formula>1</formula>
    </cfRule>
  </conditionalFormatting>
  <conditionalFormatting sqref="C1015">
    <cfRule type="cellIs" dxfId="722" priority="601" operator="equal">
      <formula>3</formula>
    </cfRule>
    <cfRule type="cellIs" dxfId="721" priority="602" operator="equal">
      <formula>2</formula>
    </cfRule>
    <cfRule type="cellIs" dxfId="720" priority="603" operator="equal">
      <formula>1</formula>
    </cfRule>
  </conditionalFormatting>
  <conditionalFormatting sqref="C1016">
    <cfRule type="cellIs" dxfId="719" priority="598" operator="equal">
      <formula>3</formula>
    </cfRule>
    <cfRule type="cellIs" dxfId="718" priority="599" operator="equal">
      <formula>2</formula>
    </cfRule>
    <cfRule type="cellIs" dxfId="717" priority="600" operator="equal">
      <formula>1</formula>
    </cfRule>
  </conditionalFormatting>
  <conditionalFormatting sqref="C1031">
    <cfRule type="cellIs" dxfId="716" priority="595" operator="equal">
      <formula>3</formula>
    </cfRule>
    <cfRule type="cellIs" dxfId="715" priority="596" operator="equal">
      <formula>2</formula>
    </cfRule>
    <cfRule type="cellIs" dxfId="714" priority="597" operator="equal">
      <formula>1</formula>
    </cfRule>
  </conditionalFormatting>
  <conditionalFormatting sqref="C1032">
    <cfRule type="cellIs" dxfId="713" priority="592" operator="equal">
      <formula>3</formula>
    </cfRule>
    <cfRule type="cellIs" dxfId="712" priority="593" operator="equal">
      <formula>2</formula>
    </cfRule>
    <cfRule type="cellIs" dxfId="711" priority="594" operator="equal">
      <formula>1</formula>
    </cfRule>
  </conditionalFormatting>
  <conditionalFormatting sqref="C1033">
    <cfRule type="cellIs" dxfId="710" priority="589" operator="equal">
      <formula>3</formula>
    </cfRule>
    <cfRule type="cellIs" dxfId="709" priority="590" operator="equal">
      <formula>2</formula>
    </cfRule>
    <cfRule type="cellIs" dxfId="708" priority="591" operator="equal">
      <formula>1</formula>
    </cfRule>
  </conditionalFormatting>
  <conditionalFormatting sqref="C1034">
    <cfRule type="cellIs" dxfId="707" priority="586" operator="equal">
      <formula>3</formula>
    </cfRule>
    <cfRule type="cellIs" dxfId="706" priority="587" operator="equal">
      <formula>2</formula>
    </cfRule>
    <cfRule type="cellIs" dxfId="705" priority="588" operator="equal">
      <formula>1</formula>
    </cfRule>
  </conditionalFormatting>
  <conditionalFormatting sqref="C1035">
    <cfRule type="cellIs" dxfId="704" priority="583" operator="equal">
      <formula>3</formula>
    </cfRule>
    <cfRule type="cellIs" dxfId="703" priority="584" operator="equal">
      <formula>2</formula>
    </cfRule>
    <cfRule type="cellIs" dxfId="702" priority="585" operator="equal">
      <formula>1</formula>
    </cfRule>
  </conditionalFormatting>
  <conditionalFormatting sqref="C1042">
    <cfRule type="cellIs" dxfId="701" priority="580" operator="equal">
      <formula>3</formula>
    </cfRule>
    <cfRule type="cellIs" dxfId="700" priority="581" operator="equal">
      <formula>2</formula>
    </cfRule>
    <cfRule type="cellIs" dxfId="699" priority="582" operator="equal">
      <formula>1</formula>
    </cfRule>
  </conditionalFormatting>
  <conditionalFormatting sqref="C1047">
    <cfRule type="cellIs" dxfId="698" priority="577" operator="equal">
      <formula>3</formula>
    </cfRule>
    <cfRule type="cellIs" dxfId="697" priority="578" operator="equal">
      <formula>2</formula>
    </cfRule>
    <cfRule type="cellIs" dxfId="696" priority="579" operator="equal">
      <formula>1</formula>
    </cfRule>
  </conditionalFormatting>
  <conditionalFormatting sqref="C1049:C1053">
    <cfRule type="cellIs" dxfId="695" priority="574" operator="equal">
      <formula>3</formula>
    </cfRule>
    <cfRule type="cellIs" dxfId="694" priority="575" operator="equal">
      <formula>2</formula>
    </cfRule>
    <cfRule type="cellIs" dxfId="693" priority="576" operator="equal">
      <formula>1</formula>
    </cfRule>
  </conditionalFormatting>
  <conditionalFormatting sqref="C1054">
    <cfRule type="cellIs" dxfId="692" priority="571" operator="equal">
      <formula>3</formula>
    </cfRule>
    <cfRule type="cellIs" dxfId="691" priority="572" operator="equal">
      <formula>2</formula>
    </cfRule>
    <cfRule type="cellIs" dxfId="690" priority="573" operator="equal">
      <formula>1</formula>
    </cfRule>
  </conditionalFormatting>
  <conditionalFormatting sqref="C1060">
    <cfRule type="cellIs" dxfId="689" priority="568" operator="equal">
      <formula>3</formula>
    </cfRule>
    <cfRule type="cellIs" dxfId="688" priority="569" operator="equal">
      <formula>2</formula>
    </cfRule>
    <cfRule type="cellIs" dxfId="687" priority="570" operator="equal">
      <formula>1</formula>
    </cfRule>
  </conditionalFormatting>
  <conditionalFormatting sqref="C1061">
    <cfRule type="cellIs" dxfId="686" priority="565" operator="equal">
      <formula>3</formula>
    </cfRule>
    <cfRule type="cellIs" dxfId="685" priority="566" operator="equal">
      <formula>2</formula>
    </cfRule>
    <cfRule type="cellIs" dxfId="684" priority="567" operator="equal">
      <formula>1</formula>
    </cfRule>
  </conditionalFormatting>
  <conditionalFormatting sqref="C1062">
    <cfRule type="cellIs" dxfId="683" priority="562" operator="equal">
      <formula>3</formula>
    </cfRule>
    <cfRule type="cellIs" dxfId="682" priority="563" operator="equal">
      <formula>2</formula>
    </cfRule>
    <cfRule type="cellIs" dxfId="681" priority="564" operator="equal">
      <formula>1</formula>
    </cfRule>
  </conditionalFormatting>
  <conditionalFormatting sqref="C1063">
    <cfRule type="cellIs" dxfId="680" priority="559" operator="equal">
      <formula>3</formula>
    </cfRule>
    <cfRule type="cellIs" dxfId="679" priority="560" operator="equal">
      <formula>2</formula>
    </cfRule>
    <cfRule type="cellIs" dxfId="678" priority="561" operator="equal">
      <formula>1</formula>
    </cfRule>
  </conditionalFormatting>
  <conditionalFormatting sqref="C1064">
    <cfRule type="cellIs" dxfId="677" priority="556" operator="equal">
      <formula>3</formula>
    </cfRule>
    <cfRule type="cellIs" dxfId="676" priority="557" operator="equal">
      <formula>2</formula>
    </cfRule>
    <cfRule type="cellIs" dxfId="675" priority="558" operator="equal">
      <formula>1</formula>
    </cfRule>
  </conditionalFormatting>
  <conditionalFormatting sqref="C1075">
    <cfRule type="cellIs" dxfId="674" priority="553" operator="equal">
      <formula>3</formula>
    </cfRule>
    <cfRule type="cellIs" dxfId="673" priority="554" operator="equal">
      <formula>2</formula>
    </cfRule>
    <cfRule type="cellIs" dxfId="672" priority="555" operator="equal">
      <formula>1</formula>
    </cfRule>
  </conditionalFormatting>
  <conditionalFormatting sqref="C1076">
    <cfRule type="cellIs" dxfId="671" priority="550" operator="equal">
      <formula>3</formula>
    </cfRule>
    <cfRule type="cellIs" dxfId="670" priority="551" operator="equal">
      <formula>2</formula>
    </cfRule>
    <cfRule type="cellIs" dxfId="669" priority="552" operator="equal">
      <formula>1</formula>
    </cfRule>
  </conditionalFormatting>
  <conditionalFormatting sqref="C1077">
    <cfRule type="cellIs" dxfId="668" priority="547" operator="equal">
      <formula>3</formula>
    </cfRule>
    <cfRule type="cellIs" dxfId="667" priority="548" operator="equal">
      <formula>2</formula>
    </cfRule>
    <cfRule type="cellIs" dxfId="666" priority="549" operator="equal">
      <formula>1</formula>
    </cfRule>
  </conditionalFormatting>
  <conditionalFormatting sqref="C1078">
    <cfRule type="cellIs" dxfId="665" priority="544" operator="equal">
      <formula>3</formula>
    </cfRule>
    <cfRule type="cellIs" dxfId="664" priority="545" operator="equal">
      <formula>2</formula>
    </cfRule>
    <cfRule type="cellIs" dxfId="663" priority="546" operator="equal">
      <formula>1</formula>
    </cfRule>
  </conditionalFormatting>
  <conditionalFormatting sqref="C1079">
    <cfRule type="cellIs" dxfId="662" priority="541" operator="equal">
      <formula>3</formula>
    </cfRule>
    <cfRule type="cellIs" dxfId="661" priority="542" operator="equal">
      <formula>2</formula>
    </cfRule>
    <cfRule type="cellIs" dxfId="660" priority="543" operator="equal">
      <formula>1</formula>
    </cfRule>
  </conditionalFormatting>
  <conditionalFormatting sqref="C1080">
    <cfRule type="cellIs" dxfId="659" priority="538" operator="equal">
      <formula>3</formula>
    </cfRule>
    <cfRule type="cellIs" dxfId="658" priority="539" operator="equal">
      <formula>2</formula>
    </cfRule>
    <cfRule type="cellIs" dxfId="657" priority="540" operator="equal">
      <formula>1</formula>
    </cfRule>
  </conditionalFormatting>
  <conditionalFormatting sqref="C1092">
    <cfRule type="cellIs" dxfId="656" priority="535" operator="equal">
      <formula>3</formula>
    </cfRule>
    <cfRule type="cellIs" dxfId="655" priority="536" operator="equal">
      <formula>2</formula>
    </cfRule>
    <cfRule type="cellIs" dxfId="654" priority="537" operator="equal">
      <formula>1</formula>
    </cfRule>
  </conditionalFormatting>
  <conditionalFormatting sqref="D1095">
    <cfRule type="cellIs" dxfId="653" priority="532" operator="equal">
      <formula>3</formula>
    </cfRule>
    <cfRule type="cellIs" dxfId="652" priority="533" operator="equal">
      <formula>2</formula>
    </cfRule>
    <cfRule type="cellIs" dxfId="651" priority="534" operator="equal">
      <formula>1</formula>
    </cfRule>
  </conditionalFormatting>
  <conditionalFormatting sqref="C1095">
    <cfRule type="cellIs" dxfId="650" priority="529" operator="equal">
      <formula>3</formula>
    </cfRule>
    <cfRule type="cellIs" dxfId="649" priority="530" operator="equal">
      <formula>2</formula>
    </cfRule>
    <cfRule type="cellIs" dxfId="648" priority="531" operator="equal">
      <formula>1</formula>
    </cfRule>
  </conditionalFormatting>
  <conditionalFormatting sqref="C1096">
    <cfRule type="cellIs" dxfId="647" priority="526" operator="equal">
      <formula>3</formula>
    </cfRule>
    <cfRule type="cellIs" dxfId="646" priority="527" operator="equal">
      <formula>2</formula>
    </cfRule>
    <cfRule type="cellIs" dxfId="645" priority="528" operator="equal">
      <formula>1</formula>
    </cfRule>
  </conditionalFormatting>
  <conditionalFormatting sqref="C1108">
    <cfRule type="cellIs" dxfId="644" priority="523" operator="equal">
      <formula>3</formula>
    </cfRule>
    <cfRule type="cellIs" dxfId="643" priority="524" operator="equal">
      <formula>2</formula>
    </cfRule>
    <cfRule type="cellIs" dxfId="642" priority="525" operator="equal">
      <formula>1</formula>
    </cfRule>
  </conditionalFormatting>
  <conditionalFormatting sqref="C1109">
    <cfRule type="cellIs" dxfId="641" priority="520" operator="equal">
      <formula>3</formula>
    </cfRule>
    <cfRule type="cellIs" dxfId="640" priority="521" operator="equal">
      <formula>2</formula>
    </cfRule>
    <cfRule type="cellIs" dxfId="639" priority="522" operator="equal">
      <formula>1</formula>
    </cfRule>
  </conditionalFormatting>
  <conditionalFormatting sqref="C1110">
    <cfRule type="cellIs" dxfId="638" priority="517" operator="equal">
      <formula>3</formula>
    </cfRule>
    <cfRule type="cellIs" dxfId="637" priority="518" operator="equal">
      <formula>2</formula>
    </cfRule>
    <cfRule type="cellIs" dxfId="636" priority="519" operator="equal">
      <formula>1</formula>
    </cfRule>
  </conditionalFormatting>
  <conditionalFormatting sqref="C1121">
    <cfRule type="cellIs" dxfId="635" priority="511" operator="equal">
      <formula>3</formula>
    </cfRule>
    <cfRule type="cellIs" dxfId="634" priority="512" operator="equal">
      <formula>2</formula>
    </cfRule>
    <cfRule type="cellIs" dxfId="633" priority="513" operator="equal">
      <formula>1</formula>
    </cfRule>
  </conditionalFormatting>
  <conditionalFormatting sqref="C1129">
    <cfRule type="cellIs" dxfId="632" priority="505" operator="equal">
      <formula>3</formula>
    </cfRule>
    <cfRule type="cellIs" dxfId="631" priority="506" operator="equal">
      <formula>2</formula>
    </cfRule>
    <cfRule type="cellIs" dxfId="630" priority="507" operator="equal">
      <formula>1</formula>
    </cfRule>
  </conditionalFormatting>
  <conditionalFormatting sqref="C1116">
    <cfRule type="cellIs" dxfId="629" priority="514" operator="equal">
      <formula>3</formula>
    </cfRule>
    <cfRule type="cellIs" dxfId="628" priority="515" operator="equal">
      <formula>2</formula>
    </cfRule>
    <cfRule type="cellIs" dxfId="627" priority="516" operator="equal">
      <formula>1</formula>
    </cfRule>
  </conditionalFormatting>
  <conditionalFormatting sqref="C1131">
    <cfRule type="cellIs" dxfId="626" priority="502" operator="equal">
      <formula>3</formula>
    </cfRule>
    <cfRule type="cellIs" dxfId="625" priority="503" operator="equal">
      <formula>2</formula>
    </cfRule>
    <cfRule type="cellIs" dxfId="624" priority="504" operator="equal">
      <formula>1</formula>
    </cfRule>
  </conditionalFormatting>
  <conditionalFormatting sqref="C1132">
    <cfRule type="cellIs" dxfId="623" priority="499" operator="equal">
      <formula>3</formula>
    </cfRule>
    <cfRule type="cellIs" dxfId="622" priority="500" operator="equal">
      <formula>2</formula>
    </cfRule>
    <cfRule type="cellIs" dxfId="621" priority="501" operator="equal">
      <formula>1</formula>
    </cfRule>
  </conditionalFormatting>
  <conditionalFormatting sqref="C1133">
    <cfRule type="cellIs" dxfId="620" priority="496" operator="equal">
      <formula>3</formula>
    </cfRule>
    <cfRule type="cellIs" dxfId="619" priority="497" operator="equal">
      <formula>2</formula>
    </cfRule>
    <cfRule type="cellIs" dxfId="618" priority="498" operator="equal">
      <formula>1</formula>
    </cfRule>
  </conditionalFormatting>
  <conditionalFormatting sqref="C1134">
    <cfRule type="cellIs" dxfId="617" priority="493" operator="equal">
      <formula>3</formula>
    </cfRule>
    <cfRule type="cellIs" dxfId="616" priority="494" operator="equal">
      <formula>2</formula>
    </cfRule>
    <cfRule type="cellIs" dxfId="615" priority="495" operator="equal">
      <formula>1</formula>
    </cfRule>
  </conditionalFormatting>
  <conditionalFormatting sqref="C1135">
    <cfRule type="cellIs" dxfId="614" priority="490" operator="equal">
      <formula>3</formula>
    </cfRule>
    <cfRule type="cellIs" dxfId="613" priority="491" operator="equal">
      <formula>2</formula>
    </cfRule>
    <cfRule type="cellIs" dxfId="612" priority="492" operator="equal">
      <formula>1</formula>
    </cfRule>
  </conditionalFormatting>
  <conditionalFormatting sqref="C1150">
    <cfRule type="cellIs" dxfId="611" priority="487" operator="equal">
      <formula>3</formula>
    </cfRule>
    <cfRule type="cellIs" dxfId="610" priority="488" operator="equal">
      <formula>2</formula>
    </cfRule>
    <cfRule type="cellIs" dxfId="609" priority="489" operator="equal">
      <formula>1</formula>
    </cfRule>
  </conditionalFormatting>
  <conditionalFormatting sqref="C1152">
    <cfRule type="cellIs" dxfId="608" priority="484" operator="equal">
      <formula>3</formula>
    </cfRule>
    <cfRule type="cellIs" dxfId="607" priority="485" operator="equal">
      <formula>2</formula>
    </cfRule>
    <cfRule type="cellIs" dxfId="606" priority="486" operator="equal">
      <formula>1</formula>
    </cfRule>
  </conditionalFormatting>
  <conditionalFormatting sqref="C1183">
    <cfRule type="cellIs" dxfId="605" priority="451" operator="equal">
      <formula>3</formula>
    </cfRule>
    <cfRule type="cellIs" dxfId="604" priority="452" operator="equal">
      <formula>2</formula>
    </cfRule>
    <cfRule type="cellIs" dxfId="603" priority="453" operator="equal">
      <formula>1</formula>
    </cfRule>
  </conditionalFormatting>
  <conditionalFormatting sqref="C1146">
    <cfRule type="cellIs" dxfId="602" priority="481" operator="equal">
      <formula>3</formula>
    </cfRule>
    <cfRule type="cellIs" dxfId="601" priority="482" operator="equal">
      <formula>2</formula>
    </cfRule>
    <cfRule type="cellIs" dxfId="600" priority="483" operator="equal">
      <formula>1</formula>
    </cfRule>
  </conditionalFormatting>
  <conditionalFormatting sqref="C1167">
    <cfRule type="cellIs" dxfId="599" priority="478" operator="equal">
      <formula>3</formula>
    </cfRule>
    <cfRule type="cellIs" dxfId="598" priority="479" operator="equal">
      <formula>2</formula>
    </cfRule>
    <cfRule type="cellIs" dxfId="597" priority="480" operator="equal">
      <formula>1</formula>
    </cfRule>
  </conditionalFormatting>
  <conditionalFormatting sqref="C1175">
    <cfRule type="cellIs" dxfId="596" priority="475" operator="equal">
      <formula>3</formula>
    </cfRule>
    <cfRule type="cellIs" dxfId="595" priority="476" operator="equal">
      <formula>2</formula>
    </cfRule>
    <cfRule type="cellIs" dxfId="594" priority="477" operator="equal">
      <formula>1</formula>
    </cfRule>
  </conditionalFormatting>
  <conditionalFormatting sqref="C1176">
    <cfRule type="cellIs" dxfId="593" priority="472" operator="equal">
      <formula>3</formula>
    </cfRule>
    <cfRule type="cellIs" dxfId="592" priority="473" operator="equal">
      <formula>2</formula>
    </cfRule>
    <cfRule type="cellIs" dxfId="591" priority="474" operator="equal">
      <formula>1</formula>
    </cfRule>
  </conditionalFormatting>
  <conditionalFormatting sqref="C1177">
    <cfRule type="cellIs" dxfId="590" priority="469" operator="equal">
      <formula>3</formula>
    </cfRule>
    <cfRule type="cellIs" dxfId="589" priority="470" operator="equal">
      <formula>2</formula>
    </cfRule>
    <cfRule type="cellIs" dxfId="588" priority="471" operator="equal">
      <formula>1</formula>
    </cfRule>
  </conditionalFormatting>
  <conditionalFormatting sqref="C1186:C1187">
    <cfRule type="cellIs" dxfId="587" priority="448" operator="equal">
      <formula>3</formula>
    </cfRule>
    <cfRule type="cellIs" dxfId="586" priority="449" operator="equal">
      <formula>2</formula>
    </cfRule>
    <cfRule type="cellIs" dxfId="585" priority="450" operator="equal">
      <formula>1</formula>
    </cfRule>
  </conditionalFormatting>
  <conditionalFormatting sqref="C1178">
    <cfRule type="cellIs" dxfId="584" priority="466" operator="equal">
      <formula>3</formula>
    </cfRule>
    <cfRule type="cellIs" dxfId="583" priority="467" operator="equal">
      <formula>2</formula>
    </cfRule>
    <cfRule type="cellIs" dxfId="582" priority="468" operator="equal">
      <formula>1</formula>
    </cfRule>
  </conditionalFormatting>
  <conditionalFormatting sqref="C1179">
    <cfRule type="cellIs" dxfId="581" priority="463" operator="equal">
      <formula>3</formula>
    </cfRule>
    <cfRule type="cellIs" dxfId="580" priority="464" operator="equal">
      <formula>2</formula>
    </cfRule>
    <cfRule type="cellIs" dxfId="579" priority="465" operator="equal">
      <formula>1</formula>
    </cfRule>
  </conditionalFormatting>
  <conditionalFormatting sqref="C1180">
    <cfRule type="cellIs" dxfId="578" priority="460" operator="equal">
      <formula>3</formula>
    </cfRule>
    <cfRule type="cellIs" dxfId="577" priority="461" operator="equal">
      <formula>2</formula>
    </cfRule>
    <cfRule type="cellIs" dxfId="576" priority="462" operator="equal">
      <formula>1</formula>
    </cfRule>
  </conditionalFormatting>
  <conditionalFormatting sqref="C1181">
    <cfRule type="cellIs" dxfId="575" priority="457" operator="equal">
      <formula>3</formula>
    </cfRule>
    <cfRule type="cellIs" dxfId="574" priority="458" operator="equal">
      <formula>2</formula>
    </cfRule>
    <cfRule type="cellIs" dxfId="573" priority="459" operator="equal">
      <formula>1</formula>
    </cfRule>
  </conditionalFormatting>
  <conditionalFormatting sqref="C1182">
    <cfRule type="cellIs" dxfId="572" priority="454" operator="equal">
      <formula>3</formula>
    </cfRule>
    <cfRule type="cellIs" dxfId="571" priority="455" operator="equal">
      <formula>2</formula>
    </cfRule>
    <cfRule type="cellIs" dxfId="570" priority="456" operator="equal">
      <formula>1</formula>
    </cfRule>
  </conditionalFormatting>
  <conditionalFormatting sqref="C1196">
    <cfRule type="cellIs" dxfId="569" priority="445" operator="equal">
      <formula>3</formula>
    </cfRule>
    <cfRule type="cellIs" dxfId="568" priority="446" operator="equal">
      <formula>2</formula>
    </cfRule>
    <cfRule type="cellIs" dxfId="567" priority="447" operator="equal">
      <formula>1</formula>
    </cfRule>
  </conditionalFormatting>
  <conditionalFormatting sqref="C1197">
    <cfRule type="cellIs" dxfId="566" priority="442" operator="equal">
      <formula>3</formula>
    </cfRule>
    <cfRule type="cellIs" dxfId="565" priority="443" operator="equal">
      <formula>2</formula>
    </cfRule>
    <cfRule type="cellIs" dxfId="564" priority="444" operator="equal">
      <formula>1</formula>
    </cfRule>
  </conditionalFormatting>
  <conditionalFormatting sqref="C1198">
    <cfRule type="cellIs" dxfId="563" priority="439" operator="equal">
      <formula>3</formula>
    </cfRule>
    <cfRule type="cellIs" dxfId="562" priority="440" operator="equal">
      <formula>2</formula>
    </cfRule>
    <cfRule type="cellIs" dxfId="561" priority="441" operator="equal">
      <formula>1</formula>
    </cfRule>
  </conditionalFormatting>
  <conditionalFormatting sqref="C1199">
    <cfRule type="cellIs" dxfId="560" priority="436" operator="equal">
      <formula>3</formula>
    </cfRule>
    <cfRule type="cellIs" dxfId="559" priority="437" operator="equal">
      <formula>2</formula>
    </cfRule>
    <cfRule type="cellIs" dxfId="558" priority="438" operator="equal">
      <formula>1</formula>
    </cfRule>
  </conditionalFormatting>
  <conditionalFormatting sqref="C1200">
    <cfRule type="cellIs" dxfId="557" priority="433" operator="equal">
      <formula>3</formula>
    </cfRule>
    <cfRule type="cellIs" dxfId="556" priority="434" operator="equal">
      <formula>2</formula>
    </cfRule>
    <cfRule type="cellIs" dxfId="555" priority="435" operator="equal">
      <formula>1</formula>
    </cfRule>
  </conditionalFormatting>
  <conditionalFormatting sqref="C1203:C1204">
    <cfRule type="cellIs" dxfId="554" priority="430" operator="equal">
      <formula>3</formula>
    </cfRule>
    <cfRule type="cellIs" dxfId="553" priority="431" operator="equal">
      <formula>2</formula>
    </cfRule>
    <cfRule type="cellIs" dxfId="552" priority="432" operator="equal">
      <formula>1</formula>
    </cfRule>
  </conditionalFormatting>
  <conditionalFormatting sqref="C1207:C1209">
    <cfRule type="cellIs" dxfId="551" priority="427" operator="equal">
      <formula>3</formula>
    </cfRule>
    <cfRule type="cellIs" dxfId="550" priority="428" operator="equal">
      <formula>2</formula>
    </cfRule>
    <cfRule type="cellIs" dxfId="549" priority="429" operator="equal">
      <formula>1</formula>
    </cfRule>
  </conditionalFormatting>
  <conditionalFormatting sqref="C1206">
    <cfRule type="cellIs" dxfId="548" priority="424" operator="equal">
      <formula>3</formula>
    </cfRule>
    <cfRule type="cellIs" dxfId="547" priority="425" operator="equal">
      <formula>2</formula>
    </cfRule>
    <cfRule type="cellIs" dxfId="546" priority="426" operator="equal">
      <formula>1</formula>
    </cfRule>
  </conditionalFormatting>
  <conditionalFormatting sqref="C1205">
    <cfRule type="cellIs" dxfId="545" priority="421" operator="equal">
      <formula>3</formula>
    </cfRule>
    <cfRule type="cellIs" dxfId="544" priority="422" operator="equal">
      <formula>2</formula>
    </cfRule>
    <cfRule type="cellIs" dxfId="543" priority="423" operator="equal">
      <formula>1</formula>
    </cfRule>
  </conditionalFormatting>
  <conditionalFormatting sqref="C1211">
    <cfRule type="cellIs" dxfId="542" priority="418" operator="equal">
      <formula>3</formula>
    </cfRule>
    <cfRule type="cellIs" dxfId="541" priority="419" operator="equal">
      <formula>2</formula>
    </cfRule>
    <cfRule type="cellIs" dxfId="540" priority="420" operator="equal">
      <formula>1</formula>
    </cfRule>
  </conditionalFormatting>
  <conditionalFormatting sqref="C1212">
    <cfRule type="cellIs" dxfId="539" priority="415" operator="equal">
      <formula>3</formula>
    </cfRule>
    <cfRule type="cellIs" dxfId="538" priority="416" operator="equal">
      <formula>2</formula>
    </cfRule>
    <cfRule type="cellIs" dxfId="537" priority="417" operator="equal">
      <formula>1</formula>
    </cfRule>
  </conditionalFormatting>
  <conditionalFormatting sqref="C1216">
    <cfRule type="cellIs" dxfId="536" priority="412" operator="equal">
      <formula>3</formula>
    </cfRule>
    <cfRule type="cellIs" dxfId="535" priority="413" operator="equal">
      <formula>2</formula>
    </cfRule>
    <cfRule type="cellIs" dxfId="534" priority="414" operator="equal">
      <formula>1</formula>
    </cfRule>
  </conditionalFormatting>
  <conditionalFormatting sqref="C1231:C1232">
    <cfRule type="cellIs" dxfId="533" priority="409" operator="equal">
      <formula>3</formula>
    </cfRule>
    <cfRule type="cellIs" dxfId="532" priority="410" operator="equal">
      <formula>2</formula>
    </cfRule>
    <cfRule type="cellIs" dxfId="531" priority="411" operator="equal">
      <formula>1</formula>
    </cfRule>
  </conditionalFormatting>
  <conditionalFormatting sqref="C1244">
    <cfRule type="cellIs" dxfId="530" priority="406" operator="equal">
      <formula>3</formula>
    </cfRule>
    <cfRule type="cellIs" dxfId="529" priority="407" operator="equal">
      <formula>2</formula>
    </cfRule>
    <cfRule type="cellIs" dxfId="528" priority="408" operator="equal">
      <formula>1</formula>
    </cfRule>
  </conditionalFormatting>
  <conditionalFormatting sqref="C1249">
    <cfRule type="cellIs" dxfId="527" priority="403" operator="equal">
      <formula>3</formula>
    </cfRule>
    <cfRule type="cellIs" dxfId="526" priority="404" operator="equal">
      <formula>2</formula>
    </cfRule>
    <cfRule type="cellIs" dxfId="525" priority="405" operator="equal">
      <formula>1</formula>
    </cfRule>
  </conditionalFormatting>
  <conditionalFormatting sqref="C1250">
    <cfRule type="cellIs" dxfId="524" priority="400" operator="equal">
      <formula>3</formula>
    </cfRule>
    <cfRule type="cellIs" dxfId="523" priority="401" operator="equal">
      <formula>2</formula>
    </cfRule>
    <cfRule type="cellIs" dxfId="522" priority="402" operator="equal">
      <formula>1</formula>
    </cfRule>
  </conditionalFormatting>
  <conditionalFormatting sqref="C1251">
    <cfRule type="cellIs" dxfId="521" priority="397" operator="equal">
      <formula>3</formula>
    </cfRule>
    <cfRule type="cellIs" dxfId="520" priority="398" operator="equal">
      <formula>2</formula>
    </cfRule>
    <cfRule type="cellIs" dxfId="519" priority="399" operator="equal">
      <formula>1</formula>
    </cfRule>
  </conditionalFormatting>
  <conditionalFormatting sqref="C1252">
    <cfRule type="cellIs" dxfId="518" priority="394" operator="equal">
      <formula>3</formula>
    </cfRule>
    <cfRule type="cellIs" dxfId="517" priority="395" operator="equal">
      <formula>2</formula>
    </cfRule>
    <cfRule type="cellIs" dxfId="516" priority="396" operator="equal">
      <formula>1</formula>
    </cfRule>
  </conditionalFormatting>
  <conditionalFormatting sqref="C1253">
    <cfRule type="cellIs" dxfId="515" priority="391" operator="equal">
      <formula>3</formula>
    </cfRule>
    <cfRule type="cellIs" dxfId="514" priority="392" operator="equal">
      <formula>2</formula>
    </cfRule>
    <cfRule type="cellIs" dxfId="513" priority="393" operator="equal">
      <formula>1</formula>
    </cfRule>
  </conditionalFormatting>
  <conditionalFormatting sqref="C1254">
    <cfRule type="cellIs" dxfId="512" priority="388" operator="equal">
      <formula>3</formula>
    </cfRule>
    <cfRule type="cellIs" dxfId="511" priority="389" operator="equal">
      <formula>2</formula>
    </cfRule>
    <cfRule type="cellIs" dxfId="510" priority="390" operator="equal">
      <formula>1</formula>
    </cfRule>
  </conditionalFormatting>
  <conditionalFormatting sqref="C1262:C1265">
    <cfRule type="cellIs" dxfId="509" priority="385" operator="equal">
      <formula>3</formula>
    </cfRule>
    <cfRule type="cellIs" dxfId="508" priority="386" operator="equal">
      <formula>2</formula>
    </cfRule>
    <cfRule type="cellIs" dxfId="507" priority="387" operator="equal">
      <formula>1</formula>
    </cfRule>
  </conditionalFormatting>
  <conditionalFormatting sqref="C1268">
    <cfRule type="cellIs" dxfId="506" priority="382" operator="equal">
      <formula>3</formula>
    </cfRule>
    <cfRule type="cellIs" dxfId="505" priority="383" operator="equal">
      <formula>2</formula>
    </cfRule>
    <cfRule type="cellIs" dxfId="504" priority="384" operator="equal">
      <formula>1</formula>
    </cfRule>
  </conditionalFormatting>
  <conditionalFormatting sqref="C1269">
    <cfRule type="cellIs" dxfId="503" priority="379" operator="equal">
      <formula>3</formula>
    </cfRule>
    <cfRule type="cellIs" dxfId="502" priority="380" operator="equal">
      <formula>2</formula>
    </cfRule>
    <cfRule type="cellIs" dxfId="501" priority="381" operator="equal">
      <formula>1</formula>
    </cfRule>
  </conditionalFormatting>
  <conditionalFormatting sqref="C1270">
    <cfRule type="cellIs" dxfId="500" priority="376" operator="equal">
      <formula>3</formula>
    </cfRule>
    <cfRule type="cellIs" dxfId="499" priority="377" operator="equal">
      <formula>2</formula>
    </cfRule>
    <cfRule type="cellIs" dxfId="498" priority="378" operator="equal">
      <formula>1</formula>
    </cfRule>
  </conditionalFormatting>
  <conditionalFormatting sqref="C1274:C1275">
    <cfRule type="cellIs" dxfId="497" priority="373" operator="equal">
      <formula>3</formula>
    </cfRule>
    <cfRule type="cellIs" dxfId="496" priority="374" operator="equal">
      <formula>2</formula>
    </cfRule>
    <cfRule type="cellIs" dxfId="495" priority="375" operator="equal">
      <formula>1</formula>
    </cfRule>
  </conditionalFormatting>
  <conditionalFormatting sqref="C1279:C1281">
    <cfRule type="cellIs" dxfId="494" priority="370" operator="equal">
      <formula>3</formula>
    </cfRule>
    <cfRule type="cellIs" dxfId="493" priority="371" operator="equal">
      <formula>2</formula>
    </cfRule>
    <cfRule type="cellIs" dxfId="492" priority="372" operator="equal">
      <formula>1</formula>
    </cfRule>
  </conditionalFormatting>
  <conditionalFormatting sqref="C1283">
    <cfRule type="cellIs" dxfId="491" priority="367" operator="equal">
      <formula>3</formula>
    </cfRule>
    <cfRule type="cellIs" dxfId="490" priority="368" operator="equal">
      <formula>2</formula>
    </cfRule>
    <cfRule type="cellIs" dxfId="489" priority="369" operator="equal">
      <formula>1</formula>
    </cfRule>
  </conditionalFormatting>
  <conditionalFormatting sqref="C1284">
    <cfRule type="cellIs" dxfId="488" priority="364" operator="equal">
      <formula>3</formula>
    </cfRule>
    <cfRule type="cellIs" dxfId="487" priority="365" operator="equal">
      <formula>2</formula>
    </cfRule>
    <cfRule type="cellIs" dxfId="486" priority="366" operator="equal">
      <formula>1</formula>
    </cfRule>
  </conditionalFormatting>
  <conditionalFormatting sqref="C1285">
    <cfRule type="cellIs" dxfId="485" priority="361" operator="equal">
      <formula>3</formula>
    </cfRule>
    <cfRule type="cellIs" dxfId="484" priority="362" operator="equal">
      <formula>2</formula>
    </cfRule>
    <cfRule type="cellIs" dxfId="483" priority="363" operator="equal">
      <formula>1</formula>
    </cfRule>
  </conditionalFormatting>
  <conditionalFormatting sqref="C1291">
    <cfRule type="cellIs" dxfId="482" priority="358" operator="equal">
      <formula>3</formula>
    </cfRule>
    <cfRule type="cellIs" dxfId="481" priority="359" operator="equal">
      <formula>2</formula>
    </cfRule>
    <cfRule type="cellIs" dxfId="480" priority="360" operator="equal">
      <formula>1</formula>
    </cfRule>
  </conditionalFormatting>
  <conditionalFormatting sqref="C1292">
    <cfRule type="cellIs" dxfId="479" priority="355" operator="equal">
      <formula>3</formula>
    </cfRule>
    <cfRule type="cellIs" dxfId="478" priority="356" operator="equal">
      <formula>2</formula>
    </cfRule>
    <cfRule type="cellIs" dxfId="477" priority="357" operator="equal">
      <formula>1</formula>
    </cfRule>
  </conditionalFormatting>
  <conditionalFormatting sqref="C1294">
    <cfRule type="cellIs" dxfId="476" priority="349" operator="equal">
      <formula>3</formula>
    </cfRule>
    <cfRule type="cellIs" dxfId="475" priority="350" operator="equal">
      <formula>2</formula>
    </cfRule>
    <cfRule type="cellIs" dxfId="474" priority="351" operator="equal">
      <formula>1</formula>
    </cfRule>
  </conditionalFormatting>
  <conditionalFormatting sqref="C1297">
    <cfRule type="cellIs" dxfId="473" priority="340" operator="equal">
      <formula>3</formula>
    </cfRule>
    <cfRule type="cellIs" dxfId="472" priority="341" operator="equal">
      <formula>2</formula>
    </cfRule>
    <cfRule type="cellIs" dxfId="471" priority="342" operator="equal">
      <formula>1</formula>
    </cfRule>
  </conditionalFormatting>
  <conditionalFormatting sqref="C1295">
    <cfRule type="cellIs" dxfId="470" priority="346" operator="equal">
      <formula>3</formula>
    </cfRule>
    <cfRule type="cellIs" dxfId="469" priority="347" operator="equal">
      <formula>2</formula>
    </cfRule>
    <cfRule type="cellIs" dxfId="468" priority="348" operator="equal">
      <formula>1</formula>
    </cfRule>
  </conditionalFormatting>
  <conditionalFormatting sqref="C1296">
    <cfRule type="cellIs" dxfId="467" priority="343" operator="equal">
      <formula>3</formula>
    </cfRule>
    <cfRule type="cellIs" dxfId="466" priority="344" operator="equal">
      <formula>2</formula>
    </cfRule>
    <cfRule type="cellIs" dxfId="465" priority="345" operator="equal">
      <formula>1</formula>
    </cfRule>
  </conditionalFormatting>
  <conditionalFormatting sqref="C1300">
    <cfRule type="cellIs" dxfId="464" priority="337" operator="equal">
      <formula>3</formula>
    </cfRule>
    <cfRule type="cellIs" dxfId="463" priority="338" operator="equal">
      <formula>2</formula>
    </cfRule>
    <cfRule type="cellIs" dxfId="462" priority="339" operator="equal">
      <formula>1</formula>
    </cfRule>
  </conditionalFormatting>
  <conditionalFormatting sqref="C1339">
    <cfRule type="cellIs" dxfId="461" priority="334" operator="equal">
      <formula>3</formula>
    </cfRule>
    <cfRule type="cellIs" dxfId="460" priority="335" operator="equal">
      <formula>2</formula>
    </cfRule>
    <cfRule type="cellIs" dxfId="459" priority="336" operator="equal">
      <formula>1</formula>
    </cfRule>
  </conditionalFormatting>
  <conditionalFormatting sqref="C1349:C1350">
    <cfRule type="cellIs" dxfId="458" priority="331" operator="equal">
      <formula>3</formula>
    </cfRule>
    <cfRule type="cellIs" dxfId="457" priority="332" operator="equal">
      <formula>2</formula>
    </cfRule>
    <cfRule type="cellIs" dxfId="456" priority="333" operator="equal">
      <formula>1</formula>
    </cfRule>
  </conditionalFormatting>
  <conditionalFormatting sqref="C1351 C1353 C1355:C1356">
    <cfRule type="cellIs" dxfId="455" priority="328" operator="equal">
      <formula>3</formula>
    </cfRule>
    <cfRule type="cellIs" dxfId="454" priority="329" operator="equal">
      <formula>2</formula>
    </cfRule>
    <cfRule type="cellIs" dxfId="453" priority="330" operator="equal">
      <formula>1</formula>
    </cfRule>
  </conditionalFormatting>
  <conditionalFormatting sqref="C1352">
    <cfRule type="cellIs" dxfId="452" priority="325" operator="equal">
      <formula>3</formula>
    </cfRule>
    <cfRule type="cellIs" dxfId="451" priority="326" operator="equal">
      <formula>2</formula>
    </cfRule>
    <cfRule type="cellIs" dxfId="450" priority="327" operator="equal">
      <formula>1</formula>
    </cfRule>
  </conditionalFormatting>
  <conditionalFormatting sqref="C1354">
    <cfRule type="cellIs" dxfId="449" priority="322" operator="equal">
      <formula>3</formula>
    </cfRule>
    <cfRule type="cellIs" dxfId="448" priority="323" operator="equal">
      <formula>2</formula>
    </cfRule>
    <cfRule type="cellIs" dxfId="447" priority="324" operator="equal">
      <formula>1</formula>
    </cfRule>
  </conditionalFormatting>
  <conditionalFormatting sqref="C1377">
    <cfRule type="cellIs" dxfId="446" priority="319" operator="equal">
      <formula>3</formula>
    </cfRule>
    <cfRule type="cellIs" dxfId="445" priority="320" operator="equal">
      <formula>2</formula>
    </cfRule>
    <cfRule type="cellIs" dxfId="444" priority="321" operator="equal">
      <formula>1</formula>
    </cfRule>
  </conditionalFormatting>
  <conditionalFormatting sqref="C1389">
    <cfRule type="cellIs" dxfId="443" priority="316" operator="equal">
      <formula>3</formula>
    </cfRule>
    <cfRule type="cellIs" dxfId="442" priority="317" operator="equal">
      <formula>2</formula>
    </cfRule>
    <cfRule type="cellIs" dxfId="441" priority="318" operator="equal">
      <formula>1</formula>
    </cfRule>
  </conditionalFormatting>
  <conditionalFormatting sqref="C1387">
    <cfRule type="cellIs" dxfId="440" priority="313" operator="equal">
      <formula>3</formula>
    </cfRule>
    <cfRule type="cellIs" dxfId="439" priority="314" operator="equal">
      <formula>2</formula>
    </cfRule>
    <cfRule type="cellIs" dxfId="438" priority="315" operator="equal">
      <formula>1</formula>
    </cfRule>
  </conditionalFormatting>
  <conditionalFormatting sqref="C1301">
    <cfRule type="cellIs" dxfId="437" priority="310" operator="equal">
      <formula>3</formula>
    </cfRule>
    <cfRule type="cellIs" dxfId="436" priority="311" operator="equal">
      <formula>2</formula>
    </cfRule>
    <cfRule type="cellIs" dxfId="435" priority="312" operator="equal">
      <formula>1</formula>
    </cfRule>
  </conditionalFormatting>
  <conditionalFormatting sqref="C1405">
    <cfRule type="cellIs" dxfId="434" priority="307" operator="equal">
      <formula>3</formula>
    </cfRule>
    <cfRule type="cellIs" dxfId="433" priority="308" operator="equal">
      <formula>2</formula>
    </cfRule>
    <cfRule type="cellIs" dxfId="432" priority="309" operator="equal">
      <formula>1</formula>
    </cfRule>
  </conditionalFormatting>
  <conditionalFormatting sqref="C1408">
    <cfRule type="cellIs" dxfId="431" priority="304" operator="equal">
      <formula>3</formula>
    </cfRule>
    <cfRule type="cellIs" dxfId="430" priority="305" operator="equal">
      <formula>2</formula>
    </cfRule>
    <cfRule type="cellIs" dxfId="429" priority="306" operator="equal">
      <formula>1</formula>
    </cfRule>
  </conditionalFormatting>
  <conditionalFormatting sqref="C1409:C1410">
    <cfRule type="cellIs" dxfId="428" priority="301" operator="equal">
      <formula>3</formula>
    </cfRule>
    <cfRule type="cellIs" dxfId="427" priority="302" operator="equal">
      <formula>2</formula>
    </cfRule>
    <cfRule type="cellIs" dxfId="426" priority="303" operator="equal">
      <formula>1</formula>
    </cfRule>
  </conditionalFormatting>
  <conditionalFormatting sqref="C1411">
    <cfRule type="cellIs" dxfId="425" priority="298" operator="equal">
      <formula>3</formula>
    </cfRule>
    <cfRule type="cellIs" dxfId="424" priority="299" operator="equal">
      <formula>2</formula>
    </cfRule>
    <cfRule type="cellIs" dxfId="423" priority="300" operator="equal">
      <formula>1</formula>
    </cfRule>
  </conditionalFormatting>
  <conditionalFormatting sqref="C1414">
    <cfRule type="cellIs" dxfId="422" priority="295" operator="equal">
      <formula>3</formula>
    </cfRule>
    <cfRule type="cellIs" dxfId="421" priority="296" operator="equal">
      <formula>2</formula>
    </cfRule>
    <cfRule type="cellIs" dxfId="420" priority="297" operator="equal">
      <formula>1</formula>
    </cfRule>
  </conditionalFormatting>
  <conditionalFormatting sqref="D1415">
    <cfRule type="cellIs" dxfId="419" priority="292" operator="equal">
      <formula>3</formula>
    </cfRule>
    <cfRule type="cellIs" dxfId="418" priority="293" operator="equal">
      <formula>2</formula>
    </cfRule>
    <cfRule type="cellIs" dxfId="417" priority="294" operator="equal">
      <formula>1</formula>
    </cfRule>
  </conditionalFormatting>
  <conditionalFormatting sqref="C1415">
    <cfRule type="cellIs" dxfId="416" priority="289" operator="equal">
      <formula>3</formula>
    </cfRule>
    <cfRule type="cellIs" dxfId="415" priority="290" operator="equal">
      <formula>2</formula>
    </cfRule>
    <cfRule type="cellIs" dxfId="414" priority="291" operator="equal">
      <formula>1</formula>
    </cfRule>
  </conditionalFormatting>
  <conditionalFormatting sqref="C1430">
    <cfRule type="cellIs" dxfId="413" priority="286" operator="equal">
      <formula>3</formula>
    </cfRule>
    <cfRule type="cellIs" dxfId="412" priority="287" operator="equal">
      <formula>2</formula>
    </cfRule>
    <cfRule type="cellIs" dxfId="411" priority="288" operator="equal">
      <formula>1</formula>
    </cfRule>
  </conditionalFormatting>
  <conditionalFormatting sqref="C1431">
    <cfRule type="cellIs" dxfId="410" priority="283" operator="equal">
      <formula>3</formula>
    </cfRule>
    <cfRule type="cellIs" dxfId="409" priority="284" operator="equal">
      <formula>2</formula>
    </cfRule>
    <cfRule type="cellIs" dxfId="408" priority="285" operator="equal">
      <formula>1</formula>
    </cfRule>
  </conditionalFormatting>
  <conditionalFormatting sqref="C1432">
    <cfRule type="cellIs" dxfId="407" priority="280" operator="equal">
      <formula>3</formula>
    </cfRule>
    <cfRule type="cellIs" dxfId="406" priority="281" operator="equal">
      <formula>2</formula>
    </cfRule>
    <cfRule type="cellIs" dxfId="405" priority="282" operator="equal">
      <formula>1</formula>
    </cfRule>
  </conditionalFormatting>
  <conditionalFormatting sqref="C1434">
    <cfRule type="cellIs" dxfId="404" priority="277" operator="equal">
      <formula>3</formula>
    </cfRule>
    <cfRule type="cellIs" dxfId="403" priority="278" operator="equal">
      <formula>2</formula>
    </cfRule>
    <cfRule type="cellIs" dxfId="402" priority="279" operator="equal">
      <formula>1</formula>
    </cfRule>
  </conditionalFormatting>
  <conditionalFormatting sqref="C1459">
    <cfRule type="cellIs" dxfId="401" priority="274" operator="equal">
      <formula>3</formula>
    </cfRule>
    <cfRule type="cellIs" dxfId="400" priority="275" operator="equal">
      <formula>2</formula>
    </cfRule>
    <cfRule type="cellIs" dxfId="399" priority="276" operator="equal">
      <formula>1</formula>
    </cfRule>
  </conditionalFormatting>
  <conditionalFormatting sqref="C1460">
    <cfRule type="cellIs" dxfId="398" priority="271" operator="equal">
      <formula>3</formula>
    </cfRule>
    <cfRule type="cellIs" dxfId="397" priority="272" operator="equal">
      <formula>2</formula>
    </cfRule>
    <cfRule type="cellIs" dxfId="396" priority="273" operator="equal">
      <formula>1</formula>
    </cfRule>
  </conditionalFormatting>
  <conditionalFormatting sqref="C1461">
    <cfRule type="cellIs" dxfId="395" priority="268" operator="equal">
      <formula>3</formula>
    </cfRule>
    <cfRule type="cellIs" dxfId="394" priority="269" operator="equal">
      <formula>2</formula>
    </cfRule>
    <cfRule type="cellIs" dxfId="393" priority="270" operator="equal">
      <formula>1</formula>
    </cfRule>
  </conditionalFormatting>
  <conditionalFormatting sqref="C1462">
    <cfRule type="cellIs" dxfId="392" priority="265" operator="equal">
      <formula>3</formula>
    </cfRule>
    <cfRule type="cellIs" dxfId="391" priority="266" operator="equal">
      <formula>2</formula>
    </cfRule>
    <cfRule type="cellIs" dxfId="390" priority="267" operator="equal">
      <formula>1</formula>
    </cfRule>
  </conditionalFormatting>
  <conditionalFormatting sqref="C1486">
    <cfRule type="cellIs" dxfId="389" priority="262" operator="equal">
      <formula>3</formula>
    </cfRule>
    <cfRule type="cellIs" dxfId="388" priority="263" operator="equal">
      <formula>2</formula>
    </cfRule>
    <cfRule type="cellIs" dxfId="387" priority="264" operator="equal">
      <formula>1</formula>
    </cfRule>
  </conditionalFormatting>
  <conditionalFormatting sqref="C1487">
    <cfRule type="cellIs" dxfId="386" priority="259" operator="equal">
      <formula>3</formula>
    </cfRule>
    <cfRule type="cellIs" dxfId="385" priority="260" operator="equal">
      <formula>2</formula>
    </cfRule>
    <cfRule type="cellIs" dxfId="384" priority="261" operator="equal">
      <formula>1</formula>
    </cfRule>
  </conditionalFormatting>
  <conditionalFormatting sqref="C1488">
    <cfRule type="cellIs" dxfId="383" priority="256" operator="equal">
      <formula>3</formula>
    </cfRule>
    <cfRule type="cellIs" dxfId="382" priority="257" operator="equal">
      <formula>2</formula>
    </cfRule>
    <cfRule type="cellIs" dxfId="381" priority="258" operator="equal">
      <formula>1</formula>
    </cfRule>
  </conditionalFormatting>
  <conditionalFormatting sqref="C1498">
    <cfRule type="cellIs" dxfId="380" priority="247" operator="equal">
      <formula>3</formula>
    </cfRule>
    <cfRule type="cellIs" dxfId="379" priority="248" operator="equal">
      <formula>2</formula>
    </cfRule>
    <cfRule type="cellIs" dxfId="378" priority="249" operator="equal">
      <formula>1</formula>
    </cfRule>
  </conditionalFormatting>
  <conditionalFormatting sqref="C1495">
    <cfRule type="cellIs" dxfId="377" priority="253" operator="equal">
      <formula>3</formula>
    </cfRule>
    <cfRule type="cellIs" dxfId="376" priority="254" operator="equal">
      <formula>2</formula>
    </cfRule>
    <cfRule type="cellIs" dxfId="375" priority="255" operator="equal">
      <formula>1</formula>
    </cfRule>
  </conditionalFormatting>
  <conditionalFormatting sqref="C1497">
    <cfRule type="cellIs" dxfId="374" priority="250" operator="equal">
      <formula>3</formula>
    </cfRule>
    <cfRule type="cellIs" dxfId="373" priority="251" operator="equal">
      <formula>2</formula>
    </cfRule>
    <cfRule type="cellIs" dxfId="372" priority="252" operator="equal">
      <formula>1</formula>
    </cfRule>
  </conditionalFormatting>
  <conditionalFormatting sqref="C1499">
    <cfRule type="cellIs" dxfId="371" priority="244" operator="equal">
      <formula>3</formula>
    </cfRule>
    <cfRule type="cellIs" dxfId="370" priority="245" operator="equal">
      <formula>2</formula>
    </cfRule>
    <cfRule type="cellIs" dxfId="369" priority="246" operator="equal">
      <formula>1</formula>
    </cfRule>
  </conditionalFormatting>
  <conditionalFormatting sqref="C1524:C1525">
    <cfRule type="cellIs" dxfId="368" priority="241" operator="equal">
      <formula>3</formula>
    </cfRule>
    <cfRule type="cellIs" dxfId="367" priority="242" operator="equal">
      <formula>2</formula>
    </cfRule>
    <cfRule type="cellIs" dxfId="366" priority="243" operator="equal">
      <formula>1</formula>
    </cfRule>
  </conditionalFormatting>
  <conditionalFormatting sqref="C1538">
    <cfRule type="cellIs" dxfId="365" priority="238" operator="equal">
      <formula>3</formula>
    </cfRule>
    <cfRule type="cellIs" dxfId="364" priority="239" operator="equal">
      <formula>2</formula>
    </cfRule>
    <cfRule type="cellIs" dxfId="363" priority="240" operator="equal">
      <formula>1</formula>
    </cfRule>
  </conditionalFormatting>
  <conditionalFormatting sqref="C1539">
    <cfRule type="cellIs" dxfId="362" priority="235" operator="equal">
      <formula>3</formula>
    </cfRule>
    <cfRule type="cellIs" dxfId="361" priority="236" operator="equal">
      <formula>2</formula>
    </cfRule>
    <cfRule type="cellIs" dxfId="360" priority="237" operator="equal">
      <formula>1</formula>
    </cfRule>
  </conditionalFormatting>
  <conditionalFormatting sqref="C1540">
    <cfRule type="cellIs" dxfId="359" priority="232" operator="equal">
      <formula>3</formula>
    </cfRule>
    <cfRule type="cellIs" dxfId="358" priority="233" operator="equal">
      <formula>2</formula>
    </cfRule>
    <cfRule type="cellIs" dxfId="357" priority="234" operator="equal">
      <formula>1</formula>
    </cfRule>
  </conditionalFormatting>
  <conditionalFormatting sqref="C1541">
    <cfRule type="cellIs" dxfId="356" priority="229" operator="equal">
      <formula>3</formula>
    </cfRule>
    <cfRule type="cellIs" dxfId="355" priority="230" operator="equal">
      <formula>2</formula>
    </cfRule>
    <cfRule type="cellIs" dxfId="354" priority="231" operator="equal">
      <formula>1</formula>
    </cfRule>
  </conditionalFormatting>
  <conditionalFormatting sqref="C1543">
    <cfRule type="cellIs" dxfId="353" priority="223" operator="equal">
      <formula>3</formula>
    </cfRule>
    <cfRule type="cellIs" dxfId="352" priority="224" operator="equal">
      <formula>2</formula>
    </cfRule>
    <cfRule type="cellIs" dxfId="351" priority="225" operator="equal">
      <formula>1</formula>
    </cfRule>
  </conditionalFormatting>
  <conditionalFormatting sqref="C1542">
    <cfRule type="cellIs" dxfId="350" priority="226" operator="equal">
      <formula>3</formula>
    </cfRule>
    <cfRule type="cellIs" dxfId="349" priority="227" operator="equal">
      <formula>2</formula>
    </cfRule>
    <cfRule type="cellIs" dxfId="348" priority="228" operator="equal">
      <formula>1</formula>
    </cfRule>
  </conditionalFormatting>
  <conditionalFormatting sqref="C1544">
    <cfRule type="cellIs" dxfId="347" priority="220" operator="equal">
      <formula>3</formula>
    </cfRule>
    <cfRule type="cellIs" dxfId="346" priority="221" operator="equal">
      <formula>2</formula>
    </cfRule>
    <cfRule type="cellIs" dxfId="345" priority="222" operator="equal">
      <formula>1</formula>
    </cfRule>
  </conditionalFormatting>
  <conditionalFormatting sqref="C1545">
    <cfRule type="cellIs" dxfId="344" priority="217" operator="equal">
      <formula>3</formula>
    </cfRule>
    <cfRule type="cellIs" dxfId="343" priority="218" operator="equal">
      <formula>2</formula>
    </cfRule>
    <cfRule type="cellIs" dxfId="342" priority="219" operator="equal">
      <formula>1</formula>
    </cfRule>
  </conditionalFormatting>
  <conditionalFormatting sqref="C1562">
    <cfRule type="cellIs" dxfId="341" priority="214" operator="equal">
      <formula>3</formula>
    </cfRule>
    <cfRule type="cellIs" dxfId="340" priority="215" operator="equal">
      <formula>2</formula>
    </cfRule>
    <cfRule type="cellIs" dxfId="339" priority="216" operator="equal">
      <formula>1</formula>
    </cfRule>
  </conditionalFormatting>
  <conditionalFormatting sqref="C1565">
    <cfRule type="cellIs" dxfId="338" priority="211" operator="equal">
      <formula>3</formula>
    </cfRule>
    <cfRule type="cellIs" dxfId="337" priority="212" operator="equal">
      <formula>2</formula>
    </cfRule>
    <cfRule type="cellIs" dxfId="336" priority="213" operator="equal">
      <formula>1</formula>
    </cfRule>
  </conditionalFormatting>
  <conditionalFormatting sqref="C1581">
    <cfRule type="cellIs" dxfId="335" priority="208" operator="equal">
      <formula>3</formula>
    </cfRule>
    <cfRule type="cellIs" dxfId="334" priority="209" operator="equal">
      <formula>2</formula>
    </cfRule>
    <cfRule type="cellIs" dxfId="333" priority="210" operator="equal">
      <formula>1</formula>
    </cfRule>
  </conditionalFormatting>
  <conditionalFormatting sqref="C1582">
    <cfRule type="cellIs" dxfId="332" priority="205" operator="equal">
      <formula>3</formula>
    </cfRule>
    <cfRule type="cellIs" dxfId="331" priority="206" operator="equal">
      <formula>2</formula>
    </cfRule>
    <cfRule type="cellIs" dxfId="330" priority="207" operator="equal">
      <formula>1</formula>
    </cfRule>
  </conditionalFormatting>
  <conditionalFormatting sqref="C1583">
    <cfRule type="cellIs" dxfId="329" priority="202" operator="equal">
      <formula>3</formula>
    </cfRule>
    <cfRule type="cellIs" dxfId="328" priority="203" operator="equal">
      <formula>2</formula>
    </cfRule>
    <cfRule type="cellIs" dxfId="327" priority="204" operator="equal">
      <formula>1</formula>
    </cfRule>
  </conditionalFormatting>
  <conditionalFormatting sqref="C1587">
    <cfRule type="cellIs" dxfId="326" priority="199" operator="equal">
      <formula>3</formula>
    </cfRule>
    <cfRule type="cellIs" dxfId="325" priority="200" operator="equal">
      <formula>2</formula>
    </cfRule>
    <cfRule type="cellIs" dxfId="324" priority="201" operator="equal">
      <formula>1</formula>
    </cfRule>
  </conditionalFormatting>
  <conditionalFormatting sqref="C1601">
    <cfRule type="cellIs" dxfId="323" priority="196" operator="equal">
      <formula>3</formula>
    </cfRule>
    <cfRule type="cellIs" dxfId="322" priority="197" operator="equal">
      <formula>2</formula>
    </cfRule>
    <cfRule type="cellIs" dxfId="321" priority="198" operator="equal">
      <formula>1</formula>
    </cfRule>
  </conditionalFormatting>
  <conditionalFormatting sqref="C1602">
    <cfRule type="cellIs" dxfId="320" priority="193" operator="equal">
      <formula>3</formula>
    </cfRule>
    <cfRule type="cellIs" dxfId="319" priority="194" operator="equal">
      <formula>2</formula>
    </cfRule>
    <cfRule type="cellIs" dxfId="318" priority="195" operator="equal">
      <formula>1</formula>
    </cfRule>
  </conditionalFormatting>
  <conditionalFormatting sqref="C1604">
    <cfRule type="cellIs" dxfId="317" priority="190" operator="equal">
      <formula>3</formula>
    </cfRule>
    <cfRule type="cellIs" dxfId="316" priority="191" operator="equal">
      <formula>2</formula>
    </cfRule>
    <cfRule type="cellIs" dxfId="315" priority="192" operator="equal">
      <formula>1</formula>
    </cfRule>
  </conditionalFormatting>
  <conditionalFormatting sqref="C1605">
    <cfRule type="cellIs" dxfId="314" priority="187" operator="equal">
      <formula>3</formula>
    </cfRule>
    <cfRule type="cellIs" dxfId="313" priority="188" operator="equal">
      <formula>2</formula>
    </cfRule>
    <cfRule type="cellIs" dxfId="312" priority="189" operator="equal">
      <formula>1</formula>
    </cfRule>
  </conditionalFormatting>
  <conditionalFormatting sqref="C1640">
    <cfRule type="cellIs" dxfId="311" priority="184" operator="equal">
      <formula>3</formula>
    </cfRule>
    <cfRule type="cellIs" dxfId="310" priority="185" operator="equal">
      <formula>2</formula>
    </cfRule>
    <cfRule type="cellIs" dxfId="309" priority="186" operator="equal">
      <formula>1</formula>
    </cfRule>
  </conditionalFormatting>
  <conditionalFormatting sqref="C1641">
    <cfRule type="cellIs" dxfId="308" priority="181" operator="equal">
      <formula>3</formula>
    </cfRule>
    <cfRule type="cellIs" dxfId="307" priority="182" operator="equal">
      <formula>2</formula>
    </cfRule>
    <cfRule type="cellIs" dxfId="306" priority="183" operator="equal">
      <formula>1</formula>
    </cfRule>
  </conditionalFormatting>
  <conditionalFormatting sqref="C1639">
    <cfRule type="cellIs" dxfId="305" priority="178" operator="equal">
      <formula>3</formula>
    </cfRule>
    <cfRule type="cellIs" dxfId="304" priority="179" operator="equal">
      <formula>2</formula>
    </cfRule>
    <cfRule type="cellIs" dxfId="303" priority="180" operator="equal">
      <formula>1</formula>
    </cfRule>
  </conditionalFormatting>
  <conditionalFormatting sqref="C1642">
    <cfRule type="cellIs" dxfId="302" priority="175" operator="equal">
      <formula>3</formula>
    </cfRule>
    <cfRule type="cellIs" dxfId="301" priority="176" operator="equal">
      <formula>2</formula>
    </cfRule>
    <cfRule type="cellIs" dxfId="300" priority="177" operator="equal">
      <formula>1</formula>
    </cfRule>
  </conditionalFormatting>
  <conditionalFormatting sqref="C1655">
    <cfRule type="cellIs" dxfId="299" priority="172" operator="equal">
      <formula>3</formula>
    </cfRule>
    <cfRule type="cellIs" dxfId="298" priority="173" operator="equal">
      <formula>2</formula>
    </cfRule>
    <cfRule type="cellIs" dxfId="297" priority="174" operator="equal">
      <formula>1</formula>
    </cfRule>
  </conditionalFormatting>
  <conditionalFormatting sqref="C1656">
    <cfRule type="cellIs" dxfId="296" priority="169" operator="equal">
      <formula>3</formula>
    </cfRule>
    <cfRule type="cellIs" dxfId="295" priority="170" operator="equal">
      <formula>2</formula>
    </cfRule>
    <cfRule type="cellIs" dxfId="294" priority="171" operator="equal">
      <formula>1</formula>
    </cfRule>
  </conditionalFormatting>
  <conditionalFormatting sqref="C1658">
    <cfRule type="cellIs" dxfId="293" priority="166" operator="equal">
      <formula>3</formula>
    </cfRule>
    <cfRule type="cellIs" dxfId="292" priority="167" operator="equal">
      <formula>2</formula>
    </cfRule>
    <cfRule type="cellIs" dxfId="291" priority="168" operator="equal">
      <formula>1</formula>
    </cfRule>
  </conditionalFormatting>
  <conditionalFormatting sqref="C1675">
    <cfRule type="cellIs" dxfId="290" priority="163" operator="equal">
      <formula>3</formula>
    </cfRule>
    <cfRule type="cellIs" dxfId="289" priority="164" operator="equal">
      <formula>2</formula>
    </cfRule>
    <cfRule type="cellIs" dxfId="288" priority="165" operator="equal">
      <formula>1</formula>
    </cfRule>
  </conditionalFormatting>
  <conditionalFormatting sqref="C1676">
    <cfRule type="cellIs" dxfId="287" priority="160" operator="equal">
      <formula>3</formula>
    </cfRule>
    <cfRule type="cellIs" dxfId="286" priority="161" operator="equal">
      <formula>2</formula>
    </cfRule>
    <cfRule type="cellIs" dxfId="285" priority="162" operator="equal">
      <formula>1</formula>
    </cfRule>
  </conditionalFormatting>
  <conditionalFormatting sqref="C1695">
    <cfRule type="cellIs" dxfId="284" priority="157" operator="equal">
      <formula>3</formula>
    </cfRule>
    <cfRule type="cellIs" dxfId="283" priority="158" operator="equal">
      <formula>2</formula>
    </cfRule>
    <cfRule type="cellIs" dxfId="282" priority="159" operator="equal">
      <formula>1</formula>
    </cfRule>
  </conditionalFormatting>
  <conditionalFormatting sqref="C1697">
    <cfRule type="cellIs" dxfId="281" priority="154" operator="equal">
      <formula>3</formula>
    </cfRule>
    <cfRule type="cellIs" dxfId="280" priority="155" operator="equal">
      <formula>2</formula>
    </cfRule>
    <cfRule type="cellIs" dxfId="279" priority="156" operator="equal">
      <formula>1</formula>
    </cfRule>
  </conditionalFormatting>
  <conditionalFormatting sqref="C1698">
    <cfRule type="cellIs" dxfId="278" priority="151" operator="equal">
      <formula>3</formula>
    </cfRule>
    <cfRule type="cellIs" dxfId="277" priority="152" operator="equal">
      <formula>2</formula>
    </cfRule>
    <cfRule type="cellIs" dxfId="276" priority="153" operator="equal">
      <formula>1</formula>
    </cfRule>
  </conditionalFormatting>
  <conditionalFormatting sqref="C1705">
    <cfRule type="cellIs" dxfId="275" priority="148" operator="equal">
      <formula>3</formula>
    </cfRule>
    <cfRule type="cellIs" dxfId="274" priority="149" operator="equal">
      <formula>2</formula>
    </cfRule>
    <cfRule type="cellIs" dxfId="273" priority="150" operator="equal">
      <formula>1</formula>
    </cfRule>
  </conditionalFormatting>
  <conditionalFormatting sqref="C1706">
    <cfRule type="cellIs" dxfId="272" priority="145" operator="equal">
      <formula>3</formula>
    </cfRule>
    <cfRule type="cellIs" dxfId="271" priority="146" operator="equal">
      <formula>2</formula>
    </cfRule>
    <cfRule type="cellIs" dxfId="270" priority="147" operator="equal">
      <formula>1</formula>
    </cfRule>
  </conditionalFormatting>
  <conditionalFormatting sqref="C1707">
    <cfRule type="cellIs" dxfId="269" priority="142" operator="equal">
      <formula>3</formula>
    </cfRule>
    <cfRule type="cellIs" dxfId="268" priority="143" operator="equal">
      <formula>2</formula>
    </cfRule>
    <cfRule type="cellIs" dxfId="267" priority="144" operator="equal">
      <formula>1</formula>
    </cfRule>
  </conditionalFormatting>
  <conditionalFormatting sqref="C1709">
    <cfRule type="cellIs" dxfId="266" priority="139" operator="equal">
      <formula>3</formula>
    </cfRule>
    <cfRule type="cellIs" dxfId="265" priority="140" operator="equal">
      <formula>2</formula>
    </cfRule>
    <cfRule type="cellIs" dxfId="264" priority="141" operator="equal">
      <formula>1</formula>
    </cfRule>
  </conditionalFormatting>
  <conditionalFormatting sqref="C1712">
    <cfRule type="cellIs" dxfId="263" priority="136" operator="equal">
      <formula>3</formula>
    </cfRule>
    <cfRule type="cellIs" dxfId="262" priority="137" operator="equal">
      <formula>2</formula>
    </cfRule>
    <cfRule type="cellIs" dxfId="261" priority="138" operator="equal">
      <formula>1</formula>
    </cfRule>
  </conditionalFormatting>
  <conditionalFormatting sqref="C1713">
    <cfRule type="cellIs" dxfId="260" priority="133" operator="equal">
      <formula>3</formula>
    </cfRule>
    <cfRule type="cellIs" dxfId="259" priority="134" operator="equal">
      <formula>2</formula>
    </cfRule>
    <cfRule type="cellIs" dxfId="258" priority="135" operator="equal">
      <formula>1</formula>
    </cfRule>
  </conditionalFormatting>
  <conditionalFormatting sqref="C1728">
    <cfRule type="cellIs" dxfId="257" priority="130" operator="equal">
      <formula>3</formula>
    </cfRule>
    <cfRule type="cellIs" dxfId="256" priority="131" operator="equal">
      <formula>2</formula>
    </cfRule>
    <cfRule type="cellIs" dxfId="255" priority="132" operator="equal">
      <formula>1</formula>
    </cfRule>
  </conditionalFormatting>
  <conditionalFormatting sqref="C1729">
    <cfRule type="cellIs" dxfId="254" priority="127" operator="equal">
      <formula>3</formula>
    </cfRule>
    <cfRule type="cellIs" dxfId="253" priority="128" operator="equal">
      <formula>2</formula>
    </cfRule>
    <cfRule type="cellIs" dxfId="252" priority="129" operator="equal">
      <formula>1</formula>
    </cfRule>
  </conditionalFormatting>
  <conditionalFormatting sqref="C1744">
    <cfRule type="cellIs" dxfId="251" priority="124" operator="equal">
      <formula>3</formula>
    </cfRule>
    <cfRule type="cellIs" dxfId="250" priority="125" operator="equal">
      <formula>2</formula>
    </cfRule>
    <cfRule type="cellIs" dxfId="249" priority="126" operator="equal">
      <formula>1</formula>
    </cfRule>
  </conditionalFormatting>
  <conditionalFormatting sqref="C1747">
    <cfRule type="cellIs" dxfId="248" priority="121" operator="equal">
      <formula>3</formula>
    </cfRule>
    <cfRule type="cellIs" dxfId="247" priority="122" operator="equal">
      <formula>2</formula>
    </cfRule>
    <cfRule type="cellIs" dxfId="246" priority="123" operator="equal">
      <formula>1</formula>
    </cfRule>
  </conditionalFormatting>
  <conditionalFormatting sqref="C1757">
    <cfRule type="cellIs" dxfId="245" priority="118" operator="equal">
      <formula>3</formula>
    </cfRule>
    <cfRule type="cellIs" dxfId="244" priority="119" operator="equal">
      <formula>2</formula>
    </cfRule>
    <cfRule type="cellIs" dxfId="243" priority="120" operator="equal">
      <formula>1</formula>
    </cfRule>
  </conditionalFormatting>
  <conditionalFormatting sqref="C1758">
    <cfRule type="cellIs" dxfId="242" priority="115" operator="equal">
      <formula>3</formula>
    </cfRule>
    <cfRule type="cellIs" dxfId="241" priority="116" operator="equal">
      <formula>2</formula>
    </cfRule>
    <cfRule type="cellIs" dxfId="240" priority="117" operator="equal">
      <formula>1</formula>
    </cfRule>
  </conditionalFormatting>
  <conditionalFormatting sqref="C1773">
    <cfRule type="cellIs" dxfId="239" priority="112" operator="equal">
      <formula>3</formula>
    </cfRule>
    <cfRule type="cellIs" dxfId="238" priority="113" operator="equal">
      <formula>2</formula>
    </cfRule>
    <cfRule type="cellIs" dxfId="237" priority="114" operator="equal">
      <formula>1</formula>
    </cfRule>
  </conditionalFormatting>
  <conditionalFormatting sqref="C1774">
    <cfRule type="cellIs" dxfId="236" priority="109" operator="equal">
      <formula>3</formula>
    </cfRule>
    <cfRule type="cellIs" dxfId="235" priority="110" operator="equal">
      <formula>2</formula>
    </cfRule>
    <cfRule type="cellIs" dxfId="234" priority="111" operator="equal">
      <formula>1</formula>
    </cfRule>
  </conditionalFormatting>
  <conditionalFormatting sqref="C1775">
    <cfRule type="cellIs" dxfId="233" priority="106" operator="equal">
      <formula>3</formula>
    </cfRule>
    <cfRule type="cellIs" dxfId="232" priority="107" operator="equal">
      <formula>2</formula>
    </cfRule>
    <cfRule type="cellIs" dxfId="231" priority="108" operator="equal">
      <formula>1</formula>
    </cfRule>
  </conditionalFormatting>
  <conditionalFormatting sqref="C1776">
    <cfRule type="cellIs" dxfId="230" priority="103" operator="equal">
      <formula>3</formula>
    </cfRule>
    <cfRule type="cellIs" dxfId="229" priority="104" operator="equal">
      <formula>2</formula>
    </cfRule>
    <cfRule type="cellIs" dxfId="228" priority="105" operator="equal">
      <formula>1</formula>
    </cfRule>
  </conditionalFormatting>
  <conditionalFormatting sqref="C1777">
    <cfRule type="cellIs" dxfId="227" priority="100" operator="equal">
      <formula>3</formula>
    </cfRule>
    <cfRule type="cellIs" dxfId="226" priority="101" operator="equal">
      <formula>2</formula>
    </cfRule>
    <cfRule type="cellIs" dxfId="225" priority="102" operator="equal">
      <formula>1</formula>
    </cfRule>
  </conditionalFormatting>
  <conditionalFormatting sqref="C1778">
    <cfRule type="cellIs" dxfId="224" priority="97" operator="equal">
      <formula>3</formula>
    </cfRule>
    <cfRule type="cellIs" dxfId="223" priority="98" operator="equal">
      <formula>2</formula>
    </cfRule>
    <cfRule type="cellIs" dxfId="222" priority="99" operator="equal">
      <formula>1</formula>
    </cfRule>
  </conditionalFormatting>
  <conditionalFormatting sqref="C1804">
    <cfRule type="cellIs" dxfId="221" priority="94" operator="equal">
      <formula>3</formula>
    </cfRule>
    <cfRule type="cellIs" dxfId="220" priority="95" operator="equal">
      <formula>2</formula>
    </cfRule>
    <cfRule type="cellIs" dxfId="219" priority="96" operator="equal">
      <formula>1</formula>
    </cfRule>
  </conditionalFormatting>
  <conditionalFormatting sqref="C1806">
    <cfRule type="cellIs" dxfId="218" priority="91" operator="equal">
      <formula>3</formula>
    </cfRule>
    <cfRule type="cellIs" dxfId="217" priority="92" operator="equal">
      <formula>2</formula>
    </cfRule>
    <cfRule type="cellIs" dxfId="216" priority="93" operator="equal">
      <formula>1</formula>
    </cfRule>
  </conditionalFormatting>
  <conditionalFormatting sqref="C1809">
    <cfRule type="cellIs" dxfId="215" priority="88" operator="equal">
      <formula>3</formula>
    </cfRule>
    <cfRule type="cellIs" dxfId="214" priority="89" operator="equal">
      <formula>2</formula>
    </cfRule>
    <cfRule type="cellIs" dxfId="213" priority="90" operator="equal">
      <formula>1</formula>
    </cfRule>
  </conditionalFormatting>
  <conditionalFormatting sqref="C1815">
    <cfRule type="cellIs" dxfId="212" priority="85" operator="equal">
      <formula>3</formula>
    </cfRule>
    <cfRule type="cellIs" dxfId="211" priority="86" operator="equal">
      <formula>2</formula>
    </cfRule>
    <cfRule type="cellIs" dxfId="210" priority="87" operator="equal">
      <formula>1</formula>
    </cfRule>
  </conditionalFormatting>
  <conditionalFormatting sqref="C1816">
    <cfRule type="cellIs" dxfId="209" priority="82" operator="equal">
      <formula>3</formula>
    </cfRule>
    <cfRule type="cellIs" dxfId="208" priority="83" operator="equal">
      <formula>2</formula>
    </cfRule>
    <cfRule type="cellIs" dxfId="207" priority="84" operator="equal">
      <formula>1</formula>
    </cfRule>
  </conditionalFormatting>
  <conditionalFormatting sqref="C1818">
    <cfRule type="cellIs" dxfId="206" priority="79" operator="equal">
      <formula>3</formula>
    </cfRule>
    <cfRule type="cellIs" dxfId="205" priority="80" operator="equal">
      <formula>2</formula>
    </cfRule>
    <cfRule type="cellIs" dxfId="204" priority="81" operator="equal">
      <formula>1</formula>
    </cfRule>
  </conditionalFormatting>
  <conditionalFormatting sqref="C1819:C1820">
    <cfRule type="cellIs" dxfId="203" priority="76" operator="equal">
      <formula>3</formula>
    </cfRule>
    <cfRule type="cellIs" dxfId="202" priority="77" operator="equal">
      <formula>2</formula>
    </cfRule>
    <cfRule type="cellIs" dxfId="201" priority="78" operator="equal">
      <formula>1</formula>
    </cfRule>
  </conditionalFormatting>
  <conditionalFormatting sqref="C1826:C1827">
    <cfRule type="cellIs" dxfId="200" priority="73" operator="equal">
      <formula>3</formula>
    </cfRule>
    <cfRule type="cellIs" dxfId="199" priority="74" operator="equal">
      <formula>2</formula>
    </cfRule>
    <cfRule type="cellIs" dxfId="198" priority="75" operator="equal">
      <formula>1</formula>
    </cfRule>
  </conditionalFormatting>
  <conditionalFormatting sqref="C1834">
    <cfRule type="cellIs" dxfId="197" priority="70" operator="equal">
      <formula>3</formula>
    </cfRule>
    <cfRule type="cellIs" dxfId="196" priority="71" operator="equal">
      <formula>2</formula>
    </cfRule>
    <cfRule type="cellIs" dxfId="195" priority="72" operator="equal">
      <formula>1</formula>
    </cfRule>
  </conditionalFormatting>
  <conditionalFormatting sqref="C1835">
    <cfRule type="cellIs" dxfId="194" priority="67" operator="equal">
      <formula>3</formula>
    </cfRule>
    <cfRule type="cellIs" dxfId="193" priority="68" operator="equal">
      <formula>2</formula>
    </cfRule>
    <cfRule type="cellIs" dxfId="192" priority="69" operator="equal">
      <formula>1</formula>
    </cfRule>
  </conditionalFormatting>
  <conditionalFormatting sqref="C1836">
    <cfRule type="cellIs" dxfId="191" priority="64" operator="equal">
      <formula>3</formula>
    </cfRule>
    <cfRule type="cellIs" dxfId="190" priority="65" operator="equal">
      <formula>2</formula>
    </cfRule>
    <cfRule type="cellIs" dxfId="189" priority="66" operator="equal">
      <formula>1</formula>
    </cfRule>
  </conditionalFormatting>
  <conditionalFormatting sqref="C1837:C1838">
    <cfRule type="cellIs" dxfId="188" priority="61" operator="equal">
      <formula>3</formula>
    </cfRule>
    <cfRule type="cellIs" dxfId="187" priority="62" operator="equal">
      <formula>2</formula>
    </cfRule>
    <cfRule type="cellIs" dxfId="186" priority="63" operator="equal">
      <formula>1</formula>
    </cfRule>
  </conditionalFormatting>
  <conditionalFormatting sqref="C1840">
    <cfRule type="cellIs" dxfId="185" priority="58" operator="equal">
      <formula>3</formula>
    </cfRule>
    <cfRule type="cellIs" dxfId="184" priority="59" operator="equal">
      <formula>2</formula>
    </cfRule>
    <cfRule type="cellIs" dxfId="183" priority="60" operator="equal">
      <formula>1</formula>
    </cfRule>
  </conditionalFormatting>
  <conditionalFormatting sqref="C1841">
    <cfRule type="cellIs" dxfId="182" priority="55" operator="equal">
      <formula>3</formula>
    </cfRule>
    <cfRule type="cellIs" dxfId="181" priority="56" operator="equal">
      <formula>2</formula>
    </cfRule>
    <cfRule type="cellIs" dxfId="180" priority="57" operator="equal">
      <formula>1</formula>
    </cfRule>
  </conditionalFormatting>
  <conditionalFormatting sqref="C1842">
    <cfRule type="cellIs" dxfId="179" priority="52" operator="equal">
      <formula>3</formula>
    </cfRule>
    <cfRule type="cellIs" dxfId="178" priority="53" operator="equal">
      <formula>2</formula>
    </cfRule>
    <cfRule type="cellIs" dxfId="177" priority="54" operator="equal">
      <formula>1</formula>
    </cfRule>
  </conditionalFormatting>
  <conditionalFormatting sqref="C1856">
    <cfRule type="cellIs" dxfId="176" priority="49" operator="equal">
      <formula>3</formula>
    </cfRule>
    <cfRule type="cellIs" dxfId="175" priority="50" operator="equal">
      <formula>2</formula>
    </cfRule>
    <cfRule type="cellIs" dxfId="174" priority="51" operator="equal">
      <formula>1</formula>
    </cfRule>
  </conditionalFormatting>
  <conditionalFormatting sqref="C1878">
    <cfRule type="cellIs" dxfId="173" priority="46" operator="equal">
      <formula>3</formula>
    </cfRule>
    <cfRule type="cellIs" dxfId="172" priority="47" operator="equal">
      <formula>2</formula>
    </cfRule>
    <cfRule type="cellIs" dxfId="171" priority="48" operator="equal">
      <formula>1</formula>
    </cfRule>
  </conditionalFormatting>
  <conditionalFormatting sqref="C1881">
    <cfRule type="cellIs" dxfId="170" priority="43" operator="equal">
      <formula>3</formula>
    </cfRule>
    <cfRule type="cellIs" dxfId="169" priority="44" operator="equal">
      <formula>2</formula>
    </cfRule>
    <cfRule type="cellIs" dxfId="168" priority="45" operator="equal">
      <formula>1</formula>
    </cfRule>
  </conditionalFormatting>
  <conditionalFormatting sqref="C1885">
    <cfRule type="cellIs" dxfId="167" priority="40" operator="equal">
      <formula>3</formula>
    </cfRule>
    <cfRule type="cellIs" dxfId="166" priority="41" operator="equal">
      <formula>2</formula>
    </cfRule>
    <cfRule type="cellIs" dxfId="165" priority="42" operator="equal">
      <formula>1</formula>
    </cfRule>
  </conditionalFormatting>
  <conditionalFormatting sqref="C1886">
    <cfRule type="cellIs" dxfId="164" priority="37" operator="equal">
      <formula>3</formula>
    </cfRule>
    <cfRule type="cellIs" dxfId="163" priority="38" operator="equal">
      <formula>2</formula>
    </cfRule>
    <cfRule type="cellIs" dxfId="162" priority="39" operator="equal">
      <formula>1</formula>
    </cfRule>
  </conditionalFormatting>
  <conditionalFormatting sqref="C1888">
    <cfRule type="cellIs" dxfId="161" priority="34" operator="equal">
      <formula>3</formula>
    </cfRule>
    <cfRule type="cellIs" dxfId="160" priority="35" operator="equal">
      <formula>2</formula>
    </cfRule>
    <cfRule type="cellIs" dxfId="159" priority="36" operator="equal">
      <formula>1</formula>
    </cfRule>
  </conditionalFormatting>
  <conditionalFormatting sqref="C1892">
    <cfRule type="cellIs" dxfId="158" priority="31" operator="equal">
      <formula>3</formula>
    </cfRule>
    <cfRule type="cellIs" dxfId="157" priority="32" operator="equal">
      <formula>2</formula>
    </cfRule>
    <cfRule type="cellIs" dxfId="156" priority="33" operator="equal">
      <formula>1</formula>
    </cfRule>
  </conditionalFormatting>
  <conditionalFormatting sqref="C1900">
    <cfRule type="cellIs" dxfId="155" priority="28" operator="equal">
      <formula>3</formula>
    </cfRule>
    <cfRule type="cellIs" dxfId="154" priority="29" operator="equal">
      <formula>2</formula>
    </cfRule>
    <cfRule type="cellIs" dxfId="153" priority="30" operator="equal">
      <formula>1</formula>
    </cfRule>
  </conditionalFormatting>
  <conditionalFormatting sqref="C1901">
    <cfRule type="cellIs" dxfId="152" priority="25" operator="equal">
      <formula>3</formula>
    </cfRule>
    <cfRule type="cellIs" dxfId="151" priority="26" operator="equal">
      <formula>2</formula>
    </cfRule>
    <cfRule type="cellIs" dxfId="150" priority="27" operator="equal">
      <formula>1</formula>
    </cfRule>
  </conditionalFormatting>
  <conditionalFormatting sqref="C1902">
    <cfRule type="cellIs" dxfId="149" priority="22" operator="equal">
      <formula>3</formula>
    </cfRule>
    <cfRule type="cellIs" dxfId="148" priority="23" operator="equal">
      <formula>2</formula>
    </cfRule>
    <cfRule type="cellIs" dxfId="147" priority="24" operator="equal">
      <formula>1</formula>
    </cfRule>
  </conditionalFormatting>
  <conditionalFormatting sqref="C1905">
    <cfRule type="cellIs" dxfId="146" priority="19" operator="equal">
      <formula>3</formula>
    </cfRule>
    <cfRule type="cellIs" dxfId="145" priority="20" operator="equal">
      <formula>2</formula>
    </cfRule>
    <cfRule type="cellIs" dxfId="144" priority="21" operator="equal">
      <formula>1</formula>
    </cfRule>
  </conditionalFormatting>
  <conditionalFormatting sqref="C1906">
    <cfRule type="cellIs" dxfId="143" priority="16" operator="equal">
      <formula>3</formula>
    </cfRule>
    <cfRule type="cellIs" dxfId="142" priority="17" operator="equal">
      <formula>2</formula>
    </cfRule>
    <cfRule type="cellIs" dxfId="141" priority="18" operator="equal">
      <formula>1</formula>
    </cfRule>
  </conditionalFormatting>
  <conditionalFormatting sqref="C1907">
    <cfRule type="cellIs" dxfId="140" priority="13" operator="equal">
      <formula>3</formula>
    </cfRule>
    <cfRule type="cellIs" dxfId="139" priority="14" operator="equal">
      <formula>2</formula>
    </cfRule>
    <cfRule type="cellIs" dxfId="138" priority="15" operator="equal">
      <formula>1</formula>
    </cfRule>
  </conditionalFormatting>
  <conditionalFormatting sqref="C1908">
    <cfRule type="cellIs" dxfId="137" priority="10" operator="equal">
      <formula>3</formula>
    </cfRule>
    <cfRule type="cellIs" dxfId="136" priority="11" operator="equal">
      <formula>2</formula>
    </cfRule>
    <cfRule type="cellIs" dxfId="135" priority="12" operator="equal">
      <formula>1</formula>
    </cfRule>
  </conditionalFormatting>
  <conditionalFormatting sqref="C1931">
    <cfRule type="cellIs" dxfId="134" priority="7" operator="equal">
      <formula>3</formula>
    </cfRule>
    <cfRule type="cellIs" dxfId="133" priority="8" operator="equal">
      <formula>2</formula>
    </cfRule>
    <cfRule type="cellIs" dxfId="132" priority="9" operator="equal">
      <formula>1</formula>
    </cfRule>
  </conditionalFormatting>
  <conditionalFormatting sqref="C1938 C1941">
    <cfRule type="cellIs" dxfId="131" priority="4" operator="equal">
      <formula>3</formula>
    </cfRule>
    <cfRule type="cellIs" dxfId="130" priority="5" operator="equal">
      <formula>2</formula>
    </cfRule>
    <cfRule type="cellIs" dxfId="129" priority="6" operator="equal">
      <formula>1</formula>
    </cfRule>
  </conditionalFormatting>
  <conditionalFormatting sqref="C1939:C1940">
    <cfRule type="cellIs" dxfId="128" priority="1" operator="equal">
      <formula>3</formula>
    </cfRule>
    <cfRule type="cellIs" dxfId="127" priority="2" operator="equal">
      <formula>2</formula>
    </cfRule>
    <cfRule type="cellIs" dxfId="126" priority="3" operator="equal">
      <formula>1</formula>
    </cfRule>
  </conditionalFormatting>
  <dataValidations count="6">
    <dataValidation type="list" allowBlank="1" showInputMessage="1" showErrorMessage="1" sqref="J780:J783 J741:J757 I3056:I1048576 J1172:J1173 J1270:J1288 J1306:J1320 J1336:J1340 J1362:J1367 J1351">
      <formula1>arret</formula1>
    </dataValidation>
    <dataValidation type="list" allowBlank="1" showInputMessage="1" showErrorMessage="1" sqref="J3048:J1048576 I45:I51 I166:I167 I485:I488 I588:I589 I727:I728 I947:I949 I1396:I1398 I1267 I1215:I1217 I1572:I1574">
      <formula1>nature</formula1>
    </dataValidation>
    <dataValidation type="list" allowBlank="1" showInputMessage="1" showErrorMessage="1" sqref="H2:H18 H20:H165 H168:H740 H758:H973 H975:H990 H992:H1624 H1628:H1699 H1701:H1714 H1716:H1746 H1756:H1048576">
      <formula1>equipement</formula1>
    </dataValidation>
    <dataValidation type="list" allowBlank="1" showInputMessage="1" showErrorMessage="1" sqref="J29:J55 K235 K122:K123 K119 K131 H166:H167 J2:J27 J57 J60:J97 K237 K240:K241 J99:J215 J253:J271 J273:J274 J276:J287 J217:J251 J289:J341 L525 J637:K637 J343:J494 J638:J740 J758:J761 J763 J765:J779 J520:J636 H974 H991 J941:J1171 J784:J939 J1321:J1335 J1174:J1269 J1289:J1305 J1341:J1350 J1352:J1361 J1368:J1432 K1462:K1467 J1435:J1610 J1612:J1624 J1628:J1699 J1701:J1746 J1756:J1778 J1780:J1782 J1789:J1816 J1818:J1856 J1858:J1875 J1877:J1906 J1908:J3047">
      <formula1>INDIRECT($I2)</formula1>
    </dataValidation>
    <dataValidation type="list" allowBlank="1" showInputMessage="1" showErrorMessage="1" sqref="D1095 D1415 C2:C1048576">
      <formula1>poste</formula1>
    </dataValidation>
    <dataValidation type="list" allowBlank="1" showInputMessage="1" showErrorMessage="1" sqref="J1433:J1434">
      <formula1>INDIRECT($I1434)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5">
              <controlPr defaultSize="0" print="0" autoFill="0" autoPict="0" macro="[0]!Feuil2.EnregCharg">
                <anchor moveWithCells="1" sizeWithCells="1">
                  <from>
                    <xdr:col>1</xdr:col>
                    <xdr:colOff>47625</xdr:colOff>
                    <xdr:row>0</xdr:row>
                    <xdr:rowOff>0</xdr:rowOff>
                  </from>
                  <to>
                    <xdr:col>1</xdr:col>
                    <xdr:colOff>1057275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Envoi_R0">
                <anchor moveWithCells="1" sizeWithCells="1">
                  <from>
                    <xdr:col>1</xdr:col>
                    <xdr:colOff>57150</xdr:colOff>
                    <xdr:row>0</xdr:row>
                    <xdr:rowOff>76200</xdr:rowOff>
                  </from>
                  <to>
                    <xdr:col>1</xdr:col>
                    <xdr:colOff>809625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Feuil21!$E$11:$I$11</xm:f>
          </x14:formula1>
          <xm:sqref>I590:I673 I678 I680:I726 I2:I44 I52:I165 I168:I484 I489:I587 I729:I946 I1268:I1395 I950:I1214 I1218:I1266 I1399:I1571 I1575:I3055</xm:sqref>
        </x14:dataValidation>
        <x14:dataValidation type="list" allowBlank="1" showInputMessage="1" showErrorMessage="1">
          <x14:formula1>
            <xm:f>'C:\Users\sdc\Desktop\[Copie de rapport_R0 20.xlsm]Feuil21'!#REF!</xm:f>
          </x14:formula1>
          <xm:sqref>I674:I677 I679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4" tint="-0.249977111117893"/>
  </sheetPr>
  <dimension ref="A1:AV386"/>
  <sheetViews>
    <sheetView zoomScale="110" zoomScaleNormal="110" zoomScaleSheetLayoutView="106" workbookViewId="0">
      <pane ySplit="1" topLeftCell="A377" activePane="bottomLeft" state="frozen"/>
      <selection activeCell="L1409" sqref="L1409"/>
      <selection pane="bottomLeft" activeCell="H388" sqref="H388"/>
    </sheetView>
  </sheetViews>
  <sheetFormatPr defaultColWidth="3.85546875" defaultRowHeight="15" x14ac:dyDescent="0.25"/>
  <cols>
    <col min="1" max="1" width="11.7109375" style="3" hidden="1" customWidth="1"/>
    <col min="2" max="2" width="11.5703125" style="3" customWidth="1"/>
    <col min="3" max="3" width="5.5703125" style="3" customWidth="1"/>
    <col min="4" max="4" width="10.140625" style="148" customWidth="1"/>
    <col min="5" max="5" width="6" style="156" customWidth="1"/>
    <col min="6" max="6" width="5" style="3" customWidth="1"/>
    <col min="7" max="7" width="6.140625" style="3" customWidth="1"/>
    <col min="8" max="8" width="7.5703125" style="3" customWidth="1"/>
    <col min="9" max="9" width="6.42578125" style="3" customWidth="1"/>
    <col min="10" max="10" width="6.140625" style="150" customWidth="1"/>
    <col min="11" max="11" width="6.42578125" style="150" customWidth="1"/>
    <col min="12" max="12" width="8.28515625" style="5" customWidth="1"/>
    <col min="13" max="13" width="6.28515625" style="3" customWidth="1"/>
    <col min="14" max="14" width="16.42578125" style="3" customWidth="1"/>
    <col min="15" max="15" width="19.140625" style="3" customWidth="1"/>
    <col min="16" max="16" width="7" style="198" customWidth="1"/>
    <col min="17" max="17" width="7.7109375" style="3" customWidth="1"/>
    <col min="18" max="18" width="9" style="149" customWidth="1"/>
    <col min="19" max="19" width="9.42578125" style="3" customWidth="1"/>
    <col min="20" max="20" width="8.5703125" style="3" customWidth="1"/>
    <col min="21" max="21" width="11" style="149" customWidth="1"/>
    <col min="22" max="22" width="9.7109375" style="151" customWidth="1"/>
    <col min="23" max="23" width="16.5703125" style="152" customWidth="1"/>
    <col min="24" max="24" width="14" style="191" customWidth="1"/>
    <col min="25" max="25" width="6.42578125" style="3" customWidth="1"/>
    <col min="26" max="26" width="3.5703125" style="152" customWidth="1"/>
    <col min="27" max="27" width="10.85546875" style="3" customWidth="1"/>
    <col min="28" max="28" width="9.85546875" style="3" customWidth="1"/>
    <col min="29" max="29" width="5.42578125" style="3" customWidth="1"/>
    <col min="30" max="30" width="13" style="3" customWidth="1"/>
    <col min="31" max="31" width="17.5703125" style="3" bestFit="1" customWidth="1"/>
    <col min="32" max="32" width="12" style="3" bestFit="1" customWidth="1"/>
    <col min="33" max="33" width="13.42578125" style="3" customWidth="1"/>
    <col min="34" max="34" width="14.140625" style="3" customWidth="1"/>
    <col min="35" max="35" width="10.28515625" style="151" customWidth="1"/>
    <col min="36" max="36" width="7.140625" style="3" customWidth="1"/>
    <col min="37" max="37" width="66" style="3" customWidth="1"/>
    <col min="38" max="38" width="12.5703125" style="3" customWidth="1"/>
    <col min="39" max="39" width="11.7109375" style="3" customWidth="1"/>
    <col min="40" max="40" width="16.140625" style="3" customWidth="1"/>
    <col min="41" max="41" width="41.7109375" style="3" customWidth="1"/>
    <col min="42" max="43" width="3.85546875" style="3" customWidth="1"/>
    <col min="44" max="44" width="6.85546875" style="3" customWidth="1"/>
    <col min="45" max="45" width="7.28515625" style="3" customWidth="1"/>
    <col min="46" max="46" width="7.42578125" style="3" customWidth="1"/>
    <col min="47" max="47" width="8.7109375" style="153" customWidth="1"/>
    <col min="48" max="48" width="7.28515625" style="153" customWidth="1"/>
    <col min="49" max="49" width="9.7109375" style="3" customWidth="1"/>
    <col min="50" max="50" width="55.28515625" style="3" customWidth="1"/>
    <col min="51" max="51" width="76.140625" style="3" customWidth="1"/>
    <col min="52" max="52" width="10.85546875" style="3" customWidth="1"/>
    <col min="53" max="53" width="6.42578125" style="3" customWidth="1"/>
    <col min="54" max="54" width="6.85546875" style="3" customWidth="1"/>
    <col min="55" max="55" width="6.5703125" style="3" customWidth="1"/>
    <col min="56" max="56" width="6.7109375" style="3" customWidth="1"/>
    <col min="57" max="57" width="8.28515625" style="3" customWidth="1"/>
    <col min="58" max="16384" width="3.85546875" style="3"/>
  </cols>
  <sheetData>
    <row r="1" spans="2:48" s="29" customFormat="1" ht="51.75" customHeight="1" x14ac:dyDescent="0.25">
      <c r="B1" s="36" t="s">
        <v>305</v>
      </c>
      <c r="C1" s="36" t="s">
        <v>306</v>
      </c>
      <c r="D1" s="37" t="s">
        <v>307</v>
      </c>
      <c r="E1" s="178" t="s">
        <v>629</v>
      </c>
      <c r="F1" s="178" t="s">
        <v>308</v>
      </c>
      <c r="G1" s="38" t="s">
        <v>309</v>
      </c>
      <c r="H1" s="39"/>
      <c r="I1" s="40" t="s">
        <v>310</v>
      </c>
      <c r="J1" s="41" t="s">
        <v>267</v>
      </c>
      <c r="K1" s="41" t="s">
        <v>311</v>
      </c>
      <c r="L1" s="39" t="s">
        <v>312</v>
      </c>
      <c r="M1" s="38" t="s">
        <v>470</v>
      </c>
      <c r="N1" s="38" t="s">
        <v>57</v>
      </c>
      <c r="O1" s="38" t="s">
        <v>486</v>
      </c>
      <c r="P1" s="39" t="s">
        <v>313</v>
      </c>
      <c r="Q1" s="42" t="s">
        <v>314</v>
      </c>
      <c r="R1" s="43" t="s">
        <v>315</v>
      </c>
      <c r="S1" s="44" t="s">
        <v>316</v>
      </c>
      <c r="T1" s="39" t="s">
        <v>317</v>
      </c>
      <c r="U1" s="45" t="s">
        <v>318</v>
      </c>
      <c r="V1" s="46" t="s">
        <v>319</v>
      </c>
      <c r="W1" s="47" t="s">
        <v>48</v>
      </c>
      <c r="X1" s="311" t="s">
        <v>505</v>
      </c>
      <c r="Y1" s="184" t="s">
        <v>320</v>
      </c>
      <c r="Z1" s="48" t="s">
        <v>321</v>
      </c>
      <c r="AA1" s="49" t="s">
        <v>322</v>
      </c>
      <c r="AB1" s="50" t="s">
        <v>323</v>
      </c>
      <c r="AC1" s="39" t="s">
        <v>324</v>
      </c>
      <c r="AD1" s="39" t="s">
        <v>325</v>
      </c>
      <c r="AE1" s="39" t="s">
        <v>326</v>
      </c>
      <c r="AF1" s="49" t="s">
        <v>327</v>
      </c>
      <c r="AG1" s="49" t="s">
        <v>328</v>
      </c>
      <c r="AH1" s="50" t="s">
        <v>329</v>
      </c>
      <c r="AI1" s="46" t="s">
        <v>330</v>
      </c>
      <c r="AJ1" s="51" t="s">
        <v>331</v>
      </c>
      <c r="AK1" s="51" t="s">
        <v>332</v>
      </c>
      <c r="AL1" s="51" t="s">
        <v>333</v>
      </c>
      <c r="AM1" s="51" t="s">
        <v>334</v>
      </c>
      <c r="AN1" s="51" t="s">
        <v>335</v>
      </c>
      <c r="AO1" s="52" t="s">
        <v>336</v>
      </c>
      <c r="AP1" s="39" t="s">
        <v>337</v>
      </c>
      <c r="AQ1" s="39" t="s">
        <v>338</v>
      </c>
      <c r="AR1" s="39" t="s">
        <v>274</v>
      </c>
      <c r="AS1" s="39" t="s">
        <v>339</v>
      </c>
      <c r="AT1" s="154" t="s">
        <v>339</v>
      </c>
      <c r="AU1" s="50" t="s">
        <v>340</v>
      </c>
      <c r="AV1" s="50" t="s">
        <v>341</v>
      </c>
    </row>
    <row r="2" spans="2:48" x14ac:dyDescent="0.25">
      <c r="B2" s="235">
        <v>44926</v>
      </c>
      <c r="C2" s="3">
        <v>1</v>
      </c>
      <c r="D2" s="148">
        <v>44927</v>
      </c>
      <c r="E2" s="237">
        <v>8087</v>
      </c>
      <c r="F2" s="3">
        <v>1</v>
      </c>
      <c r="G2" s="233">
        <v>7605</v>
      </c>
      <c r="H2" s="3" t="s">
        <v>58</v>
      </c>
      <c r="I2" s="3">
        <v>56</v>
      </c>
      <c r="J2" s="239">
        <v>0.40972222222222227</v>
      </c>
      <c r="K2" s="239">
        <v>0.4826388888888889</v>
      </c>
      <c r="L2" s="5">
        <v>7.2916666666666671E-2</v>
      </c>
      <c r="M2" s="233" t="s">
        <v>73</v>
      </c>
      <c r="N2" s="196" t="s">
        <v>487</v>
      </c>
      <c r="O2" s="3">
        <v>3080</v>
      </c>
      <c r="P2" s="268" t="str">
        <f>IFERROR((O2/I2)/(VLOOKUP(H2,[71]!taux,2,FALSE)),"")</f>
        <v/>
      </c>
      <c r="Q2" s="233">
        <f t="shared" ref="Q2:Q59" si="0">O2-W2</f>
        <v>3080</v>
      </c>
      <c r="R2" s="149">
        <v>4655</v>
      </c>
      <c r="S2" s="269">
        <v>1.35</v>
      </c>
      <c r="T2" s="233">
        <f t="shared" ref="T2:T14" si="1">Q2/S2</f>
        <v>2281.4814814814813</v>
      </c>
      <c r="U2" s="149">
        <v>1.81</v>
      </c>
      <c r="V2" s="197">
        <f t="shared" ref="V2:V26" si="2">AD2/U2</f>
        <v>1701.6574585635358</v>
      </c>
      <c r="X2" s="312"/>
      <c r="AA2" s="233">
        <v>1501</v>
      </c>
      <c r="AB2" s="233">
        <v>1451</v>
      </c>
      <c r="AC2" s="233">
        <v>2952</v>
      </c>
      <c r="AD2" s="3">
        <v>3080</v>
      </c>
      <c r="AE2" s="233" t="s">
        <v>8</v>
      </c>
      <c r="AF2" s="233" t="s">
        <v>631</v>
      </c>
      <c r="AG2" s="233" t="s">
        <v>451</v>
      </c>
      <c r="AH2" s="3" t="s">
        <v>148</v>
      </c>
    </row>
    <row r="3" spans="2:48" x14ac:dyDescent="0.25">
      <c r="B3" s="235">
        <v>44926</v>
      </c>
      <c r="C3" s="3">
        <v>2</v>
      </c>
      <c r="D3" s="236">
        <v>44927</v>
      </c>
      <c r="E3" s="156">
        <v>8088</v>
      </c>
      <c r="F3" s="3">
        <v>2</v>
      </c>
      <c r="G3" s="3">
        <v>7617</v>
      </c>
      <c r="H3" s="3" t="s">
        <v>66</v>
      </c>
      <c r="I3" s="3">
        <v>54</v>
      </c>
      <c r="J3" s="239">
        <v>0.67708333333333337</v>
      </c>
      <c r="K3" s="239">
        <v>0.75</v>
      </c>
      <c r="L3" s="234">
        <f t="shared" ref="L3:L68" si="3">+K3-J3</f>
        <v>7.291666666666663E-2</v>
      </c>
      <c r="M3" s="233" t="s">
        <v>73</v>
      </c>
      <c r="N3" s="3" t="s">
        <v>487</v>
      </c>
      <c r="O3" s="3">
        <v>3135</v>
      </c>
      <c r="P3" s="268" t="str">
        <f>IFERROR((O3/I3)/(VLOOKUP(H3,[71]!taux,2,FALSE)),"")</f>
        <v/>
      </c>
      <c r="Q3" s="233">
        <f t="shared" si="0"/>
        <v>3135</v>
      </c>
      <c r="R3" s="149">
        <v>4656.6099999999997</v>
      </c>
      <c r="S3" s="269">
        <f t="shared" ref="S3:S11" si="4">R3-R2</f>
        <v>1.6099999999996726</v>
      </c>
      <c r="T3" s="233">
        <f>Q3/S3</f>
        <v>1947.2049689444955</v>
      </c>
      <c r="U3" s="149">
        <v>1.78</v>
      </c>
      <c r="V3" s="197">
        <v>1166</v>
      </c>
      <c r="X3" s="312"/>
      <c r="AA3" s="3">
        <v>1519</v>
      </c>
      <c r="AB3" s="3">
        <v>1537</v>
      </c>
      <c r="AC3" s="3">
        <v>3056</v>
      </c>
      <c r="AD3" s="3">
        <v>3135</v>
      </c>
      <c r="AE3" s="3" t="s">
        <v>1</v>
      </c>
      <c r="AF3" s="3" t="s">
        <v>500</v>
      </c>
      <c r="AG3" s="3" t="s">
        <v>461</v>
      </c>
      <c r="AH3" s="3" t="s">
        <v>471</v>
      </c>
    </row>
    <row r="4" spans="2:48" x14ac:dyDescent="0.25">
      <c r="B4" s="235">
        <v>44927</v>
      </c>
      <c r="C4" s="3">
        <v>1</v>
      </c>
      <c r="D4" s="236">
        <v>44927</v>
      </c>
      <c r="E4" s="156">
        <v>8089</v>
      </c>
      <c r="F4" s="3">
        <v>3</v>
      </c>
      <c r="G4" s="233">
        <v>7625</v>
      </c>
      <c r="H4" s="3" t="s">
        <v>58</v>
      </c>
      <c r="I4" s="3">
        <v>55</v>
      </c>
      <c r="J4" s="239">
        <v>0.3923611111111111</v>
      </c>
      <c r="K4" s="239">
        <v>0.45833333333333331</v>
      </c>
      <c r="L4" s="234">
        <f t="shared" si="3"/>
        <v>6.597222222222221E-2</v>
      </c>
      <c r="M4" s="233" t="s">
        <v>73</v>
      </c>
      <c r="N4" s="233" t="s">
        <v>487</v>
      </c>
      <c r="O4" s="3">
        <v>2941</v>
      </c>
      <c r="P4" s="268" t="str">
        <f>IFERROR((O4/I4)/(VLOOKUP(H4,[71]!taux,2,FALSE)),"")</f>
        <v/>
      </c>
      <c r="Q4" s="233">
        <f t="shared" si="0"/>
        <v>2941</v>
      </c>
      <c r="R4" s="149">
        <v>4658.16</v>
      </c>
      <c r="S4" s="269">
        <f t="shared" si="4"/>
        <v>1.5500000000001819</v>
      </c>
      <c r="T4" s="233">
        <f t="shared" si="1"/>
        <v>1897.4193548384869</v>
      </c>
      <c r="U4" s="149">
        <v>1.6</v>
      </c>
      <c r="V4" s="197">
        <f t="shared" si="2"/>
        <v>1246.875</v>
      </c>
      <c r="X4" s="312"/>
      <c r="AA4" s="3">
        <v>1511</v>
      </c>
      <c r="AB4" s="3">
        <v>1429</v>
      </c>
      <c r="AC4" s="3">
        <v>2941</v>
      </c>
      <c r="AD4" s="233">
        <v>1995</v>
      </c>
      <c r="AE4" s="3" t="s">
        <v>476</v>
      </c>
      <c r="AF4" s="3" t="s">
        <v>472</v>
      </c>
      <c r="AG4" s="3" t="s">
        <v>490</v>
      </c>
      <c r="AH4" s="3" t="s">
        <v>640</v>
      </c>
      <c r="AK4" s="3" t="s">
        <v>642</v>
      </c>
    </row>
    <row r="5" spans="2:48" x14ac:dyDescent="0.25">
      <c r="B5" s="235">
        <v>44927</v>
      </c>
      <c r="C5" s="3">
        <v>2</v>
      </c>
      <c r="D5" s="148">
        <v>44928</v>
      </c>
      <c r="E5" s="156">
        <v>8090</v>
      </c>
      <c r="F5" s="3">
        <v>4</v>
      </c>
      <c r="G5" s="3">
        <v>7605</v>
      </c>
      <c r="H5" s="3" t="s">
        <v>58</v>
      </c>
      <c r="I5" s="3">
        <v>60</v>
      </c>
      <c r="J5" s="239">
        <v>0.76041666666666663</v>
      </c>
      <c r="K5" s="239">
        <v>0.83680555555555547</v>
      </c>
      <c r="L5" s="234">
        <f t="shared" si="3"/>
        <v>7.638888888888884E-2</v>
      </c>
      <c r="M5" s="3" t="s">
        <v>73</v>
      </c>
      <c r="N5" s="3" t="s">
        <v>487</v>
      </c>
      <c r="O5" s="3">
        <v>3360</v>
      </c>
      <c r="P5" s="268" t="str">
        <f>IFERROR((O5/I5)/(VLOOKUP(H5,[71]!taux,2,FALSE)),"")</f>
        <v/>
      </c>
      <c r="Q5" s="233">
        <f t="shared" si="0"/>
        <v>3360</v>
      </c>
      <c r="R5" s="149">
        <v>4659.96</v>
      </c>
      <c r="S5" s="269">
        <f t="shared" si="4"/>
        <v>1.8000000000001819</v>
      </c>
      <c r="T5" s="233">
        <f t="shared" si="1"/>
        <v>1866.666666666478</v>
      </c>
      <c r="U5" s="149">
        <v>1.88</v>
      </c>
      <c r="V5" s="197">
        <v>1180</v>
      </c>
      <c r="X5" s="312"/>
      <c r="AA5" s="3">
        <v>1534</v>
      </c>
      <c r="AB5" s="3">
        <v>1677</v>
      </c>
      <c r="AC5" s="3">
        <v>3360</v>
      </c>
      <c r="AD5" s="3">
        <v>3212</v>
      </c>
      <c r="AE5" s="3" t="s">
        <v>5</v>
      </c>
      <c r="AF5" s="3" t="s">
        <v>500</v>
      </c>
      <c r="AG5" s="3" t="s">
        <v>474</v>
      </c>
      <c r="AH5" s="3" t="s">
        <v>646</v>
      </c>
    </row>
    <row r="6" spans="2:48" x14ac:dyDescent="0.25">
      <c r="B6" s="235">
        <v>44928</v>
      </c>
      <c r="C6" s="3">
        <v>1</v>
      </c>
      <c r="D6" s="236">
        <v>44928</v>
      </c>
      <c r="E6" s="237">
        <v>8091</v>
      </c>
      <c r="F6" s="3">
        <v>5</v>
      </c>
      <c r="G6" s="233">
        <v>7625</v>
      </c>
      <c r="H6" s="3" t="s">
        <v>66</v>
      </c>
      <c r="I6" s="3">
        <v>52</v>
      </c>
      <c r="J6" s="239">
        <v>0.3888888888888889</v>
      </c>
      <c r="K6" s="239">
        <v>0.47222222222222227</v>
      </c>
      <c r="L6" s="234">
        <f t="shared" si="3"/>
        <v>8.333333333333337E-2</v>
      </c>
      <c r="M6" s="233" t="s">
        <v>73</v>
      </c>
      <c r="N6" s="233" t="s">
        <v>487</v>
      </c>
      <c r="O6" s="3">
        <v>3016</v>
      </c>
      <c r="P6" s="268" t="str">
        <f>IFERROR((O6/I6)/(VLOOKUP(H6,[71]!taux,2,FALSE)),"")</f>
        <v/>
      </c>
      <c r="Q6" s="233">
        <f t="shared" si="0"/>
        <v>3016</v>
      </c>
      <c r="R6" s="149">
        <v>4661.58</v>
      </c>
      <c r="S6" s="269">
        <f t="shared" si="4"/>
        <v>1.6199999999998909</v>
      </c>
      <c r="T6" s="233">
        <f t="shared" si="1"/>
        <v>1861.7283950618539</v>
      </c>
      <c r="U6" s="149">
        <v>1.7</v>
      </c>
      <c r="V6" s="197" t="e">
        <f t="shared" si="2"/>
        <v>#VALUE!</v>
      </c>
      <c r="X6" s="312"/>
      <c r="AA6" s="3">
        <v>1490</v>
      </c>
      <c r="AB6" s="3">
        <v>1526</v>
      </c>
      <c r="AC6" s="3">
        <v>3016</v>
      </c>
      <c r="AD6" s="3" t="s">
        <v>492</v>
      </c>
      <c r="AE6" s="3" t="s">
        <v>177</v>
      </c>
      <c r="AF6" s="3" t="s">
        <v>196</v>
      </c>
      <c r="AG6" s="3" t="s">
        <v>179</v>
      </c>
      <c r="AH6" s="3" t="s">
        <v>461</v>
      </c>
    </row>
    <row r="7" spans="2:48" x14ac:dyDescent="0.25">
      <c r="B7" s="235">
        <v>44928</v>
      </c>
      <c r="C7" s="3">
        <v>2</v>
      </c>
      <c r="D7" s="148">
        <v>44929</v>
      </c>
      <c r="E7" s="156">
        <v>8092</v>
      </c>
      <c r="F7" s="3">
        <v>6</v>
      </c>
      <c r="G7" s="3">
        <v>7605</v>
      </c>
      <c r="H7" s="3" t="s">
        <v>58</v>
      </c>
      <c r="I7" s="3">
        <v>59</v>
      </c>
      <c r="J7" s="239">
        <v>0.70833333333333337</v>
      </c>
      <c r="K7" s="239">
        <v>0.77083333333333337</v>
      </c>
      <c r="L7" s="5">
        <f t="shared" si="3"/>
        <v>6.25E-2</v>
      </c>
      <c r="M7" s="3" t="s">
        <v>73</v>
      </c>
      <c r="N7" s="3" t="s">
        <v>487</v>
      </c>
      <c r="O7" s="3">
        <v>3420</v>
      </c>
      <c r="P7" s="268" t="str">
        <f>IFERROR((O7/I7)/(VLOOKUP(H7,[71]!taux,2,FALSE)),"")</f>
        <v/>
      </c>
      <c r="Q7" s="233">
        <f t="shared" si="0"/>
        <v>3420</v>
      </c>
      <c r="R7" s="149">
        <v>4663.1899999999996</v>
      </c>
      <c r="S7" s="269">
        <f t="shared" si="4"/>
        <v>1.6099999999996726</v>
      </c>
      <c r="T7" s="233">
        <f t="shared" si="1"/>
        <v>2124.2236024849039</v>
      </c>
      <c r="U7" s="149">
        <v>1.69</v>
      </c>
      <c r="V7" s="197">
        <v>1341</v>
      </c>
      <c r="X7" s="312"/>
      <c r="AA7" s="3">
        <v>1633</v>
      </c>
      <c r="AB7" s="3">
        <v>1567</v>
      </c>
      <c r="AC7" s="3">
        <v>3220</v>
      </c>
      <c r="AD7" s="3">
        <v>3420</v>
      </c>
      <c r="AE7" s="3" t="s">
        <v>656</v>
      </c>
      <c r="AF7" s="3" t="s">
        <v>654</v>
      </c>
      <c r="AG7" s="3" t="s">
        <v>193</v>
      </c>
      <c r="AH7" s="3" t="s">
        <v>655</v>
      </c>
    </row>
    <row r="8" spans="2:48" x14ac:dyDescent="0.25">
      <c r="B8" s="235">
        <v>44928</v>
      </c>
      <c r="C8" s="3">
        <v>3</v>
      </c>
      <c r="D8" s="236">
        <v>44929</v>
      </c>
      <c r="E8" s="156">
        <v>8093</v>
      </c>
      <c r="F8" s="3">
        <v>7</v>
      </c>
      <c r="G8" s="233">
        <v>7617</v>
      </c>
      <c r="H8" s="233" t="s">
        <v>58</v>
      </c>
      <c r="I8" s="233">
        <v>60</v>
      </c>
      <c r="J8" s="239">
        <v>5.2083333333333336E-2</v>
      </c>
      <c r="K8" s="239">
        <v>0.125</v>
      </c>
      <c r="L8" s="5">
        <f t="shared" si="3"/>
        <v>7.2916666666666657E-2</v>
      </c>
      <c r="M8" s="233" t="s">
        <v>73</v>
      </c>
      <c r="N8" s="233" t="s">
        <v>487</v>
      </c>
      <c r="O8" s="3">
        <v>3297</v>
      </c>
      <c r="P8" s="268" t="str">
        <f>IFERROR((O8/I8)/(VLOOKUP(H8,[71]!taux,2,FALSE)),"")</f>
        <v/>
      </c>
      <c r="Q8" s="233">
        <f t="shared" si="0"/>
        <v>3297</v>
      </c>
      <c r="R8" s="149">
        <v>4665.04</v>
      </c>
      <c r="S8" s="269">
        <f t="shared" si="4"/>
        <v>1.8500000000003638</v>
      </c>
      <c r="T8" s="233">
        <f t="shared" si="1"/>
        <v>1782.1621621618117</v>
      </c>
      <c r="U8" s="149">
        <v>2.0699999999999998</v>
      </c>
      <c r="V8" s="197" t="e">
        <f t="shared" si="2"/>
        <v>#VALUE!</v>
      </c>
      <c r="X8" s="312"/>
      <c r="AA8" s="3">
        <v>1645</v>
      </c>
      <c r="AB8" s="3">
        <v>1650</v>
      </c>
      <c r="AC8" s="3">
        <v>3296</v>
      </c>
      <c r="AD8" s="233" t="s">
        <v>492</v>
      </c>
      <c r="AE8" s="3" t="s">
        <v>182</v>
      </c>
      <c r="AF8" s="3" t="s">
        <v>662</v>
      </c>
      <c r="AG8" s="3" t="s">
        <v>663</v>
      </c>
      <c r="AH8" s="3" t="s">
        <v>664</v>
      </c>
    </row>
    <row r="9" spans="2:48" x14ac:dyDescent="0.25">
      <c r="B9" s="235">
        <v>44929</v>
      </c>
      <c r="C9" s="3">
        <v>1</v>
      </c>
      <c r="D9" s="236">
        <v>44929</v>
      </c>
      <c r="E9" s="237">
        <v>8094</v>
      </c>
      <c r="F9" s="233">
        <v>8</v>
      </c>
      <c r="G9" s="3">
        <v>7625</v>
      </c>
      <c r="H9" s="3" t="s">
        <v>58</v>
      </c>
      <c r="I9" s="3">
        <v>54</v>
      </c>
      <c r="J9" s="239">
        <v>0.41666666666666669</v>
      </c>
      <c r="K9" s="239">
        <v>0.5</v>
      </c>
      <c r="L9" s="5">
        <f t="shared" si="3"/>
        <v>8.3333333333333315E-2</v>
      </c>
      <c r="M9" s="233" t="s">
        <v>73</v>
      </c>
      <c r="N9" s="233" t="s">
        <v>487</v>
      </c>
      <c r="O9" s="3">
        <v>3000</v>
      </c>
      <c r="P9" s="268" t="str">
        <f>IFERROR((O9/I9)/(VLOOKUP(H9,[71]!taux,2,FALSE)),"")</f>
        <v/>
      </c>
      <c r="Q9" s="233">
        <f t="shared" si="0"/>
        <v>3000</v>
      </c>
      <c r="R9" s="149">
        <v>4666.87</v>
      </c>
      <c r="S9" s="269">
        <f t="shared" si="4"/>
        <v>1.8299999999999272</v>
      </c>
      <c r="T9" s="233">
        <f t="shared" si="1"/>
        <v>1639.3442622951472</v>
      </c>
      <c r="U9" s="149">
        <v>1.99</v>
      </c>
      <c r="V9" s="197" t="e">
        <f t="shared" si="2"/>
        <v>#VALUE!</v>
      </c>
      <c r="X9" s="312"/>
      <c r="AA9" s="3">
        <v>1484</v>
      </c>
      <c r="AB9" s="3">
        <v>1479</v>
      </c>
      <c r="AC9" s="3">
        <v>2963</v>
      </c>
      <c r="AD9" s="233" t="s">
        <v>492</v>
      </c>
      <c r="AE9" s="233" t="s">
        <v>177</v>
      </c>
      <c r="AF9" s="233" t="s">
        <v>461</v>
      </c>
      <c r="AG9" s="233" t="s">
        <v>179</v>
      </c>
      <c r="AH9" s="3" t="s">
        <v>668</v>
      </c>
    </row>
    <row r="10" spans="2:48" x14ac:dyDescent="0.25">
      <c r="B10" s="235">
        <v>44929</v>
      </c>
      <c r="C10" s="3">
        <v>2</v>
      </c>
      <c r="D10" s="148">
        <v>44930</v>
      </c>
      <c r="E10" s="156">
        <v>8095</v>
      </c>
      <c r="F10" s="3">
        <v>9</v>
      </c>
      <c r="G10" s="3">
        <v>7605</v>
      </c>
      <c r="H10" s="3" t="s">
        <v>66</v>
      </c>
      <c r="I10" s="3">
        <v>58</v>
      </c>
      <c r="J10" s="239">
        <v>0.72916666666666663</v>
      </c>
      <c r="K10" s="239">
        <v>0.79861111111111116</v>
      </c>
      <c r="L10" s="5">
        <f t="shared" si="3"/>
        <v>6.9444444444444531E-2</v>
      </c>
      <c r="M10" s="3" t="s">
        <v>73</v>
      </c>
      <c r="N10" s="3" t="s">
        <v>487</v>
      </c>
      <c r="O10" s="3">
        <v>3500</v>
      </c>
      <c r="P10" s="268" t="str">
        <f>IFERROR((O10/I10)/(VLOOKUP(H10,[71]!taux,2,FALSE)),"")</f>
        <v/>
      </c>
      <c r="Q10" s="233">
        <f t="shared" si="0"/>
        <v>3500</v>
      </c>
      <c r="R10" s="149">
        <v>4668.71</v>
      </c>
      <c r="S10" s="269">
        <f t="shared" si="4"/>
        <v>1.8400000000001455</v>
      </c>
      <c r="T10" s="233">
        <f t="shared" si="1"/>
        <v>1902.1739130433277</v>
      </c>
      <c r="U10" s="149">
        <v>2</v>
      </c>
      <c r="V10" s="197" t="e">
        <f t="shared" si="2"/>
        <v>#VALUE!</v>
      </c>
      <c r="X10" s="312"/>
      <c r="AA10" s="3">
        <v>1631</v>
      </c>
      <c r="AB10" s="3">
        <v>1773</v>
      </c>
      <c r="AC10" s="3">
        <v>3404</v>
      </c>
      <c r="AD10" s="233" t="s">
        <v>492</v>
      </c>
      <c r="AE10" s="233" t="s">
        <v>675</v>
      </c>
      <c r="AF10" s="3" t="s">
        <v>654</v>
      </c>
      <c r="AG10" s="233" t="s">
        <v>193</v>
      </c>
      <c r="AH10" s="233" t="s">
        <v>655</v>
      </c>
    </row>
    <row r="11" spans="2:48" x14ac:dyDescent="0.25">
      <c r="B11" s="235">
        <v>44929</v>
      </c>
      <c r="C11" s="3">
        <v>3</v>
      </c>
      <c r="D11" s="236">
        <v>44930</v>
      </c>
      <c r="E11" s="156">
        <v>8096</v>
      </c>
      <c r="F11" s="3">
        <v>10</v>
      </c>
      <c r="G11" s="233">
        <v>7617</v>
      </c>
      <c r="H11" s="3" t="s">
        <v>58</v>
      </c>
      <c r="I11" s="3">
        <v>60</v>
      </c>
      <c r="J11" s="239">
        <v>6.25E-2</v>
      </c>
      <c r="K11" s="239">
        <v>0.13194444444444445</v>
      </c>
      <c r="L11" s="5">
        <f t="shared" si="3"/>
        <v>6.9444444444444448E-2</v>
      </c>
      <c r="M11" s="233" t="s">
        <v>73</v>
      </c>
      <c r="N11" s="233" t="s">
        <v>487</v>
      </c>
      <c r="O11" s="3">
        <v>3366</v>
      </c>
      <c r="P11" s="268" t="str">
        <f>IFERROR((O11/I11)/(VLOOKUP(H11,[71]!taux,2,FALSE)),"")</f>
        <v/>
      </c>
      <c r="Q11" s="233">
        <f t="shared" si="0"/>
        <v>3366</v>
      </c>
      <c r="R11" s="149">
        <v>4670.4799999999996</v>
      </c>
      <c r="S11" s="269">
        <f t="shared" si="4"/>
        <v>1.7699999999995271</v>
      </c>
      <c r="T11" s="233">
        <f t="shared" si="1"/>
        <v>1901.6949152547454</v>
      </c>
      <c r="U11" s="149">
        <v>1.87</v>
      </c>
      <c r="V11" s="197" t="e">
        <f t="shared" si="2"/>
        <v>#VALUE!</v>
      </c>
      <c r="X11" s="312"/>
      <c r="AA11" s="233">
        <v>1684</v>
      </c>
      <c r="AB11" s="233">
        <v>1681</v>
      </c>
      <c r="AC11" s="233">
        <v>3366</v>
      </c>
      <c r="AD11" s="233" t="s">
        <v>492</v>
      </c>
      <c r="AE11" s="233" t="s">
        <v>182</v>
      </c>
      <c r="AF11" s="233" t="s">
        <v>662</v>
      </c>
      <c r="AG11" s="233" t="s">
        <v>663</v>
      </c>
      <c r="AH11" s="233" t="s">
        <v>664</v>
      </c>
    </row>
    <row r="12" spans="2:48" x14ac:dyDescent="0.25">
      <c r="B12" s="235">
        <v>44930</v>
      </c>
      <c r="C12" s="3">
        <v>1</v>
      </c>
      <c r="D12" s="236">
        <v>44930</v>
      </c>
      <c r="E12" s="237">
        <v>8097</v>
      </c>
      <c r="F12" s="233">
        <v>11</v>
      </c>
      <c r="G12" s="3">
        <v>7625</v>
      </c>
      <c r="H12" s="3" t="s">
        <v>58</v>
      </c>
      <c r="I12" s="3">
        <v>53</v>
      </c>
      <c r="J12" s="239">
        <v>0.47222222222222227</v>
      </c>
      <c r="K12" s="239">
        <v>0.54861111111111105</v>
      </c>
      <c r="L12" s="5">
        <f t="shared" si="3"/>
        <v>7.6388888888888784E-2</v>
      </c>
      <c r="M12" s="3" t="s">
        <v>67</v>
      </c>
      <c r="N12" s="3" t="s">
        <v>487</v>
      </c>
      <c r="O12" s="3">
        <v>2976</v>
      </c>
      <c r="P12" s="268" t="str">
        <f>IFERROR((O12/I12)/(VLOOKUP(H12,[71]!taux,2,FALSE)),"")</f>
        <v/>
      </c>
      <c r="Q12" s="233">
        <f t="shared" si="0"/>
        <v>2976</v>
      </c>
      <c r="R12" s="149">
        <v>4672.6000000000004</v>
      </c>
      <c r="S12" s="269">
        <f t="shared" ref="S12:S80" si="5">R12-R11</f>
        <v>2.1200000000008004</v>
      </c>
      <c r="T12" s="233">
        <f t="shared" si="1"/>
        <v>1403.7735849051305</v>
      </c>
      <c r="U12" s="149">
        <v>2.31</v>
      </c>
      <c r="V12" s="197" t="e">
        <f t="shared" si="2"/>
        <v>#VALUE!</v>
      </c>
      <c r="X12" s="312"/>
      <c r="AA12" s="3">
        <v>1467</v>
      </c>
      <c r="AB12" s="3">
        <v>1509</v>
      </c>
      <c r="AC12" s="3">
        <v>2976</v>
      </c>
      <c r="AD12" s="233" t="s">
        <v>492</v>
      </c>
      <c r="AE12" s="233" t="s">
        <v>177</v>
      </c>
      <c r="AF12" s="233" t="s">
        <v>461</v>
      </c>
      <c r="AG12" s="233" t="s">
        <v>179</v>
      </c>
      <c r="AH12" s="233" t="s">
        <v>668</v>
      </c>
    </row>
    <row r="13" spans="2:48" x14ac:dyDescent="0.25">
      <c r="B13" s="235">
        <v>44930</v>
      </c>
      <c r="C13" s="3">
        <v>2</v>
      </c>
      <c r="D13" s="148">
        <v>44931</v>
      </c>
      <c r="E13" s="156">
        <v>8098</v>
      </c>
      <c r="F13" s="3">
        <v>12</v>
      </c>
      <c r="G13" s="233">
        <v>7605</v>
      </c>
      <c r="H13" s="3" t="s">
        <v>58</v>
      </c>
      <c r="I13" s="3">
        <v>60</v>
      </c>
      <c r="J13" s="239">
        <v>0.75347222222222221</v>
      </c>
      <c r="K13" s="239">
        <v>0.81944444444444453</v>
      </c>
      <c r="L13" s="5">
        <f t="shared" si="3"/>
        <v>6.5972222222222321E-2</v>
      </c>
      <c r="M13" s="233" t="s">
        <v>73</v>
      </c>
      <c r="N13" s="233" t="s">
        <v>487</v>
      </c>
      <c r="O13" s="3">
        <v>3380</v>
      </c>
      <c r="P13" s="268" t="str">
        <f>IFERROR((O13/I13)/(VLOOKUP(H13,[71]!taux,2,FALSE)),"")</f>
        <v/>
      </c>
      <c r="Q13" s="233">
        <f t="shared" si="0"/>
        <v>3380</v>
      </c>
      <c r="R13" s="149">
        <v>4674.2</v>
      </c>
      <c r="S13" s="269">
        <f t="shared" si="5"/>
        <v>1.5999999999994543</v>
      </c>
      <c r="T13" s="233">
        <f t="shared" si="1"/>
        <v>2112.5000000007203</v>
      </c>
      <c r="U13" s="149">
        <v>1.8</v>
      </c>
      <c r="V13" s="197">
        <f t="shared" si="2"/>
        <v>1877.7777777777778</v>
      </c>
      <c r="X13" s="312"/>
      <c r="AA13" s="3">
        <v>1699</v>
      </c>
      <c r="AB13" s="3">
        <v>1659</v>
      </c>
      <c r="AC13" s="3">
        <v>3359</v>
      </c>
      <c r="AD13" s="3">
        <v>3380</v>
      </c>
      <c r="AE13" s="233" t="s">
        <v>675</v>
      </c>
      <c r="AF13" s="233" t="s">
        <v>654</v>
      </c>
      <c r="AG13" s="233" t="s">
        <v>193</v>
      </c>
      <c r="AH13" s="233" t="s">
        <v>655</v>
      </c>
    </row>
    <row r="14" spans="2:48" x14ac:dyDescent="0.25">
      <c r="B14" s="235">
        <v>44930</v>
      </c>
      <c r="C14" s="3">
        <v>3</v>
      </c>
      <c r="D14" s="236">
        <v>44931</v>
      </c>
      <c r="E14" s="156">
        <v>8099</v>
      </c>
      <c r="F14" s="3">
        <v>13</v>
      </c>
      <c r="G14" s="233">
        <v>7617</v>
      </c>
      <c r="H14" s="233" t="s">
        <v>66</v>
      </c>
      <c r="I14" s="233">
        <v>58</v>
      </c>
      <c r="J14" s="239">
        <v>0.1111111111111111</v>
      </c>
      <c r="K14" s="239">
        <v>0.18055555555555555</v>
      </c>
      <c r="L14" s="5">
        <f t="shared" si="3"/>
        <v>6.9444444444444448E-2</v>
      </c>
      <c r="M14" s="233" t="s">
        <v>73</v>
      </c>
      <c r="N14" s="233" t="s">
        <v>487</v>
      </c>
      <c r="O14" s="3">
        <v>3375</v>
      </c>
      <c r="P14" s="268" t="str">
        <f>IFERROR((O14/I14)/(VLOOKUP(H14,[71]!taux,2,FALSE)),"")</f>
        <v/>
      </c>
      <c r="Q14" s="233">
        <f t="shared" si="0"/>
        <v>3375</v>
      </c>
      <c r="R14" s="149">
        <v>4676.01</v>
      </c>
      <c r="S14" s="269">
        <f t="shared" si="5"/>
        <v>1.8100000000004002</v>
      </c>
      <c r="T14" s="233">
        <f t="shared" si="1"/>
        <v>1864.6408839774883</v>
      </c>
      <c r="U14" s="149">
        <v>1.85</v>
      </c>
      <c r="V14" s="197" t="e">
        <f t="shared" si="2"/>
        <v>#VALUE!</v>
      </c>
      <c r="X14" s="312"/>
      <c r="AA14" s="3">
        <v>1662</v>
      </c>
      <c r="AB14" s="3">
        <v>1722</v>
      </c>
      <c r="AC14" s="3">
        <v>3375</v>
      </c>
      <c r="AD14" s="233" t="s">
        <v>492</v>
      </c>
      <c r="AE14" s="3" t="s">
        <v>676</v>
      </c>
      <c r="AF14" s="233" t="s">
        <v>662</v>
      </c>
      <c r="AG14" s="233" t="s">
        <v>663</v>
      </c>
      <c r="AH14" s="233" t="s">
        <v>664</v>
      </c>
    </row>
    <row r="15" spans="2:48" x14ac:dyDescent="0.25">
      <c r="B15" s="235">
        <v>44932</v>
      </c>
      <c r="C15" s="3">
        <v>2</v>
      </c>
      <c r="D15" s="148">
        <v>44933</v>
      </c>
      <c r="E15" s="156">
        <v>8100</v>
      </c>
      <c r="F15" s="3">
        <v>14</v>
      </c>
      <c r="G15" s="233">
        <v>7605</v>
      </c>
      <c r="H15" s="3" t="s">
        <v>58</v>
      </c>
      <c r="I15" s="3">
        <v>54</v>
      </c>
      <c r="J15" s="239">
        <v>0.76388888888888884</v>
      </c>
      <c r="K15" s="239">
        <v>0.82986111111111116</v>
      </c>
      <c r="L15" s="5">
        <f t="shared" si="3"/>
        <v>6.5972222222222321E-2</v>
      </c>
      <c r="M15" s="233" t="s">
        <v>73</v>
      </c>
      <c r="N15" s="233" t="s">
        <v>487</v>
      </c>
      <c r="O15" s="3">
        <v>3090</v>
      </c>
      <c r="P15" s="268" t="str">
        <f>IFERROR((O15/I15)/(VLOOKUP(H15,[71]!taux,2,FALSE)),"")</f>
        <v/>
      </c>
      <c r="Q15" s="233">
        <f t="shared" si="0"/>
        <v>3090</v>
      </c>
      <c r="R15" s="149">
        <v>4677.54</v>
      </c>
      <c r="S15" s="269">
        <f t="shared" si="5"/>
        <v>1.5299999999997453</v>
      </c>
      <c r="T15" s="233">
        <f t="shared" ref="T15:T78" si="6">Q15/S15</f>
        <v>2019.6078431375911</v>
      </c>
      <c r="U15" s="149">
        <v>1.8</v>
      </c>
      <c r="V15" s="197">
        <f t="shared" si="2"/>
        <v>1716.6666666666665</v>
      </c>
      <c r="X15" s="312"/>
      <c r="AA15" s="3">
        <v>1544</v>
      </c>
      <c r="AB15" s="3">
        <v>1500</v>
      </c>
      <c r="AC15" s="3">
        <v>3044</v>
      </c>
      <c r="AD15" s="3">
        <v>3090</v>
      </c>
      <c r="AE15" s="233" t="s">
        <v>675</v>
      </c>
      <c r="AF15" s="233" t="s">
        <v>654</v>
      </c>
      <c r="AG15" s="233" t="s">
        <v>193</v>
      </c>
      <c r="AH15" s="233" t="s">
        <v>655</v>
      </c>
    </row>
    <row r="16" spans="2:48" x14ac:dyDescent="0.25">
      <c r="B16" s="235">
        <v>44932</v>
      </c>
      <c r="C16" s="3">
        <v>3</v>
      </c>
      <c r="D16" s="236">
        <v>44933</v>
      </c>
      <c r="E16" s="156">
        <v>8101</v>
      </c>
      <c r="F16" s="3">
        <v>15</v>
      </c>
      <c r="G16" s="233">
        <v>7625</v>
      </c>
      <c r="H16" s="3" t="s">
        <v>66</v>
      </c>
      <c r="I16" s="3">
        <v>57</v>
      </c>
      <c r="J16" s="239">
        <v>4.8611111111111112E-2</v>
      </c>
      <c r="K16" s="239">
        <v>0.1111111111111111</v>
      </c>
      <c r="L16" s="5">
        <f t="shared" si="3"/>
        <v>6.2499999999999993E-2</v>
      </c>
      <c r="M16" s="233" t="s">
        <v>73</v>
      </c>
      <c r="N16" s="233" t="s">
        <v>487</v>
      </c>
      <c r="O16" s="3">
        <v>3315</v>
      </c>
      <c r="P16" s="268" t="str">
        <f>IFERROR((O16/I16)/(VLOOKUP(H16,[71]!taux,2,FALSE)),"")</f>
        <v/>
      </c>
      <c r="Q16" s="233">
        <f t="shared" si="0"/>
        <v>3315</v>
      </c>
      <c r="R16" s="149">
        <v>4679.22</v>
      </c>
      <c r="S16" s="269">
        <f t="shared" si="5"/>
        <v>1.680000000000291</v>
      </c>
      <c r="T16" s="233">
        <f t="shared" si="6"/>
        <v>1973.2142857139438</v>
      </c>
      <c r="U16" s="149">
        <v>1.56</v>
      </c>
      <c r="V16" s="197">
        <f t="shared" si="2"/>
        <v>2121.7948717948716</v>
      </c>
      <c r="X16" s="312"/>
      <c r="AA16" s="3">
        <v>1709</v>
      </c>
      <c r="AB16" s="3">
        <v>1606</v>
      </c>
      <c r="AC16" s="3">
        <v>3315</v>
      </c>
      <c r="AD16" s="3">
        <v>3310</v>
      </c>
      <c r="AE16" s="233" t="s">
        <v>676</v>
      </c>
      <c r="AF16" s="233" t="s">
        <v>662</v>
      </c>
      <c r="AG16" s="233" t="s">
        <v>663</v>
      </c>
      <c r="AH16" s="233" t="s">
        <v>664</v>
      </c>
    </row>
    <row r="17" spans="2:37" x14ac:dyDescent="0.25">
      <c r="B17" s="235">
        <v>44933</v>
      </c>
      <c r="C17" s="3">
        <v>1</v>
      </c>
      <c r="D17" s="236">
        <v>44934</v>
      </c>
      <c r="E17" s="237">
        <v>8102</v>
      </c>
      <c r="F17" s="233">
        <v>16</v>
      </c>
      <c r="G17" s="233">
        <v>7605</v>
      </c>
      <c r="H17" s="3" t="s">
        <v>58</v>
      </c>
      <c r="I17" s="3">
        <v>49</v>
      </c>
      <c r="J17" s="239">
        <v>0.40625</v>
      </c>
      <c r="K17" s="239">
        <v>0.46527777777777773</v>
      </c>
      <c r="L17" s="5">
        <f t="shared" si="3"/>
        <v>5.9027777777777735E-2</v>
      </c>
      <c r="M17" s="233" t="s">
        <v>73</v>
      </c>
      <c r="N17" s="233" t="s">
        <v>487</v>
      </c>
      <c r="O17" s="3">
        <v>2793</v>
      </c>
      <c r="P17" s="268" t="str">
        <f>IFERROR((O17/I17)/(VLOOKUP(H17,[71]!taux,2,FALSE)),"")</f>
        <v/>
      </c>
      <c r="Q17" s="233">
        <f t="shared" si="0"/>
        <v>2793</v>
      </c>
      <c r="R17" s="149">
        <v>4680.76</v>
      </c>
      <c r="S17" s="269">
        <f t="shared" si="5"/>
        <v>1.5399999999999636</v>
      </c>
      <c r="T17" s="233">
        <f t="shared" si="6"/>
        <v>1813.6363636364065</v>
      </c>
      <c r="U17" s="149">
        <v>1.57</v>
      </c>
      <c r="V17" s="197" t="e">
        <f t="shared" si="2"/>
        <v>#VALUE!</v>
      </c>
      <c r="X17" s="312"/>
      <c r="AA17" s="3">
        <v>1343</v>
      </c>
      <c r="AB17" s="3">
        <v>1450</v>
      </c>
      <c r="AC17" s="3">
        <v>2793</v>
      </c>
      <c r="AD17" s="3" t="s">
        <v>687</v>
      </c>
      <c r="AE17" s="233" t="s">
        <v>177</v>
      </c>
      <c r="AF17" s="233" t="s">
        <v>148</v>
      </c>
      <c r="AG17" s="233" t="s">
        <v>179</v>
      </c>
      <c r="AH17" s="233" t="s">
        <v>193</v>
      </c>
    </row>
    <row r="18" spans="2:37" x14ac:dyDescent="0.25">
      <c r="B18" s="235">
        <v>44933</v>
      </c>
      <c r="C18" s="233">
        <v>3</v>
      </c>
      <c r="D18" s="236">
        <v>44934</v>
      </c>
      <c r="E18" s="156">
        <v>8103</v>
      </c>
      <c r="F18" s="3">
        <v>17</v>
      </c>
      <c r="G18" s="233">
        <v>7619</v>
      </c>
      <c r="H18" s="3" t="s">
        <v>66</v>
      </c>
      <c r="I18" s="3">
        <v>54</v>
      </c>
      <c r="J18" s="239">
        <v>0.125</v>
      </c>
      <c r="K18" s="239">
        <v>0.1875</v>
      </c>
      <c r="L18" s="5">
        <f t="shared" si="3"/>
        <v>6.25E-2</v>
      </c>
      <c r="M18" s="233" t="s">
        <v>73</v>
      </c>
      <c r="N18" s="233" t="s">
        <v>487</v>
      </c>
      <c r="O18" s="3">
        <v>3155</v>
      </c>
      <c r="P18" s="268" t="str">
        <f>IFERROR((O18/I18)/(VLOOKUP(H18,[71]!taux,2,FALSE)),"")</f>
        <v/>
      </c>
      <c r="Q18" s="233">
        <f t="shared" si="0"/>
        <v>3155</v>
      </c>
      <c r="R18" s="149">
        <v>4682.92</v>
      </c>
      <c r="S18" s="269">
        <f t="shared" si="5"/>
        <v>2.1599999999998545</v>
      </c>
      <c r="T18" s="233">
        <f t="shared" si="6"/>
        <v>1460.6481481482465</v>
      </c>
      <c r="U18" s="149">
        <v>1.84</v>
      </c>
      <c r="V18" s="197">
        <f t="shared" si="2"/>
        <v>1714.6739130434783</v>
      </c>
      <c r="X18" s="312"/>
      <c r="AA18" s="3">
        <v>1599</v>
      </c>
      <c r="AB18" s="3">
        <v>1555</v>
      </c>
      <c r="AC18" s="3">
        <v>3154</v>
      </c>
      <c r="AD18" s="3">
        <v>3155</v>
      </c>
      <c r="AE18" s="233" t="s">
        <v>676</v>
      </c>
      <c r="AF18" s="233" t="s">
        <v>662</v>
      </c>
      <c r="AG18" s="233" t="s">
        <v>663</v>
      </c>
      <c r="AH18" s="233" t="s">
        <v>664</v>
      </c>
    </row>
    <row r="19" spans="2:37" x14ac:dyDescent="0.25">
      <c r="B19" s="235">
        <v>44934</v>
      </c>
      <c r="C19" s="3">
        <v>1</v>
      </c>
      <c r="D19" s="236">
        <v>44934</v>
      </c>
      <c r="E19" s="237">
        <v>8104</v>
      </c>
      <c r="F19" s="233">
        <v>18</v>
      </c>
      <c r="G19" s="233">
        <v>7625</v>
      </c>
      <c r="H19" s="3" t="s">
        <v>58</v>
      </c>
      <c r="I19" s="3">
        <v>59</v>
      </c>
      <c r="J19" s="239">
        <v>0.43055555555555558</v>
      </c>
      <c r="K19" s="239">
        <v>0.49305555555555558</v>
      </c>
      <c r="L19" s="5">
        <f t="shared" si="3"/>
        <v>6.25E-2</v>
      </c>
      <c r="M19" s="233" t="s">
        <v>73</v>
      </c>
      <c r="N19" s="233" t="s">
        <v>487</v>
      </c>
      <c r="O19" s="3">
        <v>3276</v>
      </c>
      <c r="P19" s="268" t="str">
        <f>IFERROR((O19/I19)/(VLOOKUP(H19,[71]!taux,2,FALSE)),"")</f>
        <v/>
      </c>
      <c r="Q19" s="233">
        <f t="shared" si="0"/>
        <v>2764</v>
      </c>
      <c r="R19" s="149">
        <v>4683.7700000000004</v>
      </c>
      <c r="S19" s="269">
        <f t="shared" si="5"/>
        <v>0.8500000000003638</v>
      </c>
      <c r="T19" s="233">
        <f t="shared" si="6"/>
        <v>3251.7647058809612</v>
      </c>
      <c r="U19" s="149">
        <v>1.65</v>
      </c>
      <c r="V19" s="197">
        <f t="shared" si="2"/>
        <v>1985.4545454545455</v>
      </c>
      <c r="W19" s="152">
        <v>512</v>
      </c>
      <c r="X19" s="312"/>
      <c r="AA19" s="3">
        <v>1673</v>
      </c>
      <c r="AB19" s="3">
        <v>1603</v>
      </c>
      <c r="AC19" s="3">
        <v>3276</v>
      </c>
      <c r="AD19" s="3">
        <v>3276</v>
      </c>
      <c r="AE19" s="233" t="s">
        <v>5</v>
      </c>
      <c r="AF19" s="233" t="s">
        <v>631</v>
      </c>
      <c r="AG19" s="233" t="s">
        <v>179</v>
      </c>
      <c r="AH19" s="3" t="s">
        <v>196</v>
      </c>
    </row>
    <row r="20" spans="2:37" x14ac:dyDescent="0.25">
      <c r="B20" s="235">
        <v>44934</v>
      </c>
      <c r="C20" s="3">
        <v>2</v>
      </c>
      <c r="D20" s="148">
        <v>44935</v>
      </c>
      <c r="E20" s="156">
        <v>8105</v>
      </c>
      <c r="F20" s="3">
        <v>19</v>
      </c>
      <c r="G20" s="233">
        <v>7605</v>
      </c>
      <c r="H20" s="3" t="s">
        <v>58</v>
      </c>
      <c r="I20" s="3">
        <v>60</v>
      </c>
      <c r="J20" s="239">
        <v>0.875</v>
      </c>
      <c r="K20" s="239">
        <v>0.9375</v>
      </c>
      <c r="L20" s="5">
        <f t="shared" si="3"/>
        <v>6.25E-2</v>
      </c>
      <c r="M20" s="233" t="s">
        <v>73</v>
      </c>
      <c r="N20" s="233" t="s">
        <v>487</v>
      </c>
      <c r="O20" s="3">
        <v>3330</v>
      </c>
      <c r="P20" s="268" t="str">
        <f>IFERROR((O20/I20)/(VLOOKUP(H20,[71]!taux,2,FALSE)),"")</f>
        <v/>
      </c>
      <c r="Q20" s="233">
        <f t="shared" si="0"/>
        <v>2655</v>
      </c>
      <c r="R20" s="149">
        <v>4685.18</v>
      </c>
      <c r="S20" s="269">
        <f t="shared" si="5"/>
        <v>1.4099999999998545</v>
      </c>
      <c r="T20" s="233">
        <f t="shared" si="6"/>
        <v>1882.9787234044497</v>
      </c>
      <c r="U20" s="149">
        <v>1.54</v>
      </c>
      <c r="V20" s="197">
        <f t="shared" si="2"/>
        <v>2162.3376623376621</v>
      </c>
      <c r="W20" s="152">
        <v>675</v>
      </c>
      <c r="X20" s="312"/>
      <c r="AA20" s="3">
        <v>1599</v>
      </c>
      <c r="AB20" s="3">
        <v>1555</v>
      </c>
      <c r="AC20" s="3">
        <v>3154</v>
      </c>
      <c r="AD20" s="3">
        <v>3330</v>
      </c>
      <c r="AE20" s="233" t="s">
        <v>675</v>
      </c>
      <c r="AF20" s="233" t="s">
        <v>654</v>
      </c>
      <c r="AG20" s="233" t="s">
        <v>193</v>
      </c>
      <c r="AH20" s="233" t="s">
        <v>655</v>
      </c>
    </row>
    <row r="21" spans="2:37" x14ac:dyDescent="0.25">
      <c r="B21" s="235">
        <v>44934</v>
      </c>
      <c r="C21" s="3">
        <v>3</v>
      </c>
      <c r="D21" s="148">
        <v>44935</v>
      </c>
      <c r="E21" s="156">
        <v>8106</v>
      </c>
      <c r="F21" s="3">
        <v>20</v>
      </c>
      <c r="G21" s="3">
        <v>7617</v>
      </c>
      <c r="H21" s="3" t="s">
        <v>66</v>
      </c>
      <c r="I21" s="3">
        <v>49</v>
      </c>
      <c r="J21" s="239">
        <v>0.17708333333333334</v>
      </c>
      <c r="K21" s="239">
        <v>0.23958333333333334</v>
      </c>
      <c r="L21" s="5">
        <f t="shared" si="3"/>
        <v>6.25E-2</v>
      </c>
      <c r="M21" s="3" t="s">
        <v>73</v>
      </c>
      <c r="N21" s="3" t="s">
        <v>487</v>
      </c>
      <c r="O21" s="3">
        <v>2871</v>
      </c>
      <c r="P21" s="268" t="str">
        <f>IFERROR((O21/I21)/(VLOOKUP(H21,[71]!taux,2,FALSE)),"")</f>
        <v/>
      </c>
      <c r="Q21" s="233">
        <f t="shared" si="0"/>
        <v>2067</v>
      </c>
      <c r="R21" s="149">
        <v>4686.54</v>
      </c>
      <c r="S21" s="269">
        <f t="shared" si="5"/>
        <v>1.3599999999996726</v>
      </c>
      <c r="T21" s="233">
        <f t="shared" si="6"/>
        <v>1519.8529411768366</v>
      </c>
      <c r="U21" s="149">
        <v>1.89</v>
      </c>
      <c r="V21" s="197">
        <f t="shared" si="2"/>
        <v>1519.047619047619</v>
      </c>
      <c r="W21" s="152">
        <v>804</v>
      </c>
      <c r="X21" s="312"/>
      <c r="AA21" s="3">
        <v>1485</v>
      </c>
      <c r="AB21" s="3">
        <v>1385</v>
      </c>
      <c r="AC21" s="3">
        <v>2871</v>
      </c>
      <c r="AD21" s="3">
        <v>2871</v>
      </c>
      <c r="AE21" s="233" t="s">
        <v>676</v>
      </c>
      <c r="AF21" s="233" t="s">
        <v>662</v>
      </c>
      <c r="AG21" s="233" t="s">
        <v>663</v>
      </c>
      <c r="AH21" s="233" t="s">
        <v>664</v>
      </c>
    </row>
    <row r="22" spans="2:37" x14ac:dyDescent="0.25">
      <c r="B22" s="235">
        <v>44935</v>
      </c>
      <c r="C22" s="233">
        <v>1</v>
      </c>
      <c r="D22" s="236">
        <v>44935</v>
      </c>
      <c r="E22" s="237">
        <v>8107</v>
      </c>
      <c r="F22" s="233">
        <v>21</v>
      </c>
      <c r="G22" s="3">
        <v>7625</v>
      </c>
      <c r="H22" s="3" t="s">
        <v>58</v>
      </c>
      <c r="I22" s="3">
        <v>60</v>
      </c>
      <c r="J22" s="239">
        <v>0.4375</v>
      </c>
      <c r="K22" s="239">
        <v>0.50347222222222221</v>
      </c>
      <c r="L22" s="5">
        <f t="shared" si="3"/>
        <v>6.597222222222221E-2</v>
      </c>
      <c r="M22" s="233" t="s">
        <v>73</v>
      </c>
      <c r="N22" s="233" t="s">
        <v>487</v>
      </c>
      <c r="O22" s="3">
        <v>3467</v>
      </c>
      <c r="P22" s="268" t="str">
        <f>IFERROR((O22/I22)/(VLOOKUP(H22,[71]!taux,2,FALSE)),"")</f>
        <v/>
      </c>
      <c r="Q22" s="233">
        <f t="shared" si="0"/>
        <v>3467</v>
      </c>
      <c r="R22" s="149">
        <v>4688.0600000000004</v>
      </c>
      <c r="S22" s="269">
        <f t="shared" si="5"/>
        <v>1.5200000000004366</v>
      </c>
      <c r="T22" s="233">
        <f t="shared" si="6"/>
        <v>2280.9210526309239</v>
      </c>
      <c r="U22" s="149">
        <v>1.69</v>
      </c>
      <c r="V22" s="197" t="e">
        <f t="shared" si="2"/>
        <v>#VALUE!</v>
      </c>
      <c r="X22" s="312"/>
      <c r="AA22" s="3">
        <v>1677</v>
      </c>
      <c r="AB22" s="3">
        <v>1790</v>
      </c>
      <c r="AC22" s="3">
        <v>3467</v>
      </c>
      <c r="AD22" s="3" t="s">
        <v>687</v>
      </c>
      <c r="AE22" s="233" t="s">
        <v>656</v>
      </c>
      <c r="AF22" s="3" t="s">
        <v>701</v>
      </c>
      <c r="AG22" s="233" t="s">
        <v>193</v>
      </c>
      <c r="AH22" s="3" t="s">
        <v>654</v>
      </c>
    </row>
    <row r="23" spans="2:37" x14ac:dyDescent="0.25">
      <c r="B23" s="235">
        <v>44935</v>
      </c>
      <c r="C23" s="3">
        <v>2</v>
      </c>
      <c r="D23" s="236">
        <v>44936</v>
      </c>
      <c r="E23" s="156">
        <v>8108</v>
      </c>
      <c r="F23" s="3">
        <v>22</v>
      </c>
      <c r="G23" s="233">
        <v>7605</v>
      </c>
      <c r="H23" s="233" t="s">
        <v>58</v>
      </c>
      <c r="I23" s="233">
        <v>60</v>
      </c>
      <c r="J23" s="239">
        <v>0.79166666666666663</v>
      </c>
      <c r="K23" s="239">
        <v>0.86111111111111116</v>
      </c>
      <c r="L23" s="5">
        <f t="shared" si="3"/>
        <v>6.9444444444444531E-2</v>
      </c>
      <c r="M23" s="3" t="s">
        <v>73</v>
      </c>
      <c r="N23" s="3" t="s">
        <v>57</v>
      </c>
      <c r="O23" s="3">
        <v>3317</v>
      </c>
      <c r="P23" s="268" t="str">
        <f>IFERROR((O23/I23)/(VLOOKUP(H23,[71]!taux,2,FALSE)),"")</f>
        <v/>
      </c>
      <c r="Q23" s="233">
        <f t="shared" si="0"/>
        <v>2504</v>
      </c>
      <c r="R23" s="149">
        <v>4689.55</v>
      </c>
      <c r="S23" s="269">
        <f t="shared" si="5"/>
        <v>1.4899999999997817</v>
      </c>
      <c r="T23" s="233">
        <f t="shared" si="6"/>
        <v>1680.5369127519241</v>
      </c>
      <c r="U23" s="149">
        <v>1.65</v>
      </c>
      <c r="V23" s="197" t="e">
        <f t="shared" si="2"/>
        <v>#VALUE!</v>
      </c>
      <c r="W23" s="152">
        <v>813</v>
      </c>
      <c r="X23" s="312"/>
      <c r="AA23" s="3">
        <v>1628</v>
      </c>
      <c r="AB23" s="3">
        <v>1689</v>
      </c>
      <c r="AC23" s="3">
        <v>3317</v>
      </c>
      <c r="AD23" s="233" t="s">
        <v>687</v>
      </c>
      <c r="AE23" s="3" t="s">
        <v>711</v>
      </c>
      <c r="AF23" s="3" t="s">
        <v>708</v>
      </c>
      <c r="AG23" s="3" t="s">
        <v>709</v>
      </c>
      <c r="AH23" s="3" t="s">
        <v>710</v>
      </c>
      <c r="AK23" s="281" t="s">
        <v>712</v>
      </c>
    </row>
    <row r="24" spans="2:37" x14ac:dyDescent="0.25">
      <c r="B24" s="235">
        <v>44935</v>
      </c>
      <c r="C24" s="3">
        <v>3</v>
      </c>
      <c r="D24" s="236">
        <v>44936</v>
      </c>
      <c r="E24" s="156">
        <v>8109</v>
      </c>
      <c r="F24" s="3">
        <v>23</v>
      </c>
      <c r="G24" s="233">
        <v>7617</v>
      </c>
      <c r="H24" s="3" t="s">
        <v>66</v>
      </c>
      <c r="I24" s="3">
        <v>49</v>
      </c>
      <c r="J24" s="239">
        <v>0.14930555555555555</v>
      </c>
      <c r="K24" s="239">
        <v>0.21180555555555555</v>
      </c>
      <c r="L24" s="5">
        <f t="shared" si="3"/>
        <v>6.25E-2</v>
      </c>
      <c r="M24" s="3" t="s">
        <v>67</v>
      </c>
      <c r="N24" s="3" t="s">
        <v>57</v>
      </c>
      <c r="O24" s="3">
        <v>2826</v>
      </c>
      <c r="P24" s="268" t="str">
        <f>IFERROR((O24/I24)/(VLOOKUP(H24,[71]!taux,2,FALSE)),"")</f>
        <v/>
      </c>
      <c r="Q24" s="233">
        <f t="shared" si="0"/>
        <v>2826</v>
      </c>
      <c r="R24" s="149">
        <v>4691.8999999999996</v>
      </c>
      <c r="S24" s="269">
        <f t="shared" si="5"/>
        <v>2.3499999999994543</v>
      </c>
      <c r="T24" s="233">
        <f t="shared" si="6"/>
        <v>1202.553191489641</v>
      </c>
      <c r="U24" s="149">
        <v>1.54</v>
      </c>
      <c r="V24" s="197">
        <f t="shared" si="2"/>
        <v>1835.0649350649351</v>
      </c>
      <c r="X24" s="312"/>
      <c r="AA24" s="3">
        <v>1431</v>
      </c>
      <c r="AB24" s="3">
        <v>1394</v>
      </c>
      <c r="AC24" s="3">
        <v>2826</v>
      </c>
      <c r="AD24" s="3">
        <v>2826</v>
      </c>
      <c r="AE24" s="3" t="s">
        <v>714</v>
      </c>
      <c r="AF24" s="3" t="s">
        <v>715</v>
      </c>
      <c r="AG24" s="233" t="s">
        <v>663</v>
      </c>
      <c r="AH24" s="233" t="s">
        <v>664</v>
      </c>
    </row>
    <row r="25" spans="2:37" x14ac:dyDescent="0.25">
      <c r="B25" s="235">
        <v>44936</v>
      </c>
      <c r="C25" s="3">
        <v>1</v>
      </c>
      <c r="D25" s="236">
        <v>44936</v>
      </c>
      <c r="E25" s="156">
        <v>8110</v>
      </c>
      <c r="F25" s="3">
        <v>24</v>
      </c>
      <c r="G25" s="233">
        <v>7625</v>
      </c>
      <c r="H25" s="3" t="s">
        <v>58</v>
      </c>
      <c r="I25" s="3">
        <v>60</v>
      </c>
      <c r="J25" s="239">
        <v>0.59027777777777779</v>
      </c>
      <c r="K25" s="239">
        <v>0.67013888888888884</v>
      </c>
      <c r="L25" s="5">
        <f t="shared" si="3"/>
        <v>7.9861111111111049E-2</v>
      </c>
      <c r="M25" s="233" t="s">
        <v>77</v>
      </c>
      <c r="N25" s="233" t="s">
        <v>57</v>
      </c>
      <c r="O25" s="3">
        <v>3362</v>
      </c>
      <c r="P25" s="268" t="str">
        <f>IFERROR((O25/I25)/(VLOOKUP(H25,[71]!taux,2,FALSE)),"")</f>
        <v/>
      </c>
      <c r="Q25" s="233">
        <f t="shared" si="0"/>
        <v>1928</v>
      </c>
      <c r="R25" s="149">
        <v>4693.41</v>
      </c>
      <c r="S25" s="269">
        <f t="shared" si="5"/>
        <v>1.5100000000002183</v>
      </c>
      <c r="T25" s="233">
        <f t="shared" si="6"/>
        <v>1276.8211920527956</v>
      </c>
      <c r="U25" s="149">
        <f>1.29+1.27</f>
        <v>2.56</v>
      </c>
      <c r="V25" s="197" t="e">
        <f t="shared" si="2"/>
        <v>#VALUE!</v>
      </c>
      <c r="W25" s="152">
        <v>1434</v>
      </c>
      <c r="X25" s="312"/>
      <c r="AA25" s="3">
        <f>1219+443</f>
        <v>1662</v>
      </c>
      <c r="AB25" s="3">
        <f>578+1121</f>
        <v>1699</v>
      </c>
      <c r="AC25" s="3">
        <f>2340+1021</f>
        <v>3361</v>
      </c>
      <c r="AD25" s="233" t="s">
        <v>687</v>
      </c>
      <c r="AE25" s="233" t="s">
        <v>656</v>
      </c>
      <c r="AF25" s="233" t="s">
        <v>701</v>
      </c>
      <c r="AG25" s="233" t="s">
        <v>193</v>
      </c>
      <c r="AH25" s="233" t="s">
        <v>654</v>
      </c>
    </row>
    <row r="26" spans="2:37" x14ac:dyDescent="0.25">
      <c r="B26" s="235">
        <v>44936</v>
      </c>
      <c r="C26" s="3">
        <v>3</v>
      </c>
      <c r="D26" s="236">
        <v>44937</v>
      </c>
      <c r="E26" s="156">
        <v>8111</v>
      </c>
      <c r="F26" s="3">
        <v>25</v>
      </c>
      <c r="G26" s="233">
        <v>7605</v>
      </c>
      <c r="H26" s="3" t="s">
        <v>66</v>
      </c>
      <c r="I26" s="3">
        <v>57</v>
      </c>
      <c r="J26" s="239">
        <v>4.8611111111111112E-2</v>
      </c>
      <c r="K26" s="239">
        <v>0.1076388888888889</v>
      </c>
      <c r="L26" s="5">
        <f t="shared" si="3"/>
        <v>5.9027777777777783E-2</v>
      </c>
      <c r="M26" s="3" t="s">
        <v>77</v>
      </c>
      <c r="N26" s="233" t="s">
        <v>57</v>
      </c>
      <c r="O26" s="3">
        <v>3193</v>
      </c>
      <c r="P26" s="268" t="str">
        <f>IFERROR((O26/I26)/(VLOOKUP(H26,[71]!taux,2,FALSE)),"")</f>
        <v/>
      </c>
      <c r="Q26" s="233">
        <f t="shared" si="0"/>
        <v>2401</v>
      </c>
      <c r="R26" s="149">
        <v>4694.67</v>
      </c>
      <c r="S26" s="269">
        <f t="shared" si="5"/>
        <v>1.2600000000002183</v>
      </c>
      <c r="T26" s="233">
        <f t="shared" si="6"/>
        <v>1905.5555555552255</v>
      </c>
      <c r="U26" s="149">
        <v>1.75</v>
      </c>
      <c r="V26" s="197" t="e">
        <f t="shared" si="2"/>
        <v>#VALUE!</v>
      </c>
      <c r="W26" s="152">
        <v>792</v>
      </c>
      <c r="AA26" s="3">
        <v>1635</v>
      </c>
      <c r="AB26" s="3">
        <v>1557</v>
      </c>
      <c r="AC26" s="3">
        <v>3192</v>
      </c>
      <c r="AD26" s="3" t="s">
        <v>492</v>
      </c>
      <c r="AE26" s="233" t="s">
        <v>714</v>
      </c>
      <c r="AF26" s="233" t="s">
        <v>631</v>
      </c>
      <c r="AG26" s="233" t="s">
        <v>179</v>
      </c>
      <c r="AH26" s="3" t="s">
        <v>727</v>
      </c>
    </row>
    <row r="27" spans="2:37" x14ac:dyDescent="0.25">
      <c r="B27" s="235">
        <v>44937</v>
      </c>
      <c r="C27" s="3">
        <v>1</v>
      </c>
      <c r="D27" s="236">
        <v>44937</v>
      </c>
      <c r="E27" s="156">
        <v>8112</v>
      </c>
      <c r="F27" s="3">
        <v>26</v>
      </c>
      <c r="G27" s="233">
        <v>7625</v>
      </c>
      <c r="H27" s="3" t="s">
        <v>58</v>
      </c>
      <c r="I27" s="3">
        <v>59</v>
      </c>
      <c r="J27" s="239">
        <v>0.58333333333333337</v>
      </c>
      <c r="K27" s="239">
        <v>0.65972222222222221</v>
      </c>
      <c r="L27" s="5">
        <f t="shared" si="3"/>
        <v>7.638888888888884E-2</v>
      </c>
      <c r="M27" s="233" t="s">
        <v>77</v>
      </c>
      <c r="N27" s="233" t="s">
        <v>57</v>
      </c>
      <c r="O27" s="3">
        <v>3305</v>
      </c>
      <c r="P27" s="268" t="str">
        <f>IFERROR((O27/I27)/(VLOOKUP(H27,[71]!taux,2,FALSE)),"")</f>
        <v/>
      </c>
      <c r="Q27" s="233">
        <f t="shared" si="0"/>
        <v>3085</v>
      </c>
      <c r="R27" s="149">
        <v>4695.57</v>
      </c>
      <c r="S27" s="269">
        <f t="shared" si="5"/>
        <v>0.8999999999996362</v>
      </c>
      <c r="T27" s="233">
        <f t="shared" si="6"/>
        <v>3427.7777777791634</v>
      </c>
      <c r="U27" s="149">
        <v>1.98</v>
      </c>
      <c r="V27" s="197">
        <f t="shared" ref="V27:V90" si="7">AD27/U27</f>
        <v>1669.1919191919192</v>
      </c>
      <c r="W27" s="152">
        <v>220</v>
      </c>
      <c r="AA27" s="3">
        <v>1653</v>
      </c>
      <c r="AB27" s="3">
        <v>1626</v>
      </c>
      <c r="AC27" s="3">
        <v>3279</v>
      </c>
      <c r="AD27" s="3">
        <v>3305</v>
      </c>
      <c r="AE27" s="233" t="s">
        <v>656</v>
      </c>
      <c r="AF27" s="233" t="s">
        <v>701</v>
      </c>
      <c r="AG27" s="233" t="s">
        <v>193</v>
      </c>
      <c r="AH27" s="233" t="s">
        <v>654</v>
      </c>
    </row>
    <row r="28" spans="2:37" x14ac:dyDescent="0.25">
      <c r="B28" s="235">
        <v>44937</v>
      </c>
      <c r="C28" s="3">
        <v>3</v>
      </c>
      <c r="D28" s="148">
        <v>44938</v>
      </c>
      <c r="E28" s="156">
        <v>8113</v>
      </c>
      <c r="F28" s="3">
        <v>27</v>
      </c>
      <c r="G28" s="3">
        <v>7605</v>
      </c>
      <c r="H28" s="3" t="s">
        <v>66</v>
      </c>
      <c r="I28" s="3">
        <v>57</v>
      </c>
      <c r="J28" s="239">
        <v>3.4722222222222224E-2</v>
      </c>
      <c r="K28" s="239">
        <v>9.375E-2</v>
      </c>
      <c r="L28" s="5">
        <f t="shared" si="3"/>
        <v>5.9027777777777776E-2</v>
      </c>
      <c r="M28" s="3" t="s">
        <v>77</v>
      </c>
      <c r="N28" s="3" t="s">
        <v>57</v>
      </c>
      <c r="O28" s="3">
        <v>3204</v>
      </c>
      <c r="P28" s="268" t="str">
        <f>IFERROR((O28/I28)/(VLOOKUP(H28,[71]!taux,2,FALSE)),"")</f>
        <v/>
      </c>
      <c r="Q28" s="233">
        <f t="shared" si="0"/>
        <v>2670</v>
      </c>
      <c r="R28" s="149">
        <v>4696.92</v>
      </c>
      <c r="S28" s="269">
        <f t="shared" si="5"/>
        <v>1.3500000000003638</v>
      </c>
      <c r="T28" s="233">
        <f t="shared" si="6"/>
        <v>1977.7777777772449</v>
      </c>
      <c r="U28" s="149">
        <v>1.64</v>
      </c>
      <c r="V28" s="197">
        <f t="shared" si="7"/>
        <v>1953.6585365853659</v>
      </c>
      <c r="W28" s="152">
        <v>534</v>
      </c>
      <c r="AA28" s="3">
        <v>1542</v>
      </c>
      <c r="AB28" s="3">
        <v>1661</v>
      </c>
      <c r="AC28" s="3">
        <v>3203</v>
      </c>
      <c r="AD28" s="3">
        <v>3204</v>
      </c>
      <c r="AE28" s="233" t="s">
        <v>714</v>
      </c>
      <c r="AF28" s="233" t="s">
        <v>631</v>
      </c>
      <c r="AG28" s="233" t="s">
        <v>179</v>
      </c>
      <c r="AH28" s="233" t="s">
        <v>727</v>
      </c>
    </row>
    <row r="29" spans="2:37" x14ac:dyDescent="0.25">
      <c r="B29" s="235">
        <v>44938</v>
      </c>
      <c r="C29" s="3">
        <v>1</v>
      </c>
      <c r="D29" s="236">
        <v>44938</v>
      </c>
      <c r="E29" s="156">
        <v>8114</v>
      </c>
      <c r="F29" s="3">
        <v>28</v>
      </c>
      <c r="G29" s="233">
        <v>7625</v>
      </c>
      <c r="H29" s="3" t="s">
        <v>58</v>
      </c>
      <c r="I29" s="3">
        <v>58</v>
      </c>
      <c r="J29" s="239">
        <v>0.5625</v>
      </c>
      <c r="K29" s="239">
        <v>0.63541666666666663</v>
      </c>
      <c r="L29" s="5">
        <f t="shared" si="3"/>
        <v>7.291666666666663E-2</v>
      </c>
      <c r="M29" s="233" t="s">
        <v>77</v>
      </c>
      <c r="N29" s="233" t="s">
        <v>57</v>
      </c>
      <c r="O29" s="3">
        <v>3250</v>
      </c>
      <c r="P29" s="268" t="str">
        <f>IFERROR((O29/I29)/(VLOOKUP(H29,[71]!taux,2,FALSE)),"")</f>
        <v/>
      </c>
      <c r="Q29" s="233">
        <f t="shared" si="0"/>
        <v>3250</v>
      </c>
      <c r="R29" s="149">
        <v>4698.66</v>
      </c>
      <c r="S29" s="269">
        <f t="shared" si="5"/>
        <v>1.7399999999997817</v>
      </c>
      <c r="T29" s="233">
        <f t="shared" si="6"/>
        <v>1867.8160919542572</v>
      </c>
      <c r="U29" s="149">
        <v>1.74</v>
      </c>
      <c r="V29" s="197">
        <f t="shared" si="7"/>
        <v>1867.816091954023</v>
      </c>
      <c r="AA29" s="3">
        <v>1630</v>
      </c>
      <c r="AB29" s="3">
        <v>1620</v>
      </c>
      <c r="AC29" s="3">
        <v>3250</v>
      </c>
      <c r="AD29" s="3">
        <v>3250</v>
      </c>
      <c r="AE29" s="3" t="s">
        <v>182</v>
      </c>
      <c r="AF29" s="233" t="s">
        <v>708</v>
      </c>
      <c r="AG29" s="233" t="s">
        <v>709</v>
      </c>
      <c r="AH29" s="3" t="s">
        <v>740</v>
      </c>
    </row>
    <row r="30" spans="2:37" x14ac:dyDescent="0.25">
      <c r="B30" s="235">
        <v>44938</v>
      </c>
      <c r="C30" s="3">
        <v>3</v>
      </c>
      <c r="D30" s="148">
        <v>44939</v>
      </c>
      <c r="E30" s="156">
        <v>8115</v>
      </c>
      <c r="F30" s="3">
        <v>29</v>
      </c>
      <c r="G30" s="233">
        <v>7605</v>
      </c>
      <c r="H30" s="3" t="s">
        <v>66</v>
      </c>
      <c r="I30" s="3">
        <v>57</v>
      </c>
      <c r="J30" s="239">
        <v>8.3333333333333329E-2</v>
      </c>
      <c r="K30" s="239">
        <v>0.14930555555555555</v>
      </c>
      <c r="L30" s="5">
        <f t="shared" si="3"/>
        <v>6.5972222222222224E-2</v>
      </c>
      <c r="M30" s="3" t="s">
        <v>67</v>
      </c>
      <c r="N30" s="233" t="s">
        <v>57</v>
      </c>
      <c r="O30" s="3">
        <v>3289</v>
      </c>
      <c r="P30" s="268" t="str">
        <f>IFERROR((O30/I30)/(VLOOKUP(H30,[71]!taux,2,FALSE)),"")</f>
        <v/>
      </c>
      <c r="Q30" s="233">
        <f t="shared" si="0"/>
        <v>3289</v>
      </c>
      <c r="R30" s="149">
        <v>4700.17</v>
      </c>
      <c r="S30" s="269">
        <f t="shared" si="5"/>
        <v>1.5100000000002183</v>
      </c>
      <c r="T30" s="233">
        <f t="shared" si="6"/>
        <v>2178.1456953639236</v>
      </c>
      <c r="U30" s="149">
        <v>1.68</v>
      </c>
      <c r="V30" s="197">
        <f t="shared" si="7"/>
        <v>1957.7380952380954</v>
      </c>
      <c r="AA30" s="3">
        <v>1657</v>
      </c>
      <c r="AB30" s="3">
        <v>1640</v>
      </c>
      <c r="AC30" s="3">
        <v>3297</v>
      </c>
      <c r="AD30" s="3">
        <v>3289</v>
      </c>
      <c r="AE30" s="233" t="s">
        <v>714</v>
      </c>
      <c r="AF30" s="233" t="s">
        <v>631</v>
      </c>
      <c r="AG30" s="233" t="s">
        <v>179</v>
      </c>
      <c r="AH30" s="233" t="s">
        <v>727</v>
      </c>
    </row>
    <row r="31" spans="2:37" x14ac:dyDescent="0.25">
      <c r="B31" s="235">
        <v>44939</v>
      </c>
      <c r="C31" s="3">
        <v>1</v>
      </c>
      <c r="D31" s="236">
        <v>44939</v>
      </c>
      <c r="E31" s="156">
        <v>8116</v>
      </c>
      <c r="F31" s="3">
        <v>30</v>
      </c>
      <c r="G31" s="233">
        <v>7625</v>
      </c>
      <c r="H31" s="3" t="s">
        <v>58</v>
      </c>
      <c r="I31" s="3">
        <v>57</v>
      </c>
      <c r="J31" s="239">
        <v>0.53472222222222221</v>
      </c>
      <c r="K31" s="239">
        <v>0.59722222222222221</v>
      </c>
      <c r="L31" s="5">
        <f t="shared" si="3"/>
        <v>6.25E-2</v>
      </c>
      <c r="M31" s="233" t="s">
        <v>77</v>
      </c>
      <c r="N31" s="233" t="s">
        <v>57</v>
      </c>
      <c r="O31" s="3">
        <v>3300</v>
      </c>
      <c r="P31" s="268" t="str">
        <f>IFERROR((O31/I31)/(VLOOKUP(H31,[71]!taux,2,FALSE)),"")</f>
        <v/>
      </c>
      <c r="Q31" s="233">
        <f t="shared" si="0"/>
        <v>2223</v>
      </c>
      <c r="R31" s="149">
        <v>4701.6400000000003</v>
      </c>
      <c r="S31" s="269">
        <f t="shared" si="5"/>
        <v>1.4700000000002547</v>
      </c>
      <c r="T31" s="233">
        <f t="shared" si="6"/>
        <v>1512.2448979589217</v>
      </c>
      <c r="U31" s="149">
        <v>1.3</v>
      </c>
      <c r="V31" s="197">
        <f t="shared" si="7"/>
        <v>2538.4615384615386</v>
      </c>
      <c r="W31" s="152">
        <v>1077</v>
      </c>
      <c r="AA31" s="3">
        <v>1563</v>
      </c>
      <c r="AB31" s="3">
        <v>1718</v>
      </c>
      <c r="AC31" s="3">
        <v>3282</v>
      </c>
      <c r="AD31" s="3">
        <v>3300</v>
      </c>
      <c r="AE31" s="3" t="s">
        <v>7</v>
      </c>
      <c r="AF31" s="233" t="s">
        <v>701</v>
      </c>
      <c r="AG31" s="233" t="s">
        <v>193</v>
      </c>
      <c r="AH31" s="233" t="s">
        <v>654</v>
      </c>
    </row>
    <row r="32" spans="2:37" x14ac:dyDescent="0.25">
      <c r="B32" s="235">
        <v>44939</v>
      </c>
      <c r="C32" s="3">
        <v>3</v>
      </c>
      <c r="D32" s="148">
        <v>44940</v>
      </c>
      <c r="E32" s="156">
        <v>8117</v>
      </c>
      <c r="F32" s="3">
        <v>31</v>
      </c>
      <c r="G32" s="233">
        <v>7605</v>
      </c>
      <c r="H32" s="3" t="s">
        <v>66</v>
      </c>
      <c r="I32" s="3">
        <v>58</v>
      </c>
      <c r="J32" s="239">
        <v>0.10069444444444443</v>
      </c>
      <c r="K32" s="239">
        <v>0.16666666666666666</v>
      </c>
      <c r="L32" s="234">
        <f t="shared" si="3"/>
        <v>6.5972222222222224E-2</v>
      </c>
      <c r="M32" s="3" t="s">
        <v>77</v>
      </c>
      <c r="N32" s="233" t="s">
        <v>487</v>
      </c>
      <c r="O32" s="3">
        <v>3316</v>
      </c>
      <c r="P32" s="268" t="str">
        <f>IFERROR((O32/I32)/(VLOOKUP(H32,[71]!taux,2,FALSE)),"")</f>
        <v/>
      </c>
      <c r="Q32" s="233">
        <f t="shared" si="0"/>
        <v>2526</v>
      </c>
      <c r="R32" s="149">
        <v>4702.6400000000003</v>
      </c>
      <c r="S32" s="269">
        <f t="shared" si="5"/>
        <v>1</v>
      </c>
      <c r="T32" s="233">
        <f t="shared" si="6"/>
        <v>2526</v>
      </c>
      <c r="U32" s="149">
        <v>1.69</v>
      </c>
      <c r="V32" s="197">
        <f t="shared" si="7"/>
        <v>1962.1301775147929</v>
      </c>
      <c r="W32" s="152">
        <v>790</v>
      </c>
      <c r="AA32" s="3">
        <v>1623</v>
      </c>
      <c r="AB32" s="3">
        <v>1689</v>
      </c>
      <c r="AC32" s="3">
        <v>3312</v>
      </c>
      <c r="AD32" s="3">
        <v>3316</v>
      </c>
      <c r="AE32" s="233" t="s">
        <v>714</v>
      </c>
      <c r="AF32" s="233" t="s">
        <v>631</v>
      </c>
      <c r="AG32" s="233" t="s">
        <v>179</v>
      </c>
      <c r="AH32" s="233" t="s">
        <v>727</v>
      </c>
    </row>
    <row r="33" spans="2:37" x14ac:dyDescent="0.25">
      <c r="B33" s="235">
        <v>44940</v>
      </c>
      <c r="C33" s="3">
        <v>2</v>
      </c>
      <c r="D33" s="148">
        <v>44940</v>
      </c>
      <c r="E33" s="156">
        <v>8118</v>
      </c>
      <c r="F33" s="3">
        <v>32</v>
      </c>
      <c r="G33" s="233">
        <v>7625</v>
      </c>
      <c r="H33" s="233" t="s">
        <v>58</v>
      </c>
      <c r="I33" s="3">
        <v>55</v>
      </c>
      <c r="J33" s="239">
        <v>0.70833333333333337</v>
      </c>
      <c r="K33" s="239">
        <v>0.76736111111111116</v>
      </c>
      <c r="L33" s="5">
        <f t="shared" si="3"/>
        <v>5.902777777777779E-2</v>
      </c>
      <c r="M33" s="233" t="s">
        <v>77</v>
      </c>
      <c r="N33" s="3" t="s">
        <v>487</v>
      </c>
      <c r="O33" s="3">
        <v>3097</v>
      </c>
      <c r="P33" s="268" t="str">
        <f>IFERROR((O33/I33)/(VLOOKUP(H33,[71]!taux,2,FALSE)),"")</f>
        <v/>
      </c>
      <c r="Q33" s="233">
        <f t="shared" si="0"/>
        <v>2267</v>
      </c>
      <c r="R33" s="149">
        <v>4703.97</v>
      </c>
      <c r="S33" s="269">
        <f t="shared" si="5"/>
        <v>1.3299999999999272</v>
      </c>
      <c r="T33" s="233">
        <f t="shared" si="6"/>
        <v>1704.511278195582</v>
      </c>
      <c r="U33" s="149">
        <v>1.47</v>
      </c>
      <c r="V33" s="197">
        <f t="shared" si="7"/>
        <v>564.62585034013603</v>
      </c>
      <c r="W33" s="152">
        <v>830</v>
      </c>
      <c r="AA33" s="3">
        <v>1573</v>
      </c>
      <c r="AB33" s="3">
        <v>1522</v>
      </c>
      <c r="AC33" s="3">
        <v>3096</v>
      </c>
      <c r="AD33" s="3">
        <v>830</v>
      </c>
      <c r="AE33" s="3" t="s">
        <v>711</v>
      </c>
      <c r="AF33" s="233" t="s">
        <v>708</v>
      </c>
      <c r="AG33" s="233" t="s">
        <v>709</v>
      </c>
      <c r="AH33" s="233" t="s">
        <v>740</v>
      </c>
    </row>
    <row r="34" spans="2:37" x14ac:dyDescent="0.25">
      <c r="B34" s="235">
        <v>44940</v>
      </c>
      <c r="C34" s="3">
        <v>3</v>
      </c>
      <c r="D34" s="148">
        <v>44941</v>
      </c>
      <c r="E34" s="156">
        <v>8119</v>
      </c>
      <c r="F34" s="3">
        <v>33</v>
      </c>
      <c r="G34" s="3">
        <v>7617</v>
      </c>
      <c r="H34" s="3" t="s">
        <v>58</v>
      </c>
      <c r="I34" s="3">
        <v>58</v>
      </c>
      <c r="J34" s="239">
        <v>0</v>
      </c>
      <c r="K34" s="239">
        <v>6.5972222222222224E-2</v>
      </c>
      <c r="L34" s="5">
        <f t="shared" si="3"/>
        <v>6.5972222222222224E-2</v>
      </c>
      <c r="M34" s="233" t="s">
        <v>77</v>
      </c>
      <c r="N34" s="233" t="s">
        <v>57</v>
      </c>
      <c r="O34" s="3">
        <v>3220</v>
      </c>
      <c r="P34" s="268" t="str">
        <f>IFERROR((O34/I34)/(VLOOKUP(H34,[71]!taux,2,FALSE)),"")</f>
        <v/>
      </c>
      <c r="Q34" s="233">
        <f t="shared" si="0"/>
        <v>2604</v>
      </c>
      <c r="R34" s="149">
        <v>4705.13</v>
      </c>
      <c r="S34" s="269">
        <f t="shared" si="5"/>
        <v>1.1599999999998545</v>
      </c>
      <c r="T34" s="233">
        <f t="shared" si="6"/>
        <v>2244.8275862071782</v>
      </c>
      <c r="U34" s="149">
        <v>1.68</v>
      </c>
      <c r="V34" s="197">
        <f t="shared" si="7"/>
        <v>1916.6666666666667</v>
      </c>
      <c r="W34" s="152">
        <v>616</v>
      </c>
      <c r="AA34" s="3">
        <v>1537</v>
      </c>
      <c r="AB34" s="3">
        <v>1597</v>
      </c>
      <c r="AC34" s="3">
        <v>3135</v>
      </c>
      <c r="AD34" s="3">
        <v>3220</v>
      </c>
      <c r="AE34" s="233" t="s">
        <v>714</v>
      </c>
      <c r="AF34" s="233" t="s">
        <v>631</v>
      </c>
      <c r="AG34" s="233" t="s">
        <v>179</v>
      </c>
      <c r="AH34" s="233" t="s">
        <v>727</v>
      </c>
    </row>
    <row r="35" spans="2:37" x14ac:dyDescent="0.25">
      <c r="B35" s="235">
        <v>44941</v>
      </c>
      <c r="C35" s="3">
        <v>1</v>
      </c>
      <c r="D35" s="148">
        <v>44941</v>
      </c>
      <c r="E35" s="156">
        <v>8120</v>
      </c>
      <c r="F35" s="3">
        <v>1</v>
      </c>
      <c r="G35" s="3">
        <v>7619</v>
      </c>
      <c r="H35" s="3" t="s">
        <v>66</v>
      </c>
      <c r="I35" s="3">
        <v>57</v>
      </c>
      <c r="J35" s="239">
        <v>0.36805555555555558</v>
      </c>
      <c r="K35" s="239">
        <v>0.46875</v>
      </c>
      <c r="L35" s="5">
        <f t="shared" si="3"/>
        <v>0.10069444444444442</v>
      </c>
      <c r="M35" s="3" t="s">
        <v>73</v>
      </c>
      <c r="N35" s="3" t="s">
        <v>64</v>
      </c>
      <c r="O35" s="3">
        <v>3363</v>
      </c>
      <c r="P35" s="268" t="str">
        <f>IFERROR((O35/I35)/(VLOOKUP(H35,[71]!taux,2,FALSE)),"")</f>
        <v/>
      </c>
      <c r="Q35" s="233">
        <f t="shared" si="0"/>
        <v>2283</v>
      </c>
      <c r="R35" s="149">
        <v>4706.8500000000004</v>
      </c>
      <c r="S35" s="269">
        <f t="shared" si="5"/>
        <v>1.7200000000002547</v>
      </c>
      <c r="T35" s="233">
        <f t="shared" si="6"/>
        <v>1327.3255813951523</v>
      </c>
      <c r="U35" s="149">
        <v>2.64</v>
      </c>
      <c r="V35" s="197">
        <f t="shared" si="7"/>
        <v>1273.8636363636363</v>
      </c>
      <c r="W35" s="152">
        <v>1080</v>
      </c>
      <c r="AA35" s="3">
        <v>1688</v>
      </c>
      <c r="AB35" s="3">
        <v>1673</v>
      </c>
      <c r="AC35" s="3">
        <v>3362</v>
      </c>
      <c r="AD35" s="3">
        <v>3363</v>
      </c>
      <c r="AE35" s="233" t="s">
        <v>7</v>
      </c>
      <c r="AF35" s="233" t="s">
        <v>701</v>
      </c>
      <c r="AG35" s="233" t="s">
        <v>193</v>
      </c>
      <c r="AH35" s="233" t="s">
        <v>654</v>
      </c>
    </row>
    <row r="36" spans="2:37" x14ac:dyDescent="0.25">
      <c r="B36" s="235">
        <v>44941</v>
      </c>
      <c r="C36" s="3">
        <v>2</v>
      </c>
      <c r="D36" s="148">
        <v>44941</v>
      </c>
      <c r="E36" s="156">
        <v>8121</v>
      </c>
      <c r="F36" s="3">
        <v>34</v>
      </c>
      <c r="G36" s="3">
        <v>7625</v>
      </c>
      <c r="H36" s="3" t="s">
        <v>58</v>
      </c>
      <c r="I36" s="3">
        <v>55</v>
      </c>
      <c r="J36" s="239">
        <v>0.78472222222222221</v>
      </c>
      <c r="K36" s="239">
        <v>0.85763888888888884</v>
      </c>
      <c r="L36" s="5">
        <f t="shared" si="3"/>
        <v>7.291666666666663E-2</v>
      </c>
      <c r="M36" s="3" t="s">
        <v>77</v>
      </c>
      <c r="N36" s="233" t="s">
        <v>57</v>
      </c>
      <c r="O36" s="3">
        <v>3120</v>
      </c>
      <c r="P36" s="268" t="str">
        <f>IFERROR((O36/I36)/(VLOOKUP(H36,[71]!taux,2,FALSE)),"")</f>
        <v/>
      </c>
      <c r="Q36" s="233">
        <f t="shared" si="0"/>
        <v>2760</v>
      </c>
      <c r="R36" s="149">
        <v>4708.24</v>
      </c>
      <c r="S36" s="269">
        <f t="shared" si="5"/>
        <v>1.3899999999994179</v>
      </c>
      <c r="T36" s="233">
        <f t="shared" si="6"/>
        <v>1985.6115107921985</v>
      </c>
      <c r="U36" s="149">
        <v>1.87</v>
      </c>
      <c r="V36" s="197">
        <f t="shared" si="7"/>
        <v>1668.4491978609624</v>
      </c>
      <c r="W36" s="152">
        <v>360</v>
      </c>
      <c r="AA36" s="3">
        <v>1584</v>
      </c>
      <c r="AB36" s="3">
        <v>1485</v>
      </c>
      <c r="AC36" s="3">
        <v>3069</v>
      </c>
      <c r="AD36" s="3">
        <v>3120</v>
      </c>
      <c r="AE36" s="233" t="s">
        <v>711</v>
      </c>
      <c r="AF36" s="233" t="s">
        <v>708</v>
      </c>
      <c r="AG36" s="233" t="s">
        <v>451</v>
      </c>
      <c r="AH36" s="233" t="s">
        <v>740</v>
      </c>
    </row>
    <row r="37" spans="2:37" x14ac:dyDescent="0.25">
      <c r="B37" s="235">
        <v>44941</v>
      </c>
      <c r="C37" s="3">
        <v>3</v>
      </c>
      <c r="D37" s="148">
        <v>44942</v>
      </c>
      <c r="E37" s="156">
        <v>8122</v>
      </c>
      <c r="F37" s="3">
        <v>2</v>
      </c>
      <c r="G37" s="233">
        <v>7619</v>
      </c>
      <c r="H37" s="3" t="s">
        <v>66</v>
      </c>
      <c r="I37" s="3">
        <v>58</v>
      </c>
      <c r="J37" s="239">
        <v>0.1111111111111111</v>
      </c>
      <c r="K37" s="239">
        <v>0.19097222222222221</v>
      </c>
      <c r="L37" s="5">
        <f t="shared" si="3"/>
        <v>7.9861111111111105E-2</v>
      </c>
      <c r="M37" s="3" t="s">
        <v>73</v>
      </c>
      <c r="N37" s="233" t="s">
        <v>64</v>
      </c>
      <c r="O37" s="3">
        <v>3407</v>
      </c>
      <c r="P37" s="268" t="str">
        <f>IFERROR((O37/I37)/(VLOOKUP(H37,[71]!taux,2,FALSE)),"")</f>
        <v/>
      </c>
      <c r="Q37" s="233">
        <f t="shared" si="0"/>
        <v>2580</v>
      </c>
      <c r="R37" s="149">
        <v>4709.2579999999998</v>
      </c>
      <c r="S37" s="269">
        <f t="shared" si="5"/>
        <v>1.0180000000000291</v>
      </c>
      <c r="T37" s="233">
        <f t="shared" si="6"/>
        <v>2534.3811394891222</v>
      </c>
      <c r="U37" s="149">
        <v>1.7</v>
      </c>
      <c r="V37" s="197">
        <f t="shared" si="7"/>
        <v>2004.1176470588236</v>
      </c>
      <c r="W37" s="152">
        <v>827</v>
      </c>
      <c r="AA37" s="3">
        <v>1698</v>
      </c>
      <c r="AB37" s="3">
        <v>1709</v>
      </c>
      <c r="AC37" s="3">
        <v>3407</v>
      </c>
      <c r="AD37" s="3">
        <v>3407</v>
      </c>
      <c r="AE37" s="233" t="s">
        <v>714</v>
      </c>
      <c r="AF37" s="233" t="s">
        <v>631</v>
      </c>
      <c r="AG37" s="233" t="s">
        <v>179</v>
      </c>
      <c r="AH37" s="233" t="s">
        <v>727</v>
      </c>
    </row>
    <row r="38" spans="2:37" x14ac:dyDescent="0.25">
      <c r="B38" s="235">
        <v>44942</v>
      </c>
      <c r="C38" s="3">
        <v>1</v>
      </c>
      <c r="D38" s="236">
        <v>44942</v>
      </c>
      <c r="E38" s="237">
        <v>8123</v>
      </c>
      <c r="F38" s="3">
        <v>35</v>
      </c>
      <c r="G38" s="3">
        <v>7625</v>
      </c>
      <c r="H38" s="3" t="s">
        <v>58</v>
      </c>
      <c r="I38" s="3">
        <v>56</v>
      </c>
      <c r="J38" s="239">
        <v>0.46527777777777773</v>
      </c>
      <c r="K38" s="239">
        <v>0.53472222222222221</v>
      </c>
      <c r="L38" s="5">
        <f t="shared" si="3"/>
        <v>6.9444444444444475E-2</v>
      </c>
      <c r="M38" s="3" t="s">
        <v>77</v>
      </c>
      <c r="N38" s="3" t="s">
        <v>57</v>
      </c>
      <c r="O38" s="3">
        <v>3090</v>
      </c>
      <c r="P38" s="268" t="str">
        <f>IFERROR((O38/I38)/(VLOOKUP(H38,[71]!taux,2,FALSE)),"")</f>
        <v/>
      </c>
      <c r="Q38" s="233">
        <f t="shared" si="0"/>
        <v>2326</v>
      </c>
      <c r="R38" s="149">
        <v>4711.07</v>
      </c>
      <c r="S38" s="269">
        <f t="shared" si="5"/>
        <v>1.8119999999998981</v>
      </c>
      <c r="T38" s="233">
        <f t="shared" si="6"/>
        <v>1283.6644591612201</v>
      </c>
      <c r="U38" s="149">
        <v>1.37</v>
      </c>
      <c r="V38" s="197">
        <f t="shared" si="7"/>
        <v>2255.4744525547444</v>
      </c>
      <c r="W38" s="152">
        <v>764</v>
      </c>
      <c r="AA38" s="3">
        <v>1534</v>
      </c>
      <c r="AB38" s="3">
        <v>1556</v>
      </c>
      <c r="AC38" s="3">
        <v>3090</v>
      </c>
      <c r="AD38" s="3">
        <v>3090</v>
      </c>
      <c r="AE38" s="233" t="s">
        <v>656</v>
      </c>
      <c r="AF38" s="3" t="s">
        <v>759</v>
      </c>
      <c r="AG38" s="3" t="s">
        <v>451</v>
      </c>
      <c r="AH38" s="3" t="s">
        <v>221</v>
      </c>
    </row>
    <row r="39" spans="2:37" x14ac:dyDescent="0.25">
      <c r="B39" s="235">
        <v>44942</v>
      </c>
      <c r="C39" s="3">
        <v>3</v>
      </c>
      <c r="D39" s="148">
        <v>44943</v>
      </c>
      <c r="E39" s="237">
        <v>8124</v>
      </c>
      <c r="F39" s="3">
        <v>36</v>
      </c>
      <c r="G39" s="3">
        <v>7625</v>
      </c>
      <c r="H39" s="3" t="s">
        <v>66</v>
      </c>
      <c r="I39" s="3">
        <v>58</v>
      </c>
      <c r="J39" s="239">
        <v>9.7222222222222224E-2</v>
      </c>
      <c r="K39" s="239">
        <v>0.17708333333333334</v>
      </c>
      <c r="L39" s="5">
        <f t="shared" si="3"/>
        <v>7.9861111111111119E-2</v>
      </c>
      <c r="M39" s="3" t="s">
        <v>77</v>
      </c>
      <c r="N39" s="233" t="s">
        <v>487</v>
      </c>
      <c r="O39" s="3">
        <v>3326</v>
      </c>
      <c r="P39" s="268" t="str">
        <f>IFERROR((O39/I39)/(VLOOKUP(H39,[71]!taux,2,FALSE)),"")</f>
        <v/>
      </c>
      <c r="Q39" s="233">
        <f t="shared" si="0"/>
        <v>2306</v>
      </c>
      <c r="R39" s="149">
        <v>4712.78</v>
      </c>
      <c r="S39" s="269">
        <f t="shared" si="5"/>
        <v>1.7100000000000364</v>
      </c>
      <c r="T39" s="233">
        <f t="shared" si="6"/>
        <v>1348.5380116958777</v>
      </c>
      <c r="U39" s="149">
        <v>1.7</v>
      </c>
      <c r="V39" s="197">
        <f t="shared" si="7"/>
        <v>1956.4705882352941</v>
      </c>
      <c r="W39" s="152">
        <v>1020</v>
      </c>
      <c r="AA39" s="3">
        <v>1611</v>
      </c>
      <c r="AB39" s="3">
        <v>1714</v>
      </c>
      <c r="AC39" s="3">
        <v>3326</v>
      </c>
      <c r="AD39" s="3">
        <v>3326</v>
      </c>
      <c r="AE39" s="3" t="s">
        <v>675</v>
      </c>
      <c r="AF39" s="3" t="s">
        <v>144</v>
      </c>
      <c r="AG39" s="3" t="s">
        <v>763</v>
      </c>
      <c r="AH39" s="3" t="s">
        <v>764</v>
      </c>
    </row>
    <row r="40" spans="2:37" x14ac:dyDescent="0.25">
      <c r="B40" s="235">
        <v>44942</v>
      </c>
      <c r="C40" s="3">
        <v>2</v>
      </c>
      <c r="D40" s="148">
        <v>44944</v>
      </c>
      <c r="E40" s="156">
        <v>8125</v>
      </c>
      <c r="F40" s="3">
        <v>37</v>
      </c>
      <c r="G40" s="233">
        <v>7617</v>
      </c>
      <c r="H40" s="3" t="s">
        <v>58</v>
      </c>
      <c r="I40" s="3">
        <v>58</v>
      </c>
      <c r="J40" s="239">
        <v>0.69097222222222221</v>
      </c>
      <c r="K40" s="239">
        <v>0.75347222222222221</v>
      </c>
      <c r="L40" s="5">
        <f t="shared" si="3"/>
        <v>6.25E-2</v>
      </c>
      <c r="M40" s="3" t="s">
        <v>77</v>
      </c>
      <c r="N40" s="3" t="s">
        <v>770</v>
      </c>
      <c r="O40" s="3">
        <v>3250</v>
      </c>
      <c r="P40" s="268" t="str">
        <f>IFERROR((O40/I40)/(VLOOKUP(H40,[71]!taux,2,FALSE)),"")</f>
        <v/>
      </c>
      <c r="Q40" s="233">
        <f t="shared" si="0"/>
        <v>2286</v>
      </c>
      <c r="R40" s="149">
        <v>4713.6899999999996</v>
      </c>
      <c r="S40" s="269">
        <f t="shared" si="5"/>
        <v>0.90999999999985448</v>
      </c>
      <c r="T40" s="233">
        <f t="shared" si="6"/>
        <v>2512.0879120883137</v>
      </c>
      <c r="U40" s="149">
        <v>1.6</v>
      </c>
      <c r="V40" s="197">
        <f t="shared" si="7"/>
        <v>2031.25</v>
      </c>
      <c r="W40" s="152">
        <v>964</v>
      </c>
      <c r="AA40" s="3">
        <v>1579</v>
      </c>
      <c r="AB40" s="3">
        <v>1561</v>
      </c>
      <c r="AC40" s="3">
        <v>3141</v>
      </c>
      <c r="AD40" s="3">
        <v>3250</v>
      </c>
      <c r="AE40" s="233" t="s">
        <v>711</v>
      </c>
      <c r="AF40" s="3" t="s">
        <v>771</v>
      </c>
      <c r="AG40" s="233" t="s">
        <v>727</v>
      </c>
      <c r="AH40" s="3" t="s">
        <v>772</v>
      </c>
    </row>
    <row r="41" spans="2:37" x14ac:dyDescent="0.25">
      <c r="B41" s="235">
        <v>44944</v>
      </c>
      <c r="C41" s="3">
        <v>2</v>
      </c>
      <c r="D41" s="148">
        <v>44945</v>
      </c>
      <c r="E41" s="156">
        <v>8126</v>
      </c>
      <c r="F41" s="3">
        <v>38</v>
      </c>
      <c r="G41" s="233">
        <v>7617</v>
      </c>
      <c r="H41" s="3" t="s">
        <v>66</v>
      </c>
      <c r="I41" s="3">
        <v>53</v>
      </c>
      <c r="J41" s="239">
        <v>0.72569444444444453</v>
      </c>
      <c r="K41" s="239">
        <v>0.79166666666666663</v>
      </c>
      <c r="L41" s="5">
        <f t="shared" si="3"/>
        <v>6.5972222222222099E-2</v>
      </c>
      <c r="M41" s="3" t="s">
        <v>67</v>
      </c>
      <c r="N41" s="233" t="s">
        <v>770</v>
      </c>
      <c r="O41" s="3">
        <v>3098</v>
      </c>
      <c r="P41" s="268" t="str">
        <f>IFERROR((O41/I41)/(VLOOKUP(H41,[71]!taux,2,FALSE)),"")</f>
        <v/>
      </c>
      <c r="Q41" s="233">
        <f t="shared" si="0"/>
        <v>3098</v>
      </c>
      <c r="R41" s="149">
        <v>4715.07</v>
      </c>
      <c r="S41" s="269">
        <f t="shared" si="5"/>
        <v>1.3800000000001091</v>
      </c>
      <c r="T41" s="233">
        <f t="shared" si="6"/>
        <v>2244.9275362317067</v>
      </c>
      <c r="U41" s="149">
        <v>1.6</v>
      </c>
      <c r="V41" s="197">
        <f t="shared" si="7"/>
        <v>1937.5</v>
      </c>
      <c r="AA41" s="3">
        <v>1582</v>
      </c>
      <c r="AB41" s="3">
        <v>1516</v>
      </c>
      <c r="AC41" s="3">
        <v>3098</v>
      </c>
      <c r="AD41" s="3">
        <v>3100</v>
      </c>
      <c r="AE41" s="233" t="s">
        <v>711</v>
      </c>
      <c r="AF41" s="233" t="s">
        <v>771</v>
      </c>
      <c r="AG41" s="233" t="s">
        <v>727</v>
      </c>
      <c r="AH41" s="233" t="s">
        <v>772</v>
      </c>
      <c r="AK41" s="3" t="s">
        <v>782</v>
      </c>
    </row>
    <row r="42" spans="2:37" x14ac:dyDescent="0.25">
      <c r="B42" s="235">
        <v>44945</v>
      </c>
      <c r="C42" s="3">
        <v>2</v>
      </c>
      <c r="D42" s="148">
        <v>44946</v>
      </c>
      <c r="E42" s="156">
        <v>8127</v>
      </c>
      <c r="F42" s="3">
        <v>3</v>
      </c>
      <c r="G42" s="3">
        <v>7603</v>
      </c>
      <c r="H42" s="3" t="s">
        <v>58</v>
      </c>
      <c r="I42" s="3">
        <v>60</v>
      </c>
      <c r="J42" s="239">
        <v>0.64583333333333337</v>
      </c>
      <c r="K42" s="239">
        <v>0.72916666666666663</v>
      </c>
      <c r="L42" s="5">
        <f t="shared" si="3"/>
        <v>8.3333333333333259E-2</v>
      </c>
      <c r="M42" s="3" t="s">
        <v>59</v>
      </c>
      <c r="N42" s="3" t="s">
        <v>782</v>
      </c>
      <c r="O42" s="3">
        <v>3400</v>
      </c>
      <c r="P42" s="268" t="str">
        <f>IFERROR((O42/I42)/(VLOOKUP(H42,[71]!taux,2,FALSE)),"")</f>
        <v/>
      </c>
      <c r="Q42" s="233">
        <f t="shared" si="0"/>
        <v>2583</v>
      </c>
      <c r="R42" s="149">
        <v>4717.1500999999998</v>
      </c>
      <c r="S42" s="269">
        <f t="shared" si="5"/>
        <v>2.0801000000001295</v>
      </c>
      <c r="T42" s="233">
        <f t="shared" si="6"/>
        <v>1241.7672227295991</v>
      </c>
      <c r="U42" s="149">
        <v>1.5</v>
      </c>
      <c r="V42" s="197">
        <f t="shared" si="7"/>
        <v>2266.6666666666665</v>
      </c>
      <c r="W42" s="152">
        <v>817</v>
      </c>
      <c r="AA42" s="3">
        <v>1489</v>
      </c>
      <c r="AB42" s="3">
        <v>1466</v>
      </c>
      <c r="AC42" s="3">
        <v>2955</v>
      </c>
      <c r="AD42" s="3">
        <v>3400</v>
      </c>
      <c r="AE42" s="233" t="s">
        <v>711</v>
      </c>
      <c r="AF42" s="233" t="s">
        <v>771</v>
      </c>
      <c r="AG42" s="233" t="s">
        <v>727</v>
      </c>
      <c r="AH42" s="233" t="s">
        <v>772</v>
      </c>
    </row>
    <row r="43" spans="2:37" x14ac:dyDescent="0.25">
      <c r="B43" s="235">
        <v>44945</v>
      </c>
      <c r="C43" s="3">
        <v>2</v>
      </c>
      <c r="D43" s="148">
        <v>44946</v>
      </c>
      <c r="E43" s="156">
        <v>8128</v>
      </c>
      <c r="F43" s="3">
        <v>39</v>
      </c>
      <c r="G43" s="3">
        <v>7605</v>
      </c>
      <c r="H43" s="3" t="s">
        <v>58</v>
      </c>
      <c r="I43" s="3">
        <v>58</v>
      </c>
      <c r="J43" s="239">
        <v>0.8125</v>
      </c>
      <c r="K43" s="239">
        <v>0.875</v>
      </c>
      <c r="L43" s="5">
        <f t="shared" si="3"/>
        <v>6.25E-2</v>
      </c>
      <c r="M43" s="3" t="s">
        <v>67</v>
      </c>
      <c r="N43" s="233" t="s">
        <v>770</v>
      </c>
      <c r="O43" s="3">
        <v>3200</v>
      </c>
      <c r="P43" s="268" t="str">
        <f>IFERROR((O43/I43)/(VLOOKUP(H43,[71]!taux,2,FALSE)),"")</f>
        <v/>
      </c>
      <c r="Q43" s="233">
        <f t="shared" si="0"/>
        <v>3200</v>
      </c>
      <c r="R43" s="149">
        <v>4718.5</v>
      </c>
      <c r="S43" s="269">
        <f t="shared" si="5"/>
        <v>1.3499000000001615</v>
      </c>
      <c r="T43" s="233">
        <f t="shared" si="6"/>
        <v>2370.5459663675956</v>
      </c>
      <c r="U43" s="149">
        <v>1.6</v>
      </c>
      <c r="V43" s="197">
        <f t="shared" si="7"/>
        <v>2000</v>
      </c>
      <c r="AA43" s="3">
        <f>3085-AA42</f>
        <v>1596</v>
      </c>
      <c r="AB43" s="3">
        <f>3096-AB42</f>
        <v>1630</v>
      </c>
      <c r="AC43" s="3">
        <f>AB43+AA43</f>
        <v>3226</v>
      </c>
      <c r="AD43" s="3">
        <v>3200</v>
      </c>
      <c r="AE43" s="233" t="s">
        <v>711</v>
      </c>
      <c r="AF43" s="233" t="s">
        <v>771</v>
      </c>
      <c r="AG43" s="233" t="s">
        <v>727</v>
      </c>
      <c r="AH43" s="233" t="s">
        <v>772</v>
      </c>
    </row>
    <row r="44" spans="2:37" x14ac:dyDescent="0.25">
      <c r="B44" s="235">
        <v>44946</v>
      </c>
      <c r="C44" s="3">
        <v>1</v>
      </c>
      <c r="D44" s="236">
        <v>44946</v>
      </c>
      <c r="E44" s="237">
        <v>8129</v>
      </c>
      <c r="F44" s="3">
        <v>4</v>
      </c>
      <c r="G44" s="3">
        <v>7619</v>
      </c>
      <c r="H44" s="3" t="s">
        <v>66</v>
      </c>
      <c r="I44" s="3">
        <v>55</v>
      </c>
      <c r="J44" s="239">
        <v>0.40972222222222227</v>
      </c>
      <c r="K44" s="239">
        <v>0.4861111111111111</v>
      </c>
      <c r="L44" s="5">
        <f t="shared" si="3"/>
        <v>7.638888888888884E-2</v>
      </c>
      <c r="M44" s="3" t="s">
        <v>59</v>
      </c>
      <c r="N44" s="233" t="s">
        <v>785</v>
      </c>
      <c r="O44" s="3">
        <v>3190</v>
      </c>
      <c r="P44" s="268" t="str">
        <f>IFERROR((O44/I44)/(VLOOKUP(H44,[71]!taux,2,FALSE)),"")</f>
        <v/>
      </c>
      <c r="Q44" s="233">
        <f t="shared" si="0"/>
        <v>2546</v>
      </c>
      <c r="R44" s="149">
        <v>4720.74</v>
      </c>
      <c r="S44" s="269">
        <f t="shared" si="5"/>
        <v>2.2399999999997817</v>
      </c>
      <c r="T44" s="233">
        <f t="shared" si="6"/>
        <v>1136.6071428572536</v>
      </c>
      <c r="U44" s="149">
        <v>2.5</v>
      </c>
      <c r="V44" s="197">
        <f t="shared" si="7"/>
        <v>1276</v>
      </c>
      <c r="W44" s="152">
        <v>644</v>
      </c>
      <c r="AA44" s="3">
        <v>1554</v>
      </c>
      <c r="AB44" s="3">
        <v>1618</v>
      </c>
      <c r="AC44" s="3">
        <v>3172</v>
      </c>
      <c r="AD44" s="3">
        <v>3190</v>
      </c>
      <c r="AE44" s="3" t="s">
        <v>223</v>
      </c>
      <c r="AF44" s="233" t="s">
        <v>759</v>
      </c>
      <c r="AG44" s="233" t="s">
        <v>451</v>
      </c>
      <c r="AH44" s="233" t="s">
        <v>221</v>
      </c>
    </row>
    <row r="45" spans="2:37" x14ac:dyDescent="0.25">
      <c r="B45" s="235">
        <v>44946</v>
      </c>
      <c r="C45" s="3">
        <v>2</v>
      </c>
      <c r="D45" s="236">
        <v>44946</v>
      </c>
      <c r="E45" s="156">
        <v>8130</v>
      </c>
      <c r="F45" s="3">
        <v>40</v>
      </c>
      <c r="G45" s="233">
        <v>7625</v>
      </c>
      <c r="H45" s="3" t="s">
        <v>58</v>
      </c>
      <c r="I45" s="3">
        <v>60</v>
      </c>
      <c r="J45" s="239">
        <v>0.75</v>
      </c>
      <c r="K45" s="239">
        <v>0.83333333333333337</v>
      </c>
      <c r="L45" s="5">
        <f t="shared" si="3"/>
        <v>8.333333333333337E-2</v>
      </c>
      <c r="M45" s="3" t="s">
        <v>67</v>
      </c>
      <c r="N45" s="233" t="s">
        <v>770</v>
      </c>
      <c r="O45" s="3">
        <v>3380</v>
      </c>
      <c r="P45" s="268" t="str">
        <f>IFERROR((O45/I45)/(VLOOKUP(H45,[71]!taux,2,FALSE)),"")</f>
        <v/>
      </c>
      <c r="Q45" s="233">
        <v>2880</v>
      </c>
      <c r="R45" s="149">
        <v>4722</v>
      </c>
      <c r="S45" s="269">
        <f t="shared" si="5"/>
        <v>1.2600000000002183</v>
      </c>
      <c r="T45" s="233">
        <f t="shared" si="6"/>
        <v>2285.7142857138897</v>
      </c>
      <c r="U45" s="149">
        <v>1.26</v>
      </c>
      <c r="V45" s="197">
        <f t="shared" si="7"/>
        <v>2682.5396825396824</v>
      </c>
      <c r="W45" s="152">
        <v>500</v>
      </c>
      <c r="AA45" s="3">
        <v>1624</v>
      </c>
      <c r="AB45" s="3">
        <v>1636</v>
      </c>
      <c r="AC45" s="3">
        <v>3260</v>
      </c>
      <c r="AD45" s="3">
        <v>3380</v>
      </c>
      <c r="AE45" s="233" t="s">
        <v>711</v>
      </c>
      <c r="AF45" s="233" t="s">
        <v>771</v>
      </c>
      <c r="AG45" s="233" t="s">
        <v>727</v>
      </c>
      <c r="AH45" s="233" t="s">
        <v>772</v>
      </c>
    </row>
    <row r="46" spans="2:37" x14ac:dyDescent="0.25">
      <c r="B46" s="235">
        <v>44946</v>
      </c>
      <c r="C46" s="3">
        <v>3</v>
      </c>
      <c r="D46" s="148">
        <v>44947</v>
      </c>
      <c r="E46" s="156">
        <v>8131</v>
      </c>
      <c r="F46" s="3">
        <v>41</v>
      </c>
      <c r="G46" s="233">
        <v>7617</v>
      </c>
      <c r="H46" s="3" t="s">
        <v>58</v>
      </c>
      <c r="I46" s="3">
        <v>58</v>
      </c>
      <c r="J46" s="239">
        <v>0.98611111111111116</v>
      </c>
      <c r="K46" s="239">
        <v>5.5555555555555552E-2</v>
      </c>
      <c r="L46" s="5">
        <v>6.9444444444444434E-2</v>
      </c>
      <c r="M46" s="233" t="s">
        <v>67</v>
      </c>
      <c r="N46" s="233" t="s">
        <v>487</v>
      </c>
      <c r="O46" s="3">
        <v>3263</v>
      </c>
      <c r="P46" s="268" t="str">
        <f>IFERROR((O46/I46)/(VLOOKUP(H46,[71]!taux,2,FALSE)),"")</f>
        <v/>
      </c>
      <c r="Q46" s="233">
        <f t="shared" si="0"/>
        <v>3263</v>
      </c>
      <c r="R46" s="149">
        <v>4723.95</v>
      </c>
      <c r="S46" s="269">
        <f t="shared" si="5"/>
        <v>1.9499999999998181</v>
      </c>
      <c r="T46" s="233">
        <f t="shared" si="6"/>
        <v>1673.3333333334895</v>
      </c>
      <c r="U46" s="149">
        <v>1.95</v>
      </c>
      <c r="V46" s="197">
        <f t="shared" si="7"/>
        <v>1673.3333333333335</v>
      </c>
      <c r="AA46" s="3">
        <v>1617</v>
      </c>
      <c r="AB46" s="3">
        <v>1645</v>
      </c>
      <c r="AC46" s="3">
        <v>3263</v>
      </c>
      <c r="AD46" s="3">
        <v>3263</v>
      </c>
      <c r="AE46" s="233" t="s">
        <v>675</v>
      </c>
      <c r="AF46" s="233" t="s">
        <v>144</v>
      </c>
      <c r="AG46" s="233" t="s">
        <v>763</v>
      </c>
      <c r="AH46" s="233" t="s">
        <v>764</v>
      </c>
    </row>
    <row r="47" spans="2:37" x14ac:dyDescent="0.25">
      <c r="B47" s="235">
        <v>44947</v>
      </c>
      <c r="C47" s="3">
        <v>2</v>
      </c>
      <c r="D47" s="148">
        <v>44948</v>
      </c>
      <c r="E47" s="156">
        <v>8132</v>
      </c>
      <c r="F47" s="3">
        <v>42</v>
      </c>
      <c r="G47" s="3">
        <v>7605</v>
      </c>
      <c r="H47" s="3" t="s">
        <v>58</v>
      </c>
      <c r="I47" s="3">
        <v>53</v>
      </c>
      <c r="J47" s="239">
        <v>0.69097222222222221</v>
      </c>
      <c r="K47" s="239">
        <v>0.76388888888888884</v>
      </c>
      <c r="L47" s="234">
        <f t="shared" si="3"/>
        <v>7.291666666666663E-2</v>
      </c>
      <c r="M47" s="233" t="s">
        <v>67</v>
      </c>
      <c r="N47" s="233" t="s">
        <v>487</v>
      </c>
      <c r="O47" s="3">
        <v>2950</v>
      </c>
      <c r="P47" s="268" t="str">
        <f>IFERROR((O47/I47)/(VLOOKUP(H47,[71]!taux,2,FALSE)),"")</f>
        <v/>
      </c>
      <c r="Q47" s="233">
        <f t="shared" si="0"/>
        <v>2950</v>
      </c>
      <c r="R47" s="149">
        <v>4725.43</v>
      </c>
      <c r="S47" s="269">
        <f t="shared" si="5"/>
        <v>1.4800000000004729</v>
      </c>
      <c r="T47" s="233">
        <f t="shared" si="6"/>
        <v>1993.2432432426062</v>
      </c>
      <c r="U47" s="149">
        <v>1.87</v>
      </c>
      <c r="V47" s="197">
        <f t="shared" si="7"/>
        <v>1577.5401069518716</v>
      </c>
      <c r="AA47" s="3">
        <v>1474</v>
      </c>
      <c r="AB47" s="3">
        <v>1476</v>
      </c>
      <c r="AC47" s="3">
        <v>2950</v>
      </c>
      <c r="AD47" s="3">
        <v>2950</v>
      </c>
      <c r="AE47" s="233" t="s">
        <v>711</v>
      </c>
      <c r="AF47" s="285" t="s">
        <v>771</v>
      </c>
      <c r="AG47" s="285" t="s">
        <v>727</v>
      </c>
      <c r="AH47" s="233" t="s">
        <v>179</v>
      </c>
    </row>
    <row r="48" spans="2:37" x14ac:dyDescent="0.25">
      <c r="B48" s="235">
        <v>44947</v>
      </c>
      <c r="C48" s="3">
        <v>3</v>
      </c>
      <c r="D48" s="236">
        <v>44948</v>
      </c>
      <c r="E48" s="156">
        <v>8133</v>
      </c>
      <c r="F48" s="3">
        <v>43</v>
      </c>
      <c r="G48" s="233">
        <v>7617</v>
      </c>
      <c r="H48" s="3" t="s">
        <v>58</v>
      </c>
      <c r="I48" s="3">
        <v>56</v>
      </c>
      <c r="J48" s="239">
        <v>1.0416666666666666E-2</v>
      </c>
      <c r="K48" s="239">
        <v>7.6388888888888895E-2</v>
      </c>
      <c r="L48" s="234">
        <f t="shared" si="3"/>
        <v>6.5972222222222224E-2</v>
      </c>
      <c r="M48" s="233" t="s">
        <v>67</v>
      </c>
      <c r="N48" s="233" t="s">
        <v>487</v>
      </c>
      <c r="O48" s="3">
        <v>3145</v>
      </c>
      <c r="P48" s="268" t="str">
        <f>IFERROR((O48/I48)/(VLOOKUP(H48,[71]!taux,2,FALSE)),"")</f>
        <v/>
      </c>
      <c r="Q48" s="233">
        <f t="shared" si="0"/>
        <v>3145</v>
      </c>
      <c r="R48" s="149">
        <v>4726.96</v>
      </c>
      <c r="S48" s="269">
        <f t="shared" si="5"/>
        <v>1.5299999999997453</v>
      </c>
      <c r="T48" s="233">
        <f t="shared" si="6"/>
        <v>2055.5555555558976</v>
      </c>
      <c r="U48" s="149">
        <v>1.77</v>
      </c>
      <c r="V48" s="197">
        <f t="shared" si="7"/>
        <v>1776.8361581920904</v>
      </c>
      <c r="AA48" s="3">
        <v>1558</v>
      </c>
      <c r="AB48" s="3">
        <v>1587</v>
      </c>
      <c r="AC48" s="3">
        <v>3145</v>
      </c>
      <c r="AD48" s="3">
        <v>3145</v>
      </c>
      <c r="AE48" s="233" t="s">
        <v>675</v>
      </c>
      <c r="AF48" s="233" t="s">
        <v>144</v>
      </c>
      <c r="AG48" s="233" t="s">
        <v>763</v>
      </c>
      <c r="AH48" s="233" t="s">
        <v>764</v>
      </c>
    </row>
    <row r="49" spans="2:34" x14ac:dyDescent="0.25">
      <c r="B49" s="235">
        <v>44948</v>
      </c>
      <c r="C49" s="3">
        <v>1</v>
      </c>
      <c r="D49" s="148">
        <v>44949</v>
      </c>
      <c r="E49" s="237">
        <v>8134</v>
      </c>
      <c r="F49" s="233">
        <v>44</v>
      </c>
      <c r="G49" s="233">
        <v>7605</v>
      </c>
      <c r="H49" s="233" t="s">
        <v>58</v>
      </c>
      <c r="I49" s="3">
        <v>57</v>
      </c>
      <c r="J49" s="239">
        <v>0.44097222222222227</v>
      </c>
      <c r="K49" s="239">
        <v>0.52083333333333337</v>
      </c>
      <c r="L49" s="234">
        <f t="shared" si="3"/>
        <v>7.9861111111111105E-2</v>
      </c>
      <c r="M49" s="233" t="s">
        <v>67</v>
      </c>
      <c r="N49" s="233" t="s">
        <v>487</v>
      </c>
      <c r="O49" s="3">
        <v>3208</v>
      </c>
      <c r="P49" s="268" t="str">
        <f>IFERROR((O49/I49)/(VLOOKUP(H49,[71]!taux,2,FALSE)),"")</f>
        <v/>
      </c>
      <c r="Q49" s="233">
        <f t="shared" si="0"/>
        <v>3208</v>
      </c>
      <c r="R49" s="149">
        <v>4729.12</v>
      </c>
      <c r="S49" s="269">
        <f t="shared" si="5"/>
        <v>2.1599999999998545</v>
      </c>
      <c r="T49" s="233">
        <f t="shared" si="6"/>
        <v>1485.1851851852853</v>
      </c>
      <c r="U49" s="149">
        <v>2.23</v>
      </c>
      <c r="V49" s="197">
        <f t="shared" si="7"/>
        <v>1438.5650224215246</v>
      </c>
      <c r="AA49" s="3">
        <v>1574</v>
      </c>
      <c r="AB49" s="3">
        <v>1634</v>
      </c>
      <c r="AC49" s="3">
        <v>3208</v>
      </c>
      <c r="AD49" s="3">
        <v>3208</v>
      </c>
      <c r="AE49" s="3" t="s">
        <v>5</v>
      </c>
      <c r="AF49" s="233" t="s">
        <v>759</v>
      </c>
      <c r="AG49" s="233" t="s">
        <v>451</v>
      </c>
      <c r="AH49" s="233" t="s">
        <v>221</v>
      </c>
    </row>
    <row r="50" spans="2:34" x14ac:dyDescent="0.25">
      <c r="B50" s="235">
        <v>44949</v>
      </c>
      <c r="C50" s="3">
        <v>1</v>
      </c>
      <c r="D50" s="148">
        <v>44950</v>
      </c>
      <c r="E50" s="156">
        <v>8135</v>
      </c>
      <c r="F50" s="3">
        <v>45</v>
      </c>
      <c r="G50" s="3">
        <v>7605</v>
      </c>
      <c r="H50" s="3" t="s">
        <v>58</v>
      </c>
      <c r="I50" s="3">
        <v>53</v>
      </c>
      <c r="J50" s="239">
        <v>0.38194444444444442</v>
      </c>
      <c r="K50" s="239">
        <v>0.4375</v>
      </c>
      <c r="L50" s="234">
        <f t="shared" si="3"/>
        <v>5.555555555555558E-2</v>
      </c>
      <c r="M50" s="3" t="s">
        <v>67</v>
      </c>
      <c r="N50" s="233" t="s">
        <v>487</v>
      </c>
      <c r="O50" s="3">
        <v>3040</v>
      </c>
      <c r="P50" s="268" t="str">
        <f>IFERROR((O50/I50)/(VLOOKUP(H50,[71]!taux,2,FALSE)),"")</f>
        <v/>
      </c>
      <c r="Q50" s="233">
        <f t="shared" si="0"/>
        <v>2555</v>
      </c>
      <c r="R50" s="149">
        <v>4730.76</v>
      </c>
      <c r="S50" s="269">
        <f t="shared" si="5"/>
        <v>1.6400000000003274</v>
      </c>
      <c r="T50" s="233">
        <f t="shared" si="6"/>
        <v>1557.9268292679817</v>
      </c>
      <c r="U50" s="149">
        <v>1.7</v>
      </c>
      <c r="V50" s="197">
        <f t="shared" si="7"/>
        <v>1788.2352941176471</v>
      </c>
      <c r="W50" s="152">
        <v>485</v>
      </c>
      <c r="AA50" s="3">
        <v>1534</v>
      </c>
      <c r="AB50" s="3">
        <v>1502</v>
      </c>
      <c r="AC50" s="3">
        <v>3040</v>
      </c>
      <c r="AD50" s="3">
        <v>3040</v>
      </c>
      <c r="AE50" s="3" t="s">
        <v>177</v>
      </c>
      <c r="AF50" s="3" t="s">
        <v>474</v>
      </c>
      <c r="AG50" s="3" t="s">
        <v>810</v>
      </c>
      <c r="AH50" s="3" t="s">
        <v>361</v>
      </c>
    </row>
    <row r="51" spans="2:34" x14ac:dyDescent="0.25">
      <c r="B51" s="235">
        <v>44949</v>
      </c>
      <c r="C51" s="3">
        <v>2</v>
      </c>
      <c r="D51" s="236">
        <v>44950</v>
      </c>
      <c r="E51" s="156">
        <v>8136</v>
      </c>
      <c r="F51" s="3">
        <v>46</v>
      </c>
      <c r="G51" s="233">
        <v>7617</v>
      </c>
      <c r="H51" s="3" t="s">
        <v>58</v>
      </c>
      <c r="I51" s="3">
        <v>58</v>
      </c>
      <c r="J51" s="239">
        <v>0.73958333333333337</v>
      </c>
      <c r="K51" s="239">
        <v>0.8125</v>
      </c>
      <c r="L51" s="234">
        <f t="shared" si="3"/>
        <v>7.291666666666663E-2</v>
      </c>
      <c r="M51" s="233" t="s">
        <v>67</v>
      </c>
      <c r="N51" s="233" t="s">
        <v>487</v>
      </c>
      <c r="O51" s="3">
        <v>3166</v>
      </c>
      <c r="P51" s="268" t="str">
        <f>IFERROR((O51/I51)/(VLOOKUP(H51,[71]!taux,2,FALSE)),"")</f>
        <v/>
      </c>
      <c r="Q51" s="233">
        <f t="shared" si="0"/>
        <v>3166</v>
      </c>
      <c r="R51" s="149">
        <v>4732.5</v>
      </c>
      <c r="S51" s="269">
        <f t="shared" si="5"/>
        <v>1.7399999999997817</v>
      </c>
      <c r="T51" s="233">
        <f t="shared" si="6"/>
        <v>1819.5402298852857</v>
      </c>
      <c r="U51" s="149">
        <v>1.75</v>
      </c>
      <c r="V51" s="197">
        <f t="shared" si="7"/>
        <v>1809.1428571428571</v>
      </c>
      <c r="AA51" s="3">
        <v>1569</v>
      </c>
      <c r="AB51" s="3">
        <v>1597</v>
      </c>
      <c r="AC51" s="3">
        <v>3166</v>
      </c>
      <c r="AD51" s="3">
        <v>3166</v>
      </c>
      <c r="AE51" s="3" t="s">
        <v>814</v>
      </c>
      <c r="AF51" s="3" t="s">
        <v>815</v>
      </c>
      <c r="AG51" s="3" t="s">
        <v>816</v>
      </c>
      <c r="AH51" s="3" t="s">
        <v>710</v>
      </c>
    </row>
    <row r="52" spans="2:34" x14ac:dyDescent="0.25">
      <c r="B52" s="235">
        <v>44950</v>
      </c>
      <c r="C52" s="3">
        <v>2</v>
      </c>
      <c r="D52" s="148">
        <v>44951</v>
      </c>
      <c r="E52" s="156">
        <v>8137</v>
      </c>
      <c r="F52" s="3">
        <v>47</v>
      </c>
      <c r="G52" s="3">
        <v>7605</v>
      </c>
      <c r="H52" s="3" t="s">
        <v>58</v>
      </c>
      <c r="I52" s="3">
        <v>57</v>
      </c>
      <c r="J52" s="239">
        <v>0.74305555555555547</v>
      </c>
      <c r="K52" s="239">
        <v>0.81944444444444453</v>
      </c>
      <c r="L52" s="234">
        <f t="shared" si="3"/>
        <v>7.6388888888889062E-2</v>
      </c>
      <c r="M52" s="3" t="s">
        <v>77</v>
      </c>
      <c r="N52" s="233" t="s">
        <v>735</v>
      </c>
      <c r="O52" s="3">
        <v>3190</v>
      </c>
      <c r="P52" s="268" t="str">
        <f>IFERROR((O52/I52)/(VLOOKUP(H52,[71]!taux,2,FALSE)),"")</f>
        <v/>
      </c>
      <c r="Q52" s="233">
        <f t="shared" si="0"/>
        <v>2690</v>
      </c>
      <c r="R52" s="149">
        <v>4734.24</v>
      </c>
      <c r="S52" s="269">
        <f t="shared" si="5"/>
        <v>1.7399999999997817</v>
      </c>
      <c r="T52" s="233">
        <f t="shared" si="6"/>
        <v>1545.9770114944467</v>
      </c>
      <c r="U52" s="149">
        <v>2</v>
      </c>
      <c r="V52" s="197">
        <f t="shared" si="7"/>
        <v>1551</v>
      </c>
      <c r="W52" s="152">
        <v>500</v>
      </c>
      <c r="AA52" s="3">
        <v>1526</v>
      </c>
      <c r="AB52" s="3">
        <v>1575</v>
      </c>
      <c r="AC52" s="3">
        <v>3102</v>
      </c>
      <c r="AD52" s="3">
        <v>3102</v>
      </c>
      <c r="AE52" s="233" t="s">
        <v>814</v>
      </c>
      <c r="AF52" s="233" t="s">
        <v>815</v>
      </c>
      <c r="AG52" s="233" t="s">
        <v>816</v>
      </c>
      <c r="AH52" s="233" t="s">
        <v>148</v>
      </c>
    </row>
    <row r="53" spans="2:34" x14ac:dyDescent="0.25">
      <c r="B53" s="235">
        <v>44951</v>
      </c>
      <c r="C53" s="3">
        <v>3</v>
      </c>
      <c r="D53" s="236">
        <v>44951</v>
      </c>
      <c r="E53" s="156">
        <v>8138</v>
      </c>
      <c r="F53" s="3">
        <v>48</v>
      </c>
      <c r="G53" s="233">
        <v>7617</v>
      </c>
      <c r="H53" s="3" t="s">
        <v>58</v>
      </c>
      <c r="I53" s="3">
        <v>58</v>
      </c>
      <c r="J53" s="239">
        <v>7.6388888888888895E-2</v>
      </c>
      <c r="K53" s="239">
        <v>0.14930555555555555</v>
      </c>
      <c r="L53" s="234">
        <f t="shared" si="3"/>
        <v>7.2916666666666657E-2</v>
      </c>
      <c r="M53" s="233" t="s">
        <v>77</v>
      </c>
      <c r="N53" s="233" t="s">
        <v>735</v>
      </c>
      <c r="O53" s="3">
        <v>3260</v>
      </c>
      <c r="P53" s="268" t="str">
        <f>IFERROR((O53/I53)/(VLOOKUP(H53,[71]!taux,2,FALSE)),"")</f>
        <v/>
      </c>
      <c r="Q53" s="233">
        <f t="shared" si="0"/>
        <v>3260</v>
      </c>
      <c r="R53" s="149">
        <v>4735.95</v>
      </c>
      <c r="S53" s="269">
        <f t="shared" si="5"/>
        <v>1.7100000000000364</v>
      </c>
      <c r="T53" s="233">
        <f t="shared" si="6"/>
        <v>1906.4327485379711</v>
      </c>
      <c r="U53" s="149">
        <v>1.7</v>
      </c>
      <c r="V53" s="197">
        <f t="shared" si="7"/>
        <v>1917.6470588235295</v>
      </c>
      <c r="AA53" s="3">
        <v>1631</v>
      </c>
      <c r="AB53" s="3">
        <v>1628</v>
      </c>
      <c r="AC53" s="3">
        <v>3259</v>
      </c>
      <c r="AD53" s="3">
        <v>3260</v>
      </c>
      <c r="AE53" s="3" t="s">
        <v>676</v>
      </c>
      <c r="AF53" s="3" t="s">
        <v>451</v>
      </c>
      <c r="AG53" s="3" t="s">
        <v>822</v>
      </c>
      <c r="AH53" s="3" t="s">
        <v>759</v>
      </c>
    </row>
    <row r="54" spans="2:34" x14ac:dyDescent="0.25">
      <c r="B54" s="235">
        <v>44951</v>
      </c>
      <c r="C54" s="3">
        <v>1</v>
      </c>
      <c r="D54" s="148">
        <v>44952</v>
      </c>
      <c r="E54" s="156">
        <v>8139</v>
      </c>
      <c r="F54" s="3">
        <v>49</v>
      </c>
      <c r="G54" s="3">
        <v>7605</v>
      </c>
      <c r="H54" s="3" t="s">
        <v>58</v>
      </c>
      <c r="I54" s="3">
        <v>53</v>
      </c>
      <c r="J54" s="239">
        <v>0.42708333333333331</v>
      </c>
      <c r="K54" s="239">
        <v>0.48958333333333331</v>
      </c>
      <c r="L54" s="234">
        <f t="shared" si="3"/>
        <v>6.25E-2</v>
      </c>
      <c r="M54" s="3" t="s">
        <v>77</v>
      </c>
      <c r="N54" s="233" t="s">
        <v>735</v>
      </c>
      <c r="O54" s="3">
        <v>3020</v>
      </c>
      <c r="P54" s="268" t="str">
        <f>IFERROR((O54/I54)/(VLOOKUP(H54,[71]!taux,2,FALSE)),"")</f>
        <v/>
      </c>
      <c r="Q54" s="233">
        <f t="shared" si="0"/>
        <v>3020</v>
      </c>
      <c r="R54" s="149">
        <v>4737</v>
      </c>
      <c r="S54" s="269">
        <f t="shared" si="5"/>
        <v>1.0500000000001819</v>
      </c>
      <c r="T54" s="233">
        <f t="shared" si="6"/>
        <v>2876.1904761899777</v>
      </c>
      <c r="U54" s="149">
        <v>1.63</v>
      </c>
      <c r="V54" s="197">
        <f t="shared" si="7"/>
        <v>1852.7607361963192</v>
      </c>
      <c r="AA54" s="233">
        <v>1413</v>
      </c>
      <c r="AB54" s="233">
        <v>1501</v>
      </c>
      <c r="AC54" s="233">
        <v>2915</v>
      </c>
      <c r="AD54" s="233">
        <v>3020</v>
      </c>
      <c r="AE54" s="233"/>
      <c r="AF54" s="233" t="s">
        <v>196</v>
      </c>
      <c r="AG54" s="233" t="s">
        <v>825</v>
      </c>
      <c r="AH54" s="233" t="s">
        <v>826</v>
      </c>
    </row>
    <row r="55" spans="2:34" x14ac:dyDescent="0.25">
      <c r="B55" s="235">
        <v>44951</v>
      </c>
      <c r="C55" s="3">
        <v>2</v>
      </c>
      <c r="D55" s="148">
        <v>44952</v>
      </c>
      <c r="E55" s="156">
        <v>8140</v>
      </c>
      <c r="F55" s="3">
        <v>50</v>
      </c>
      <c r="G55" s="3">
        <v>7617</v>
      </c>
      <c r="H55" s="3" t="s">
        <v>58</v>
      </c>
      <c r="I55" s="3">
        <v>56</v>
      </c>
      <c r="J55" s="239">
        <v>0.75347222222222221</v>
      </c>
      <c r="K55" s="239">
        <v>0.82291666666666663</v>
      </c>
      <c r="L55" s="234">
        <f t="shared" si="3"/>
        <v>6.944444444444442E-2</v>
      </c>
      <c r="M55" s="3" t="s">
        <v>77</v>
      </c>
      <c r="N55" s="233" t="s">
        <v>735</v>
      </c>
      <c r="O55" s="3">
        <v>3088</v>
      </c>
      <c r="P55" s="268" t="str">
        <f>IFERROR((O55/I55)/(VLOOKUP(H55,[71]!taux,2,FALSE)),"")</f>
        <v/>
      </c>
      <c r="Q55" s="233">
        <f t="shared" si="0"/>
        <v>3088</v>
      </c>
      <c r="R55" s="149">
        <v>4739.03</v>
      </c>
      <c r="S55" s="269">
        <f t="shared" si="5"/>
        <v>2.0299999999997453</v>
      </c>
      <c r="T55" s="233">
        <f t="shared" si="6"/>
        <v>1521.1822660100431</v>
      </c>
      <c r="U55" s="149">
        <v>1.72</v>
      </c>
      <c r="V55" s="197">
        <f t="shared" si="7"/>
        <v>1795.3488372093022</v>
      </c>
      <c r="AA55" s="3">
        <v>1561</v>
      </c>
      <c r="AB55" s="3">
        <v>1526</v>
      </c>
      <c r="AC55" s="3">
        <v>3087</v>
      </c>
      <c r="AD55" s="3">
        <v>3088</v>
      </c>
      <c r="AE55" s="233" t="s">
        <v>814</v>
      </c>
      <c r="AF55" s="233" t="s">
        <v>815</v>
      </c>
      <c r="AG55" s="233" t="s">
        <v>816</v>
      </c>
      <c r="AH55" s="233" t="s">
        <v>148</v>
      </c>
    </row>
    <row r="56" spans="2:34" x14ac:dyDescent="0.25">
      <c r="B56" s="235">
        <v>44952</v>
      </c>
      <c r="C56" s="3">
        <v>1</v>
      </c>
      <c r="D56" s="148">
        <v>44953</v>
      </c>
      <c r="E56" s="156">
        <v>8141</v>
      </c>
      <c r="F56" s="3">
        <v>51</v>
      </c>
      <c r="G56" s="3">
        <v>7605</v>
      </c>
      <c r="H56" s="3" t="s">
        <v>58</v>
      </c>
      <c r="I56" s="3">
        <v>58</v>
      </c>
      <c r="J56" s="239">
        <v>0.39583333333333331</v>
      </c>
      <c r="K56" s="239">
        <v>0.45833333333333331</v>
      </c>
      <c r="L56" s="234">
        <f t="shared" si="3"/>
        <v>6.25E-2</v>
      </c>
      <c r="M56" s="3" t="s">
        <v>77</v>
      </c>
      <c r="N56" s="233" t="s">
        <v>735</v>
      </c>
      <c r="O56" s="3">
        <v>3220</v>
      </c>
      <c r="P56" s="268" t="str">
        <f>IFERROR((O56/I56)/(VLOOKUP(H56,[71]!taux,2,FALSE)),"")</f>
        <v/>
      </c>
      <c r="Q56" s="233">
        <f t="shared" si="0"/>
        <v>3220</v>
      </c>
      <c r="R56" s="149">
        <v>4740.7</v>
      </c>
      <c r="S56" s="269">
        <f t="shared" si="5"/>
        <v>1.6700000000000728</v>
      </c>
      <c r="T56" s="233">
        <f t="shared" si="6"/>
        <v>1928.1437125747664</v>
      </c>
      <c r="U56" s="149">
        <v>1.76</v>
      </c>
      <c r="V56" s="197">
        <f t="shared" si="7"/>
        <v>1829.5454545454545</v>
      </c>
      <c r="AA56" s="3">
        <v>1537</v>
      </c>
      <c r="AB56" s="3">
        <v>1673</v>
      </c>
      <c r="AC56" s="3">
        <v>3210</v>
      </c>
      <c r="AD56" s="3">
        <v>3220</v>
      </c>
      <c r="AF56" s="3" t="s">
        <v>474</v>
      </c>
      <c r="AG56" s="3" t="s">
        <v>832</v>
      </c>
      <c r="AH56" s="3" t="s">
        <v>361</v>
      </c>
    </row>
    <row r="57" spans="2:34" x14ac:dyDescent="0.25">
      <c r="B57" s="235">
        <v>44952</v>
      </c>
      <c r="C57" s="3">
        <v>3</v>
      </c>
      <c r="D57" s="148">
        <v>44953</v>
      </c>
      <c r="E57" s="156">
        <v>8142</v>
      </c>
      <c r="F57" s="3">
        <v>52</v>
      </c>
      <c r="G57" s="3">
        <v>7617</v>
      </c>
      <c r="H57" s="3" t="s">
        <v>58</v>
      </c>
      <c r="I57" s="3">
        <v>60</v>
      </c>
      <c r="J57" s="239">
        <v>3.472222222222222E-3</v>
      </c>
      <c r="K57" s="239">
        <v>7.6388888888888895E-2</v>
      </c>
      <c r="L57" s="234">
        <f t="shared" si="3"/>
        <v>7.2916666666666671E-2</v>
      </c>
      <c r="M57" s="3" t="s">
        <v>77</v>
      </c>
      <c r="N57" s="233" t="s">
        <v>735</v>
      </c>
      <c r="O57" s="3">
        <v>3210</v>
      </c>
      <c r="P57" s="268" t="str">
        <f>IFERROR((O57/I57)/(VLOOKUP(H57,[71]!taux,2,FALSE)),"")</f>
        <v/>
      </c>
      <c r="Q57" s="233">
        <f t="shared" si="0"/>
        <v>3210</v>
      </c>
      <c r="R57" s="149">
        <v>4742.45</v>
      </c>
      <c r="S57" s="269">
        <f t="shared" si="5"/>
        <v>1.75</v>
      </c>
      <c r="T57" s="233">
        <f t="shared" si="6"/>
        <v>1834.2857142857142</v>
      </c>
      <c r="U57" s="149">
        <v>1.9</v>
      </c>
      <c r="V57" s="197">
        <f t="shared" si="7"/>
        <v>1689.4736842105265</v>
      </c>
      <c r="AA57" s="233">
        <v>1537</v>
      </c>
      <c r="AB57" s="233">
        <v>1673</v>
      </c>
      <c r="AC57" s="3">
        <v>3210</v>
      </c>
      <c r="AD57" s="3">
        <v>3210</v>
      </c>
      <c r="AE57" s="233" t="s">
        <v>223</v>
      </c>
      <c r="AF57" s="233" t="s">
        <v>474</v>
      </c>
      <c r="AG57" s="233" t="s">
        <v>832</v>
      </c>
      <c r="AH57" s="233" t="s">
        <v>361</v>
      </c>
    </row>
    <row r="58" spans="2:34" x14ac:dyDescent="0.25">
      <c r="B58" s="235">
        <v>44953</v>
      </c>
      <c r="C58" s="3">
        <v>1</v>
      </c>
      <c r="D58" s="148">
        <v>44954</v>
      </c>
      <c r="E58" s="156">
        <v>8143</v>
      </c>
      <c r="F58" s="3">
        <v>53</v>
      </c>
      <c r="G58" s="3">
        <v>7605</v>
      </c>
      <c r="H58" s="3" t="s">
        <v>58</v>
      </c>
      <c r="I58" s="3">
        <v>59</v>
      </c>
      <c r="J58" s="239">
        <v>0.4375</v>
      </c>
      <c r="K58" s="239">
        <v>0.50694444444444442</v>
      </c>
      <c r="L58" s="234">
        <f t="shared" si="3"/>
        <v>6.944444444444442E-2</v>
      </c>
      <c r="M58" s="3" t="s">
        <v>77</v>
      </c>
      <c r="N58" s="233" t="s">
        <v>735</v>
      </c>
      <c r="O58" s="3">
        <v>3380</v>
      </c>
      <c r="P58" s="268" t="str">
        <f>IFERROR((O58/I58)/(VLOOKUP(H58,[71]!taux,2,FALSE)),"")</f>
        <v/>
      </c>
      <c r="Q58" s="233">
        <f t="shared" si="0"/>
        <v>3380</v>
      </c>
      <c r="R58" s="149">
        <v>4742.2299999999996</v>
      </c>
      <c r="S58" s="269">
        <f t="shared" si="5"/>
        <v>-0.22000000000025466</v>
      </c>
      <c r="T58" s="233">
        <f t="shared" si="6"/>
        <v>-15363.63636361858</v>
      </c>
      <c r="U58" s="149">
        <v>1.7</v>
      </c>
      <c r="V58" s="197">
        <f t="shared" si="7"/>
        <v>1988.2352941176471</v>
      </c>
      <c r="AA58" s="3">
        <v>1602</v>
      </c>
      <c r="AB58" s="3">
        <v>1636</v>
      </c>
      <c r="AC58" s="3">
        <v>3238</v>
      </c>
      <c r="AD58" s="3">
        <v>3380</v>
      </c>
      <c r="AE58" s="233" t="s">
        <v>223</v>
      </c>
      <c r="AF58" s="233" t="s">
        <v>474</v>
      </c>
      <c r="AG58" s="233" t="s">
        <v>832</v>
      </c>
      <c r="AH58" s="233" t="s">
        <v>361</v>
      </c>
    </row>
    <row r="59" spans="2:34" x14ac:dyDescent="0.25">
      <c r="B59" s="235">
        <v>44953</v>
      </c>
      <c r="C59" s="3">
        <v>2</v>
      </c>
      <c r="D59" s="236">
        <v>44954</v>
      </c>
      <c r="E59" s="156">
        <v>8144</v>
      </c>
      <c r="F59" s="3">
        <v>54</v>
      </c>
      <c r="G59" s="3">
        <v>7617</v>
      </c>
      <c r="H59" s="3" t="s">
        <v>58</v>
      </c>
      <c r="I59" s="3">
        <v>59</v>
      </c>
      <c r="J59" s="239">
        <v>0.76388888888888884</v>
      </c>
      <c r="K59" s="239">
        <v>0.83333333333333337</v>
      </c>
      <c r="L59" s="234">
        <f t="shared" si="3"/>
        <v>6.9444444444444531E-2</v>
      </c>
      <c r="M59" s="233" t="s">
        <v>77</v>
      </c>
      <c r="N59" s="233" t="s">
        <v>735</v>
      </c>
      <c r="O59" s="3">
        <v>3214</v>
      </c>
      <c r="P59" s="268" t="str">
        <f>IFERROR((O59/I59)/(VLOOKUP(H59,[71]!taux,2,FALSE)),"")</f>
        <v/>
      </c>
      <c r="Q59" s="233">
        <f t="shared" si="0"/>
        <v>3214</v>
      </c>
      <c r="R59" s="149">
        <v>4745.95</v>
      </c>
      <c r="S59" s="269">
        <f t="shared" si="5"/>
        <v>3.7200000000002547</v>
      </c>
      <c r="T59" s="233">
        <f t="shared" si="6"/>
        <v>863.97849462359682</v>
      </c>
      <c r="U59" s="149">
        <v>1.77</v>
      </c>
      <c r="V59" s="197">
        <f t="shared" si="7"/>
        <v>1815.819209039548</v>
      </c>
      <c r="AA59" s="3">
        <v>1557</v>
      </c>
      <c r="AB59" s="3">
        <v>1655</v>
      </c>
      <c r="AC59" s="3">
        <v>3213</v>
      </c>
      <c r="AD59" s="3">
        <v>3214</v>
      </c>
      <c r="AE59" s="3" t="s">
        <v>1</v>
      </c>
      <c r="AF59" s="3" t="s">
        <v>815</v>
      </c>
      <c r="AG59" s="3" t="s">
        <v>816</v>
      </c>
      <c r="AH59" s="233" t="s">
        <v>710</v>
      </c>
    </row>
    <row r="60" spans="2:34" x14ac:dyDescent="0.25">
      <c r="B60" s="235">
        <v>44954</v>
      </c>
      <c r="C60" s="3">
        <v>1</v>
      </c>
      <c r="D60" s="148">
        <v>44955</v>
      </c>
      <c r="E60" s="156">
        <v>8145</v>
      </c>
      <c r="F60" s="3">
        <v>55</v>
      </c>
      <c r="G60" s="3">
        <v>7605</v>
      </c>
      <c r="H60" s="3" t="s">
        <v>66</v>
      </c>
      <c r="I60" s="3">
        <v>54</v>
      </c>
      <c r="J60" s="239">
        <v>0.51388888888888895</v>
      </c>
      <c r="K60" s="239">
        <v>0.61111111111111105</v>
      </c>
      <c r="L60" s="234">
        <v>7.6388888888888895E-2</v>
      </c>
      <c r="M60" s="3" t="s">
        <v>77</v>
      </c>
      <c r="N60" s="3" t="s">
        <v>735</v>
      </c>
      <c r="O60" s="3">
        <v>3170</v>
      </c>
      <c r="P60" s="268" t="str">
        <f>IFERROR((O60/I60)/(VLOOKUP(H60,[71]!taux,2,FALSE)),"")</f>
        <v/>
      </c>
      <c r="Q60" s="233">
        <f t="shared" ref="Q60:Q123" si="8">O60-W60</f>
        <v>3170</v>
      </c>
      <c r="R60" s="149">
        <v>4747.26</v>
      </c>
      <c r="S60" s="269">
        <f t="shared" si="5"/>
        <v>1.3100000000004002</v>
      </c>
      <c r="T60" s="233">
        <f t="shared" si="6"/>
        <v>2419.8473282435357</v>
      </c>
      <c r="U60" s="149">
        <v>2.6</v>
      </c>
      <c r="V60" s="197">
        <f t="shared" si="7"/>
        <v>1219.2307692307693</v>
      </c>
      <c r="AA60" s="3">
        <v>1437</v>
      </c>
      <c r="AB60" s="3">
        <v>1670</v>
      </c>
      <c r="AC60" s="3">
        <v>3213</v>
      </c>
      <c r="AD60" s="3">
        <v>3170</v>
      </c>
      <c r="AE60" s="3" t="s">
        <v>223</v>
      </c>
      <c r="AF60" s="3" t="s">
        <v>474</v>
      </c>
      <c r="AG60" s="3" t="s">
        <v>825</v>
      </c>
      <c r="AH60" s="233" t="s">
        <v>826</v>
      </c>
    </row>
    <row r="61" spans="2:34" x14ac:dyDescent="0.25">
      <c r="B61" s="235">
        <v>44954</v>
      </c>
      <c r="C61" s="3">
        <v>2</v>
      </c>
      <c r="D61" s="236">
        <v>44955</v>
      </c>
      <c r="E61" s="156">
        <v>8146</v>
      </c>
      <c r="F61" s="3">
        <v>56</v>
      </c>
      <c r="G61" s="233">
        <v>7617</v>
      </c>
      <c r="H61" s="3" t="s">
        <v>58</v>
      </c>
      <c r="I61" s="3">
        <v>60</v>
      </c>
      <c r="J61" s="239">
        <v>0.75</v>
      </c>
      <c r="K61" s="239">
        <v>0.81597222222222221</v>
      </c>
      <c r="L61" s="234">
        <f t="shared" si="3"/>
        <v>6.597222222222221E-2</v>
      </c>
      <c r="M61" s="233" t="s">
        <v>77</v>
      </c>
      <c r="N61" s="233" t="s">
        <v>735</v>
      </c>
      <c r="O61" s="3">
        <v>3332</v>
      </c>
      <c r="P61" s="268" t="str">
        <f>IFERROR((O61/I61)/(VLOOKUP(H61,[71]!taux,2,FALSE)),"")</f>
        <v/>
      </c>
      <c r="Q61" s="233">
        <f t="shared" si="8"/>
        <v>3332</v>
      </c>
      <c r="R61" s="149">
        <v>4748.82</v>
      </c>
      <c r="S61" s="269">
        <f t="shared" si="5"/>
        <v>1.5599999999994907</v>
      </c>
      <c r="T61" s="233">
        <f t="shared" si="6"/>
        <v>2135.8974358981332</v>
      </c>
      <c r="U61" s="149">
        <v>1.74</v>
      </c>
      <c r="V61" s="197">
        <f t="shared" si="7"/>
        <v>1914.9425287356321</v>
      </c>
      <c r="AA61" s="3">
        <v>1652</v>
      </c>
      <c r="AB61" s="3">
        <v>1679</v>
      </c>
      <c r="AC61" s="3">
        <v>3332</v>
      </c>
      <c r="AD61" s="3">
        <v>3332</v>
      </c>
      <c r="AE61" s="233" t="s">
        <v>1</v>
      </c>
      <c r="AF61" s="233" t="s">
        <v>815</v>
      </c>
      <c r="AG61" s="233" t="s">
        <v>816</v>
      </c>
      <c r="AH61" s="233" t="s">
        <v>710</v>
      </c>
    </row>
    <row r="62" spans="2:34" x14ac:dyDescent="0.25">
      <c r="B62" s="235">
        <v>44955</v>
      </c>
      <c r="C62" s="3">
        <v>1</v>
      </c>
      <c r="D62" s="148">
        <v>44956</v>
      </c>
      <c r="E62" s="156">
        <v>8147</v>
      </c>
      <c r="F62" s="3">
        <v>57</v>
      </c>
      <c r="G62" s="3">
        <v>7605</v>
      </c>
      <c r="H62" s="3" t="s">
        <v>58</v>
      </c>
      <c r="I62" s="3">
        <v>60</v>
      </c>
      <c r="J62" s="239">
        <v>0.40277777777777773</v>
      </c>
      <c r="K62" s="239">
        <v>0.47222222222222227</v>
      </c>
      <c r="L62" s="234">
        <f t="shared" si="3"/>
        <v>6.9444444444444531E-2</v>
      </c>
      <c r="M62" s="3" t="s">
        <v>77</v>
      </c>
      <c r="N62" s="3" t="s">
        <v>735</v>
      </c>
      <c r="O62" s="3">
        <v>3400</v>
      </c>
      <c r="P62" s="268" t="str">
        <f>IFERROR((O62/I62)/(VLOOKUP(H62,[71]!taux,2,FALSE)),"")</f>
        <v/>
      </c>
      <c r="Q62" s="233">
        <f t="shared" si="8"/>
        <v>3400</v>
      </c>
      <c r="R62" s="149">
        <v>4750.22</v>
      </c>
      <c r="S62" s="269">
        <f t="shared" si="5"/>
        <v>1.4000000000005457</v>
      </c>
      <c r="T62" s="233">
        <f t="shared" si="6"/>
        <v>2428.5714285704821</v>
      </c>
      <c r="U62" s="149">
        <v>1.76</v>
      </c>
      <c r="V62" s="197">
        <f t="shared" si="7"/>
        <v>1931.8181818181818</v>
      </c>
      <c r="AA62" s="3">
        <v>1691</v>
      </c>
      <c r="AB62" s="3">
        <v>1707</v>
      </c>
      <c r="AC62" s="3">
        <v>3399</v>
      </c>
      <c r="AD62" s="3">
        <v>3400</v>
      </c>
      <c r="AE62" s="3" t="s">
        <v>8</v>
      </c>
      <c r="AF62" s="3" t="s">
        <v>461</v>
      </c>
      <c r="AG62" s="3" t="s">
        <v>655</v>
      </c>
      <c r="AH62" s="3" t="s">
        <v>846</v>
      </c>
    </row>
    <row r="63" spans="2:34" x14ac:dyDescent="0.25">
      <c r="B63" s="235">
        <v>44955</v>
      </c>
      <c r="C63" s="3">
        <v>2</v>
      </c>
      <c r="D63" s="236">
        <v>44956</v>
      </c>
      <c r="E63" s="156">
        <v>8148</v>
      </c>
      <c r="F63" s="3">
        <v>58</v>
      </c>
      <c r="G63" s="233">
        <v>7617</v>
      </c>
      <c r="H63" s="233" t="s">
        <v>58</v>
      </c>
      <c r="I63" s="3">
        <v>60</v>
      </c>
      <c r="J63" s="239">
        <v>0.76388888888888884</v>
      </c>
      <c r="K63" s="239">
        <v>0.83333333333333337</v>
      </c>
      <c r="L63" s="5">
        <f t="shared" si="3"/>
        <v>6.9444444444444531E-2</v>
      </c>
      <c r="M63" s="233" t="s">
        <v>77</v>
      </c>
      <c r="N63" s="233" t="s">
        <v>735</v>
      </c>
      <c r="O63" s="3">
        <v>3390</v>
      </c>
      <c r="P63" s="268" t="str">
        <f>IFERROR((O63/I63)/(VLOOKUP(H63,[71]!taux,2,FALSE)),"")</f>
        <v/>
      </c>
      <c r="Q63" s="233">
        <f t="shared" si="8"/>
        <v>3390</v>
      </c>
      <c r="R63" s="149">
        <v>4752.18</v>
      </c>
      <c r="S63" s="269">
        <f t="shared" si="5"/>
        <v>1.9600000000000364</v>
      </c>
      <c r="T63" s="233">
        <f t="shared" si="6"/>
        <v>1729.5918367346617</v>
      </c>
      <c r="U63" s="149">
        <v>1.74</v>
      </c>
      <c r="V63" s="197">
        <f t="shared" si="7"/>
        <v>1948.2758620689656</v>
      </c>
      <c r="AA63" s="3">
        <v>1578</v>
      </c>
      <c r="AB63" s="3">
        <v>1675</v>
      </c>
      <c r="AC63" s="3">
        <v>3254</v>
      </c>
      <c r="AD63" s="3">
        <v>3390</v>
      </c>
      <c r="AF63" s="233" t="s">
        <v>815</v>
      </c>
      <c r="AG63" s="3" t="s">
        <v>816</v>
      </c>
      <c r="AH63" s="3" t="s">
        <v>847</v>
      </c>
    </row>
    <row r="64" spans="2:34" x14ac:dyDescent="0.25">
      <c r="B64" s="235">
        <v>44956</v>
      </c>
      <c r="C64" s="3">
        <v>1</v>
      </c>
      <c r="D64" s="236">
        <v>44956</v>
      </c>
      <c r="E64" s="156">
        <v>8149</v>
      </c>
      <c r="F64" s="3">
        <v>5</v>
      </c>
      <c r="G64" s="3">
        <v>7619</v>
      </c>
      <c r="H64" s="3" t="s">
        <v>66</v>
      </c>
      <c r="I64" s="3">
        <v>58</v>
      </c>
      <c r="J64" s="239">
        <v>0.39930555555555558</v>
      </c>
      <c r="K64" s="239">
        <v>0.47569444444444442</v>
      </c>
      <c r="L64" s="5">
        <f t="shared" si="3"/>
        <v>7.638888888888884E-2</v>
      </c>
      <c r="M64" s="3" t="s">
        <v>59</v>
      </c>
      <c r="N64" s="3" t="s">
        <v>739</v>
      </c>
      <c r="O64" s="3">
        <v>3392</v>
      </c>
      <c r="P64" s="268" t="str">
        <f>IFERROR((O64/I64)/(VLOOKUP(H64,[71]!taux,2,FALSE)),"")</f>
        <v/>
      </c>
      <c r="Q64" s="233">
        <f t="shared" si="8"/>
        <v>2784</v>
      </c>
      <c r="R64" s="149">
        <v>4755</v>
      </c>
      <c r="S64" s="269">
        <f t="shared" si="5"/>
        <v>2.819999999999709</v>
      </c>
      <c r="T64" s="233">
        <f t="shared" si="6"/>
        <v>987.23404255329342</v>
      </c>
      <c r="U64" s="149">
        <v>2.25</v>
      </c>
      <c r="V64" s="197">
        <f t="shared" si="7"/>
        <v>1507.5555555555557</v>
      </c>
      <c r="W64" s="152">
        <v>608</v>
      </c>
      <c r="AA64" s="3">
        <v>1719</v>
      </c>
      <c r="AB64" s="3">
        <v>1672</v>
      </c>
      <c r="AC64" s="3">
        <v>3392</v>
      </c>
      <c r="AD64" s="3">
        <v>3392</v>
      </c>
      <c r="AE64" s="3" t="s">
        <v>6</v>
      </c>
      <c r="AF64" s="3" t="s">
        <v>631</v>
      </c>
      <c r="AG64" s="3" t="s">
        <v>810</v>
      </c>
      <c r="AH64" s="3" t="s">
        <v>654</v>
      </c>
    </row>
    <row r="65" spans="2:37" x14ac:dyDescent="0.25">
      <c r="B65" s="235">
        <v>44956</v>
      </c>
      <c r="C65" s="3">
        <v>2</v>
      </c>
      <c r="D65" s="148">
        <v>44957</v>
      </c>
      <c r="E65" s="156">
        <v>8150</v>
      </c>
      <c r="F65" s="3">
        <v>59</v>
      </c>
      <c r="G65" s="3">
        <v>7605</v>
      </c>
      <c r="H65" s="3" t="s">
        <v>58</v>
      </c>
      <c r="I65" s="3">
        <v>60</v>
      </c>
      <c r="J65" s="239">
        <v>0.72916666666666663</v>
      </c>
      <c r="K65" s="239">
        <v>0.80208333333333337</v>
      </c>
      <c r="L65" s="5">
        <f t="shared" si="3"/>
        <v>7.2916666666666741E-2</v>
      </c>
      <c r="M65" s="3" t="s">
        <v>77</v>
      </c>
      <c r="N65" s="3" t="s">
        <v>733</v>
      </c>
      <c r="O65" s="3">
        <v>3280</v>
      </c>
      <c r="P65" s="268" t="str">
        <f>IFERROR((O65/I65)/(VLOOKUP(H65,[71]!taux,2,FALSE)),"")</f>
        <v/>
      </c>
      <c r="Q65" s="233">
        <f t="shared" si="8"/>
        <v>3280</v>
      </c>
      <c r="R65" s="149">
        <v>4756.83</v>
      </c>
      <c r="S65" s="269">
        <f t="shared" si="5"/>
        <v>1.8299999999999272</v>
      </c>
      <c r="T65" s="233">
        <f t="shared" si="6"/>
        <v>1792.3497267760276</v>
      </c>
      <c r="U65" s="149">
        <v>1.98</v>
      </c>
      <c r="V65" s="197">
        <f t="shared" si="7"/>
        <v>1656.5656565656566</v>
      </c>
      <c r="AA65" s="233">
        <v>1631</v>
      </c>
      <c r="AB65" s="233">
        <v>1628</v>
      </c>
      <c r="AC65" s="233">
        <v>3259</v>
      </c>
      <c r="AD65" s="3">
        <v>3280</v>
      </c>
      <c r="AE65" s="3" t="s">
        <v>676</v>
      </c>
      <c r="AF65" s="3" t="s">
        <v>849</v>
      </c>
      <c r="AG65" s="3" t="s">
        <v>850</v>
      </c>
      <c r="AH65" s="3" t="s">
        <v>179</v>
      </c>
    </row>
    <row r="66" spans="2:37" x14ac:dyDescent="0.25">
      <c r="B66" s="235">
        <v>44956</v>
      </c>
      <c r="C66" s="3">
        <v>3</v>
      </c>
      <c r="D66" s="148">
        <v>44957</v>
      </c>
      <c r="E66" s="156">
        <v>8151</v>
      </c>
      <c r="F66" s="3">
        <v>60</v>
      </c>
      <c r="G66" s="233">
        <v>7617</v>
      </c>
      <c r="H66" s="3" t="s">
        <v>66</v>
      </c>
      <c r="I66" s="3">
        <v>58</v>
      </c>
      <c r="J66" s="239">
        <v>0.15972222222222224</v>
      </c>
      <c r="K66" s="239">
        <v>0.23611111111111113</v>
      </c>
      <c r="L66" s="5">
        <f t="shared" si="3"/>
        <v>7.6388888888888895E-2</v>
      </c>
      <c r="M66" s="3" t="s">
        <v>77</v>
      </c>
      <c r="N66" s="233" t="s">
        <v>487</v>
      </c>
      <c r="O66" s="3">
        <v>3370</v>
      </c>
      <c r="P66" s="268" t="str">
        <f>IFERROR((O66/I66)/(VLOOKUP(H66,[71]!taux,2,FALSE)),"")</f>
        <v/>
      </c>
      <c r="Q66" s="233">
        <f t="shared" si="8"/>
        <v>3370</v>
      </c>
      <c r="R66" s="149">
        <v>4758.6000000000004</v>
      </c>
      <c r="S66" s="269">
        <f t="shared" si="5"/>
        <v>1.7700000000004366</v>
      </c>
      <c r="T66" s="233">
        <f t="shared" si="6"/>
        <v>1903.9548022594174</v>
      </c>
      <c r="U66" s="149">
        <v>1.9</v>
      </c>
      <c r="V66" s="197">
        <f t="shared" si="7"/>
        <v>1773.6842105263158</v>
      </c>
      <c r="AA66" s="3">
        <v>1697</v>
      </c>
      <c r="AB66" s="3">
        <v>1659</v>
      </c>
      <c r="AC66" s="3">
        <v>3357</v>
      </c>
      <c r="AD66" s="3">
        <v>3370</v>
      </c>
      <c r="AE66" s="3" t="s">
        <v>182</v>
      </c>
      <c r="AF66" s="3" t="s">
        <v>825</v>
      </c>
      <c r="AG66" s="3" t="s">
        <v>854</v>
      </c>
      <c r="AH66" s="3" t="s">
        <v>474</v>
      </c>
    </row>
    <row r="67" spans="2:37" x14ac:dyDescent="0.25">
      <c r="B67" s="235">
        <v>44957</v>
      </c>
      <c r="C67" s="3">
        <v>1</v>
      </c>
      <c r="D67" s="148">
        <v>44958</v>
      </c>
      <c r="E67" s="156">
        <v>8152</v>
      </c>
      <c r="F67" s="3">
        <v>61</v>
      </c>
      <c r="G67" s="233">
        <v>7605</v>
      </c>
      <c r="H67" s="233" t="s">
        <v>58</v>
      </c>
      <c r="I67" s="233">
        <v>60</v>
      </c>
      <c r="J67" s="239">
        <v>0.4375</v>
      </c>
      <c r="K67" s="239">
        <v>0.50694444444444442</v>
      </c>
      <c r="L67" s="5">
        <f t="shared" si="3"/>
        <v>6.944444444444442E-2</v>
      </c>
      <c r="M67" s="233" t="s">
        <v>77</v>
      </c>
      <c r="N67" s="233" t="s">
        <v>735</v>
      </c>
      <c r="O67" s="3">
        <v>3400</v>
      </c>
      <c r="P67" s="268" t="str">
        <f>IFERROR((O67/I67)/(VLOOKUP(H67,[71]!taux,2,FALSE)),"")</f>
        <v/>
      </c>
      <c r="Q67" s="233">
        <f t="shared" si="8"/>
        <v>3400</v>
      </c>
      <c r="R67" s="149">
        <v>4760.1000000000004</v>
      </c>
      <c r="S67" s="269">
        <f t="shared" si="5"/>
        <v>1.5</v>
      </c>
      <c r="T67" s="233">
        <f t="shared" si="6"/>
        <v>2266.6666666666665</v>
      </c>
      <c r="U67" s="149">
        <v>1.73</v>
      </c>
      <c r="V67" s="197">
        <f t="shared" si="7"/>
        <v>1965.3179190751446</v>
      </c>
      <c r="AA67" s="3">
        <v>1671</v>
      </c>
      <c r="AB67" s="3">
        <v>1720</v>
      </c>
      <c r="AC67" s="3">
        <v>3391</v>
      </c>
      <c r="AD67" s="3">
        <v>3400</v>
      </c>
      <c r="AE67" s="233" t="s">
        <v>6</v>
      </c>
      <c r="AF67" s="233" t="s">
        <v>631</v>
      </c>
      <c r="AG67" s="233" t="s">
        <v>810</v>
      </c>
      <c r="AH67" s="233" t="s">
        <v>654</v>
      </c>
    </row>
    <row r="68" spans="2:37" x14ac:dyDescent="0.25">
      <c r="B68" s="235">
        <v>44956</v>
      </c>
      <c r="C68" s="3">
        <v>2</v>
      </c>
      <c r="D68" s="148">
        <v>44958</v>
      </c>
      <c r="E68" s="156">
        <v>8153</v>
      </c>
      <c r="F68" s="3">
        <v>62</v>
      </c>
      <c r="G68" s="3">
        <v>7617</v>
      </c>
      <c r="H68" s="233" t="s">
        <v>58</v>
      </c>
      <c r="I68" s="3">
        <v>60</v>
      </c>
      <c r="J68" s="239">
        <v>0.73611111111111116</v>
      </c>
      <c r="K68" s="239">
        <v>0.80555555555555547</v>
      </c>
      <c r="L68" s="5">
        <f t="shared" si="3"/>
        <v>6.9444444444444309E-2</v>
      </c>
      <c r="M68" s="233" t="s">
        <v>77</v>
      </c>
      <c r="N68" s="233" t="s">
        <v>735</v>
      </c>
      <c r="O68" s="3">
        <v>3410</v>
      </c>
      <c r="P68" s="268" t="str">
        <f>IFERROR((O68/I68)/(VLOOKUP(H68,[71]!taux,2,FALSE)),"")</f>
        <v/>
      </c>
      <c r="Q68" s="233">
        <f t="shared" si="8"/>
        <v>3410</v>
      </c>
      <c r="R68" s="149">
        <v>4761.82</v>
      </c>
      <c r="S68" s="269">
        <f t="shared" si="5"/>
        <v>1.7199999999993452</v>
      </c>
      <c r="T68" s="233">
        <f t="shared" si="6"/>
        <v>1982.5581395356385</v>
      </c>
      <c r="U68" s="149">
        <v>1.74</v>
      </c>
      <c r="V68" s="197">
        <f t="shared" si="7"/>
        <v>1959.7701149425288</v>
      </c>
      <c r="AA68" s="3">
        <v>1656</v>
      </c>
      <c r="AB68" s="3">
        <v>1677</v>
      </c>
      <c r="AC68" s="3">
        <v>3333</v>
      </c>
      <c r="AD68" s="3">
        <v>3410</v>
      </c>
      <c r="AE68" s="233" t="s">
        <v>676</v>
      </c>
      <c r="AF68" s="233" t="s">
        <v>849</v>
      </c>
      <c r="AG68" s="233" t="s">
        <v>850</v>
      </c>
      <c r="AH68" s="233" t="s">
        <v>179</v>
      </c>
    </row>
    <row r="69" spans="2:37" x14ac:dyDescent="0.25">
      <c r="B69" s="235">
        <v>44957</v>
      </c>
      <c r="C69" s="3">
        <v>1</v>
      </c>
      <c r="D69" s="236">
        <v>44959</v>
      </c>
      <c r="E69" s="156">
        <v>8154</v>
      </c>
      <c r="F69" s="3">
        <v>63</v>
      </c>
      <c r="G69" s="233">
        <v>7605</v>
      </c>
      <c r="H69" s="3" t="s">
        <v>66</v>
      </c>
      <c r="I69" s="3">
        <v>58</v>
      </c>
      <c r="J69" s="239">
        <v>0.3923611111111111</v>
      </c>
      <c r="K69" s="239">
        <v>0.46875</v>
      </c>
      <c r="L69" s="5">
        <f t="shared" ref="L69:L170" si="9">+K69-J69</f>
        <v>7.6388888888888895E-2</v>
      </c>
      <c r="M69" s="3" t="s">
        <v>77</v>
      </c>
      <c r="N69" s="233" t="s">
        <v>487</v>
      </c>
      <c r="O69" s="3">
        <v>3315</v>
      </c>
      <c r="P69" s="268" t="str">
        <f>IFERROR((O69/I69)/(VLOOKUP(H69,[71]!taux,2,FALSE)),"")</f>
        <v/>
      </c>
      <c r="Q69" s="233">
        <f t="shared" si="8"/>
        <v>3315</v>
      </c>
      <c r="R69" s="149">
        <v>4763.43</v>
      </c>
      <c r="S69" s="269">
        <f t="shared" si="5"/>
        <v>1.6100000000005821</v>
      </c>
      <c r="T69" s="233">
        <f t="shared" si="6"/>
        <v>2059.00621117938</v>
      </c>
      <c r="U69" s="149">
        <v>2.7</v>
      </c>
      <c r="V69" s="197">
        <f t="shared" si="7"/>
        <v>1227.7777777777776</v>
      </c>
      <c r="AA69" s="233">
        <v>1537</v>
      </c>
      <c r="AB69" s="233">
        <v>1673</v>
      </c>
      <c r="AC69" s="233">
        <v>3210</v>
      </c>
      <c r="AD69" s="3">
        <v>3315</v>
      </c>
      <c r="AE69" s="233" t="s">
        <v>675</v>
      </c>
      <c r="AF69" s="233" t="s">
        <v>631</v>
      </c>
      <c r="AG69" s="233" t="s">
        <v>858</v>
      </c>
      <c r="AH69" s="233" t="s">
        <v>654</v>
      </c>
    </row>
    <row r="70" spans="2:37" x14ac:dyDescent="0.25">
      <c r="B70" s="235">
        <v>44958</v>
      </c>
      <c r="C70" s="3">
        <v>2</v>
      </c>
      <c r="D70" s="148">
        <v>44959</v>
      </c>
      <c r="E70" s="156">
        <v>8155</v>
      </c>
      <c r="F70" s="3">
        <v>64</v>
      </c>
      <c r="G70" s="3">
        <v>7617</v>
      </c>
      <c r="H70" s="3" t="s">
        <v>58</v>
      </c>
      <c r="I70" s="3">
        <v>60</v>
      </c>
      <c r="J70" s="239">
        <v>0.72222222222222221</v>
      </c>
      <c r="K70" s="239">
        <v>0.79861111111111116</v>
      </c>
      <c r="L70" s="5">
        <f t="shared" si="9"/>
        <v>7.6388888888888951E-2</v>
      </c>
      <c r="M70" s="3" t="s">
        <v>77</v>
      </c>
      <c r="N70" s="3" t="s">
        <v>733</v>
      </c>
      <c r="O70" s="3">
        <v>3222</v>
      </c>
      <c r="P70" s="268" t="str">
        <f>IFERROR((O70/I70)/(VLOOKUP(H70,[71]!taux,2,FALSE)),"")</f>
        <v/>
      </c>
      <c r="Q70" s="233">
        <f t="shared" si="8"/>
        <v>3222</v>
      </c>
      <c r="R70" s="149">
        <v>4765</v>
      </c>
      <c r="S70" s="269">
        <f t="shared" si="5"/>
        <v>1.569999999999709</v>
      </c>
      <c r="T70" s="233">
        <f t="shared" si="6"/>
        <v>2052.2292993634378</v>
      </c>
      <c r="U70" s="149">
        <v>1.93</v>
      </c>
      <c r="V70" s="197">
        <f t="shared" si="7"/>
        <v>1669.4300518134717</v>
      </c>
      <c r="AA70" s="3">
        <v>1572</v>
      </c>
      <c r="AB70" s="3">
        <v>1649</v>
      </c>
      <c r="AC70" s="3">
        <v>3222</v>
      </c>
      <c r="AD70" s="3">
        <v>3222</v>
      </c>
      <c r="AE70" s="233" t="s">
        <v>676</v>
      </c>
      <c r="AF70" s="233" t="s">
        <v>849</v>
      </c>
      <c r="AG70" s="233" t="s">
        <v>850</v>
      </c>
      <c r="AH70" s="233" t="s">
        <v>179</v>
      </c>
    </row>
    <row r="71" spans="2:37" x14ac:dyDescent="0.25">
      <c r="B71" s="235">
        <v>44959</v>
      </c>
      <c r="C71" s="3">
        <v>1</v>
      </c>
      <c r="D71" s="148">
        <v>44959</v>
      </c>
      <c r="E71" s="156">
        <v>8156</v>
      </c>
      <c r="F71" s="3">
        <v>65</v>
      </c>
      <c r="G71" s="3">
        <v>7619</v>
      </c>
      <c r="H71" s="3" t="s">
        <v>58</v>
      </c>
      <c r="I71" s="3">
        <v>60</v>
      </c>
      <c r="J71" s="239">
        <v>0.46527777777777773</v>
      </c>
      <c r="K71" s="239">
        <v>0.54513888888888895</v>
      </c>
      <c r="L71" s="5">
        <f t="shared" si="9"/>
        <v>7.9861111111111216E-2</v>
      </c>
      <c r="M71" s="3" t="s">
        <v>77</v>
      </c>
      <c r="N71" s="233" t="s">
        <v>733</v>
      </c>
      <c r="O71" s="3">
        <v>3400</v>
      </c>
      <c r="P71" s="268" t="str">
        <f>IFERROR((O71/I71)/(VLOOKUP(H71,[71]!taux,2,FALSE)),"")</f>
        <v/>
      </c>
      <c r="Q71" s="233">
        <f t="shared" si="8"/>
        <v>3400</v>
      </c>
      <c r="R71" s="149">
        <v>4767</v>
      </c>
      <c r="S71" s="269">
        <f t="shared" si="5"/>
        <v>2</v>
      </c>
      <c r="T71" s="233">
        <f t="shared" si="6"/>
        <v>1700</v>
      </c>
      <c r="U71" s="149">
        <v>1.99</v>
      </c>
      <c r="V71" s="197">
        <f t="shared" si="7"/>
        <v>1708.5427135678392</v>
      </c>
      <c r="AA71" s="3">
        <v>1638</v>
      </c>
      <c r="AB71" s="3">
        <v>1687</v>
      </c>
      <c r="AC71" s="3">
        <v>3325</v>
      </c>
      <c r="AD71" s="3">
        <v>3400</v>
      </c>
      <c r="AE71" s="233" t="s">
        <v>675</v>
      </c>
      <c r="AF71" s="233" t="s">
        <v>631</v>
      </c>
      <c r="AG71" s="233" t="s">
        <v>858</v>
      </c>
      <c r="AH71" s="233" t="s">
        <v>654</v>
      </c>
    </row>
    <row r="72" spans="2:37" x14ac:dyDescent="0.25">
      <c r="B72" s="235">
        <v>44959</v>
      </c>
      <c r="C72" s="3">
        <v>3</v>
      </c>
      <c r="D72" s="148">
        <v>44960</v>
      </c>
      <c r="E72" s="156">
        <v>8157</v>
      </c>
      <c r="F72" s="3">
        <v>66</v>
      </c>
      <c r="G72" s="3">
        <v>7605</v>
      </c>
      <c r="H72" s="3" t="s">
        <v>58</v>
      </c>
      <c r="I72" s="3">
        <v>58</v>
      </c>
      <c r="J72" s="239">
        <v>3.125E-2</v>
      </c>
      <c r="K72" s="239">
        <v>0.1111111111111111</v>
      </c>
      <c r="L72" s="5">
        <f t="shared" si="9"/>
        <v>7.9861111111111105E-2</v>
      </c>
      <c r="M72" s="3" t="s">
        <v>77</v>
      </c>
      <c r="N72" s="233" t="s">
        <v>735</v>
      </c>
      <c r="O72" s="3">
        <v>3260</v>
      </c>
      <c r="P72" s="268" t="str">
        <f>IFERROR((O72/I72)/(VLOOKUP(H72,[71]!taux,2,FALSE)),"")</f>
        <v/>
      </c>
      <c r="Q72" s="233">
        <f t="shared" si="8"/>
        <v>3260</v>
      </c>
      <c r="R72" s="149">
        <v>4769</v>
      </c>
      <c r="S72" s="269">
        <f t="shared" si="5"/>
        <v>2</v>
      </c>
      <c r="T72" s="233">
        <f t="shared" si="6"/>
        <v>1630</v>
      </c>
      <c r="U72" s="149">
        <v>1.9</v>
      </c>
      <c r="V72" s="197">
        <f t="shared" si="7"/>
        <v>1715.7894736842106</v>
      </c>
      <c r="AA72" s="3">
        <v>1531</v>
      </c>
      <c r="AB72" s="3">
        <v>1568</v>
      </c>
      <c r="AC72" s="3">
        <v>3099</v>
      </c>
      <c r="AD72" s="3">
        <v>3260</v>
      </c>
      <c r="AE72" s="3" t="s">
        <v>855</v>
      </c>
      <c r="AF72" s="3" t="s">
        <v>856</v>
      </c>
      <c r="AG72" s="3" t="s">
        <v>816</v>
      </c>
      <c r="AH72" s="3" t="s">
        <v>857</v>
      </c>
    </row>
    <row r="73" spans="2:37" ht="15.75" customHeight="1" x14ac:dyDescent="0.25">
      <c r="B73" s="235">
        <v>44960</v>
      </c>
      <c r="C73" s="3">
        <v>1</v>
      </c>
      <c r="D73" s="236">
        <v>44960</v>
      </c>
      <c r="E73" s="156">
        <v>8158</v>
      </c>
      <c r="F73" s="3">
        <v>67</v>
      </c>
      <c r="G73" s="3">
        <v>7617</v>
      </c>
      <c r="H73" s="3" t="s">
        <v>58</v>
      </c>
      <c r="I73" s="3">
        <v>60</v>
      </c>
      <c r="J73" s="239">
        <v>0.40625</v>
      </c>
      <c r="K73" s="239">
        <v>0.52777777777777779</v>
      </c>
      <c r="L73" s="5">
        <f t="shared" si="9"/>
        <v>0.12152777777777779</v>
      </c>
      <c r="M73" s="3" t="s">
        <v>77</v>
      </c>
      <c r="N73" s="233" t="s">
        <v>733</v>
      </c>
      <c r="O73" s="3">
        <v>3370</v>
      </c>
      <c r="P73" s="268" t="str">
        <f>IFERROR((O73/I73)/(VLOOKUP(H73,[71]!taux,2,FALSE)),"")</f>
        <v/>
      </c>
      <c r="Q73" s="233">
        <f t="shared" si="8"/>
        <v>3370</v>
      </c>
      <c r="R73" s="149">
        <v>4771.2</v>
      </c>
      <c r="S73" s="269">
        <f t="shared" si="5"/>
        <v>2.1999999999998181</v>
      </c>
      <c r="T73" s="233">
        <f t="shared" si="6"/>
        <v>1531.8181818183084</v>
      </c>
      <c r="U73" s="149">
        <v>2</v>
      </c>
      <c r="V73" s="197">
        <f t="shared" si="7"/>
        <v>1685</v>
      </c>
      <c r="AA73" s="3">
        <v>1523</v>
      </c>
      <c r="AB73" s="3">
        <v>1687</v>
      </c>
      <c r="AC73" s="3">
        <v>3191</v>
      </c>
      <c r="AD73" s="3">
        <v>3370</v>
      </c>
      <c r="AE73" s="233" t="s">
        <v>675</v>
      </c>
      <c r="AF73" s="233" t="s">
        <v>631</v>
      </c>
      <c r="AG73" s="233" t="s">
        <v>858</v>
      </c>
      <c r="AH73" s="233" t="s">
        <v>654</v>
      </c>
    </row>
    <row r="74" spans="2:37" x14ac:dyDescent="0.25">
      <c r="B74" s="235">
        <v>44960</v>
      </c>
      <c r="C74" s="3">
        <v>3</v>
      </c>
      <c r="D74" s="148">
        <v>44961</v>
      </c>
      <c r="E74" s="156">
        <v>8159</v>
      </c>
      <c r="F74" s="3">
        <v>68</v>
      </c>
      <c r="G74" s="3">
        <v>7605</v>
      </c>
      <c r="H74" s="3" t="s">
        <v>58</v>
      </c>
      <c r="I74" s="3">
        <v>58</v>
      </c>
      <c r="J74" s="239">
        <v>4.8611111111111112E-2</v>
      </c>
      <c r="K74" s="239">
        <v>0.11805555555555557</v>
      </c>
      <c r="L74" s="5">
        <f t="shared" si="9"/>
        <v>6.9444444444444448E-2</v>
      </c>
      <c r="M74" s="3" t="s">
        <v>77</v>
      </c>
      <c r="N74" s="233" t="s">
        <v>733</v>
      </c>
      <c r="O74" s="3">
        <v>3262</v>
      </c>
      <c r="P74" s="268" t="str">
        <f>IFERROR((O74/I74)/(VLOOKUP(H74,[71]!taux,2,FALSE)),"")</f>
        <v/>
      </c>
      <c r="Q74" s="233">
        <f t="shared" si="8"/>
        <v>3262</v>
      </c>
      <c r="R74" s="149">
        <v>4772.8500000000004</v>
      </c>
      <c r="S74" s="269">
        <f t="shared" si="5"/>
        <v>1.6500000000005457</v>
      </c>
      <c r="T74" s="233">
        <f t="shared" si="6"/>
        <v>1976.9696969690431</v>
      </c>
      <c r="U74" s="149">
        <v>1.9</v>
      </c>
      <c r="V74" s="197">
        <f t="shared" si="7"/>
        <v>1716.8421052631579</v>
      </c>
      <c r="AA74" s="3">
        <v>1545</v>
      </c>
      <c r="AB74" s="3">
        <v>1575</v>
      </c>
      <c r="AC74" s="3">
        <v>3120</v>
      </c>
      <c r="AD74" s="3">
        <v>3262</v>
      </c>
      <c r="AE74" s="233" t="s">
        <v>855</v>
      </c>
      <c r="AF74" s="233" t="s">
        <v>856</v>
      </c>
      <c r="AG74" s="233" t="s">
        <v>816</v>
      </c>
      <c r="AH74" s="233" t="s">
        <v>857</v>
      </c>
    </row>
    <row r="75" spans="2:37" x14ac:dyDescent="0.25">
      <c r="B75" s="235">
        <v>44961</v>
      </c>
      <c r="C75" s="3">
        <v>2</v>
      </c>
      <c r="D75" s="236">
        <v>44962</v>
      </c>
      <c r="E75" s="156">
        <v>8160</v>
      </c>
      <c r="F75" s="3">
        <v>69</v>
      </c>
      <c r="G75" s="233">
        <v>7605</v>
      </c>
      <c r="H75" s="3" t="s">
        <v>58</v>
      </c>
      <c r="I75" s="3">
        <v>59</v>
      </c>
      <c r="J75" s="239">
        <v>0.67708333333333337</v>
      </c>
      <c r="K75" s="239">
        <v>0.75</v>
      </c>
      <c r="L75" s="5">
        <f t="shared" si="9"/>
        <v>7.291666666666663E-2</v>
      </c>
      <c r="M75" s="3" t="s">
        <v>77</v>
      </c>
      <c r="N75" s="233" t="s">
        <v>735</v>
      </c>
      <c r="O75" s="3">
        <v>3222</v>
      </c>
      <c r="P75" s="268" t="str">
        <f>IFERROR((O75/I75)/(VLOOKUP(H75,[71]!taux,2,FALSE)),"")</f>
        <v/>
      </c>
      <c r="Q75" s="233">
        <f t="shared" si="8"/>
        <v>3222</v>
      </c>
      <c r="R75" s="149">
        <v>4774.53</v>
      </c>
      <c r="S75" s="269">
        <f t="shared" si="5"/>
        <v>1.6799999999993815</v>
      </c>
      <c r="T75" s="233">
        <f t="shared" si="6"/>
        <v>1917.8571428578489</v>
      </c>
      <c r="U75" s="149">
        <v>1.78</v>
      </c>
      <c r="V75" s="197">
        <f t="shared" si="7"/>
        <v>1810.1123595505617</v>
      </c>
      <c r="AA75" s="3">
        <v>1617</v>
      </c>
      <c r="AB75" s="3">
        <v>1603</v>
      </c>
      <c r="AC75" s="3">
        <v>3222</v>
      </c>
      <c r="AD75" s="3">
        <v>3222</v>
      </c>
      <c r="AE75" s="233" t="s">
        <v>676</v>
      </c>
      <c r="AF75" s="233" t="s">
        <v>849</v>
      </c>
      <c r="AG75" s="233" t="s">
        <v>850</v>
      </c>
      <c r="AH75" s="233" t="s">
        <v>179</v>
      </c>
    </row>
    <row r="76" spans="2:37" x14ac:dyDescent="0.25">
      <c r="B76" s="235">
        <v>44961</v>
      </c>
      <c r="C76" s="3">
        <v>3</v>
      </c>
      <c r="D76" s="148">
        <v>44962</v>
      </c>
      <c r="E76" s="156">
        <v>8161</v>
      </c>
      <c r="F76" s="3">
        <v>70</v>
      </c>
      <c r="G76" s="3">
        <v>7617</v>
      </c>
      <c r="H76" s="3" t="s">
        <v>66</v>
      </c>
      <c r="I76" s="3">
        <v>56</v>
      </c>
      <c r="J76" s="239">
        <v>2.4305555555555556E-2</v>
      </c>
      <c r="K76" s="239">
        <v>0.12847222222222224</v>
      </c>
      <c r="L76" s="5">
        <f t="shared" si="9"/>
        <v>0.10416666666666669</v>
      </c>
      <c r="M76" s="3" t="s">
        <v>77</v>
      </c>
      <c r="N76" s="233" t="s">
        <v>735</v>
      </c>
      <c r="O76" s="3">
        <v>3250</v>
      </c>
      <c r="P76" s="268" t="str">
        <f>IFERROR((O76/I76)/(VLOOKUP(H76,[71]!taux,2,FALSE)),"")</f>
        <v/>
      </c>
      <c r="Q76" s="233">
        <f t="shared" si="8"/>
        <v>3250</v>
      </c>
      <c r="R76" s="149">
        <v>4777.08</v>
      </c>
      <c r="S76" s="269">
        <f t="shared" si="5"/>
        <v>2.5500000000001819</v>
      </c>
      <c r="T76" s="233">
        <f t="shared" si="6"/>
        <v>1274.5098039214777</v>
      </c>
      <c r="U76" s="149">
        <v>1.9</v>
      </c>
      <c r="V76" s="197">
        <f t="shared" si="7"/>
        <v>1710.5263157894738</v>
      </c>
      <c r="AA76" s="3">
        <v>1549</v>
      </c>
      <c r="AB76" s="3">
        <v>1572</v>
      </c>
      <c r="AC76" s="3">
        <v>3121</v>
      </c>
      <c r="AD76" s="3">
        <v>3250</v>
      </c>
      <c r="AE76" s="233" t="s">
        <v>855</v>
      </c>
      <c r="AF76" s="233" t="s">
        <v>856</v>
      </c>
      <c r="AG76" s="233" t="s">
        <v>816</v>
      </c>
      <c r="AH76" s="233" t="s">
        <v>857</v>
      </c>
      <c r="AK76" s="3" t="s">
        <v>860</v>
      </c>
    </row>
    <row r="77" spans="2:37" x14ac:dyDescent="0.25">
      <c r="B77" s="235">
        <v>44962</v>
      </c>
      <c r="C77" s="3">
        <v>1</v>
      </c>
      <c r="D77" s="148">
        <v>44963</v>
      </c>
      <c r="E77" s="156">
        <v>8162</v>
      </c>
      <c r="F77" s="3">
        <v>71</v>
      </c>
      <c r="G77" s="3">
        <v>7617</v>
      </c>
      <c r="H77" s="3" t="s">
        <v>58</v>
      </c>
      <c r="I77" s="3">
        <v>60</v>
      </c>
      <c r="J77" s="239">
        <v>0.39930555555555558</v>
      </c>
      <c r="K77" s="239">
        <v>0.46875</v>
      </c>
      <c r="L77" s="5">
        <f t="shared" si="9"/>
        <v>6.944444444444442E-2</v>
      </c>
      <c r="M77" s="3" t="s">
        <v>73</v>
      </c>
      <c r="N77" s="233" t="s">
        <v>735</v>
      </c>
      <c r="O77" s="3">
        <v>3360</v>
      </c>
      <c r="P77" s="268" t="str">
        <f>IFERROR((O77/I77)/(VLOOKUP(H77,[71]!taux,2,FALSE)),"")</f>
        <v/>
      </c>
      <c r="Q77" s="233">
        <f t="shared" si="8"/>
        <v>3360</v>
      </c>
      <c r="R77" s="149">
        <v>4778.7</v>
      </c>
      <c r="S77" s="269">
        <f t="shared" si="5"/>
        <v>1.6199999999998909</v>
      </c>
      <c r="T77" s="233">
        <f t="shared" si="6"/>
        <v>2074.074074074214</v>
      </c>
      <c r="U77" s="149">
        <v>1.78</v>
      </c>
      <c r="V77" s="197">
        <f t="shared" si="7"/>
        <v>1887.6404494382023</v>
      </c>
      <c r="AA77" s="3">
        <v>1673</v>
      </c>
      <c r="AB77" s="3">
        <v>1686</v>
      </c>
      <c r="AC77" s="3">
        <v>3360</v>
      </c>
      <c r="AD77" s="3">
        <v>3360</v>
      </c>
      <c r="AE77" s="233" t="s">
        <v>859</v>
      </c>
      <c r="AF77" s="233" t="s">
        <v>631</v>
      </c>
      <c r="AG77" s="233" t="s">
        <v>858</v>
      </c>
      <c r="AH77" s="233" t="s">
        <v>654</v>
      </c>
    </row>
    <row r="78" spans="2:37" x14ac:dyDescent="0.25">
      <c r="B78" s="235">
        <v>44962</v>
      </c>
      <c r="C78" s="233">
        <v>2</v>
      </c>
      <c r="D78" s="236">
        <v>44963</v>
      </c>
      <c r="E78" s="156">
        <v>8163</v>
      </c>
      <c r="F78" s="3">
        <v>72</v>
      </c>
      <c r="G78" s="233">
        <v>7605</v>
      </c>
      <c r="H78" s="233" t="s">
        <v>58</v>
      </c>
      <c r="I78" s="3">
        <v>60</v>
      </c>
      <c r="J78" s="239">
        <v>0.73611111111111116</v>
      </c>
      <c r="K78" s="239">
        <v>0.79861111111111116</v>
      </c>
      <c r="L78" s="5">
        <f t="shared" si="9"/>
        <v>6.25E-2</v>
      </c>
      <c r="M78" s="3" t="s">
        <v>73</v>
      </c>
      <c r="N78" s="233" t="s">
        <v>735</v>
      </c>
      <c r="O78" s="3">
        <v>3390</v>
      </c>
      <c r="P78" s="268" t="str">
        <f>IFERROR((O78/I78)/(VLOOKUP(H78,[71]!taux,2,FALSE)),"")</f>
        <v/>
      </c>
      <c r="Q78" s="233">
        <f t="shared" si="8"/>
        <v>3390</v>
      </c>
      <c r="R78" s="149">
        <v>4780.33</v>
      </c>
      <c r="S78" s="269">
        <f t="shared" si="5"/>
        <v>1.6300000000001091</v>
      </c>
      <c r="T78" s="233">
        <f t="shared" si="6"/>
        <v>2079.7546012268544</v>
      </c>
      <c r="U78" s="149">
        <v>1.72</v>
      </c>
      <c r="V78" s="197" t="e">
        <f t="shared" si="7"/>
        <v>#VALUE!</v>
      </c>
      <c r="AA78" s="3">
        <v>1703</v>
      </c>
      <c r="AB78" s="3">
        <v>1687</v>
      </c>
      <c r="AC78" s="3">
        <v>3390</v>
      </c>
      <c r="AD78" s="233" t="s">
        <v>861</v>
      </c>
      <c r="AE78" s="233" t="s">
        <v>7</v>
      </c>
      <c r="AF78" s="233" t="s">
        <v>849</v>
      </c>
      <c r="AG78" s="233" t="s">
        <v>850</v>
      </c>
      <c r="AH78" s="233" t="s">
        <v>179</v>
      </c>
    </row>
    <row r="79" spans="2:37" x14ac:dyDescent="0.25">
      <c r="B79" s="235">
        <v>44963</v>
      </c>
      <c r="C79" s="3">
        <v>1</v>
      </c>
      <c r="D79" s="148">
        <v>44964</v>
      </c>
      <c r="E79" s="237">
        <v>8164</v>
      </c>
      <c r="F79" s="233">
        <v>73</v>
      </c>
      <c r="G79" s="3">
        <v>7607</v>
      </c>
      <c r="H79" s="3" t="s">
        <v>66</v>
      </c>
      <c r="I79" s="3">
        <v>55</v>
      </c>
      <c r="J79" s="239">
        <v>0.375</v>
      </c>
      <c r="K79" s="239">
        <v>0.4375</v>
      </c>
      <c r="L79" s="5">
        <f t="shared" si="9"/>
        <v>6.25E-2</v>
      </c>
      <c r="M79" s="3" t="s">
        <v>73</v>
      </c>
      <c r="N79" s="3" t="s">
        <v>733</v>
      </c>
      <c r="O79" s="3">
        <v>3198</v>
      </c>
      <c r="P79" s="268" t="str">
        <f>IFERROR((O79/I79)/(VLOOKUP(H79,[71]!taux,2,FALSE)),"")</f>
        <v/>
      </c>
      <c r="Q79" s="233">
        <f t="shared" si="8"/>
        <v>3198</v>
      </c>
      <c r="R79" s="149">
        <v>4781.82</v>
      </c>
      <c r="S79" s="269">
        <f t="shared" si="5"/>
        <v>1.4899999999997817</v>
      </c>
      <c r="T79" s="233">
        <f t="shared" ref="T79:T142" si="10">Q79/S79</f>
        <v>2146.3087248325292</v>
      </c>
      <c r="U79" s="149">
        <v>1.51</v>
      </c>
      <c r="V79" s="197" t="e">
        <f t="shared" si="7"/>
        <v>#VALUE!</v>
      </c>
      <c r="AA79" s="3">
        <v>1642</v>
      </c>
      <c r="AB79" s="3">
        <v>1556</v>
      </c>
      <c r="AC79" s="3">
        <v>3198</v>
      </c>
      <c r="AD79" s="3" t="s">
        <v>861</v>
      </c>
      <c r="AE79" s="3" t="s">
        <v>223</v>
      </c>
      <c r="AF79" s="3" t="s">
        <v>849</v>
      </c>
      <c r="AG79" s="3" t="s">
        <v>179</v>
      </c>
      <c r="AH79" s="3" t="s">
        <v>759</v>
      </c>
    </row>
    <row r="80" spans="2:37" x14ac:dyDescent="0.25">
      <c r="B80" s="235">
        <v>44963</v>
      </c>
      <c r="C80" s="3">
        <v>2</v>
      </c>
      <c r="D80" s="148">
        <v>44964</v>
      </c>
      <c r="E80" s="156">
        <v>8165</v>
      </c>
      <c r="F80" s="3">
        <v>74</v>
      </c>
      <c r="G80" s="3">
        <v>7617</v>
      </c>
      <c r="H80" s="3" t="s">
        <v>58</v>
      </c>
      <c r="I80" s="3">
        <v>59</v>
      </c>
      <c r="J80" s="239">
        <v>0.76736111111111116</v>
      </c>
      <c r="K80" s="239">
        <v>0.83680555555555547</v>
      </c>
      <c r="L80" s="5">
        <f t="shared" si="9"/>
        <v>6.9444444444444309E-2</v>
      </c>
      <c r="M80" s="233" t="s">
        <v>73</v>
      </c>
      <c r="N80" s="233" t="s">
        <v>733</v>
      </c>
      <c r="O80" s="3">
        <v>3300</v>
      </c>
      <c r="P80" s="268" t="str">
        <f>IFERROR((O80/I80)/(VLOOKUP(H80,[71]!taux,2,FALSE)),"")</f>
        <v/>
      </c>
      <c r="Q80" s="233">
        <f t="shared" si="8"/>
        <v>3300</v>
      </c>
      <c r="R80" s="149">
        <v>4783.3999999999996</v>
      </c>
      <c r="S80" s="269">
        <f t="shared" si="5"/>
        <v>1.5799999999999272</v>
      </c>
      <c r="T80" s="233">
        <f t="shared" si="10"/>
        <v>2088.6075949368051</v>
      </c>
      <c r="U80" s="149">
        <v>1.73</v>
      </c>
      <c r="V80" s="197" t="e">
        <f t="shared" si="7"/>
        <v>#VALUE!</v>
      </c>
      <c r="AA80" s="3">
        <v>1689</v>
      </c>
      <c r="AB80" s="3">
        <v>1610</v>
      </c>
      <c r="AC80" s="3">
        <v>3300</v>
      </c>
      <c r="AD80" s="233" t="s">
        <v>861</v>
      </c>
      <c r="AF80" s="3" t="s">
        <v>901</v>
      </c>
      <c r="AH80" s="3" t="s">
        <v>902</v>
      </c>
    </row>
    <row r="81" spans="2:34" x14ac:dyDescent="0.25">
      <c r="B81" s="235">
        <v>44964</v>
      </c>
      <c r="C81" s="233">
        <v>1</v>
      </c>
      <c r="D81" s="236">
        <v>44965</v>
      </c>
      <c r="E81" s="237">
        <v>8166</v>
      </c>
      <c r="F81" s="233">
        <v>75</v>
      </c>
      <c r="G81" s="3">
        <v>7605</v>
      </c>
      <c r="H81" s="3" t="s">
        <v>58</v>
      </c>
      <c r="I81" s="3">
        <v>59</v>
      </c>
      <c r="J81" s="239">
        <v>0.38194444444444442</v>
      </c>
      <c r="K81" s="239">
        <v>0.44791666666666669</v>
      </c>
      <c r="L81" s="5">
        <f t="shared" si="9"/>
        <v>6.5972222222222265E-2</v>
      </c>
      <c r="M81" s="233" t="s">
        <v>73</v>
      </c>
      <c r="N81" s="233" t="s">
        <v>733</v>
      </c>
      <c r="O81" s="3">
        <v>3330</v>
      </c>
      <c r="P81" s="268" t="str">
        <f>IFERROR((O81/I81)/(VLOOKUP(H81,[71]!taux,2,FALSE)),"")</f>
        <v/>
      </c>
      <c r="Q81" s="233">
        <v>0</v>
      </c>
      <c r="R81" s="149">
        <v>4785.07</v>
      </c>
      <c r="S81" s="269">
        <f t="shared" ref="S81:S145" si="11">R81-R80</f>
        <v>1.6700000000000728</v>
      </c>
      <c r="T81" s="233">
        <f t="shared" si="10"/>
        <v>0</v>
      </c>
      <c r="U81" s="149">
        <v>1.72</v>
      </c>
      <c r="V81" s="197" t="e">
        <f t="shared" si="7"/>
        <v>#VALUE!</v>
      </c>
      <c r="AA81" s="3">
        <v>1680</v>
      </c>
      <c r="AB81" s="3">
        <v>1650</v>
      </c>
      <c r="AC81" s="3">
        <v>3330</v>
      </c>
      <c r="AD81" s="233" t="s">
        <v>861</v>
      </c>
      <c r="AE81" s="233" t="s">
        <v>223</v>
      </c>
      <c r="AF81" s="233" t="s">
        <v>179</v>
      </c>
      <c r="AG81" s="3" t="s">
        <v>903</v>
      </c>
      <c r="AH81" s="3" t="s">
        <v>904</v>
      </c>
    </row>
    <row r="82" spans="2:34" x14ac:dyDescent="0.25">
      <c r="B82" s="235">
        <v>44964</v>
      </c>
      <c r="C82" s="3">
        <v>2</v>
      </c>
      <c r="D82" s="236">
        <v>44965</v>
      </c>
      <c r="E82" s="156">
        <v>8167</v>
      </c>
      <c r="F82" s="3">
        <v>76</v>
      </c>
      <c r="G82" s="3">
        <v>7617</v>
      </c>
      <c r="H82" s="3" t="s">
        <v>58</v>
      </c>
      <c r="I82" s="3">
        <v>59</v>
      </c>
      <c r="J82" s="239">
        <v>0.76388888888888884</v>
      </c>
      <c r="K82" s="239">
        <v>0.84027777777777779</v>
      </c>
      <c r="L82" s="5">
        <f t="shared" si="9"/>
        <v>7.6388888888888951E-2</v>
      </c>
      <c r="M82" s="3" t="s">
        <v>73</v>
      </c>
      <c r="N82" s="233" t="s">
        <v>733</v>
      </c>
      <c r="O82" s="3">
        <v>3330</v>
      </c>
      <c r="P82" s="268" t="str">
        <f>IFERROR((O82/I82)/(VLOOKUP(H82,[71]!taux,2,FALSE)),"")</f>
        <v/>
      </c>
      <c r="Q82" s="233">
        <f t="shared" si="8"/>
        <v>3330</v>
      </c>
      <c r="R82" s="149">
        <v>4786.7</v>
      </c>
      <c r="S82" s="269">
        <f t="shared" si="11"/>
        <v>1.6300000000001091</v>
      </c>
      <c r="T82" s="233">
        <f t="shared" si="10"/>
        <v>2042.9447852759367</v>
      </c>
      <c r="U82" s="149">
        <v>1.96</v>
      </c>
      <c r="V82" s="197"/>
      <c r="AA82" s="3">
        <v>1637</v>
      </c>
      <c r="AB82" s="3">
        <v>1693</v>
      </c>
      <c r="AC82" s="3">
        <v>3330</v>
      </c>
      <c r="AD82" s="233" t="s">
        <v>861</v>
      </c>
      <c r="AE82" s="3" t="s">
        <v>459</v>
      </c>
      <c r="AF82" s="233" t="s">
        <v>901</v>
      </c>
      <c r="AG82" s="233" t="s">
        <v>825</v>
      </c>
      <c r="AH82" s="233" t="s">
        <v>902</v>
      </c>
    </row>
    <row r="83" spans="2:34" x14ac:dyDescent="0.25">
      <c r="B83" s="235">
        <v>44965</v>
      </c>
      <c r="C83" s="3">
        <v>1</v>
      </c>
      <c r="D83" s="148">
        <v>44966</v>
      </c>
      <c r="E83" s="156">
        <v>8168</v>
      </c>
      <c r="F83" s="3">
        <v>78</v>
      </c>
      <c r="G83" s="3">
        <v>7605</v>
      </c>
      <c r="H83" s="3" t="s">
        <v>66</v>
      </c>
      <c r="I83" s="3">
        <v>57</v>
      </c>
      <c r="J83" s="239">
        <v>0.38541666666666669</v>
      </c>
      <c r="K83" s="239">
        <v>0.45833333333333331</v>
      </c>
      <c r="L83" s="5">
        <f t="shared" si="9"/>
        <v>7.291666666666663E-2</v>
      </c>
      <c r="M83" s="3" t="s">
        <v>73</v>
      </c>
      <c r="N83" s="3" t="s">
        <v>734</v>
      </c>
      <c r="O83" s="3">
        <v>3286</v>
      </c>
      <c r="P83" s="268" t="str">
        <f>IFERROR((O83/I83)/(VLOOKUP(H83,[71]!taux,2,FALSE)),"")</f>
        <v/>
      </c>
      <c r="Q83" s="233">
        <f t="shared" si="8"/>
        <v>3286</v>
      </c>
      <c r="R83" s="149">
        <v>4788.5</v>
      </c>
      <c r="S83" s="269">
        <f t="shared" si="11"/>
        <v>1.8000000000001819</v>
      </c>
      <c r="T83" s="233">
        <f t="shared" si="10"/>
        <v>1825.555555555371</v>
      </c>
      <c r="U83" s="149">
        <v>1.87</v>
      </c>
      <c r="V83" s="197">
        <f t="shared" si="7"/>
        <v>1757.2192513368982</v>
      </c>
      <c r="AA83" s="3">
        <v>1600</v>
      </c>
      <c r="AB83" s="3">
        <v>1685</v>
      </c>
      <c r="AC83" s="3">
        <v>3285</v>
      </c>
      <c r="AD83" s="3">
        <v>3286</v>
      </c>
      <c r="AE83" s="3" t="s">
        <v>7</v>
      </c>
      <c r="AF83" s="3" t="s">
        <v>815</v>
      </c>
      <c r="AG83" s="3" t="s">
        <v>179</v>
      </c>
      <c r="AH83" s="3" t="s">
        <v>905</v>
      </c>
    </row>
    <row r="84" spans="2:34" x14ac:dyDescent="0.25">
      <c r="B84" s="235">
        <v>44965</v>
      </c>
      <c r="C84" s="3">
        <v>2</v>
      </c>
      <c r="D84" s="148">
        <v>44966</v>
      </c>
      <c r="E84" s="156">
        <v>8169</v>
      </c>
      <c r="F84" s="3">
        <v>79</v>
      </c>
      <c r="G84" s="233">
        <v>7617</v>
      </c>
      <c r="H84" s="3" t="s">
        <v>58</v>
      </c>
      <c r="I84" s="3">
        <v>60</v>
      </c>
      <c r="J84" s="239">
        <v>0.74652777777777779</v>
      </c>
      <c r="K84" s="239">
        <v>0.81597222222222221</v>
      </c>
      <c r="L84" s="5">
        <f t="shared" si="9"/>
        <v>6.944444444444442E-2</v>
      </c>
      <c r="M84" s="3" t="s">
        <v>73</v>
      </c>
      <c r="N84" s="233" t="s">
        <v>733</v>
      </c>
      <c r="O84" s="3">
        <v>3348</v>
      </c>
      <c r="P84" s="268" t="str">
        <f>IFERROR((O84/I84)/(VLOOKUP(H84,[71]!taux,2,FALSE)),"")</f>
        <v/>
      </c>
      <c r="Q84" s="233">
        <f t="shared" si="8"/>
        <v>3348</v>
      </c>
      <c r="R84" s="149">
        <v>4790.1000000000004</v>
      </c>
      <c r="S84" s="269">
        <f t="shared" si="11"/>
        <v>1.6000000000003638</v>
      </c>
      <c r="T84" s="233">
        <f t="shared" si="10"/>
        <v>2092.4999999995243</v>
      </c>
      <c r="U84" s="149">
        <v>1.82</v>
      </c>
      <c r="V84" s="197">
        <f t="shared" si="7"/>
        <v>1839.5604395604396</v>
      </c>
      <c r="AA84" s="3">
        <v>1653</v>
      </c>
      <c r="AB84" s="3">
        <v>1694</v>
      </c>
      <c r="AC84" s="3">
        <v>3347</v>
      </c>
      <c r="AD84" s="3">
        <v>3348</v>
      </c>
      <c r="AE84" s="3" t="s">
        <v>182</v>
      </c>
      <c r="AF84" s="233" t="s">
        <v>901</v>
      </c>
      <c r="AG84" s="233" t="s">
        <v>906</v>
      </c>
      <c r="AH84" s="233" t="s">
        <v>902</v>
      </c>
    </row>
    <row r="85" spans="2:34" x14ac:dyDescent="0.25">
      <c r="B85" s="235">
        <v>44965</v>
      </c>
      <c r="C85" s="233">
        <v>3</v>
      </c>
      <c r="D85" s="236">
        <v>44966</v>
      </c>
      <c r="E85" s="156">
        <v>8170</v>
      </c>
      <c r="F85" s="3">
        <v>80</v>
      </c>
      <c r="G85" s="233">
        <v>7625</v>
      </c>
      <c r="H85" s="3" t="s">
        <v>58</v>
      </c>
      <c r="I85" s="3">
        <v>57</v>
      </c>
      <c r="J85" s="239">
        <v>0.15625</v>
      </c>
      <c r="K85" s="239">
        <v>0.22222222222222221</v>
      </c>
      <c r="L85" s="5">
        <f t="shared" si="9"/>
        <v>6.597222222222221E-2</v>
      </c>
      <c r="M85" s="233" t="s">
        <v>73</v>
      </c>
      <c r="N85" s="233" t="s">
        <v>733</v>
      </c>
      <c r="O85" s="3">
        <v>3216</v>
      </c>
      <c r="P85" s="268" t="str">
        <f>IFERROR((O85/I85)/(VLOOKUP(H85,[71]!taux,2,FALSE)),"")</f>
        <v/>
      </c>
      <c r="Q85" s="233">
        <f t="shared" si="8"/>
        <v>3216</v>
      </c>
      <c r="R85" s="149">
        <v>4791.71</v>
      </c>
      <c r="S85" s="269">
        <f t="shared" si="11"/>
        <v>1.6099999999996726</v>
      </c>
      <c r="T85" s="233">
        <f t="shared" si="10"/>
        <v>1997.5155279507169</v>
      </c>
      <c r="U85" s="149">
        <v>1.71</v>
      </c>
      <c r="V85" s="197">
        <f t="shared" si="7"/>
        <v>1880.7017543859649</v>
      </c>
      <c r="AA85" s="3">
        <v>1636</v>
      </c>
      <c r="AB85" s="3">
        <v>1579</v>
      </c>
      <c r="AC85" s="3">
        <v>3216</v>
      </c>
      <c r="AD85" s="3">
        <v>3216</v>
      </c>
      <c r="AE85" s="233" t="s">
        <v>459</v>
      </c>
      <c r="AF85" s="3" t="s">
        <v>144</v>
      </c>
      <c r="AG85" s="3" t="s">
        <v>763</v>
      </c>
      <c r="AH85" s="3" t="s">
        <v>907</v>
      </c>
    </row>
    <row r="86" spans="2:34" x14ac:dyDescent="0.25">
      <c r="B86" s="235">
        <v>44966</v>
      </c>
      <c r="C86" s="3">
        <v>1</v>
      </c>
      <c r="D86" s="236">
        <v>44967</v>
      </c>
      <c r="E86" s="237">
        <v>8171</v>
      </c>
      <c r="F86" s="233">
        <v>81</v>
      </c>
      <c r="G86" s="233">
        <v>7605</v>
      </c>
      <c r="H86" s="3" t="s">
        <v>58</v>
      </c>
      <c r="I86" s="3">
        <v>60</v>
      </c>
      <c r="J86" s="239">
        <v>0.43055555555555558</v>
      </c>
      <c r="K86" s="239">
        <v>0.50694444444444442</v>
      </c>
      <c r="L86" s="5">
        <f t="shared" si="9"/>
        <v>7.638888888888884E-2</v>
      </c>
      <c r="M86" s="3" t="s">
        <v>73</v>
      </c>
      <c r="N86" s="233" t="s">
        <v>733</v>
      </c>
      <c r="O86" s="3">
        <v>3400</v>
      </c>
      <c r="P86" s="268" t="str">
        <f>IFERROR((O86/I86)/(VLOOKUP(H86,[71]!taux,2,FALSE)),"")</f>
        <v/>
      </c>
      <c r="Q86" s="233">
        <f t="shared" si="8"/>
        <v>3400</v>
      </c>
      <c r="R86" s="149">
        <v>4793.96</v>
      </c>
      <c r="S86" s="269">
        <f t="shared" si="11"/>
        <v>2.25</v>
      </c>
      <c r="T86" s="233">
        <f t="shared" si="10"/>
        <v>1511.1111111111111</v>
      </c>
      <c r="U86" s="149">
        <v>2.4300000000000002</v>
      </c>
      <c r="V86" s="197">
        <f t="shared" si="7"/>
        <v>1399.1769547325102</v>
      </c>
      <c r="AA86" s="233">
        <v>1653</v>
      </c>
      <c r="AB86" s="233">
        <v>1694</v>
      </c>
      <c r="AC86" s="233">
        <v>3347</v>
      </c>
      <c r="AD86" s="3">
        <v>3400</v>
      </c>
      <c r="AE86" s="3" t="s">
        <v>8</v>
      </c>
      <c r="AF86" s="233" t="s">
        <v>815</v>
      </c>
      <c r="AG86" s="233" t="s">
        <v>179</v>
      </c>
      <c r="AH86" s="233" t="s">
        <v>905</v>
      </c>
    </row>
    <row r="87" spans="2:34" x14ac:dyDescent="0.25">
      <c r="B87" s="235">
        <v>44966</v>
      </c>
      <c r="C87" s="3">
        <v>2</v>
      </c>
      <c r="D87" s="236">
        <v>44967</v>
      </c>
      <c r="E87" s="156">
        <v>8172</v>
      </c>
      <c r="F87" s="3">
        <v>82</v>
      </c>
      <c r="G87" s="233">
        <v>7617</v>
      </c>
      <c r="H87" s="3" t="s">
        <v>66</v>
      </c>
      <c r="I87" s="3">
        <v>58</v>
      </c>
      <c r="J87" s="239">
        <v>0.76388888888888884</v>
      </c>
      <c r="K87" s="239">
        <v>0.84375</v>
      </c>
      <c r="L87" s="5">
        <f t="shared" si="9"/>
        <v>7.986111111111116E-2</v>
      </c>
      <c r="M87" s="3" t="s">
        <v>67</v>
      </c>
      <c r="N87" s="233" t="s">
        <v>733</v>
      </c>
      <c r="O87" s="3">
        <v>3369</v>
      </c>
      <c r="P87" s="268" t="str">
        <f>IFERROR((O87/I87)/(VLOOKUP(H87,[71]!taux,2,FALSE)),"")</f>
        <v/>
      </c>
      <c r="Q87" s="233">
        <f t="shared" si="8"/>
        <v>3369</v>
      </c>
      <c r="R87" s="149">
        <v>4795.2</v>
      </c>
      <c r="S87" s="269">
        <f t="shared" si="11"/>
        <v>1.2399999999997817</v>
      </c>
      <c r="T87" s="233">
        <f t="shared" si="10"/>
        <v>2716.9354838714462</v>
      </c>
      <c r="U87" s="149">
        <v>1.9</v>
      </c>
      <c r="V87" s="197">
        <f t="shared" si="7"/>
        <v>1773.1578947368421</v>
      </c>
      <c r="AA87" s="3">
        <v>1640</v>
      </c>
      <c r="AB87" s="3">
        <v>1728</v>
      </c>
      <c r="AC87" s="3">
        <v>3368</v>
      </c>
      <c r="AD87" s="3">
        <v>3369</v>
      </c>
      <c r="AE87" s="233"/>
      <c r="AF87" s="233" t="s">
        <v>901</v>
      </c>
      <c r="AG87" s="233" t="s">
        <v>906</v>
      </c>
      <c r="AH87" s="233" t="s">
        <v>902</v>
      </c>
    </row>
    <row r="88" spans="2:34" x14ac:dyDescent="0.25">
      <c r="B88" s="235">
        <v>44967</v>
      </c>
      <c r="C88" s="3">
        <v>1</v>
      </c>
      <c r="D88" s="236">
        <v>44967</v>
      </c>
      <c r="E88" s="156">
        <v>8173</v>
      </c>
      <c r="F88" s="3">
        <v>83</v>
      </c>
      <c r="G88" s="3">
        <v>7625</v>
      </c>
      <c r="H88" s="3" t="s">
        <v>58</v>
      </c>
      <c r="I88" s="3">
        <v>58</v>
      </c>
      <c r="J88" s="239">
        <v>0.40277777777777773</v>
      </c>
      <c r="K88" s="239">
        <v>0.47569444444444442</v>
      </c>
      <c r="L88" s="5">
        <f t="shared" si="9"/>
        <v>7.2916666666666685E-2</v>
      </c>
      <c r="M88" s="3" t="s">
        <v>67</v>
      </c>
      <c r="N88" s="3" t="s">
        <v>733</v>
      </c>
      <c r="O88" s="3">
        <v>3256</v>
      </c>
      <c r="P88" s="268" t="str">
        <f>IFERROR((O88/I88)/(VLOOKUP(H88,[71]!taux,2,FALSE)),"")</f>
        <v/>
      </c>
      <c r="Q88" s="233">
        <f t="shared" si="8"/>
        <v>3256</v>
      </c>
      <c r="R88" s="149">
        <v>4797.72</v>
      </c>
      <c r="S88" s="269">
        <f t="shared" si="11"/>
        <v>2.5200000000004366</v>
      </c>
      <c r="T88" s="233">
        <f t="shared" si="10"/>
        <v>1292.0634920632683</v>
      </c>
      <c r="U88" s="149">
        <v>1.9</v>
      </c>
      <c r="V88" s="197" t="e">
        <f t="shared" si="7"/>
        <v>#VALUE!</v>
      </c>
      <c r="AA88" s="3">
        <v>1640</v>
      </c>
      <c r="AB88" s="3">
        <v>1615</v>
      </c>
      <c r="AC88" s="3">
        <v>3255</v>
      </c>
      <c r="AD88" s="3" t="s">
        <v>492</v>
      </c>
      <c r="AE88" s="3" t="s">
        <v>7</v>
      </c>
      <c r="AF88" s="3" t="s">
        <v>849</v>
      </c>
      <c r="AG88" s="3" t="s">
        <v>179</v>
      </c>
      <c r="AH88" s="3" t="s">
        <v>759</v>
      </c>
    </row>
    <row r="89" spans="2:34" x14ac:dyDescent="0.25">
      <c r="B89" s="235">
        <v>44967</v>
      </c>
      <c r="C89" s="3">
        <v>2</v>
      </c>
      <c r="D89" s="148">
        <v>44968</v>
      </c>
      <c r="E89" s="156">
        <v>8174</v>
      </c>
      <c r="F89" s="3">
        <v>84</v>
      </c>
      <c r="G89" s="3">
        <v>7605</v>
      </c>
      <c r="H89" s="3" t="s">
        <v>58</v>
      </c>
      <c r="I89" s="3">
        <v>58</v>
      </c>
      <c r="J89" s="239">
        <v>0.66666666666666663</v>
      </c>
      <c r="K89" s="239">
        <v>0.73611111111111116</v>
      </c>
      <c r="L89" s="5">
        <f t="shared" si="9"/>
        <v>6.9444444444444531E-2</v>
      </c>
      <c r="M89" s="3" t="s">
        <v>73</v>
      </c>
      <c r="N89" s="3" t="s">
        <v>734</v>
      </c>
      <c r="O89" s="3">
        <v>3150</v>
      </c>
      <c r="P89" s="268" t="str">
        <f>IFERROR((O89/I89)/(VLOOKUP(H89,[71]!taux,2,FALSE)),"")</f>
        <v/>
      </c>
      <c r="Q89" s="233">
        <f t="shared" si="8"/>
        <v>2425</v>
      </c>
      <c r="R89" s="149">
        <v>4799.26</v>
      </c>
      <c r="S89" s="269">
        <f t="shared" si="11"/>
        <v>1.5399999999999636</v>
      </c>
      <c r="T89" s="233">
        <f t="shared" si="10"/>
        <v>1574.6753246753619</v>
      </c>
      <c r="U89" s="149">
        <v>1.74</v>
      </c>
      <c r="V89" s="197">
        <f t="shared" si="7"/>
        <v>1810.344827586207</v>
      </c>
      <c r="W89" s="152">
        <v>725</v>
      </c>
      <c r="AA89" s="3">
        <v>1537</v>
      </c>
      <c r="AB89" s="3">
        <v>1613</v>
      </c>
      <c r="AC89" s="3">
        <v>3150</v>
      </c>
      <c r="AD89" s="3">
        <v>3150</v>
      </c>
      <c r="AE89" s="3" t="s">
        <v>459</v>
      </c>
      <c r="AF89" s="233" t="s">
        <v>901</v>
      </c>
      <c r="AG89" s="233" t="s">
        <v>906</v>
      </c>
      <c r="AH89" s="233" t="s">
        <v>902</v>
      </c>
    </row>
    <row r="90" spans="2:34" x14ac:dyDescent="0.25">
      <c r="B90" s="235">
        <v>44967</v>
      </c>
      <c r="C90" s="233">
        <v>3</v>
      </c>
      <c r="D90" s="236">
        <v>44968</v>
      </c>
      <c r="E90" s="156">
        <v>8175</v>
      </c>
      <c r="F90" s="3">
        <v>85</v>
      </c>
      <c r="G90" s="233">
        <v>7617</v>
      </c>
      <c r="H90" s="3" t="s">
        <v>58</v>
      </c>
      <c r="I90" s="3">
        <v>58</v>
      </c>
      <c r="J90" s="239">
        <v>0.15972222222222224</v>
      </c>
      <c r="K90" s="239">
        <v>0.24305555555555555</v>
      </c>
      <c r="L90" s="5">
        <f t="shared" si="9"/>
        <v>8.3333333333333315E-2</v>
      </c>
      <c r="M90" s="233" t="s">
        <v>73</v>
      </c>
      <c r="N90" s="233" t="s">
        <v>734</v>
      </c>
      <c r="O90" s="3">
        <v>3190</v>
      </c>
      <c r="P90" s="268" t="str">
        <f>IFERROR((O90/I90)/(VLOOKUP(H90,[71]!taux,2,FALSE)),"")</f>
        <v/>
      </c>
      <c r="Q90" s="233">
        <f t="shared" si="8"/>
        <v>2933</v>
      </c>
      <c r="R90" s="149">
        <v>4801.3</v>
      </c>
      <c r="S90" s="269">
        <f t="shared" si="11"/>
        <v>2.0399999999999636</v>
      </c>
      <c r="T90" s="233">
        <f t="shared" si="10"/>
        <v>1437.7450980392414</v>
      </c>
      <c r="U90" s="149">
        <v>2.25</v>
      </c>
      <c r="V90" s="197">
        <f t="shared" si="7"/>
        <v>1417.7777777777778</v>
      </c>
      <c r="W90" s="152">
        <v>257</v>
      </c>
      <c r="AA90" s="3">
        <v>1620</v>
      </c>
      <c r="AB90" s="3">
        <v>1563</v>
      </c>
      <c r="AC90" s="3">
        <v>3183</v>
      </c>
      <c r="AD90" s="3">
        <v>3190</v>
      </c>
      <c r="AE90" s="233" t="s">
        <v>182</v>
      </c>
      <c r="AF90" s="233" t="s">
        <v>921</v>
      </c>
      <c r="AG90" s="233" t="s">
        <v>148</v>
      </c>
      <c r="AH90" s="233" t="s">
        <v>221</v>
      </c>
    </row>
    <row r="91" spans="2:34" x14ac:dyDescent="0.25">
      <c r="B91" s="235">
        <v>44968</v>
      </c>
      <c r="C91" s="3">
        <v>1</v>
      </c>
      <c r="D91" s="148">
        <v>44968</v>
      </c>
      <c r="E91" s="156">
        <v>8176</v>
      </c>
      <c r="F91" s="3">
        <v>86</v>
      </c>
      <c r="G91" s="3">
        <v>7619</v>
      </c>
      <c r="H91" s="3" t="s">
        <v>66</v>
      </c>
      <c r="I91" s="3">
        <v>53</v>
      </c>
      <c r="J91" s="239">
        <v>0.41666666666666669</v>
      </c>
      <c r="K91" s="239">
        <v>0.47222222222222227</v>
      </c>
      <c r="L91" s="5">
        <f t="shared" si="9"/>
        <v>5.555555555555558E-2</v>
      </c>
      <c r="M91" s="3" t="s">
        <v>73</v>
      </c>
      <c r="N91" s="3" t="s">
        <v>734</v>
      </c>
      <c r="O91" s="3">
        <v>3176</v>
      </c>
      <c r="P91" s="268" t="str">
        <f>IFERROR((O91/I91)/(VLOOKUP(H91,[71]!taux,2,FALSE)),"")</f>
        <v/>
      </c>
      <c r="Q91" s="233">
        <f t="shared" si="8"/>
        <v>2526</v>
      </c>
      <c r="R91" s="149">
        <v>4802.6000000000004</v>
      </c>
      <c r="S91" s="269">
        <f t="shared" si="11"/>
        <v>1.3000000000001819</v>
      </c>
      <c r="T91" s="233">
        <f t="shared" si="10"/>
        <v>1943.0769230766512</v>
      </c>
      <c r="U91" s="149">
        <v>1.47</v>
      </c>
      <c r="V91" s="197">
        <f t="shared" ref="V91:V156" si="12">AD91/U91</f>
        <v>2160.5442176870747</v>
      </c>
      <c r="W91" s="152">
        <v>650</v>
      </c>
      <c r="AA91" s="3">
        <v>1500</v>
      </c>
      <c r="AB91" s="3">
        <v>1676</v>
      </c>
      <c r="AC91" s="3">
        <v>3176</v>
      </c>
      <c r="AD91" s="3">
        <v>3176</v>
      </c>
      <c r="AE91" s="3" t="s">
        <v>918</v>
      </c>
      <c r="AF91" s="3" t="s">
        <v>919</v>
      </c>
      <c r="AG91" s="3" t="s">
        <v>179</v>
      </c>
      <c r="AH91" s="3" t="s">
        <v>759</v>
      </c>
    </row>
    <row r="92" spans="2:34" x14ac:dyDescent="0.25">
      <c r="B92" s="235">
        <v>44968</v>
      </c>
      <c r="C92" s="3">
        <v>2</v>
      </c>
      <c r="D92" s="148">
        <v>44969</v>
      </c>
      <c r="E92" s="156">
        <v>8177</v>
      </c>
      <c r="F92" s="3">
        <v>87</v>
      </c>
      <c r="G92" s="3">
        <v>7605</v>
      </c>
      <c r="H92" s="3" t="s">
        <v>58</v>
      </c>
      <c r="I92" s="3">
        <v>57</v>
      </c>
      <c r="J92" s="239">
        <v>0.74305555555555547</v>
      </c>
      <c r="K92" s="239">
        <v>0.81597222222222221</v>
      </c>
      <c r="L92" s="234">
        <f t="shared" si="9"/>
        <v>7.2916666666666741E-2</v>
      </c>
      <c r="M92" s="191" t="s">
        <v>67</v>
      </c>
      <c r="N92" s="3" t="s">
        <v>733</v>
      </c>
      <c r="O92" s="3">
        <v>3260</v>
      </c>
      <c r="P92" s="268" t="str">
        <f>IFERROR((O92/I92)/(VLOOKUP(H92,[71]!taux,2,FALSE)),"")</f>
        <v/>
      </c>
      <c r="Q92" s="233">
        <f t="shared" si="8"/>
        <v>3260</v>
      </c>
      <c r="R92" s="149">
        <v>4804.1000000000004</v>
      </c>
      <c r="S92" s="269">
        <f t="shared" si="11"/>
        <v>1.5</v>
      </c>
      <c r="T92" s="233">
        <f t="shared" si="10"/>
        <v>2173.3333333333335</v>
      </c>
      <c r="U92" s="149">
        <v>1.71</v>
      </c>
      <c r="V92" s="197">
        <f t="shared" si="12"/>
        <v>1906.4327485380118</v>
      </c>
      <c r="AA92" s="3">
        <v>1625</v>
      </c>
      <c r="AB92" s="3">
        <v>1635</v>
      </c>
      <c r="AC92" s="3">
        <v>3260</v>
      </c>
      <c r="AD92" s="3">
        <v>3260</v>
      </c>
      <c r="AE92" s="233" t="s">
        <v>459</v>
      </c>
      <c r="AF92" s="233" t="s">
        <v>901</v>
      </c>
      <c r="AG92" s="233" t="s">
        <v>906</v>
      </c>
      <c r="AH92" s="233" t="s">
        <v>902</v>
      </c>
    </row>
    <row r="93" spans="2:34" x14ac:dyDescent="0.25">
      <c r="B93" s="235">
        <v>44968</v>
      </c>
      <c r="C93" s="3">
        <v>3</v>
      </c>
      <c r="D93" s="236">
        <v>44969</v>
      </c>
      <c r="E93" s="156">
        <v>8178</v>
      </c>
      <c r="F93" s="3">
        <v>88</v>
      </c>
      <c r="G93" s="233">
        <v>7617</v>
      </c>
      <c r="H93" s="3" t="s">
        <v>58</v>
      </c>
      <c r="I93" s="3">
        <v>58</v>
      </c>
      <c r="J93" s="239">
        <v>44968.993055555555</v>
      </c>
      <c r="K93" s="239">
        <v>44969.055555555555</v>
      </c>
      <c r="L93" s="234">
        <f t="shared" si="9"/>
        <v>6.25E-2</v>
      </c>
      <c r="M93" s="191" t="s">
        <v>67</v>
      </c>
      <c r="N93" s="233" t="s">
        <v>733</v>
      </c>
      <c r="O93" s="3">
        <v>3292</v>
      </c>
      <c r="P93" s="268" t="str">
        <f>IFERROR((O93/I93)/(VLOOKUP(H93,[71]!taux,2,FALSE)),"")</f>
        <v/>
      </c>
      <c r="Q93" s="233">
        <f t="shared" si="8"/>
        <v>3292</v>
      </c>
      <c r="R93" s="149">
        <v>4805.53</v>
      </c>
      <c r="S93" s="269">
        <f t="shared" si="11"/>
        <v>1.4299999999993815</v>
      </c>
      <c r="T93" s="233">
        <f t="shared" si="10"/>
        <v>2302.0979020988975</v>
      </c>
      <c r="U93" s="149">
        <v>1.46</v>
      </c>
      <c r="V93" s="197">
        <f t="shared" si="12"/>
        <v>2254.7945205479455</v>
      </c>
      <c r="AA93" s="3">
        <v>1643</v>
      </c>
      <c r="AB93" s="3">
        <v>1649</v>
      </c>
      <c r="AC93" s="3">
        <v>3292</v>
      </c>
      <c r="AD93" s="3">
        <v>3292</v>
      </c>
      <c r="AE93" s="233" t="s">
        <v>182</v>
      </c>
      <c r="AF93" s="233" t="s">
        <v>921</v>
      </c>
      <c r="AG93" s="233" t="s">
        <v>763</v>
      </c>
      <c r="AH93" s="233" t="s">
        <v>221</v>
      </c>
    </row>
    <row r="94" spans="2:34" x14ac:dyDescent="0.25">
      <c r="B94" s="235">
        <v>44969</v>
      </c>
      <c r="C94" s="3">
        <v>1</v>
      </c>
      <c r="D94" s="236">
        <v>44969</v>
      </c>
      <c r="E94" s="156">
        <v>8179</v>
      </c>
      <c r="F94" s="3">
        <v>89</v>
      </c>
      <c r="G94" s="3">
        <v>7619</v>
      </c>
      <c r="H94" s="3" t="s">
        <v>66</v>
      </c>
      <c r="I94" s="3">
        <v>53</v>
      </c>
      <c r="J94" s="239">
        <v>0.36805555555555558</v>
      </c>
      <c r="K94" s="239">
        <v>0.4236111111111111</v>
      </c>
      <c r="L94" s="234">
        <f t="shared" si="9"/>
        <v>5.5555555555555525E-2</v>
      </c>
      <c r="M94" s="191" t="s">
        <v>67</v>
      </c>
      <c r="N94" s="233" t="s">
        <v>733</v>
      </c>
      <c r="O94" s="3">
        <v>3140</v>
      </c>
      <c r="P94" s="268" t="str">
        <f>IFERROR((O94/I94)/(VLOOKUP(H94,[71]!taux,2,FALSE)),"")</f>
        <v/>
      </c>
      <c r="Q94" s="233">
        <f t="shared" si="8"/>
        <v>3140</v>
      </c>
      <c r="R94" s="149">
        <v>4806.84</v>
      </c>
      <c r="S94" s="269">
        <f t="shared" si="11"/>
        <v>1.3100000000004002</v>
      </c>
      <c r="T94" s="233">
        <f t="shared" si="10"/>
        <v>2396.946564884764</v>
      </c>
      <c r="U94" s="149">
        <v>1.46</v>
      </c>
      <c r="V94" s="197">
        <f t="shared" si="12"/>
        <v>2150.6849315068494</v>
      </c>
      <c r="AA94" s="3">
        <v>1638</v>
      </c>
      <c r="AB94" s="3">
        <v>1502</v>
      </c>
      <c r="AC94" s="3">
        <v>3140</v>
      </c>
      <c r="AD94" s="3">
        <v>3140</v>
      </c>
      <c r="AE94" s="3" t="s">
        <v>8</v>
      </c>
      <c r="AF94" s="233" t="s">
        <v>919</v>
      </c>
      <c r="AG94" s="233" t="s">
        <v>179</v>
      </c>
      <c r="AH94" s="233" t="s">
        <v>759</v>
      </c>
    </row>
    <row r="95" spans="2:34" x14ac:dyDescent="0.25">
      <c r="B95" s="235">
        <v>44969</v>
      </c>
      <c r="C95" s="3">
        <v>2</v>
      </c>
      <c r="D95" s="148">
        <v>44970</v>
      </c>
      <c r="E95" s="156">
        <v>8180</v>
      </c>
      <c r="F95" s="3">
        <v>90</v>
      </c>
      <c r="G95" s="3">
        <v>7605</v>
      </c>
      <c r="H95" s="3" t="s">
        <v>58</v>
      </c>
      <c r="I95" s="3">
        <v>58</v>
      </c>
      <c r="J95" s="239">
        <v>0.69097222222222221</v>
      </c>
      <c r="K95" s="239">
        <v>0.75</v>
      </c>
      <c r="L95" s="234">
        <f t="shared" si="9"/>
        <v>5.902777777777779E-2</v>
      </c>
      <c r="M95" s="3" t="s">
        <v>67</v>
      </c>
      <c r="N95" s="233" t="s">
        <v>733</v>
      </c>
      <c r="O95" s="3">
        <v>3320</v>
      </c>
      <c r="P95" s="268" t="str">
        <f>IFERROR((O95/I95)/(VLOOKUP(H95,[71]!taux,2,FALSE)),"")</f>
        <v/>
      </c>
      <c r="Q95" s="233">
        <f t="shared" si="8"/>
        <v>3320</v>
      </c>
      <c r="R95" s="149">
        <v>4808.21</v>
      </c>
      <c r="S95" s="269">
        <f t="shared" si="11"/>
        <v>1.3699999999998909</v>
      </c>
      <c r="T95" s="233">
        <f t="shared" si="10"/>
        <v>2423.3576642337698</v>
      </c>
      <c r="U95" s="149">
        <v>1.44</v>
      </c>
      <c r="V95" s="197">
        <f t="shared" si="12"/>
        <v>2305.5555555555557</v>
      </c>
      <c r="AA95" s="3">
        <v>1659</v>
      </c>
      <c r="AB95" s="3">
        <v>1661</v>
      </c>
      <c r="AC95" s="3">
        <v>3320</v>
      </c>
      <c r="AD95" s="3">
        <v>3320</v>
      </c>
      <c r="AE95" s="233" t="s">
        <v>459</v>
      </c>
      <c r="AF95" s="233" t="s">
        <v>901</v>
      </c>
      <c r="AG95" s="233" t="s">
        <v>906</v>
      </c>
      <c r="AH95" s="233" t="s">
        <v>902</v>
      </c>
    </row>
    <row r="96" spans="2:34" x14ac:dyDescent="0.25">
      <c r="B96" s="235">
        <v>44969</v>
      </c>
      <c r="C96" s="3">
        <v>3</v>
      </c>
      <c r="D96" s="236">
        <v>44970</v>
      </c>
      <c r="E96" s="156">
        <v>8181</v>
      </c>
      <c r="F96" s="3">
        <v>91</v>
      </c>
      <c r="G96" s="3">
        <v>7617</v>
      </c>
      <c r="H96" s="3" t="s">
        <v>58</v>
      </c>
      <c r="I96" s="3">
        <v>58</v>
      </c>
      <c r="J96" s="239">
        <v>0.1423611111111111</v>
      </c>
      <c r="K96" s="239">
        <v>0.19791666666666666</v>
      </c>
      <c r="L96" s="234">
        <f t="shared" si="9"/>
        <v>5.5555555555555552E-2</v>
      </c>
      <c r="M96" s="233" t="s">
        <v>67</v>
      </c>
      <c r="N96" s="233" t="s">
        <v>733</v>
      </c>
      <c r="O96" s="3">
        <v>3272</v>
      </c>
      <c r="P96" s="268" t="str">
        <f>IFERROR((O96/I96)/(VLOOKUP(H96,[71]!taux,2,FALSE)),"")</f>
        <v/>
      </c>
      <c r="Q96" s="233">
        <f t="shared" si="8"/>
        <v>3272</v>
      </c>
      <c r="R96" s="149">
        <v>4809.6400000000003</v>
      </c>
      <c r="S96" s="269">
        <f t="shared" si="11"/>
        <v>1.430000000000291</v>
      </c>
      <c r="T96" s="233">
        <f t="shared" si="10"/>
        <v>2288.1118881114226</v>
      </c>
      <c r="U96" s="149">
        <v>1.57</v>
      </c>
      <c r="V96" s="197">
        <f t="shared" si="12"/>
        <v>2084.0764331210189</v>
      </c>
      <c r="AA96" s="3">
        <v>1605</v>
      </c>
      <c r="AB96" s="3">
        <v>1665</v>
      </c>
      <c r="AC96" s="3">
        <v>3271</v>
      </c>
      <c r="AD96" s="3">
        <v>3272</v>
      </c>
      <c r="AE96" s="233" t="s">
        <v>182</v>
      </c>
      <c r="AF96" s="233" t="s">
        <v>921</v>
      </c>
      <c r="AG96" s="233" t="s">
        <v>763</v>
      </c>
      <c r="AH96" s="233" t="s">
        <v>221</v>
      </c>
    </row>
    <row r="97" spans="2:34" x14ac:dyDescent="0.25">
      <c r="B97" s="235">
        <v>44970</v>
      </c>
      <c r="C97" s="3">
        <v>1</v>
      </c>
      <c r="D97" s="236">
        <v>44970</v>
      </c>
      <c r="E97" s="237">
        <v>8182</v>
      </c>
      <c r="F97" s="3">
        <v>6</v>
      </c>
      <c r="G97" s="3">
        <v>7619</v>
      </c>
      <c r="H97" s="3" t="s">
        <v>66</v>
      </c>
      <c r="I97" s="3">
        <v>57</v>
      </c>
      <c r="J97" s="239">
        <v>0.41666666666666669</v>
      </c>
      <c r="K97" s="239">
        <v>0.47916666666666669</v>
      </c>
      <c r="L97" s="234">
        <f t="shared" si="9"/>
        <v>6.25E-2</v>
      </c>
      <c r="M97" s="3" t="s">
        <v>73</v>
      </c>
      <c r="N97" s="233" t="s">
        <v>927</v>
      </c>
      <c r="O97" s="3">
        <v>3300</v>
      </c>
      <c r="P97" s="268" t="str">
        <f>IFERROR((O97/I97)/(VLOOKUP(H97,[71]!taux,2,FALSE)),"")</f>
        <v/>
      </c>
      <c r="Q97" s="233">
        <f t="shared" si="8"/>
        <v>3300</v>
      </c>
      <c r="R97" s="149">
        <v>4811.2</v>
      </c>
      <c r="S97" s="269">
        <f t="shared" si="11"/>
        <v>1.5599999999994907</v>
      </c>
      <c r="T97" s="233">
        <f t="shared" si="10"/>
        <v>2115.384615385306</v>
      </c>
      <c r="U97" s="149">
        <v>1.68</v>
      </c>
      <c r="V97" s="197">
        <f t="shared" si="12"/>
        <v>1964.2857142857144</v>
      </c>
      <c r="AA97" s="3">
        <v>1565</v>
      </c>
      <c r="AB97" s="3">
        <v>1735</v>
      </c>
      <c r="AC97" s="3">
        <v>3300</v>
      </c>
      <c r="AD97" s="3">
        <v>3300</v>
      </c>
      <c r="AE97" s="3" t="s">
        <v>926</v>
      </c>
      <c r="AF97" s="3" t="s">
        <v>631</v>
      </c>
      <c r="AG97" s="3" t="s">
        <v>361</v>
      </c>
      <c r="AH97" s="3" t="s">
        <v>196</v>
      </c>
    </row>
    <row r="98" spans="2:34" x14ac:dyDescent="0.25">
      <c r="B98" s="235">
        <v>44970</v>
      </c>
      <c r="C98" s="3">
        <v>2</v>
      </c>
      <c r="D98" s="148">
        <v>44970</v>
      </c>
      <c r="E98" s="156">
        <v>8183</v>
      </c>
      <c r="F98" s="3">
        <v>92</v>
      </c>
      <c r="G98" s="3">
        <v>7625</v>
      </c>
      <c r="H98" s="3" t="s">
        <v>58</v>
      </c>
      <c r="I98" s="3">
        <v>60</v>
      </c>
      <c r="J98" s="239">
        <v>0.67361111111111116</v>
      </c>
      <c r="K98" s="239">
        <v>0.75</v>
      </c>
      <c r="L98" s="234">
        <f t="shared" si="9"/>
        <v>7.638888888888884E-2</v>
      </c>
      <c r="M98" s="3" t="s">
        <v>67</v>
      </c>
      <c r="N98" s="3" t="s">
        <v>733</v>
      </c>
      <c r="O98" s="3">
        <v>3440</v>
      </c>
      <c r="P98" s="268" t="str">
        <f>IFERROR((O98/I98)/(VLOOKUP(H98,[71]!taux,2,FALSE)),"")</f>
        <v/>
      </c>
      <c r="Q98" s="233">
        <f t="shared" si="8"/>
        <v>3440</v>
      </c>
      <c r="R98" s="149">
        <v>4812.6899999999996</v>
      </c>
      <c r="S98" s="269">
        <f t="shared" si="11"/>
        <v>1.4899999999997817</v>
      </c>
      <c r="T98" s="233">
        <f t="shared" si="10"/>
        <v>2308.7248322151031</v>
      </c>
      <c r="U98" s="149">
        <v>2.11</v>
      </c>
      <c r="V98" s="197">
        <f t="shared" si="12"/>
        <v>1630.3317535545025</v>
      </c>
      <c r="AA98" s="3">
        <v>1724</v>
      </c>
      <c r="AB98" s="3">
        <v>1710</v>
      </c>
      <c r="AC98" s="3">
        <v>3434</v>
      </c>
      <c r="AD98" s="3">
        <v>3440</v>
      </c>
      <c r="AE98" s="3" t="s">
        <v>6</v>
      </c>
      <c r="AF98" s="3" t="s">
        <v>144</v>
      </c>
      <c r="AG98" s="3" t="s">
        <v>822</v>
      </c>
      <c r="AH98" s="3" t="s">
        <v>148</v>
      </c>
    </row>
    <row r="99" spans="2:34" x14ac:dyDescent="0.25">
      <c r="B99" s="235">
        <v>44970</v>
      </c>
      <c r="C99" s="3">
        <v>3</v>
      </c>
      <c r="D99" s="148">
        <v>44971</v>
      </c>
      <c r="E99" s="156">
        <v>8184</v>
      </c>
      <c r="F99" s="3">
        <v>93</v>
      </c>
      <c r="G99" s="3">
        <v>7605</v>
      </c>
      <c r="H99" s="3" t="s">
        <v>58</v>
      </c>
      <c r="I99" s="3">
        <v>60</v>
      </c>
      <c r="J99" s="239">
        <v>3.472222222222222E-3</v>
      </c>
      <c r="K99" s="239">
        <v>6.5972222222222224E-2</v>
      </c>
      <c r="L99" s="234">
        <f t="shared" si="9"/>
        <v>6.25E-2</v>
      </c>
      <c r="M99" s="3" t="s">
        <v>67</v>
      </c>
      <c r="N99" s="3" t="s">
        <v>733</v>
      </c>
      <c r="O99" s="233">
        <v>3440</v>
      </c>
      <c r="P99" s="268" t="str">
        <f>IFERROR((O99/I99)/(VLOOKUP(H99,[71]!taux,2,FALSE)),"")</f>
        <v/>
      </c>
      <c r="Q99" s="233">
        <f t="shared" si="8"/>
        <v>3440</v>
      </c>
      <c r="R99" s="149">
        <v>4814.0600000000004</v>
      </c>
      <c r="S99" s="269">
        <f t="shared" si="11"/>
        <v>1.3700000000008004</v>
      </c>
      <c r="T99" s="233">
        <f t="shared" si="10"/>
        <v>2510.9489051080222</v>
      </c>
      <c r="U99" s="149">
        <v>1.42</v>
      </c>
      <c r="V99" s="197">
        <f t="shared" si="12"/>
        <v>2422.535211267606</v>
      </c>
      <c r="AA99" s="3">
        <v>1684</v>
      </c>
      <c r="AB99" s="3">
        <v>1755</v>
      </c>
      <c r="AC99" s="3">
        <v>3439</v>
      </c>
      <c r="AD99" s="3">
        <v>3440</v>
      </c>
      <c r="AE99" s="3" t="s">
        <v>676</v>
      </c>
      <c r="AF99" s="3" t="s">
        <v>849</v>
      </c>
      <c r="AG99" s="3" t="s">
        <v>709</v>
      </c>
      <c r="AH99" s="3" t="s">
        <v>193</v>
      </c>
    </row>
    <row r="100" spans="2:34" x14ac:dyDescent="0.25">
      <c r="B100" s="235">
        <v>44970</v>
      </c>
      <c r="C100" s="3">
        <v>3</v>
      </c>
      <c r="D100" s="148">
        <v>44971</v>
      </c>
      <c r="E100" s="156">
        <v>8185</v>
      </c>
      <c r="F100" s="3">
        <v>94</v>
      </c>
      <c r="G100" s="233">
        <v>7617</v>
      </c>
      <c r="H100" s="3" t="s">
        <v>66</v>
      </c>
      <c r="I100" s="3">
        <v>57</v>
      </c>
      <c r="J100" s="239">
        <v>0.1111111111111111</v>
      </c>
      <c r="K100" s="239">
        <v>0.17361111111111113</v>
      </c>
      <c r="L100" s="234">
        <f t="shared" si="9"/>
        <v>6.2500000000000028E-2</v>
      </c>
      <c r="M100" s="3" t="s">
        <v>67</v>
      </c>
      <c r="N100" s="3" t="s">
        <v>733</v>
      </c>
      <c r="O100" s="3">
        <v>3322</v>
      </c>
      <c r="P100" s="268" t="str">
        <f>IFERROR((O100/I100)/(VLOOKUP(H100,[71]!taux,2,FALSE)),"")</f>
        <v/>
      </c>
      <c r="Q100" s="233">
        <f t="shared" si="8"/>
        <v>3322</v>
      </c>
      <c r="R100" s="149">
        <v>4815.5</v>
      </c>
      <c r="S100" s="269">
        <f t="shared" si="11"/>
        <v>1.4399999999995998</v>
      </c>
      <c r="T100" s="233">
        <f t="shared" si="10"/>
        <v>2306.9444444450855</v>
      </c>
      <c r="U100" s="149">
        <f>2.9-U99</f>
        <v>1.48</v>
      </c>
      <c r="V100" s="197">
        <f t="shared" si="12"/>
        <v>2244.5945945945946</v>
      </c>
      <c r="AA100" s="3">
        <v>1703</v>
      </c>
      <c r="AB100" s="3">
        <v>1619</v>
      </c>
      <c r="AC100" s="3">
        <v>3322</v>
      </c>
      <c r="AD100" s="3">
        <v>3322</v>
      </c>
      <c r="AE100" s="233" t="s">
        <v>676</v>
      </c>
      <c r="AF100" s="233" t="s">
        <v>849</v>
      </c>
      <c r="AG100" s="233" t="s">
        <v>709</v>
      </c>
      <c r="AH100" s="233" t="s">
        <v>193</v>
      </c>
    </row>
    <row r="101" spans="2:34" x14ac:dyDescent="0.25">
      <c r="B101" s="235">
        <v>44971</v>
      </c>
      <c r="C101" s="3">
        <v>1</v>
      </c>
      <c r="D101" s="236">
        <v>44971</v>
      </c>
      <c r="E101" s="237">
        <v>8186</v>
      </c>
      <c r="F101" s="3">
        <v>95</v>
      </c>
      <c r="G101" s="3">
        <v>7619</v>
      </c>
      <c r="H101" s="3" t="s">
        <v>58</v>
      </c>
      <c r="I101" s="3">
        <v>60</v>
      </c>
      <c r="J101" s="239">
        <v>0.40625</v>
      </c>
      <c r="K101" s="239">
        <v>0.46875</v>
      </c>
      <c r="L101" s="5">
        <f t="shared" si="9"/>
        <v>6.25E-2</v>
      </c>
      <c r="M101" s="3" t="s">
        <v>67</v>
      </c>
      <c r="N101" s="233" t="s">
        <v>733</v>
      </c>
      <c r="O101" s="3">
        <v>3360</v>
      </c>
      <c r="P101" s="268" t="str">
        <f>IFERROR((O101/I101)/(VLOOKUP(H101,[71]!taux,2,FALSE)),"")</f>
        <v/>
      </c>
      <c r="Q101" s="233">
        <f t="shared" si="8"/>
        <v>3360</v>
      </c>
      <c r="R101" s="149">
        <v>4817.05</v>
      </c>
      <c r="S101" s="269">
        <f t="shared" si="11"/>
        <v>1.5500000000001819</v>
      </c>
      <c r="T101" s="233">
        <f t="shared" si="10"/>
        <v>2167.7419354836165</v>
      </c>
      <c r="U101" s="149">
        <v>1.61</v>
      </c>
      <c r="V101" s="197">
        <f t="shared" si="12"/>
        <v>2086.9565217391305</v>
      </c>
      <c r="AA101" s="3">
        <v>1678</v>
      </c>
      <c r="AB101" s="3">
        <v>1682</v>
      </c>
      <c r="AC101" s="3">
        <v>3360</v>
      </c>
      <c r="AD101" s="3">
        <v>3360</v>
      </c>
      <c r="AE101" s="233" t="s">
        <v>926</v>
      </c>
      <c r="AF101" s="233" t="s">
        <v>631</v>
      </c>
      <c r="AG101" s="233" t="s">
        <v>361</v>
      </c>
      <c r="AH101" s="233" t="s">
        <v>668</v>
      </c>
    </row>
    <row r="102" spans="2:34" x14ac:dyDescent="0.25">
      <c r="B102" s="235">
        <v>44971</v>
      </c>
      <c r="C102" s="3">
        <v>2</v>
      </c>
      <c r="D102" s="148">
        <v>44972</v>
      </c>
      <c r="E102" s="156">
        <v>8187</v>
      </c>
      <c r="F102" s="3">
        <v>96</v>
      </c>
      <c r="G102" s="233">
        <v>7605</v>
      </c>
      <c r="H102" s="3" t="s">
        <v>58</v>
      </c>
      <c r="I102" s="3">
        <v>58</v>
      </c>
      <c r="J102" s="239">
        <v>44971.9375</v>
      </c>
      <c r="K102" s="239">
        <v>44972.013888888891</v>
      </c>
      <c r="L102" s="234">
        <f t="shared" si="9"/>
        <v>7.6388888890505768E-2</v>
      </c>
      <c r="M102" s="233" t="s">
        <v>67</v>
      </c>
      <c r="N102" s="233" t="s">
        <v>733</v>
      </c>
      <c r="O102" s="3">
        <f>1453+1678</f>
        <v>3131</v>
      </c>
      <c r="P102" s="268" t="str">
        <f>IFERROR((O102/I102)/(VLOOKUP(H102,[71]!taux,2,FALSE)),"")</f>
        <v/>
      </c>
      <c r="Q102" s="233">
        <f t="shared" si="8"/>
        <v>3131</v>
      </c>
      <c r="R102" s="149">
        <v>4818.8599999999997</v>
      </c>
      <c r="S102" s="269">
        <f t="shared" si="11"/>
        <v>1.8099999999994907</v>
      </c>
      <c r="T102" s="233">
        <f t="shared" si="10"/>
        <v>1729.8342541441332</v>
      </c>
      <c r="U102" s="149">
        <f>0.95+1.32</f>
        <v>2.27</v>
      </c>
      <c r="V102" s="197">
        <f t="shared" si="12"/>
        <v>1379.2951541850221</v>
      </c>
      <c r="AA102" s="3">
        <f>850+656</f>
        <v>1506</v>
      </c>
      <c r="AB102" s="3">
        <f>602+1022</f>
        <v>1624</v>
      </c>
      <c r="AC102" s="3">
        <f>1453+1678</f>
        <v>3131</v>
      </c>
      <c r="AD102" s="3">
        <v>3131</v>
      </c>
      <c r="AE102" s="233" t="s">
        <v>6</v>
      </c>
      <c r="AF102" s="233" t="s">
        <v>144</v>
      </c>
      <c r="AG102" s="233" t="s">
        <v>822</v>
      </c>
      <c r="AH102" s="233" t="s">
        <v>148</v>
      </c>
    </row>
    <row r="103" spans="2:34" x14ac:dyDescent="0.25">
      <c r="B103" s="235">
        <v>44972</v>
      </c>
      <c r="C103" s="3">
        <v>1</v>
      </c>
      <c r="D103" s="148">
        <v>44972</v>
      </c>
      <c r="E103" s="156">
        <v>8188</v>
      </c>
      <c r="F103" s="3">
        <v>97</v>
      </c>
      <c r="G103" s="3">
        <v>7617</v>
      </c>
      <c r="H103" s="3" t="s">
        <v>66</v>
      </c>
      <c r="I103" s="3">
        <v>55</v>
      </c>
      <c r="J103" s="239">
        <v>0.375</v>
      </c>
      <c r="K103" s="239">
        <v>0.4375</v>
      </c>
      <c r="L103" s="234">
        <f t="shared" si="9"/>
        <v>6.25E-2</v>
      </c>
      <c r="M103" s="3" t="s">
        <v>67</v>
      </c>
      <c r="N103" s="3" t="s">
        <v>733</v>
      </c>
      <c r="O103" s="3">
        <v>3160</v>
      </c>
      <c r="P103" s="268" t="str">
        <f>IFERROR((O103/I103)/(VLOOKUP(H103,[71]!taux,2,FALSE)),"")</f>
        <v/>
      </c>
      <c r="Q103" s="233">
        <f t="shared" si="8"/>
        <v>3160</v>
      </c>
      <c r="R103" s="149">
        <v>4820.42</v>
      </c>
      <c r="S103" s="269">
        <f t="shared" si="11"/>
        <v>1.5600000000004002</v>
      </c>
      <c r="T103" s="233">
        <f t="shared" si="10"/>
        <v>2025.6410256405061</v>
      </c>
      <c r="U103" s="149">
        <v>1.68</v>
      </c>
      <c r="V103" s="197">
        <f t="shared" si="12"/>
        <v>1880.952380952381</v>
      </c>
      <c r="AA103" s="3">
        <v>1615</v>
      </c>
      <c r="AB103" s="3">
        <v>1545</v>
      </c>
      <c r="AC103" s="3">
        <v>3160</v>
      </c>
      <c r="AD103" s="3">
        <v>3160</v>
      </c>
      <c r="AE103" s="233" t="s">
        <v>926</v>
      </c>
      <c r="AF103" s="233" t="s">
        <v>631</v>
      </c>
      <c r="AG103" s="233" t="s">
        <v>361</v>
      </c>
      <c r="AH103" s="3" t="s">
        <v>654</v>
      </c>
    </row>
    <row r="104" spans="2:34" x14ac:dyDescent="0.25">
      <c r="B104" s="235">
        <v>44972</v>
      </c>
      <c r="C104" s="3">
        <v>2</v>
      </c>
      <c r="D104" s="236">
        <v>44972</v>
      </c>
      <c r="E104" s="156">
        <v>8189</v>
      </c>
      <c r="F104" s="3">
        <v>98</v>
      </c>
      <c r="G104" s="233">
        <v>7623</v>
      </c>
      <c r="H104" s="3" t="s">
        <v>58</v>
      </c>
      <c r="I104" s="3">
        <v>60</v>
      </c>
      <c r="J104" s="239">
        <v>0.69444444444444453</v>
      </c>
      <c r="K104" s="239">
        <v>0.77083333333333337</v>
      </c>
      <c r="L104" s="234">
        <f t="shared" si="9"/>
        <v>7.638888888888884E-2</v>
      </c>
      <c r="M104" s="233" t="s">
        <v>67</v>
      </c>
      <c r="N104" s="233" t="s">
        <v>733</v>
      </c>
      <c r="O104" s="3">
        <v>3370</v>
      </c>
      <c r="P104" s="268" t="str">
        <f>IFERROR((O104/I104)/(VLOOKUP(H104,[71]!taux,2,FALSE)),"")</f>
        <v/>
      </c>
      <c r="Q104" s="233">
        <f t="shared" si="8"/>
        <v>3370</v>
      </c>
      <c r="R104" s="149">
        <v>4822.3100000000004</v>
      </c>
      <c r="S104" s="269">
        <f t="shared" si="11"/>
        <v>1.8900000000003274</v>
      </c>
      <c r="T104" s="233">
        <f t="shared" si="10"/>
        <v>1783.0687830684742</v>
      </c>
      <c r="U104" s="149">
        <v>1.85</v>
      </c>
      <c r="V104" s="197">
        <f t="shared" si="12"/>
        <v>1821.6216216216214</v>
      </c>
      <c r="AA104" s="3">
        <v>1658</v>
      </c>
      <c r="AB104" s="3">
        <v>1541</v>
      </c>
      <c r="AC104" s="3">
        <v>3200</v>
      </c>
      <c r="AD104" s="3">
        <v>3370</v>
      </c>
      <c r="AE104" s="233" t="s">
        <v>6</v>
      </c>
      <c r="AF104" s="233" t="s">
        <v>144</v>
      </c>
      <c r="AG104" s="233" t="s">
        <v>822</v>
      </c>
      <c r="AH104" s="233" t="s">
        <v>148</v>
      </c>
    </row>
    <row r="105" spans="2:34" x14ac:dyDescent="0.25">
      <c r="B105" s="235">
        <v>44972</v>
      </c>
      <c r="C105" s="3">
        <v>3</v>
      </c>
      <c r="D105" s="148">
        <v>44973</v>
      </c>
      <c r="E105" s="156">
        <v>8190</v>
      </c>
      <c r="F105" s="3">
        <v>99</v>
      </c>
      <c r="G105" s="3">
        <v>7605</v>
      </c>
      <c r="H105" s="3" t="s">
        <v>58</v>
      </c>
      <c r="I105" s="3">
        <v>60</v>
      </c>
      <c r="J105" s="239">
        <v>2.7777777777777776E-2</v>
      </c>
      <c r="K105" s="239">
        <v>0.10069444444444443</v>
      </c>
      <c r="L105" s="234">
        <f t="shared" si="9"/>
        <v>7.2916666666666657E-2</v>
      </c>
      <c r="M105" s="3" t="s">
        <v>67</v>
      </c>
      <c r="N105" s="3" t="s">
        <v>733</v>
      </c>
      <c r="O105" s="3">
        <v>3300</v>
      </c>
      <c r="P105" s="268" t="str">
        <f>IFERROR((O105/I105)/(VLOOKUP(H105,[71]!taux,2,FALSE)),"")</f>
        <v/>
      </c>
      <c r="Q105" s="233">
        <f t="shared" si="8"/>
        <v>3300</v>
      </c>
      <c r="R105" s="149">
        <v>4824.28</v>
      </c>
      <c r="S105" s="269">
        <f t="shared" si="11"/>
        <v>1.9699999999993452</v>
      </c>
      <c r="T105" s="233">
        <f t="shared" si="10"/>
        <v>1675.1269035538562</v>
      </c>
      <c r="U105" s="149">
        <v>2.1</v>
      </c>
      <c r="V105" s="197">
        <f t="shared" si="12"/>
        <v>1571.4285714285713</v>
      </c>
      <c r="AA105" s="3">
        <v>1620</v>
      </c>
      <c r="AB105" s="3">
        <v>1669</v>
      </c>
      <c r="AC105" s="3">
        <v>3290</v>
      </c>
      <c r="AD105" s="3">
        <v>3300</v>
      </c>
      <c r="AE105" s="233" t="s">
        <v>676</v>
      </c>
      <c r="AF105" s="233" t="s">
        <v>849</v>
      </c>
      <c r="AG105" s="233" t="s">
        <v>709</v>
      </c>
      <c r="AH105" s="233" t="s">
        <v>193</v>
      </c>
    </row>
    <row r="106" spans="2:34" x14ac:dyDescent="0.25">
      <c r="B106" s="235">
        <v>44973</v>
      </c>
      <c r="C106" s="3">
        <v>1</v>
      </c>
      <c r="D106" s="236">
        <v>44973</v>
      </c>
      <c r="E106" s="156">
        <v>8191</v>
      </c>
      <c r="F106" s="3">
        <v>100</v>
      </c>
      <c r="G106" s="3">
        <v>7617</v>
      </c>
      <c r="H106" s="3" t="s">
        <v>66</v>
      </c>
      <c r="I106" s="3">
        <v>58</v>
      </c>
      <c r="J106" s="239">
        <v>0.38194444444444442</v>
      </c>
      <c r="K106" s="239">
        <v>0.4548611111111111</v>
      </c>
      <c r="L106" s="234">
        <f t="shared" si="9"/>
        <v>7.2916666666666685E-2</v>
      </c>
      <c r="M106" s="3" t="s">
        <v>67</v>
      </c>
      <c r="N106" s="3" t="s">
        <v>733</v>
      </c>
      <c r="O106" s="3">
        <v>3390</v>
      </c>
      <c r="P106" s="268" t="str">
        <f>IFERROR((O106/I106)/(VLOOKUP(H106,[71]!taux,2,FALSE)),"")</f>
        <v/>
      </c>
      <c r="Q106" s="233">
        <f t="shared" si="8"/>
        <v>3390</v>
      </c>
      <c r="R106" s="149">
        <v>4825.6000000000004</v>
      </c>
      <c r="S106" s="269">
        <f t="shared" si="11"/>
        <v>1.3200000000006185</v>
      </c>
      <c r="T106" s="233">
        <f t="shared" si="10"/>
        <v>2568.1818181806148</v>
      </c>
      <c r="U106" s="149">
        <v>1.89</v>
      </c>
      <c r="V106" s="197">
        <f t="shared" si="12"/>
        <v>1793.6507936507937</v>
      </c>
      <c r="AA106" s="3">
        <v>1696</v>
      </c>
      <c r="AB106" s="3">
        <v>1693</v>
      </c>
      <c r="AC106" s="3">
        <v>3390</v>
      </c>
      <c r="AD106" s="3">
        <v>3390</v>
      </c>
      <c r="AE106" s="233" t="s">
        <v>931</v>
      </c>
      <c r="AF106" s="233" t="s">
        <v>901</v>
      </c>
      <c r="AG106" s="233" t="s">
        <v>906</v>
      </c>
      <c r="AH106" s="233" t="s">
        <v>902</v>
      </c>
    </row>
    <row r="107" spans="2:34" x14ac:dyDescent="0.25">
      <c r="B107" s="235">
        <v>44973</v>
      </c>
      <c r="C107" s="3">
        <v>2</v>
      </c>
      <c r="D107" s="236">
        <v>44973</v>
      </c>
      <c r="E107" s="156">
        <v>8192</v>
      </c>
      <c r="F107" s="3">
        <v>101</v>
      </c>
      <c r="G107" s="233">
        <v>7625</v>
      </c>
      <c r="H107" s="3" t="s">
        <v>58</v>
      </c>
      <c r="I107" s="3">
        <v>58</v>
      </c>
      <c r="J107" s="239">
        <v>0.61111111111111105</v>
      </c>
      <c r="K107" s="239">
        <v>0.68055555555555547</v>
      </c>
      <c r="L107" s="234">
        <f t="shared" si="9"/>
        <v>6.944444444444442E-2</v>
      </c>
      <c r="M107" s="233" t="s">
        <v>67</v>
      </c>
      <c r="N107" s="233" t="s">
        <v>733</v>
      </c>
      <c r="O107" s="3">
        <v>3320</v>
      </c>
      <c r="P107" s="268" t="str">
        <f>IFERROR((O107/I107)/(VLOOKUP(H107,[71]!taux,2,FALSE)),"")</f>
        <v/>
      </c>
      <c r="Q107" s="233">
        <f t="shared" si="8"/>
        <v>3320</v>
      </c>
      <c r="R107" s="149">
        <v>4827.41</v>
      </c>
      <c r="S107" s="269">
        <f t="shared" si="11"/>
        <v>1.8099999999994907</v>
      </c>
      <c r="T107" s="233">
        <f t="shared" si="10"/>
        <v>1834.2541436469251</v>
      </c>
      <c r="U107" s="149">
        <v>1.65</v>
      </c>
      <c r="V107" s="197">
        <f t="shared" si="12"/>
        <v>2012.1212121212122</v>
      </c>
      <c r="AA107" s="233">
        <v>1620</v>
      </c>
      <c r="AB107" s="233">
        <v>1669</v>
      </c>
      <c r="AC107" s="233">
        <v>3290</v>
      </c>
      <c r="AD107" s="3">
        <v>3320</v>
      </c>
      <c r="AE107" s="233" t="s">
        <v>6</v>
      </c>
      <c r="AF107" s="233" t="s">
        <v>144</v>
      </c>
      <c r="AG107" s="233" t="s">
        <v>822</v>
      </c>
      <c r="AH107" s="233" t="s">
        <v>148</v>
      </c>
    </row>
    <row r="108" spans="2:34" x14ac:dyDescent="0.25">
      <c r="B108" s="235">
        <v>44973</v>
      </c>
      <c r="C108" s="3">
        <v>2</v>
      </c>
      <c r="D108" s="148">
        <v>44974</v>
      </c>
      <c r="E108" s="237">
        <v>8193</v>
      </c>
      <c r="F108" s="3">
        <v>102</v>
      </c>
      <c r="G108" s="3">
        <v>7605</v>
      </c>
      <c r="H108" s="3" t="s">
        <v>58</v>
      </c>
      <c r="I108" s="3">
        <v>59</v>
      </c>
      <c r="J108" s="239">
        <v>0.79861111111111116</v>
      </c>
      <c r="K108" s="239">
        <v>0.85416666666666663</v>
      </c>
      <c r="L108" s="234">
        <f t="shared" si="9"/>
        <v>5.5555555555555469E-2</v>
      </c>
      <c r="M108" s="233" t="s">
        <v>67</v>
      </c>
      <c r="N108" s="233" t="s">
        <v>733</v>
      </c>
      <c r="O108" s="3">
        <v>3360</v>
      </c>
      <c r="P108" s="268" t="str">
        <f>IFERROR((O108/I108)/(VLOOKUP(H108,[71]!taux,2,FALSE)),"")</f>
        <v/>
      </c>
      <c r="Q108" s="233">
        <f t="shared" si="8"/>
        <v>3360</v>
      </c>
      <c r="R108" s="149">
        <v>4829.04</v>
      </c>
      <c r="S108" s="269">
        <f t="shared" si="11"/>
        <v>1.6300000000001091</v>
      </c>
      <c r="T108" s="233">
        <f t="shared" si="10"/>
        <v>2061.3496932513958</v>
      </c>
      <c r="U108" s="149">
        <v>1.45</v>
      </c>
      <c r="V108" s="197">
        <f t="shared" si="12"/>
        <v>2317.2413793103451</v>
      </c>
      <c r="AA108" s="233">
        <v>1659</v>
      </c>
      <c r="AB108" s="233">
        <v>1661</v>
      </c>
      <c r="AC108" s="233">
        <v>3320</v>
      </c>
      <c r="AD108" s="3">
        <v>3360</v>
      </c>
      <c r="AE108" s="233" t="s">
        <v>6</v>
      </c>
      <c r="AF108" s="233" t="s">
        <v>144</v>
      </c>
      <c r="AG108" s="233" t="s">
        <v>822</v>
      </c>
      <c r="AH108" s="233" t="s">
        <v>148</v>
      </c>
    </row>
    <row r="109" spans="2:34" x14ac:dyDescent="0.25">
      <c r="B109" s="235">
        <v>44973</v>
      </c>
      <c r="C109" s="233">
        <v>3</v>
      </c>
      <c r="D109" s="236">
        <v>44974</v>
      </c>
      <c r="E109" s="237">
        <v>8194</v>
      </c>
      <c r="F109" s="3">
        <v>103</v>
      </c>
      <c r="G109" s="233">
        <v>7617</v>
      </c>
      <c r="H109" s="3" t="s">
        <v>58</v>
      </c>
      <c r="I109" s="3">
        <v>60</v>
      </c>
      <c r="J109" s="239">
        <v>0.10416666666666667</v>
      </c>
      <c r="K109" s="239">
        <v>0.17708333333333334</v>
      </c>
      <c r="L109" s="234">
        <f t="shared" si="9"/>
        <v>7.2916666666666671E-2</v>
      </c>
      <c r="M109" s="3" t="s">
        <v>67</v>
      </c>
      <c r="N109" s="233" t="s">
        <v>733</v>
      </c>
      <c r="O109" s="3">
        <v>3260</v>
      </c>
      <c r="P109" s="268" t="str">
        <f>IFERROR((O109/I109)/(VLOOKUP(H109,[71]!taux,2,FALSE)),"")</f>
        <v/>
      </c>
      <c r="Q109" s="233">
        <f t="shared" si="8"/>
        <v>3260</v>
      </c>
      <c r="R109" s="149">
        <v>4830.58</v>
      </c>
      <c r="S109" s="269">
        <f t="shared" si="11"/>
        <v>1.5399999999999636</v>
      </c>
      <c r="T109" s="233">
        <f t="shared" si="10"/>
        <v>2116.8831168831671</v>
      </c>
      <c r="U109" s="149">
        <v>1.72</v>
      </c>
      <c r="V109" s="197">
        <f t="shared" si="12"/>
        <v>1895.3488372093022</v>
      </c>
      <c r="AA109" s="3">
        <v>1502</v>
      </c>
      <c r="AB109" s="3">
        <v>1537</v>
      </c>
      <c r="AC109" s="3">
        <v>3040</v>
      </c>
      <c r="AD109" s="3">
        <v>3260</v>
      </c>
      <c r="AE109" s="233" t="s">
        <v>676</v>
      </c>
      <c r="AF109" s="233" t="s">
        <v>849</v>
      </c>
      <c r="AG109" s="233" t="s">
        <v>709</v>
      </c>
      <c r="AH109" s="233" t="s">
        <v>193</v>
      </c>
    </row>
    <row r="110" spans="2:34" x14ac:dyDescent="0.25">
      <c r="B110" s="235">
        <v>44974</v>
      </c>
      <c r="C110" s="3">
        <v>1</v>
      </c>
      <c r="D110" s="148">
        <v>44974</v>
      </c>
      <c r="E110" s="237">
        <v>8195</v>
      </c>
      <c r="F110" s="3">
        <v>7</v>
      </c>
      <c r="G110" s="3">
        <v>7619</v>
      </c>
      <c r="H110" s="3" t="s">
        <v>66</v>
      </c>
      <c r="I110" s="3">
        <v>58</v>
      </c>
      <c r="J110" s="239">
        <v>0.4236111111111111</v>
      </c>
      <c r="K110" s="239">
        <v>0.5</v>
      </c>
      <c r="L110" s="234">
        <f t="shared" si="9"/>
        <v>7.6388888888888895E-2</v>
      </c>
      <c r="M110" s="3" t="s">
        <v>73</v>
      </c>
      <c r="N110" s="3" t="s">
        <v>737</v>
      </c>
      <c r="O110" s="3">
        <v>3340</v>
      </c>
      <c r="P110" s="268" t="str">
        <f>IFERROR((O110/I110)/(VLOOKUP(H110,[71]!taux,2,FALSE)),"")</f>
        <v/>
      </c>
      <c r="Q110" s="233">
        <f t="shared" si="8"/>
        <v>2022</v>
      </c>
      <c r="R110" s="149">
        <v>4832.32</v>
      </c>
      <c r="S110" s="269">
        <f t="shared" si="11"/>
        <v>1.7399999999997817</v>
      </c>
      <c r="T110" s="233">
        <f t="shared" si="10"/>
        <v>1162.0689655173871</v>
      </c>
      <c r="U110" s="149">
        <v>1.8</v>
      </c>
      <c r="V110" s="197">
        <f t="shared" si="12"/>
        <v>1855.5555555555554</v>
      </c>
      <c r="W110" s="152">
        <v>1318</v>
      </c>
      <c r="AA110" s="3">
        <v>1702</v>
      </c>
      <c r="AB110" s="3">
        <v>1574</v>
      </c>
      <c r="AC110" s="3">
        <v>3276</v>
      </c>
      <c r="AD110" s="3">
        <v>3340</v>
      </c>
      <c r="AE110" s="3" t="s">
        <v>932</v>
      </c>
      <c r="AF110" s="233" t="s">
        <v>901</v>
      </c>
      <c r="AG110" s="3" t="s">
        <v>772</v>
      </c>
      <c r="AH110" s="3" t="s">
        <v>933</v>
      </c>
    </row>
    <row r="111" spans="2:34" x14ac:dyDescent="0.25">
      <c r="B111" s="235">
        <v>44974</v>
      </c>
      <c r="C111" s="3">
        <v>2</v>
      </c>
      <c r="D111" s="236">
        <v>44974</v>
      </c>
      <c r="E111" s="237">
        <v>8196</v>
      </c>
      <c r="F111" s="3">
        <v>104</v>
      </c>
      <c r="G111" s="233">
        <v>7625</v>
      </c>
      <c r="H111" s="3" t="s">
        <v>58</v>
      </c>
      <c r="I111" s="3">
        <v>56</v>
      </c>
      <c r="J111" s="239">
        <v>0.70138888888888884</v>
      </c>
      <c r="K111" s="239">
        <v>0.78125</v>
      </c>
      <c r="L111" s="234">
        <f t="shared" si="9"/>
        <v>7.986111111111116E-2</v>
      </c>
      <c r="M111" s="3" t="s">
        <v>73</v>
      </c>
      <c r="N111" s="191" t="s">
        <v>734</v>
      </c>
      <c r="O111" s="3">
        <v>3160</v>
      </c>
      <c r="P111" s="268" t="str">
        <f>IFERROR((O111/I111)/(VLOOKUP(H111,[71]!taux,2,FALSE)),"")</f>
        <v/>
      </c>
      <c r="Q111" s="233">
        <f t="shared" si="8"/>
        <v>1960</v>
      </c>
      <c r="R111" s="149">
        <v>4833.57</v>
      </c>
      <c r="S111" s="269">
        <f t="shared" si="11"/>
        <v>1.25</v>
      </c>
      <c r="T111" s="233">
        <f t="shared" si="10"/>
        <v>1568</v>
      </c>
      <c r="U111" s="149">
        <v>1.92</v>
      </c>
      <c r="V111" s="197">
        <f t="shared" si="12"/>
        <v>1645.8333333333335</v>
      </c>
      <c r="W111" s="152">
        <v>1200</v>
      </c>
      <c r="AA111" s="3">
        <v>1556</v>
      </c>
      <c r="AB111" s="3">
        <v>1569</v>
      </c>
      <c r="AC111" s="3">
        <v>3125</v>
      </c>
      <c r="AD111" s="3">
        <v>3160</v>
      </c>
      <c r="AE111" s="233" t="s">
        <v>6</v>
      </c>
      <c r="AF111" s="233" t="s">
        <v>144</v>
      </c>
      <c r="AG111" s="233" t="s">
        <v>822</v>
      </c>
      <c r="AH111" s="233" t="s">
        <v>148</v>
      </c>
    </row>
    <row r="112" spans="2:34" x14ac:dyDescent="0.25">
      <c r="B112" s="235">
        <v>44974</v>
      </c>
      <c r="C112" s="3">
        <v>3</v>
      </c>
      <c r="D112" s="148">
        <v>44975</v>
      </c>
      <c r="E112" s="237">
        <v>8197</v>
      </c>
      <c r="F112" s="3">
        <v>105</v>
      </c>
      <c r="G112" s="3">
        <v>7605</v>
      </c>
      <c r="H112" s="3" t="s">
        <v>58</v>
      </c>
      <c r="I112" s="3">
        <v>60</v>
      </c>
      <c r="J112" s="239">
        <v>0.97916666666666663</v>
      </c>
      <c r="K112" s="239">
        <v>4.1666666666666664E-2</v>
      </c>
      <c r="L112" s="234">
        <v>6.25E-2</v>
      </c>
      <c r="M112" s="3" t="s">
        <v>73</v>
      </c>
      <c r="N112" s="191" t="s">
        <v>734</v>
      </c>
      <c r="O112" s="3">
        <v>3409</v>
      </c>
      <c r="P112" s="268" t="str">
        <f>IFERROR((O112/I112)/(VLOOKUP(H112,[71]!taux,2,FALSE)),"")</f>
        <v/>
      </c>
      <c r="Q112" s="233">
        <f t="shared" si="8"/>
        <v>2859</v>
      </c>
      <c r="R112" s="149">
        <v>4834.91</v>
      </c>
      <c r="S112" s="269">
        <f t="shared" si="11"/>
        <v>1.3400000000001455</v>
      </c>
      <c r="T112" s="233">
        <f t="shared" si="10"/>
        <v>2133.5820895520069</v>
      </c>
      <c r="U112" s="149">
        <v>1.38</v>
      </c>
      <c r="V112" s="197">
        <f t="shared" si="12"/>
        <v>2470.289855072464</v>
      </c>
      <c r="W112" s="152">
        <v>550</v>
      </c>
      <c r="AA112" s="3">
        <v>1702</v>
      </c>
      <c r="AB112" s="3">
        <v>1706</v>
      </c>
      <c r="AC112" s="3">
        <v>3409</v>
      </c>
      <c r="AD112" s="3">
        <v>3409</v>
      </c>
      <c r="AE112" s="233" t="s">
        <v>676</v>
      </c>
      <c r="AF112" s="233" t="s">
        <v>849</v>
      </c>
      <c r="AG112" s="233" t="s">
        <v>709</v>
      </c>
      <c r="AH112" s="233" t="s">
        <v>193</v>
      </c>
    </row>
    <row r="113" spans="2:48" x14ac:dyDescent="0.25">
      <c r="B113" s="235">
        <v>44975</v>
      </c>
      <c r="C113" s="3">
        <v>1</v>
      </c>
      <c r="D113" s="148">
        <v>44975</v>
      </c>
      <c r="E113" s="156">
        <v>8198</v>
      </c>
      <c r="F113" s="3">
        <v>106</v>
      </c>
      <c r="G113" s="3">
        <v>7617</v>
      </c>
      <c r="H113" s="3" t="s">
        <v>66</v>
      </c>
      <c r="I113" s="3">
        <v>58</v>
      </c>
      <c r="J113" s="239">
        <v>0.35416666666666669</v>
      </c>
      <c r="K113" s="239">
        <v>0.4236111111111111</v>
      </c>
      <c r="L113" s="234">
        <f t="shared" si="9"/>
        <v>6.944444444444442E-2</v>
      </c>
      <c r="M113" s="3" t="s">
        <v>73</v>
      </c>
      <c r="N113" s="191" t="s">
        <v>734</v>
      </c>
      <c r="O113" s="3">
        <v>3410</v>
      </c>
      <c r="P113" s="268" t="str">
        <f>IFERROR((O113/I113)/(VLOOKUP(H113,[71]!taux,2,FALSE)),"")</f>
        <v/>
      </c>
      <c r="Q113" s="233">
        <f t="shared" si="8"/>
        <v>3195</v>
      </c>
      <c r="R113" s="149">
        <v>4836.82</v>
      </c>
      <c r="S113" s="269">
        <f t="shared" si="11"/>
        <v>1.9099999999998545</v>
      </c>
      <c r="T113" s="233">
        <f t="shared" si="10"/>
        <v>1672.7748691100751</v>
      </c>
      <c r="U113" s="149">
        <v>1.96</v>
      </c>
      <c r="V113" s="197">
        <f t="shared" si="12"/>
        <v>1739.795918367347</v>
      </c>
      <c r="W113" s="152">
        <v>215</v>
      </c>
      <c r="AA113" s="3">
        <v>1685</v>
      </c>
      <c r="AB113" s="3">
        <v>1725</v>
      </c>
      <c r="AC113" s="3">
        <f>AB113+AA113</f>
        <v>3410</v>
      </c>
      <c r="AD113" s="3">
        <v>3410</v>
      </c>
      <c r="AE113" s="3" t="s">
        <v>939</v>
      </c>
      <c r="AF113" s="3" t="s">
        <v>940</v>
      </c>
      <c r="AG113" s="3" t="s">
        <v>941</v>
      </c>
      <c r="AH113" s="3" t="s">
        <v>942</v>
      </c>
    </row>
    <row r="114" spans="2:48" x14ac:dyDescent="0.25">
      <c r="B114" s="235">
        <v>44975</v>
      </c>
      <c r="C114" s="233">
        <v>1</v>
      </c>
      <c r="D114" s="236">
        <v>44975</v>
      </c>
      <c r="E114" s="156">
        <v>8199</v>
      </c>
      <c r="F114" s="3">
        <v>107</v>
      </c>
      <c r="G114" s="233">
        <v>7619</v>
      </c>
      <c r="H114" s="3" t="s">
        <v>58</v>
      </c>
      <c r="I114" s="3">
        <v>54</v>
      </c>
      <c r="J114" s="239">
        <v>0.5625</v>
      </c>
      <c r="K114" s="239">
        <v>0.625</v>
      </c>
      <c r="L114" s="234">
        <f t="shared" si="9"/>
        <v>6.25E-2</v>
      </c>
      <c r="M114" s="233" t="s">
        <v>73</v>
      </c>
      <c r="N114" s="191" t="s">
        <v>734</v>
      </c>
      <c r="O114" s="3">
        <v>3060</v>
      </c>
      <c r="P114" s="268" t="str">
        <f>IFERROR((O114/I114)/(VLOOKUP(H114,[71]!taux,2,FALSE)),"")</f>
        <v/>
      </c>
      <c r="Q114" s="233">
        <f t="shared" si="8"/>
        <v>3060</v>
      </c>
      <c r="R114" s="149">
        <v>4838.32</v>
      </c>
      <c r="S114" s="269">
        <f t="shared" si="11"/>
        <v>1.5</v>
      </c>
      <c r="T114" s="233">
        <f t="shared" si="10"/>
        <v>2040</v>
      </c>
      <c r="U114" s="149">
        <v>1.52</v>
      </c>
      <c r="V114" s="197">
        <f t="shared" si="12"/>
        <v>2013.1578947368421</v>
      </c>
      <c r="AA114" s="233">
        <v>1502</v>
      </c>
      <c r="AB114" s="233">
        <v>1537</v>
      </c>
      <c r="AC114" s="233">
        <v>3040</v>
      </c>
      <c r="AD114" s="3">
        <v>3060</v>
      </c>
      <c r="AE114" s="233" t="s">
        <v>939</v>
      </c>
      <c r="AF114" s="233" t="s">
        <v>940</v>
      </c>
      <c r="AG114" s="233" t="s">
        <v>941</v>
      </c>
      <c r="AH114" s="233" t="s">
        <v>942</v>
      </c>
    </row>
    <row r="115" spans="2:48" x14ac:dyDescent="0.25">
      <c r="B115" s="235">
        <v>44975</v>
      </c>
      <c r="C115" s="3">
        <v>2</v>
      </c>
      <c r="D115" s="148">
        <v>44976</v>
      </c>
      <c r="E115" s="156">
        <v>8200</v>
      </c>
      <c r="F115" s="3">
        <v>108</v>
      </c>
      <c r="G115" s="233">
        <v>7605</v>
      </c>
      <c r="H115" s="3" t="s">
        <v>58</v>
      </c>
      <c r="I115" s="3">
        <v>60</v>
      </c>
      <c r="J115" s="239">
        <v>0.75347222222222221</v>
      </c>
      <c r="K115" s="239">
        <v>0.8125</v>
      </c>
      <c r="L115" s="5">
        <f t="shared" si="9"/>
        <v>5.902777777777779E-2</v>
      </c>
      <c r="M115" s="233" t="s">
        <v>73</v>
      </c>
      <c r="N115" s="191" t="s">
        <v>734</v>
      </c>
      <c r="O115" s="3">
        <v>3360</v>
      </c>
      <c r="P115" s="268" t="str">
        <f>IFERROR((O115/I115)/(VLOOKUP(H115,[71]!taux,2,FALSE)),"")</f>
        <v/>
      </c>
      <c r="Q115" s="233">
        <f t="shared" si="8"/>
        <v>3360</v>
      </c>
      <c r="R115" s="149">
        <v>4839.8100000000004</v>
      </c>
      <c r="S115" s="269">
        <f t="shared" si="11"/>
        <v>1.4900000000006912</v>
      </c>
      <c r="T115" s="233">
        <f t="shared" si="10"/>
        <v>2255.0335570459338</v>
      </c>
      <c r="U115" s="149">
        <v>1.55</v>
      </c>
      <c r="V115" s="197">
        <f t="shared" si="12"/>
        <v>2167.7419354838707</v>
      </c>
      <c r="AA115" s="3">
        <v>1687</v>
      </c>
      <c r="AB115" s="3">
        <v>1560</v>
      </c>
      <c r="AC115" s="3">
        <v>3248</v>
      </c>
      <c r="AD115" s="3">
        <v>3360</v>
      </c>
      <c r="AE115" s="233" t="s">
        <v>6</v>
      </c>
      <c r="AF115" s="233" t="s">
        <v>144</v>
      </c>
      <c r="AG115" s="233" t="s">
        <v>822</v>
      </c>
      <c r="AH115" s="233" t="s">
        <v>148</v>
      </c>
    </row>
    <row r="116" spans="2:48" x14ac:dyDescent="0.25">
      <c r="B116" s="235">
        <v>44975</v>
      </c>
      <c r="C116" s="3">
        <v>3</v>
      </c>
      <c r="D116" s="148">
        <v>44976</v>
      </c>
      <c r="E116" s="156">
        <v>8201</v>
      </c>
      <c r="F116" s="3">
        <v>109</v>
      </c>
      <c r="G116" s="3">
        <v>7617</v>
      </c>
      <c r="H116" s="3" t="s">
        <v>58</v>
      </c>
      <c r="I116" s="3">
        <v>60</v>
      </c>
      <c r="J116" s="239">
        <v>0.10416666666666667</v>
      </c>
      <c r="K116" s="239">
        <v>0.17361111111111113</v>
      </c>
      <c r="L116" s="5">
        <f t="shared" si="9"/>
        <v>6.9444444444444461E-2</v>
      </c>
      <c r="M116" s="3" t="s">
        <v>73</v>
      </c>
      <c r="N116" s="191" t="s">
        <v>734</v>
      </c>
      <c r="O116" s="3">
        <v>3386</v>
      </c>
      <c r="P116" s="268" t="str">
        <f>IFERROR((O116/I116)/(VLOOKUP(H116,[71]!taux,2,FALSE)),"")</f>
        <v/>
      </c>
      <c r="Q116" s="233">
        <f t="shared" si="8"/>
        <v>3386</v>
      </c>
      <c r="R116" s="149">
        <v>4841.41</v>
      </c>
      <c r="S116" s="269">
        <f t="shared" si="11"/>
        <v>1.5999999999994543</v>
      </c>
      <c r="T116" s="233">
        <f t="shared" si="10"/>
        <v>2116.2500000007217</v>
      </c>
      <c r="U116" s="149">
        <v>1.75</v>
      </c>
      <c r="V116" s="197">
        <f t="shared" si="12"/>
        <v>1934.8571428571429</v>
      </c>
      <c r="AA116" s="3">
        <v>1693</v>
      </c>
      <c r="AB116" s="3">
        <v>1692</v>
      </c>
      <c r="AC116" s="3">
        <v>3385</v>
      </c>
      <c r="AD116" s="3">
        <v>3386</v>
      </c>
      <c r="AE116" s="233" t="s">
        <v>676</v>
      </c>
      <c r="AF116" s="233" t="s">
        <v>849</v>
      </c>
      <c r="AG116" s="233" t="s">
        <v>709</v>
      </c>
      <c r="AH116" s="233" t="s">
        <v>193</v>
      </c>
    </row>
    <row r="117" spans="2:48" x14ac:dyDescent="0.25">
      <c r="B117" s="235">
        <v>44976</v>
      </c>
      <c r="C117" s="233">
        <v>1</v>
      </c>
      <c r="D117" s="236">
        <v>44976</v>
      </c>
      <c r="E117" s="156">
        <v>8202</v>
      </c>
      <c r="F117" s="3">
        <v>110</v>
      </c>
      <c r="G117" s="3">
        <v>7619</v>
      </c>
      <c r="H117" s="3" t="s">
        <v>66</v>
      </c>
      <c r="I117" s="3">
        <v>58</v>
      </c>
      <c r="J117" s="239">
        <v>0.56597222222222221</v>
      </c>
      <c r="K117" s="239">
        <v>0.63888888888888895</v>
      </c>
      <c r="L117" s="234">
        <f t="shared" si="9"/>
        <v>7.2916666666666741E-2</v>
      </c>
      <c r="M117" s="233" t="s">
        <v>73</v>
      </c>
      <c r="N117" s="191" t="s">
        <v>734</v>
      </c>
      <c r="O117" s="3">
        <v>3410</v>
      </c>
      <c r="P117" s="268" t="str">
        <f>IFERROR((O117/I117)/(VLOOKUP(H117,[71]!taux,2,FALSE)),"")</f>
        <v/>
      </c>
      <c r="Q117" s="233">
        <f t="shared" si="8"/>
        <v>3410</v>
      </c>
      <c r="R117" s="149">
        <v>4843.12</v>
      </c>
      <c r="S117" s="269">
        <f t="shared" si="11"/>
        <v>1.7100000000000364</v>
      </c>
      <c r="T117" s="233">
        <f t="shared" si="10"/>
        <v>1994.1520467835833</v>
      </c>
      <c r="U117" s="149">
        <v>1.66</v>
      </c>
      <c r="V117" s="197">
        <f t="shared" si="12"/>
        <v>2054.2168674698796</v>
      </c>
      <c r="AA117" s="3">
        <v>1656</v>
      </c>
      <c r="AB117" s="3">
        <v>1740</v>
      </c>
      <c r="AC117" s="3">
        <v>3396</v>
      </c>
      <c r="AD117" s="3">
        <v>3410</v>
      </c>
      <c r="AE117" s="233" t="s">
        <v>939</v>
      </c>
      <c r="AF117" s="233" t="s">
        <v>940</v>
      </c>
      <c r="AG117" s="233" t="s">
        <v>941</v>
      </c>
      <c r="AH117" s="233" t="s">
        <v>942</v>
      </c>
    </row>
    <row r="118" spans="2:48" s="293" customFormat="1" x14ac:dyDescent="0.25">
      <c r="B118" s="292">
        <v>44976</v>
      </c>
      <c r="C118" s="293">
        <v>2</v>
      </c>
      <c r="D118" s="297">
        <v>44977</v>
      </c>
      <c r="E118" s="293">
        <v>8203</v>
      </c>
      <c r="F118" s="293">
        <v>111</v>
      </c>
      <c r="G118" s="293">
        <v>7605</v>
      </c>
      <c r="H118" s="293" t="s">
        <v>58</v>
      </c>
      <c r="I118" s="293">
        <v>60</v>
      </c>
      <c r="J118" s="294">
        <v>0.72916666666666663</v>
      </c>
      <c r="K118" s="294">
        <v>0.79166666666666663</v>
      </c>
      <c r="L118" s="298">
        <f t="shared" si="9"/>
        <v>6.25E-2</v>
      </c>
      <c r="M118" s="293" t="s">
        <v>73</v>
      </c>
      <c r="N118" s="293" t="s">
        <v>734</v>
      </c>
      <c r="O118" s="293">
        <v>3360</v>
      </c>
      <c r="P118" s="299" t="str">
        <f>IFERROR((O118/I118)/(VLOOKUP(H118,[71]!taux,2,FALSE)),"")</f>
        <v/>
      </c>
      <c r="Q118" s="293">
        <f t="shared" si="8"/>
        <v>3360</v>
      </c>
      <c r="R118" s="300">
        <v>4844.67</v>
      </c>
      <c r="S118" s="300">
        <f t="shared" si="11"/>
        <v>1.5500000000001819</v>
      </c>
      <c r="T118" s="293">
        <f t="shared" si="10"/>
        <v>2167.7419354836165</v>
      </c>
      <c r="U118" s="300">
        <v>1.57</v>
      </c>
      <c r="V118" s="301">
        <f t="shared" si="12"/>
        <v>2140.127388535032</v>
      </c>
      <c r="AA118" s="293">
        <v>1703</v>
      </c>
      <c r="AB118" s="293">
        <v>1619</v>
      </c>
      <c r="AC118" s="293">
        <v>3322</v>
      </c>
      <c r="AD118" s="293">
        <v>3360</v>
      </c>
      <c r="AE118" s="293" t="s">
        <v>182</v>
      </c>
      <c r="AF118" s="293" t="s">
        <v>144</v>
      </c>
      <c r="AG118" s="293" t="s">
        <v>822</v>
      </c>
      <c r="AH118" s="293" t="s">
        <v>148</v>
      </c>
      <c r="AI118" s="301"/>
    </row>
    <row r="119" spans="2:48" s="293" customFormat="1" x14ac:dyDescent="0.25">
      <c r="B119" s="292">
        <v>44976</v>
      </c>
      <c r="C119" s="293">
        <v>3</v>
      </c>
      <c r="D119" s="297">
        <v>44977</v>
      </c>
      <c r="E119" s="293">
        <v>8204</v>
      </c>
      <c r="F119" s="293">
        <v>112</v>
      </c>
      <c r="G119" s="293">
        <v>7617</v>
      </c>
      <c r="H119" s="293" t="s">
        <v>58</v>
      </c>
      <c r="I119" s="293">
        <v>60</v>
      </c>
      <c r="J119" s="294">
        <v>6.5972222222222224E-2</v>
      </c>
      <c r="K119" s="294">
        <v>0.12847222222222224</v>
      </c>
      <c r="L119" s="298">
        <f t="shared" si="9"/>
        <v>6.2500000000000014E-2</v>
      </c>
      <c r="M119" s="293" t="s">
        <v>73</v>
      </c>
      <c r="N119" s="293" t="s">
        <v>734</v>
      </c>
      <c r="O119" s="293">
        <v>3410</v>
      </c>
      <c r="P119" s="299" t="str">
        <f>IFERROR((O119/I119)/(VLOOKUP(H119,[71]!taux,2,FALSE)),"")</f>
        <v/>
      </c>
      <c r="Q119" s="293">
        <f t="shared" si="8"/>
        <v>3410</v>
      </c>
      <c r="R119" s="300">
        <v>4846.1499999999996</v>
      </c>
      <c r="S119" s="300">
        <f t="shared" si="11"/>
        <v>1.4799999999995634</v>
      </c>
      <c r="T119" s="293">
        <f t="shared" si="10"/>
        <v>2304.0540540547336</v>
      </c>
      <c r="U119" s="300">
        <v>1.56</v>
      </c>
      <c r="V119" s="301">
        <f t="shared" si="12"/>
        <v>2185.2564102564102</v>
      </c>
      <c r="AA119" s="233">
        <v>1656</v>
      </c>
      <c r="AB119" s="233">
        <v>1740</v>
      </c>
      <c r="AC119" s="233">
        <v>3396</v>
      </c>
      <c r="AD119" s="293">
        <v>3409</v>
      </c>
      <c r="AE119" s="293" t="s">
        <v>676</v>
      </c>
      <c r="AF119" s="293" t="s">
        <v>849</v>
      </c>
      <c r="AG119" s="293" t="s">
        <v>709</v>
      </c>
      <c r="AH119" s="293" t="s">
        <v>193</v>
      </c>
      <c r="AI119" s="301"/>
    </row>
    <row r="120" spans="2:48" s="293" customFormat="1" x14ac:dyDescent="0.25">
      <c r="B120" s="292">
        <v>44977</v>
      </c>
      <c r="C120" s="293">
        <v>1</v>
      </c>
      <c r="D120" s="297">
        <v>44977</v>
      </c>
      <c r="E120" s="293">
        <v>8205</v>
      </c>
      <c r="F120" s="293">
        <v>113</v>
      </c>
      <c r="G120" s="293">
        <v>7619</v>
      </c>
      <c r="H120" s="293" t="s">
        <v>66</v>
      </c>
      <c r="I120" s="293">
        <v>58</v>
      </c>
      <c r="J120" s="294">
        <v>0.42708333333333331</v>
      </c>
      <c r="K120" s="294">
        <v>0.49305555555555558</v>
      </c>
      <c r="L120" s="298">
        <f t="shared" si="9"/>
        <v>6.5972222222222265E-2</v>
      </c>
      <c r="M120" s="293" t="s">
        <v>73</v>
      </c>
      <c r="N120" s="293" t="s">
        <v>734</v>
      </c>
      <c r="O120" s="293">
        <v>3308</v>
      </c>
      <c r="P120" s="299" t="str">
        <f>IFERROR((O120/I120)/(VLOOKUP(H120,[71]!taux,2,FALSE)),"")</f>
        <v/>
      </c>
      <c r="Q120" s="293">
        <f t="shared" si="8"/>
        <v>3308</v>
      </c>
      <c r="R120" s="300">
        <v>4847.6000000000004</v>
      </c>
      <c r="S120" s="300">
        <f t="shared" si="11"/>
        <v>1.4500000000007276</v>
      </c>
      <c r="T120" s="293">
        <f t="shared" si="10"/>
        <v>2281.3793103436828</v>
      </c>
      <c r="U120" s="300">
        <v>1.67</v>
      </c>
      <c r="V120" s="301">
        <f t="shared" si="12"/>
        <v>1980.8383233532934</v>
      </c>
      <c r="AA120" s="293">
        <v>1710</v>
      </c>
      <c r="AB120" s="293">
        <v>1598</v>
      </c>
      <c r="AC120" s="293">
        <v>3308</v>
      </c>
      <c r="AD120" s="293">
        <v>3308</v>
      </c>
      <c r="AE120" s="293" t="s">
        <v>223</v>
      </c>
      <c r="AF120" s="293" t="s">
        <v>223</v>
      </c>
      <c r="AG120" s="293" t="s">
        <v>451</v>
      </c>
      <c r="AH120" s="293" t="s">
        <v>144</v>
      </c>
      <c r="AI120" s="301"/>
    </row>
    <row r="121" spans="2:48" x14ac:dyDescent="0.25">
      <c r="B121" s="235">
        <v>44977</v>
      </c>
      <c r="C121" s="3">
        <v>2</v>
      </c>
      <c r="D121" s="236">
        <v>44978</v>
      </c>
      <c r="E121" s="156">
        <v>8206</v>
      </c>
      <c r="F121" s="3">
        <v>114</v>
      </c>
      <c r="G121" s="3">
        <v>7605</v>
      </c>
      <c r="H121" s="3" t="s">
        <v>58</v>
      </c>
      <c r="I121" s="3">
        <v>60</v>
      </c>
      <c r="J121" s="239">
        <v>0.72916666666666663</v>
      </c>
      <c r="K121" s="239">
        <v>0.79861111111111116</v>
      </c>
      <c r="L121" s="5">
        <f t="shared" si="9"/>
        <v>6.9444444444444531E-2</v>
      </c>
      <c r="M121" s="3" t="s">
        <v>73</v>
      </c>
      <c r="N121" s="233" t="s">
        <v>734</v>
      </c>
      <c r="O121" s="3">
        <v>3338</v>
      </c>
      <c r="P121" s="268" t="str">
        <f>IFERROR((O121/I121)/(VLOOKUP(H121,[71]!taux,2,FALSE)),"")</f>
        <v/>
      </c>
      <c r="Q121" s="233">
        <f t="shared" si="8"/>
        <v>3338</v>
      </c>
      <c r="R121" s="149">
        <v>4849.37</v>
      </c>
      <c r="S121" s="269">
        <f t="shared" si="11"/>
        <v>1.7699999999995271</v>
      </c>
      <c r="T121" s="233">
        <f t="shared" si="10"/>
        <v>1885.8757062151931</v>
      </c>
      <c r="U121" s="149">
        <v>1.73</v>
      </c>
      <c r="V121" s="197">
        <f t="shared" si="12"/>
        <v>1929.4797687861271</v>
      </c>
      <c r="AA121" s="3">
        <v>1631</v>
      </c>
      <c r="AB121" s="3">
        <v>1705</v>
      </c>
      <c r="AC121" s="3">
        <v>3337</v>
      </c>
      <c r="AD121" s="3">
        <v>3338</v>
      </c>
      <c r="AE121" s="233" t="s">
        <v>676</v>
      </c>
      <c r="AF121" s="233" t="s">
        <v>849</v>
      </c>
      <c r="AG121" s="233" t="s">
        <v>709</v>
      </c>
      <c r="AH121" s="233" t="s">
        <v>500</v>
      </c>
    </row>
    <row r="122" spans="2:48" x14ac:dyDescent="0.25">
      <c r="B122" s="235">
        <v>44977</v>
      </c>
      <c r="C122" s="3">
        <v>3</v>
      </c>
      <c r="D122" s="148">
        <v>44978</v>
      </c>
      <c r="E122" s="156">
        <v>8207</v>
      </c>
      <c r="F122" s="3">
        <v>115</v>
      </c>
      <c r="G122" s="233">
        <v>7617</v>
      </c>
      <c r="H122" s="3" t="s">
        <v>58</v>
      </c>
      <c r="I122" s="3">
        <v>60</v>
      </c>
      <c r="J122" s="239">
        <v>7.9861111111111105E-2</v>
      </c>
      <c r="K122" s="239">
        <v>0.1423611111111111</v>
      </c>
      <c r="L122" s="5">
        <f t="shared" si="9"/>
        <v>6.25E-2</v>
      </c>
      <c r="M122" s="3" t="s">
        <v>73</v>
      </c>
      <c r="N122" s="233" t="s">
        <v>734</v>
      </c>
      <c r="O122" s="3">
        <v>3310</v>
      </c>
      <c r="P122" s="268" t="str">
        <f>IFERROR((O122/I122)/(VLOOKUP(H122,[71]!taux,2,FALSE)),"")</f>
        <v/>
      </c>
      <c r="Q122" s="233">
        <f t="shared" si="8"/>
        <v>3310</v>
      </c>
      <c r="R122" s="149">
        <v>4850.75</v>
      </c>
      <c r="S122" s="269">
        <f t="shared" si="11"/>
        <v>1.3800000000001091</v>
      </c>
      <c r="T122" s="233">
        <f t="shared" si="10"/>
        <v>2398.5507246374914</v>
      </c>
      <c r="U122" s="149">
        <v>1.52</v>
      </c>
      <c r="V122" s="197">
        <f t="shared" si="12"/>
        <v>2177.6315789473683</v>
      </c>
      <c r="AA122" s="3">
        <v>1685</v>
      </c>
      <c r="AB122" s="3">
        <v>1704</v>
      </c>
      <c r="AC122" s="3">
        <v>3390</v>
      </c>
      <c r="AD122" s="3">
        <v>3310</v>
      </c>
      <c r="AE122" s="233" t="s">
        <v>182</v>
      </c>
      <c r="AF122" s="3" t="s">
        <v>952</v>
      </c>
      <c r="AG122" s="3" t="s">
        <v>816</v>
      </c>
      <c r="AH122" s="3" t="s">
        <v>771</v>
      </c>
    </row>
    <row r="123" spans="2:48" x14ac:dyDescent="0.25">
      <c r="B123" s="235">
        <v>44978</v>
      </c>
      <c r="C123" s="3">
        <v>1</v>
      </c>
      <c r="D123" s="148">
        <v>44978</v>
      </c>
      <c r="E123" s="156">
        <v>8208</v>
      </c>
      <c r="F123" s="3">
        <v>116</v>
      </c>
      <c r="G123" s="3">
        <v>7619</v>
      </c>
      <c r="H123" s="3" t="s">
        <v>58</v>
      </c>
      <c r="I123" s="3">
        <v>59</v>
      </c>
      <c r="J123" s="239">
        <v>0.48958333333333331</v>
      </c>
      <c r="K123" s="239">
        <v>0.55902777777777779</v>
      </c>
      <c r="L123" s="5">
        <f t="shared" si="9"/>
        <v>6.9444444444444475E-2</v>
      </c>
      <c r="M123" s="3" t="s">
        <v>73</v>
      </c>
      <c r="N123" s="3" t="s">
        <v>734</v>
      </c>
      <c r="O123" s="3">
        <v>3350</v>
      </c>
      <c r="P123" s="268" t="str">
        <f>IFERROR((O123/I123)/(VLOOKUP(H123,[71]!taux,2,FALSE)),"")</f>
        <v/>
      </c>
      <c r="Q123" s="233">
        <f t="shared" si="8"/>
        <v>3350</v>
      </c>
      <c r="R123" s="149">
        <v>4852.3999999999996</v>
      </c>
      <c r="S123" s="269">
        <f t="shared" si="11"/>
        <v>1.6499999999996362</v>
      </c>
      <c r="T123" s="233">
        <f t="shared" si="10"/>
        <v>2030.303030303478</v>
      </c>
      <c r="U123" s="149">
        <v>1.72</v>
      </c>
      <c r="V123" s="197">
        <f t="shared" si="12"/>
        <v>1947.6744186046512</v>
      </c>
      <c r="AA123" s="3">
        <v>1712</v>
      </c>
      <c r="AB123" s="3">
        <v>1553</v>
      </c>
      <c r="AC123" s="233">
        <v>3350</v>
      </c>
      <c r="AD123" s="3">
        <v>3350</v>
      </c>
      <c r="AE123" s="3" t="s">
        <v>223</v>
      </c>
      <c r="AF123" s="3" t="s">
        <v>472</v>
      </c>
      <c r="AG123" s="3" t="s">
        <v>953</v>
      </c>
    </row>
    <row r="124" spans="2:48" x14ac:dyDescent="0.25">
      <c r="B124" s="235">
        <v>44978</v>
      </c>
      <c r="C124" s="233">
        <v>2</v>
      </c>
      <c r="D124" s="236">
        <v>44979</v>
      </c>
      <c r="E124" s="237">
        <v>8209</v>
      </c>
      <c r="F124" s="233">
        <v>117</v>
      </c>
      <c r="G124" s="3">
        <v>7605</v>
      </c>
      <c r="H124" s="233" t="s">
        <v>58</v>
      </c>
      <c r="I124" s="3">
        <v>60</v>
      </c>
      <c r="J124" s="239">
        <v>0.72916666666666663</v>
      </c>
      <c r="K124" s="239">
        <v>0.80208333333333337</v>
      </c>
      <c r="L124" s="5">
        <f t="shared" si="9"/>
        <v>7.2916666666666741E-2</v>
      </c>
      <c r="M124" s="3" t="s">
        <v>73</v>
      </c>
      <c r="N124" s="3" t="s">
        <v>733</v>
      </c>
      <c r="O124" s="3">
        <v>3340</v>
      </c>
      <c r="P124" s="268" t="str">
        <f>IFERROR((O124/I124)/(VLOOKUP(H124,[71]!taux,2,FALSE)),"")</f>
        <v/>
      </c>
      <c r="Q124" s="233">
        <f t="shared" ref="Q124:Q150" si="13">O124-W124</f>
        <v>3340</v>
      </c>
      <c r="R124" s="149">
        <v>4854.0200000000004</v>
      </c>
      <c r="S124" s="269">
        <f t="shared" si="11"/>
        <v>1.6200000000008004</v>
      </c>
      <c r="T124" s="233">
        <f t="shared" si="10"/>
        <v>2061.7283950607098</v>
      </c>
      <c r="U124" s="149">
        <v>1.6</v>
      </c>
      <c r="V124" s="197">
        <f t="shared" si="12"/>
        <v>2087.5</v>
      </c>
      <c r="AA124" s="3">
        <v>1598</v>
      </c>
      <c r="AB124" s="3">
        <v>1810</v>
      </c>
      <c r="AC124" s="3">
        <v>3408</v>
      </c>
      <c r="AD124" s="3">
        <v>3340</v>
      </c>
      <c r="AE124" s="233" t="s">
        <v>676</v>
      </c>
      <c r="AF124" s="233" t="s">
        <v>849</v>
      </c>
      <c r="AG124" s="233" t="s">
        <v>709</v>
      </c>
      <c r="AH124" s="233" t="s">
        <v>500</v>
      </c>
    </row>
    <row r="125" spans="2:48" x14ac:dyDescent="0.25">
      <c r="B125" s="235">
        <v>44978</v>
      </c>
      <c r="C125" s="233">
        <v>3</v>
      </c>
      <c r="D125" s="236">
        <v>44979</v>
      </c>
      <c r="E125" s="156">
        <v>8210</v>
      </c>
      <c r="F125" s="3">
        <v>118</v>
      </c>
      <c r="G125" s="233">
        <v>7617</v>
      </c>
      <c r="H125" s="3" t="s">
        <v>66</v>
      </c>
      <c r="I125" s="3">
        <v>57</v>
      </c>
      <c r="J125" s="239">
        <v>3.472222222222222E-3</v>
      </c>
      <c r="K125" s="239">
        <v>6.9444444444444434E-2</v>
      </c>
      <c r="L125" s="5">
        <f t="shared" si="9"/>
        <v>6.597222222222221E-2</v>
      </c>
      <c r="M125" s="233" t="s">
        <v>73</v>
      </c>
      <c r="N125" s="233" t="s">
        <v>733</v>
      </c>
      <c r="O125" s="3">
        <v>3280</v>
      </c>
      <c r="P125" s="268" t="str">
        <f>IFERROR((O125/I125)/(VLOOKUP(H125,[71]!taux,2,FALSE)),"")</f>
        <v/>
      </c>
      <c r="Q125" s="233">
        <f t="shared" si="13"/>
        <v>3280</v>
      </c>
      <c r="R125" s="149">
        <v>4855.88</v>
      </c>
      <c r="S125" s="269">
        <f t="shared" si="11"/>
        <v>1.8599999999996726</v>
      </c>
      <c r="T125" s="233">
        <f t="shared" si="10"/>
        <v>1763.4408602153642</v>
      </c>
      <c r="U125" s="149">
        <v>1.82</v>
      </c>
      <c r="V125" s="197">
        <f t="shared" si="12"/>
        <v>1802.197802197802</v>
      </c>
      <c r="AA125" s="3">
        <v>1601</v>
      </c>
      <c r="AB125" s="3">
        <v>1675</v>
      </c>
      <c r="AC125" s="3">
        <v>3277</v>
      </c>
      <c r="AD125" s="3">
        <v>3280</v>
      </c>
      <c r="AE125" s="233" t="s">
        <v>182</v>
      </c>
      <c r="AF125" s="233" t="s">
        <v>952</v>
      </c>
      <c r="AG125" s="233" t="s">
        <v>816</v>
      </c>
      <c r="AH125" s="233" t="s">
        <v>771</v>
      </c>
    </row>
    <row r="126" spans="2:48" x14ac:dyDescent="0.25">
      <c r="B126" s="235">
        <v>44979</v>
      </c>
      <c r="C126" s="3">
        <v>1</v>
      </c>
      <c r="D126" s="236">
        <v>44979</v>
      </c>
      <c r="E126" s="156">
        <v>8211</v>
      </c>
      <c r="F126" s="3">
        <v>119</v>
      </c>
      <c r="G126" s="233">
        <v>7619</v>
      </c>
      <c r="H126" s="3" t="s">
        <v>58</v>
      </c>
      <c r="I126" s="3">
        <v>60</v>
      </c>
      <c r="J126" s="239">
        <v>0.4375</v>
      </c>
      <c r="K126" s="239">
        <v>0.51388888888888895</v>
      </c>
      <c r="L126" s="5">
        <f t="shared" si="9"/>
        <v>7.6388888888888951E-2</v>
      </c>
      <c r="M126" s="3" t="s">
        <v>73</v>
      </c>
      <c r="N126" s="233" t="s">
        <v>733</v>
      </c>
      <c r="O126" s="3">
        <v>3330</v>
      </c>
      <c r="P126" s="268" t="str">
        <f>IFERROR((O126/I126)/(VLOOKUP(H126,[71]!taux,2,FALSE)),"")</f>
        <v/>
      </c>
      <c r="Q126" s="233">
        <f t="shared" si="13"/>
        <v>3330</v>
      </c>
      <c r="R126" s="149">
        <v>4857.6899999999996</v>
      </c>
      <c r="S126" s="269">
        <f t="shared" si="11"/>
        <v>1.8099999999994907</v>
      </c>
      <c r="T126" s="233">
        <f t="shared" si="10"/>
        <v>1839.7790055253795</v>
      </c>
      <c r="U126" s="149">
        <v>2.0499999999999998</v>
      </c>
      <c r="V126" s="197">
        <f t="shared" si="12"/>
        <v>1624.3902439024391</v>
      </c>
      <c r="AA126" s="3">
        <v>1648</v>
      </c>
      <c r="AB126" s="3">
        <v>1645</v>
      </c>
      <c r="AC126" s="3">
        <v>3293</v>
      </c>
      <c r="AD126" s="3">
        <v>3330</v>
      </c>
      <c r="AE126" s="233" t="s">
        <v>926</v>
      </c>
      <c r="AF126" s="3" t="s">
        <v>708</v>
      </c>
      <c r="AG126" s="3" t="s">
        <v>921</v>
      </c>
      <c r="AH126" s="3" t="s">
        <v>144</v>
      </c>
    </row>
    <row r="127" spans="2:48" x14ac:dyDescent="0.25">
      <c r="B127" s="235">
        <v>44979</v>
      </c>
      <c r="C127" s="233">
        <v>2</v>
      </c>
      <c r="D127" s="236">
        <v>44980</v>
      </c>
      <c r="E127" s="237">
        <v>8212</v>
      </c>
      <c r="F127" s="233">
        <v>120</v>
      </c>
      <c r="G127" s="3">
        <v>7605</v>
      </c>
      <c r="H127" s="3" t="s">
        <v>58</v>
      </c>
      <c r="I127" s="3">
        <v>60</v>
      </c>
      <c r="J127" s="239">
        <v>0.78125</v>
      </c>
      <c r="K127" s="239">
        <v>0.85416666666666663</v>
      </c>
      <c r="L127" s="5">
        <f t="shared" si="9"/>
        <v>7.291666666666663E-2</v>
      </c>
      <c r="M127" s="3" t="s">
        <v>73</v>
      </c>
      <c r="N127" s="3" t="s">
        <v>733</v>
      </c>
      <c r="O127" s="3">
        <v>3250</v>
      </c>
      <c r="P127" s="268" t="str">
        <f>IFERROR((O127/I127)/(VLOOKUP(H127,[71]!taux,2,FALSE)),"")</f>
        <v/>
      </c>
      <c r="Q127" s="233">
        <f t="shared" si="13"/>
        <v>3250</v>
      </c>
      <c r="R127" s="149">
        <v>4859.3900000000003</v>
      </c>
      <c r="S127" s="269">
        <f t="shared" si="11"/>
        <v>1.7000000000007276</v>
      </c>
      <c r="T127" s="233">
        <f t="shared" si="10"/>
        <v>1911.7647058815346</v>
      </c>
      <c r="U127" s="149">
        <v>1.85</v>
      </c>
      <c r="V127" s="197">
        <f t="shared" si="12"/>
        <v>1756.7567567567567</v>
      </c>
      <c r="AA127" s="3">
        <v>1565</v>
      </c>
      <c r="AB127" s="3">
        <v>1684</v>
      </c>
      <c r="AC127" s="3">
        <v>3249</v>
      </c>
      <c r="AD127" s="3">
        <v>3250</v>
      </c>
      <c r="AF127" s="3" t="s">
        <v>179</v>
      </c>
      <c r="AG127" s="3" t="s">
        <v>709</v>
      </c>
    </row>
    <row r="128" spans="2:48" s="233" customFormat="1" x14ac:dyDescent="0.25">
      <c r="B128" s="235">
        <v>44979</v>
      </c>
      <c r="C128" s="233">
        <v>3</v>
      </c>
      <c r="D128" s="236">
        <v>44980</v>
      </c>
      <c r="E128" s="237">
        <v>8213</v>
      </c>
      <c r="F128" s="233">
        <v>121</v>
      </c>
      <c r="G128" s="233">
        <v>7617</v>
      </c>
      <c r="H128" s="233" t="s">
        <v>58</v>
      </c>
      <c r="I128" s="233">
        <v>60</v>
      </c>
      <c r="J128" s="239">
        <v>0.125</v>
      </c>
      <c r="K128" s="239">
        <v>0.19444444444444445</v>
      </c>
      <c r="L128" s="234">
        <f t="shared" si="9"/>
        <v>6.9444444444444448E-2</v>
      </c>
      <c r="M128" s="233" t="s">
        <v>73</v>
      </c>
      <c r="N128" s="233" t="s">
        <v>733</v>
      </c>
      <c r="O128" s="233">
        <v>3320</v>
      </c>
      <c r="P128" s="268" t="str">
        <f>IFERROR((O128/I128)/(VLOOKUP(H128,[71]!taux,2,FALSE)),"")</f>
        <v/>
      </c>
      <c r="Q128" s="233">
        <f t="shared" si="13"/>
        <v>3320</v>
      </c>
      <c r="R128" s="149">
        <v>4861.1899999999996</v>
      </c>
      <c r="S128" s="269">
        <f t="shared" si="11"/>
        <v>1.7999999999992724</v>
      </c>
      <c r="T128" s="233">
        <f t="shared" si="10"/>
        <v>1844.4444444451899</v>
      </c>
      <c r="U128" s="149">
        <v>1.95</v>
      </c>
      <c r="V128" s="197">
        <f t="shared" si="12"/>
        <v>1702.5641025641025</v>
      </c>
      <c r="W128" s="152"/>
      <c r="X128" s="191"/>
      <c r="Z128" s="152"/>
      <c r="AA128" s="233">
        <v>1645</v>
      </c>
      <c r="AB128" s="233">
        <v>1669</v>
      </c>
      <c r="AC128" s="233">
        <v>3315</v>
      </c>
      <c r="AD128" s="233">
        <v>3320</v>
      </c>
      <c r="AE128" s="233" t="s">
        <v>182</v>
      </c>
      <c r="AF128" s="233" t="s">
        <v>952</v>
      </c>
      <c r="AG128" s="233" t="s">
        <v>816</v>
      </c>
      <c r="AH128" s="233" t="s">
        <v>771</v>
      </c>
      <c r="AI128" s="197"/>
      <c r="AU128" s="153"/>
      <c r="AV128" s="153"/>
    </row>
    <row r="129" spans="2:34" x14ac:dyDescent="0.25">
      <c r="B129" s="235">
        <v>44980</v>
      </c>
      <c r="C129" s="3">
        <v>1</v>
      </c>
      <c r="D129" s="236">
        <v>44980</v>
      </c>
      <c r="E129" s="237">
        <v>8214</v>
      </c>
      <c r="F129" s="3">
        <v>8</v>
      </c>
      <c r="G129" s="3">
        <v>7619</v>
      </c>
      <c r="H129" s="3" t="s">
        <v>66</v>
      </c>
      <c r="I129" s="3">
        <v>55</v>
      </c>
      <c r="J129" s="239">
        <v>0.38541666666666669</v>
      </c>
      <c r="K129" s="239">
        <v>0.4513888888888889</v>
      </c>
      <c r="L129" s="5">
        <f t="shared" si="9"/>
        <v>6.597222222222221E-2</v>
      </c>
      <c r="M129" s="3" t="s">
        <v>59</v>
      </c>
      <c r="N129" s="3" t="s">
        <v>737</v>
      </c>
      <c r="O129" s="3">
        <v>3210</v>
      </c>
      <c r="P129" s="268" t="str">
        <f>IFERROR((O129/I129)/(VLOOKUP(H129,[71]!taux,2,FALSE)),"")</f>
        <v/>
      </c>
      <c r="Q129" s="233">
        <f t="shared" si="13"/>
        <v>2380</v>
      </c>
      <c r="R129" s="149">
        <v>4862.7299999999996</v>
      </c>
      <c r="S129" s="269">
        <f t="shared" si="11"/>
        <v>1.5399999999999636</v>
      </c>
      <c r="T129" s="233">
        <f t="shared" si="10"/>
        <v>1545.4545454545819</v>
      </c>
      <c r="U129" s="149">
        <v>1.64</v>
      </c>
      <c r="V129" s="197">
        <f t="shared" si="12"/>
        <v>1957.3170731707319</v>
      </c>
      <c r="W129" s="152">
        <v>830</v>
      </c>
      <c r="AA129" s="3">
        <v>1642</v>
      </c>
      <c r="AB129" s="3">
        <v>1568</v>
      </c>
      <c r="AC129" s="3">
        <v>3210</v>
      </c>
      <c r="AD129" s="3">
        <v>3210</v>
      </c>
      <c r="AE129" s="3" t="s">
        <v>963</v>
      </c>
      <c r="AF129" s="233" t="s">
        <v>708</v>
      </c>
      <c r="AG129" s="233" t="s">
        <v>921</v>
      </c>
      <c r="AH129" s="233" t="s">
        <v>144</v>
      </c>
    </row>
    <row r="130" spans="2:34" x14ac:dyDescent="0.25">
      <c r="B130" s="235">
        <v>44980</v>
      </c>
      <c r="C130" s="233">
        <v>1</v>
      </c>
      <c r="D130" s="236">
        <v>44980</v>
      </c>
      <c r="E130" s="156">
        <v>8215</v>
      </c>
      <c r="F130" s="3">
        <v>122</v>
      </c>
      <c r="G130" s="233">
        <v>7625</v>
      </c>
      <c r="H130" s="3" t="s">
        <v>58</v>
      </c>
      <c r="I130" s="3">
        <v>60</v>
      </c>
      <c r="J130" s="239">
        <v>0.72569444444444453</v>
      </c>
      <c r="K130" s="239">
        <v>0.79861111111111116</v>
      </c>
      <c r="L130" s="5">
        <f t="shared" si="9"/>
        <v>7.291666666666663E-2</v>
      </c>
      <c r="M130" s="3" t="s">
        <v>73</v>
      </c>
      <c r="N130" s="3" t="s">
        <v>733</v>
      </c>
      <c r="O130" s="3">
        <v>3300</v>
      </c>
      <c r="P130" s="268" t="str">
        <f>IFERROR((O130/I130)/(VLOOKUP(H130,[71]!taux,2,FALSE)),"")</f>
        <v/>
      </c>
      <c r="Q130" s="233">
        <f t="shared" si="13"/>
        <v>3300</v>
      </c>
      <c r="R130" s="149">
        <v>4864.45</v>
      </c>
      <c r="S130" s="269">
        <f t="shared" si="11"/>
        <v>1.7200000000002547</v>
      </c>
      <c r="T130" s="233">
        <f t="shared" si="10"/>
        <v>1918.6046511625066</v>
      </c>
      <c r="U130" s="149">
        <v>1.94</v>
      </c>
      <c r="V130" s="197">
        <f t="shared" si="12"/>
        <v>1701.0309278350517</v>
      </c>
      <c r="AA130" s="3">
        <v>1596</v>
      </c>
      <c r="AB130" s="3">
        <v>1694</v>
      </c>
      <c r="AC130" s="3">
        <v>3291</v>
      </c>
      <c r="AD130" s="3">
        <v>3300</v>
      </c>
      <c r="AE130" s="233" t="s">
        <v>676</v>
      </c>
      <c r="AF130" s="233" t="s">
        <v>500</v>
      </c>
      <c r="AG130" s="233" t="s">
        <v>709</v>
      </c>
      <c r="AH130" s="233" t="s">
        <v>849</v>
      </c>
    </row>
    <row r="131" spans="2:34" x14ac:dyDescent="0.25">
      <c r="B131" s="235">
        <v>44980</v>
      </c>
      <c r="C131" s="3">
        <v>3</v>
      </c>
      <c r="D131" s="148">
        <v>44981</v>
      </c>
      <c r="E131" s="156">
        <v>8216</v>
      </c>
      <c r="F131" s="3">
        <v>123</v>
      </c>
      <c r="G131" s="3">
        <v>7605</v>
      </c>
      <c r="H131" s="3" t="s">
        <v>58</v>
      </c>
      <c r="I131" s="3">
        <v>60</v>
      </c>
      <c r="J131" s="239">
        <v>2.0833333333333332E-2</v>
      </c>
      <c r="K131" s="239">
        <v>9.0277777777777776E-2</v>
      </c>
      <c r="L131" s="5">
        <f t="shared" si="9"/>
        <v>6.9444444444444448E-2</v>
      </c>
      <c r="M131" s="3" t="s">
        <v>73</v>
      </c>
      <c r="N131" s="233" t="s">
        <v>733</v>
      </c>
      <c r="O131" s="3">
        <v>3305</v>
      </c>
      <c r="P131" s="268" t="str">
        <f>IFERROR((O131/I131)/(VLOOKUP(H131,[71]!taux,2,FALSE)),"")</f>
        <v/>
      </c>
      <c r="Q131" s="233">
        <f t="shared" si="13"/>
        <v>3305</v>
      </c>
      <c r="R131" s="149">
        <v>4866.21</v>
      </c>
      <c r="S131" s="269">
        <f t="shared" si="11"/>
        <v>1.7600000000002183</v>
      </c>
      <c r="T131" s="233">
        <f t="shared" si="10"/>
        <v>1877.8409090906762</v>
      </c>
      <c r="U131" s="149">
        <v>1.88</v>
      </c>
      <c r="V131" s="197">
        <f t="shared" si="12"/>
        <v>1757.9787234042553</v>
      </c>
      <c r="AA131" s="3">
        <v>1634</v>
      </c>
      <c r="AB131" s="3">
        <v>1670</v>
      </c>
      <c r="AC131" s="3">
        <v>3305</v>
      </c>
      <c r="AD131" s="3">
        <v>3305</v>
      </c>
      <c r="AE131" s="233" t="s">
        <v>182</v>
      </c>
      <c r="AF131" s="233" t="s">
        <v>952</v>
      </c>
      <c r="AG131" s="233" t="s">
        <v>816</v>
      </c>
      <c r="AH131" s="233" t="s">
        <v>771</v>
      </c>
    </row>
    <row r="132" spans="2:34" x14ac:dyDescent="0.25">
      <c r="B132" s="235">
        <v>44981</v>
      </c>
      <c r="C132" s="3">
        <v>1</v>
      </c>
      <c r="D132" s="236">
        <v>44981</v>
      </c>
      <c r="E132" s="156">
        <v>8217</v>
      </c>
      <c r="F132" s="3">
        <v>124</v>
      </c>
      <c r="G132" s="233">
        <v>7617</v>
      </c>
      <c r="H132" s="3" t="s">
        <v>66</v>
      </c>
      <c r="I132" s="3">
        <v>55</v>
      </c>
      <c r="J132" s="239">
        <v>0.33333333333333331</v>
      </c>
      <c r="K132" s="239">
        <v>0.41319444444444442</v>
      </c>
      <c r="L132" s="5">
        <f t="shared" si="9"/>
        <v>7.9861111111111105E-2</v>
      </c>
      <c r="M132" s="233" t="s">
        <v>73</v>
      </c>
      <c r="N132" s="233" t="s">
        <v>733</v>
      </c>
      <c r="O132" s="3">
        <v>3195</v>
      </c>
      <c r="P132" s="268" t="str">
        <f>IFERROR((O132/I132)/(VLOOKUP(H132,[71]!taux,2,FALSE)),"")</f>
        <v/>
      </c>
      <c r="Q132" s="233">
        <f t="shared" si="13"/>
        <v>3195</v>
      </c>
      <c r="R132" s="149">
        <v>4868.16</v>
      </c>
      <c r="S132" s="269">
        <f t="shared" si="11"/>
        <v>1.9499999999998181</v>
      </c>
      <c r="T132" s="233">
        <f t="shared" si="10"/>
        <v>1638.4615384616914</v>
      </c>
      <c r="U132" s="149">
        <v>1.95</v>
      </c>
      <c r="V132" s="197">
        <f t="shared" si="12"/>
        <v>1638.4615384615386</v>
      </c>
      <c r="AA132" s="3">
        <v>1634</v>
      </c>
      <c r="AB132" s="3">
        <v>1560</v>
      </c>
      <c r="AC132" s="3">
        <v>3195</v>
      </c>
      <c r="AD132" s="3">
        <v>3195</v>
      </c>
      <c r="AE132" s="233" t="s">
        <v>926</v>
      </c>
      <c r="AF132" s="233" t="s">
        <v>708</v>
      </c>
      <c r="AG132" s="233" t="s">
        <v>921</v>
      </c>
      <c r="AH132" s="233" t="s">
        <v>144</v>
      </c>
    </row>
    <row r="133" spans="2:34" x14ac:dyDescent="0.25">
      <c r="B133" s="235">
        <v>44981</v>
      </c>
      <c r="C133" s="3">
        <v>1</v>
      </c>
      <c r="D133" s="236">
        <v>44981</v>
      </c>
      <c r="E133" s="156">
        <v>8218</v>
      </c>
      <c r="F133" s="3">
        <v>9</v>
      </c>
      <c r="G133" s="3">
        <v>7619</v>
      </c>
      <c r="H133" s="3" t="s">
        <v>58</v>
      </c>
      <c r="I133" s="3">
        <v>56</v>
      </c>
      <c r="J133" s="239">
        <v>0.59722222222222221</v>
      </c>
      <c r="K133" s="239">
        <v>0.67708333333333337</v>
      </c>
      <c r="L133" s="5">
        <f t="shared" si="9"/>
        <v>7.986111111111116E-2</v>
      </c>
      <c r="M133" s="233" t="s">
        <v>59</v>
      </c>
      <c r="N133" s="233" t="s">
        <v>737</v>
      </c>
      <c r="O133" s="3">
        <f>2656+446</f>
        <v>3102</v>
      </c>
      <c r="P133" s="268" t="str">
        <f>IFERROR((O133/I133)/(VLOOKUP(H133,[71]!taux,2,FALSE)),"")</f>
        <v/>
      </c>
      <c r="Q133" s="233">
        <f t="shared" si="13"/>
        <v>2791</v>
      </c>
      <c r="R133" s="149">
        <v>4869.8900000000003</v>
      </c>
      <c r="S133" s="269">
        <f t="shared" si="11"/>
        <v>1.7300000000004729</v>
      </c>
      <c r="T133" s="233">
        <f t="shared" si="10"/>
        <v>1613.2947976874202</v>
      </c>
      <c r="U133" s="149">
        <f>1.27+0.85</f>
        <v>2.12</v>
      </c>
      <c r="V133" s="197">
        <f t="shared" si="12"/>
        <v>1463.2075471698113</v>
      </c>
      <c r="W133" s="152">
        <v>311</v>
      </c>
      <c r="AA133" s="3">
        <f>112+1391</f>
        <v>1503</v>
      </c>
      <c r="AB133" s="3">
        <f>335+1264</f>
        <v>1599</v>
      </c>
      <c r="AC133" s="233">
        <f>1503+1599</f>
        <v>3102</v>
      </c>
      <c r="AD133" s="3">
        <v>3102</v>
      </c>
      <c r="AE133" s="233" t="s">
        <v>926</v>
      </c>
      <c r="AF133" s="233" t="s">
        <v>708</v>
      </c>
      <c r="AG133" s="233" t="s">
        <v>921</v>
      </c>
      <c r="AH133" s="233" t="s">
        <v>144</v>
      </c>
    </row>
    <row r="134" spans="2:34" x14ac:dyDescent="0.25">
      <c r="B134" s="235">
        <v>44981</v>
      </c>
      <c r="C134" s="3">
        <v>2</v>
      </c>
      <c r="D134" s="236">
        <v>44982</v>
      </c>
      <c r="E134" s="237">
        <v>8219</v>
      </c>
      <c r="F134" s="3">
        <v>125</v>
      </c>
      <c r="G134" s="3">
        <v>7605</v>
      </c>
      <c r="H134" s="3" t="s">
        <v>58</v>
      </c>
      <c r="I134" s="3">
        <v>60</v>
      </c>
      <c r="J134" s="239">
        <v>0.84375</v>
      </c>
      <c r="K134" s="239">
        <v>0.92708333333333337</v>
      </c>
      <c r="L134" s="5">
        <f t="shared" si="9"/>
        <v>8.333333333333337E-2</v>
      </c>
      <c r="M134" s="3" t="s">
        <v>73</v>
      </c>
      <c r="N134" s="3" t="s">
        <v>735</v>
      </c>
      <c r="O134" s="3">
        <v>3350</v>
      </c>
      <c r="P134" s="268" t="str">
        <f>IFERROR((O134/I134)/(VLOOKUP(H134,[71]!taux,2,FALSE)),"")</f>
        <v/>
      </c>
      <c r="Q134" s="233">
        <f t="shared" si="13"/>
        <v>3350</v>
      </c>
      <c r="R134" s="149">
        <v>4871.8100000000004</v>
      </c>
      <c r="S134" s="269">
        <f t="shared" si="11"/>
        <v>1.9200000000000728</v>
      </c>
      <c r="T134" s="233">
        <f t="shared" si="10"/>
        <v>1744.7916666666006</v>
      </c>
      <c r="U134" s="149">
        <v>2.2000000000000002</v>
      </c>
      <c r="V134" s="197">
        <f t="shared" si="12"/>
        <v>1495.4545454545453</v>
      </c>
      <c r="AA134" s="3">
        <v>1529</v>
      </c>
      <c r="AB134" s="3">
        <v>1686</v>
      </c>
      <c r="AC134" s="3">
        <v>3215</v>
      </c>
      <c r="AD134" s="3">
        <v>3290</v>
      </c>
      <c r="AE134" s="233" t="s">
        <v>676</v>
      </c>
      <c r="AF134" s="233" t="s">
        <v>500</v>
      </c>
      <c r="AG134" s="233" t="s">
        <v>709</v>
      </c>
      <c r="AH134" s="233" t="s">
        <v>849</v>
      </c>
    </row>
    <row r="135" spans="2:34" x14ac:dyDescent="0.25">
      <c r="B135" s="235">
        <v>44981</v>
      </c>
      <c r="C135" s="233">
        <v>3</v>
      </c>
      <c r="D135" s="236">
        <v>44982</v>
      </c>
      <c r="E135" s="156">
        <v>8220</v>
      </c>
      <c r="F135" s="3">
        <v>126</v>
      </c>
      <c r="G135" s="3">
        <v>7617</v>
      </c>
      <c r="H135" s="3" t="s">
        <v>58</v>
      </c>
      <c r="I135" s="3">
        <v>56</v>
      </c>
      <c r="J135" s="239">
        <v>0.10416666666666667</v>
      </c>
      <c r="K135" s="239">
        <v>0.15972222222222224</v>
      </c>
      <c r="L135" s="5">
        <f t="shared" si="9"/>
        <v>5.5555555555555566E-2</v>
      </c>
      <c r="M135" s="233" t="s">
        <v>73</v>
      </c>
      <c r="N135" s="233" t="s">
        <v>735</v>
      </c>
      <c r="O135" s="3">
        <v>3180</v>
      </c>
      <c r="P135" s="268" t="str">
        <f>IFERROR((O135/I135)/(VLOOKUP(H135,[71]!taux,2,FALSE)),"")</f>
        <v/>
      </c>
      <c r="Q135" s="233">
        <f t="shared" si="13"/>
        <v>3180</v>
      </c>
      <c r="R135" s="149">
        <v>4873.3599999999997</v>
      </c>
      <c r="S135" s="269">
        <f t="shared" si="11"/>
        <v>1.5499999999992724</v>
      </c>
      <c r="T135" s="233">
        <f t="shared" si="10"/>
        <v>2051.6129032267695</v>
      </c>
      <c r="U135" s="149">
        <v>1.73</v>
      </c>
      <c r="V135" s="197">
        <f t="shared" si="12"/>
        <v>1838.150289017341</v>
      </c>
      <c r="AA135" s="3">
        <v>1570</v>
      </c>
      <c r="AB135" s="3">
        <v>1560</v>
      </c>
      <c r="AC135" s="3">
        <v>3130</v>
      </c>
      <c r="AD135" s="3">
        <v>3180</v>
      </c>
      <c r="AE135" s="233" t="s">
        <v>182</v>
      </c>
      <c r="AF135" s="233" t="s">
        <v>952</v>
      </c>
      <c r="AG135" s="233" t="s">
        <v>816</v>
      </c>
      <c r="AH135" s="233" t="s">
        <v>771</v>
      </c>
    </row>
    <row r="136" spans="2:34" x14ac:dyDescent="0.25">
      <c r="B136" s="235">
        <v>44982</v>
      </c>
      <c r="C136" s="3">
        <v>1</v>
      </c>
      <c r="D136" s="236">
        <v>44982</v>
      </c>
      <c r="E136" s="156">
        <v>8221</v>
      </c>
      <c r="F136" s="3">
        <v>127</v>
      </c>
      <c r="G136" s="233">
        <v>7623</v>
      </c>
      <c r="H136" s="3" t="s">
        <v>66</v>
      </c>
      <c r="I136" s="3">
        <v>54</v>
      </c>
      <c r="J136" s="239">
        <v>0.39583333333333331</v>
      </c>
      <c r="K136" s="239">
        <v>0.46875</v>
      </c>
      <c r="L136" s="5">
        <f t="shared" si="9"/>
        <v>7.2916666666666685E-2</v>
      </c>
      <c r="M136" s="233" t="s">
        <v>73</v>
      </c>
      <c r="N136" s="233" t="s">
        <v>735</v>
      </c>
      <c r="O136" s="3">
        <v>3120</v>
      </c>
      <c r="P136" s="268" t="str">
        <f>IFERROR((O136/I136)/(VLOOKUP(H136,[71]!taux,2,FALSE)),"")</f>
        <v/>
      </c>
      <c r="Q136" s="233">
        <f t="shared" si="13"/>
        <v>3120</v>
      </c>
      <c r="R136" s="149">
        <v>4875.12</v>
      </c>
      <c r="S136" s="269">
        <f t="shared" si="11"/>
        <v>1.7600000000002183</v>
      </c>
      <c r="T136" s="233">
        <f t="shared" si="10"/>
        <v>1772.7272727270529</v>
      </c>
      <c r="U136" s="149">
        <v>1.67</v>
      </c>
      <c r="V136" s="197">
        <f t="shared" si="12"/>
        <v>1868.2634730538923</v>
      </c>
      <c r="AA136" s="3">
        <v>1567</v>
      </c>
      <c r="AB136" s="3">
        <v>1552</v>
      </c>
      <c r="AC136" s="3">
        <v>3119</v>
      </c>
      <c r="AD136" s="3">
        <v>3120</v>
      </c>
      <c r="AE136" s="233" t="s">
        <v>926</v>
      </c>
      <c r="AF136" s="233" t="s">
        <v>708</v>
      </c>
      <c r="AG136" s="233" t="s">
        <v>921</v>
      </c>
      <c r="AH136" s="233" t="s">
        <v>144</v>
      </c>
    </row>
    <row r="137" spans="2:34" x14ac:dyDescent="0.25">
      <c r="B137" s="235">
        <v>44982</v>
      </c>
      <c r="C137" s="3">
        <v>2</v>
      </c>
      <c r="D137" s="148">
        <v>44982</v>
      </c>
      <c r="E137" s="156">
        <v>8222</v>
      </c>
      <c r="F137" s="3">
        <v>128</v>
      </c>
      <c r="G137" s="3">
        <v>7625</v>
      </c>
      <c r="H137" s="3" t="s">
        <v>58</v>
      </c>
      <c r="I137" s="3">
        <v>60</v>
      </c>
      <c r="J137" s="239">
        <v>0.71875</v>
      </c>
      <c r="K137" s="239">
        <v>0.79513888888888884</v>
      </c>
      <c r="L137" s="5">
        <f t="shared" si="9"/>
        <v>7.638888888888884E-2</v>
      </c>
      <c r="M137" s="3" t="s">
        <v>73</v>
      </c>
      <c r="N137" s="3" t="s">
        <v>735</v>
      </c>
      <c r="O137" s="3">
        <v>3334</v>
      </c>
      <c r="P137" s="268" t="str">
        <f>IFERROR((O137/I137)/(VLOOKUP(H137,[71]!taux,2,FALSE)),"")</f>
        <v/>
      </c>
      <c r="Q137" s="233">
        <f t="shared" si="13"/>
        <v>3334</v>
      </c>
      <c r="R137" s="149">
        <v>4876.7299999999996</v>
      </c>
      <c r="S137" s="269">
        <f t="shared" si="11"/>
        <v>1.6099999999996726</v>
      </c>
      <c r="T137" s="233">
        <f t="shared" si="10"/>
        <v>2070.8074534165703</v>
      </c>
      <c r="U137" s="149">
        <v>1.96</v>
      </c>
      <c r="V137" s="197">
        <f t="shared" si="12"/>
        <v>1701.0204081632653</v>
      </c>
      <c r="AA137" s="3">
        <v>1628</v>
      </c>
      <c r="AB137" s="3">
        <v>1705</v>
      </c>
      <c r="AC137" s="3">
        <v>3334</v>
      </c>
      <c r="AD137" s="3">
        <v>3334</v>
      </c>
      <c r="AE137" s="233" t="s">
        <v>676</v>
      </c>
      <c r="AF137" s="233" t="s">
        <v>500</v>
      </c>
      <c r="AG137" s="233" t="s">
        <v>709</v>
      </c>
      <c r="AH137" s="233" t="s">
        <v>849</v>
      </c>
    </row>
    <row r="138" spans="2:34" x14ac:dyDescent="0.25">
      <c r="B138" s="235">
        <v>44982</v>
      </c>
      <c r="C138" s="3">
        <v>3</v>
      </c>
      <c r="D138" s="148">
        <v>44983</v>
      </c>
      <c r="E138" s="156">
        <v>8223</v>
      </c>
      <c r="F138" s="3">
        <v>129</v>
      </c>
      <c r="G138" s="3">
        <v>7605</v>
      </c>
      <c r="H138" s="3" t="s">
        <v>58</v>
      </c>
      <c r="I138" s="3">
        <v>60</v>
      </c>
      <c r="J138" s="239">
        <v>3.472222222222222E-3</v>
      </c>
      <c r="K138" s="239">
        <v>7.6388888888888895E-2</v>
      </c>
      <c r="L138" s="5">
        <f t="shared" si="9"/>
        <v>7.2916666666666671E-2</v>
      </c>
      <c r="M138" s="3" t="s">
        <v>73</v>
      </c>
      <c r="N138" s="3" t="s">
        <v>735</v>
      </c>
      <c r="O138" s="3">
        <v>3350</v>
      </c>
      <c r="P138" s="268" t="str">
        <f>IFERROR((O138/I138)/(VLOOKUP(H138,[71]!taux,2,FALSE)),"")</f>
        <v/>
      </c>
      <c r="Q138" s="233">
        <f t="shared" si="13"/>
        <v>3350</v>
      </c>
      <c r="R138" s="149">
        <v>4878.5</v>
      </c>
      <c r="S138" s="269">
        <f>R138-R137</f>
        <v>1.7700000000004366</v>
      </c>
      <c r="T138" s="233">
        <f t="shared" si="10"/>
        <v>1892.6553672311716</v>
      </c>
      <c r="U138" s="149">
        <v>1.87</v>
      </c>
      <c r="V138" s="197">
        <f t="shared" si="12"/>
        <v>1791.4438502673795</v>
      </c>
      <c r="AA138" s="3">
        <v>1628</v>
      </c>
      <c r="AB138" s="3">
        <v>1705</v>
      </c>
      <c r="AC138" s="3">
        <v>3334</v>
      </c>
      <c r="AD138" s="3">
        <v>3350</v>
      </c>
      <c r="AE138" s="233" t="s">
        <v>182</v>
      </c>
      <c r="AF138" s="233" t="s">
        <v>474</v>
      </c>
      <c r="AG138" s="233" t="s">
        <v>816</v>
      </c>
      <c r="AH138" s="233" t="s">
        <v>771</v>
      </c>
    </row>
    <row r="139" spans="2:34" x14ac:dyDescent="0.25">
      <c r="B139" s="235">
        <v>44983</v>
      </c>
      <c r="C139" s="3">
        <v>1</v>
      </c>
      <c r="D139" s="236">
        <v>44983</v>
      </c>
      <c r="E139" s="156">
        <v>8224</v>
      </c>
      <c r="F139" s="3">
        <v>130</v>
      </c>
      <c r="G139" s="233">
        <v>7617</v>
      </c>
      <c r="H139" s="3" t="s">
        <v>58</v>
      </c>
      <c r="I139" s="3">
        <v>58</v>
      </c>
      <c r="J139" s="239">
        <v>0.375</v>
      </c>
      <c r="K139" s="239">
        <v>0.4513888888888889</v>
      </c>
      <c r="L139" s="5">
        <f t="shared" si="9"/>
        <v>7.6388888888888895E-2</v>
      </c>
      <c r="M139" s="233" t="s">
        <v>73</v>
      </c>
      <c r="N139" s="233" t="s">
        <v>735</v>
      </c>
      <c r="O139" s="3">
        <v>3220</v>
      </c>
      <c r="P139" s="268" t="str">
        <f>IFERROR((O139/I139)/(VLOOKUP(H139,[71]!taux,2,FALSE)),"")</f>
        <v/>
      </c>
      <c r="Q139" s="233">
        <f t="shared" si="13"/>
        <v>3220</v>
      </c>
      <c r="R139" s="149">
        <v>4880.24</v>
      </c>
      <c r="S139" s="269">
        <f t="shared" si="11"/>
        <v>1.7399999999997817</v>
      </c>
      <c r="T139" s="233">
        <f t="shared" si="10"/>
        <v>1850.5747126439103</v>
      </c>
      <c r="U139" s="149">
        <v>2</v>
      </c>
      <c r="V139" s="197">
        <f t="shared" si="12"/>
        <v>1610</v>
      </c>
      <c r="AA139" s="3">
        <v>1587</v>
      </c>
      <c r="AB139" s="3">
        <v>1594</v>
      </c>
      <c r="AC139" s="3">
        <v>3182</v>
      </c>
      <c r="AD139" s="3">
        <v>3220</v>
      </c>
      <c r="AE139" s="233" t="s">
        <v>926</v>
      </c>
      <c r="AF139" s="233" t="s">
        <v>708</v>
      </c>
      <c r="AG139" s="233" t="s">
        <v>921</v>
      </c>
      <c r="AH139" s="233" t="s">
        <v>144</v>
      </c>
    </row>
    <row r="140" spans="2:34" x14ac:dyDescent="0.25">
      <c r="B140" s="235">
        <v>44983</v>
      </c>
      <c r="C140" s="3">
        <v>1</v>
      </c>
      <c r="D140" s="236">
        <v>44983</v>
      </c>
      <c r="E140" s="156">
        <v>8225</v>
      </c>
      <c r="F140" s="3">
        <v>131</v>
      </c>
      <c r="G140" s="233">
        <v>7619</v>
      </c>
      <c r="H140" s="3" t="s">
        <v>58</v>
      </c>
      <c r="I140" s="3">
        <v>56</v>
      </c>
      <c r="J140" s="239">
        <v>0.57291666666666663</v>
      </c>
      <c r="K140" s="239">
        <v>0.65625</v>
      </c>
      <c r="L140" s="5">
        <f t="shared" si="9"/>
        <v>8.333333333333337E-2</v>
      </c>
      <c r="M140" s="3" t="s">
        <v>67</v>
      </c>
      <c r="N140" s="233" t="s">
        <v>733</v>
      </c>
      <c r="O140" s="233">
        <v>3045</v>
      </c>
      <c r="P140" s="268" t="str">
        <f>IFERROR((O140/I140)/(VLOOKUP(H140,[71]!taux,2,FALSE)),"")</f>
        <v/>
      </c>
      <c r="Q140" s="233">
        <f t="shared" si="13"/>
        <v>2838</v>
      </c>
      <c r="R140" s="149">
        <v>4882.12</v>
      </c>
      <c r="S140" s="269">
        <f t="shared" si="11"/>
        <v>1.8800000000001091</v>
      </c>
      <c r="T140" s="233">
        <f t="shared" si="10"/>
        <v>1509.5744680850187</v>
      </c>
      <c r="U140" s="149">
        <v>2.15</v>
      </c>
      <c r="V140" s="197">
        <f t="shared" si="12"/>
        <v>1416.279069767442</v>
      </c>
      <c r="W140" s="152">
        <v>207</v>
      </c>
      <c r="X140" s="191" t="s">
        <v>506</v>
      </c>
      <c r="AA140" s="3">
        <v>1506</v>
      </c>
      <c r="AB140" s="3">
        <v>1488</v>
      </c>
      <c r="AC140" s="233">
        <f>AB140+AA140</f>
        <v>2994</v>
      </c>
      <c r="AD140" s="3">
        <v>3045</v>
      </c>
      <c r="AE140" s="233" t="s">
        <v>676</v>
      </c>
      <c r="AF140" s="233" t="s">
        <v>500</v>
      </c>
      <c r="AG140" s="233" t="s">
        <v>709</v>
      </c>
      <c r="AH140" s="233" t="s">
        <v>849</v>
      </c>
    </row>
    <row r="141" spans="2:34" x14ac:dyDescent="0.25">
      <c r="B141" s="235">
        <v>44983</v>
      </c>
      <c r="C141" s="3">
        <v>2</v>
      </c>
      <c r="D141" s="236">
        <v>44983</v>
      </c>
      <c r="E141" s="156">
        <v>8226</v>
      </c>
      <c r="F141" s="3">
        <v>132</v>
      </c>
      <c r="G141" s="3">
        <v>7625</v>
      </c>
      <c r="H141" s="3" t="s">
        <v>58</v>
      </c>
      <c r="I141" s="3">
        <v>59</v>
      </c>
      <c r="J141" s="239">
        <v>0.72916666666666663</v>
      </c>
      <c r="K141" s="239">
        <v>0.79513888888888884</v>
      </c>
      <c r="L141" s="5">
        <f t="shared" si="9"/>
        <v>6.597222222222221E-2</v>
      </c>
      <c r="M141" s="3" t="s">
        <v>67</v>
      </c>
      <c r="N141" s="233" t="s">
        <v>733</v>
      </c>
      <c r="O141" s="3">
        <v>3320</v>
      </c>
      <c r="P141" s="268" t="str">
        <f>IFERROR((O141/I141)/(VLOOKUP(H141,[71]!taux,2,FALSE)),"")</f>
        <v/>
      </c>
      <c r="Q141" s="233">
        <f t="shared" si="13"/>
        <v>3320</v>
      </c>
      <c r="R141" s="149">
        <v>4883.75</v>
      </c>
      <c r="S141" s="269">
        <f t="shared" si="11"/>
        <v>1.6300000000001091</v>
      </c>
      <c r="T141" s="233">
        <f t="shared" si="10"/>
        <v>2036.8098159507838</v>
      </c>
      <c r="U141" s="149">
        <v>1.68</v>
      </c>
      <c r="V141" s="197">
        <f t="shared" si="12"/>
        <v>1976.1904761904764</v>
      </c>
      <c r="X141" s="191" t="s">
        <v>506</v>
      </c>
      <c r="AA141" s="3">
        <v>1671</v>
      </c>
      <c r="AB141" s="3">
        <v>1678</v>
      </c>
      <c r="AC141" s="233">
        <f>AB141+AA141</f>
        <v>3349</v>
      </c>
      <c r="AD141" s="3">
        <v>3320</v>
      </c>
      <c r="AE141" s="233" t="s">
        <v>676</v>
      </c>
      <c r="AF141" s="233" t="s">
        <v>500</v>
      </c>
      <c r="AG141" s="233" t="s">
        <v>709</v>
      </c>
      <c r="AH141" s="233" t="s">
        <v>849</v>
      </c>
    </row>
    <row r="142" spans="2:34" x14ac:dyDescent="0.25">
      <c r="B142" s="235">
        <v>44983</v>
      </c>
      <c r="C142" s="3">
        <v>3</v>
      </c>
      <c r="D142" s="148">
        <v>44984</v>
      </c>
      <c r="E142" s="156">
        <v>8227</v>
      </c>
      <c r="F142" s="3">
        <v>133</v>
      </c>
      <c r="G142" s="3">
        <v>7605</v>
      </c>
      <c r="H142" s="3" t="s">
        <v>58</v>
      </c>
      <c r="I142" s="3">
        <v>60</v>
      </c>
      <c r="J142" s="239">
        <v>1.7361111111111112E-2</v>
      </c>
      <c r="K142" s="239">
        <v>8.3333333333333329E-2</v>
      </c>
      <c r="L142" s="5">
        <f t="shared" si="9"/>
        <v>6.597222222222221E-2</v>
      </c>
      <c r="M142" s="3" t="s">
        <v>67</v>
      </c>
      <c r="N142" s="3" t="s">
        <v>733</v>
      </c>
      <c r="O142" s="3">
        <v>3350</v>
      </c>
      <c r="P142" s="268" t="str">
        <f>IFERROR((O142/I142)/(VLOOKUP(H142,[71]!taux,2,FALSE)),"")</f>
        <v/>
      </c>
      <c r="Q142" s="233">
        <f t="shared" si="13"/>
        <v>3350</v>
      </c>
      <c r="R142" s="149">
        <v>4885.3999999999996</v>
      </c>
      <c r="S142" s="269">
        <f t="shared" si="11"/>
        <v>1.6499999999996362</v>
      </c>
      <c r="T142" s="233">
        <f t="shared" si="10"/>
        <v>2030.303030303478</v>
      </c>
      <c r="U142" s="149">
        <v>1.87</v>
      </c>
      <c r="V142" s="197">
        <f t="shared" si="12"/>
        <v>1791.4438502673795</v>
      </c>
      <c r="AA142" s="3">
        <v>1660</v>
      </c>
      <c r="AB142" s="3">
        <v>1683</v>
      </c>
      <c r="AC142" s="3">
        <v>3343</v>
      </c>
      <c r="AD142" s="3">
        <v>3350</v>
      </c>
      <c r="AE142" s="233" t="s">
        <v>182</v>
      </c>
      <c r="AF142" s="233" t="s">
        <v>474</v>
      </c>
      <c r="AG142" s="233" t="s">
        <v>816</v>
      </c>
      <c r="AH142" s="233" t="s">
        <v>771</v>
      </c>
    </row>
    <row r="143" spans="2:34" x14ac:dyDescent="0.25">
      <c r="B143" s="235">
        <v>44994</v>
      </c>
      <c r="C143" s="233">
        <v>1</v>
      </c>
      <c r="D143" s="236">
        <v>44994</v>
      </c>
      <c r="E143" s="237">
        <v>8228</v>
      </c>
      <c r="F143" s="233">
        <v>134</v>
      </c>
      <c r="G143" s="233">
        <v>7617</v>
      </c>
      <c r="H143" s="3" t="s">
        <v>66</v>
      </c>
      <c r="I143" s="3">
        <v>58</v>
      </c>
      <c r="J143" s="239">
        <v>0.44097222222222227</v>
      </c>
      <c r="K143" s="239">
        <v>0.51041666666666663</v>
      </c>
      <c r="L143" s="5">
        <f t="shared" si="9"/>
        <v>6.9444444444444364E-2</v>
      </c>
      <c r="M143" s="3" t="s">
        <v>67</v>
      </c>
      <c r="N143" s="3" t="s">
        <v>733</v>
      </c>
      <c r="O143" s="3">
        <v>3360</v>
      </c>
      <c r="P143" s="268" t="str">
        <f>IFERROR((O143/I143)/(VLOOKUP(H143,[71]!taux,2,FALSE)),"")</f>
        <v/>
      </c>
      <c r="Q143" s="233">
        <f t="shared" si="13"/>
        <v>3360</v>
      </c>
      <c r="R143" s="149">
        <v>4887</v>
      </c>
      <c r="S143" s="269">
        <f t="shared" si="11"/>
        <v>1.6000000000003638</v>
      </c>
      <c r="T143" s="233">
        <f t="shared" ref="T143:T166" si="14">Q143/S143</f>
        <v>2099.9999999995225</v>
      </c>
      <c r="U143" s="149">
        <v>1.74</v>
      </c>
      <c r="V143" s="197" t="e">
        <f t="shared" si="12"/>
        <v>#VALUE!</v>
      </c>
      <c r="AA143" s="233" t="s">
        <v>861</v>
      </c>
      <c r="AB143" s="233" t="s">
        <v>861</v>
      </c>
      <c r="AC143" s="233" t="s">
        <v>861</v>
      </c>
      <c r="AD143" s="233" t="s">
        <v>861</v>
      </c>
      <c r="AE143" s="3" t="s">
        <v>926</v>
      </c>
      <c r="AF143" s="3" t="s">
        <v>634</v>
      </c>
      <c r="AG143" s="3" t="s">
        <v>654</v>
      </c>
      <c r="AH143" s="3" t="s">
        <v>993</v>
      </c>
    </row>
    <row r="144" spans="2:34" x14ac:dyDescent="0.25">
      <c r="B144" s="235">
        <v>44994</v>
      </c>
      <c r="C144" s="233">
        <v>2</v>
      </c>
      <c r="D144" s="236">
        <v>44994</v>
      </c>
      <c r="E144" s="156">
        <v>8229</v>
      </c>
      <c r="F144" s="3">
        <v>135</v>
      </c>
      <c r="G144" s="233">
        <v>7625</v>
      </c>
      <c r="H144" s="3" t="s">
        <v>58</v>
      </c>
      <c r="I144" s="233">
        <v>58</v>
      </c>
      <c r="J144" s="239">
        <v>0.69444444444444453</v>
      </c>
      <c r="K144" s="239">
        <v>0.76388888888888884</v>
      </c>
      <c r="L144" s="5">
        <f t="shared" si="9"/>
        <v>6.9444444444444309E-2</v>
      </c>
      <c r="M144" s="233" t="s">
        <v>67</v>
      </c>
      <c r="N144" s="233" t="s">
        <v>733</v>
      </c>
      <c r="O144" s="3">
        <v>3290</v>
      </c>
      <c r="P144" s="268" t="str">
        <f>IFERROR((O144/I144)/(VLOOKUP(H144,[71]!taux,2,FALSE)),"")</f>
        <v/>
      </c>
      <c r="Q144" s="233">
        <f t="shared" si="13"/>
        <v>3290</v>
      </c>
      <c r="R144" s="149">
        <v>4888.72</v>
      </c>
      <c r="S144" s="269">
        <f t="shared" si="11"/>
        <v>1.7200000000002547</v>
      </c>
      <c r="T144" s="233">
        <f t="shared" si="14"/>
        <v>1912.7906976741353</v>
      </c>
      <c r="U144" s="149">
        <v>1.72</v>
      </c>
      <c r="V144" s="197">
        <f t="shared" si="12"/>
        <v>1912.7906976744187</v>
      </c>
      <c r="AA144" s="3">
        <v>1620</v>
      </c>
      <c r="AB144" s="3">
        <v>1630</v>
      </c>
      <c r="AC144" s="3">
        <v>3240</v>
      </c>
      <c r="AD144" s="3">
        <v>3290</v>
      </c>
      <c r="AE144" s="3" t="s">
        <v>459</v>
      </c>
      <c r="AF144" s="3" t="s">
        <v>144</v>
      </c>
      <c r="AG144" s="233" t="s">
        <v>921</v>
      </c>
      <c r="AH144" s="233" t="s">
        <v>708</v>
      </c>
    </row>
    <row r="145" spans="2:34" x14ac:dyDescent="0.25">
      <c r="B145" s="235">
        <v>44994</v>
      </c>
      <c r="C145" s="3">
        <v>3</v>
      </c>
      <c r="D145" s="148">
        <v>44995</v>
      </c>
      <c r="E145" s="156">
        <v>8230</v>
      </c>
      <c r="F145" s="3">
        <v>10</v>
      </c>
      <c r="G145" s="233">
        <v>7605</v>
      </c>
      <c r="H145" s="3" t="s">
        <v>58</v>
      </c>
      <c r="I145" s="3">
        <v>54</v>
      </c>
      <c r="J145" s="239">
        <v>1.3888888888888888E-2</v>
      </c>
      <c r="K145" s="239">
        <v>7.6388888888888895E-2</v>
      </c>
      <c r="L145" s="5">
        <f t="shared" si="9"/>
        <v>6.25E-2</v>
      </c>
      <c r="M145" s="3" t="s">
        <v>59</v>
      </c>
      <c r="N145" s="3" t="s">
        <v>737</v>
      </c>
      <c r="O145" s="3">
        <v>3136</v>
      </c>
      <c r="P145" s="268" t="str">
        <f>IFERROR((O145/I145)/(VLOOKUP(H145,[71]!taux,2,FALSE)),"")</f>
        <v/>
      </c>
      <c r="Q145" s="233">
        <f t="shared" si="13"/>
        <v>3136</v>
      </c>
      <c r="R145" s="149">
        <v>4890.1499999999996</v>
      </c>
      <c r="S145" s="269">
        <f t="shared" si="11"/>
        <v>1.4299999999993815</v>
      </c>
      <c r="T145" s="233">
        <f t="shared" si="14"/>
        <v>2193.0069930079417</v>
      </c>
      <c r="U145" s="149">
        <v>1.67</v>
      </c>
      <c r="V145" s="197" t="e">
        <f t="shared" si="12"/>
        <v>#VALUE!</v>
      </c>
      <c r="X145" s="191" t="s">
        <v>507</v>
      </c>
      <c r="AA145" s="233" t="s">
        <v>861</v>
      </c>
      <c r="AB145" s="233" t="s">
        <v>861</v>
      </c>
      <c r="AC145" s="233" t="s">
        <v>861</v>
      </c>
      <c r="AD145" s="233" t="s">
        <v>861</v>
      </c>
      <c r="AE145" s="233" t="s">
        <v>676</v>
      </c>
      <c r="AF145" s="233" t="s">
        <v>500</v>
      </c>
      <c r="AG145" s="233" t="s">
        <v>709</v>
      </c>
      <c r="AH145" s="233" t="s">
        <v>193</v>
      </c>
    </row>
    <row r="146" spans="2:34" x14ac:dyDescent="0.25">
      <c r="B146" s="235">
        <v>44995</v>
      </c>
      <c r="C146" s="3">
        <v>1</v>
      </c>
      <c r="D146" s="236">
        <v>44995</v>
      </c>
      <c r="E146" s="156">
        <v>8231</v>
      </c>
      <c r="F146" s="3">
        <v>136</v>
      </c>
      <c r="G146" s="3">
        <v>7617</v>
      </c>
      <c r="H146" s="3" t="s">
        <v>58</v>
      </c>
      <c r="I146" s="3">
        <v>58</v>
      </c>
      <c r="J146" s="239">
        <v>0.3888888888888889</v>
      </c>
      <c r="K146" s="239">
        <v>0.46875</v>
      </c>
      <c r="L146" s="5">
        <f t="shared" si="9"/>
        <v>7.9861111111111105E-2</v>
      </c>
      <c r="M146" s="3" t="s">
        <v>67</v>
      </c>
      <c r="N146" s="3" t="s">
        <v>733</v>
      </c>
      <c r="O146" s="3">
        <v>3290</v>
      </c>
      <c r="P146" s="268" t="str">
        <f>IFERROR((O146/I146)/(VLOOKUP(H146,[71]!taux,2,FALSE)),"")</f>
        <v/>
      </c>
      <c r="Q146" s="233">
        <f t="shared" si="13"/>
        <v>3290</v>
      </c>
      <c r="R146" s="149">
        <v>4891.9399999999996</v>
      </c>
      <c r="S146" s="269">
        <f t="shared" ref="S146:S162" si="15">R146-R145</f>
        <v>1.7899999999999636</v>
      </c>
      <c r="T146" s="233">
        <f t="shared" si="14"/>
        <v>1837.9888268156799</v>
      </c>
      <c r="U146" s="149">
        <v>2.0299999999999998</v>
      </c>
      <c r="V146" s="197" t="e">
        <f t="shared" si="12"/>
        <v>#VALUE!</v>
      </c>
      <c r="X146" s="191" t="s">
        <v>506</v>
      </c>
      <c r="AA146" s="3" t="s">
        <v>861</v>
      </c>
      <c r="AB146" s="233" t="s">
        <v>861</v>
      </c>
      <c r="AC146" s="233" t="s">
        <v>861</v>
      </c>
      <c r="AD146" s="233" t="s">
        <v>861</v>
      </c>
      <c r="AE146" s="3" t="s">
        <v>926</v>
      </c>
      <c r="AF146" s="3" t="s">
        <v>996</v>
      </c>
      <c r="AG146" s="3" t="s">
        <v>816</v>
      </c>
      <c r="AH146" s="3" t="s">
        <v>997</v>
      </c>
    </row>
    <row r="147" spans="2:34" x14ac:dyDescent="0.25">
      <c r="B147" s="235">
        <v>44995</v>
      </c>
      <c r="C147" s="233">
        <v>1</v>
      </c>
      <c r="D147" s="236">
        <v>44995</v>
      </c>
      <c r="E147" s="237">
        <v>8232</v>
      </c>
      <c r="F147" s="233">
        <v>137</v>
      </c>
      <c r="G147" s="3">
        <v>7625</v>
      </c>
      <c r="H147" s="3" t="s">
        <v>66</v>
      </c>
      <c r="I147" s="3">
        <v>55</v>
      </c>
      <c r="J147" s="239">
        <v>0.56944444444444442</v>
      </c>
      <c r="K147" s="239">
        <v>0.625</v>
      </c>
      <c r="L147" s="5">
        <f t="shared" si="9"/>
        <v>5.555555555555558E-2</v>
      </c>
      <c r="M147" s="233" t="s">
        <v>67</v>
      </c>
      <c r="N147" s="233" t="s">
        <v>733</v>
      </c>
      <c r="O147" s="3">
        <v>3229</v>
      </c>
      <c r="P147" s="268" t="str">
        <f>IFERROR((O147/I147)/(VLOOKUP(H147,[71]!taux,2,FALSE)),"")</f>
        <v/>
      </c>
      <c r="Q147" s="233">
        <f t="shared" si="13"/>
        <v>3229</v>
      </c>
      <c r="R147" s="149">
        <v>4893.3999999999996</v>
      </c>
      <c r="S147" s="269">
        <f t="shared" si="15"/>
        <v>1.4600000000000364</v>
      </c>
      <c r="T147" s="233">
        <f t="shared" si="14"/>
        <v>2211.6438356163831</v>
      </c>
      <c r="U147" s="149">
        <v>1.77</v>
      </c>
      <c r="V147" s="197">
        <f t="shared" si="12"/>
        <v>1824.2937853107344</v>
      </c>
      <c r="X147" s="191" t="s">
        <v>506</v>
      </c>
      <c r="AA147" s="233" t="s">
        <v>861</v>
      </c>
      <c r="AB147" s="233" t="s">
        <v>861</v>
      </c>
      <c r="AC147" s="233" t="s">
        <v>861</v>
      </c>
      <c r="AD147" s="233">
        <v>3229</v>
      </c>
      <c r="AE147" s="233" t="s">
        <v>926</v>
      </c>
      <c r="AF147" s="233" t="s">
        <v>996</v>
      </c>
      <c r="AG147" s="233" t="s">
        <v>816</v>
      </c>
      <c r="AH147" s="233" t="s">
        <v>997</v>
      </c>
    </row>
    <row r="148" spans="2:34" x14ac:dyDescent="0.25">
      <c r="B148" s="235">
        <v>44995</v>
      </c>
      <c r="C148" s="3">
        <v>2</v>
      </c>
      <c r="D148" s="148">
        <v>44996</v>
      </c>
      <c r="E148" s="156">
        <v>8233</v>
      </c>
      <c r="F148" s="3">
        <v>138</v>
      </c>
      <c r="G148" s="3">
        <v>7605</v>
      </c>
      <c r="H148" s="3" t="s">
        <v>58</v>
      </c>
      <c r="I148" s="3">
        <v>54</v>
      </c>
      <c r="J148" s="239">
        <v>0.72916666666666663</v>
      </c>
      <c r="K148" s="239">
        <v>0.79861111111111116</v>
      </c>
      <c r="L148" s="5">
        <f t="shared" si="9"/>
        <v>6.9444444444444531E-2</v>
      </c>
      <c r="M148" s="233" t="s">
        <v>67</v>
      </c>
      <c r="N148" s="233" t="s">
        <v>733</v>
      </c>
      <c r="O148" s="3">
        <v>3110</v>
      </c>
      <c r="P148" s="268" t="str">
        <f>IFERROR((O148/I148)/(VLOOKUP(H148,[71]!taux,2,FALSE)),"")</f>
        <v/>
      </c>
      <c r="Q148" s="233">
        <f t="shared" si="13"/>
        <v>3110</v>
      </c>
      <c r="R148" s="149">
        <v>4894.92</v>
      </c>
      <c r="S148" s="269">
        <f t="shared" si="15"/>
        <v>1.5200000000004366</v>
      </c>
      <c r="T148" s="233">
        <f t="shared" si="14"/>
        <v>2046.0526315783598</v>
      </c>
      <c r="U148" s="149">
        <v>1.68</v>
      </c>
      <c r="V148" s="197">
        <f t="shared" si="12"/>
        <v>1851.1904761904761</v>
      </c>
      <c r="X148" s="191" t="s">
        <v>506</v>
      </c>
      <c r="AA148" s="233" t="s">
        <v>861</v>
      </c>
      <c r="AB148" s="233" t="s">
        <v>861</v>
      </c>
      <c r="AC148" s="233" t="s">
        <v>861</v>
      </c>
      <c r="AD148" s="233">
        <v>3110</v>
      </c>
      <c r="AE148" s="233" t="s">
        <v>459</v>
      </c>
      <c r="AF148" s="233" t="s">
        <v>901</v>
      </c>
      <c r="AG148" s="233" t="s">
        <v>921</v>
      </c>
      <c r="AH148" s="233" t="s">
        <v>708</v>
      </c>
    </row>
    <row r="149" spans="2:34" x14ac:dyDescent="0.25">
      <c r="B149" s="235">
        <v>44995</v>
      </c>
      <c r="C149" s="3">
        <v>3</v>
      </c>
      <c r="D149" s="148">
        <v>44996</v>
      </c>
      <c r="E149" s="156">
        <v>8234</v>
      </c>
      <c r="F149" s="3">
        <v>139</v>
      </c>
      <c r="G149" s="3">
        <v>7617</v>
      </c>
      <c r="H149" s="3" t="s">
        <v>58</v>
      </c>
      <c r="I149" s="3">
        <v>58</v>
      </c>
      <c r="J149" s="239">
        <v>5.2083333333333336E-2</v>
      </c>
      <c r="K149" s="239">
        <v>0.11805555555555557</v>
      </c>
      <c r="L149" s="5">
        <f t="shared" si="9"/>
        <v>6.5972222222222238E-2</v>
      </c>
      <c r="M149" s="3" t="s">
        <v>67</v>
      </c>
      <c r="N149" s="3" t="s">
        <v>733</v>
      </c>
      <c r="O149" s="3">
        <v>3376</v>
      </c>
      <c r="P149" s="268" t="str">
        <f>IFERROR((O149/I149)/(VLOOKUP(H149,[71]!taux,2,FALSE)),"")</f>
        <v/>
      </c>
      <c r="Q149" s="233">
        <f t="shared" si="13"/>
        <v>3376</v>
      </c>
      <c r="R149" s="149">
        <v>4896.47</v>
      </c>
      <c r="S149" s="269">
        <f t="shared" si="15"/>
        <v>1.5500000000001819</v>
      </c>
      <c r="T149" s="233">
        <f t="shared" si="14"/>
        <v>2178.0645161287766</v>
      </c>
      <c r="U149" s="149">
        <v>1.66</v>
      </c>
      <c r="V149" s="197">
        <f t="shared" si="12"/>
        <v>2033.7349397590363</v>
      </c>
      <c r="X149" s="191" t="s">
        <v>506</v>
      </c>
      <c r="AA149" s="233" t="s">
        <v>861</v>
      </c>
      <c r="AB149" s="233" t="s">
        <v>861</v>
      </c>
      <c r="AC149" s="233" t="s">
        <v>861</v>
      </c>
      <c r="AD149" s="3">
        <v>3376</v>
      </c>
      <c r="AE149" s="233" t="s">
        <v>676</v>
      </c>
      <c r="AF149" s="233" t="s">
        <v>500</v>
      </c>
      <c r="AG149" s="233" t="s">
        <v>709</v>
      </c>
      <c r="AH149" s="233" t="s">
        <v>193</v>
      </c>
    </row>
    <row r="150" spans="2:34" x14ac:dyDescent="0.25">
      <c r="B150" s="235">
        <v>44996</v>
      </c>
      <c r="C150" s="3">
        <v>1</v>
      </c>
      <c r="D150" s="148">
        <v>44996</v>
      </c>
      <c r="E150" s="156">
        <v>8235</v>
      </c>
      <c r="F150" s="3">
        <v>140</v>
      </c>
      <c r="G150" s="3">
        <v>7619</v>
      </c>
      <c r="H150" s="3" t="s">
        <v>58</v>
      </c>
      <c r="I150" s="3">
        <v>60</v>
      </c>
      <c r="J150" s="239">
        <v>0.4513888888888889</v>
      </c>
      <c r="K150" s="239">
        <v>0.52083333333333337</v>
      </c>
      <c r="L150" s="5">
        <f t="shared" si="9"/>
        <v>6.9444444444444475E-2</v>
      </c>
      <c r="M150" s="3" t="s">
        <v>67</v>
      </c>
      <c r="N150" s="233" t="s">
        <v>733</v>
      </c>
      <c r="O150" s="3">
        <v>3320</v>
      </c>
      <c r="P150" s="268" t="str">
        <f>IFERROR((O150/I150)/(VLOOKUP(H150,[71]!taux,2,FALSE)),"")</f>
        <v/>
      </c>
      <c r="Q150" s="233">
        <f t="shared" si="13"/>
        <v>3320</v>
      </c>
      <c r="R150" s="149">
        <v>4897.97</v>
      </c>
      <c r="S150" s="269">
        <f t="shared" si="15"/>
        <v>1.5</v>
      </c>
      <c r="T150" s="233">
        <f t="shared" si="14"/>
        <v>2213.3333333333335</v>
      </c>
      <c r="U150" s="149">
        <v>1.6</v>
      </c>
      <c r="V150" s="197">
        <f t="shared" si="12"/>
        <v>2075</v>
      </c>
      <c r="X150" s="191" t="s">
        <v>506</v>
      </c>
      <c r="AA150" s="233" t="s">
        <v>861</v>
      </c>
      <c r="AB150" s="233" t="s">
        <v>861</v>
      </c>
      <c r="AC150" s="233" t="s">
        <v>861</v>
      </c>
      <c r="AD150" s="3">
        <v>3320</v>
      </c>
      <c r="AE150" s="3" t="s">
        <v>918</v>
      </c>
      <c r="AF150" s="3" t="s">
        <v>901</v>
      </c>
      <c r="AG150" s="3" t="s">
        <v>196</v>
      </c>
      <c r="AH150" s="3" t="s">
        <v>998</v>
      </c>
    </row>
    <row r="151" spans="2:34" x14ac:dyDescent="0.25">
      <c r="B151" s="235">
        <v>44996</v>
      </c>
      <c r="C151" s="3">
        <v>2</v>
      </c>
      <c r="D151" s="236">
        <v>44996</v>
      </c>
      <c r="E151" s="156">
        <v>8236</v>
      </c>
      <c r="F151" s="3">
        <v>141</v>
      </c>
      <c r="G151" s="233">
        <v>7625</v>
      </c>
      <c r="H151" s="3" t="s">
        <v>66</v>
      </c>
      <c r="I151" s="3">
        <v>55</v>
      </c>
      <c r="J151" s="239">
        <v>0.67013888888888884</v>
      </c>
      <c r="K151" s="239">
        <v>0.73263888888888884</v>
      </c>
      <c r="L151" s="5">
        <f t="shared" si="9"/>
        <v>6.25E-2</v>
      </c>
      <c r="M151" s="233" t="s">
        <v>67</v>
      </c>
      <c r="N151" s="233" t="s">
        <v>733</v>
      </c>
      <c r="O151" s="233">
        <v>3240</v>
      </c>
      <c r="P151" s="268" t="str">
        <f>IFERROR((O151/I151)/(VLOOKUP(H151,[71]!taux,2,FALSE)),"")</f>
        <v/>
      </c>
      <c r="Q151" s="233">
        <v>3240</v>
      </c>
      <c r="R151" s="149">
        <v>4899.51</v>
      </c>
      <c r="S151" s="269">
        <f t="shared" si="15"/>
        <v>1.5399999999999636</v>
      </c>
      <c r="T151" s="233">
        <f t="shared" si="14"/>
        <v>2103.8961038961538</v>
      </c>
      <c r="U151" s="149">
        <v>1.48</v>
      </c>
      <c r="V151" s="197">
        <f t="shared" si="12"/>
        <v>2189.1891891891892</v>
      </c>
      <c r="X151" s="191" t="s">
        <v>506</v>
      </c>
      <c r="AA151" s="233" t="s">
        <v>861</v>
      </c>
      <c r="AB151" s="233" t="s">
        <v>861</v>
      </c>
      <c r="AC151" s="233" t="s">
        <v>861</v>
      </c>
      <c r="AD151" s="3">
        <v>3240</v>
      </c>
      <c r="AE151" s="233" t="s">
        <v>459</v>
      </c>
      <c r="AF151" s="233" t="s">
        <v>901</v>
      </c>
      <c r="AG151" s="233" t="s">
        <v>921</v>
      </c>
      <c r="AH151" s="233" t="s">
        <v>708</v>
      </c>
    </row>
    <row r="152" spans="2:34" x14ac:dyDescent="0.25">
      <c r="B152" s="235">
        <v>44996</v>
      </c>
      <c r="C152" s="3">
        <v>2</v>
      </c>
      <c r="D152" s="148">
        <v>44997</v>
      </c>
      <c r="E152" s="156">
        <v>8237</v>
      </c>
      <c r="F152" s="3">
        <v>142</v>
      </c>
      <c r="G152" s="233">
        <v>7605</v>
      </c>
      <c r="H152" s="3" t="s">
        <v>58</v>
      </c>
      <c r="I152" s="3">
        <v>60</v>
      </c>
      <c r="J152" s="239">
        <v>0.8125</v>
      </c>
      <c r="K152" s="239">
        <v>0.875</v>
      </c>
      <c r="L152" s="5">
        <f t="shared" si="9"/>
        <v>6.25E-2</v>
      </c>
      <c r="M152" s="233" t="s">
        <v>67</v>
      </c>
      <c r="N152" s="233" t="s">
        <v>733</v>
      </c>
      <c r="O152" s="3">
        <v>3480</v>
      </c>
      <c r="P152" s="268" t="str">
        <f>IFERROR((O152/I152)/(VLOOKUP(H152,[71]!taux,2,FALSE)),"")</f>
        <v/>
      </c>
      <c r="Q152" s="233">
        <v>3480</v>
      </c>
      <c r="R152" s="149">
        <v>4901.22</v>
      </c>
      <c r="S152" s="269">
        <f t="shared" si="15"/>
        <v>1.7100000000000364</v>
      </c>
      <c r="T152" s="233">
        <f t="shared" si="14"/>
        <v>2035.0877192982023</v>
      </c>
      <c r="U152" s="149">
        <v>1.51</v>
      </c>
      <c r="V152" s="197">
        <f t="shared" si="12"/>
        <v>2304.635761589404</v>
      </c>
      <c r="X152" s="191" t="s">
        <v>506</v>
      </c>
      <c r="AA152" s="233" t="s">
        <v>861</v>
      </c>
      <c r="AB152" s="233" t="s">
        <v>861</v>
      </c>
      <c r="AC152" s="233" t="s">
        <v>861</v>
      </c>
      <c r="AD152" s="3">
        <v>3480</v>
      </c>
      <c r="AE152" s="233" t="s">
        <v>459</v>
      </c>
      <c r="AF152" s="233" t="s">
        <v>901</v>
      </c>
      <c r="AG152" s="233" t="s">
        <v>921</v>
      </c>
      <c r="AH152" s="233" t="s">
        <v>708</v>
      </c>
    </row>
    <row r="153" spans="2:34" x14ac:dyDescent="0.25">
      <c r="B153" s="235">
        <v>44996</v>
      </c>
      <c r="C153" s="3">
        <v>3</v>
      </c>
      <c r="D153" s="148">
        <v>44997</v>
      </c>
      <c r="E153" s="156">
        <v>8238</v>
      </c>
      <c r="F153" s="3">
        <v>143</v>
      </c>
      <c r="G153" s="3">
        <v>7617</v>
      </c>
      <c r="H153" s="3" t="s">
        <v>58</v>
      </c>
      <c r="I153" s="3">
        <v>59</v>
      </c>
      <c r="J153" s="239">
        <v>3.4722222222222224E-2</v>
      </c>
      <c r="K153" s="239">
        <v>0.10069444444444443</v>
      </c>
      <c r="L153" s="5">
        <f t="shared" si="9"/>
        <v>6.597222222222221E-2</v>
      </c>
      <c r="M153" s="3" t="s">
        <v>67</v>
      </c>
      <c r="N153" s="3" t="s">
        <v>733</v>
      </c>
      <c r="O153" s="3">
        <v>3390</v>
      </c>
      <c r="P153" s="268" t="str">
        <f>IFERROR((O153/I153)/(VLOOKUP(H153,[71]!taux,2,FALSE)),"")</f>
        <v/>
      </c>
      <c r="Q153" s="233">
        <v>3390</v>
      </c>
      <c r="R153" s="149">
        <v>4902.62</v>
      </c>
      <c r="S153" s="269">
        <f t="shared" si="15"/>
        <v>1.3999999999996362</v>
      </c>
      <c r="T153" s="233">
        <f t="shared" si="14"/>
        <v>2421.4285714292005</v>
      </c>
      <c r="U153" s="149">
        <v>1.7</v>
      </c>
      <c r="V153" s="197">
        <f t="shared" si="12"/>
        <v>1994.1176470588236</v>
      </c>
      <c r="X153" s="191" t="s">
        <v>506</v>
      </c>
      <c r="AA153" s="233" t="s">
        <v>861</v>
      </c>
      <c r="AB153" s="233" t="s">
        <v>861</v>
      </c>
      <c r="AC153" s="233" t="s">
        <v>861</v>
      </c>
      <c r="AD153" s="3">
        <v>3390</v>
      </c>
      <c r="AE153" s="233" t="s">
        <v>676</v>
      </c>
      <c r="AF153" s="233" t="s">
        <v>500</v>
      </c>
      <c r="AG153" s="233" t="s">
        <v>709</v>
      </c>
      <c r="AH153" s="233" t="s">
        <v>193</v>
      </c>
    </row>
    <row r="154" spans="2:34" x14ac:dyDescent="0.25">
      <c r="B154" s="235">
        <v>44997</v>
      </c>
      <c r="C154" s="3">
        <v>1</v>
      </c>
      <c r="D154" s="148">
        <v>44997</v>
      </c>
      <c r="E154" s="156">
        <v>8239</v>
      </c>
      <c r="F154" s="3">
        <v>144</v>
      </c>
      <c r="G154" s="233">
        <v>7625</v>
      </c>
      <c r="H154" s="3" t="s">
        <v>58</v>
      </c>
      <c r="I154" s="3">
        <v>59</v>
      </c>
      <c r="J154" s="239">
        <v>0.46527777777777773</v>
      </c>
      <c r="K154" s="239">
        <v>0.52777777777777779</v>
      </c>
      <c r="L154" s="5">
        <f t="shared" si="9"/>
        <v>6.2500000000000056E-2</v>
      </c>
      <c r="M154" s="3" t="s">
        <v>67</v>
      </c>
      <c r="N154" s="233" t="s">
        <v>733</v>
      </c>
      <c r="O154" s="3">
        <v>3350</v>
      </c>
      <c r="P154" s="268" t="str">
        <f>IFERROR((O154/I154)/(VLOOKUP(H154,[71]!taux,2,FALSE)),"")</f>
        <v/>
      </c>
      <c r="Q154" s="233">
        <v>3350</v>
      </c>
      <c r="R154" s="149">
        <v>4903.8999999999996</v>
      </c>
      <c r="S154" s="269">
        <f t="shared" si="15"/>
        <v>1.2799999999997453</v>
      </c>
      <c r="T154" s="233">
        <f t="shared" si="14"/>
        <v>2617.1875000005207</v>
      </c>
      <c r="U154" s="149">
        <v>1.76</v>
      </c>
      <c r="V154" s="197">
        <f t="shared" si="12"/>
        <v>1903.409090909091</v>
      </c>
      <c r="X154" s="191" t="s">
        <v>506</v>
      </c>
      <c r="AA154" s="233" t="s">
        <v>861</v>
      </c>
      <c r="AB154" s="233" t="s">
        <v>861</v>
      </c>
      <c r="AC154" s="233" t="s">
        <v>861</v>
      </c>
      <c r="AD154" s="3">
        <v>3350</v>
      </c>
      <c r="AE154" s="233" t="s">
        <v>918</v>
      </c>
      <c r="AF154" s="233" t="s">
        <v>901</v>
      </c>
      <c r="AG154" s="233" t="s">
        <v>196</v>
      </c>
      <c r="AH154" s="233" t="s">
        <v>998</v>
      </c>
    </row>
    <row r="155" spans="2:34" x14ac:dyDescent="0.25">
      <c r="B155" s="235">
        <v>44997</v>
      </c>
      <c r="C155" s="3">
        <v>2</v>
      </c>
      <c r="D155" s="236">
        <v>44998</v>
      </c>
      <c r="E155" s="237">
        <v>8240</v>
      </c>
      <c r="F155" s="233">
        <v>145</v>
      </c>
      <c r="G155" s="3">
        <v>7605</v>
      </c>
      <c r="H155" s="3" t="s">
        <v>66</v>
      </c>
      <c r="I155" s="3">
        <v>55</v>
      </c>
      <c r="J155" s="239">
        <v>0.70138888888888884</v>
      </c>
      <c r="K155" s="239">
        <v>0.76388888888888884</v>
      </c>
      <c r="L155" s="5">
        <f t="shared" si="9"/>
        <v>6.25E-2</v>
      </c>
      <c r="M155" s="233" t="s">
        <v>67</v>
      </c>
      <c r="N155" s="233" t="s">
        <v>733</v>
      </c>
      <c r="O155" s="3">
        <v>3260</v>
      </c>
      <c r="P155" s="268" t="str">
        <f>IFERROR((O155/I155)/(VLOOKUP(H155,[71]!taux,2,FALSE)),"")</f>
        <v/>
      </c>
      <c r="Q155" s="233">
        <v>3260</v>
      </c>
      <c r="R155" s="149">
        <v>4905.55</v>
      </c>
      <c r="S155" s="269">
        <f t="shared" si="15"/>
        <v>1.6500000000005457</v>
      </c>
      <c r="T155" s="233">
        <f t="shared" si="14"/>
        <v>1975.7575757569223</v>
      </c>
      <c r="U155" s="149">
        <v>1.53</v>
      </c>
      <c r="V155" s="197">
        <f t="shared" si="12"/>
        <v>2130.7189542483661</v>
      </c>
      <c r="X155" s="191" t="s">
        <v>506</v>
      </c>
      <c r="AA155" s="233" t="s">
        <v>861</v>
      </c>
      <c r="AB155" s="233" t="s">
        <v>861</v>
      </c>
      <c r="AC155" s="233" t="s">
        <v>861</v>
      </c>
      <c r="AD155" s="3">
        <v>3260</v>
      </c>
      <c r="AE155" s="233" t="s">
        <v>459</v>
      </c>
      <c r="AF155" s="233" t="s">
        <v>901</v>
      </c>
      <c r="AG155" s="233" t="s">
        <v>921</v>
      </c>
      <c r="AH155" s="233" t="s">
        <v>708</v>
      </c>
    </row>
    <row r="156" spans="2:34" x14ac:dyDescent="0.25">
      <c r="B156" s="235">
        <v>44997</v>
      </c>
      <c r="C156" s="233">
        <v>3</v>
      </c>
      <c r="D156" s="236">
        <v>44998</v>
      </c>
      <c r="E156" s="156">
        <v>8241</v>
      </c>
      <c r="F156" s="3">
        <v>146</v>
      </c>
      <c r="G156" s="233">
        <v>7617</v>
      </c>
      <c r="H156" s="3" t="s">
        <v>58</v>
      </c>
      <c r="I156" s="3">
        <v>58</v>
      </c>
      <c r="J156" s="239">
        <v>6.9444444444444441E-3</v>
      </c>
      <c r="K156" s="239">
        <v>7.2916666666666671E-2</v>
      </c>
      <c r="L156" s="5">
        <f t="shared" si="9"/>
        <v>6.5972222222222224E-2</v>
      </c>
      <c r="M156" s="233" t="s">
        <v>67</v>
      </c>
      <c r="N156" s="233" t="s">
        <v>733</v>
      </c>
      <c r="O156" s="3">
        <v>3390</v>
      </c>
      <c r="Q156" s="233">
        <v>3390</v>
      </c>
      <c r="R156" s="149">
        <v>4907.1099999999997</v>
      </c>
      <c r="S156" s="269">
        <f t="shared" si="15"/>
        <v>1.5599999999994907</v>
      </c>
      <c r="T156" s="233">
        <f t="shared" si="14"/>
        <v>2173.0769230776327</v>
      </c>
      <c r="U156" s="149">
        <v>1.68</v>
      </c>
      <c r="V156" s="197">
        <f t="shared" si="12"/>
        <v>2017.8571428571429</v>
      </c>
      <c r="X156" s="191" t="s">
        <v>506</v>
      </c>
      <c r="AA156" s="233" t="s">
        <v>861</v>
      </c>
      <c r="AB156" s="233" t="s">
        <v>861</v>
      </c>
      <c r="AC156" s="233" t="s">
        <v>861</v>
      </c>
      <c r="AD156" s="3">
        <v>3390</v>
      </c>
      <c r="AE156" s="233" t="s">
        <v>676</v>
      </c>
      <c r="AF156" s="233" t="s">
        <v>500</v>
      </c>
      <c r="AG156" s="233" t="s">
        <v>709</v>
      </c>
      <c r="AH156" s="233" t="s">
        <v>193</v>
      </c>
    </row>
    <row r="157" spans="2:34" x14ac:dyDescent="0.25">
      <c r="B157" s="235">
        <v>44998</v>
      </c>
      <c r="C157" s="3">
        <v>1</v>
      </c>
      <c r="D157" s="236">
        <v>44998</v>
      </c>
      <c r="E157" s="237">
        <v>8242</v>
      </c>
      <c r="F157" s="3">
        <v>147</v>
      </c>
      <c r="G157" s="3">
        <v>7619</v>
      </c>
      <c r="H157" s="3" t="s">
        <v>58</v>
      </c>
      <c r="I157" s="3">
        <v>55</v>
      </c>
      <c r="J157" s="239">
        <v>0.40625</v>
      </c>
      <c r="K157" s="239">
        <v>0.4826388888888889</v>
      </c>
      <c r="L157" s="5">
        <f t="shared" si="9"/>
        <v>7.6388888888888895E-2</v>
      </c>
      <c r="M157" s="3" t="s">
        <v>67</v>
      </c>
      <c r="N157" s="3" t="s">
        <v>733</v>
      </c>
      <c r="O157" s="3">
        <v>3086</v>
      </c>
      <c r="Q157" s="233">
        <v>3086</v>
      </c>
      <c r="R157" s="149">
        <v>4909.03</v>
      </c>
      <c r="S157" s="269">
        <f t="shared" si="15"/>
        <v>1.9200000000000728</v>
      </c>
      <c r="T157" s="3">
        <f t="shared" si="14"/>
        <v>1607.2916666666058</v>
      </c>
      <c r="U157" s="149">
        <v>1.93</v>
      </c>
      <c r="V157" s="197"/>
      <c r="X157" s="191" t="s">
        <v>506</v>
      </c>
      <c r="AA157" s="233" t="s">
        <v>861</v>
      </c>
      <c r="AB157" s="233" t="s">
        <v>861</v>
      </c>
      <c r="AC157" s="233" t="s">
        <v>861</v>
      </c>
      <c r="AD157" s="233" t="s">
        <v>861</v>
      </c>
      <c r="AE157" s="3" t="s">
        <v>1</v>
      </c>
      <c r="AF157" s="3" t="s">
        <v>701</v>
      </c>
      <c r="AG157" s="3" t="s">
        <v>1001</v>
      </c>
      <c r="AH157" s="3" t="s">
        <v>461</v>
      </c>
    </row>
    <row r="158" spans="2:34" x14ac:dyDescent="0.25">
      <c r="B158" s="235">
        <v>44998</v>
      </c>
      <c r="C158" s="233">
        <v>2</v>
      </c>
      <c r="D158" s="236">
        <v>44998</v>
      </c>
      <c r="E158" s="156">
        <v>8243</v>
      </c>
      <c r="F158" s="3">
        <v>148</v>
      </c>
      <c r="G158" s="233">
        <v>7625</v>
      </c>
      <c r="H158" s="3" t="s">
        <v>58</v>
      </c>
      <c r="I158" s="3">
        <v>58</v>
      </c>
      <c r="J158" s="239">
        <v>0.71527777777777779</v>
      </c>
      <c r="K158" s="239">
        <v>0.78472222222222221</v>
      </c>
      <c r="L158" s="5">
        <f t="shared" si="9"/>
        <v>6.944444444444442E-2</v>
      </c>
      <c r="M158" s="233" t="s">
        <v>67</v>
      </c>
      <c r="N158" s="233" t="s">
        <v>733</v>
      </c>
      <c r="O158" s="3">
        <v>3250</v>
      </c>
      <c r="Q158" s="3">
        <v>3250</v>
      </c>
      <c r="R158" s="149">
        <v>4910.66</v>
      </c>
      <c r="S158" s="269">
        <f t="shared" si="15"/>
        <v>1.6300000000001091</v>
      </c>
      <c r="T158" s="233">
        <f t="shared" si="14"/>
        <v>1993.8650306747131</v>
      </c>
      <c r="U158" s="149">
        <v>1.96</v>
      </c>
      <c r="V158" s="197"/>
      <c r="X158" s="191" t="s">
        <v>506</v>
      </c>
      <c r="AA158" s="233" t="s">
        <v>861</v>
      </c>
      <c r="AB158" s="233" t="s">
        <v>861</v>
      </c>
      <c r="AC158" s="233" t="s">
        <v>861</v>
      </c>
      <c r="AD158" s="233" t="s">
        <v>861</v>
      </c>
      <c r="AE158" s="3" t="s">
        <v>676</v>
      </c>
      <c r="AF158" s="3" t="s">
        <v>1003</v>
      </c>
      <c r="AG158" s="3" t="s">
        <v>709</v>
      </c>
      <c r="AH158" s="233" t="s">
        <v>849</v>
      </c>
    </row>
    <row r="159" spans="2:34" x14ac:dyDescent="0.25">
      <c r="B159" s="235">
        <v>44998</v>
      </c>
      <c r="C159" s="3">
        <v>3</v>
      </c>
      <c r="D159" s="236">
        <v>44999</v>
      </c>
      <c r="E159" s="237">
        <v>8244</v>
      </c>
      <c r="F159" s="3">
        <v>149</v>
      </c>
      <c r="G159" s="3">
        <v>7605</v>
      </c>
      <c r="H159" s="3" t="s">
        <v>66</v>
      </c>
      <c r="I159" s="3">
        <v>55</v>
      </c>
      <c r="J159" s="239">
        <v>0</v>
      </c>
      <c r="K159" s="239">
        <v>6.9444444444444434E-2</v>
      </c>
      <c r="L159" s="5">
        <f t="shared" si="9"/>
        <v>6.9444444444444434E-2</v>
      </c>
      <c r="M159" s="3" t="s">
        <v>67</v>
      </c>
      <c r="N159" s="3" t="s">
        <v>734</v>
      </c>
      <c r="O159" s="3">
        <v>3190</v>
      </c>
      <c r="Q159" s="3">
        <v>3190</v>
      </c>
      <c r="R159" s="149">
        <v>4912.1899999999996</v>
      </c>
      <c r="S159" s="269">
        <f t="shared" si="15"/>
        <v>1.5299999999997453</v>
      </c>
      <c r="T159" s="233">
        <f t="shared" si="14"/>
        <v>2084.9673202617851</v>
      </c>
      <c r="U159" s="149">
        <v>1.78</v>
      </c>
      <c r="V159" s="197"/>
      <c r="X159" s="191" t="s">
        <v>506</v>
      </c>
      <c r="AA159" s="233" t="s">
        <v>861</v>
      </c>
      <c r="AB159" s="233" t="s">
        <v>861</v>
      </c>
      <c r="AC159" s="233" t="s">
        <v>861</v>
      </c>
      <c r="AD159" s="233" t="s">
        <v>861</v>
      </c>
      <c r="AE159" s="233" t="s">
        <v>459</v>
      </c>
      <c r="AF159" s="233" t="s">
        <v>998</v>
      </c>
      <c r="AG159" s="233" t="s">
        <v>816</v>
      </c>
      <c r="AH159" s="233" t="s">
        <v>709</v>
      </c>
    </row>
    <row r="160" spans="2:34" x14ac:dyDescent="0.25">
      <c r="B160" s="235">
        <v>44999</v>
      </c>
      <c r="C160" s="3">
        <v>1</v>
      </c>
      <c r="D160" s="236">
        <v>44999</v>
      </c>
      <c r="E160" s="237">
        <v>8245</v>
      </c>
      <c r="F160" s="233">
        <v>150</v>
      </c>
      <c r="G160" s="3">
        <v>7617</v>
      </c>
      <c r="H160" s="3" t="s">
        <v>58</v>
      </c>
      <c r="I160" s="3">
        <v>60</v>
      </c>
      <c r="J160" s="239">
        <v>0.4548611111111111</v>
      </c>
      <c r="K160" s="239">
        <v>0.52430555555555558</v>
      </c>
      <c r="L160" s="5">
        <f t="shared" si="9"/>
        <v>6.9444444444444475E-2</v>
      </c>
      <c r="M160" s="3" t="s">
        <v>67</v>
      </c>
      <c r="N160" s="233" t="s">
        <v>734</v>
      </c>
      <c r="O160" s="3">
        <v>3358</v>
      </c>
      <c r="Q160" s="3">
        <f>+O160</f>
        <v>3358</v>
      </c>
      <c r="R160" s="149">
        <v>4913.84</v>
      </c>
      <c r="S160" s="269">
        <f t="shared" si="15"/>
        <v>1.6500000000005457</v>
      </c>
      <c r="T160" s="233">
        <f t="shared" si="14"/>
        <v>2035.151515150842</v>
      </c>
      <c r="U160" s="149">
        <v>1.77</v>
      </c>
      <c r="V160" s="197"/>
      <c r="X160" s="191" t="s">
        <v>506</v>
      </c>
      <c r="AA160" s="233" t="s">
        <v>861</v>
      </c>
      <c r="AB160" s="233" t="s">
        <v>861</v>
      </c>
      <c r="AC160" s="233" t="s">
        <v>861</v>
      </c>
      <c r="AD160" s="233" t="s">
        <v>861</v>
      </c>
      <c r="AE160" s="233" t="s">
        <v>1</v>
      </c>
      <c r="AF160" s="233" t="s">
        <v>701</v>
      </c>
      <c r="AG160" s="233" t="s">
        <v>461</v>
      </c>
      <c r="AH160" s="233" t="s">
        <v>1006</v>
      </c>
    </row>
    <row r="161" spans="2:37" x14ac:dyDescent="0.25">
      <c r="B161" s="235">
        <v>44999</v>
      </c>
      <c r="C161" s="3">
        <v>2</v>
      </c>
      <c r="D161" s="148">
        <v>44999</v>
      </c>
      <c r="E161" s="156">
        <v>8246</v>
      </c>
      <c r="F161" s="3">
        <v>151</v>
      </c>
      <c r="G161" s="3">
        <v>7625</v>
      </c>
      <c r="H161" s="3" t="s">
        <v>58</v>
      </c>
      <c r="I161" s="3">
        <v>60</v>
      </c>
      <c r="J161" s="239">
        <v>0.74652777777777779</v>
      </c>
      <c r="K161" s="239">
        <v>0.80555555555555547</v>
      </c>
      <c r="L161" s="5">
        <f t="shared" si="9"/>
        <v>5.9027777777777679E-2</v>
      </c>
      <c r="M161" s="3" t="s">
        <v>67</v>
      </c>
      <c r="N161" s="3" t="s">
        <v>734</v>
      </c>
      <c r="O161" s="3">
        <v>3400</v>
      </c>
      <c r="Q161" s="3">
        <v>3400</v>
      </c>
      <c r="R161" s="149">
        <v>4915.45</v>
      </c>
      <c r="S161" s="269">
        <f t="shared" si="15"/>
        <v>1.6099999999996726</v>
      </c>
      <c r="T161" s="233">
        <f t="shared" si="14"/>
        <v>2111.8012422364545</v>
      </c>
      <c r="U161" s="149">
        <v>1.86</v>
      </c>
      <c r="X161" s="191" t="s">
        <v>506</v>
      </c>
      <c r="AA161" s="233" t="s">
        <v>861</v>
      </c>
      <c r="AB161" s="233" t="s">
        <v>861</v>
      </c>
      <c r="AC161" s="233" t="s">
        <v>861</v>
      </c>
      <c r="AD161" s="233" t="s">
        <v>861</v>
      </c>
      <c r="AE161" s="233" t="s">
        <v>676</v>
      </c>
      <c r="AF161" s="233" t="s">
        <v>1003</v>
      </c>
      <c r="AG161" s="233" t="s">
        <v>709</v>
      </c>
      <c r="AH161" s="233" t="s">
        <v>849</v>
      </c>
    </row>
    <row r="162" spans="2:37" x14ac:dyDescent="0.25">
      <c r="B162" s="235">
        <v>44999</v>
      </c>
      <c r="C162" s="3">
        <v>3</v>
      </c>
      <c r="D162" s="148">
        <v>45000</v>
      </c>
      <c r="E162" s="156">
        <v>8247</v>
      </c>
      <c r="F162" s="3">
        <v>152</v>
      </c>
      <c r="G162" s="3">
        <v>7605</v>
      </c>
      <c r="H162" s="3" t="s">
        <v>58</v>
      </c>
      <c r="I162" s="3">
        <v>58</v>
      </c>
      <c r="J162" s="239">
        <v>3.472222222222222E-3</v>
      </c>
      <c r="K162" s="239">
        <v>6.9444444444444434E-2</v>
      </c>
      <c r="L162" s="5">
        <f t="shared" si="9"/>
        <v>6.597222222222221E-2</v>
      </c>
      <c r="M162" s="3" t="s">
        <v>67</v>
      </c>
      <c r="N162" s="233" t="s">
        <v>734</v>
      </c>
      <c r="O162" s="3">
        <v>3250</v>
      </c>
      <c r="Q162" s="3">
        <v>3250</v>
      </c>
      <c r="R162" s="149">
        <v>4916.9799999999996</v>
      </c>
      <c r="S162" s="269">
        <f t="shared" si="15"/>
        <v>1.5299999999997453</v>
      </c>
      <c r="T162" s="233">
        <f t="shared" si="14"/>
        <v>2124.1830065363015</v>
      </c>
      <c r="U162" s="149">
        <v>1.72</v>
      </c>
      <c r="X162" s="191" t="s">
        <v>506</v>
      </c>
      <c r="AA162" s="233" t="s">
        <v>861</v>
      </c>
      <c r="AB162" s="233" t="s">
        <v>861</v>
      </c>
      <c r="AC162" s="233" t="s">
        <v>861</v>
      </c>
      <c r="AD162" s="233" t="s">
        <v>861</v>
      </c>
      <c r="AE162" s="233" t="s">
        <v>459</v>
      </c>
      <c r="AF162" s="233" t="s">
        <v>998</v>
      </c>
      <c r="AG162" s="233" t="s">
        <v>816</v>
      </c>
      <c r="AH162" s="233" t="s">
        <v>709</v>
      </c>
    </row>
    <row r="163" spans="2:37" x14ac:dyDescent="0.25">
      <c r="B163" s="235">
        <v>45000</v>
      </c>
      <c r="C163" s="3">
        <v>1</v>
      </c>
      <c r="D163" s="236">
        <v>45000</v>
      </c>
      <c r="E163" s="237">
        <v>8248</v>
      </c>
      <c r="F163" s="233">
        <v>153</v>
      </c>
      <c r="G163" s="3">
        <v>7617</v>
      </c>
      <c r="H163" s="3" t="s">
        <v>66</v>
      </c>
      <c r="I163" s="3">
        <v>55</v>
      </c>
      <c r="J163" s="239">
        <v>0.36458333333333331</v>
      </c>
      <c r="K163" s="239">
        <v>0.4375</v>
      </c>
      <c r="L163" s="5">
        <f t="shared" si="9"/>
        <v>7.2916666666666685E-2</v>
      </c>
      <c r="M163" s="233" t="s">
        <v>67</v>
      </c>
      <c r="N163" s="233" t="s">
        <v>734</v>
      </c>
      <c r="O163" s="3">
        <v>3190</v>
      </c>
      <c r="Q163" s="3">
        <v>3190</v>
      </c>
      <c r="R163" s="149">
        <v>4918.68</v>
      </c>
      <c r="S163" s="269">
        <f t="shared" ref="S163:S168" si="16">R163-R162</f>
        <v>1.7000000000007276</v>
      </c>
      <c r="T163" s="233">
        <f t="shared" si="14"/>
        <v>1876.4705882344911</v>
      </c>
      <c r="U163" s="149">
        <v>2.1</v>
      </c>
      <c r="X163" s="191" t="s">
        <v>506</v>
      </c>
      <c r="AA163" s="233" t="s">
        <v>861</v>
      </c>
      <c r="AB163" s="233" t="s">
        <v>861</v>
      </c>
      <c r="AC163" s="233" t="s">
        <v>861</v>
      </c>
      <c r="AD163" s="233" t="s">
        <v>861</v>
      </c>
      <c r="AE163" s="3" t="s">
        <v>223</v>
      </c>
      <c r="AF163" s="3" t="s">
        <v>151</v>
      </c>
      <c r="AG163" s="3" t="s">
        <v>1010</v>
      </c>
      <c r="AH163" s="3" t="s">
        <v>668</v>
      </c>
    </row>
    <row r="164" spans="2:37" x14ac:dyDescent="0.25">
      <c r="B164" s="235">
        <v>45000</v>
      </c>
      <c r="C164" s="233">
        <v>1</v>
      </c>
      <c r="D164" s="236">
        <v>45000</v>
      </c>
      <c r="E164" s="237">
        <v>8249</v>
      </c>
      <c r="F164" s="233">
        <v>154</v>
      </c>
      <c r="G164" s="233">
        <v>7619</v>
      </c>
      <c r="H164" s="3" t="s">
        <v>58</v>
      </c>
      <c r="I164" s="3">
        <v>60</v>
      </c>
      <c r="J164" s="239">
        <v>0.52083333333333337</v>
      </c>
      <c r="K164" s="239">
        <v>0.60416666666666663</v>
      </c>
      <c r="L164" s="5">
        <f t="shared" si="9"/>
        <v>8.3333333333333259E-2</v>
      </c>
      <c r="M164" s="3" t="s">
        <v>73</v>
      </c>
      <c r="N164" s="3" t="s">
        <v>735</v>
      </c>
      <c r="O164" s="3">
        <v>3420</v>
      </c>
      <c r="Q164" s="233">
        <v>3420</v>
      </c>
      <c r="R164" s="149">
        <v>4920.8</v>
      </c>
      <c r="S164" s="269">
        <f t="shared" si="16"/>
        <v>2.1199999999998909</v>
      </c>
      <c r="T164" s="233">
        <f t="shared" si="14"/>
        <v>1613.2075471698943</v>
      </c>
      <c r="U164" s="149">
        <v>2.6</v>
      </c>
      <c r="X164" s="191" t="s">
        <v>506</v>
      </c>
      <c r="AA164" s="233" t="s">
        <v>861</v>
      </c>
      <c r="AB164" s="233" t="s">
        <v>861</v>
      </c>
      <c r="AC164" s="233" t="s">
        <v>861</v>
      </c>
      <c r="AD164" s="233" t="s">
        <v>861</v>
      </c>
      <c r="AE164" s="233" t="s">
        <v>223</v>
      </c>
      <c r="AF164" s="233" t="s">
        <v>151</v>
      </c>
      <c r="AG164" s="233" t="s">
        <v>1010</v>
      </c>
      <c r="AH164" s="233" t="s">
        <v>668</v>
      </c>
    </row>
    <row r="165" spans="2:37" x14ac:dyDescent="0.25">
      <c r="B165" s="235">
        <v>45000</v>
      </c>
      <c r="C165" s="233">
        <v>2</v>
      </c>
      <c r="D165" s="310">
        <v>45001</v>
      </c>
      <c r="E165" s="237">
        <v>8250</v>
      </c>
      <c r="F165" s="233">
        <v>155</v>
      </c>
      <c r="G165" s="233">
        <v>7609</v>
      </c>
      <c r="H165" s="233" t="s">
        <v>58</v>
      </c>
      <c r="I165" s="3">
        <v>58</v>
      </c>
      <c r="J165" s="239">
        <v>0.75</v>
      </c>
      <c r="K165" s="239">
        <v>0.8125</v>
      </c>
      <c r="L165" s="5">
        <f t="shared" si="9"/>
        <v>6.25E-2</v>
      </c>
      <c r="M165" s="233" t="s">
        <v>73</v>
      </c>
      <c r="N165" s="233" t="s">
        <v>735</v>
      </c>
      <c r="O165" s="3">
        <v>3300</v>
      </c>
      <c r="Q165" s="3">
        <v>3300</v>
      </c>
      <c r="R165" s="149">
        <v>4922.3999999999996</v>
      </c>
      <c r="S165" s="269">
        <f t="shared" si="16"/>
        <v>1.5999999999994543</v>
      </c>
      <c r="T165" s="233">
        <f t="shared" si="14"/>
        <v>2062.5000000007035</v>
      </c>
      <c r="U165" s="149">
        <v>1.63</v>
      </c>
      <c r="X165" s="191" t="s">
        <v>506</v>
      </c>
      <c r="AA165" s="233" t="s">
        <v>861</v>
      </c>
      <c r="AB165" s="233" t="s">
        <v>861</v>
      </c>
      <c r="AC165" s="233" t="s">
        <v>861</v>
      </c>
      <c r="AD165" s="233" t="s">
        <v>861</v>
      </c>
      <c r="AE165" s="233"/>
      <c r="AF165" s="233" t="s">
        <v>1003</v>
      </c>
      <c r="AG165" s="233" t="s">
        <v>709</v>
      </c>
      <c r="AH165" s="233" t="s">
        <v>849</v>
      </c>
    </row>
    <row r="166" spans="2:37" x14ac:dyDescent="0.25">
      <c r="B166" s="235">
        <v>45000</v>
      </c>
      <c r="C166" s="3">
        <v>3</v>
      </c>
      <c r="D166" s="236">
        <v>45001</v>
      </c>
      <c r="E166" s="237">
        <v>8251</v>
      </c>
      <c r="F166" s="233">
        <v>156</v>
      </c>
      <c r="G166" s="3">
        <v>7605</v>
      </c>
      <c r="H166" s="3" t="s">
        <v>58</v>
      </c>
      <c r="I166" s="3">
        <v>57</v>
      </c>
      <c r="J166" s="239">
        <v>5.5555555555555552E-2</v>
      </c>
      <c r="K166" s="239">
        <v>0.11805555555555557</v>
      </c>
      <c r="L166" s="5">
        <f t="shared" si="9"/>
        <v>6.2500000000000014E-2</v>
      </c>
      <c r="M166" s="233" t="s">
        <v>73</v>
      </c>
      <c r="N166" s="233" t="s">
        <v>735</v>
      </c>
      <c r="O166" s="3">
        <v>3200</v>
      </c>
      <c r="Q166" s="3">
        <v>3200</v>
      </c>
      <c r="R166" s="149">
        <v>4923.91</v>
      </c>
      <c r="S166" s="269">
        <f t="shared" si="16"/>
        <v>1.5100000000002183</v>
      </c>
      <c r="T166" s="233">
        <f t="shared" si="14"/>
        <v>2119.2052980129388</v>
      </c>
      <c r="U166" s="149">
        <v>1.63</v>
      </c>
      <c r="X166" s="191" t="s">
        <v>506</v>
      </c>
      <c r="AA166" s="233" t="s">
        <v>861</v>
      </c>
      <c r="AB166" s="233" t="s">
        <v>861</v>
      </c>
      <c r="AC166" s="233" t="s">
        <v>861</v>
      </c>
      <c r="AD166" s="233" t="s">
        <v>861</v>
      </c>
      <c r="AE166" s="233" t="s">
        <v>676</v>
      </c>
      <c r="AF166" s="233" t="s">
        <v>998</v>
      </c>
      <c r="AG166" s="233" t="s">
        <v>816</v>
      </c>
      <c r="AH166" s="233" t="s">
        <v>709</v>
      </c>
    </row>
    <row r="167" spans="2:37" x14ac:dyDescent="0.25">
      <c r="B167" s="235">
        <v>45001</v>
      </c>
      <c r="C167" s="3">
        <v>1</v>
      </c>
      <c r="D167" s="236">
        <v>45001</v>
      </c>
      <c r="E167" s="156">
        <v>8252</v>
      </c>
      <c r="F167" s="3">
        <v>157</v>
      </c>
      <c r="G167" s="3">
        <v>7617</v>
      </c>
      <c r="H167" s="3" t="s">
        <v>66</v>
      </c>
      <c r="I167" s="3">
        <v>56</v>
      </c>
      <c r="J167" s="239">
        <v>0.38541666666666669</v>
      </c>
      <c r="K167" s="239">
        <v>0.44791666666666669</v>
      </c>
      <c r="L167" s="5">
        <f t="shared" si="9"/>
        <v>6.25E-2</v>
      </c>
      <c r="M167" s="3" t="s">
        <v>73</v>
      </c>
      <c r="N167" s="3" t="s">
        <v>735</v>
      </c>
      <c r="O167" s="3">
        <v>3300</v>
      </c>
      <c r="Q167" s="3">
        <v>3300</v>
      </c>
      <c r="R167" s="149">
        <v>4925.33</v>
      </c>
      <c r="S167" s="269">
        <f t="shared" si="16"/>
        <v>1.4200000000000728</v>
      </c>
      <c r="T167" s="233">
        <f>Q167/S167</f>
        <v>2323.9436619717121</v>
      </c>
      <c r="U167" s="149">
        <v>1.63</v>
      </c>
      <c r="X167" s="191" t="s">
        <v>506</v>
      </c>
      <c r="AA167" s="233" t="s">
        <v>861</v>
      </c>
      <c r="AB167" s="233" t="s">
        <v>861</v>
      </c>
      <c r="AC167" s="233" t="s">
        <v>861</v>
      </c>
      <c r="AD167" s="233" t="s">
        <v>861</v>
      </c>
      <c r="AE167" s="233" t="s">
        <v>6</v>
      </c>
      <c r="AF167" s="233" t="s">
        <v>159</v>
      </c>
      <c r="AG167" s="233" t="s">
        <v>1015</v>
      </c>
      <c r="AH167" s="233" t="s">
        <v>148</v>
      </c>
    </row>
    <row r="168" spans="2:37" x14ac:dyDescent="0.25">
      <c r="B168" s="235">
        <v>45001</v>
      </c>
      <c r="C168" s="233">
        <v>2</v>
      </c>
      <c r="D168" s="236">
        <v>45002</v>
      </c>
      <c r="E168" s="156">
        <v>8253</v>
      </c>
      <c r="F168" s="3">
        <v>158</v>
      </c>
      <c r="G168" s="233">
        <v>7605</v>
      </c>
      <c r="H168" s="3" t="s">
        <v>58</v>
      </c>
      <c r="I168" s="3">
        <v>58</v>
      </c>
      <c r="J168" s="239">
        <v>0.72569444444444453</v>
      </c>
      <c r="K168" s="239">
        <v>0.79166666666666663</v>
      </c>
      <c r="L168" s="5">
        <f t="shared" si="9"/>
        <v>6.5972222222222099E-2</v>
      </c>
      <c r="M168" s="233" t="s">
        <v>73</v>
      </c>
      <c r="N168" s="233" t="s">
        <v>735</v>
      </c>
      <c r="O168" s="3">
        <v>3360</v>
      </c>
      <c r="Q168" s="3">
        <v>3360</v>
      </c>
      <c r="R168" s="149">
        <v>4926.82</v>
      </c>
      <c r="S168" s="269">
        <f t="shared" si="16"/>
        <v>1.4899999999997817</v>
      </c>
      <c r="T168" s="233">
        <f>Q168/S168</f>
        <v>2255.0335570473103</v>
      </c>
      <c r="U168" s="149">
        <v>1.66</v>
      </c>
      <c r="X168" s="191" t="s">
        <v>506</v>
      </c>
      <c r="AA168" s="233" t="s">
        <v>861</v>
      </c>
      <c r="AB168" s="233" t="s">
        <v>861</v>
      </c>
      <c r="AC168" s="233" t="s">
        <v>861</v>
      </c>
      <c r="AD168" s="233" t="s">
        <v>861</v>
      </c>
      <c r="AE168" s="233" t="s">
        <v>676</v>
      </c>
      <c r="AF168" s="233" t="s">
        <v>1003</v>
      </c>
      <c r="AG168" s="233" t="s">
        <v>709</v>
      </c>
      <c r="AH168" s="233" t="s">
        <v>849</v>
      </c>
    </row>
    <row r="169" spans="2:37" x14ac:dyDescent="0.25">
      <c r="B169" s="235">
        <v>45001</v>
      </c>
      <c r="C169" s="3">
        <v>3</v>
      </c>
      <c r="D169" s="148">
        <v>45002</v>
      </c>
      <c r="E169" s="156">
        <v>8254</v>
      </c>
      <c r="F169" s="3">
        <v>159</v>
      </c>
      <c r="G169" s="233">
        <v>7617</v>
      </c>
      <c r="H169" s="3" t="s">
        <v>58</v>
      </c>
      <c r="I169" s="3">
        <v>60</v>
      </c>
      <c r="J169" s="239">
        <v>5.5555555555555552E-2</v>
      </c>
      <c r="K169" s="239">
        <v>0.125</v>
      </c>
      <c r="L169" s="5">
        <f t="shared" si="9"/>
        <v>6.9444444444444448E-2</v>
      </c>
      <c r="M169" s="3" t="s">
        <v>73</v>
      </c>
      <c r="N169" s="233" t="s">
        <v>735</v>
      </c>
      <c r="O169" s="3">
        <v>3250</v>
      </c>
      <c r="Q169" s="3">
        <v>3250</v>
      </c>
      <c r="R169" s="149">
        <v>4928.6000000000004</v>
      </c>
      <c r="S169" s="269">
        <f t="shared" ref="S169:S184" si="17">R169-R168</f>
        <v>1.7800000000006548</v>
      </c>
      <c r="T169" s="233">
        <f>Q169/S169</f>
        <v>1825.8426966285417</v>
      </c>
      <c r="U169" s="149">
        <v>1.73</v>
      </c>
      <c r="X169" s="191" t="s">
        <v>506</v>
      </c>
      <c r="AA169" s="233" t="s">
        <v>861</v>
      </c>
      <c r="AB169" s="233" t="s">
        <v>861</v>
      </c>
      <c r="AC169" s="233" t="s">
        <v>861</v>
      </c>
      <c r="AD169" s="233" t="s">
        <v>861</v>
      </c>
      <c r="AF169" s="233" t="s">
        <v>998</v>
      </c>
      <c r="AG169" s="233" t="s">
        <v>816</v>
      </c>
      <c r="AH169" s="233" t="s">
        <v>709</v>
      </c>
    </row>
    <row r="170" spans="2:37" x14ac:dyDescent="0.25">
      <c r="B170" s="235">
        <v>45002</v>
      </c>
      <c r="C170" s="3">
        <v>1</v>
      </c>
      <c r="D170" s="236">
        <v>45002</v>
      </c>
      <c r="E170" s="237">
        <v>8255</v>
      </c>
      <c r="F170" s="233">
        <v>160</v>
      </c>
      <c r="G170" s="3">
        <v>7625</v>
      </c>
      <c r="H170" s="3" t="s">
        <v>66</v>
      </c>
      <c r="I170" s="3">
        <v>55</v>
      </c>
      <c r="J170" s="239">
        <v>0.5</v>
      </c>
      <c r="K170" s="239">
        <v>0.5625</v>
      </c>
      <c r="L170" s="234">
        <f t="shared" si="9"/>
        <v>6.25E-2</v>
      </c>
      <c r="M170" s="3" t="s">
        <v>67</v>
      </c>
      <c r="N170" s="191" t="s">
        <v>734</v>
      </c>
      <c r="O170" s="3">
        <v>3245</v>
      </c>
      <c r="Q170" s="3">
        <v>3245</v>
      </c>
      <c r="R170" s="149">
        <v>4930.05</v>
      </c>
      <c r="S170" s="269">
        <f t="shared" si="17"/>
        <v>1.4499999999998181</v>
      </c>
      <c r="T170" s="233">
        <f>Q170/S170</f>
        <v>2237.9310344830392</v>
      </c>
      <c r="U170" s="149">
        <v>1.99</v>
      </c>
      <c r="X170" s="191" t="s">
        <v>506</v>
      </c>
      <c r="AA170" s="233" t="s">
        <v>861</v>
      </c>
      <c r="AB170" s="233" t="s">
        <v>861</v>
      </c>
      <c r="AC170" s="233" t="s">
        <v>861</v>
      </c>
      <c r="AD170" s="233" t="s">
        <v>861</v>
      </c>
      <c r="AE170" s="233" t="s">
        <v>6</v>
      </c>
      <c r="AF170" s="233" t="s">
        <v>159</v>
      </c>
      <c r="AG170" s="233" t="s">
        <v>1015</v>
      </c>
      <c r="AH170" s="3" t="s">
        <v>1019</v>
      </c>
    </row>
    <row r="171" spans="2:37" x14ac:dyDescent="0.25">
      <c r="B171" s="235">
        <v>45002</v>
      </c>
      <c r="C171" s="3">
        <v>3</v>
      </c>
      <c r="D171" s="236">
        <v>45003</v>
      </c>
      <c r="E171" s="156">
        <v>8256</v>
      </c>
      <c r="F171" s="3">
        <v>161</v>
      </c>
      <c r="G171" s="3">
        <v>7617</v>
      </c>
      <c r="H171" s="3" t="s">
        <v>58</v>
      </c>
      <c r="I171" s="3">
        <v>58</v>
      </c>
      <c r="J171" s="239">
        <v>0.99305555555555547</v>
      </c>
      <c r="K171" s="239">
        <v>5.2083333333333336E-2</v>
      </c>
      <c r="L171" s="234"/>
      <c r="M171" s="191" t="s">
        <v>67</v>
      </c>
      <c r="N171" s="191" t="s">
        <v>734</v>
      </c>
      <c r="O171" s="3">
        <v>3360</v>
      </c>
      <c r="Q171" s="3">
        <v>3360</v>
      </c>
      <c r="R171" s="149">
        <v>4931.3999999999996</v>
      </c>
      <c r="S171" s="269">
        <f t="shared" si="17"/>
        <v>1.3499999999994543</v>
      </c>
      <c r="T171" s="233">
        <f>Q171/S171</f>
        <v>2488.888888889895</v>
      </c>
      <c r="U171" s="149">
        <v>1.47</v>
      </c>
      <c r="AA171" s="233" t="s">
        <v>861</v>
      </c>
      <c r="AB171" s="233" t="s">
        <v>861</v>
      </c>
      <c r="AC171" s="233" t="s">
        <v>861</v>
      </c>
      <c r="AD171" s="233" t="s">
        <v>861</v>
      </c>
    </row>
    <row r="172" spans="2:37" x14ac:dyDescent="0.25">
      <c r="B172" s="235">
        <v>45003</v>
      </c>
      <c r="C172" s="3">
        <v>1</v>
      </c>
      <c r="D172" s="236">
        <v>45003</v>
      </c>
      <c r="E172" s="156">
        <v>8257</v>
      </c>
      <c r="F172" s="3">
        <v>162</v>
      </c>
      <c r="G172" s="233">
        <v>7619</v>
      </c>
      <c r="H172" s="233" t="s">
        <v>58</v>
      </c>
      <c r="I172" s="3">
        <v>59</v>
      </c>
      <c r="J172" s="239">
        <v>0.40277777777777773</v>
      </c>
      <c r="K172" s="239">
        <v>0.4861111111111111</v>
      </c>
      <c r="L172" s="314">
        <f>+K172-J172</f>
        <v>8.333333333333337E-2</v>
      </c>
      <c r="M172" s="233" t="s">
        <v>67</v>
      </c>
      <c r="N172" s="191" t="s">
        <v>734</v>
      </c>
      <c r="O172" s="313">
        <v>3250</v>
      </c>
      <c r="Q172" s="3">
        <v>3360</v>
      </c>
      <c r="R172" s="149">
        <v>4933.1499999999996</v>
      </c>
      <c r="S172" s="269">
        <f t="shared" si="17"/>
        <v>1.75</v>
      </c>
      <c r="T172" s="233">
        <f t="shared" ref="T172:T184" si="18">Q172/S172</f>
        <v>1920</v>
      </c>
      <c r="U172" s="149">
        <v>2.17</v>
      </c>
      <c r="AA172" s="233" t="s">
        <v>861</v>
      </c>
      <c r="AB172" s="233" t="s">
        <v>861</v>
      </c>
      <c r="AC172" s="233" t="s">
        <v>861</v>
      </c>
      <c r="AD172" s="233" t="s">
        <v>861</v>
      </c>
      <c r="AE172" s="233" t="s">
        <v>6</v>
      </c>
      <c r="AF172" s="3" t="s">
        <v>1023</v>
      </c>
      <c r="AG172" s="3" t="s">
        <v>1024</v>
      </c>
      <c r="AH172" s="233" t="s">
        <v>148</v>
      </c>
      <c r="AK172" s="233" t="s">
        <v>1022</v>
      </c>
    </row>
    <row r="173" spans="2:37" x14ac:dyDescent="0.25">
      <c r="B173" s="235">
        <v>45003</v>
      </c>
      <c r="C173" s="3">
        <v>2</v>
      </c>
      <c r="D173" s="148">
        <v>45003</v>
      </c>
      <c r="E173" s="156">
        <v>8258</v>
      </c>
      <c r="F173" s="3">
        <v>163</v>
      </c>
      <c r="G173" s="3">
        <v>7625</v>
      </c>
      <c r="H173" s="3" t="s">
        <v>58</v>
      </c>
      <c r="I173" s="3">
        <v>56</v>
      </c>
      <c r="J173" s="239">
        <v>0.69444444444444453</v>
      </c>
      <c r="K173" s="239">
        <v>0.75694444444444453</v>
      </c>
      <c r="L173" s="234">
        <f t="shared" ref="L173:L237" si="19">+K173-J173</f>
        <v>6.25E-2</v>
      </c>
      <c r="M173" s="3" t="s">
        <v>73</v>
      </c>
      <c r="N173" s="233" t="s">
        <v>735</v>
      </c>
      <c r="O173" s="3">
        <v>3150</v>
      </c>
      <c r="Q173" s="3">
        <v>3150</v>
      </c>
      <c r="R173" s="149">
        <v>4934.68</v>
      </c>
      <c r="S173" s="269">
        <f t="shared" si="17"/>
        <v>1.5300000000006548</v>
      </c>
      <c r="T173" s="233">
        <f t="shared" si="18"/>
        <v>2058.8235294108836</v>
      </c>
      <c r="U173" s="149">
        <v>1.57</v>
      </c>
      <c r="X173" s="191" t="s">
        <v>506</v>
      </c>
      <c r="AA173" s="233" t="s">
        <v>861</v>
      </c>
      <c r="AB173" s="233" t="s">
        <v>861</v>
      </c>
      <c r="AC173" s="233" t="s">
        <v>861</v>
      </c>
      <c r="AD173" s="233" t="s">
        <v>861</v>
      </c>
      <c r="AE173" s="233" t="s">
        <v>676</v>
      </c>
      <c r="AF173" s="233" t="s">
        <v>179</v>
      </c>
      <c r="AG173" s="233" t="s">
        <v>709</v>
      </c>
      <c r="AH173" s="233" t="s">
        <v>849</v>
      </c>
      <c r="AK173" s="233"/>
    </row>
    <row r="174" spans="2:37" x14ac:dyDescent="0.25">
      <c r="B174" s="235">
        <v>45003</v>
      </c>
      <c r="C174" s="3">
        <v>2</v>
      </c>
      <c r="D174" s="148">
        <v>45004</v>
      </c>
      <c r="E174" s="156">
        <v>8259</v>
      </c>
      <c r="F174" s="3">
        <v>164</v>
      </c>
      <c r="G174" s="3">
        <v>7605</v>
      </c>
      <c r="H174" s="3" t="s">
        <v>66</v>
      </c>
      <c r="I174" s="3">
        <v>55</v>
      </c>
      <c r="J174" s="239">
        <v>0.80902777777777779</v>
      </c>
      <c r="K174" s="239">
        <v>0.86805555555555547</v>
      </c>
      <c r="L174" s="234">
        <f t="shared" si="19"/>
        <v>5.9027777777777679E-2</v>
      </c>
      <c r="M174" s="3" t="s">
        <v>73</v>
      </c>
      <c r="N174" s="233" t="s">
        <v>735</v>
      </c>
      <c r="O174" s="3">
        <v>3220</v>
      </c>
      <c r="Q174" s="3">
        <v>3220</v>
      </c>
      <c r="R174" s="149">
        <v>4936.04</v>
      </c>
      <c r="S174" s="269">
        <f t="shared" si="17"/>
        <v>1.3599999999996726</v>
      </c>
      <c r="T174" s="233">
        <f t="shared" si="18"/>
        <v>2367.6470588240995</v>
      </c>
      <c r="U174" s="149">
        <f>3.06-1.57</f>
        <v>1.49</v>
      </c>
      <c r="X174" s="191" t="s">
        <v>506</v>
      </c>
      <c r="AA174" s="233" t="s">
        <v>861</v>
      </c>
      <c r="AB174" s="233" t="s">
        <v>861</v>
      </c>
      <c r="AC174" s="233" t="s">
        <v>861</v>
      </c>
      <c r="AD174" s="233" t="s">
        <v>861</v>
      </c>
      <c r="AE174" s="233" t="s">
        <v>676</v>
      </c>
      <c r="AF174" s="233" t="s">
        <v>179</v>
      </c>
      <c r="AG174" s="233" t="s">
        <v>709</v>
      </c>
      <c r="AH174" s="233" t="s">
        <v>849</v>
      </c>
    </row>
    <row r="175" spans="2:37" x14ac:dyDescent="0.25">
      <c r="B175" s="235">
        <v>45003</v>
      </c>
      <c r="C175" s="3">
        <v>3</v>
      </c>
      <c r="D175" s="148">
        <v>45004</v>
      </c>
      <c r="E175" s="156">
        <v>8260</v>
      </c>
      <c r="F175" s="3">
        <v>165</v>
      </c>
      <c r="G175" s="233">
        <v>7617</v>
      </c>
      <c r="H175" s="3" t="s">
        <v>58</v>
      </c>
      <c r="I175" s="3">
        <v>60</v>
      </c>
      <c r="J175" s="239">
        <v>3.8194444444444441E-2</v>
      </c>
      <c r="K175" s="239">
        <v>0.1076388888888889</v>
      </c>
      <c r="L175" s="5">
        <f t="shared" si="19"/>
        <v>6.9444444444444448E-2</v>
      </c>
      <c r="M175" s="3" t="s">
        <v>73</v>
      </c>
      <c r="N175" s="3" t="s">
        <v>735</v>
      </c>
      <c r="O175" s="3">
        <v>3360</v>
      </c>
      <c r="Q175" s="3">
        <v>3360</v>
      </c>
      <c r="R175" s="149">
        <v>4937.6000000000004</v>
      </c>
      <c r="S175" s="269">
        <f t="shared" si="17"/>
        <v>1.5600000000004002</v>
      </c>
      <c r="T175" s="233">
        <f t="shared" si="18"/>
        <v>2153.8461538456013</v>
      </c>
      <c r="U175" s="149">
        <v>1.75</v>
      </c>
      <c r="AA175" s="233" t="s">
        <v>861</v>
      </c>
      <c r="AB175" s="233" t="s">
        <v>861</v>
      </c>
      <c r="AC175" s="233" t="s">
        <v>861</v>
      </c>
      <c r="AD175" s="233" t="s">
        <v>861</v>
      </c>
      <c r="AE175" s="3" t="s">
        <v>926</v>
      </c>
      <c r="AF175" s="233" t="s">
        <v>998</v>
      </c>
      <c r="AG175" s="233" t="s">
        <v>816</v>
      </c>
      <c r="AH175" s="233" t="s">
        <v>772</v>
      </c>
    </row>
    <row r="176" spans="2:37" x14ac:dyDescent="0.25">
      <c r="B176" s="235">
        <v>45004</v>
      </c>
      <c r="C176" s="3">
        <v>1</v>
      </c>
      <c r="D176" s="236">
        <v>45004</v>
      </c>
      <c r="E176" s="237">
        <v>8261</v>
      </c>
      <c r="F176" s="233">
        <v>166</v>
      </c>
      <c r="G176" s="3">
        <v>7619</v>
      </c>
      <c r="H176" s="3" t="s">
        <v>58</v>
      </c>
      <c r="I176" s="3">
        <v>60</v>
      </c>
      <c r="J176" s="239">
        <v>0.3923611111111111</v>
      </c>
      <c r="K176" s="239">
        <v>0.46527777777777773</v>
      </c>
      <c r="L176" s="5">
        <f t="shared" si="19"/>
        <v>7.291666666666663E-2</v>
      </c>
      <c r="M176" s="233" t="s">
        <v>73</v>
      </c>
      <c r="N176" s="233" t="s">
        <v>735</v>
      </c>
      <c r="O176" s="3">
        <v>3300</v>
      </c>
      <c r="Q176" s="3">
        <v>3300</v>
      </c>
      <c r="R176" s="149">
        <v>4939.3100000000004</v>
      </c>
      <c r="S176" s="269">
        <f t="shared" si="17"/>
        <v>1.7100000000000364</v>
      </c>
      <c r="T176" s="233">
        <f t="shared" si="18"/>
        <v>1929.8245614034677</v>
      </c>
      <c r="U176" s="149">
        <v>1.92</v>
      </c>
      <c r="AA176" s="233" t="s">
        <v>861</v>
      </c>
      <c r="AB176" s="233" t="s">
        <v>861</v>
      </c>
      <c r="AC176" s="233" t="s">
        <v>861</v>
      </c>
      <c r="AD176" s="233" t="s">
        <v>861</v>
      </c>
      <c r="AE176" s="3" t="s">
        <v>208</v>
      </c>
      <c r="AF176" s="3" t="s">
        <v>701</v>
      </c>
      <c r="AG176" s="3" t="s">
        <v>1031</v>
      </c>
      <c r="AH176" s="3" t="s">
        <v>1032</v>
      </c>
    </row>
    <row r="177" spans="2:34" x14ac:dyDescent="0.25">
      <c r="B177" s="235">
        <v>45004</v>
      </c>
      <c r="C177" s="3">
        <v>2</v>
      </c>
      <c r="D177" s="148">
        <v>45004</v>
      </c>
      <c r="E177" s="156">
        <v>8262</v>
      </c>
      <c r="F177" s="3">
        <v>167</v>
      </c>
      <c r="G177" s="3">
        <v>7625</v>
      </c>
      <c r="H177" s="3" t="s">
        <v>58</v>
      </c>
      <c r="I177" s="3">
        <v>58</v>
      </c>
      <c r="J177" s="239">
        <v>0.73611111111111116</v>
      </c>
      <c r="K177" s="239">
        <v>0.80208333333333337</v>
      </c>
      <c r="L177" s="5">
        <f t="shared" si="19"/>
        <v>6.597222222222221E-2</v>
      </c>
      <c r="M177" s="3" t="s">
        <v>73</v>
      </c>
      <c r="N177" s="3" t="s">
        <v>735</v>
      </c>
      <c r="O177" s="3">
        <v>3360</v>
      </c>
      <c r="Q177" s="3">
        <v>3360</v>
      </c>
      <c r="R177" s="149">
        <v>4940.93</v>
      </c>
      <c r="S177" s="269">
        <f t="shared" si="17"/>
        <v>1.6199999999998909</v>
      </c>
      <c r="T177" s="233">
        <f t="shared" si="18"/>
        <v>2074.074074074214</v>
      </c>
      <c r="U177" s="149">
        <v>1.67</v>
      </c>
      <c r="AA177" s="233" t="s">
        <v>861</v>
      </c>
      <c r="AB177" s="233" t="s">
        <v>861</v>
      </c>
      <c r="AC177" s="233" t="s">
        <v>861</v>
      </c>
      <c r="AD177" s="233" t="s">
        <v>861</v>
      </c>
      <c r="AF177" s="233" t="s">
        <v>179</v>
      </c>
      <c r="AG177" s="233" t="s">
        <v>1035</v>
      </c>
      <c r="AH177" s="233" t="s">
        <v>849</v>
      </c>
    </row>
    <row r="178" spans="2:34" x14ac:dyDescent="0.25">
      <c r="B178" s="235">
        <v>45004</v>
      </c>
      <c r="C178" s="3">
        <v>3</v>
      </c>
      <c r="D178" s="148">
        <v>45005</v>
      </c>
      <c r="E178" s="156">
        <v>8263</v>
      </c>
      <c r="F178" s="3">
        <v>168</v>
      </c>
      <c r="G178" s="3">
        <v>7605</v>
      </c>
      <c r="H178" s="3" t="s">
        <v>66</v>
      </c>
      <c r="I178" s="3">
        <v>55</v>
      </c>
      <c r="J178" s="239">
        <v>1.0416666666666666E-2</v>
      </c>
      <c r="K178" s="239">
        <v>8.3333333333333329E-2</v>
      </c>
      <c r="L178" s="5">
        <f t="shared" si="19"/>
        <v>7.2916666666666657E-2</v>
      </c>
      <c r="M178" s="3" t="s">
        <v>73</v>
      </c>
      <c r="N178" s="233" t="s">
        <v>735</v>
      </c>
      <c r="O178" s="3">
        <v>3200</v>
      </c>
      <c r="Q178" s="3">
        <v>3200</v>
      </c>
      <c r="R178" s="149">
        <v>4942.3</v>
      </c>
      <c r="S178" s="269">
        <f t="shared" si="17"/>
        <v>1.3699999999998909</v>
      </c>
      <c r="T178" s="233">
        <f t="shared" si="18"/>
        <v>2335.7664233578503</v>
      </c>
      <c r="U178" s="149">
        <v>1.68</v>
      </c>
      <c r="AA178" s="233" t="s">
        <v>861</v>
      </c>
      <c r="AB178" s="233" t="s">
        <v>861</v>
      </c>
      <c r="AC178" s="233" t="s">
        <v>861</v>
      </c>
      <c r="AD178" s="233" t="s">
        <v>861</v>
      </c>
      <c r="AE178" s="233" t="s">
        <v>926</v>
      </c>
      <c r="AF178" s="233" t="s">
        <v>998</v>
      </c>
      <c r="AG178" s="233" t="s">
        <v>816</v>
      </c>
      <c r="AH178" s="3" t="s">
        <v>942</v>
      </c>
    </row>
    <row r="179" spans="2:34" x14ac:dyDescent="0.25">
      <c r="B179" s="235">
        <v>45005</v>
      </c>
      <c r="C179" s="3">
        <v>1</v>
      </c>
      <c r="D179" s="236">
        <v>45005</v>
      </c>
      <c r="E179" s="156">
        <v>8264</v>
      </c>
      <c r="F179" s="3">
        <v>169</v>
      </c>
      <c r="G179" s="233">
        <v>7617</v>
      </c>
      <c r="H179" s="3" t="s">
        <v>58</v>
      </c>
      <c r="I179" s="3">
        <v>60</v>
      </c>
      <c r="J179" s="239">
        <v>0.36458333333333331</v>
      </c>
      <c r="K179" s="239">
        <v>0.43402777777777773</v>
      </c>
      <c r="L179" s="5">
        <f t="shared" si="19"/>
        <v>6.944444444444442E-2</v>
      </c>
      <c r="M179" s="3" t="s">
        <v>73</v>
      </c>
      <c r="N179" s="233" t="s">
        <v>735</v>
      </c>
      <c r="O179" s="3">
        <v>3330</v>
      </c>
      <c r="Q179" s="3">
        <v>3330</v>
      </c>
      <c r="R179" s="149">
        <v>4944.2299999999996</v>
      </c>
      <c r="S179" s="269">
        <f t="shared" si="17"/>
        <v>1.9299999999993815</v>
      </c>
      <c r="T179" s="233">
        <f t="shared" si="18"/>
        <v>1725.3886010368224</v>
      </c>
      <c r="U179" s="149">
        <v>1.82</v>
      </c>
      <c r="AA179" s="233" t="s">
        <v>861</v>
      </c>
      <c r="AB179" s="233" t="s">
        <v>861</v>
      </c>
      <c r="AC179" s="233" t="s">
        <v>861</v>
      </c>
      <c r="AD179" s="233" t="s">
        <v>861</v>
      </c>
      <c r="AE179" s="3" t="s">
        <v>208</v>
      </c>
      <c r="AF179" s="3" t="s">
        <v>759</v>
      </c>
      <c r="AG179" s="3" t="s">
        <v>1044</v>
      </c>
      <c r="AH179" s="233" t="s">
        <v>849</v>
      </c>
    </row>
    <row r="180" spans="2:34" x14ac:dyDescent="0.25">
      <c r="B180" s="235">
        <v>45005</v>
      </c>
      <c r="C180" s="3">
        <v>1</v>
      </c>
      <c r="D180" s="236">
        <v>45005</v>
      </c>
      <c r="E180" s="156">
        <v>8265</v>
      </c>
      <c r="F180" s="3">
        <v>11</v>
      </c>
      <c r="G180" s="233">
        <v>7619</v>
      </c>
      <c r="H180" s="3" t="s">
        <v>58</v>
      </c>
      <c r="I180" s="3">
        <v>58</v>
      </c>
      <c r="J180" s="239">
        <v>0.51041666666666663</v>
      </c>
      <c r="K180" s="239">
        <v>0.57638888888888895</v>
      </c>
      <c r="L180" s="5">
        <f t="shared" si="19"/>
        <v>6.5972222222222321E-2</v>
      </c>
      <c r="M180" s="3" t="s">
        <v>59</v>
      </c>
      <c r="N180" s="3" t="s">
        <v>737</v>
      </c>
      <c r="O180" s="3">
        <v>3290</v>
      </c>
      <c r="Q180" s="3">
        <v>3290</v>
      </c>
      <c r="R180" s="149">
        <v>4945.96</v>
      </c>
      <c r="S180" s="269">
        <f t="shared" si="17"/>
        <v>1.7300000000004729</v>
      </c>
      <c r="T180" s="233">
        <f t="shared" si="18"/>
        <v>1901.7341040457229</v>
      </c>
      <c r="U180" s="149">
        <v>1.79</v>
      </c>
      <c r="AA180" s="233" t="s">
        <v>861</v>
      </c>
      <c r="AB180" s="233" t="s">
        <v>861</v>
      </c>
      <c r="AC180" s="233" t="s">
        <v>861</v>
      </c>
      <c r="AD180" s="233" t="s">
        <v>861</v>
      </c>
      <c r="AE180" s="233" t="s">
        <v>208</v>
      </c>
      <c r="AF180" s="233" t="s">
        <v>759</v>
      </c>
      <c r="AG180" s="233" t="s">
        <v>1044</v>
      </c>
      <c r="AH180" s="233" t="s">
        <v>849</v>
      </c>
    </row>
    <row r="181" spans="2:34" x14ac:dyDescent="0.25">
      <c r="B181" s="235">
        <v>45005</v>
      </c>
      <c r="C181" s="233">
        <v>2</v>
      </c>
      <c r="D181" s="236">
        <v>45005</v>
      </c>
      <c r="E181" s="156">
        <v>8266</v>
      </c>
      <c r="F181" s="3">
        <v>170</v>
      </c>
      <c r="G181" s="233">
        <v>7625</v>
      </c>
      <c r="H181" s="3" t="s">
        <v>58</v>
      </c>
      <c r="I181" s="3">
        <v>60</v>
      </c>
      <c r="J181" s="239">
        <v>0.73263888888888884</v>
      </c>
      <c r="K181" s="239">
        <v>0.79861111111111116</v>
      </c>
      <c r="L181" s="5">
        <f t="shared" si="19"/>
        <v>6.5972222222222321E-2</v>
      </c>
      <c r="M181" s="3" t="s">
        <v>73</v>
      </c>
      <c r="N181" s="3" t="s">
        <v>735</v>
      </c>
      <c r="O181" s="3">
        <v>3203</v>
      </c>
      <c r="Q181" s="3">
        <v>3203</v>
      </c>
      <c r="R181" s="149">
        <v>4947.66</v>
      </c>
      <c r="S181" s="269">
        <f t="shared" si="17"/>
        <v>1.6999999999998181</v>
      </c>
      <c r="T181" s="233">
        <f t="shared" si="18"/>
        <v>1884.1176470590251</v>
      </c>
      <c r="U181" s="149">
        <v>1.8</v>
      </c>
      <c r="AA181" s="233" t="s">
        <v>861</v>
      </c>
      <c r="AB181" s="233" t="s">
        <v>861</v>
      </c>
      <c r="AC181" s="233" t="s">
        <v>861</v>
      </c>
      <c r="AD181" s="233" t="s">
        <v>861</v>
      </c>
      <c r="AE181" s="3" t="s">
        <v>1041</v>
      </c>
      <c r="AF181" s="3" t="s">
        <v>1042</v>
      </c>
      <c r="AG181" s="233" t="s">
        <v>772</v>
      </c>
      <c r="AH181" s="233" t="s">
        <v>998</v>
      </c>
    </row>
    <row r="182" spans="2:34" x14ac:dyDescent="0.25">
      <c r="B182" s="235">
        <v>45005</v>
      </c>
      <c r="C182" s="3">
        <v>3</v>
      </c>
      <c r="D182" s="148">
        <v>45006</v>
      </c>
      <c r="E182" s="156">
        <v>8267</v>
      </c>
      <c r="F182" s="3">
        <v>171</v>
      </c>
      <c r="G182" s="233">
        <v>7605</v>
      </c>
      <c r="H182" s="3" t="s">
        <v>58</v>
      </c>
      <c r="I182" s="3">
        <v>58</v>
      </c>
      <c r="J182" s="239">
        <v>1.0416666666666666E-2</v>
      </c>
      <c r="K182" s="239">
        <v>6.9444444444444434E-2</v>
      </c>
      <c r="L182" s="5">
        <f t="shared" si="19"/>
        <v>5.9027777777777769E-2</v>
      </c>
      <c r="M182" s="233" t="s">
        <v>73</v>
      </c>
      <c r="N182" s="233" t="s">
        <v>733</v>
      </c>
      <c r="O182" s="3">
        <v>3250</v>
      </c>
      <c r="Q182" s="3">
        <v>3250</v>
      </c>
      <c r="R182" s="149">
        <v>4949.1899999999996</v>
      </c>
      <c r="S182" s="269">
        <f t="shared" si="17"/>
        <v>1.5299999999997453</v>
      </c>
      <c r="T182" s="233">
        <f t="shared" si="18"/>
        <v>2124.1830065363015</v>
      </c>
      <c r="U182" s="149">
        <v>1.55</v>
      </c>
      <c r="AA182" s="233" t="s">
        <v>861</v>
      </c>
      <c r="AB182" s="233" t="s">
        <v>861</v>
      </c>
      <c r="AC182" s="233" t="s">
        <v>861</v>
      </c>
      <c r="AD182" s="233" t="s">
        <v>861</v>
      </c>
      <c r="AE182" s="3" t="s">
        <v>459</v>
      </c>
      <c r="AF182" s="3" t="s">
        <v>144</v>
      </c>
      <c r="AG182" s="3" t="s">
        <v>822</v>
      </c>
      <c r="AH182" s="3" t="s">
        <v>148</v>
      </c>
    </row>
    <row r="183" spans="2:34" x14ac:dyDescent="0.25">
      <c r="B183" s="235">
        <v>45006</v>
      </c>
      <c r="C183" s="3">
        <v>1</v>
      </c>
      <c r="D183" s="148">
        <v>45006</v>
      </c>
      <c r="E183" s="156">
        <v>8268</v>
      </c>
      <c r="F183" s="3">
        <v>172</v>
      </c>
      <c r="G183" s="3">
        <v>7617</v>
      </c>
      <c r="H183" s="3" t="s">
        <v>66</v>
      </c>
      <c r="I183" s="3">
        <v>55</v>
      </c>
      <c r="J183" s="239">
        <v>0.34722222222222227</v>
      </c>
      <c r="K183" s="239">
        <v>0.40972222222222227</v>
      </c>
      <c r="L183" s="5">
        <f t="shared" si="19"/>
        <v>6.25E-2</v>
      </c>
      <c r="M183" s="3" t="s">
        <v>73</v>
      </c>
      <c r="N183" s="233" t="s">
        <v>733</v>
      </c>
      <c r="O183" s="3">
        <v>3167</v>
      </c>
      <c r="Q183" s="3">
        <v>3167</v>
      </c>
      <c r="R183" s="149">
        <v>4950.72</v>
      </c>
      <c r="S183" s="269">
        <f t="shared" si="17"/>
        <v>1.5300000000006548</v>
      </c>
      <c r="T183" s="233">
        <f t="shared" si="18"/>
        <v>2069.9346405219899</v>
      </c>
      <c r="U183" s="149">
        <v>1.6</v>
      </c>
      <c r="AA183" s="233" t="s">
        <v>861</v>
      </c>
      <c r="AB183" s="233" t="s">
        <v>861</v>
      </c>
      <c r="AC183" s="233" t="s">
        <v>861</v>
      </c>
      <c r="AD183" s="233" t="s">
        <v>861</v>
      </c>
      <c r="AE183" s="233" t="s">
        <v>208</v>
      </c>
      <c r="AF183" s="233" t="s">
        <v>759</v>
      </c>
      <c r="AG183" s="233" t="s">
        <v>179</v>
      </c>
      <c r="AH183" s="233" t="s">
        <v>849</v>
      </c>
    </row>
    <row r="184" spans="2:34" x14ac:dyDescent="0.25">
      <c r="B184" s="235">
        <v>45006</v>
      </c>
      <c r="C184" s="3">
        <v>1</v>
      </c>
      <c r="D184" s="236">
        <v>45006</v>
      </c>
      <c r="E184" s="156">
        <v>8269</v>
      </c>
      <c r="F184" s="3">
        <v>173</v>
      </c>
      <c r="G184" s="233">
        <v>7619</v>
      </c>
      <c r="H184" s="3" t="s">
        <v>58</v>
      </c>
      <c r="I184" s="3">
        <v>58</v>
      </c>
      <c r="J184" s="239">
        <v>0.4826388888888889</v>
      </c>
      <c r="K184" s="239">
        <v>0.55555555555555558</v>
      </c>
      <c r="L184" s="5">
        <f t="shared" si="19"/>
        <v>7.2916666666666685E-2</v>
      </c>
      <c r="M184" s="3" t="s">
        <v>73</v>
      </c>
      <c r="N184" s="233" t="s">
        <v>733</v>
      </c>
      <c r="O184" s="3">
        <v>3356</v>
      </c>
      <c r="Q184" s="3">
        <v>2879</v>
      </c>
      <c r="R184" s="233">
        <v>4952.34</v>
      </c>
      <c r="S184" s="269">
        <f t="shared" si="17"/>
        <v>1.6199999999998909</v>
      </c>
      <c r="T184" s="233">
        <f t="shared" si="18"/>
        <v>1777.1604938272803</v>
      </c>
      <c r="U184" s="149">
        <v>1.89</v>
      </c>
      <c r="W184" s="152">
        <v>477</v>
      </c>
      <c r="AA184" s="233" t="s">
        <v>861</v>
      </c>
      <c r="AB184" s="233" t="s">
        <v>861</v>
      </c>
      <c r="AC184" s="233" t="s">
        <v>861</v>
      </c>
      <c r="AD184" s="233" t="s">
        <v>861</v>
      </c>
      <c r="AE184" s="233" t="s">
        <v>208</v>
      </c>
      <c r="AF184" s="233" t="s">
        <v>759</v>
      </c>
      <c r="AG184" s="233" t="s">
        <v>179</v>
      </c>
      <c r="AH184" s="233" t="s">
        <v>849</v>
      </c>
    </row>
    <row r="185" spans="2:34" x14ac:dyDescent="0.25">
      <c r="B185" s="235">
        <v>45006</v>
      </c>
      <c r="C185" s="3">
        <v>2</v>
      </c>
      <c r="D185" s="148">
        <v>45006</v>
      </c>
      <c r="E185" s="156">
        <v>8270</v>
      </c>
      <c r="F185" s="3">
        <v>174</v>
      </c>
      <c r="G185" s="233">
        <v>7625</v>
      </c>
      <c r="H185" s="3" t="s">
        <v>58</v>
      </c>
      <c r="I185" s="3">
        <v>60</v>
      </c>
      <c r="J185" s="239">
        <v>0.71180555555555547</v>
      </c>
      <c r="K185" s="239">
        <v>0.78125</v>
      </c>
      <c r="L185" s="5">
        <f t="shared" si="19"/>
        <v>6.9444444444444531E-2</v>
      </c>
      <c r="M185" s="3" t="s">
        <v>73</v>
      </c>
      <c r="N185" s="233" t="s">
        <v>733</v>
      </c>
      <c r="O185" s="3">
        <v>3316</v>
      </c>
      <c r="Q185" s="3">
        <v>3316</v>
      </c>
      <c r="R185" s="149">
        <v>4953.78</v>
      </c>
      <c r="S185" s="269">
        <f t="shared" ref="S185:S192" si="20">R185-R184</f>
        <v>1.4399999999995998</v>
      </c>
      <c r="T185" s="233">
        <f>Q185/S185</f>
        <v>2302.7777777784177</v>
      </c>
      <c r="U185" s="149">
        <v>1.8</v>
      </c>
      <c r="AA185" s="233" t="s">
        <v>861</v>
      </c>
      <c r="AB185" s="233" t="s">
        <v>861</v>
      </c>
      <c r="AC185" s="233" t="s">
        <v>861</v>
      </c>
      <c r="AD185" s="233" t="s">
        <v>861</v>
      </c>
      <c r="AE185" s="3" t="s">
        <v>747</v>
      </c>
      <c r="AF185" s="233" t="s">
        <v>1042</v>
      </c>
      <c r="AG185" s="233" t="s">
        <v>772</v>
      </c>
      <c r="AH185" s="233" t="s">
        <v>998</v>
      </c>
    </row>
    <row r="186" spans="2:34" x14ac:dyDescent="0.25">
      <c r="B186" s="235">
        <v>45006</v>
      </c>
      <c r="C186" s="3">
        <v>3</v>
      </c>
      <c r="D186" s="148">
        <v>45007</v>
      </c>
      <c r="E186" s="156">
        <v>8271</v>
      </c>
      <c r="F186" s="3">
        <v>175</v>
      </c>
      <c r="G186" s="233">
        <v>7605</v>
      </c>
      <c r="H186" s="3" t="s">
        <v>58</v>
      </c>
      <c r="I186" s="3">
        <v>57</v>
      </c>
      <c r="J186" s="239">
        <v>3.4722222222222224E-2</v>
      </c>
      <c r="K186" s="239">
        <v>9.0277777777777776E-2</v>
      </c>
      <c r="L186" s="5">
        <f t="shared" si="19"/>
        <v>5.5555555555555552E-2</v>
      </c>
      <c r="M186" s="3" t="s">
        <v>73</v>
      </c>
      <c r="N186" s="233" t="s">
        <v>733</v>
      </c>
      <c r="O186" s="3">
        <v>3170</v>
      </c>
      <c r="Q186" s="3">
        <v>3170</v>
      </c>
      <c r="R186" s="149">
        <v>4955.17</v>
      </c>
      <c r="S186" s="269">
        <f t="shared" si="20"/>
        <v>1.3900000000003274</v>
      </c>
      <c r="T186" s="233">
        <f>Q186/S186</f>
        <v>2280.5755395678079</v>
      </c>
      <c r="U186" s="149">
        <v>1.4</v>
      </c>
      <c r="AA186" s="3">
        <v>1541</v>
      </c>
      <c r="AB186" s="3">
        <v>1530</v>
      </c>
      <c r="AC186" s="3">
        <v>3071</v>
      </c>
      <c r="AD186" s="3">
        <v>3170</v>
      </c>
      <c r="AE186" s="233" t="s">
        <v>1</v>
      </c>
      <c r="AF186" s="233" t="s">
        <v>144</v>
      </c>
      <c r="AG186" s="233" t="s">
        <v>822</v>
      </c>
      <c r="AH186" s="233" t="s">
        <v>148</v>
      </c>
    </row>
    <row r="187" spans="2:34" x14ac:dyDescent="0.25">
      <c r="B187" s="235">
        <v>45007</v>
      </c>
      <c r="C187" s="3">
        <v>1</v>
      </c>
      <c r="D187" s="236">
        <v>45007</v>
      </c>
      <c r="E187" s="156">
        <v>8272</v>
      </c>
      <c r="F187" s="3">
        <v>176</v>
      </c>
      <c r="G187" s="233">
        <v>7617</v>
      </c>
      <c r="H187" s="3" t="s">
        <v>58</v>
      </c>
      <c r="I187" s="3">
        <v>60</v>
      </c>
      <c r="J187" s="239">
        <v>0.35416666666666669</v>
      </c>
      <c r="K187" s="239">
        <v>0.4375</v>
      </c>
      <c r="L187" s="5">
        <f t="shared" si="19"/>
        <v>8.3333333333333315E-2</v>
      </c>
      <c r="M187" s="3" t="s">
        <v>73</v>
      </c>
      <c r="N187" s="233" t="s">
        <v>733</v>
      </c>
      <c r="O187" s="3">
        <v>3380</v>
      </c>
      <c r="Q187" s="3">
        <v>3380</v>
      </c>
      <c r="R187" s="149">
        <v>4956.93</v>
      </c>
      <c r="S187" s="269">
        <f t="shared" si="20"/>
        <v>1.7600000000002183</v>
      </c>
      <c r="T187" s="233">
        <f>Q187/S187</f>
        <v>1920.4545454543072</v>
      </c>
      <c r="U187" s="149">
        <v>1.97</v>
      </c>
      <c r="AA187" s="233" t="s">
        <v>861</v>
      </c>
      <c r="AB187" s="233" t="s">
        <v>861</v>
      </c>
      <c r="AC187" s="233" t="s">
        <v>861</v>
      </c>
      <c r="AD187" s="233" t="s">
        <v>861</v>
      </c>
      <c r="AE187" s="3" t="s">
        <v>223</v>
      </c>
      <c r="AF187" s="233" t="s">
        <v>849</v>
      </c>
      <c r="AG187" s="233" t="s">
        <v>179</v>
      </c>
      <c r="AH187" s="233" t="s">
        <v>1031</v>
      </c>
    </row>
    <row r="188" spans="2:34" x14ac:dyDescent="0.25">
      <c r="B188" s="235">
        <v>45007</v>
      </c>
      <c r="C188" s="233">
        <v>1</v>
      </c>
      <c r="D188" s="236">
        <v>45007</v>
      </c>
      <c r="E188" s="237">
        <v>8273</v>
      </c>
      <c r="F188" s="233">
        <v>177</v>
      </c>
      <c r="G188" s="3">
        <v>7619</v>
      </c>
      <c r="H188" s="3" t="s">
        <v>66</v>
      </c>
      <c r="I188" s="3">
        <v>53</v>
      </c>
      <c r="J188" s="239">
        <v>0.52777777777777779</v>
      </c>
      <c r="K188" s="239">
        <v>0.60416666666666663</v>
      </c>
      <c r="L188" s="5">
        <f t="shared" si="19"/>
        <v>7.638888888888884E-2</v>
      </c>
      <c r="M188" s="233" t="s">
        <v>73</v>
      </c>
      <c r="N188" s="233" t="s">
        <v>733</v>
      </c>
      <c r="O188" s="3">
        <v>3090</v>
      </c>
      <c r="Q188" s="3">
        <v>3090</v>
      </c>
      <c r="R188" s="149">
        <v>4958.62</v>
      </c>
      <c r="S188" s="269">
        <f t="shared" si="20"/>
        <v>1.6899999999995998</v>
      </c>
      <c r="T188" s="3">
        <f>Q188/S188</f>
        <v>1828.4023668643383</v>
      </c>
      <c r="U188" s="149">
        <v>1.83</v>
      </c>
      <c r="AA188" s="233" t="s">
        <v>861</v>
      </c>
      <c r="AB188" s="233" t="s">
        <v>861</v>
      </c>
      <c r="AC188" s="233" t="s">
        <v>861</v>
      </c>
      <c r="AD188" s="233" t="s">
        <v>861</v>
      </c>
      <c r="AE188" s="233" t="s">
        <v>223</v>
      </c>
      <c r="AF188" s="233" t="s">
        <v>849</v>
      </c>
      <c r="AG188" s="233" t="s">
        <v>179</v>
      </c>
      <c r="AH188" s="233" t="s">
        <v>1031</v>
      </c>
    </row>
    <row r="189" spans="2:34" x14ac:dyDescent="0.25">
      <c r="B189" s="235">
        <v>45007</v>
      </c>
      <c r="C189" s="3">
        <v>2</v>
      </c>
      <c r="D189" s="148">
        <v>45007</v>
      </c>
      <c r="E189" s="156">
        <v>8274</v>
      </c>
      <c r="F189" s="3">
        <v>178</v>
      </c>
      <c r="G189" s="233">
        <v>7625</v>
      </c>
      <c r="H189" s="3" t="s">
        <v>58</v>
      </c>
      <c r="I189" s="3">
        <v>57</v>
      </c>
      <c r="J189" s="239">
        <v>0.70486111111111116</v>
      </c>
      <c r="K189" s="239">
        <v>0.77083333333333337</v>
      </c>
      <c r="L189" s="5">
        <f t="shared" si="19"/>
        <v>6.597222222222221E-2</v>
      </c>
      <c r="M189" s="3" t="s">
        <v>73</v>
      </c>
      <c r="N189" s="3" t="s">
        <v>733</v>
      </c>
      <c r="O189" s="3">
        <v>3155</v>
      </c>
      <c r="Q189" s="3">
        <v>3090</v>
      </c>
      <c r="R189" s="149">
        <v>4959.8999999999996</v>
      </c>
      <c r="S189" s="269">
        <f t="shared" si="20"/>
        <v>1.2799999999997453</v>
      </c>
      <c r="T189" s="233">
        <f>Q189/S189</f>
        <v>2414.0625000004802</v>
      </c>
      <c r="U189" s="149">
        <v>1.6</v>
      </c>
      <c r="AA189" s="233" t="s">
        <v>861</v>
      </c>
      <c r="AB189" s="233" t="s">
        <v>861</v>
      </c>
      <c r="AC189" s="233" t="s">
        <v>861</v>
      </c>
      <c r="AD189" s="233" t="s">
        <v>861</v>
      </c>
      <c r="AE189" s="233" t="s">
        <v>747</v>
      </c>
      <c r="AF189" s="233" t="s">
        <v>1042</v>
      </c>
      <c r="AG189" s="233" t="s">
        <v>772</v>
      </c>
      <c r="AH189" s="233" t="s">
        <v>1052</v>
      </c>
    </row>
    <row r="190" spans="2:34" x14ac:dyDescent="0.25">
      <c r="B190" s="235">
        <v>45007</v>
      </c>
      <c r="C190" s="3">
        <v>3</v>
      </c>
      <c r="D190" s="148">
        <v>45008</v>
      </c>
      <c r="E190" s="156">
        <v>8275</v>
      </c>
      <c r="F190" s="3">
        <v>179</v>
      </c>
      <c r="G190" s="233">
        <v>7605</v>
      </c>
      <c r="H190" s="3" t="s">
        <v>58</v>
      </c>
      <c r="I190" s="3">
        <v>59</v>
      </c>
      <c r="J190" s="239">
        <v>2.0833333333333332E-2</v>
      </c>
      <c r="K190" s="239">
        <v>8.3333333333333329E-2</v>
      </c>
      <c r="L190" s="5">
        <f t="shared" si="19"/>
        <v>6.25E-2</v>
      </c>
      <c r="M190" s="233" t="s">
        <v>73</v>
      </c>
      <c r="N190" s="233" t="s">
        <v>733</v>
      </c>
      <c r="O190" s="3">
        <v>3300</v>
      </c>
      <c r="Q190" s="3">
        <v>3300</v>
      </c>
      <c r="R190" s="149">
        <v>4961.43</v>
      </c>
      <c r="S190" s="269">
        <f t="shared" si="20"/>
        <v>1.5300000000006548</v>
      </c>
      <c r="T190" s="233">
        <f t="shared" ref="T190:T198" si="21">Q190/S190</f>
        <v>2156.8627450971162</v>
      </c>
      <c r="U190" s="149">
        <v>1.66</v>
      </c>
      <c r="AA190" s="3">
        <v>1589</v>
      </c>
      <c r="AB190" s="3">
        <v>1581</v>
      </c>
      <c r="AC190" s="3">
        <v>3170</v>
      </c>
      <c r="AD190" s="3">
        <v>3300</v>
      </c>
      <c r="AE190" s="233" t="s">
        <v>1</v>
      </c>
      <c r="AF190" s="233" t="s">
        <v>144</v>
      </c>
      <c r="AG190" s="233" t="s">
        <v>822</v>
      </c>
      <c r="AH190" s="233" t="s">
        <v>148</v>
      </c>
    </row>
    <row r="191" spans="2:34" x14ac:dyDescent="0.25">
      <c r="B191" s="235">
        <v>45008</v>
      </c>
      <c r="C191" s="3">
        <v>1</v>
      </c>
      <c r="D191" s="148">
        <v>45008</v>
      </c>
      <c r="E191" s="156">
        <v>8276</v>
      </c>
      <c r="F191" s="3">
        <v>180</v>
      </c>
      <c r="G191" s="3">
        <v>7617</v>
      </c>
      <c r="H191" s="3" t="s">
        <v>58</v>
      </c>
      <c r="I191" s="3">
        <v>60</v>
      </c>
      <c r="J191" s="239">
        <v>0.3923611111111111</v>
      </c>
      <c r="K191" s="239">
        <v>0.47222222222222227</v>
      </c>
      <c r="L191" s="5">
        <f t="shared" si="19"/>
        <v>7.986111111111116E-2</v>
      </c>
      <c r="M191" s="3" t="s">
        <v>73</v>
      </c>
      <c r="N191" s="3" t="s">
        <v>733</v>
      </c>
      <c r="O191" s="3">
        <v>3319</v>
      </c>
      <c r="Q191" s="3">
        <v>3319</v>
      </c>
      <c r="R191" s="149">
        <v>4963.4799999999996</v>
      </c>
      <c r="S191" s="269">
        <f t="shared" si="20"/>
        <v>2.0499999999992724</v>
      </c>
      <c r="T191" s="233">
        <f t="shared" si="21"/>
        <v>1619.024390244477</v>
      </c>
      <c r="U191" s="149">
        <v>1.97</v>
      </c>
      <c r="X191" s="191" t="s">
        <v>506</v>
      </c>
      <c r="AA191" s="3">
        <v>1648</v>
      </c>
      <c r="AB191" s="3">
        <v>1669</v>
      </c>
      <c r="AC191" s="3">
        <v>3318</v>
      </c>
      <c r="AD191" s="3">
        <v>3319</v>
      </c>
      <c r="AE191" s="3" t="s">
        <v>926</v>
      </c>
      <c r="AF191" s="3" t="s">
        <v>759</v>
      </c>
      <c r="AG191" s="3" t="s">
        <v>1053</v>
      </c>
    </row>
    <row r="192" spans="2:34" x14ac:dyDescent="0.25">
      <c r="B192" s="235">
        <v>45008</v>
      </c>
      <c r="C192" s="3">
        <v>2</v>
      </c>
      <c r="D192" s="148">
        <v>45008</v>
      </c>
      <c r="E192" s="156">
        <v>8277</v>
      </c>
      <c r="F192" s="3">
        <v>181</v>
      </c>
      <c r="G192" s="233">
        <v>7625</v>
      </c>
      <c r="H192" s="3" t="s">
        <v>66</v>
      </c>
      <c r="I192" s="3">
        <v>53</v>
      </c>
      <c r="J192" s="239">
        <v>0.67361111111111116</v>
      </c>
      <c r="K192" s="239">
        <v>0.73263888888888884</v>
      </c>
      <c r="L192" s="5">
        <f t="shared" si="19"/>
        <v>5.9027777777777679E-2</v>
      </c>
      <c r="M192" s="3" t="s">
        <v>73</v>
      </c>
      <c r="N192" s="233" t="s">
        <v>733</v>
      </c>
      <c r="O192" s="3">
        <v>3066</v>
      </c>
      <c r="Q192" s="3">
        <v>3066</v>
      </c>
      <c r="R192" s="149">
        <v>4964.8900000000003</v>
      </c>
      <c r="S192" s="269">
        <f t="shared" si="20"/>
        <v>1.410000000000764</v>
      </c>
      <c r="T192" s="233">
        <f t="shared" si="21"/>
        <v>2174.4680851052049</v>
      </c>
      <c r="U192" s="149">
        <v>1.47</v>
      </c>
      <c r="X192" s="191" t="s">
        <v>506</v>
      </c>
      <c r="AA192" s="3">
        <v>1700</v>
      </c>
      <c r="AB192" s="3">
        <v>1365</v>
      </c>
      <c r="AC192" s="3">
        <v>3066</v>
      </c>
      <c r="AD192" s="3">
        <v>3066</v>
      </c>
      <c r="AE192" s="233" t="s">
        <v>747</v>
      </c>
      <c r="AF192" s="233" t="s">
        <v>1042</v>
      </c>
      <c r="AG192" s="233" t="s">
        <v>772</v>
      </c>
      <c r="AH192" s="233" t="s">
        <v>1052</v>
      </c>
    </row>
    <row r="193" spans="2:34" x14ac:dyDescent="0.25">
      <c r="B193" s="235">
        <v>45008</v>
      </c>
      <c r="C193" s="3">
        <v>3</v>
      </c>
      <c r="D193" s="148">
        <v>45009</v>
      </c>
      <c r="E193" s="156">
        <v>8278</v>
      </c>
      <c r="F193" s="3">
        <v>182</v>
      </c>
      <c r="G193" s="233">
        <v>7617</v>
      </c>
      <c r="H193" s="3" t="s">
        <v>58</v>
      </c>
      <c r="I193" s="3">
        <v>60</v>
      </c>
      <c r="J193" s="239">
        <v>2.7777777777777776E-2</v>
      </c>
      <c r="K193" s="239">
        <v>9.375E-2</v>
      </c>
      <c r="L193" s="5">
        <f t="shared" si="19"/>
        <v>6.5972222222222224E-2</v>
      </c>
      <c r="M193" s="233" t="s">
        <v>73</v>
      </c>
      <c r="N193" s="233" t="s">
        <v>733</v>
      </c>
      <c r="O193" s="3">
        <v>3360</v>
      </c>
      <c r="Q193" s="3">
        <v>3360</v>
      </c>
      <c r="R193" s="149">
        <v>4966.55</v>
      </c>
      <c r="S193" s="269">
        <f t="shared" ref="S193:S198" si="22">R193-R192</f>
        <v>1.6599999999998545</v>
      </c>
      <c r="T193" s="233">
        <f t="shared" si="21"/>
        <v>2024.0963855423461</v>
      </c>
      <c r="U193" s="149">
        <v>1.7</v>
      </c>
      <c r="X193" s="191" t="s">
        <v>506</v>
      </c>
      <c r="AA193" s="3">
        <v>1627</v>
      </c>
      <c r="AB193" s="3">
        <v>1602</v>
      </c>
      <c r="AC193" s="3">
        <v>3230</v>
      </c>
      <c r="AD193" s="3">
        <v>3360</v>
      </c>
      <c r="AE193" s="233" t="s">
        <v>1</v>
      </c>
      <c r="AF193" s="233" t="s">
        <v>144</v>
      </c>
      <c r="AG193" s="233" t="s">
        <v>822</v>
      </c>
      <c r="AH193" s="233" t="s">
        <v>148</v>
      </c>
    </row>
    <row r="194" spans="2:34" x14ac:dyDescent="0.25">
      <c r="B194" s="235">
        <v>45009</v>
      </c>
      <c r="C194" s="3">
        <v>1</v>
      </c>
      <c r="D194" s="148">
        <v>45009</v>
      </c>
      <c r="E194" s="156">
        <v>8279</v>
      </c>
      <c r="F194" s="3">
        <v>183</v>
      </c>
      <c r="G194" s="3">
        <v>7625</v>
      </c>
      <c r="H194" s="3" t="s">
        <v>66</v>
      </c>
      <c r="I194" s="3">
        <v>53</v>
      </c>
      <c r="J194" s="239">
        <v>0.39583333333333331</v>
      </c>
      <c r="K194" s="239">
        <v>0.45833333333333331</v>
      </c>
      <c r="L194" s="5">
        <f t="shared" si="19"/>
        <v>6.25E-2</v>
      </c>
      <c r="M194" s="233" t="s">
        <v>73</v>
      </c>
      <c r="N194" s="233" t="s">
        <v>733</v>
      </c>
      <c r="O194" s="3">
        <v>3080</v>
      </c>
      <c r="Q194" s="3">
        <v>3080</v>
      </c>
      <c r="R194" s="149">
        <v>4968.22</v>
      </c>
      <c r="S194" s="269">
        <f t="shared" si="22"/>
        <v>1.6700000000000728</v>
      </c>
      <c r="T194" s="233">
        <f t="shared" si="21"/>
        <v>1844.3113772454287</v>
      </c>
      <c r="U194" s="149">
        <v>1.77</v>
      </c>
      <c r="AA194" s="3">
        <v>1625</v>
      </c>
      <c r="AB194" s="3">
        <v>1426</v>
      </c>
      <c r="AC194" s="3">
        <v>3052</v>
      </c>
      <c r="AD194" s="3">
        <v>3080</v>
      </c>
      <c r="AE194" s="3" t="s">
        <v>459</v>
      </c>
      <c r="AF194" s="3" t="s">
        <v>759</v>
      </c>
      <c r="AG194" s="3" t="s">
        <v>1057</v>
      </c>
      <c r="AH194" s="3" t="s">
        <v>1058</v>
      </c>
    </row>
    <row r="195" spans="2:34" x14ac:dyDescent="0.25">
      <c r="B195" s="235">
        <v>45009</v>
      </c>
      <c r="C195" s="3">
        <v>2</v>
      </c>
      <c r="D195" s="236">
        <v>45010</v>
      </c>
      <c r="E195" s="156">
        <v>8280</v>
      </c>
      <c r="F195" s="3">
        <v>184</v>
      </c>
      <c r="G195" s="3">
        <v>7605</v>
      </c>
      <c r="H195" s="3" t="s">
        <v>58</v>
      </c>
      <c r="I195" s="3">
        <v>60</v>
      </c>
      <c r="J195" s="239">
        <v>0.82291666666666663</v>
      </c>
      <c r="K195" s="239">
        <v>0.89583333333333337</v>
      </c>
      <c r="L195" s="5">
        <f t="shared" si="19"/>
        <v>7.2916666666666741E-2</v>
      </c>
      <c r="M195" s="233" t="s">
        <v>73</v>
      </c>
      <c r="N195" s="233" t="s">
        <v>733</v>
      </c>
      <c r="O195" s="3">
        <v>3304</v>
      </c>
      <c r="Q195" s="3">
        <v>3304</v>
      </c>
      <c r="R195" s="149">
        <v>4969.92</v>
      </c>
      <c r="S195" s="269">
        <f t="shared" si="22"/>
        <v>1.6999999999998181</v>
      </c>
      <c r="T195" s="233">
        <f t="shared" si="21"/>
        <v>1943.5294117649139</v>
      </c>
      <c r="U195" s="149">
        <v>2</v>
      </c>
      <c r="X195" s="191" t="s">
        <v>506</v>
      </c>
      <c r="AA195" s="3">
        <v>1643</v>
      </c>
      <c r="AB195" s="3">
        <v>1660</v>
      </c>
      <c r="AC195" s="3">
        <v>3303</v>
      </c>
      <c r="AD195" s="3">
        <v>3304</v>
      </c>
      <c r="AE195" s="233" t="s">
        <v>747</v>
      </c>
      <c r="AF195" s="233" t="s">
        <v>1042</v>
      </c>
      <c r="AG195" s="233" t="s">
        <v>906</v>
      </c>
      <c r="AH195" s="233" t="s">
        <v>998</v>
      </c>
    </row>
    <row r="196" spans="2:34" x14ac:dyDescent="0.25">
      <c r="B196" s="235">
        <v>45009</v>
      </c>
      <c r="C196" s="3">
        <v>3</v>
      </c>
      <c r="D196" s="236">
        <v>45010</v>
      </c>
      <c r="E196" s="156">
        <v>8281</v>
      </c>
      <c r="F196" s="3">
        <v>185</v>
      </c>
      <c r="G196" s="233">
        <v>7617</v>
      </c>
      <c r="H196" s="3" t="s">
        <v>58</v>
      </c>
      <c r="I196" s="3">
        <v>57</v>
      </c>
      <c r="J196" s="239">
        <v>0.10069444444444443</v>
      </c>
      <c r="K196" s="239">
        <v>0.16666666666666666</v>
      </c>
      <c r="L196" s="5">
        <f t="shared" si="19"/>
        <v>6.5972222222222224E-2</v>
      </c>
      <c r="M196" s="233" t="s">
        <v>73</v>
      </c>
      <c r="N196" s="233" t="s">
        <v>733</v>
      </c>
      <c r="O196" s="3">
        <v>3190</v>
      </c>
      <c r="Q196" s="3">
        <v>3190</v>
      </c>
      <c r="R196" s="149">
        <v>4971.33</v>
      </c>
      <c r="S196" s="269">
        <f t="shared" si="22"/>
        <v>1.4099999999998545</v>
      </c>
      <c r="T196" s="233">
        <f t="shared" si="21"/>
        <v>2262.4113475179638</v>
      </c>
      <c r="U196" s="149">
        <v>1.68</v>
      </c>
      <c r="X196" s="191" t="s">
        <v>506</v>
      </c>
      <c r="AA196" s="3">
        <v>1534</v>
      </c>
      <c r="AB196" s="3">
        <v>1549</v>
      </c>
      <c r="AC196" s="3">
        <v>3083</v>
      </c>
      <c r="AD196" s="3">
        <v>3190</v>
      </c>
      <c r="AE196" s="233" t="s">
        <v>1</v>
      </c>
      <c r="AF196" s="233" t="s">
        <v>144</v>
      </c>
      <c r="AG196" s="233" t="s">
        <v>822</v>
      </c>
      <c r="AH196" s="233" t="s">
        <v>148</v>
      </c>
    </row>
    <row r="197" spans="2:34" x14ac:dyDescent="0.25">
      <c r="B197" s="235">
        <v>45010</v>
      </c>
      <c r="C197" s="3">
        <v>1</v>
      </c>
      <c r="D197" s="148">
        <v>45010</v>
      </c>
      <c r="E197" s="156">
        <v>8282</v>
      </c>
      <c r="F197" s="3">
        <v>186</v>
      </c>
      <c r="G197" s="3">
        <v>7625</v>
      </c>
      <c r="H197" s="3" t="s">
        <v>66</v>
      </c>
      <c r="I197" s="3">
        <v>51</v>
      </c>
      <c r="J197" s="239">
        <v>0.4236111111111111</v>
      </c>
      <c r="K197" s="239">
        <v>0.50694444444444442</v>
      </c>
      <c r="L197" s="5">
        <f t="shared" si="19"/>
        <v>8.3333333333333315E-2</v>
      </c>
      <c r="M197" s="233" t="s">
        <v>73</v>
      </c>
      <c r="N197" s="3" t="s">
        <v>733</v>
      </c>
      <c r="O197" s="3">
        <v>2969</v>
      </c>
      <c r="Q197" s="3">
        <v>2969</v>
      </c>
      <c r="R197" s="149">
        <v>4973.3500000000004</v>
      </c>
      <c r="S197" s="269">
        <f t="shared" si="22"/>
        <v>2.0200000000004366</v>
      </c>
      <c r="T197" s="3">
        <f t="shared" si="21"/>
        <v>1469.8019801977021</v>
      </c>
      <c r="U197" s="149">
        <v>2</v>
      </c>
      <c r="X197" s="191" t="s">
        <v>506</v>
      </c>
      <c r="AA197" s="3">
        <v>1521</v>
      </c>
      <c r="AB197" s="3">
        <v>1447</v>
      </c>
      <c r="AC197" s="3">
        <v>2969</v>
      </c>
      <c r="AD197" s="233" t="s">
        <v>861</v>
      </c>
      <c r="AE197" s="233" t="s">
        <v>459</v>
      </c>
      <c r="AF197" s="233" t="s">
        <v>759</v>
      </c>
      <c r="AG197" s="233" t="s">
        <v>179</v>
      </c>
      <c r="AH197" s="3" t="s">
        <v>214</v>
      </c>
    </row>
    <row r="198" spans="2:34" x14ac:dyDescent="0.25">
      <c r="B198" s="235">
        <v>45010</v>
      </c>
      <c r="C198" s="3">
        <v>2</v>
      </c>
      <c r="D198" s="236">
        <v>45011</v>
      </c>
      <c r="E198" s="156">
        <v>8283</v>
      </c>
      <c r="F198" s="3">
        <v>187</v>
      </c>
      <c r="G198" s="3">
        <v>7605</v>
      </c>
      <c r="H198" s="3" t="s">
        <v>58</v>
      </c>
      <c r="I198" s="3">
        <v>60</v>
      </c>
      <c r="J198" s="239">
        <v>0.72916666666666663</v>
      </c>
      <c r="K198" s="239">
        <v>0.79166666666666663</v>
      </c>
      <c r="L198" s="5">
        <f t="shared" si="19"/>
        <v>6.25E-2</v>
      </c>
      <c r="M198" s="3" t="s">
        <v>73</v>
      </c>
      <c r="N198" s="233" t="s">
        <v>733</v>
      </c>
      <c r="O198" s="3">
        <v>3280</v>
      </c>
      <c r="Q198" s="3">
        <v>3280</v>
      </c>
      <c r="R198" s="149">
        <v>4975.16</v>
      </c>
      <c r="S198" s="269">
        <f t="shared" si="22"/>
        <v>1.8099999999994907</v>
      </c>
      <c r="T198" s="233">
        <f t="shared" si="21"/>
        <v>1812.1546961331067</v>
      </c>
      <c r="U198" s="149">
        <v>1.85</v>
      </c>
      <c r="X198" s="191" t="s">
        <v>506</v>
      </c>
      <c r="AA198" s="3">
        <v>1634</v>
      </c>
      <c r="AB198" s="3">
        <v>1637</v>
      </c>
      <c r="AC198" s="3">
        <v>3271</v>
      </c>
      <c r="AD198" s="233" t="s">
        <v>861</v>
      </c>
      <c r="AE198" s="233" t="s">
        <v>7</v>
      </c>
      <c r="AF198" s="233" t="s">
        <v>1042</v>
      </c>
      <c r="AG198" s="233" t="s">
        <v>906</v>
      </c>
      <c r="AH198" s="233" t="s">
        <v>998</v>
      </c>
    </row>
    <row r="199" spans="2:34" x14ac:dyDescent="0.25">
      <c r="B199" s="235">
        <v>45011</v>
      </c>
      <c r="C199" s="3">
        <v>1</v>
      </c>
      <c r="D199" s="236">
        <v>45011</v>
      </c>
      <c r="E199" s="156">
        <v>8284</v>
      </c>
      <c r="F199" s="3">
        <v>188</v>
      </c>
      <c r="G199" s="233">
        <v>7617</v>
      </c>
      <c r="H199" s="3" t="s">
        <v>66</v>
      </c>
      <c r="I199" s="3">
        <v>58</v>
      </c>
      <c r="J199" s="239">
        <v>0.3923611111111111</v>
      </c>
      <c r="K199" s="239">
        <v>0.4861111111111111</v>
      </c>
      <c r="L199" s="5">
        <f t="shared" si="19"/>
        <v>9.375E-2</v>
      </c>
      <c r="M199" s="233" t="s">
        <v>67</v>
      </c>
      <c r="N199" s="233" t="s">
        <v>733</v>
      </c>
      <c r="O199" s="3">
        <v>3315</v>
      </c>
      <c r="Q199" s="3">
        <v>3315</v>
      </c>
      <c r="R199" s="149">
        <v>4976.95</v>
      </c>
      <c r="S199" s="269">
        <f t="shared" ref="S199:S207" si="23">R199-R198</f>
        <v>1.7899999999999636</v>
      </c>
      <c r="T199" s="233">
        <f t="shared" ref="T199:T213" si="24">Q199/S199</f>
        <v>1851.9553072626074</v>
      </c>
      <c r="U199" s="149">
        <v>2.34</v>
      </c>
      <c r="AA199" s="3">
        <v>1713</v>
      </c>
      <c r="AB199" s="3">
        <v>1602</v>
      </c>
      <c r="AC199" s="3">
        <v>3315</v>
      </c>
      <c r="AD199" s="233" t="s">
        <v>861</v>
      </c>
      <c r="AE199" s="233" t="s">
        <v>7</v>
      </c>
      <c r="AF199" s="233" t="s">
        <v>144</v>
      </c>
      <c r="AG199" s="233" t="s">
        <v>822</v>
      </c>
      <c r="AH199" s="233" t="s">
        <v>148</v>
      </c>
    </row>
    <row r="200" spans="2:34" x14ac:dyDescent="0.25">
      <c r="B200" s="235">
        <v>45011</v>
      </c>
      <c r="C200" s="3">
        <v>2</v>
      </c>
      <c r="D200" s="148">
        <v>45012</v>
      </c>
      <c r="E200" s="156">
        <v>8285</v>
      </c>
      <c r="F200" s="3">
        <v>189</v>
      </c>
      <c r="G200" s="3">
        <v>7605</v>
      </c>
      <c r="H200" s="3" t="s">
        <v>58</v>
      </c>
      <c r="I200" s="3">
        <v>56</v>
      </c>
      <c r="J200" s="239">
        <v>0.67708333333333337</v>
      </c>
      <c r="K200" s="239">
        <v>0.75</v>
      </c>
      <c r="L200" s="5">
        <f t="shared" si="19"/>
        <v>7.291666666666663E-2</v>
      </c>
      <c r="M200" s="3" t="s">
        <v>67</v>
      </c>
      <c r="N200" s="233" t="s">
        <v>733</v>
      </c>
      <c r="O200" s="3">
        <v>3239</v>
      </c>
      <c r="Q200" s="3">
        <v>3239</v>
      </c>
      <c r="R200" s="149">
        <v>4978.45</v>
      </c>
      <c r="S200" s="269">
        <f t="shared" si="23"/>
        <v>1.5</v>
      </c>
      <c r="T200" s="233">
        <f t="shared" si="24"/>
        <v>2159.3333333333335</v>
      </c>
      <c r="U200" s="149">
        <v>1.74</v>
      </c>
      <c r="X200" s="191" t="s">
        <v>506</v>
      </c>
      <c r="AA200" s="3">
        <v>1614</v>
      </c>
      <c r="AB200" s="3">
        <v>1624</v>
      </c>
      <c r="AC200" s="3">
        <v>3238</v>
      </c>
      <c r="AD200" s="3">
        <v>3339</v>
      </c>
      <c r="AE200" s="233" t="s">
        <v>747</v>
      </c>
      <c r="AF200" s="233" t="s">
        <v>1042</v>
      </c>
      <c r="AG200" s="233" t="s">
        <v>906</v>
      </c>
      <c r="AH200" s="233" t="s">
        <v>998</v>
      </c>
    </row>
    <row r="201" spans="2:34" x14ac:dyDescent="0.25">
      <c r="B201" s="235">
        <v>45011</v>
      </c>
      <c r="C201" s="3">
        <v>3</v>
      </c>
      <c r="D201" s="236">
        <v>45012</v>
      </c>
      <c r="E201" s="156">
        <v>8286</v>
      </c>
      <c r="F201" s="3">
        <v>190</v>
      </c>
      <c r="G201" s="233">
        <v>7617</v>
      </c>
      <c r="H201" s="3" t="s">
        <v>58</v>
      </c>
      <c r="I201" s="3">
        <v>60</v>
      </c>
      <c r="J201" s="239">
        <v>3.4722222222222224E-2</v>
      </c>
      <c r="K201" s="239">
        <v>0.10069444444444443</v>
      </c>
      <c r="L201" s="5">
        <f t="shared" si="19"/>
        <v>6.597222222222221E-2</v>
      </c>
      <c r="M201" s="233" t="s">
        <v>67</v>
      </c>
      <c r="N201" s="233" t="s">
        <v>733</v>
      </c>
      <c r="O201" s="3">
        <v>3360</v>
      </c>
      <c r="Q201" s="3">
        <v>3360</v>
      </c>
      <c r="R201" s="149">
        <v>4979.8599999999997</v>
      </c>
      <c r="S201" s="269">
        <f t="shared" si="23"/>
        <v>1.4099999999998545</v>
      </c>
      <c r="T201" s="233">
        <f t="shared" si="24"/>
        <v>2382.9787234045011</v>
      </c>
      <c r="U201" s="149">
        <v>1.82</v>
      </c>
      <c r="X201" s="191" t="s">
        <v>506</v>
      </c>
      <c r="AA201" s="3">
        <v>1649</v>
      </c>
      <c r="AB201" s="3">
        <v>1652</v>
      </c>
      <c r="AC201" s="3">
        <v>3301</v>
      </c>
      <c r="AD201" s="3">
        <v>3360</v>
      </c>
      <c r="AE201" s="233" t="s">
        <v>1</v>
      </c>
      <c r="AF201" s="233" t="s">
        <v>144</v>
      </c>
      <c r="AG201" s="233" t="s">
        <v>822</v>
      </c>
      <c r="AH201" s="233" t="s">
        <v>148</v>
      </c>
    </row>
    <row r="202" spans="2:34" x14ac:dyDescent="0.25">
      <c r="B202" s="235">
        <v>45011</v>
      </c>
      <c r="C202" s="3">
        <v>1</v>
      </c>
      <c r="D202" s="148">
        <v>45012</v>
      </c>
      <c r="E202" s="237">
        <v>8287</v>
      </c>
      <c r="F202" s="3">
        <v>191</v>
      </c>
      <c r="G202" s="3">
        <v>7625</v>
      </c>
      <c r="H202" s="3" t="s">
        <v>66</v>
      </c>
      <c r="I202" s="3">
        <v>57</v>
      </c>
      <c r="J202" s="239">
        <v>0.3888888888888889</v>
      </c>
      <c r="K202" s="239">
        <v>0.45833333333333331</v>
      </c>
      <c r="L202" s="5">
        <f t="shared" si="19"/>
        <v>6.944444444444442E-2</v>
      </c>
      <c r="M202" s="3" t="s">
        <v>67</v>
      </c>
      <c r="N202" s="3" t="s">
        <v>733</v>
      </c>
      <c r="O202" s="3">
        <v>3340</v>
      </c>
      <c r="Q202" s="3">
        <v>3340</v>
      </c>
      <c r="R202" s="149">
        <v>4982.03</v>
      </c>
      <c r="S202" s="269">
        <f t="shared" si="23"/>
        <v>2.1700000000000728</v>
      </c>
      <c r="T202" s="233">
        <f t="shared" si="24"/>
        <v>1539.1705069123907</v>
      </c>
      <c r="U202" s="149">
        <v>2.14</v>
      </c>
      <c r="X202" s="191" t="s">
        <v>506</v>
      </c>
      <c r="AA202" s="3">
        <v>1600</v>
      </c>
      <c r="AB202" s="3">
        <v>1640</v>
      </c>
      <c r="AC202" s="3">
        <v>3340</v>
      </c>
      <c r="AD202" s="3">
        <v>3340</v>
      </c>
      <c r="AE202" s="3" t="s">
        <v>926</v>
      </c>
      <c r="AF202" s="3" t="s">
        <v>654</v>
      </c>
      <c r="AG202" s="3" t="s">
        <v>1058</v>
      </c>
    </row>
    <row r="203" spans="2:34" x14ac:dyDescent="0.25">
      <c r="B203" s="235">
        <v>45012</v>
      </c>
      <c r="C203" s="3">
        <v>2</v>
      </c>
      <c r="D203" s="148">
        <v>45013</v>
      </c>
      <c r="E203" s="237">
        <v>8288</v>
      </c>
      <c r="F203" s="3">
        <v>12</v>
      </c>
      <c r="G203" s="3">
        <v>7605</v>
      </c>
      <c r="H203" s="3" t="s">
        <v>58</v>
      </c>
      <c r="I203" s="3">
        <v>60</v>
      </c>
      <c r="J203" s="239">
        <v>0.70833333333333337</v>
      </c>
      <c r="K203" s="239">
        <v>0.77430555555555547</v>
      </c>
      <c r="L203" s="234">
        <f t="shared" si="19"/>
        <v>6.5972222222222099E-2</v>
      </c>
      <c r="M203" s="3" t="s">
        <v>59</v>
      </c>
      <c r="N203" s="3" t="s">
        <v>737</v>
      </c>
      <c r="O203" s="3">
        <v>3360</v>
      </c>
      <c r="Q203" s="3">
        <v>3360</v>
      </c>
      <c r="R203" s="149">
        <v>4983.3500000000004</v>
      </c>
      <c r="S203" s="269">
        <f t="shared" si="23"/>
        <v>1.3200000000006185</v>
      </c>
      <c r="T203" s="233">
        <f t="shared" si="24"/>
        <v>2545.4545454533527</v>
      </c>
      <c r="U203" s="149">
        <v>1.77</v>
      </c>
      <c r="X203" s="191" t="s">
        <v>507</v>
      </c>
      <c r="AA203" s="3">
        <v>1574</v>
      </c>
      <c r="AB203" s="3">
        <v>1663</v>
      </c>
      <c r="AC203" s="3">
        <v>3238</v>
      </c>
      <c r="AD203" s="3">
        <v>3360</v>
      </c>
      <c r="AE203" s="3" t="s">
        <v>6</v>
      </c>
      <c r="AF203" s="3" t="s">
        <v>771</v>
      </c>
      <c r="AG203" s="3" t="s">
        <v>858</v>
      </c>
      <c r="AH203" s="3" t="s">
        <v>710</v>
      </c>
    </row>
    <row r="204" spans="2:34" x14ac:dyDescent="0.25">
      <c r="B204" s="235">
        <v>45012</v>
      </c>
      <c r="C204" s="3">
        <v>3</v>
      </c>
      <c r="D204" s="148">
        <v>45013</v>
      </c>
      <c r="E204" s="237">
        <v>8289</v>
      </c>
      <c r="F204" s="3">
        <v>192</v>
      </c>
      <c r="G204" s="3">
        <v>7617</v>
      </c>
      <c r="H204" s="3" t="s">
        <v>58</v>
      </c>
      <c r="I204" s="3">
        <v>58</v>
      </c>
      <c r="J204" s="239">
        <v>1.3888888888888888E-2</v>
      </c>
      <c r="K204" s="239">
        <v>7.6388888888888895E-2</v>
      </c>
      <c r="L204" s="234">
        <f t="shared" si="19"/>
        <v>6.25E-2</v>
      </c>
      <c r="M204" s="3" t="s">
        <v>67</v>
      </c>
      <c r="N204" s="3" t="s">
        <v>733</v>
      </c>
      <c r="O204" s="3">
        <v>3182</v>
      </c>
      <c r="Q204" s="3">
        <v>3182</v>
      </c>
      <c r="R204" s="149">
        <v>4985.07</v>
      </c>
      <c r="S204" s="269">
        <f t="shared" si="23"/>
        <v>1.7199999999993452</v>
      </c>
      <c r="T204" s="233">
        <f t="shared" si="24"/>
        <v>1850.0000000007044</v>
      </c>
      <c r="U204" s="149">
        <v>1.58</v>
      </c>
      <c r="X204" s="191" t="s">
        <v>506</v>
      </c>
      <c r="AA204" s="3">
        <v>1646</v>
      </c>
      <c r="AB204" s="3">
        <v>1535</v>
      </c>
      <c r="AC204" s="3">
        <v>3182</v>
      </c>
      <c r="AD204" s="3">
        <v>3182</v>
      </c>
      <c r="AE204" s="3" t="s">
        <v>199</v>
      </c>
      <c r="AF204" s="3" t="s">
        <v>214</v>
      </c>
      <c r="AG204" s="3" t="s">
        <v>179</v>
      </c>
    </row>
    <row r="205" spans="2:34" x14ac:dyDescent="0.25">
      <c r="B205" s="235">
        <v>45013</v>
      </c>
      <c r="C205" s="3">
        <v>1</v>
      </c>
      <c r="D205" s="148">
        <v>45013</v>
      </c>
      <c r="E205" s="237">
        <v>8290</v>
      </c>
      <c r="F205" s="3">
        <v>193</v>
      </c>
      <c r="G205" s="3">
        <v>7625</v>
      </c>
      <c r="H205" s="3" t="s">
        <v>66</v>
      </c>
      <c r="I205" s="3">
        <v>57</v>
      </c>
      <c r="J205" s="239">
        <v>0.43402777777777773</v>
      </c>
      <c r="K205" s="239">
        <v>0.5</v>
      </c>
      <c r="L205" s="5">
        <f t="shared" si="19"/>
        <v>6.5972222222222265E-2</v>
      </c>
      <c r="M205" s="3" t="s">
        <v>67</v>
      </c>
      <c r="N205" s="3" t="s">
        <v>733</v>
      </c>
      <c r="O205" s="3">
        <v>3340</v>
      </c>
      <c r="Q205" s="3">
        <v>3340</v>
      </c>
      <c r="R205" s="149">
        <v>4986.6400000000003</v>
      </c>
      <c r="S205" s="269">
        <f t="shared" si="23"/>
        <v>1.5700000000006185</v>
      </c>
      <c r="T205" s="233">
        <f t="shared" si="24"/>
        <v>2127.3885350310093</v>
      </c>
      <c r="U205" s="149">
        <v>1.857</v>
      </c>
      <c r="X205" s="191" t="s">
        <v>506</v>
      </c>
      <c r="AA205" s="3">
        <v>1746</v>
      </c>
      <c r="AB205" s="3">
        <v>1483</v>
      </c>
      <c r="AC205" s="3">
        <v>3229</v>
      </c>
      <c r="AD205" s="3">
        <v>3340</v>
      </c>
      <c r="AE205" s="3" t="s">
        <v>926</v>
      </c>
      <c r="AF205" s="3" t="s">
        <v>654</v>
      </c>
      <c r="AG205" s="3" t="s">
        <v>1058</v>
      </c>
      <c r="AH205" s="3" t="s">
        <v>1062</v>
      </c>
    </row>
    <row r="206" spans="2:34" x14ac:dyDescent="0.25">
      <c r="B206" s="235">
        <v>45013</v>
      </c>
      <c r="C206" s="3">
        <v>2</v>
      </c>
      <c r="D206" s="148">
        <v>45014</v>
      </c>
      <c r="E206" s="237">
        <v>8291</v>
      </c>
      <c r="F206" s="3">
        <v>194</v>
      </c>
      <c r="G206" s="233">
        <v>7605</v>
      </c>
      <c r="H206" s="3" t="s">
        <v>58</v>
      </c>
      <c r="I206" s="3">
        <v>58</v>
      </c>
      <c r="J206" s="239">
        <v>0.76041666666666663</v>
      </c>
      <c r="K206" s="239">
        <v>0.86458333333333337</v>
      </c>
      <c r="L206" s="5">
        <f t="shared" si="19"/>
        <v>0.10416666666666674</v>
      </c>
      <c r="M206" s="233" t="s">
        <v>67</v>
      </c>
      <c r="N206" s="233" t="s">
        <v>733</v>
      </c>
      <c r="O206" s="3">
        <v>3300</v>
      </c>
      <c r="Q206" s="3">
        <v>3300</v>
      </c>
      <c r="R206" s="149">
        <v>4988.1000000000004</v>
      </c>
      <c r="S206" s="269">
        <f t="shared" si="23"/>
        <v>1.4600000000000364</v>
      </c>
      <c r="T206" s="233">
        <f t="shared" si="24"/>
        <v>2260.2739726026834</v>
      </c>
      <c r="U206" s="149">
        <v>2</v>
      </c>
      <c r="X206" s="191" t="s">
        <v>506</v>
      </c>
      <c r="AA206" s="3">
        <v>1543</v>
      </c>
      <c r="AB206" s="3">
        <v>1613</v>
      </c>
      <c r="AC206" s="3">
        <v>3157</v>
      </c>
      <c r="AD206" s="3">
        <v>3300</v>
      </c>
      <c r="AE206" s="233" t="s">
        <v>6</v>
      </c>
      <c r="AF206" s="233" t="s">
        <v>771</v>
      </c>
      <c r="AG206" s="233" t="s">
        <v>858</v>
      </c>
      <c r="AH206" s="233" t="s">
        <v>710</v>
      </c>
    </row>
    <row r="207" spans="2:34" x14ac:dyDescent="0.25">
      <c r="B207" s="235">
        <v>45013</v>
      </c>
      <c r="C207" s="3">
        <v>3</v>
      </c>
      <c r="D207" s="236">
        <v>45014</v>
      </c>
      <c r="E207" s="237">
        <v>8292</v>
      </c>
      <c r="F207" s="3">
        <v>195</v>
      </c>
      <c r="G207" s="233">
        <v>7617</v>
      </c>
      <c r="H207" s="233" t="s">
        <v>58</v>
      </c>
      <c r="I207" s="3">
        <v>59</v>
      </c>
      <c r="J207" s="239">
        <v>6.9444444444444441E-3</v>
      </c>
      <c r="K207" s="239">
        <v>6.9444444444444434E-2</v>
      </c>
      <c r="L207" s="5">
        <f t="shared" si="19"/>
        <v>6.2499999999999986E-2</v>
      </c>
      <c r="M207" s="233" t="s">
        <v>67</v>
      </c>
      <c r="N207" s="233" t="s">
        <v>733</v>
      </c>
      <c r="O207" s="3">
        <v>3249</v>
      </c>
      <c r="Q207" s="3">
        <v>3249</v>
      </c>
      <c r="R207" s="149">
        <v>4989.8100000000004</v>
      </c>
      <c r="S207" s="269">
        <f t="shared" si="23"/>
        <v>1.7100000000000364</v>
      </c>
      <c r="T207" s="233">
        <f t="shared" si="24"/>
        <v>1899.9999999999595</v>
      </c>
      <c r="U207" s="149">
        <v>1.61</v>
      </c>
      <c r="AA207" s="3">
        <v>1652</v>
      </c>
      <c r="AB207" s="3">
        <v>1596</v>
      </c>
      <c r="AC207" s="3">
        <v>3249</v>
      </c>
      <c r="AD207" s="233" t="s">
        <v>861</v>
      </c>
      <c r="AE207" s="233" t="s">
        <v>199</v>
      </c>
      <c r="AF207" s="233" t="s">
        <v>214</v>
      </c>
      <c r="AG207" s="233" t="s">
        <v>179</v>
      </c>
      <c r="AH207" s="3" t="s">
        <v>1064</v>
      </c>
    </row>
    <row r="208" spans="2:34" x14ac:dyDescent="0.25">
      <c r="B208" s="235">
        <v>45014</v>
      </c>
      <c r="C208" s="3">
        <v>1</v>
      </c>
      <c r="D208" s="236">
        <v>45014</v>
      </c>
      <c r="E208" s="237">
        <v>8293</v>
      </c>
      <c r="F208" s="3">
        <v>196</v>
      </c>
      <c r="G208" s="233">
        <v>7625</v>
      </c>
      <c r="H208" s="3" t="s">
        <v>66</v>
      </c>
      <c r="I208" s="3">
        <v>56</v>
      </c>
      <c r="J208" s="239">
        <v>0.39930555555555558</v>
      </c>
      <c r="K208" s="239">
        <v>0.46527777777777773</v>
      </c>
      <c r="L208" s="5">
        <f t="shared" si="19"/>
        <v>6.5972222222222154E-2</v>
      </c>
      <c r="M208" s="233" t="s">
        <v>67</v>
      </c>
      <c r="N208" s="233" t="s">
        <v>733</v>
      </c>
      <c r="O208" s="3">
        <v>3207</v>
      </c>
      <c r="Q208" s="3">
        <v>3207</v>
      </c>
      <c r="R208" s="149">
        <v>4991.41</v>
      </c>
      <c r="S208" s="269">
        <f t="shared" ref="S208:S222" si="25">R208-R207</f>
        <v>1.5999999999994543</v>
      </c>
      <c r="T208" s="233">
        <f t="shared" si="24"/>
        <v>2004.3750000006837</v>
      </c>
      <c r="U208" s="149">
        <v>1.65</v>
      </c>
      <c r="AA208" s="3">
        <v>1684</v>
      </c>
      <c r="AB208" s="3">
        <v>1522</v>
      </c>
      <c r="AC208" s="3">
        <v>3206</v>
      </c>
      <c r="AD208" s="3">
        <v>3207</v>
      </c>
      <c r="AE208" s="233" t="s">
        <v>926</v>
      </c>
      <c r="AF208" s="233" t="s">
        <v>654</v>
      </c>
      <c r="AG208" s="233" t="s">
        <v>1058</v>
      </c>
      <c r="AH208" s="233" t="s">
        <v>1062</v>
      </c>
    </row>
    <row r="209" spans="2:37" x14ac:dyDescent="0.25">
      <c r="B209" s="235">
        <v>45014</v>
      </c>
      <c r="C209" s="3">
        <v>2</v>
      </c>
      <c r="D209" s="318">
        <v>45015</v>
      </c>
      <c r="E209" s="237">
        <v>8294</v>
      </c>
      <c r="F209" s="196">
        <v>197</v>
      </c>
      <c r="G209" s="196">
        <v>7605</v>
      </c>
      <c r="H209" s="3" t="s">
        <v>58</v>
      </c>
      <c r="I209" s="3">
        <v>60</v>
      </c>
      <c r="J209" s="239">
        <v>0.6875</v>
      </c>
      <c r="K209" s="239">
        <v>0.75694444444444453</v>
      </c>
      <c r="L209" s="5">
        <f t="shared" si="19"/>
        <v>6.9444444444444531E-2</v>
      </c>
      <c r="M209" s="233" t="s">
        <v>67</v>
      </c>
      <c r="N209" s="233" t="s">
        <v>733</v>
      </c>
      <c r="O209" s="3">
        <v>3380</v>
      </c>
      <c r="Q209" s="233">
        <v>3380</v>
      </c>
      <c r="R209" s="149">
        <v>4993.1400000000003</v>
      </c>
      <c r="S209" s="269">
        <f t="shared" si="25"/>
        <v>1.7300000000004729</v>
      </c>
      <c r="T209" s="233">
        <f t="shared" si="24"/>
        <v>1953.7572254329918</v>
      </c>
      <c r="U209" s="149">
        <v>1.65</v>
      </c>
      <c r="AA209" s="3">
        <v>1595</v>
      </c>
      <c r="AB209" s="3">
        <v>1664</v>
      </c>
      <c r="AC209" s="3">
        <v>3259</v>
      </c>
      <c r="AD209" s="3">
        <v>3380</v>
      </c>
      <c r="AE209" s="233" t="s">
        <v>6</v>
      </c>
      <c r="AF209" s="233" t="s">
        <v>771</v>
      </c>
      <c r="AG209" s="233" t="s">
        <v>858</v>
      </c>
      <c r="AH209" s="233" t="s">
        <v>710</v>
      </c>
    </row>
    <row r="210" spans="2:37" x14ac:dyDescent="0.25">
      <c r="B210" s="235">
        <v>45014</v>
      </c>
      <c r="C210" s="3">
        <v>3</v>
      </c>
      <c r="D210" s="318">
        <v>45015</v>
      </c>
      <c r="E210" s="237">
        <v>8295</v>
      </c>
      <c r="F210" s="3">
        <v>198</v>
      </c>
      <c r="G210" s="233">
        <v>7617</v>
      </c>
      <c r="H210" s="233" t="s">
        <v>58</v>
      </c>
      <c r="I210" s="3">
        <v>60</v>
      </c>
      <c r="J210" s="239">
        <v>3.472222222222222E-3</v>
      </c>
      <c r="K210" s="239">
        <v>7.2916666666666671E-2</v>
      </c>
      <c r="L210" s="5">
        <f t="shared" si="19"/>
        <v>6.9444444444444448E-2</v>
      </c>
      <c r="M210" s="233" t="s">
        <v>67</v>
      </c>
      <c r="N210" s="233" t="s">
        <v>733</v>
      </c>
      <c r="O210" s="3">
        <v>3341</v>
      </c>
      <c r="Q210" s="3">
        <v>3341</v>
      </c>
      <c r="R210" s="149">
        <v>4994.7</v>
      </c>
      <c r="S210" s="269">
        <f t="shared" si="25"/>
        <v>1.5599999999994907</v>
      </c>
      <c r="T210" s="233">
        <f t="shared" si="24"/>
        <v>2141.6666666673659</v>
      </c>
      <c r="U210" s="149">
        <v>1.7</v>
      </c>
      <c r="AA210" s="3">
        <v>1668</v>
      </c>
      <c r="AB210" s="3">
        <v>1672</v>
      </c>
      <c r="AC210" s="3">
        <v>3341</v>
      </c>
      <c r="AD210" s="233" t="s">
        <v>492</v>
      </c>
      <c r="AE210" s="233" t="s">
        <v>199</v>
      </c>
      <c r="AF210" s="233" t="s">
        <v>214</v>
      </c>
      <c r="AG210" s="233" t="s">
        <v>179</v>
      </c>
      <c r="AH210" s="233" t="s">
        <v>1064</v>
      </c>
    </row>
    <row r="211" spans="2:37" x14ac:dyDescent="0.25">
      <c r="B211" s="235">
        <v>45015</v>
      </c>
      <c r="C211" s="3">
        <v>1</v>
      </c>
      <c r="D211" s="148">
        <v>45015</v>
      </c>
      <c r="E211" s="237">
        <v>8296</v>
      </c>
      <c r="F211" s="3">
        <v>199</v>
      </c>
      <c r="G211" s="233">
        <v>7625</v>
      </c>
      <c r="H211" s="3" t="s">
        <v>58</v>
      </c>
      <c r="I211" s="3">
        <v>58</v>
      </c>
      <c r="J211" s="239">
        <v>0.46180555555555558</v>
      </c>
      <c r="K211" s="239">
        <v>0.53125</v>
      </c>
      <c r="L211" s="5">
        <f t="shared" si="19"/>
        <v>6.944444444444442E-2</v>
      </c>
      <c r="M211" s="3" t="s">
        <v>67</v>
      </c>
      <c r="N211" s="233" t="s">
        <v>733</v>
      </c>
      <c r="O211" s="3">
        <v>3195</v>
      </c>
      <c r="Q211" s="3">
        <v>3195</v>
      </c>
      <c r="R211" s="149">
        <v>4996.42</v>
      </c>
      <c r="S211" s="269">
        <f t="shared" si="25"/>
        <v>1.7200000000002547</v>
      </c>
      <c r="T211" s="233">
        <f t="shared" si="24"/>
        <v>1857.5581395346087</v>
      </c>
      <c r="U211" s="149">
        <v>1.74</v>
      </c>
      <c r="X211" s="191" t="s">
        <v>506</v>
      </c>
      <c r="AA211" s="3">
        <v>1648</v>
      </c>
      <c r="AB211" s="3">
        <v>1546</v>
      </c>
      <c r="AC211" s="3">
        <v>3195</v>
      </c>
      <c r="AD211" s="3" t="s">
        <v>492</v>
      </c>
      <c r="AE211" s="3" t="s">
        <v>8</v>
      </c>
      <c r="AF211" s="3" t="s">
        <v>708</v>
      </c>
      <c r="AG211" s="233" t="s">
        <v>654</v>
      </c>
      <c r="AH211" s="233" t="s">
        <v>1042</v>
      </c>
    </row>
    <row r="212" spans="2:37" x14ac:dyDescent="0.25">
      <c r="B212" s="235">
        <v>45015</v>
      </c>
      <c r="C212" s="3">
        <v>2</v>
      </c>
      <c r="D212" s="148">
        <v>45016</v>
      </c>
      <c r="E212" s="237">
        <v>8297</v>
      </c>
      <c r="F212" s="3">
        <v>200</v>
      </c>
      <c r="G212" s="196">
        <v>7605</v>
      </c>
      <c r="H212" s="3" t="s">
        <v>66</v>
      </c>
      <c r="I212" s="3">
        <v>54</v>
      </c>
      <c r="J212" s="239">
        <v>0.67013888888888884</v>
      </c>
      <c r="K212" s="239">
        <v>0.75347222222222221</v>
      </c>
      <c r="L212" s="5">
        <f t="shared" si="19"/>
        <v>8.333333333333337E-2</v>
      </c>
      <c r="M212" s="233" t="s">
        <v>67</v>
      </c>
      <c r="N212" s="233" t="s">
        <v>733</v>
      </c>
      <c r="O212" s="3">
        <v>3146</v>
      </c>
      <c r="Q212" s="3">
        <v>3146</v>
      </c>
      <c r="R212" s="149">
        <v>4998.3900000000003</v>
      </c>
      <c r="S212" s="269">
        <f t="shared" si="25"/>
        <v>1.9700000000002547</v>
      </c>
      <c r="T212" s="233">
        <f t="shared" si="24"/>
        <v>1596.9543147206057</v>
      </c>
      <c r="U212" s="149">
        <v>2.13</v>
      </c>
      <c r="X212" s="191" t="s">
        <v>506</v>
      </c>
      <c r="AA212" s="3">
        <v>1627</v>
      </c>
      <c r="AB212" s="3">
        <v>1518</v>
      </c>
      <c r="AC212" s="3">
        <v>3145</v>
      </c>
      <c r="AD212" s="3">
        <v>3146</v>
      </c>
      <c r="AE212" s="233" t="s">
        <v>6</v>
      </c>
      <c r="AF212" s="233" t="s">
        <v>771</v>
      </c>
      <c r="AG212" s="233" t="s">
        <v>858</v>
      </c>
      <c r="AH212" s="233" t="s">
        <v>710</v>
      </c>
    </row>
    <row r="213" spans="2:37" x14ac:dyDescent="0.25">
      <c r="B213" s="235">
        <v>45016</v>
      </c>
      <c r="C213" s="3">
        <v>1</v>
      </c>
      <c r="D213" s="148">
        <v>45016</v>
      </c>
      <c r="E213" s="237">
        <v>8298</v>
      </c>
      <c r="F213" s="3">
        <v>201</v>
      </c>
      <c r="G213" s="233">
        <v>7617</v>
      </c>
      <c r="H213" s="3" t="s">
        <v>58</v>
      </c>
      <c r="I213" s="3">
        <v>60</v>
      </c>
      <c r="J213" s="239">
        <v>0.375</v>
      </c>
      <c r="K213" s="239">
        <v>0.4513888888888889</v>
      </c>
      <c r="L213" s="5">
        <f t="shared" si="19"/>
        <v>7.6388888888888895E-2</v>
      </c>
      <c r="M213" s="3" t="s">
        <v>67</v>
      </c>
      <c r="N213" s="233" t="s">
        <v>733</v>
      </c>
      <c r="O213" s="3">
        <v>3400</v>
      </c>
      <c r="Q213" s="3">
        <v>3400</v>
      </c>
      <c r="R213" s="149">
        <v>4999.99</v>
      </c>
      <c r="S213" s="269">
        <f t="shared" si="25"/>
        <v>1.5999999999994543</v>
      </c>
      <c r="T213" s="233">
        <f t="shared" si="24"/>
        <v>2125.0000000007249</v>
      </c>
      <c r="U213" s="149">
        <v>1.87</v>
      </c>
      <c r="X213" s="191" t="s">
        <v>506</v>
      </c>
      <c r="AA213" s="3">
        <v>1683</v>
      </c>
      <c r="AB213" s="3">
        <v>1664</v>
      </c>
      <c r="AC213" s="3">
        <v>3348</v>
      </c>
      <c r="AD213" s="3">
        <v>3400</v>
      </c>
      <c r="AE213" s="233" t="s">
        <v>8</v>
      </c>
      <c r="AF213" s="233" t="s">
        <v>708</v>
      </c>
      <c r="AG213" s="233" t="s">
        <v>654</v>
      </c>
      <c r="AH213" s="233" t="s">
        <v>1042</v>
      </c>
    </row>
    <row r="214" spans="2:37" x14ac:dyDescent="0.25">
      <c r="B214" s="235">
        <v>45016</v>
      </c>
      <c r="C214" s="3">
        <v>2</v>
      </c>
      <c r="D214" s="148">
        <v>45017</v>
      </c>
      <c r="E214" s="237">
        <v>8299</v>
      </c>
      <c r="F214" s="3">
        <v>202</v>
      </c>
      <c r="G214" s="196">
        <v>7605</v>
      </c>
      <c r="H214" s="233" t="s">
        <v>58</v>
      </c>
      <c r="I214" s="233">
        <v>58</v>
      </c>
      <c r="J214" s="239">
        <v>0.73958333333333337</v>
      </c>
      <c r="K214" s="239">
        <v>0.85069444444444453</v>
      </c>
      <c r="L214" s="5">
        <f t="shared" si="19"/>
        <v>0.11111111111111116</v>
      </c>
      <c r="M214" s="233" t="s">
        <v>67</v>
      </c>
      <c r="N214" s="233" t="s">
        <v>733</v>
      </c>
      <c r="O214" s="3">
        <v>3277</v>
      </c>
      <c r="Q214" s="3">
        <v>3277</v>
      </c>
      <c r="R214" s="149">
        <v>5002.22</v>
      </c>
      <c r="S214" s="269">
        <f t="shared" si="25"/>
        <v>2.2300000000004729</v>
      </c>
      <c r="T214" s="233">
        <f t="shared" ref="T214:T233" si="26">Q214/S214</f>
        <v>1469.5067264570876</v>
      </c>
      <c r="U214" s="149">
        <v>2</v>
      </c>
      <c r="X214" s="191" t="s">
        <v>506</v>
      </c>
      <c r="AA214" s="3">
        <v>1603</v>
      </c>
      <c r="AB214" s="3">
        <v>1619</v>
      </c>
      <c r="AC214" s="3">
        <v>3223</v>
      </c>
      <c r="AD214" s="3">
        <v>3277</v>
      </c>
      <c r="AE214" s="233" t="s">
        <v>6</v>
      </c>
      <c r="AF214" s="233" t="s">
        <v>771</v>
      </c>
      <c r="AG214" s="233" t="s">
        <v>858</v>
      </c>
      <c r="AH214" s="233" t="s">
        <v>710</v>
      </c>
    </row>
    <row r="215" spans="2:37" x14ac:dyDescent="0.25">
      <c r="B215" s="235">
        <v>45016</v>
      </c>
      <c r="C215" s="3">
        <v>3</v>
      </c>
      <c r="D215" s="236">
        <v>45017</v>
      </c>
      <c r="E215" s="237">
        <v>8300</v>
      </c>
      <c r="F215" s="3">
        <v>203</v>
      </c>
      <c r="G215" s="233">
        <v>7617</v>
      </c>
      <c r="H215" s="233" t="s">
        <v>58</v>
      </c>
      <c r="I215" s="233">
        <v>58</v>
      </c>
      <c r="J215" s="239">
        <v>6.9444444444444441E-3</v>
      </c>
      <c r="K215" s="239">
        <v>7.6388888888888895E-2</v>
      </c>
      <c r="L215" s="5">
        <f t="shared" si="19"/>
        <v>6.9444444444444448E-2</v>
      </c>
      <c r="M215" s="233" t="s">
        <v>67</v>
      </c>
      <c r="N215" s="233" t="s">
        <v>733</v>
      </c>
      <c r="O215" s="3">
        <v>3333</v>
      </c>
      <c r="Q215" s="3">
        <v>3333</v>
      </c>
      <c r="R215" s="149">
        <v>5003.49</v>
      </c>
      <c r="S215" s="269">
        <f t="shared" si="25"/>
        <v>1.2699999999995271</v>
      </c>
      <c r="T215" s="3">
        <f t="shared" si="26"/>
        <v>2624.4094488198748</v>
      </c>
      <c r="U215" s="149">
        <v>1.73</v>
      </c>
      <c r="X215" s="191" t="s">
        <v>506</v>
      </c>
      <c r="AA215" s="3">
        <v>1675</v>
      </c>
      <c r="AB215" s="3">
        <v>1658</v>
      </c>
      <c r="AC215" s="3">
        <v>3333</v>
      </c>
      <c r="AD215" s="233" t="s">
        <v>492</v>
      </c>
      <c r="AE215" s="233" t="s">
        <v>199</v>
      </c>
      <c r="AF215" s="233" t="s">
        <v>214</v>
      </c>
      <c r="AG215" s="233" t="s">
        <v>179</v>
      </c>
      <c r="AH215" s="233" t="s">
        <v>1064</v>
      </c>
    </row>
    <row r="216" spans="2:37" x14ac:dyDescent="0.25">
      <c r="B216" s="235">
        <v>45017</v>
      </c>
      <c r="C216" s="3">
        <v>1</v>
      </c>
      <c r="D216" s="148">
        <v>45017</v>
      </c>
      <c r="E216" s="237">
        <v>8301</v>
      </c>
      <c r="F216" s="3">
        <v>204</v>
      </c>
      <c r="G216" s="233">
        <v>7625</v>
      </c>
      <c r="H216" s="3" t="s">
        <v>58</v>
      </c>
      <c r="I216" s="3">
        <v>54</v>
      </c>
      <c r="J216" s="239">
        <v>0.41319444444444442</v>
      </c>
      <c r="K216" s="239">
        <v>0.47569444444444442</v>
      </c>
      <c r="L216" s="5">
        <f t="shared" si="19"/>
        <v>6.25E-2</v>
      </c>
      <c r="M216" s="3" t="s">
        <v>67</v>
      </c>
      <c r="N216" s="233" t="s">
        <v>733</v>
      </c>
      <c r="O216" s="3">
        <v>3140</v>
      </c>
      <c r="Q216" s="3">
        <v>3140</v>
      </c>
      <c r="R216" s="149">
        <v>5005.6000000000004</v>
      </c>
      <c r="S216" s="269">
        <f t="shared" si="25"/>
        <v>2.1100000000005821</v>
      </c>
      <c r="T216" s="233">
        <f t="shared" si="26"/>
        <v>1488.1516587673621</v>
      </c>
      <c r="U216" s="149">
        <v>1.67</v>
      </c>
      <c r="X216" s="191" t="s">
        <v>506</v>
      </c>
      <c r="AA216" s="3">
        <v>1620</v>
      </c>
      <c r="AB216" s="3">
        <v>1522</v>
      </c>
      <c r="AC216" s="3">
        <v>3143</v>
      </c>
      <c r="AD216" s="3" t="s">
        <v>492</v>
      </c>
      <c r="AE216" s="233" t="s">
        <v>8</v>
      </c>
      <c r="AF216" s="233" t="s">
        <v>906</v>
      </c>
      <c r="AG216" s="233" t="s">
        <v>654</v>
      </c>
      <c r="AH216" s="233" t="s">
        <v>708</v>
      </c>
    </row>
    <row r="217" spans="2:37" x14ac:dyDescent="0.25">
      <c r="B217" s="235">
        <v>45017</v>
      </c>
      <c r="C217" s="3">
        <v>2</v>
      </c>
      <c r="D217" s="148">
        <v>45018</v>
      </c>
      <c r="E217" s="237">
        <v>8302</v>
      </c>
      <c r="F217" s="3">
        <v>205</v>
      </c>
      <c r="G217" s="196">
        <v>7605</v>
      </c>
      <c r="H217" s="3" t="s">
        <v>58</v>
      </c>
      <c r="I217" s="3">
        <v>60</v>
      </c>
      <c r="J217" s="239">
        <v>0.73263888888888884</v>
      </c>
      <c r="K217" s="239">
        <v>0.84027777777777779</v>
      </c>
      <c r="L217" s="5">
        <f t="shared" si="19"/>
        <v>0.10763888888888895</v>
      </c>
      <c r="M217" s="233" t="s">
        <v>67</v>
      </c>
      <c r="N217" s="233" t="s">
        <v>733</v>
      </c>
      <c r="O217" s="3">
        <v>3400</v>
      </c>
      <c r="Q217" s="3">
        <v>3400</v>
      </c>
      <c r="R217" s="149">
        <v>5007.55</v>
      </c>
      <c r="S217" s="269">
        <f t="shared" si="25"/>
        <v>1.9499999999998181</v>
      </c>
      <c r="T217" s="233">
        <f t="shared" si="26"/>
        <v>1743.5897435899062</v>
      </c>
      <c r="U217" s="149">
        <v>1.8</v>
      </c>
      <c r="X217" s="191" t="s">
        <v>506</v>
      </c>
      <c r="AA217" s="3">
        <v>1562</v>
      </c>
      <c r="AB217" s="3">
        <v>1702</v>
      </c>
      <c r="AC217" s="3">
        <v>3364</v>
      </c>
      <c r="AD217" s="233" t="s">
        <v>492</v>
      </c>
      <c r="AE217" s="233" t="s">
        <v>6</v>
      </c>
      <c r="AF217" s="233" t="s">
        <v>771</v>
      </c>
      <c r="AG217" s="233" t="s">
        <v>858</v>
      </c>
      <c r="AH217" s="233" t="s">
        <v>710</v>
      </c>
    </row>
    <row r="218" spans="2:37" x14ac:dyDescent="0.25">
      <c r="B218" s="235">
        <v>45018</v>
      </c>
      <c r="C218" s="3">
        <v>1</v>
      </c>
      <c r="D218" s="148">
        <v>45018</v>
      </c>
      <c r="E218" s="237">
        <v>8303</v>
      </c>
      <c r="F218" s="3">
        <v>206</v>
      </c>
      <c r="G218" s="233">
        <v>7625</v>
      </c>
      <c r="H218" s="3" t="s">
        <v>58</v>
      </c>
      <c r="I218" s="3">
        <v>58</v>
      </c>
      <c r="J218" s="239">
        <v>0.37152777777777773</v>
      </c>
      <c r="K218" s="239">
        <v>0.4375</v>
      </c>
      <c r="L218" s="5">
        <f t="shared" si="19"/>
        <v>6.5972222222222265E-2</v>
      </c>
      <c r="M218" s="233" t="s">
        <v>67</v>
      </c>
      <c r="N218" s="233" t="s">
        <v>733</v>
      </c>
      <c r="O218" s="3">
        <v>3238</v>
      </c>
      <c r="Q218" s="3">
        <v>3238</v>
      </c>
      <c r="R218" s="149">
        <v>5008.8599999999997</v>
      </c>
      <c r="S218" s="269">
        <f t="shared" si="25"/>
        <v>1.3099999999994907</v>
      </c>
      <c r="T218" s="233">
        <f t="shared" si="26"/>
        <v>2471.7557251918006</v>
      </c>
      <c r="U218" s="149">
        <v>1.79</v>
      </c>
      <c r="X218" s="191" t="s">
        <v>506</v>
      </c>
      <c r="AA218" s="3">
        <v>1606</v>
      </c>
      <c r="AB218" s="3">
        <v>1630</v>
      </c>
      <c r="AC218" s="3">
        <v>3237</v>
      </c>
      <c r="AD218" s="3">
        <v>3238</v>
      </c>
      <c r="AE218" s="233" t="s">
        <v>8</v>
      </c>
      <c r="AF218" s="233" t="s">
        <v>771</v>
      </c>
      <c r="AG218" s="233" t="s">
        <v>654</v>
      </c>
      <c r="AH218" s="233" t="s">
        <v>708</v>
      </c>
    </row>
    <row r="219" spans="2:37" x14ac:dyDescent="0.25">
      <c r="B219" s="235">
        <v>45018</v>
      </c>
      <c r="C219" s="233">
        <v>2</v>
      </c>
      <c r="D219" s="236">
        <v>45019</v>
      </c>
      <c r="E219" s="237">
        <v>8304</v>
      </c>
      <c r="F219" s="3">
        <v>207</v>
      </c>
      <c r="G219" s="196">
        <v>7605</v>
      </c>
      <c r="H219" s="3" t="s">
        <v>66</v>
      </c>
      <c r="I219" s="3">
        <v>54</v>
      </c>
      <c r="J219" s="239">
        <v>0.82638888888888884</v>
      </c>
      <c r="K219" s="239">
        <v>0.88888888888888884</v>
      </c>
      <c r="L219" s="5">
        <f t="shared" si="19"/>
        <v>6.25E-2</v>
      </c>
      <c r="M219" s="233" t="s">
        <v>67</v>
      </c>
      <c r="N219" s="233" t="s">
        <v>733</v>
      </c>
      <c r="O219" s="3">
        <v>3124</v>
      </c>
      <c r="Q219" s="3">
        <v>3124</v>
      </c>
      <c r="R219" s="149">
        <v>5009.91</v>
      </c>
      <c r="S219" s="269">
        <f t="shared" si="25"/>
        <v>1.0500000000001819</v>
      </c>
      <c r="T219" s="233">
        <f t="shared" si="26"/>
        <v>2975.2380952375797</v>
      </c>
      <c r="U219" s="149">
        <v>1.5</v>
      </c>
      <c r="X219" s="191" t="s">
        <v>506</v>
      </c>
      <c r="AA219" s="3">
        <v>1558</v>
      </c>
      <c r="AB219" s="3">
        <v>1565</v>
      </c>
      <c r="AC219" s="3">
        <v>3124</v>
      </c>
      <c r="AD219" s="3">
        <v>3124</v>
      </c>
      <c r="AE219" s="233" t="s">
        <v>6</v>
      </c>
      <c r="AF219" s="233" t="s">
        <v>771</v>
      </c>
      <c r="AG219" s="233" t="s">
        <v>858</v>
      </c>
      <c r="AH219" s="233" t="s">
        <v>710</v>
      </c>
    </row>
    <row r="220" spans="2:37" x14ac:dyDescent="0.25">
      <c r="B220" s="235">
        <v>45018</v>
      </c>
      <c r="C220" s="233">
        <v>3</v>
      </c>
      <c r="D220" s="236">
        <v>45019</v>
      </c>
      <c r="E220" s="237">
        <v>8305</v>
      </c>
      <c r="F220" s="3">
        <v>208</v>
      </c>
      <c r="G220" s="233">
        <v>7617</v>
      </c>
      <c r="H220" s="3" t="s">
        <v>58</v>
      </c>
      <c r="I220" s="3">
        <v>60</v>
      </c>
      <c r="J220" s="239">
        <v>0</v>
      </c>
      <c r="K220" s="239">
        <v>6.9444444444444434E-2</v>
      </c>
      <c r="L220" s="5">
        <f t="shared" si="19"/>
        <v>6.9444444444444434E-2</v>
      </c>
      <c r="M220" s="3" t="s">
        <v>67</v>
      </c>
      <c r="N220" s="3" t="s">
        <v>733</v>
      </c>
      <c r="O220" s="3">
        <v>3433</v>
      </c>
      <c r="Q220" s="3">
        <v>3433</v>
      </c>
      <c r="R220" s="149">
        <v>5011.1899999999996</v>
      </c>
      <c r="S220" s="269">
        <f t="shared" si="25"/>
        <v>1.2799999999997453</v>
      </c>
      <c r="T220" s="233">
        <f t="shared" si="26"/>
        <v>2682.0312500005334</v>
      </c>
      <c r="U220" s="149">
        <v>1.67</v>
      </c>
      <c r="X220" s="191" t="s">
        <v>506</v>
      </c>
      <c r="AA220" s="3">
        <v>1728</v>
      </c>
      <c r="AB220" s="3">
        <v>1704</v>
      </c>
      <c r="AC220" s="3">
        <v>3433</v>
      </c>
      <c r="AD220" s="3">
        <v>3433</v>
      </c>
      <c r="AE220" s="233" t="s">
        <v>676</v>
      </c>
      <c r="AF220" s="233" t="s">
        <v>179</v>
      </c>
      <c r="AG220" s="233" t="s">
        <v>709</v>
      </c>
      <c r="AH220" s="233" t="s">
        <v>140</v>
      </c>
    </row>
    <row r="221" spans="2:37" x14ac:dyDescent="0.25">
      <c r="B221" s="235">
        <v>45019</v>
      </c>
      <c r="C221" s="3">
        <v>1</v>
      </c>
      <c r="D221" s="236">
        <v>45019</v>
      </c>
      <c r="E221" s="237">
        <v>8306</v>
      </c>
      <c r="F221" s="233">
        <v>209</v>
      </c>
      <c r="G221" s="3">
        <v>7625</v>
      </c>
      <c r="H221" s="3" t="s">
        <v>58</v>
      </c>
      <c r="I221" s="3">
        <v>57</v>
      </c>
      <c r="J221" s="239">
        <v>0.40277777777777773</v>
      </c>
      <c r="K221" s="239">
        <v>0.46527777777777773</v>
      </c>
      <c r="L221" s="5">
        <f t="shared" si="19"/>
        <v>6.25E-2</v>
      </c>
      <c r="M221" s="233" t="s">
        <v>67</v>
      </c>
      <c r="N221" s="233" t="s">
        <v>733</v>
      </c>
      <c r="O221" s="3">
        <v>3320</v>
      </c>
      <c r="Q221" s="3">
        <v>3320</v>
      </c>
      <c r="R221" s="149">
        <v>5012.5</v>
      </c>
      <c r="S221" s="269">
        <f t="shared" si="25"/>
        <v>1.3100000000004002</v>
      </c>
      <c r="T221" s="233">
        <f t="shared" si="26"/>
        <v>2534.351145037394</v>
      </c>
      <c r="U221" s="149">
        <v>1.68</v>
      </c>
      <c r="X221" s="191" t="s">
        <v>506</v>
      </c>
      <c r="AA221" s="3">
        <v>1670</v>
      </c>
      <c r="AB221" s="3">
        <v>1584</v>
      </c>
      <c r="AC221" s="3">
        <v>3254</v>
      </c>
      <c r="AD221" s="3">
        <v>3320</v>
      </c>
      <c r="AE221" s="3" t="s">
        <v>926</v>
      </c>
      <c r="AF221" s="3" t="s">
        <v>708</v>
      </c>
      <c r="AG221" s="3" t="s">
        <v>193</v>
      </c>
      <c r="AH221" s="3" t="s">
        <v>816</v>
      </c>
    </row>
    <row r="222" spans="2:37" x14ac:dyDescent="0.25">
      <c r="B222" s="235">
        <v>45019</v>
      </c>
      <c r="C222" s="3">
        <v>2</v>
      </c>
      <c r="D222" s="148">
        <v>45020</v>
      </c>
      <c r="E222" s="156">
        <v>8307</v>
      </c>
      <c r="F222" s="3">
        <v>210</v>
      </c>
      <c r="G222" s="3">
        <v>7605</v>
      </c>
      <c r="H222" s="3" t="s">
        <v>58</v>
      </c>
      <c r="I222" s="3">
        <v>60</v>
      </c>
      <c r="J222" s="239">
        <v>0.73611111111111116</v>
      </c>
      <c r="K222" s="239">
        <v>0.84375</v>
      </c>
      <c r="L222" s="5">
        <f t="shared" si="19"/>
        <v>0.10763888888888884</v>
      </c>
      <c r="M222" s="3" t="s">
        <v>67</v>
      </c>
      <c r="N222" s="3" t="s">
        <v>733</v>
      </c>
      <c r="O222" s="3">
        <v>3388</v>
      </c>
      <c r="Q222" s="3">
        <v>3388</v>
      </c>
      <c r="R222" s="149">
        <v>5014.3500000000004</v>
      </c>
      <c r="S222" s="269">
        <f t="shared" si="25"/>
        <v>1.8500000000003638</v>
      </c>
      <c r="T222" s="233">
        <f t="shared" si="26"/>
        <v>1831.3513513509913</v>
      </c>
      <c r="U222" s="149">
        <v>1.65</v>
      </c>
      <c r="X222" s="191" t="s">
        <v>506</v>
      </c>
      <c r="AA222" s="3">
        <v>1647</v>
      </c>
      <c r="AB222" s="3">
        <v>1740</v>
      </c>
      <c r="AC222" s="3">
        <v>3388</v>
      </c>
      <c r="AD222" s="3">
        <v>3388</v>
      </c>
      <c r="AE222" s="233" t="s">
        <v>199</v>
      </c>
      <c r="AF222" s="233" t="s">
        <v>214</v>
      </c>
      <c r="AG222" s="233" t="s">
        <v>179</v>
      </c>
      <c r="AH222" s="233" t="s">
        <v>1064</v>
      </c>
      <c r="AI222" s="197"/>
      <c r="AJ222" s="233"/>
      <c r="AK222" s="233"/>
    </row>
    <row r="223" spans="2:37" x14ac:dyDescent="0.25">
      <c r="B223" s="235">
        <v>45019</v>
      </c>
      <c r="C223" s="3">
        <v>3</v>
      </c>
      <c r="D223" s="148">
        <v>45020</v>
      </c>
      <c r="E223" s="156">
        <v>8308</v>
      </c>
      <c r="F223" s="3">
        <v>211</v>
      </c>
      <c r="G223" s="233">
        <v>7617</v>
      </c>
      <c r="H223" s="3" t="s">
        <v>66</v>
      </c>
      <c r="I223" s="3">
        <v>57</v>
      </c>
      <c r="J223" s="239">
        <v>3.4722222222222224E-2</v>
      </c>
      <c r="K223" s="239">
        <v>0.1111111111111111</v>
      </c>
      <c r="L223" s="5">
        <f t="shared" si="19"/>
        <v>7.6388888888888881E-2</v>
      </c>
      <c r="M223" s="3" t="s">
        <v>73</v>
      </c>
      <c r="N223" s="233" t="s">
        <v>733</v>
      </c>
      <c r="O223" s="3">
        <v>3310</v>
      </c>
      <c r="Q223" s="3">
        <v>3310</v>
      </c>
      <c r="R223" s="149">
        <v>5016.6000000000004</v>
      </c>
      <c r="S223" s="269">
        <f t="shared" ref="S223:S233" si="27">R223-R222</f>
        <v>2.25</v>
      </c>
      <c r="T223" s="233">
        <f t="shared" si="26"/>
        <v>1471.1111111111111</v>
      </c>
      <c r="U223" s="149">
        <v>1.9</v>
      </c>
      <c r="X223" s="191" t="s">
        <v>506</v>
      </c>
      <c r="AA223" s="3" t="s">
        <v>492</v>
      </c>
      <c r="AB223" s="3" t="s">
        <v>492</v>
      </c>
      <c r="AC223" s="3" t="s">
        <v>492</v>
      </c>
      <c r="AD223" s="3">
        <v>3310</v>
      </c>
      <c r="AE223" s="3" t="s">
        <v>182</v>
      </c>
      <c r="AF223" s="233" t="s">
        <v>940</v>
      </c>
      <c r="AG223" s="233" t="s">
        <v>771</v>
      </c>
      <c r="AH223" s="233" t="s">
        <v>654</v>
      </c>
    </row>
    <row r="224" spans="2:37" x14ac:dyDescent="0.25">
      <c r="B224" s="235">
        <v>45020</v>
      </c>
      <c r="C224" s="3">
        <v>1</v>
      </c>
      <c r="D224" s="236">
        <v>45020</v>
      </c>
      <c r="E224" s="237">
        <v>8309</v>
      </c>
      <c r="F224" s="233">
        <v>212</v>
      </c>
      <c r="G224" s="3">
        <v>7625</v>
      </c>
      <c r="H224" s="3" t="s">
        <v>58</v>
      </c>
      <c r="I224" s="3">
        <v>60</v>
      </c>
      <c r="J224" s="239">
        <v>0.39583333333333331</v>
      </c>
      <c r="K224" s="239">
        <v>0.46527777777777773</v>
      </c>
      <c r="L224" s="5">
        <f t="shared" si="19"/>
        <v>6.944444444444442E-2</v>
      </c>
      <c r="M224" s="233" t="s">
        <v>73</v>
      </c>
      <c r="N224" s="233" t="s">
        <v>733</v>
      </c>
      <c r="O224" s="3">
        <v>3500</v>
      </c>
      <c r="Q224" s="3">
        <v>3500</v>
      </c>
      <c r="R224" s="149">
        <v>5017.75</v>
      </c>
      <c r="S224" s="269">
        <f t="shared" si="27"/>
        <v>1.1499999999996362</v>
      </c>
      <c r="T224" s="233">
        <f t="shared" si="26"/>
        <v>3043.4782608705282</v>
      </c>
      <c r="U224" s="149">
        <v>1.92</v>
      </c>
      <c r="X224" s="191" t="s">
        <v>506</v>
      </c>
      <c r="AA224" s="3">
        <v>1701</v>
      </c>
      <c r="AB224" s="3">
        <v>1731</v>
      </c>
      <c r="AC224" s="3">
        <v>3432</v>
      </c>
      <c r="AD224" s="3">
        <v>3500</v>
      </c>
      <c r="AE224" s="3" t="s">
        <v>926</v>
      </c>
      <c r="AF224" s="3" t="s">
        <v>708</v>
      </c>
      <c r="AG224" s="3" t="s">
        <v>193</v>
      </c>
      <c r="AH224" s="3" t="s">
        <v>816</v>
      </c>
    </row>
    <row r="225" spans="2:34" x14ac:dyDescent="0.25">
      <c r="B225" s="235">
        <v>45020</v>
      </c>
      <c r="C225" s="3">
        <v>2</v>
      </c>
      <c r="D225" s="148">
        <v>45021</v>
      </c>
      <c r="E225" s="156">
        <v>8310</v>
      </c>
      <c r="F225" s="3">
        <v>213</v>
      </c>
      <c r="G225" s="3">
        <v>7605</v>
      </c>
      <c r="H225" s="3" t="s">
        <v>58</v>
      </c>
      <c r="I225" s="3">
        <v>60</v>
      </c>
      <c r="J225" s="239">
        <v>0.66666666666666663</v>
      </c>
      <c r="K225" s="239">
        <v>0.73611111111111116</v>
      </c>
      <c r="L225" s="5">
        <f t="shared" si="19"/>
        <v>6.9444444444444531E-2</v>
      </c>
      <c r="M225" s="3" t="s">
        <v>73</v>
      </c>
      <c r="N225" s="3" t="s">
        <v>733</v>
      </c>
      <c r="O225" s="3">
        <v>3372</v>
      </c>
      <c r="Q225" s="3">
        <v>3372</v>
      </c>
      <c r="R225" s="149">
        <v>5019.3599999999997</v>
      </c>
      <c r="S225" s="269">
        <f t="shared" si="27"/>
        <v>1.6099999999996726</v>
      </c>
      <c r="T225" s="233">
        <f t="shared" si="26"/>
        <v>2094.4099378886249</v>
      </c>
      <c r="U225" s="149">
        <v>1.85</v>
      </c>
      <c r="X225" s="191" t="s">
        <v>506</v>
      </c>
      <c r="AA225" s="3">
        <v>1652</v>
      </c>
      <c r="AB225" s="3">
        <v>1719</v>
      </c>
      <c r="AC225" s="3">
        <v>3372</v>
      </c>
      <c r="AD225" s="3">
        <v>3372</v>
      </c>
      <c r="AE225" s="3" t="s">
        <v>676</v>
      </c>
      <c r="AF225" s="3" t="s">
        <v>179</v>
      </c>
      <c r="AG225" s="3" t="s">
        <v>709</v>
      </c>
      <c r="AH225" s="3" t="s">
        <v>140</v>
      </c>
    </row>
    <row r="226" spans="2:34" x14ac:dyDescent="0.25">
      <c r="B226" s="235">
        <v>45021</v>
      </c>
      <c r="C226" s="3">
        <v>1</v>
      </c>
      <c r="D226" s="148">
        <v>45021</v>
      </c>
      <c r="E226" s="156">
        <v>8311</v>
      </c>
      <c r="F226" s="3">
        <v>214</v>
      </c>
      <c r="G226" s="233">
        <v>7625</v>
      </c>
      <c r="H226" s="3" t="s">
        <v>66</v>
      </c>
      <c r="I226" s="3">
        <v>56</v>
      </c>
      <c r="J226" s="239">
        <v>0.41666666666666669</v>
      </c>
      <c r="K226" s="239">
        <v>0.49305555555555558</v>
      </c>
      <c r="L226" s="5">
        <f t="shared" si="19"/>
        <v>7.6388888888888895E-2</v>
      </c>
      <c r="M226" s="3" t="s">
        <v>73</v>
      </c>
      <c r="N226" s="233" t="s">
        <v>733</v>
      </c>
      <c r="O226" s="3">
        <v>3320</v>
      </c>
      <c r="Q226" s="3">
        <v>3320</v>
      </c>
      <c r="R226" s="149">
        <v>5020.88</v>
      </c>
      <c r="S226" s="269">
        <f t="shared" si="27"/>
        <v>1.5200000000004366</v>
      </c>
      <c r="T226" s="233">
        <f t="shared" si="26"/>
        <v>2184.210526315162</v>
      </c>
      <c r="U226" s="149">
        <v>1.95</v>
      </c>
      <c r="X226" s="191" t="s">
        <v>506</v>
      </c>
      <c r="AA226" s="3">
        <v>1610</v>
      </c>
      <c r="AB226" s="3">
        <v>1630</v>
      </c>
      <c r="AC226" s="3">
        <v>3230</v>
      </c>
      <c r="AD226" s="3">
        <v>3320</v>
      </c>
      <c r="AF226" s="233" t="s">
        <v>708</v>
      </c>
      <c r="AG226" s="233" t="s">
        <v>193</v>
      </c>
      <c r="AH226" s="233" t="s">
        <v>816</v>
      </c>
    </row>
    <row r="227" spans="2:34" x14ac:dyDescent="0.25">
      <c r="B227" s="235">
        <v>45021</v>
      </c>
      <c r="C227" s="3">
        <v>3</v>
      </c>
      <c r="D227" s="148">
        <v>45022</v>
      </c>
      <c r="E227" s="156">
        <v>8312</v>
      </c>
      <c r="F227" s="3">
        <v>215</v>
      </c>
      <c r="G227" s="3">
        <v>7605</v>
      </c>
      <c r="H227" s="3" t="s">
        <v>58</v>
      </c>
      <c r="I227" s="3">
        <v>58</v>
      </c>
      <c r="J227" s="239">
        <v>1.3888888888888888E-2</v>
      </c>
      <c r="K227" s="239">
        <v>6.9444444444444434E-2</v>
      </c>
      <c r="L227" s="5">
        <f t="shared" si="19"/>
        <v>5.5555555555555546E-2</v>
      </c>
      <c r="M227" s="3" t="s">
        <v>73</v>
      </c>
      <c r="N227" s="233" t="s">
        <v>733</v>
      </c>
      <c r="O227" s="3">
        <v>3300</v>
      </c>
      <c r="Q227" s="3">
        <v>3300</v>
      </c>
      <c r="R227" s="149">
        <v>5022.22</v>
      </c>
      <c r="S227" s="269">
        <f t="shared" si="27"/>
        <v>1.3400000000001455</v>
      </c>
      <c r="T227" s="233">
        <f t="shared" si="26"/>
        <v>2462.6865671639116</v>
      </c>
      <c r="U227" s="149">
        <v>1.42</v>
      </c>
      <c r="X227" s="191" t="s">
        <v>506</v>
      </c>
      <c r="AA227" s="3">
        <v>1664</v>
      </c>
      <c r="AB227" s="3">
        <v>1623</v>
      </c>
      <c r="AC227" s="3">
        <v>3287</v>
      </c>
      <c r="AD227" s="3">
        <v>3300</v>
      </c>
      <c r="AE227" s="233" t="s">
        <v>182</v>
      </c>
      <c r="AF227" s="233" t="s">
        <v>940</v>
      </c>
      <c r="AG227" s="233" t="s">
        <v>771</v>
      </c>
      <c r="AH227" s="233" t="s">
        <v>654</v>
      </c>
    </row>
    <row r="228" spans="2:34" x14ac:dyDescent="0.25">
      <c r="B228" s="235">
        <v>45022</v>
      </c>
      <c r="C228" s="3">
        <v>1</v>
      </c>
      <c r="D228" s="236">
        <v>45022</v>
      </c>
      <c r="E228" s="237">
        <v>8313</v>
      </c>
      <c r="F228" s="233">
        <v>216</v>
      </c>
      <c r="G228" s="3">
        <v>7625</v>
      </c>
      <c r="H228" s="3" t="s">
        <v>66</v>
      </c>
      <c r="I228" s="3">
        <v>56</v>
      </c>
      <c r="J228" s="239">
        <v>0.3888888888888889</v>
      </c>
      <c r="K228" s="239">
        <v>0.4513888888888889</v>
      </c>
      <c r="L228" s="5">
        <f t="shared" si="19"/>
        <v>6.25E-2</v>
      </c>
      <c r="M228" s="233" t="s">
        <v>73</v>
      </c>
      <c r="N228" s="233" t="s">
        <v>733</v>
      </c>
      <c r="O228" s="3">
        <v>3330</v>
      </c>
      <c r="Q228" s="3">
        <v>3330</v>
      </c>
      <c r="R228" s="149">
        <v>5023.91</v>
      </c>
      <c r="S228" s="269">
        <f t="shared" si="27"/>
        <v>1.6899999999995998</v>
      </c>
      <c r="T228" s="233">
        <f t="shared" si="26"/>
        <v>1970.4142011838985</v>
      </c>
      <c r="U228" s="149">
        <v>1.65</v>
      </c>
      <c r="X228" s="191" t="s">
        <v>506</v>
      </c>
      <c r="AA228" s="3">
        <v>1580</v>
      </c>
      <c r="AB228" s="3">
        <v>1758</v>
      </c>
      <c r="AC228" s="3">
        <v>3338</v>
      </c>
      <c r="AD228" s="3">
        <v>3338</v>
      </c>
      <c r="AF228" s="233" t="s">
        <v>708</v>
      </c>
      <c r="AG228" s="233" t="s">
        <v>193</v>
      </c>
      <c r="AH228" s="233" t="s">
        <v>816</v>
      </c>
    </row>
    <row r="229" spans="2:34" x14ac:dyDescent="0.25">
      <c r="B229" s="235">
        <v>45022</v>
      </c>
      <c r="C229" s="3">
        <v>2</v>
      </c>
      <c r="D229" s="148">
        <v>45023</v>
      </c>
      <c r="E229" s="156">
        <v>8314</v>
      </c>
      <c r="F229" s="3">
        <v>217</v>
      </c>
      <c r="G229" s="3">
        <v>7605</v>
      </c>
      <c r="H229" s="3" t="s">
        <v>58</v>
      </c>
      <c r="I229" s="3">
        <v>60</v>
      </c>
      <c r="J229" s="239">
        <v>0.69444444444444453</v>
      </c>
      <c r="K229" s="239">
        <v>0.75694444444444453</v>
      </c>
      <c r="L229" s="5">
        <f t="shared" si="19"/>
        <v>6.25E-2</v>
      </c>
      <c r="M229" s="3" t="s">
        <v>73</v>
      </c>
      <c r="N229" s="3" t="s">
        <v>733</v>
      </c>
      <c r="O229" s="3">
        <v>3435</v>
      </c>
      <c r="Q229" s="3">
        <v>3435</v>
      </c>
      <c r="R229" s="149">
        <v>5025.2299999999996</v>
      </c>
      <c r="S229" s="269">
        <f t="shared" si="27"/>
        <v>1.319999999999709</v>
      </c>
      <c r="T229" s="233">
        <f t="shared" si="26"/>
        <v>2602.2727272733009</v>
      </c>
      <c r="U229" s="149">
        <v>1.6</v>
      </c>
      <c r="X229" s="191" t="s">
        <v>506</v>
      </c>
      <c r="AA229" s="3">
        <v>1665</v>
      </c>
      <c r="AB229" s="3">
        <v>1737</v>
      </c>
      <c r="AC229" s="3">
        <v>3432</v>
      </c>
      <c r="AD229" s="3">
        <v>3435</v>
      </c>
      <c r="AE229" s="233" t="s">
        <v>676</v>
      </c>
      <c r="AF229" s="233" t="s">
        <v>179</v>
      </c>
      <c r="AG229" s="233" t="s">
        <v>709</v>
      </c>
      <c r="AH229" s="233" t="s">
        <v>140</v>
      </c>
    </row>
    <row r="230" spans="2:34" x14ac:dyDescent="0.25">
      <c r="B230" s="235">
        <v>45022</v>
      </c>
      <c r="C230" s="3">
        <v>3</v>
      </c>
      <c r="D230" s="148">
        <v>45023</v>
      </c>
      <c r="E230" s="156">
        <v>8315</v>
      </c>
      <c r="F230" s="3">
        <v>218</v>
      </c>
      <c r="G230" s="233">
        <v>7617</v>
      </c>
      <c r="H230" s="3" t="s">
        <v>58</v>
      </c>
      <c r="I230" s="3">
        <v>60</v>
      </c>
      <c r="J230" s="239">
        <v>0.99305555555555547</v>
      </c>
      <c r="K230" s="239">
        <v>5.5555555555555552E-2</v>
      </c>
      <c r="L230" s="234">
        <v>6.25E-2</v>
      </c>
      <c r="M230" s="3" t="s">
        <v>73</v>
      </c>
      <c r="N230" s="233" t="s">
        <v>733</v>
      </c>
      <c r="O230" s="3">
        <v>3360</v>
      </c>
      <c r="Q230" s="3">
        <v>3360</v>
      </c>
      <c r="R230" s="149">
        <v>5026.6400000000003</v>
      </c>
      <c r="S230" s="269">
        <f t="shared" si="27"/>
        <v>1.410000000000764</v>
      </c>
      <c r="T230" s="233">
        <f t="shared" si="26"/>
        <v>2382.9787234029641</v>
      </c>
      <c r="U230" s="149">
        <v>1.54</v>
      </c>
      <c r="X230" s="191" t="s">
        <v>506</v>
      </c>
      <c r="AA230" s="3" t="s">
        <v>492</v>
      </c>
      <c r="AB230" s="3" t="s">
        <v>492</v>
      </c>
      <c r="AC230" s="3" t="s">
        <v>492</v>
      </c>
      <c r="AD230" s="3">
        <v>3360</v>
      </c>
      <c r="AE230" s="233" t="s">
        <v>182</v>
      </c>
      <c r="AF230" s="233" t="s">
        <v>940</v>
      </c>
      <c r="AG230" s="233" t="s">
        <v>771</v>
      </c>
      <c r="AH230" s="233" t="s">
        <v>654</v>
      </c>
    </row>
    <row r="231" spans="2:34" x14ac:dyDescent="0.25">
      <c r="B231" s="235">
        <v>45023</v>
      </c>
      <c r="C231" s="3">
        <v>1</v>
      </c>
      <c r="D231" s="148">
        <v>45023</v>
      </c>
      <c r="E231" s="156">
        <v>8316</v>
      </c>
      <c r="F231" s="3">
        <v>13</v>
      </c>
      <c r="G231" s="3">
        <v>7619</v>
      </c>
      <c r="H231" s="3" t="s">
        <v>58</v>
      </c>
      <c r="I231" s="3">
        <v>60</v>
      </c>
      <c r="J231" s="239">
        <v>0.43055555555555558</v>
      </c>
      <c r="K231" s="239">
        <v>0.49652777777777773</v>
      </c>
      <c r="L231" s="234">
        <f t="shared" si="19"/>
        <v>6.5972222222222154E-2</v>
      </c>
      <c r="M231" s="3" t="s">
        <v>59</v>
      </c>
      <c r="N231" s="3" t="s">
        <v>737</v>
      </c>
      <c r="O231" s="3">
        <v>3350</v>
      </c>
      <c r="Q231" s="3">
        <f>3350-W231</f>
        <v>2715</v>
      </c>
      <c r="R231" s="149">
        <v>5028.07</v>
      </c>
      <c r="S231" s="269">
        <f t="shared" si="27"/>
        <v>1.4299999999993815</v>
      </c>
      <c r="T231" s="233">
        <f t="shared" si="26"/>
        <v>1898.6013986022197</v>
      </c>
      <c r="U231" s="149">
        <v>1.6</v>
      </c>
      <c r="W231" s="152">
        <v>635</v>
      </c>
      <c r="X231" s="191" t="s">
        <v>507</v>
      </c>
      <c r="AA231" s="3">
        <v>1683</v>
      </c>
      <c r="AB231" s="3">
        <v>1658</v>
      </c>
      <c r="AC231" s="3">
        <v>3342</v>
      </c>
      <c r="AD231" s="3">
        <v>3342</v>
      </c>
      <c r="AE231" s="3" t="s">
        <v>926</v>
      </c>
      <c r="AF231" s="3" t="s">
        <v>708</v>
      </c>
      <c r="AG231" s="3" t="s">
        <v>193</v>
      </c>
      <c r="AH231" s="3" t="s">
        <v>816</v>
      </c>
    </row>
    <row r="232" spans="2:34" x14ac:dyDescent="0.25">
      <c r="B232" s="235">
        <v>45023</v>
      </c>
      <c r="C232" s="3">
        <v>2</v>
      </c>
      <c r="D232" s="148">
        <v>45023</v>
      </c>
      <c r="E232" s="156">
        <v>8317</v>
      </c>
      <c r="F232" s="3">
        <v>219</v>
      </c>
      <c r="G232" s="233">
        <v>7625</v>
      </c>
      <c r="H232" s="3" t="s">
        <v>66</v>
      </c>
      <c r="I232" s="3">
        <v>57</v>
      </c>
      <c r="J232" s="239">
        <v>0.65625</v>
      </c>
      <c r="K232" s="239">
        <v>0.73263888888888884</v>
      </c>
      <c r="L232" s="5">
        <f t="shared" si="19"/>
        <v>7.638888888888884E-2</v>
      </c>
      <c r="M232" s="3" t="s">
        <v>73</v>
      </c>
      <c r="N232" s="3" t="s">
        <v>733</v>
      </c>
      <c r="O232" s="3">
        <v>3310</v>
      </c>
      <c r="Q232" s="3">
        <v>3310</v>
      </c>
      <c r="R232" s="149">
        <v>5030.2</v>
      </c>
      <c r="S232" s="269">
        <f t="shared" si="27"/>
        <v>2.1300000000001091</v>
      </c>
      <c r="T232" s="233">
        <f t="shared" si="26"/>
        <v>1553.9906103285589</v>
      </c>
      <c r="U232" s="149">
        <v>1.58</v>
      </c>
      <c r="X232" s="191" t="s">
        <v>506</v>
      </c>
      <c r="AA232" s="3" t="s">
        <v>492</v>
      </c>
      <c r="AB232" s="3" t="s">
        <v>492</v>
      </c>
      <c r="AC232" s="3" t="s">
        <v>492</v>
      </c>
      <c r="AD232" s="3">
        <v>3310</v>
      </c>
      <c r="AE232" s="233" t="s">
        <v>676</v>
      </c>
      <c r="AF232" s="233" t="s">
        <v>179</v>
      </c>
      <c r="AG232" s="233" t="s">
        <v>709</v>
      </c>
      <c r="AH232" s="233" t="s">
        <v>140</v>
      </c>
    </row>
    <row r="233" spans="2:34" x14ac:dyDescent="0.25">
      <c r="B233" s="235">
        <v>45023</v>
      </c>
      <c r="C233" s="3">
        <v>3</v>
      </c>
      <c r="D233" s="148">
        <v>45024</v>
      </c>
      <c r="E233" s="156">
        <v>8318</v>
      </c>
      <c r="F233" s="3">
        <v>220</v>
      </c>
      <c r="G233" s="3">
        <v>7605</v>
      </c>
      <c r="H233" s="3" t="s">
        <v>58</v>
      </c>
      <c r="I233" s="3">
        <v>60</v>
      </c>
      <c r="J233" s="239">
        <v>2.0833333333333332E-2</v>
      </c>
      <c r="K233" s="239">
        <v>9.7222222222222224E-2</v>
      </c>
      <c r="L233" s="5">
        <f t="shared" si="19"/>
        <v>7.6388888888888895E-2</v>
      </c>
      <c r="M233" s="3" t="s">
        <v>73</v>
      </c>
      <c r="N233" s="3" t="s">
        <v>734</v>
      </c>
      <c r="O233" s="3">
        <v>3460</v>
      </c>
      <c r="Q233" s="3">
        <v>3460</v>
      </c>
      <c r="R233" s="149">
        <v>5032.3</v>
      </c>
      <c r="S233" s="269">
        <f t="shared" si="27"/>
        <v>2.1000000000003638</v>
      </c>
      <c r="T233" s="233">
        <f t="shared" si="26"/>
        <v>1647.6190476187621</v>
      </c>
      <c r="U233" s="149">
        <v>1.79</v>
      </c>
      <c r="X233" s="191" t="s">
        <v>506</v>
      </c>
      <c r="AA233" s="3">
        <v>1733</v>
      </c>
      <c r="AB233" s="3">
        <v>1726</v>
      </c>
      <c r="AC233" s="3">
        <v>3460</v>
      </c>
      <c r="AD233" s="3">
        <v>3460</v>
      </c>
      <c r="AE233" s="233" t="s">
        <v>182</v>
      </c>
      <c r="AF233" s="233" t="s">
        <v>940</v>
      </c>
      <c r="AG233" s="233" t="s">
        <v>771</v>
      </c>
      <c r="AH233" s="233" t="s">
        <v>654</v>
      </c>
    </row>
    <row r="234" spans="2:34" x14ac:dyDescent="0.25">
      <c r="B234" s="235">
        <v>45024</v>
      </c>
      <c r="C234" s="3">
        <v>1</v>
      </c>
      <c r="D234" s="236">
        <v>45024</v>
      </c>
      <c r="E234" s="156">
        <v>8319</v>
      </c>
      <c r="F234" s="3">
        <v>221</v>
      </c>
      <c r="G234" s="233">
        <v>7625</v>
      </c>
      <c r="H234" s="3" t="s">
        <v>58</v>
      </c>
      <c r="I234" s="3">
        <v>60</v>
      </c>
      <c r="J234" s="239">
        <v>0.38194444444444442</v>
      </c>
      <c r="K234" s="239">
        <v>0.44791666666666669</v>
      </c>
      <c r="L234" s="5">
        <f t="shared" si="19"/>
        <v>6.5972222222222265E-2</v>
      </c>
      <c r="M234" s="233" t="s">
        <v>73</v>
      </c>
      <c r="N234" s="233" t="s">
        <v>734</v>
      </c>
      <c r="O234" s="3">
        <v>3470</v>
      </c>
      <c r="Q234" s="3">
        <v>3470</v>
      </c>
      <c r="R234" s="149">
        <v>5033.45</v>
      </c>
      <c r="S234" s="269">
        <f>R234-R233</f>
        <v>1.1499999999996362</v>
      </c>
      <c r="T234" s="233">
        <f>Q234/S234</f>
        <v>3017.3913043487805</v>
      </c>
      <c r="U234" s="149">
        <v>1.74</v>
      </c>
      <c r="X234" s="191" t="s">
        <v>506</v>
      </c>
      <c r="AA234" s="3">
        <v>1712</v>
      </c>
      <c r="AB234" s="3">
        <v>1748</v>
      </c>
      <c r="AC234" s="3">
        <v>3460</v>
      </c>
      <c r="AD234" s="3">
        <v>3470</v>
      </c>
      <c r="AE234" s="233" t="s">
        <v>926</v>
      </c>
      <c r="AF234" s="233" t="s">
        <v>708</v>
      </c>
      <c r="AG234" s="233" t="s">
        <v>193</v>
      </c>
      <c r="AH234" s="233" t="s">
        <v>816</v>
      </c>
    </row>
    <row r="235" spans="2:34" x14ac:dyDescent="0.25">
      <c r="B235" s="235">
        <v>45024</v>
      </c>
      <c r="C235" s="3">
        <v>3</v>
      </c>
      <c r="D235" s="148">
        <v>45025</v>
      </c>
      <c r="E235" s="156">
        <v>8320</v>
      </c>
      <c r="F235" s="3">
        <v>222</v>
      </c>
      <c r="G235" s="3">
        <v>7605</v>
      </c>
      <c r="H235" s="3" t="s">
        <v>66</v>
      </c>
      <c r="I235" s="3">
        <v>55</v>
      </c>
      <c r="J235" s="239">
        <v>1.3888888888888888E-2</v>
      </c>
      <c r="K235" s="239">
        <v>8.6805555555555566E-2</v>
      </c>
      <c r="L235" s="5">
        <f t="shared" si="19"/>
        <v>7.2916666666666685E-2</v>
      </c>
      <c r="M235" s="3" t="s">
        <v>73</v>
      </c>
      <c r="N235" s="3" t="s">
        <v>734</v>
      </c>
      <c r="O235" s="3">
        <v>3260</v>
      </c>
      <c r="Q235" s="3">
        <v>3260</v>
      </c>
      <c r="R235" s="149">
        <v>5035.3</v>
      </c>
      <c r="S235" s="269">
        <f>R235-R234</f>
        <v>1.8500000000003638</v>
      </c>
      <c r="T235" s="233">
        <f t="shared" ref="T235:T245" si="28">Q235/S235</f>
        <v>1762.1621621618156</v>
      </c>
      <c r="U235" s="149">
        <v>1.74</v>
      </c>
      <c r="X235" s="191" t="s">
        <v>506</v>
      </c>
      <c r="AA235" s="3" t="s">
        <v>492</v>
      </c>
      <c r="AB235" s="3" t="s">
        <v>492</v>
      </c>
      <c r="AC235" s="3" t="s">
        <v>492</v>
      </c>
      <c r="AD235" s="3">
        <v>3260</v>
      </c>
      <c r="AE235" s="233" t="s">
        <v>182</v>
      </c>
      <c r="AF235" s="233" t="s">
        <v>940</v>
      </c>
      <c r="AG235" s="233" t="s">
        <v>771</v>
      </c>
      <c r="AH235" s="233" t="s">
        <v>654</v>
      </c>
    </row>
    <row r="236" spans="2:34" x14ac:dyDescent="0.25">
      <c r="B236" s="235">
        <v>45025</v>
      </c>
      <c r="C236" s="3">
        <v>1</v>
      </c>
      <c r="D236" s="236">
        <v>45025</v>
      </c>
      <c r="E236" s="156">
        <v>8321</v>
      </c>
      <c r="F236" s="3">
        <v>223</v>
      </c>
      <c r="G236" s="233">
        <v>7617</v>
      </c>
      <c r="H236" s="3" t="s">
        <v>58</v>
      </c>
      <c r="I236" s="3">
        <v>60</v>
      </c>
      <c r="J236" s="239">
        <v>0.34722222222222227</v>
      </c>
      <c r="K236" s="239">
        <v>0.4201388888888889</v>
      </c>
      <c r="L236" s="5">
        <f t="shared" si="19"/>
        <v>7.291666666666663E-2</v>
      </c>
      <c r="M236" s="233" t="s">
        <v>73</v>
      </c>
      <c r="N236" s="233" t="s">
        <v>734</v>
      </c>
      <c r="O236" s="3">
        <v>3420</v>
      </c>
      <c r="Q236" s="3">
        <v>3420</v>
      </c>
      <c r="R236" s="149">
        <v>5036.96</v>
      </c>
      <c r="S236" s="269">
        <f>R236-R235</f>
        <v>1.6599999999998545</v>
      </c>
      <c r="T236" s="233">
        <f t="shared" si="28"/>
        <v>2060.2409638556023</v>
      </c>
      <c r="U236" s="149">
        <v>1.94</v>
      </c>
      <c r="X236" s="191" t="s">
        <v>506</v>
      </c>
      <c r="AA236" s="3">
        <v>1719</v>
      </c>
      <c r="AB236" s="3">
        <v>1699</v>
      </c>
      <c r="AC236" s="3">
        <v>3418</v>
      </c>
      <c r="AD236" s="3">
        <v>3420</v>
      </c>
      <c r="AE236" s="233" t="s">
        <v>926</v>
      </c>
      <c r="AF236" s="233" t="s">
        <v>1095</v>
      </c>
      <c r="AG236" s="233" t="s">
        <v>193</v>
      </c>
      <c r="AH236" s="233" t="s">
        <v>846</v>
      </c>
    </row>
    <row r="237" spans="2:34" x14ac:dyDescent="0.25">
      <c r="B237" s="235">
        <v>45025</v>
      </c>
      <c r="C237" s="233">
        <v>1</v>
      </c>
      <c r="D237" s="236">
        <v>45025</v>
      </c>
      <c r="E237" s="156">
        <v>8322</v>
      </c>
      <c r="F237" s="3">
        <v>224</v>
      </c>
      <c r="G237" s="233">
        <v>7625</v>
      </c>
      <c r="H237" s="3" t="s">
        <v>58</v>
      </c>
      <c r="I237" s="3">
        <v>60</v>
      </c>
      <c r="J237" s="239">
        <v>0.51041666666666663</v>
      </c>
      <c r="K237" s="239">
        <v>0.58333333333333337</v>
      </c>
      <c r="L237" s="5">
        <f t="shared" si="19"/>
        <v>7.2916666666666741E-2</v>
      </c>
      <c r="M237" s="233" t="s">
        <v>73</v>
      </c>
      <c r="N237" s="233" t="s">
        <v>734</v>
      </c>
      <c r="O237" s="3">
        <v>3381</v>
      </c>
      <c r="Q237" s="3">
        <v>3381</v>
      </c>
      <c r="R237" s="149">
        <v>5038.3599999999997</v>
      </c>
      <c r="S237" s="269">
        <f t="shared" ref="S237:S245" si="29">R237-R236</f>
        <v>1.3999999999996362</v>
      </c>
      <c r="T237" s="233">
        <f t="shared" si="28"/>
        <v>2415.0000000006276</v>
      </c>
      <c r="U237" s="149">
        <v>1.83</v>
      </c>
      <c r="X237" s="191" t="s">
        <v>506</v>
      </c>
      <c r="AA237" s="3">
        <v>1690</v>
      </c>
      <c r="AB237" s="3">
        <v>1690</v>
      </c>
      <c r="AC237" s="3">
        <v>3380</v>
      </c>
      <c r="AD237" s="3">
        <v>3381</v>
      </c>
      <c r="AE237" s="233" t="s">
        <v>926</v>
      </c>
      <c r="AF237" s="233" t="s">
        <v>1095</v>
      </c>
      <c r="AG237" s="233" t="s">
        <v>193</v>
      </c>
      <c r="AH237" s="233" t="s">
        <v>846</v>
      </c>
    </row>
    <row r="238" spans="2:34" x14ac:dyDescent="0.25">
      <c r="B238" s="235">
        <v>45025</v>
      </c>
      <c r="C238" s="3">
        <v>3</v>
      </c>
      <c r="D238" s="148">
        <v>45026</v>
      </c>
      <c r="E238" s="156">
        <v>8323</v>
      </c>
      <c r="F238" s="3">
        <v>225</v>
      </c>
      <c r="G238" s="3">
        <v>7605</v>
      </c>
      <c r="H238" s="3" t="s">
        <v>66</v>
      </c>
      <c r="I238" s="3">
        <v>58</v>
      </c>
      <c r="J238" s="239">
        <v>0.97222222222222221</v>
      </c>
      <c r="K238" s="239">
        <v>4.1666666666666664E-2</v>
      </c>
      <c r="L238" s="234">
        <v>6.9444444444444434E-2</v>
      </c>
      <c r="M238" s="3" t="s">
        <v>73</v>
      </c>
      <c r="N238" s="3" t="s">
        <v>734</v>
      </c>
      <c r="O238" s="3">
        <v>3400</v>
      </c>
      <c r="Q238" s="3">
        <v>3400</v>
      </c>
      <c r="R238" s="149">
        <v>5039.45</v>
      </c>
      <c r="S238" s="269">
        <f t="shared" si="29"/>
        <v>1.0900000000001455</v>
      </c>
      <c r="T238" s="233">
        <f t="shared" si="28"/>
        <v>3119.2660550454552</v>
      </c>
      <c r="U238" s="149">
        <v>1.8</v>
      </c>
      <c r="X238" s="191" t="s">
        <v>506</v>
      </c>
      <c r="AA238" s="3">
        <v>1690</v>
      </c>
      <c r="AB238" s="3">
        <v>1610</v>
      </c>
      <c r="AC238" s="3">
        <v>3300</v>
      </c>
      <c r="AD238" s="3">
        <v>3400</v>
      </c>
      <c r="AE238" s="233" t="s">
        <v>182</v>
      </c>
      <c r="AF238" s="233" t="s">
        <v>940</v>
      </c>
      <c r="AG238" s="233" t="s">
        <v>771</v>
      </c>
      <c r="AH238" s="233" t="s">
        <v>654</v>
      </c>
    </row>
    <row r="239" spans="2:34" x14ac:dyDescent="0.25">
      <c r="B239" s="235">
        <v>45026</v>
      </c>
      <c r="C239" s="3">
        <v>1</v>
      </c>
      <c r="D239" s="236">
        <v>45026</v>
      </c>
      <c r="E239" s="156">
        <v>8324</v>
      </c>
      <c r="F239" s="3">
        <v>226</v>
      </c>
      <c r="G239" s="3">
        <v>7625</v>
      </c>
      <c r="H239" s="3" t="s">
        <v>58</v>
      </c>
      <c r="I239" s="3">
        <v>60</v>
      </c>
      <c r="J239" s="239">
        <v>0.40277777777777773</v>
      </c>
      <c r="K239" s="239">
        <v>0.47222222222222227</v>
      </c>
      <c r="L239" s="234">
        <f t="shared" ref="L239:L263" si="30">+K239-J239</f>
        <v>6.9444444444444531E-2</v>
      </c>
      <c r="M239" s="3" t="s">
        <v>73</v>
      </c>
      <c r="N239" s="3" t="s">
        <v>734</v>
      </c>
      <c r="O239" s="3">
        <v>3460</v>
      </c>
      <c r="Q239" s="3">
        <v>3460</v>
      </c>
      <c r="R239" s="149">
        <v>5041.3500000000004</v>
      </c>
      <c r="S239" s="269">
        <f t="shared" si="29"/>
        <v>1.9000000000005457</v>
      </c>
      <c r="T239" s="233">
        <f t="shared" si="28"/>
        <v>1821.0526315784243</v>
      </c>
      <c r="U239" s="149">
        <v>1.79</v>
      </c>
      <c r="X239" s="191" t="s">
        <v>506</v>
      </c>
      <c r="AA239" s="3">
        <v>1664</v>
      </c>
      <c r="AB239" s="3">
        <v>1674</v>
      </c>
      <c r="AC239" s="3">
        <v>3339</v>
      </c>
      <c r="AD239" s="3">
        <v>3460</v>
      </c>
      <c r="AE239" s="233" t="s">
        <v>926</v>
      </c>
      <c r="AF239" s="3" t="s">
        <v>1102</v>
      </c>
      <c r="AG239" s="3" t="s">
        <v>196</v>
      </c>
      <c r="AH239" s="3" t="s">
        <v>1103</v>
      </c>
    </row>
    <row r="240" spans="2:34" x14ac:dyDescent="0.25">
      <c r="B240" s="235">
        <v>45026</v>
      </c>
      <c r="C240" s="3">
        <v>2</v>
      </c>
      <c r="D240" s="236">
        <v>45027</v>
      </c>
      <c r="E240" s="156">
        <v>8325</v>
      </c>
      <c r="F240" s="3">
        <v>227</v>
      </c>
      <c r="G240" s="3">
        <v>7605</v>
      </c>
      <c r="H240" s="3" t="s">
        <v>58</v>
      </c>
      <c r="I240" s="3">
        <v>60</v>
      </c>
      <c r="J240" s="239">
        <v>0.72916666666666663</v>
      </c>
      <c r="K240" s="239">
        <v>0.80555555555555547</v>
      </c>
      <c r="L240" s="234">
        <f t="shared" si="30"/>
        <v>7.638888888888884E-2</v>
      </c>
      <c r="M240" s="233" t="s">
        <v>73</v>
      </c>
      <c r="N240" s="233" t="s">
        <v>734</v>
      </c>
      <c r="O240" s="3">
        <v>3400</v>
      </c>
      <c r="Q240" s="3">
        <v>3400</v>
      </c>
      <c r="R240" s="149">
        <v>5042.9799999999996</v>
      </c>
      <c r="S240" s="269">
        <f t="shared" si="29"/>
        <v>1.6299999999991996</v>
      </c>
      <c r="T240" s="233">
        <f t="shared" si="28"/>
        <v>2085.8895705531713</v>
      </c>
      <c r="U240" s="149">
        <v>2.0499999999999998</v>
      </c>
      <c r="X240" s="191" t="s">
        <v>506</v>
      </c>
      <c r="AA240" s="3">
        <v>1640</v>
      </c>
      <c r="AB240" s="3">
        <v>1687</v>
      </c>
      <c r="AC240" s="3">
        <v>3328</v>
      </c>
      <c r="AD240" s="3">
        <v>3400</v>
      </c>
      <c r="AE240" s="3" t="s">
        <v>1099</v>
      </c>
      <c r="AF240" s="3" t="s">
        <v>856</v>
      </c>
      <c r="AG240" s="3" t="s">
        <v>1099</v>
      </c>
      <c r="AH240" s="3" t="s">
        <v>907</v>
      </c>
    </row>
    <row r="241" spans="2:37" x14ac:dyDescent="0.25">
      <c r="B241" s="235">
        <v>45027</v>
      </c>
      <c r="C241" s="3">
        <v>1</v>
      </c>
      <c r="D241" s="236">
        <v>45027</v>
      </c>
      <c r="E241" s="156">
        <v>8326</v>
      </c>
      <c r="F241" s="3">
        <v>228</v>
      </c>
      <c r="G241" s="233">
        <v>7625</v>
      </c>
      <c r="H241" s="3" t="s">
        <v>66</v>
      </c>
      <c r="I241" s="3">
        <v>56</v>
      </c>
      <c r="J241" s="239">
        <v>0.35416666666666669</v>
      </c>
      <c r="K241" s="239">
        <v>0.4236111111111111</v>
      </c>
      <c r="L241" s="234">
        <f t="shared" si="30"/>
        <v>6.944444444444442E-2</v>
      </c>
      <c r="M241" s="233" t="s">
        <v>73</v>
      </c>
      <c r="N241" s="233" t="s">
        <v>734</v>
      </c>
      <c r="O241" s="3">
        <v>3330</v>
      </c>
      <c r="Q241" s="3">
        <v>3330</v>
      </c>
      <c r="R241" s="149">
        <v>5044.16</v>
      </c>
      <c r="S241" s="269">
        <f t="shared" si="29"/>
        <v>1.180000000000291</v>
      </c>
      <c r="T241" s="233">
        <f t="shared" si="28"/>
        <v>2822.0338983043889</v>
      </c>
      <c r="U241" s="149">
        <v>1.62</v>
      </c>
      <c r="X241" s="191" t="s">
        <v>506</v>
      </c>
      <c r="AA241" s="3">
        <v>1674</v>
      </c>
      <c r="AB241" s="3">
        <v>1693</v>
      </c>
      <c r="AC241" s="3">
        <v>3367</v>
      </c>
      <c r="AD241" s="3">
        <v>3330</v>
      </c>
      <c r="AE241" s="233" t="s">
        <v>926</v>
      </c>
      <c r="AF241" s="233" t="s">
        <v>1102</v>
      </c>
      <c r="AG241" s="233" t="s">
        <v>1105</v>
      </c>
      <c r="AH241" s="233" t="s">
        <v>1057</v>
      </c>
    </row>
    <row r="242" spans="2:37" x14ac:dyDescent="0.25">
      <c r="B242" s="235">
        <v>45027</v>
      </c>
      <c r="C242" s="3">
        <v>2</v>
      </c>
      <c r="D242" s="148">
        <v>45028</v>
      </c>
      <c r="E242" s="156">
        <v>8327</v>
      </c>
      <c r="F242" s="3">
        <v>229</v>
      </c>
      <c r="G242" s="233">
        <v>7617</v>
      </c>
      <c r="H242" s="3" t="s">
        <v>58</v>
      </c>
      <c r="I242" s="3">
        <v>60</v>
      </c>
      <c r="J242" s="239">
        <v>0.67013888888888884</v>
      </c>
      <c r="K242" s="239">
        <v>0.73958333333333337</v>
      </c>
      <c r="L242" s="5">
        <f t="shared" si="30"/>
        <v>6.9444444444444531E-2</v>
      </c>
      <c r="M242" s="233" t="s">
        <v>73</v>
      </c>
      <c r="N242" s="3" t="s">
        <v>734</v>
      </c>
      <c r="O242" s="3">
        <v>3460</v>
      </c>
      <c r="Q242" s="3">
        <v>3460</v>
      </c>
      <c r="R242" s="149">
        <v>5046.21</v>
      </c>
      <c r="S242" s="269">
        <f t="shared" si="29"/>
        <v>2.0500000000001819</v>
      </c>
      <c r="T242" s="233">
        <f t="shared" si="28"/>
        <v>1687.8048780486308</v>
      </c>
      <c r="U242" s="149">
        <v>1.79</v>
      </c>
      <c r="X242" s="191" t="s">
        <v>506</v>
      </c>
      <c r="AA242" s="3">
        <v>1663</v>
      </c>
      <c r="AB242" s="3">
        <v>1726</v>
      </c>
      <c r="AC242" s="3">
        <v>3389</v>
      </c>
      <c r="AD242" s="3">
        <v>3460</v>
      </c>
      <c r="AE242" s="233" t="s">
        <v>1099</v>
      </c>
      <c r="AF242" s="233" t="s">
        <v>856</v>
      </c>
      <c r="AG242" s="233" t="s">
        <v>1099</v>
      </c>
      <c r="AH242" s="233" t="s">
        <v>907</v>
      </c>
    </row>
    <row r="243" spans="2:37" x14ac:dyDescent="0.25">
      <c r="B243" s="235">
        <v>45028</v>
      </c>
      <c r="C243" s="3">
        <v>1</v>
      </c>
      <c r="D243" s="236">
        <v>45029</v>
      </c>
      <c r="E243" s="156">
        <v>8328</v>
      </c>
      <c r="F243" s="3">
        <v>230</v>
      </c>
      <c r="G243" s="3">
        <v>7605</v>
      </c>
      <c r="H243" s="3" t="s">
        <v>66</v>
      </c>
      <c r="I243" s="3">
        <v>58</v>
      </c>
      <c r="J243" s="239">
        <v>0.40972222222222227</v>
      </c>
      <c r="K243" s="239">
        <v>0.4826388888888889</v>
      </c>
      <c r="L243" s="5">
        <f t="shared" si="30"/>
        <v>7.291666666666663E-2</v>
      </c>
      <c r="M243" s="3" t="s">
        <v>73</v>
      </c>
      <c r="N243" s="233" t="s">
        <v>733</v>
      </c>
      <c r="O243" s="3">
        <v>3350</v>
      </c>
      <c r="Q243" s="3">
        <v>3350</v>
      </c>
      <c r="R243" s="149">
        <v>5047.8599999999997</v>
      </c>
      <c r="S243" s="269">
        <f t="shared" si="29"/>
        <v>1.6499999999996362</v>
      </c>
      <c r="T243" s="233">
        <f t="shared" si="28"/>
        <v>2030.303030303478</v>
      </c>
      <c r="U243" s="149">
        <v>1.8</v>
      </c>
      <c r="X243" s="191" t="s">
        <v>506</v>
      </c>
      <c r="AA243" s="3">
        <v>1583</v>
      </c>
      <c r="AB243" s="3">
        <v>1764</v>
      </c>
      <c r="AC243" s="3">
        <v>3347</v>
      </c>
      <c r="AD243" s="3">
        <v>3350</v>
      </c>
      <c r="AE243" s="233" t="s">
        <v>926</v>
      </c>
      <c r="AF243" s="3" t="s">
        <v>1108</v>
      </c>
      <c r="AG243" s="3" t="s">
        <v>709</v>
      </c>
      <c r="AH243" s="3" t="s">
        <v>1031</v>
      </c>
    </row>
    <row r="244" spans="2:37" x14ac:dyDescent="0.25">
      <c r="B244" s="235">
        <v>45028</v>
      </c>
      <c r="C244" s="3">
        <v>2</v>
      </c>
      <c r="D244" s="148">
        <v>45029</v>
      </c>
      <c r="E244" s="156">
        <v>8329</v>
      </c>
      <c r="F244" s="3">
        <v>231</v>
      </c>
      <c r="G244" s="3">
        <v>7617</v>
      </c>
      <c r="H244" s="3" t="s">
        <v>58</v>
      </c>
      <c r="I244" s="3">
        <v>60</v>
      </c>
      <c r="J244" s="239">
        <v>0.72569444444444453</v>
      </c>
      <c r="K244" s="239">
        <v>0.78819444444444453</v>
      </c>
      <c r="L244" s="5">
        <f t="shared" si="30"/>
        <v>6.25E-2</v>
      </c>
      <c r="M244" s="3" t="s">
        <v>73</v>
      </c>
      <c r="N244" s="3" t="s">
        <v>733</v>
      </c>
      <c r="O244" s="3">
        <v>3460</v>
      </c>
      <c r="Q244" s="3">
        <v>3460</v>
      </c>
      <c r="R244" s="149">
        <v>5049.2299999999996</v>
      </c>
      <c r="S244" s="269">
        <f t="shared" si="29"/>
        <v>1.3699999999998909</v>
      </c>
      <c r="T244" s="233">
        <f t="shared" si="28"/>
        <v>2525.5474452556755</v>
      </c>
      <c r="U244" s="149">
        <v>1.37</v>
      </c>
      <c r="X244" s="191" t="s">
        <v>506</v>
      </c>
      <c r="AA244" s="3">
        <v>1643</v>
      </c>
      <c r="AB244" s="3">
        <v>1655</v>
      </c>
      <c r="AC244" s="3">
        <v>3298</v>
      </c>
      <c r="AD244" s="3">
        <v>3460</v>
      </c>
      <c r="AE244" s="3" t="s">
        <v>459</v>
      </c>
      <c r="AF244" s="233" t="s">
        <v>459</v>
      </c>
      <c r="AG244" s="3" t="s">
        <v>361</v>
      </c>
      <c r="AH244" s="3" t="s">
        <v>907</v>
      </c>
    </row>
    <row r="245" spans="2:37" x14ac:dyDescent="0.25">
      <c r="B245" s="235">
        <v>45029</v>
      </c>
      <c r="C245" s="3">
        <v>1</v>
      </c>
      <c r="D245" s="148">
        <v>45030</v>
      </c>
      <c r="E245" s="156">
        <v>8330</v>
      </c>
      <c r="F245" s="3">
        <v>232</v>
      </c>
      <c r="G245" s="3">
        <v>7617</v>
      </c>
      <c r="H245" s="3" t="s">
        <v>58</v>
      </c>
      <c r="I245" s="3">
        <v>58</v>
      </c>
      <c r="J245" s="239">
        <v>0.49652777777777773</v>
      </c>
      <c r="K245" s="239">
        <v>0.57986111111111105</v>
      </c>
      <c r="L245" s="5">
        <f>+K245-J245</f>
        <v>8.3333333333333315E-2</v>
      </c>
      <c r="M245" s="3" t="s">
        <v>67</v>
      </c>
      <c r="N245" s="3" t="s">
        <v>733</v>
      </c>
      <c r="O245" s="3">
        <v>3220</v>
      </c>
      <c r="Q245" s="3">
        <f>3320-348</f>
        <v>2972</v>
      </c>
      <c r="R245" s="149">
        <v>5050.51</v>
      </c>
      <c r="S245" s="269">
        <f t="shared" si="29"/>
        <v>1.2800000000006548</v>
      </c>
      <c r="T245" s="233">
        <f t="shared" si="28"/>
        <v>2321.8749999988122</v>
      </c>
      <c r="U245" s="149">
        <v>1.9</v>
      </c>
      <c r="W245" s="152">
        <v>348</v>
      </c>
      <c r="X245" s="191" t="s">
        <v>506</v>
      </c>
      <c r="AA245" s="3">
        <v>1559</v>
      </c>
      <c r="AB245" s="3">
        <v>1660</v>
      </c>
      <c r="AC245" s="3">
        <v>3320</v>
      </c>
      <c r="AD245" s="3">
        <v>3320</v>
      </c>
      <c r="AE245" s="3" t="s">
        <v>926</v>
      </c>
      <c r="AF245" s="3" t="s">
        <v>1102</v>
      </c>
      <c r="AG245" s="3" t="s">
        <v>709</v>
      </c>
      <c r="AH245" s="3" t="s">
        <v>214</v>
      </c>
    </row>
    <row r="246" spans="2:37" x14ac:dyDescent="0.25">
      <c r="B246" s="235">
        <v>45029</v>
      </c>
      <c r="C246" s="3">
        <v>3</v>
      </c>
      <c r="D246" s="236">
        <v>45031</v>
      </c>
      <c r="E246" s="156">
        <v>8331</v>
      </c>
      <c r="F246" s="3">
        <v>233</v>
      </c>
      <c r="G246" s="233">
        <v>7605</v>
      </c>
      <c r="H246" s="3" t="s">
        <v>66</v>
      </c>
      <c r="I246" s="3">
        <v>57</v>
      </c>
      <c r="J246" s="239">
        <v>3.472222222222222E-3</v>
      </c>
      <c r="K246" s="239">
        <v>6.9444444444444434E-2</v>
      </c>
      <c r="L246" s="5">
        <f t="shared" si="30"/>
        <v>6.597222222222221E-2</v>
      </c>
      <c r="M246" s="233" t="s">
        <v>67</v>
      </c>
      <c r="N246" s="233" t="s">
        <v>733</v>
      </c>
      <c r="O246" s="3">
        <v>3300</v>
      </c>
      <c r="Q246" s="3">
        <v>3300</v>
      </c>
      <c r="R246" s="149">
        <v>5051.96</v>
      </c>
      <c r="S246" s="269">
        <f t="shared" ref="S246:S251" si="31">R246-R245</f>
        <v>1.4499999999998181</v>
      </c>
      <c r="T246" s="233">
        <f>Q246/S246</f>
        <v>2275.8620689658028</v>
      </c>
      <c r="U246" s="149">
        <v>1.73</v>
      </c>
      <c r="X246" s="191" t="s">
        <v>506</v>
      </c>
      <c r="AA246" s="3">
        <v>1613</v>
      </c>
      <c r="AB246" s="3">
        <v>1659</v>
      </c>
      <c r="AC246" s="3">
        <v>3272</v>
      </c>
      <c r="AD246" s="3">
        <v>3300</v>
      </c>
      <c r="AE246" s="233" t="s">
        <v>6</v>
      </c>
      <c r="AF246" s="233" t="s">
        <v>144</v>
      </c>
      <c r="AG246" s="233" t="s">
        <v>655</v>
      </c>
      <c r="AH246" s="3" t="s">
        <v>193</v>
      </c>
      <c r="AI246" s="197"/>
      <c r="AJ246" s="233"/>
      <c r="AK246" s="3" t="s">
        <v>148</v>
      </c>
    </row>
    <row r="247" spans="2:37" x14ac:dyDescent="0.25">
      <c r="B247" s="235">
        <v>45030</v>
      </c>
      <c r="C247" s="3">
        <v>3</v>
      </c>
      <c r="D247" s="148">
        <v>45033</v>
      </c>
      <c r="E247" s="156">
        <v>8332</v>
      </c>
      <c r="F247" s="3">
        <v>234</v>
      </c>
      <c r="G247" s="233">
        <v>7617</v>
      </c>
      <c r="H247" s="3" t="s">
        <v>58</v>
      </c>
      <c r="I247" s="3">
        <v>60</v>
      </c>
      <c r="J247" s="239">
        <v>3.472222222222222E-3</v>
      </c>
      <c r="K247" s="239">
        <v>6.9444444444444434E-2</v>
      </c>
      <c r="L247" s="5">
        <f t="shared" si="30"/>
        <v>6.597222222222221E-2</v>
      </c>
      <c r="M247" s="233" t="s">
        <v>67</v>
      </c>
      <c r="N247" s="233" t="s">
        <v>733</v>
      </c>
      <c r="O247" s="3">
        <v>3340</v>
      </c>
      <c r="Q247" s="3">
        <v>3340</v>
      </c>
      <c r="R247" s="149">
        <v>5053.4399999999996</v>
      </c>
      <c r="S247" s="269">
        <f t="shared" si="31"/>
        <v>1.4799999999995634</v>
      </c>
      <c r="T247" s="233">
        <f>Q247/S247</f>
        <v>2256.7567567574224</v>
      </c>
      <c r="U247" s="149">
        <v>1.68</v>
      </c>
      <c r="X247" s="191" t="s">
        <v>506</v>
      </c>
      <c r="AA247" s="3">
        <v>1658</v>
      </c>
      <c r="AB247" s="3">
        <v>1680</v>
      </c>
      <c r="AC247" s="3">
        <v>3338</v>
      </c>
      <c r="AD247" s="3">
        <v>3340</v>
      </c>
      <c r="AE247" s="233" t="s">
        <v>6</v>
      </c>
      <c r="AF247" s="233" t="s">
        <v>654</v>
      </c>
      <c r="AG247" s="233" t="s">
        <v>144</v>
      </c>
      <c r="AH247" s="233" t="s">
        <v>193</v>
      </c>
    </row>
    <row r="248" spans="2:37" x14ac:dyDescent="0.25">
      <c r="B248" s="235">
        <v>45031</v>
      </c>
      <c r="C248" s="3">
        <v>3</v>
      </c>
      <c r="D248" s="236">
        <v>45035</v>
      </c>
      <c r="E248" s="156">
        <v>8333</v>
      </c>
      <c r="F248" s="3">
        <v>235</v>
      </c>
      <c r="G248" s="233">
        <v>7605</v>
      </c>
      <c r="H248" s="3" t="s">
        <v>58</v>
      </c>
      <c r="I248" s="3">
        <v>58</v>
      </c>
      <c r="J248" s="239">
        <v>3.4722222222222224E-2</v>
      </c>
      <c r="K248" s="239">
        <v>9.7222222222222224E-2</v>
      </c>
      <c r="L248" s="234">
        <f t="shared" si="30"/>
        <v>6.25E-2</v>
      </c>
      <c r="M248" s="233" t="s">
        <v>67</v>
      </c>
      <c r="N248" s="233" t="s">
        <v>733</v>
      </c>
      <c r="O248" s="3">
        <v>3250</v>
      </c>
      <c r="Q248" s="3">
        <v>3250</v>
      </c>
      <c r="R248" s="149">
        <v>5054.8900000000003</v>
      </c>
      <c r="S248" s="269">
        <f t="shared" si="31"/>
        <v>1.4500000000007276</v>
      </c>
      <c r="T248" s="233">
        <f>Q248/S248</f>
        <v>2241.3793103437029</v>
      </c>
      <c r="U248" s="149">
        <v>1.53</v>
      </c>
      <c r="X248" s="191" t="s">
        <v>506</v>
      </c>
      <c r="AA248" s="3" t="s">
        <v>492</v>
      </c>
      <c r="AB248" s="3">
        <v>1641</v>
      </c>
      <c r="AC248" s="3">
        <v>1641</v>
      </c>
      <c r="AD248" s="3">
        <v>3250</v>
      </c>
      <c r="AE248" s="233" t="s">
        <v>6</v>
      </c>
      <c r="AF248" s="233" t="s">
        <v>654</v>
      </c>
      <c r="AG248" s="233" t="s">
        <v>144</v>
      </c>
      <c r="AH248" s="233" t="s">
        <v>193</v>
      </c>
    </row>
    <row r="249" spans="2:37" s="304" customFormat="1" x14ac:dyDescent="0.25">
      <c r="B249" s="305">
        <v>45034</v>
      </c>
      <c r="C249" s="304">
        <v>3</v>
      </c>
      <c r="D249" s="331">
        <v>45036</v>
      </c>
      <c r="E249" s="304">
        <v>8334</v>
      </c>
      <c r="F249" s="304">
        <v>236</v>
      </c>
      <c r="G249" s="304">
        <v>7605</v>
      </c>
      <c r="H249" s="304" t="s">
        <v>58</v>
      </c>
      <c r="I249" s="304">
        <v>59</v>
      </c>
      <c r="J249" s="303">
        <v>1.0416666666666666E-2</v>
      </c>
      <c r="K249" s="303">
        <v>7.2916666666666671E-2</v>
      </c>
      <c r="L249" s="332">
        <f t="shared" si="30"/>
        <v>6.25E-2</v>
      </c>
      <c r="M249" s="304" t="s">
        <v>67</v>
      </c>
      <c r="N249" s="304" t="s">
        <v>733</v>
      </c>
      <c r="O249" s="304">
        <v>3231</v>
      </c>
      <c r="P249" s="307"/>
      <c r="Q249" s="304">
        <v>3231</v>
      </c>
      <c r="R249" s="269">
        <v>5057.3999999999996</v>
      </c>
      <c r="S249" s="269">
        <f t="shared" si="31"/>
        <v>2.5099999999993088</v>
      </c>
      <c r="T249" s="304">
        <f t="shared" ref="T249:T268" si="32">Q249/S249</f>
        <v>1287.2509960162909</v>
      </c>
      <c r="U249" s="269">
        <v>1.5</v>
      </c>
      <c r="V249" s="333"/>
      <c r="X249" s="304" t="s">
        <v>506</v>
      </c>
      <c r="AA249" s="304">
        <v>1597</v>
      </c>
      <c r="AB249" s="304">
        <v>1634</v>
      </c>
      <c r="AC249" s="304">
        <v>3231</v>
      </c>
      <c r="AD249" s="304">
        <v>3231</v>
      </c>
      <c r="AE249" s="304" t="s">
        <v>1</v>
      </c>
      <c r="AF249" s="304" t="s">
        <v>1140</v>
      </c>
      <c r="AG249" s="304" t="s">
        <v>1057</v>
      </c>
      <c r="AH249" s="304" t="s">
        <v>500</v>
      </c>
      <c r="AI249" s="333"/>
    </row>
    <row r="250" spans="2:37" s="304" customFormat="1" x14ac:dyDescent="0.25">
      <c r="B250" s="305">
        <v>45035</v>
      </c>
      <c r="C250" s="304">
        <v>3</v>
      </c>
      <c r="D250" s="331">
        <v>45036</v>
      </c>
      <c r="E250" s="304">
        <v>8335</v>
      </c>
      <c r="F250" s="304">
        <v>237</v>
      </c>
      <c r="G250" s="304">
        <v>7617</v>
      </c>
      <c r="H250" s="304" t="s">
        <v>66</v>
      </c>
      <c r="I250" s="304">
        <v>56</v>
      </c>
      <c r="J250" s="303">
        <v>3.4722222222222224E-2</v>
      </c>
      <c r="K250" s="303">
        <v>0.1111111111111111</v>
      </c>
      <c r="L250" s="332">
        <f t="shared" si="30"/>
        <v>7.6388888888888881E-2</v>
      </c>
      <c r="M250" s="304" t="s">
        <v>67</v>
      </c>
      <c r="N250" s="304" t="s">
        <v>733</v>
      </c>
      <c r="O250" s="304">
        <v>3196</v>
      </c>
      <c r="P250" s="307"/>
      <c r="Q250" s="304">
        <v>3196</v>
      </c>
      <c r="R250" s="269">
        <v>5058.93</v>
      </c>
      <c r="S250" s="269">
        <f t="shared" si="31"/>
        <v>1.5300000000006548</v>
      </c>
      <c r="T250" s="304">
        <f t="shared" si="32"/>
        <v>2088.8888888879947</v>
      </c>
      <c r="U250" s="269">
        <v>2.12</v>
      </c>
      <c r="V250" s="333"/>
      <c r="X250" s="304" t="s">
        <v>506</v>
      </c>
      <c r="AA250" s="304">
        <v>1527</v>
      </c>
      <c r="AB250" s="304">
        <v>1668</v>
      </c>
      <c r="AC250" s="304">
        <v>3196</v>
      </c>
      <c r="AD250" s="304">
        <v>3196</v>
      </c>
      <c r="AE250" s="304" t="s">
        <v>676</v>
      </c>
      <c r="AF250" s="304" t="s">
        <v>1140</v>
      </c>
      <c r="AG250" s="304" t="s">
        <v>1057</v>
      </c>
      <c r="AH250" s="304" t="s">
        <v>500</v>
      </c>
      <c r="AI250" s="333"/>
    </row>
    <row r="251" spans="2:37" s="304" customFormat="1" x14ac:dyDescent="0.25">
      <c r="B251" s="305">
        <v>45036</v>
      </c>
      <c r="C251" s="304">
        <v>1</v>
      </c>
      <c r="D251" s="331">
        <v>45036</v>
      </c>
      <c r="E251" s="304">
        <v>8336</v>
      </c>
      <c r="F251" s="304">
        <v>238</v>
      </c>
      <c r="G251" s="304">
        <v>7625</v>
      </c>
      <c r="H251" s="304" t="s">
        <v>58</v>
      </c>
      <c r="I251" s="304">
        <v>59</v>
      </c>
      <c r="J251" s="303">
        <v>0.39930555555555558</v>
      </c>
      <c r="K251" s="303">
        <v>0.46527777777777773</v>
      </c>
      <c r="L251" s="332">
        <f t="shared" si="30"/>
        <v>6.5972222222222154E-2</v>
      </c>
      <c r="M251" s="304" t="s">
        <v>67</v>
      </c>
      <c r="N251" s="304" t="s">
        <v>733</v>
      </c>
      <c r="O251" s="304">
        <v>3432</v>
      </c>
      <c r="P251" s="307"/>
      <c r="Q251" s="304">
        <v>3432</v>
      </c>
      <c r="R251" s="269">
        <v>5060.2</v>
      </c>
      <c r="S251" s="269">
        <f t="shared" si="31"/>
        <v>1.2699999999995271</v>
      </c>
      <c r="T251" s="304">
        <f t="shared" si="32"/>
        <v>2702.3622047254157</v>
      </c>
      <c r="U251" s="269">
        <v>1.7</v>
      </c>
      <c r="V251" s="333"/>
      <c r="X251" s="304" t="s">
        <v>506</v>
      </c>
      <c r="AA251" s="304">
        <v>1527</v>
      </c>
      <c r="AB251" s="304">
        <v>1668</v>
      </c>
      <c r="AC251" s="304">
        <v>3196</v>
      </c>
      <c r="AD251" s="304">
        <v>3432</v>
      </c>
      <c r="AE251" s="304" t="s">
        <v>926</v>
      </c>
      <c r="AF251" s="304" t="s">
        <v>1143</v>
      </c>
      <c r="AG251" s="304" t="s">
        <v>193</v>
      </c>
      <c r="AH251" s="304" t="s">
        <v>1144</v>
      </c>
      <c r="AI251" s="333"/>
    </row>
    <row r="252" spans="2:37" s="304" customFormat="1" x14ac:dyDescent="0.25">
      <c r="B252" s="305">
        <v>45036</v>
      </c>
      <c r="C252" s="304">
        <v>2</v>
      </c>
      <c r="D252" s="331">
        <v>45037</v>
      </c>
      <c r="E252" s="304">
        <v>8337</v>
      </c>
      <c r="F252" s="304">
        <v>239</v>
      </c>
      <c r="G252" s="304">
        <v>7605</v>
      </c>
      <c r="H252" s="304" t="s">
        <v>58</v>
      </c>
      <c r="I252" s="304">
        <v>60</v>
      </c>
      <c r="J252" s="303">
        <v>0.68055555555555547</v>
      </c>
      <c r="K252" s="303">
        <v>0.74652777777777779</v>
      </c>
      <c r="L252" s="332">
        <f t="shared" si="30"/>
        <v>6.5972222222222321E-2</v>
      </c>
      <c r="M252" s="304" t="s">
        <v>67</v>
      </c>
      <c r="N252" s="304" t="s">
        <v>733</v>
      </c>
      <c r="O252" s="304">
        <v>3420</v>
      </c>
      <c r="P252" s="307"/>
      <c r="Q252" s="304">
        <v>3420</v>
      </c>
      <c r="R252" s="269">
        <v>5061.92</v>
      </c>
      <c r="S252" s="269">
        <f t="shared" ref="S252:S268" si="33">R252-R251</f>
        <v>1.7200000000002547</v>
      </c>
      <c r="T252" s="304">
        <f t="shared" si="32"/>
        <v>1988.3720930229615</v>
      </c>
      <c r="U252" s="269">
        <v>1.7</v>
      </c>
      <c r="V252" s="333"/>
      <c r="X252" s="304" t="s">
        <v>506</v>
      </c>
      <c r="AA252" s="304">
        <v>1644</v>
      </c>
      <c r="AB252" s="304">
        <v>1724</v>
      </c>
      <c r="AC252" s="304">
        <v>3369</v>
      </c>
      <c r="AD252" s="304">
        <v>3420</v>
      </c>
      <c r="AE252" s="304" t="s">
        <v>714</v>
      </c>
      <c r="AF252" s="304" t="s">
        <v>906</v>
      </c>
      <c r="AG252" s="304" t="s">
        <v>1145</v>
      </c>
      <c r="AH252" s="304" t="s">
        <v>1146</v>
      </c>
      <c r="AI252" s="333"/>
    </row>
    <row r="253" spans="2:37" s="304" customFormat="1" x14ac:dyDescent="0.25">
      <c r="B253" s="305">
        <v>45036</v>
      </c>
      <c r="C253" s="304">
        <v>3</v>
      </c>
      <c r="D253" s="331">
        <v>45037</v>
      </c>
      <c r="E253" s="304">
        <v>8338</v>
      </c>
      <c r="F253" s="304">
        <v>240</v>
      </c>
      <c r="G253" s="304">
        <v>7617</v>
      </c>
      <c r="H253" s="304" t="s">
        <v>58</v>
      </c>
      <c r="I253" s="304">
        <v>60</v>
      </c>
      <c r="J253" s="303">
        <v>4.8611111111111112E-2</v>
      </c>
      <c r="K253" s="303">
        <v>0.1111111111111111</v>
      </c>
      <c r="L253" s="332">
        <f t="shared" si="30"/>
        <v>6.2499999999999993E-2</v>
      </c>
      <c r="M253" s="304" t="s">
        <v>67</v>
      </c>
      <c r="N253" s="304" t="s">
        <v>733</v>
      </c>
      <c r="O253" s="304">
        <v>3275</v>
      </c>
      <c r="P253" s="307"/>
      <c r="Q253" s="304">
        <v>3275</v>
      </c>
      <c r="R253" s="269">
        <v>5063.57</v>
      </c>
      <c r="S253" s="269">
        <f t="shared" si="33"/>
        <v>1.6499999999996362</v>
      </c>
      <c r="T253" s="304">
        <f t="shared" si="32"/>
        <v>1984.8484848489225</v>
      </c>
      <c r="U253" s="269">
        <v>1.59</v>
      </c>
      <c r="V253" s="333"/>
      <c r="X253" s="304" t="s">
        <v>506</v>
      </c>
      <c r="AA253" s="304">
        <v>1612</v>
      </c>
      <c r="AB253" s="304">
        <v>1662</v>
      </c>
      <c r="AC253" s="304">
        <v>3275</v>
      </c>
      <c r="AD253" s="304" t="s">
        <v>492</v>
      </c>
      <c r="AE253" s="304" t="s">
        <v>676</v>
      </c>
      <c r="AF253" s="304" t="s">
        <v>1140</v>
      </c>
      <c r="AG253" s="304" t="s">
        <v>1057</v>
      </c>
      <c r="AH253" s="304" t="s">
        <v>500</v>
      </c>
      <c r="AI253" s="333"/>
    </row>
    <row r="254" spans="2:37" x14ac:dyDescent="0.25">
      <c r="B254" s="235">
        <v>45042</v>
      </c>
      <c r="C254" s="3">
        <v>1</v>
      </c>
      <c r="D254" s="148">
        <v>45042</v>
      </c>
      <c r="E254" s="156">
        <v>8339</v>
      </c>
      <c r="F254" s="3">
        <v>241</v>
      </c>
      <c r="G254" s="304">
        <v>7617</v>
      </c>
      <c r="H254" s="3" t="s">
        <v>66</v>
      </c>
      <c r="I254" s="3">
        <v>56</v>
      </c>
      <c r="J254" s="239">
        <v>0.36458333333333331</v>
      </c>
      <c r="K254" s="239">
        <v>0.41666666666666669</v>
      </c>
      <c r="L254" s="332">
        <f t="shared" si="30"/>
        <v>5.208333333333337E-2</v>
      </c>
      <c r="M254" s="304" t="s">
        <v>67</v>
      </c>
      <c r="N254" s="304" t="s">
        <v>733</v>
      </c>
      <c r="O254" s="3">
        <v>3392</v>
      </c>
      <c r="Q254" s="3">
        <v>3392</v>
      </c>
      <c r="R254" s="149">
        <v>5065.03</v>
      </c>
      <c r="S254" s="269">
        <f t="shared" si="33"/>
        <v>1.4600000000000364</v>
      </c>
      <c r="T254" s="304">
        <f t="shared" si="32"/>
        <v>2323.2876712328189</v>
      </c>
      <c r="U254" s="149">
        <v>1.85</v>
      </c>
      <c r="X254" s="191" t="s">
        <v>506</v>
      </c>
      <c r="AA254" s="3">
        <v>1693</v>
      </c>
      <c r="AB254" s="3">
        <v>1629</v>
      </c>
      <c r="AC254" s="3">
        <v>3322</v>
      </c>
      <c r="AD254" s="304" t="s">
        <v>492</v>
      </c>
      <c r="AE254" s="3" t="s">
        <v>6</v>
      </c>
      <c r="AF254" s="3" t="s">
        <v>919</v>
      </c>
      <c r="AG254" s="3" t="s">
        <v>906</v>
      </c>
      <c r="AH254" s="3" t="s">
        <v>144</v>
      </c>
    </row>
    <row r="255" spans="2:37" x14ac:dyDescent="0.25">
      <c r="B255" s="235">
        <v>45042</v>
      </c>
      <c r="C255" s="3">
        <v>2</v>
      </c>
      <c r="D255" s="148">
        <v>45042</v>
      </c>
      <c r="E255" s="156">
        <v>8340</v>
      </c>
      <c r="F255" s="3">
        <v>242</v>
      </c>
      <c r="G255" s="233">
        <v>7625</v>
      </c>
      <c r="H255" s="3" t="s">
        <v>58</v>
      </c>
      <c r="I255" s="3">
        <v>53</v>
      </c>
      <c r="J255" s="239">
        <v>0.66666666666666663</v>
      </c>
      <c r="K255" s="239">
        <v>0.73263888888888884</v>
      </c>
      <c r="L255" s="332">
        <f t="shared" si="30"/>
        <v>6.597222222222221E-2</v>
      </c>
      <c r="M255" s="3" t="s">
        <v>67</v>
      </c>
      <c r="N255" s="304" t="s">
        <v>733</v>
      </c>
      <c r="O255" s="3">
        <v>3094</v>
      </c>
      <c r="Q255" s="3">
        <v>3094</v>
      </c>
      <c r="R255" s="149">
        <v>5067.6000000000004</v>
      </c>
      <c r="S255" s="269">
        <f t="shared" si="33"/>
        <v>2.5700000000006185</v>
      </c>
      <c r="T255" s="304">
        <f t="shared" si="32"/>
        <v>1203.8910505833678</v>
      </c>
      <c r="U255" s="149">
        <v>1.6</v>
      </c>
      <c r="X255" s="191" t="s">
        <v>506</v>
      </c>
      <c r="AA255" s="3">
        <v>1552</v>
      </c>
      <c r="AB255" s="3">
        <v>1542</v>
      </c>
      <c r="AC255" s="3">
        <v>3094</v>
      </c>
      <c r="AD255" s="3" t="s">
        <v>492</v>
      </c>
      <c r="AE255" s="304" t="s">
        <v>676</v>
      </c>
      <c r="AF255" s="304" t="s">
        <v>1140</v>
      </c>
      <c r="AG255" s="304" t="s">
        <v>1057</v>
      </c>
      <c r="AH255" s="304" t="s">
        <v>500</v>
      </c>
    </row>
    <row r="256" spans="2:37" x14ac:dyDescent="0.25">
      <c r="B256" s="235">
        <v>45042</v>
      </c>
      <c r="C256" s="3">
        <v>3</v>
      </c>
      <c r="D256" s="148">
        <v>45043</v>
      </c>
      <c r="E256" s="156">
        <v>8341</v>
      </c>
      <c r="F256" s="3">
        <v>243</v>
      </c>
      <c r="G256" s="3">
        <v>7605</v>
      </c>
      <c r="H256" s="3" t="s">
        <v>58</v>
      </c>
      <c r="I256" s="3">
        <v>60</v>
      </c>
      <c r="J256" s="239">
        <v>6.9444444444444441E-3</v>
      </c>
      <c r="K256" s="239">
        <v>6.5972222222222224E-2</v>
      </c>
      <c r="L256" s="332">
        <f t="shared" si="30"/>
        <v>5.9027777777777776E-2</v>
      </c>
      <c r="M256" s="3" t="s">
        <v>67</v>
      </c>
      <c r="N256" s="304" t="s">
        <v>733</v>
      </c>
      <c r="O256" s="3">
        <v>3650</v>
      </c>
      <c r="Q256" s="3">
        <v>3650</v>
      </c>
      <c r="R256" s="149">
        <v>5069.3</v>
      </c>
      <c r="S256" s="269">
        <f t="shared" si="33"/>
        <v>1.6999999999998181</v>
      </c>
      <c r="T256" s="3">
        <f t="shared" si="32"/>
        <v>2147.0588235296414</v>
      </c>
      <c r="U256" s="149">
        <v>1.81</v>
      </c>
      <c r="X256" s="191" t="s">
        <v>506</v>
      </c>
      <c r="AA256" s="3">
        <v>1954</v>
      </c>
      <c r="AB256" s="3">
        <v>1695</v>
      </c>
      <c r="AC256" s="3">
        <v>3650</v>
      </c>
      <c r="AD256" s="233" t="s">
        <v>492</v>
      </c>
      <c r="AE256" s="233" t="s">
        <v>459</v>
      </c>
      <c r="AF256" s="233" t="s">
        <v>1151</v>
      </c>
      <c r="AG256" s="233" t="s">
        <v>1152</v>
      </c>
      <c r="AH256" s="233" t="s">
        <v>1153</v>
      </c>
    </row>
    <row r="257" spans="2:34" x14ac:dyDescent="0.25">
      <c r="B257" s="235">
        <v>45043</v>
      </c>
      <c r="C257" s="3">
        <v>1</v>
      </c>
      <c r="D257" s="236">
        <v>45043</v>
      </c>
      <c r="E257" s="156">
        <v>8342</v>
      </c>
      <c r="F257" s="3">
        <v>244</v>
      </c>
      <c r="G257" s="304">
        <v>7617</v>
      </c>
      <c r="H257" s="3" t="s">
        <v>58</v>
      </c>
      <c r="I257" s="3">
        <v>60</v>
      </c>
      <c r="J257" s="239">
        <v>0.3576388888888889</v>
      </c>
      <c r="K257" s="239">
        <v>0.4236111111111111</v>
      </c>
      <c r="L257" s="5">
        <f t="shared" si="30"/>
        <v>6.597222222222221E-2</v>
      </c>
      <c r="M257" s="233" t="s">
        <v>67</v>
      </c>
      <c r="N257" s="304" t="s">
        <v>733</v>
      </c>
      <c r="O257" s="3">
        <v>3532</v>
      </c>
      <c r="Q257" s="3">
        <f>3552-540</f>
        <v>3012</v>
      </c>
      <c r="R257" s="149">
        <v>5070.1000000000004</v>
      </c>
      <c r="S257" s="269">
        <f t="shared" si="33"/>
        <v>0.8000000000001819</v>
      </c>
      <c r="T257" s="233">
        <f t="shared" si="32"/>
        <v>3764.9999999991442</v>
      </c>
      <c r="U257" s="149">
        <v>1.78</v>
      </c>
      <c r="W257" s="152">
        <v>540</v>
      </c>
      <c r="X257" s="191" t="s">
        <v>506</v>
      </c>
      <c r="AA257" s="3">
        <v>1804</v>
      </c>
      <c r="AB257" s="3">
        <v>1727</v>
      </c>
      <c r="AC257" s="3">
        <v>3532</v>
      </c>
      <c r="AD257" s="3">
        <v>3532</v>
      </c>
      <c r="AE257" s="233" t="s">
        <v>6</v>
      </c>
      <c r="AF257" s="233" t="s">
        <v>919</v>
      </c>
      <c r="AG257" s="233" t="s">
        <v>906</v>
      </c>
      <c r="AH257" s="233" t="s">
        <v>144</v>
      </c>
    </row>
    <row r="258" spans="2:34" x14ac:dyDescent="0.25">
      <c r="B258" s="235">
        <v>45043</v>
      </c>
      <c r="C258" s="3">
        <v>2</v>
      </c>
      <c r="D258" s="236">
        <v>45044</v>
      </c>
      <c r="E258" s="156">
        <v>8343</v>
      </c>
      <c r="F258" s="3">
        <v>245</v>
      </c>
      <c r="G258" s="233">
        <v>7605</v>
      </c>
      <c r="H258" s="304" t="s">
        <v>58</v>
      </c>
      <c r="I258" s="304">
        <v>59</v>
      </c>
      <c r="J258" s="239">
        <v>0.65972222222222221</v>
      </c>
      <c r="K258" s="239">
        <v>0.73611111111111116</v>
      </c>
      <c r="L258" s="5">
        <f t="shared" si="30"/>
        <v>7.6388888888888951E-2</v>
      </c>
      <c r="M258" s="3" t="s">
        <v>73</v>
      </c>
      <c r="N258" s="304" t="s">
        <v>733</v>
      </c>
      <c r="O258" s="3">
        <v>3558</v>
      </c>
      <c r="Q258" s="3">
        <f>3558-902</f>
        <v>2656</v>
      </c>
      <c r="R258" s="149">
        <v>5072.0200000000004</v>
      </c>
      <c r="S258" s="269">
        <f t="shared" si="33"/>
        <v>1.9200000000000728</v>
      </c>
      <c r="T258" s="233">
        <f t="shared" si="32"/>
        <v>1383.333333333281</v>
      </c>
      <c r="U258" s="149">
        <v>1.95</v>
      </c>
      <c r="W258" s="152">
        <v>902</v>
      </c>
      <c r="X258" s="191" t="s">
        <v>506</v>
      </c>
      <c r="AA258" s="3">
        <v>1805</v>
      </c>
      <c r="AB258" s="3">
        <v>1750</v>
      </c>
      <c r="AC258" s="3">
        <v>3558</v>
      </c>
      <c r="AD258" s="233" t="s">
        <v>492</v>
      </c>
      <c r="AE258" s="304" t="s">
        <v>676</v>
      </c>
      <c r="AF258" s="304" t="s">
        <v>1057</v>
      </c>
      <c r="AG258" s="304" t="s">
        <v>500</v>
      </c>
      <c r="AH258" s="304" t="s">
        <v>709</v>
      </c>
    </row>
    <row r="259" spans="2:34" x14ac:dyDescent="0.25">
      <c r="B259" s="235">
        <v>45043</v>
      </c>
      <c r="C259" s="3">
        <v>2</v>
      </c>
      <c r="D259" s="236">
        <v>45044</v>
      </c>
      <c r="E259" s="156">
        <v>8344</v>
      </c>
      <c r="F259" s="3">
        <v>246</v>
      </c>
      <c r="G259" s="304">
        <v>7617</v>
      </c>
      <c r="H259" s="3" t="s">
        <v>66</v>
      </c>
      <c r="I259" s="3">
        <v>56</v>
      </c>
      <c r="J259" s="239">
        <v>0.77430555555555547</v>
      </c>
      <c r="K259" s="239">
        <v>0.83680555555555547</v>
      </c>
      <c r="L259" s="5">
        <f t="shared" si="30"/>
        <v>6.25E-2</v>
      </c>
      <c r="M259" s="233" t="s">
        <v>73</v>
      </c>
      <c r="N259" s="304" t="s">
        <v>733</v>
      </c>
      <c r="O259" s="3">
        <f>6988-3558</f>
        <v>3430</v>
      </c>
      <c r="Q259" s="3">
        <v>3430</v>
      </c>
      <c r="R259" s="149">
        <v>5073.45</v>
      </c>
      <c r="S259" s="269">
        <f t="shared" si="33"/>
        <v>1.4299999999993815</v>
      </c>
      <c r="T259" s="233">
        <f t="shared" si="32"/>
        <v>2398.6013986024359</v>
      </c>
      <c r="U259" s="149">
        <f>3.45-1.95</f>
        <v>1.5000000000000002</v>
      </c>
      <c r="X259" s="191" t="s">
        <v>506</v>
      </c>
      <c r="AA259" s="3">
        <f>3483-1805</f>
        <v>1678</v>
      </c>
      <c r="AB259" s="3">
        <f>3504-1750</f>
        <v>1754</v>
      </c>
      <c r="AC259" s="3">
        <f>6988-3558</f>
        <v>3430</v>
      </c>
      <c r="AD259" s="233" t="s">
        <v>492</v>
      </c>
      <c r="AE259" s="304" t="s">
        <v>676</v>
      </c>
      <c r="AF259" s="304" t="s">
        <v>1057</v>
      </c>
      <c r="AG259" s="304" t="s">
        <v>500</v>
      </c>
      <c r="AH259" s="304" t="s">
        <v>709</v>
      </c>
    </row>
    <row r="260" spans="2:34" x14ac:dyDescent="0.25">
      <c r="B260" s="235">
        <v>45043</v>
      </c>
      <c r="C260" s="3">
        <v>3</v>
      </c>
      <c r="D260" s="148">
        <v>45044</v>
      </c>
      <c r="E260" s="156">
        <v>8345</v>
      </c>
      <c r="F260" s="3">
        <v>247</v>
      </c>
      <c r="G260" s="304">
        <v>7625</v>
      </c>
      <c r="H260" s="3" t="s">
        <v>58</v>
      </c>
      <c r="I260" s="3">
        <v>60</v>
      </c>
      <c r="J260" s="239">
        <v>0.11805555555555557</v>
      </c>
      <c r="K260" s="239">
        <v>0.18055555555555555</v>
      </c>
      <c r="L260" s="5">
        <f t="shared" si="30"/>
        <v>6.2499999999999986E-2</v>
      </c>
      <c r="M260" s="3" t="s">
        <v>73</v>
      </c>
      <c r="N260" s="304" t="s">
        <v>733</v>
      </c>
      <c r="O260" s="3">
        <v>3583</v>
      </c>
      <c r="Q260" s="3">
        <v>3583</v>
      </c>
      <c r="R260" s="149">
        <v>5074.96</v>
      </c>
      <c r="S260" s="269">
        <f t="shared" si="33"/>
        <v>1.5100000000002183</v>
      </c>
      <c r="T260" s="233">
        <f t="shared" si="32"/>
        <v>2372.8476821188624</v>
      </c>
      <c r="U260" s="149">
        <v>1.83</v>
      </c>
      <c r="X260" s="191" t="s">
        <v>506</v>
      </c>
      <c r="AA260" s="3">
        <v>1903</v>
      </c>
      <c r="AB260" s="3">
        <v>1733</v>
      </c>
      <c r="AC260" s="3">
        <v>3637</v>
      </c>
      <c r="AD260" s="3" t="s">
        <v>492</v>
      </c>
      <c r="AE260" s="233" t="s">
        <v>459</v>
      </c>
      <c r="AF260" s="233" t="s">
        <v>1151</v>
      </c>
      <c r="AG260" s="233" t="s">
        <v>1152</v>
      </c>
      <c r="AH260" s="233" t="s">
        <v>1153</v>
      </c>
    </row>
    <row r="261" spans="2:34" x14ac:dyDescent="0.25">
      <c r="B261" s="235">
        <v>45044</v>
      </c>
      <c r="C261" s="3">
        <v>2</v>
      </c>
      <c r="D261" s="236">
        <v>45045</v>
      </c>
      <c r="E261" s="156">
        <v>8346</v>
      </c>
      <c r="F261" s="3">
        <v>248</v>
      </c>
      <c r="G261" s="233">
        <v>7605</v>
      </c>
      <c r="H261" s="233" t="s">
        <v>58</v>
      </c>
      <c r="I261" s="233">
        <v>58</v>
      </c>
      <c r="J261" s="239">
        <v>0.70138888888888884</v>
      </c>
      <c r="K261" s="239">
        <v>0.76736111111111116</v>
      </c>
      <c r="L261" s="5">
        <f t="shared" si="30"/>
        <v>6.5972222222222321E-2</v>
      </c>
      <c r="M261" s="233" t="s">
        <v>73</v>
      </c>
      <c r="N261" s="304" t="s">
        <v>733</v>
      </c>
      <c r="O261" s="3">
        <v>3427</v>
      </c>
      <c r="Q261" s="3">
        <v>3427</v>
      </c>
      <c r="R261" s="149">
        <v>5076.41</v>
      </c>
      <c r="S261" s="269">
        <f t="shared" si="33"/>
        <v>1.4499999999998181</v>
      </c>
      <c r="T261" s="233">
        <f t="shared" si="32"/>
        <v>2363.4482758623653</v>
      </c>
      <c r="U261" s="149">
        <v>1.52</v>
      </c>
      <c r="X261" s="191" t="s">
        <v>506</v>
      </c>
      <c r="AA261" s="3">
        <v>1747</v>
      </c>
      <c r="AB261" s="3">
        <v>1679</v>
      </c>
      <c r="AC261" s="3">
        <v>3427</v>
      </c>
      <c r="AD261" s="233" t="s">
        <v>492</v>
      </c>
      <c r="AE261" s="304" t="s">
        <v>676</v>
      </c>
      <c r="AF261" s="304" t="s">
        <v>1057</v>
      </c>
      <c r="AG261" s="304" t="s">
        <v>500</v>
      </c>
      <c r="AH261" s="304" t="s">
        <v>709</v>
      </c>
    </row>
    <row r="262" spans="2:34" x14ac:dyDescent="0.25">
      <c r="B262" s="235">
        <v>45044</v>
      </c>
      <c r="C262" s="3">
        <v>3</v>
      </c>
      <c r="D262" s="148">
        <v>45047</v>
      </c>
      <c r="E262" s="156">
        <v>8347</v>
      </c>
      <c r="F262" s="3">
        <v>249</v>
      </c>
      <c r="G262" s="3">
        <v>7605</v>
      </c>
      <c r="H262" s="3" t="s">
        <v>58</v>
      </c>
      <c r="I262" s="3">
        <v>60</v>
      </c>
      <c r="J262" s="239">
        <v>2.0833333333333332E-2</v>
      </c>
      <c r="K262" s="239">
        <v>8.3333333333333329E-2</v>
      </c>
      <c r="L262" s="5">
        <f t="shared" si="30"/>
        <v>6.25E-2</v>
      </c>
      <c r="M262" s="3" t="s">
        <v>73</v>
      </c>
      <c r="N262" s="304" t="s">
        <v>733</v>
      </c>
      <c r="O262" s="3">
        <v>3640</v>
      </c>
      <c r="Q262" s="3">
        <v>3640</v>
      </c>
      <c r="R262" s="149">
        <v>5078.2</v>
      </c>
      <c r="S262" s="269">
        <f t="shared" si="33"/>
        <v>1.7899999999999636</v>
      </c>
      <c r="T262" s="233">
        <f t="shared" si="32"/>
        <v>2033.5195530726671</v>
      </c>
      <c r="U262" s="149">
        <v>1.7</v>
      </c>
      <c r="X262" s="191" t="s">
        <v>506</v>
      </c>
      <c r="AA262" s="3">
        <v>1904</v>
      </c>
      <c r="AB262" s="3">
        <v>1702</v>
      </c>
      <c r="AC262" s="3">
        <v>3606</v>
      </c>
      <c r="AD262" s="3" t="s">
        <v>492</v>
      </c>
      <c r="AE262" s="233" t="s">
        <v>459</v>
      </c>
      <c r="AF262" s="233" t="s">
        <v>1151</v>
      </c>
      <c r="AG262" s="233" t="s">
        <v>1152</v>
      </c>
      <c r="AH262" s="233" t="s">
        <v>459</v>
      </c>
    </row>
    <row r="263" spans="2:34" x14ac:dyDescent="0.25">
      <c r="B263" s="235">
        <v>45048</v>
      </c>
      <c r="C263" s="3">
        <v>1</v>
      </c>
      <c r="D263" s="236">
        <v>45048</v>
      </c>
      <c r="E263" s="237">
        <v>8348</v>
      </c>
      <c r="F263" s="233">
        <v>250</v>
      </c>
      <c r="G263" s="304">
        <v>7617</v>
      </c>
      <c r="H263" s="3" t="s">
        <v>66</v>
      </c>
      <c r="I263" s="3">
        <v>54</v>
      </c>
      <c r="J263" s="239">
        <v>0.34027777777777773</v>
      </c>
      <c r="K263" s="239">
        <v>0.40625</v>
      </c>
      <c r="L263" s="5">
        <f t="shared" si="30"/>
        <v>6.5972222222222265E-2</v>
      </c>
      <c r="M263" s="233" t="s">
        <v>73</v>
      </c>
      <c r="N263" s="304" t="s">
        <v>733</v>
      </c>
      <c r="O263" s="3">
        <v>3110</v>
      </c>
      <c r="Q263" s="3">
        <v>3110</v>
      </c>
      <c r="R263" s="149">
        <v>5079.9799999999996</v>
      </c>
      <c r="S263" s="269">
        <f t="shared" si="33"/>
        <v>1.7799999999997453</v>
      </c>
      <c r="T263" s="233">
        <f t="shared" si="32"/>
        <v>1747.191011236205</v>
      </c>
      <c r="U263" s="149">
        <v>1.6</v>
      </c>
      <c r="X263" s="191" t="s">
        <v>506</v>
      </c>
      <c r="AA263" s="3">
        <v>1830</v>
      </c>
      <c r="AB263" s="3">
        <v>1279</v>
      </c>
      <c r="AC263" s="233">
        <v>3110</v>
      </c>
      <c r="AD263" s="233" t="s">
        <v>492</v>
      </c>
      <c r="AE263" s="3" t="s">
        <v>703</v>
      </c>
      <c r="AF263" s="3" t="s">
        <v>1161</v>
      </c>
      <c r="AG263" s="3" t="s">
        <v>709</v>
      </c>
      <c r="AH263" s="3" t="s">
        <v>1162</v>
      </c>
    </row>
    <row r="264" spans="2:34" x14ac:dyDescent="0.25">
      <c r="B264" s="235">
        <v>45048</v>
      </c>
      <c r="C264" s="3">
        <v>1</v>
      </c>
      <c r="D264" s="148">
        <v>45048</v>
      </c>
      <c r="E264" s="156">
        <v>8349</v>
      </c>
      <c r="F264" s="3">
        <v>251</v>
      </c>
      <c r="G264" s="3">
        <v>7625</v>
      </c>
      <c r="H264" s="3" t="s">
        <v>58</v>
      </c>
      <c r="I264" s="3">
        <v>60</v>
      </c>
      <c r="J264" s="239">
        <v>0.47222222222222227</v>
      </c>
      <c r="K264" s="239">
        <v>0.53819444444444442</v>
      </c>
      <c r="L264" s="5">
        <f t="shared" ref="L264:L282" si="34">+K264-J264</f>
        <v>6.5972222222222154E-2</v>
      </c>
      <c r="M264" s="3" t="s">
        <v>73</v>
      </c>
      <c r="N264" s="3" t="s">
        <v>733</v>
      </c>
      <c r="O264" s="3">
        <v>3460</v>
      </c>
      <c r="Q264" s="3">
        <v>3460</v>
      </c>
      <c r="R264" s="149">
        <v>5081.7700000000004</v>
      </c>
      <c r="S264" s="269">
        <f t="shared" si="33"/>
        <v>1.7900000000008731</v>
      </c>
      <c r="T264" s="233">
        <f t="shared" si="32"/>
        <v>1932.9608938538058</v>
      </c>
      <c r="U264" s="149">
        <v>1.61</v>
      </c>
      <c r="X264" s="191" t="s">
        <v>506</v>
      </c>
      <c r="AA264" s="3">
        <v>1830</v>
      </c>
      <c r="AB264" s="3">
        <v>1630</v>
      </c>
      <c r="AC264" s="233">
        <v>3460</v>
      </c>
      <c r="AD264" s="233" t="s">
        <v>492</v>
      </c>
      <c r="AE264" s="233" t="s">
        <v>703</v>
      </c>
      <c r="AF264" s="233" t="s">
        <v>1161</v>
      </c>
      <c r="AG264" s="233" t="s">
        <v>709</v>
      </c>
      <c r="AH264" s="233" t="s">
        <v>1162</v>
      </c>
    </row>
    <row r="265" spans="2:34" x14ac:dyDescent="0.25">
      <c r="B265" s="235">
        <v>45048</v>
      </c>
      <c r="C265" s="3">
        <v>2</v>
      </c>
      <c r="D265" s="148">
        <v>45049</v>
      </c>
      <c r="E265" s="156">
        <v>8350</v>
      </c>
      <c r="F265" s="3">
        <v>252</v>
      </c>
      <c r="G265" s="3">
        <v>7605</v>
      </c>
      <c r="H265" s="3" t="s">
        <v>58</v>
      </c>
      <c r="I265" s="3">
        <v>59</v>
      </c>
      <c r="J265" s="239">
        <v>0.69097222222222221</v>
      </c>
      <c r="K265" s="239">
        <v>0.75</v>
      </c>
      <c r="L265" s="5">
        <f t="shared" si="34"/>
        <v>5.902777777777779E-2</v>
      </c>
      <c r="M265" s="3" t="s">
        <v>73</v>
      </c>
      <c r="N265" s="233" t="s">
        <v>733</v>
      </c>
      <c r="O265" s="3">
        <v>3463</v>
      </c>
      <c r="Q265" s="3">
        <v>3463</v>
      </c>
      <c r="R265" s="149">
        <v>5082.47</v>
      </c>
      <c r="S265" s="269">
        <f t="shared" si="33"/>
        <v>0.6999999999998181</v>
      </c>
      <c r="T265" s="233">
        <f t="shared" si="32"/>
        <v>4947.1428571441429</v>
      </c>
      <c r="U265" s="149">
        <v>1.59</v>
      </c>
      <c r="X265" s="191" t="s">
        <v>506</v>
      </c>
      <c r="AA265" s="3">
        <v>1796</v>
      </c>
      <c r="AB265" s="3">
        <v>1666</v>
      </c>
      <c r="AC265" s="3">
        <v>3462</v>
      </c>
      <c r="AD265" s="233" t="s">
        <v>492</v>
      </c>
      <c r="AE265" s="233" t="s">
        <v>459</v>
      </c>
      <c r="AF265" s="3" t="s">
        <v>474</v>
      </c>
      <c r="AG265" s="3" t="s">
        <v>1164</v>
      </c>
      <c r="AH265" s="3" t="s">
        <v>1165</v>
      </c>
    </row>
    <row r="266" spans="2:34" x14ac:dyDescent="0.25">
      <c r="B266" s="235">
        <v>45048</v>
      </c>
      <c r="C266" s="3">
        <v>3</v>
      </c>
      <c r="D266" s="236">
        <v>45049</v>
      </c>
      <c r="E266" s="237">
        <v>8351</v>
      </c>
      <c r="F266" s="3">
        <v>14</v>
      </c>
      <c r="G266" s="3">
        <v>7619</v>
      </c>
      <c r="H266" s="3" t="s">
        <v>66</v>
      </c>
      <c r="I266" s="3">
        <v>58</v>
      </c>
      <c r="J266" s="239">
        <v>0.1111111111111111</v>
      </c>
      <c r="K266" s="239">
        <v>0.18055555555555555</v>
      </c>
      <c r="L266" s="5">
        <f t="shared" si="34"/>
        <v>6.9444444444444448E-2</v>
      </c>
      <c r="M266" s="3" t="s">
        <v>59</v>
      </c>
      <c r="N266" s="3" t="s">
        <v>737</v>
      </c>
      <c r="O266" s="3">
        <v>3370</v>
      </c>
      <c r="Q266" s="3">
        <v>2870</v>
      </c>
      <c r="R266" s="149">
        <v>5084.18</v>
      </c>
      <c r="S266" s="269">
        <f t="shared" si="33"/>
        <v>1.7100000000000364</v>
      </c>
      <c r="T266" s="233">
        <f t="shared" si="32"/>
        <v>1678.3625730993795</v>
      </c>
      <c r="U266" s="149">
        <v>2.19</v>
      </c>
      <c r="W266" s="152">
        <v>500</v>
      </c>
      <c r="X266" s="191" t="s">
        <v>507</v>
      </c>
      <c r="AA266" s="3" t="s">
        <v>492</v>
      </c>
      <c r="AB266" s="3" t="s">
        <v>492</v>
      </c>
      <c r="AC266" s="233" t="s">
        <v>492</v>
      </c>
      <c r="AD266" s="233" t="s">
        <v>492</v>
      </c>
      <c r="AE266" s="3" t="s">
        <v>1</v>
      </c>
      <c r="AF266" s="3" t="s">
        <v>451</v>
      </c>
      <c r="AG266" s="3" t="s">
        <v>193</v>
      </c>
      <c r="AH266" s="3" t="s">
        <v>816</v>
      </c>
    </row>
    <row r="267" spans="2:34" x14ac:dyDescent="0.25">
      <c r="B267" s="235">
        <v>45049</v>
      </c>
      <c r="C267" s="3">
        <v>1</v>
      </c>
      <c r="D267" s="148">
        <v>45049</v>
      </c>
      <c r="E267" s="156">
        <v>8352</v>
      </c>
      <c r="F267" s="3">
        <v>253</v>
      </c>
      <c r="G267" s="3">
        <v>7625</v>
      </c>
      <c r="H267" s="3" t="s">
        <v>58</v>
      </c>
      <c r="I267" s="3">
        <v>57</v>
      </c>
      <c r="J267" s="239">
        <v>0.39930555555555558</v>
      </c>
      <c r="K267" s="239">
        <v>0.46180555555555558</v>
      </c>
      <c r="L267" s="5">
        <f t="shared" si="34"/>
        <v>6.25E-2</v>
      </c>
      <c r="M267" s="3" t="s">
        <v>73</v>
      </c>
      <c r="N267" s="3" t="s">
        <v>733</v>
      </c>
      <c r="O267" s="3">
        <v>3615</v>
      </c>
      <c r="Q267" s="3">
        <v>3615</v>
      </c>
      <c r="R267" s="149">
        <v>5085.53</v>
      </c>
      <c r="S267" s="269">
        <f t="shared" si="33"/>
        <v>1.3499999999994543</v>
      </c>
      <c r="T267" s="233">
        <f t="shared" si="32"/>
        <v>2677.7777777788601</v>
      </c>
      <c r="U267" s="149">
        <v>1.5</v>
      </c>
      <c r="X267" s="191" t="s">
        <v>506</v>
      </c>
      <c r="AA267" s="3">
        <v>2002</v>
      </c>
      <c r="AB267" s="3">
        <v>1612</v>
      </c>
      <c r="AC267" s="3">
        <v>3615</v>
      </c>
      <c r="AD267" s="3" t="s">
        <v>492</v>
      </c>
      <c r="AE267" s="3" t="s">
        <v>459</v>
      </c>
      <c r="AF267" s="3" t="s">
        <v>179</v>
      </c>
      <c r="AG267" s="3" t="s">
        <v>709</v>
      </c>
      <c r="AH267" s="3" t="s">
        <v>1171</v>
      </c>
    </row>
    <row r="268" spans="2:34" x14ac:dyDescent="0.25">
      <c r="B268" s="235">
        <v>45049</v>
      </c>
      <c r="C268" s="3">
        <v>2</v>
      </c>
      <c r="D268" s="148">
        <v>45050</v>
      </c>
      <c r="E268" s="156">
        <v>8353</v>
      </c>
      <c r="F268" s="3">
        <v>254</v>
      </c>
      <c r="G268" s="3">
        <v>7605</v>
      </c>
      <c r="H268" s="3" t="s">
        <v>58</v>
      </c>
      <c r="I268" s="3">
        <v>60</v>
      </c>
      <c r="J268" s="239">
        <v>0.69444444444444453</v>
      </c>
      <c r="K268" s="239">
        <v>0.75694444444444453</v>
      </c>
      <c r="L268" s="5">
        <f t="shared" si="34"/>
        <v>6.25E-2</v>
      </c>
      <c r="M268" s="3" t="s">
        <v>73</v>
      </c>
      <c r="N268" s="233" t="s">
        <v>733</v>
      </c>
      <c r="O268" s="3">
        <v>3370</v>
      </c>
      <c r="Q268" s="3">
        <v>3370</v>
      </c>
      <c r="R268" s="149">
        <v>5087.09</v>
      </c>
      <c r="S268" s="269">
        <f t="shared" si="33"/>
        <v>1.5600000000004002</v>
      </c>
      <c r="T268" s="233">
        <f t="shared" si="32"/>
        <v>2160.2564102558563</v>
      </c>
      <c r="U268" s="149">
        <v>1.75</v>
      </c>
      <c r="X268" s="191" t="s">
        <v>506</v>
      </c>
      <c r="AA268" s="3">
        <v>1947</v>
      </c>
      <c r="AB268" s="3">
        <v>1725</v>
      </c>
      <c r="AC268" s="3">
        <v>3672</v>
      </c>
      <c r="AD268" s="233" t="s">
        <v>492</v>
      </c>
      <c r="AE268" s="233" t="s">
        <v>926</v>
      </c>
      <c r="AF268" s="233" t="s">
        <v>1165</v>
      </c>
      <c r="AG268" s="233" t="s">
        <v>474</v>
      </c>
      <c r="AH268" s="233" t="s">
        <v>1164</v>
      </c>
    </row>
    <row r="269" spans="2:34" x14ac:dyDescent="0.25">
      <c r="B269" s="235">
        <v>45049</v>
      </c>
      <c r="C269" s="3">
        <v>3</v>
      </c>
      <c r="D269" s="236">
        <v>45050</v>
      </c>
      <c r="E269" s="156">
        <v>8354</v>
      </c>
      <c r="F269" s="233">
        <v>255</v>
      </c>
      <c r="G269" s="3">
        <v>7617</v>
      </c>
      <c r="H269" s="3" t="s">
        <v>58</v>
      </c>
      <c r="I269" s="3">
        <v>58</v>
      </c>
      <c r="J269" s="239">
        <v>7.6388888888888895E-2</v>
      </c>
      <c r="K269" s="239">
        <v>0.1388888888888889</v>
      </c>
      <c r="L269" s="5">
        <f t="shared" si="34"/>
        <v>6.25E-2</v>
      </c>
      <c r="M269" s="233" t="s">
        <v>73</v>
      </c>
      <c r="N269" s="233" t="s">
        <v>733</v>
      </c>
      <c r="O269" s="3">
        <v>3360</v>
      </c>
      <c r="Q269" s="3">
        <v>3360</v>
      </c>
      <c r="R269" s="149">
        <v>5088.4399999999996</v>
      </c>
      <c r="S269" s="269">
        <f>R269-R268</f>
        <v>1.3499999999994543</v>
      </c>
      <c r="T269" s="233">
        <f>Q269/S269</f>
        <v>2488.888888889895</v>
      </c>
      <c r="U269" s="149">
        <v>1.58</v>
      </c>
      <c r="X269" s="191" t="s">
        <v>506</v>
      </c>
      <c r="AA269" s="3">
        <v>1873</v>
      </c>
      <c r="AB269" s="3">
        <v>1731</v>
      </c>
      <c r="AC269" s="3">
        <v>3605</v>
      </c>
      <c r="AD269" s="233" t="s">
        <v>492</v>
      </c>
      <c r="AE269" s="3" t="s">
        <v>1</v>
      </c>
      <c r="AF269" s="3" t="s">
        <v>451</v>
      </c>
      <c r="AG269" s="3" t="s">
        <v>193</v>
      </c>
      <c r="AH269" s="3" t="s">
        <v>816</v>
      </c>
    </row>
    <row r="270" spans="2:34" x14ac:dyDescent="0.25">
      <c r="B270" s="235">
        <v>45050</v>
      </c>
      <c r="C270" s="3">
        <v>1</v>
      </c>
      <c r="D270" s="236">
        <v>45050</v>
      </c>
      <c r="E270" s="156">
        <v>8355</v>
      </c>
      <c r="F270" s="3">
        <v>256</v>
      </c>
      <c r="G270" s="233">
        <v>7625</v>
      </c>
      <c r="H270" s="233" t="s">
        <v>58</v>
      </c>
      <c r="I270" s="3">
        <v>60</v>
      </c>
      <c r="J270" s="239">
        <v>0.39583333333333331</v>
      </c>
      <c r="K270" s="239">
        <v>0.46527777777777773</v>
      </c>
      <c r="L270" s="5">
        <f t="shared" si="34"/>
        <v>6.944444444444442E-2</v>
      </c>
      <c r="M270" s="233" t="s">
        <v>73</v>
      </c>
      <c r="N270" s="233" t="s">
        <v>733</v>
      </c>
      <c r="O270" s="3">
        <v>3600</v>
      </c>
      <c r="Q270" s="3">
        <v>3600</v>
      </c>
      <c r="R270" s="149">
        <v>5090.1499999999996</v>
      </c>
      <c r="S270" s="269">
        <f>R270-R269</f>
        <v>1.7100000000000364</v>
      </c>
      <c r="T270" s="3">
        <f>Q270/S270</f>
        <v>2105.2631578946921</v>
      </c>
      <c r="U270" s="149">
        <v>1.67</v>
      </c>
      <c r="X270" s="191" t="s">
        <v>506</v>
      </c>
      <c r="AA270" s="3">
        <v>1872</v>
      </c>
      <c r="AB270" s="3">
        <v>1727</v>
      </c>
      <c r="AC270" s="3">
        <v>3600</v>
      </c>
      <c r="AD270" s="233" t="s">
        <v>492</v>
      </c>
      <c r="AE270" s="233" t="s">
        <v>459</v>
      </c>
      <c r="AF270" s="233" t="s">
        <v>179</v>
      </c>
      <c r="AG270" s="233" t="s">
        <v>709</v>
      </c>
      <c r="AH270" s="3" t="s">
        <v>1173</v>
      </c>
    </row>
    <row r="271" spans="2:34" x14ac:dyDescent="0.25">
      <c r="B271" s="235">
        <v>45050</v>
      </c>
      <c r="C271" s="3">
        <v>2</v>
      </c>
      <c r="D271" s="148">
        <v>45051</v>
      </c>
      <c r="E271" s="156">
        <v>8356</v>
      </c>
      <c r="F271" s="3">
        <v>15</v>
      </c>
      <c r="G271" s="3">
        <v>7605</v>
      </c>
      <c r="H271" s="233">
        <v>7617</v>
      </c>
      <c r="I271" s="3">
        <v>59</v>
      </c>
      <c r="J271" s="239">
        <v>0.77777777777777779</v>
      </c>
      <c r="K271" s="239">
        <v>0.85416666666666663</v>
      </c>
      <c r="L271" s="5">
        <f t="shared" si="34"/>
        <v>7.638888888888884E-2</v>
      </c>
      <c r="M271" s="3" t="s">
        <v>59</v>
      </c>
      <c r="N271" s="233" t="s">
        <v>738</v>
      </c>
      <c r="O271" s="3">
        <v>3412</v>
      </c>
      <c r="Q271" s="3">
        <v>3412</v>
      </c>
      <c r="R271" s="149">
        <v>5092.04</v>
      </c>
      <c r="S271" s="269">
        <f t="shared" ref="S271:S280" si="35">R271-R270</f>
        <v>1.8900000000003274</v>
      </c>
      <c r="T271" s="233">
        <f>Q271/S271</f>
        <v>1805.2910052906925</v>
      </c>
      <c r="U271" s="149">
        <v>1.97</v>
      </c>
      <c r="X271" s="191" t="s">
        <v>507</v>
      </c>
      <c r="AA271" s="3">
        <v>1736</v>
      </c>
      <c r="AB271" s="3">
        <v>1674</v>
      </c>
      <c r="AC271" s="3">
        <v>3411</v>
      </c>
      <c r="AD271" s="3">
        <v>3412</v>
      </c>
      <c r="AE271" s="3" t="s">
        <v>7</v>
      </c>
      <c r="AF271" s="233" t="s">
        <v>474</v>
      </c>
      <c r="AG271" s="233" t="s">
        <v>1165</v>
      </c>
      <c r="AH271" s="233" t="s">
        <v>1042</v>
      </c>
    </row>
    <row r="272" spans="2:34" x14ac:dyDescent="0.25">
      <c r="B272" s="235">
        <v>45050</v>
      </c>
      <c r="C272" s="3">
        <v>3</v>
      </c>
      <c r="D272" s="236">
        <v>45051</v>
      </c>
      <c r="E272" s="156">
        <v>8357</v>
      </c>
      <c r="F272" s="3">
        <v>257</v>
      </c>
      <c r="G272" s="233">
        <v>7617</v>
      </c>
      <c r="H272" s="3" t="s">
        <v>58</v>
      </c>
      <c r="I272" s="3">
        <v>60</v>
      </c>
      <c r="J272" s="239">
        <v>6.9444444444444441E-3</v>
      </c>
      <c r="K272" s="239">
        <v>7.2916666666666671E-2</v>
      </c>
      <c r="L272" s="5">
        <f t="shared" si="34"/>
        <v>6.5972222222222224E-2</v>
      </c>
      <c r="M272" s="233" t="s">
        <v>73</v>
      </c>
      <c r="N272" s="233" t="s">
        <v>733</v>
      </c>
      <c r="O272" s="3">
        <v>3410</v>
      </c>
      <c r="Q272" s="3">
        <v>3410</v>
      </c>
      <c r="R272" s="149">
        <v>5093.62</v>
      </c>
      <c r="S272" s="269">
        <f t="shared" si="35"/>
        <v>1.5799999999999272</v>
      </c>
      <c r="T272" s="233">
        <f t="shared" ref="T272:T280" si="36">Q272/S272</f>
        <v>2158.227848101365</v>
      </c>
      <c r="U272" s="149">
        <v>1.69</v>
      </c>
      <c r="X272" s="191" t="s">
        <v>1175</v>
      </c>
      <c r="AA272" s="3">
        <v>1767</v>
      </c>
      <c r="AB272" s="3">
        <v>1691</v>
      </c>
      <c r="AC272" s="3">
        <v>3459</v>
      </c>
      <c r="AD272" s="3">
        <v>3410</v>
      </c>
      <c r="AE272" s="233" t="s">
        <v>1</v>
      </c>
      <c r="AF272" s="233" t="s">
        <v>451</v>
      </c>
      <c r="AG272" s="233" t="s">
        <v>193</v>
      </c>
      <c r="AH272" s="233" t="s">
        <v>816</v>
      </c>
    </row>
    <row r="273" spans="2:34" x14ac:dyDescent="0.25">
      <c r="B273" s="235">
        <v>45051</v>
      </c>
      <c r="C273" s="3">
        <v>1</v>
      </c>
      <c r="D273" s="236">
        <v>45051</v>
      </c>
      <c r="E273" s="156">
        <v>8358</v>
      </c>
      <c r="F273" s="3">
        <v>258</v>
      </c>
      <c r="G273" s="233">
        <v>7625</v>
      </c>
      <c r="H273" s="3" t="s">
        <v>66</v>
      </c>
      <c r="I273" s="3">
        <v>58</v>
      </c>
      <c r="J273" s="239">
        <v>0.37152777777777773</v>
      </c>
      <c r="K273" s="239">
        <v>0.44444444444444442</v>
      </c>
      <c r="L273" s="5">
        <f t="shared" si="34"/>
        <v>7.2916666666666685E-2</v>
      </c>
      <c r="M273" s="233" t="s">
        <v>73</v>
      </c>
      <c r="N273" s="233" t="s">
        <v>733</v>
      </c>
      <c r="O273" s="3">
        <v>3400</v>
      </c>
      <c r="Q273" s="3">
        <v>3400</v>
      </c>
      <c r="R273" s="149">
        <v>5095.37</v>
      </c>
      <c r="S273" s="269">
        <f t="shared" si="35"/>
        <v>1.75</v>
      </c>
      <c r="T273" s="233">
        <f t="shared" si="36"/>
        <v>1942.8571428571429</v>
      </c>
      <c r="U273" s="149">
        <v>1.88</v>
      </c>
      <c r="X273" s="191" t="s">
        <v>506</v>
      </c>
      <c r="AA273" s="3">
        <v>1873</v>
      </c>
      <c r="AB273" s="3">
        <v>1719</v>
      </c>
      <c r="AC273" s="3">
        <v>3592</v>
      </c>
      <c r="AD273" s="3">
        <v>3400</v>
      </c>
      <c r="AE273" s="3" t="s">
        <v>459</v>
      </c>
      <c r="AF273" s="3" t="s">
        <v>196</v>
      </c>
      <c r="AG273" s="3" t="s">
        <v>709</v>
      </c>
      <c r="AH273" s="3" t="s">
        <v>1176</v>
      </c>
    </row>
    <row r="274" spans="2:34" x14ac:dyDescent="0.25">
      <c r="B274" s="235">
        <v>45051</v>
      </c>
      <c r="C274" s="3">
        <v>2</v>
      </c>
      <c r="D274" s="148">
        <v>45052</v>
      </c>
      <c r="E274" s="156">
        <v>8359</v>
      </c>
      <c r="F274" s="3">
        <v>259</v>
      </c>
      <c r="G274" s="3">
        <v>7605</v>
      </c>
      <c r="H274" s="3" t="s">
        <v>58</v>
      </c>
      <c r="I274" s="3">
        <v>60</v>
      </c>
      <c r="J274" s="239">
        <v>0.67361111111111116</v>
      </c>
      <c r="K274" s="239">
        <v>0.75</v>
      </c>
      <c r="L274" s="5">
        <f t="shared" si="34"/>
        <v>7.638888888888884E-2</v>
      </c>
      <c r="M274" s="3" t="s">
        <v>73</v>
      </c>
      <c r="N274" s="233" t="s">
        <v>735</v>
      </c>
      <c r="O274" s="3">
        <v>3400</v>
      </c>
      <c r="Q274" s="3">
        <v>3400</v>
      </c>
      <c r="R274" s="149">
        <v>5097.2</v>
      </c>
      <c r="S274" s="269">
        <f t="shared" si="35"/>
        <v>1.8299999999999272</v>
      </c>
      <c r="T274" s="233">
        <f t="shared" si="36"/>
        <v>1857.9234972678335</v>
      </c>
      <c r="U274" s="149">
        <v>1.9</v>
      </c>
      <c r="X274" s="191" t="s">
        <v>506</v>
      </c>
      <c r="AA274" s="3">
        <v>1819</v>
      </c>
      <c r="AB274" s="3">
        <v>1696</v>
      </c>
      <c r="AC274" s="3">
        <v>3516</v>
      </c>
      <c r="AD274" s="3">
        <v>3400</v>
      </c>
      <c r="AE274" s="233" t="s">
        <v>7</v>
      </c>
      <c r="AF274" s="233" t="s">
        <v>1152</v>
      </c>
      <c r="AG274" s="233" t="s">
        <v>1165</v>
      </c>
      <c r="AH274" s="3" t="s">
        <v>451</v>
      </c>
    </row>
    <row r="275" spans="2:34" x14ac:dyDescent="0.25">
      <c r="B275" s="235">
        <v>45054</v>
      </c>
      <c r="C275" s="3">
        <v>1</v>
      </c>
      <c r="D275" s="148">
        <v>45054</v>
      </c>
      <c r="E275" s="156">
        <v>8360</v>
      </c>
      <c r="F275" s="3">
        <v>260</v>
      </c>
      <c r="G275" s="233">
        <v>7617</v>
      </c>
      <c r="H275" s="3" t="s">
        <v>58</v>
      </c>
      <c r="I275" s="3">
        <v>59</v>
      </c>
      <c r="J275" s="239">
        <v>0.375</v>
      </c>
      <c r="K275" s="239">
        <v>0.4375</v>
      </c>
      <c r="L275" s="5">
        <f t="shared" si="34"/>
        <v>6.25E-2</v>
      </c>
      <c r="M275" s="3" t="s">
        <v>73</v>
      </c>
      <c r="N275" s="3" t="s">
        <v>735</v>
      </c>
      <c r="O275" s="3">
        <v>3400</v>
      </c>
      <c r="Q275" s="3">
        <v>3400</v>
      </c>
      <c r="R275" s="149">
        <v>5098.8599999999997</v>
      </c>
      <c r="S275" s="269">
        <f t="shared" si="35"/>
        <v>1.6599999999998545</v>
      </c>
      <c r="T275" s="233">
        <f t="shared" si="36"/>
        <v>2048.1927710845171</v>
      </c>
      <c r="U275" s="149">
        <v>1.85</v>
      </c>
      <c r="X275" s="191" t="s">
        <v>506</v>
      </c>
      <c r="AA275" s="3">
        <v>1869</v>
      </c>
      <c r="AB275" s="3">
        <v>1695</v>
      </c>
      <c r="AC275" s="3">
        <v>3564</v>
      </c>
      <c r="AD275" s="3">
        <v>3400</v>
      </c>
      <c r="AE275" s="3" t="s">
        <v>459</v>
      </c>
      <c r="AF275" s="3" t="s">
        <v>461</v>
      </c>
      <c r="AG275" s="3" t="s">
        <v>771</v>
      </c>
      <c r="AH275" s="3" t="s">
        <v>1178</v>
      </c>
    </row>
    <row r="276" spans="2:34" x14ac:dyDescent="0.25">
      <c r="B276" s="235">
        <v>45054</v>
      </c>
      <c r="C276" s="3">
        <v>2</v>
      </c>
      <c r="D276" s="236">
        <v>45054</v>
      </c>
      <c r="E276" s="156">
        <v>8361</v>
      </c>
      <c r="F276" s="3">
        <v>261</v>
      </c>
      <c r="G276" s="3">
        <v>7625</v>
      </c>
      <c r="H276" s="3" t="s">
        <v>58</v>
      </c>
      <c r="I276" s="3">
        <v>59</v>
      </c>
      <c r="J276" s="239">
        <v>0.68402777777777779</v>
      </c>
      <c r="K276" s="239">
        <v>0.75694444444444453</v>
      </c>
      <c r="L276" s="5">
        <f t="shared" si="34"/>
        <v>7.2916666666666741E-2</v>
      </c>
      <c r="M276" s="3" t="s">
        <v>73</v>
      </c>
      <c r="N276" s="3" t="s">
        <v>735</v>
      </c>
      <c r="O276" s="3">
        <v>3400</v>
      </c>
      <c r="Q276" s="3">
        <v>3400</v>
      </c>
      <c r="R276" s="149">
        <v>5100.53</v>
      </c>
      <c r="S276" s="269">
        <f t="shared" si="35"/>
        <v>1.6700000000000728</v>
      </c>
      <c r="T276" s="233">
        <f t="shared" si="36"/>
        <v>2035.9281437124862</v>
      </c>
      <c r="U276" s="149">
        <v>1.88</v>
      </c>
      <c r="X276" s="191" t="s">
        <v>506</v>
      </c>
      <c r="AA276" s="3">
        <v>1864</v>
      </c>
      <c r="AB276" s="3">
        <v>1660</v>
      </c>
      <c r="AC276" s="233">
        <v>3524</v>
      </c>
      <c r="AD276" s="3">
        <v>3400</v>
      </c>
      <c r="AE276" s="3" t="s">
        <v>6</v>
      </c>
      <c r="AF276" s="3" t="s">
        <v>919</v>
      </c>
      <c r="AG276" s="3" t="s">
        <v>1181</v>
      </c>
      <c r="AH276" s="233" t="s">
        <v>221</v>
      </c>
    </row>
    <row r="277" spans="2:34" x14ac:dyDescent="0.25">
      <c r="B277" s="235">
        <v>45054</v>
      </c>
      <c r="C277" s="3">
        <v>3</v>
      </c>
      <c r="D277" s="236">
        <v>45055</v>
      </c>
      <c r="E277" s="156">
        <v>8362</v>
      </c>
      <c r="F277" s="3">
        <v>262</v>
      </c>
      <c r="G277" s="233">
        <v>7605</v>
      </c>
      <c r="H277" s="3" t="s">
        <v>66</v>
      </c>
      <c r="I277" s="3">
        <v>57</v>
      </c>
      <c r="J277" s="239">
        <v>2.7777777777777776E-2</v>
      </c>
      <c r="K277" s="239">
        <v>9.0277777777777776E-2</v>
      </c>
      <c r="L277" s="5">
        <f t="shared" si="34"/>
        <v>6.25E-2</v>
      </c>
      <c r="M277" s="233" t="s">
        <v>73</v>
      </c>
      <c r="N277" s="233" t="s">
        <v>735</v>
      </c>
      <c r="O277" s="3">
        <v>3730</v>
      </c>
      <c r="Q277" s="3">
        <v>3730</v>
      </c>
      <c r="R277" s="149">
        <v>5101.88</v>
      </c>
      <c r="S277" s="269">
        <f t="shared" si="35"/>
        <v>1.3500000000003638</v>
      </c>
      <c r="T277" s="233">
        <f t="shared" si="36"/>
        <v>2762.9629629622186</v>
      </c>
      <c r="U277" s="149">
        <v>1.59</v>
      </c>
      <c r="X277" s="191" t="s">
        <v>506</v>
      </c>
      <c r="AA277" s="3">
        <v>2077</v>
      </c>
      <c r="AB277" s="3">
        <v>1653</v>
      </c>
      <c r="AC277" s="3">
        <v>3730</v>
      </c>
      <c r="AD277" s="233" t="s">
        <v>492</v>
      </c>
      <c r="AE277" s="3" t="s">
        <v>199</v>
      </c>
      <c r="AF277" s="3" t="s">
        <v>1140</v>
      </c>
      <c r="AG277" s="3" t="s">
        <v>903</v>
      </c>
      <c r="AH277" s="3" t="s">
        <v>1103</v>
      </c>
    </row>
    <row r="278" spans="2:34" x14ac:dyDescent="0.25">
      <c r="B278" s="235">
        <v>45055</v>
      </c>
      <c r="C278" s="3">
        <v>1</v>
      </c>
      <c r="D278" s="236">
        <v>45055</v>
      </c>
      <c r="E278" s="237">
        <v>8363</v>
      </c>
      <c r="F278" s="233">
        <v>263</v>
      </c>
      <c r="G278" s="3">
        <v>7625</v>
      </c>
      <c r="H278" s="3" t="s">
        <v>58</v>
      </c>
      <c r="I278" s="3">
        <v>57</v>
      </c>
      <c r="J278" s="239">
        <v>0.3888888888888889</v>
      </c>
      <c r="K278" s="239">
        <v>0.45833333333333331</v>
      </c>
      <c r="L278" s="5">
        <f t="shared" si="34"/>
        <v>6.944444444444442E-2</v>
      </c>
      <c r="M278" s="3" t="s">
        <v>73</v>
      </c>
      <c r="N278" s="233" t="s">
        <v>735</v>
      </c>
      <c r="O278" s="3">
        <v>3280</v>
      </c>
      <c r="Q278" s="3">
        <v>3280</v>
      </c>
      <c r="R278" s="149">
        <v>5103.5</v>
      </c>
      <c r="S278" s="269">
        <f t="shared" si="35"/>
        <v>1.6199999999998909</v>
      </c>
      <c r="T278" s="233">
        <f t="shared" si="36"/>
        <v>2024.6913580248277</v>
      </c>
      <c r="U278" s="149">
        <v>1.69</v>
      </c>
      <c r="X278" s="191" t="s">
        <v>506</v>
      </c>
      <c r="AA278" s="3">
        <v>1818</v>
      </c>
      <c r="AB278" s="3">
        <v>1563</v>
      </c>
      <c r="AC278" s="3">
        <v>3382</v>
      </c>
      <c r="AD278" s="3">
        <v>3280</v>
      </c>
      <c r="AE278" s="3" t="s">
        <v>476</v>
      </c>
      <c r="AF278" s="3" t="s">
        <v>461</v>
      </c>
      <c r="AG278" s="3" t="s">
        <v>771</v>
      </c>
      <c r="AH278" s="3" t="s">
        <v>1185</v>
      </c>
    </row>
    <row r="279" spans="2:34" x14ac:dyDescent="0.25">
      <c r="B279" s="235">
        <v>45055</v>
      </c>
      <c r="C279" s="3">
        <v>2</v>
      </c>
      <c r="D279" s="148">
        <v>45056</v>
      </c>
      <c r="E279" s="156">
        <v>8364</v>
      </c>
      <c r="F279" s="3">
        <v>264</v>
      </c>
      <c r="G279" s="344">
        <v>7605</v>
      </c>
      <c r="H279" s="3" t="s">
        <v>58</v>
      </c>
      <c r="I279" s="3">
        <v>58</v>
      </c>
      <c r="J279" s="239">
        <v>0.67361111111111116</v>
      </c>
      <c r="K279" s="239">
        <v>0.73263888888888884</v>
      </c>
      <c r="L279" s="5">
        <f t="shared" si="34"/>
        <v>5.9027777777777679E-2</v>
      </c>
      <c r="M279" s="3" t="s">
        <v>73</v>
      </c>
      <c r="N279" s="3" t="s">
        <v>735</v>
      </c>
      <c r="O279" s="3">
        <v>3400</v>
      </c>
      <c r="Q279" s="3">
        <v>3400</v>
      </c>
      <c r="R279" s="149">
        <v>5105</v>
      </c>
      <c r="S279" s="269">
        <f t="shared" si="35"/>
        <v>1.5</v>
      </c>
      <c r="T279" s="3">
        <f t="shared" si="36"/>
        <v>2266.6666666666665</v>
      </c>
      <c r="U279" s="149">
        <v>1.6</v>
      </c>
      <c r="X279" s="191" t="s">
        <v>506</v>
      </c>
      <c r="AA279" s="3">
        <v>1839</v>
      </c>
      <c r="AB279" s="3">
        <v>1591</v>
      </c>
      <c r="AC279" s="3">
        <v>3430</v>
      </c>
      <c r="AD279" s="3">
        <v>3400</v>
      </c>
      <c r="AE279" s="233" t="s">
        <v>6</v>
      </c>
      <c r="AF279" s="233" t="s">
        <v>144</v>
      </c>
      <c r="AG279" s="233" t="s">
        <v>1181</v>
      </c>
      <c r="AH279" s="233" t="s">
        <v>221</v>
      </c>
    </row>
    <row r="280" spans="2:34" x14ac:dyDescent="0.25">
      <c r="B280" s="235">
        <v>45055</v>
      </c>
      <c r="C280" s="233">
        <v>2</v>
      </c>
      <c r="D280" s="236">
        <v>45056</v>
      </c>
      <c r="E280" s="156">
        <v>8365</v>
      </c>
      <c r="F280" s="3">
        <v>265</v>
      </c>
      <c r="G280" s="344">
        <v>7617</v>
      </c>
      <c r="H280" s="3" t="s">
        <v>58</v>
      </c>
      <c r="I280" s="3">
        <v>60</v>
      </c>
      <c r="J280" s="239">
        <v>0.83680555555555547</v>
      </c>
      <c r="K280" s="239">
        <v>0.89583333333333337</v>
      </c>
      <c r="L280" s="5">
        <f t="shared" si="34"/>
        <v>5.9027777777777901E-2</v>
      </c>
      <c r="M280" s="3" t="s">
        <v>67</v>
      </c>
      <c r="N280" s="233" t="s">
        <v>735</v>
      </c>
      <c r="O280" s="3">
        <v>3500</v>
      </c>
      <c r="Q280" s="3">
        <v>2850</v>
      </c>
      <c r="R280" s="149">
        <v>5106.46</v>
      </c>
      <c r="S280" s="269">
        <f t="shared" si="35"/>
        <v>1.4600000000000364</v>
      </c>
      <c r="T280" s="233">
        <f t="shared" si="36"/>
        <v>1952.0547945204994</v>
      </c>
      <c r="U280" s="149">
        <v>1.49</v>
      </c>
      <c r="W280" s="152">
        <v>650</v>
      </c>
      <c r="X280" s="191" t="s">
        <v>506</v>
      </c>
      <c r="AA280" s="3">
        <v>1804</v>
      </c>
      <c r="AB280" s="3">
        <v>1701</v>
      </c>
      <c r="AC280" s="3">
        <v>3505</v>
      </c>
      <c r="AD280" s="3">
        <v>3500</v>
      </c>
      <c r="AE280" s="233" t="s">
        <v>6</v>
      </c>
      <c r="AF280" s="233" t="s">
        <v>144</v>
      </c>
      <c r="AG280" s="233" t="s">
        <v>1181</v>
      </c>
      <c r="AH280" s="233" t="s">
        <v>221</v>
      </c>
    </row>
    <row r="281" spans="2:34" x14ac:dyDescent="0.25">
      <c r="B281" s="235">
        <v>45056</v>
      </c>
      <c r="C281" s="3">
        <v>1</v>
      </c>
      <c r="D281" s="148">
        <v>45056</v>
      </c>
      <c r="E281" s="237">
        <v>8366</v>
      </c>
      <c r="F281" s="3">
        <v>266</v>
      </c>
      <c r="G281" s="344">
        <v>7625</v>
      </c>
      <c r="H281" s="3" t="s">
        <v>66</v>
      </c>
      <c r="I281" s="3">
        <v>57</v>
      </c>
      <c r="J281" s="239">
        <v>0.35416666666666669</v>
      </c>
      <c r="K281" s="239">
        <v>0.41666666666666669</v>
      </c>
      <c r="L281" s="5">
        <f t="shared" si="34"/>
        <v>6.25E-2</v>
      </c>
      <c r="M281" s="3" t="s">
        <v>67</v>
      </c>
      <c r="N281" s="3" t="s">
        <v>733</v>
      </c>
      <c r="O281" s="3">
        <v>3450</v>
      </c>
      <c r="Q281" s="3">
        <v>3450</v>
      </c>
      <c r="R281" s="149">
        <v>5108.2</v>
      </c>
      <c r="S281" s="269">
        <f>R281-R280</f>
        <v>1.7399999999997817</v>
      </c>
      <c r="T281" s="233">
        <f>Q281/S281</f>
        <v>1982.7586206899039</v>
      </c>
      <c r="U281" s="149">
        <v>1.57</v>
      </c>
      <c r="X281" s="191" t="s">
        <v>506</v>
      </c>
      <c r="AA281" s="3">
        <v>1843</v>
      </c>
      <c r="AB281" s="3">
        <v>1608</v>
      </c>
      <c r="AC281" s="3">
        <v>3452</v>
      </c>
      <c r="AD281" s="3">
        <v>3450</v>
      </c>
      <c r="AE281" s="233" t="s">
        <v>476</v>
      </c>
      <c r="AF281" s="233" t="s">
        <v>461</v>
      </c>
      <c r="AG281" s="233" t="s">
        <v>771</v>
      </c>
      <c r="AH281" s="233" t="s">
        <v>1185</v>
      </c>
    </row>
    <row r="282" spans="2:34" x14ac:dyDescent="0.25">
      <c r="B282" s="235">
        <v>45057</v>
      </c>
      <c r="C282" s="233">
        <v>2</v>
      </c>
      <c r="D282" s="236">
        <v>45058</v>
      </c>
      <c r="E282" s="237">
        <v>8367</v>
      </c>
      <c r="F282" s="233">
        <v>267</v>
      </c>
      <c r="G282" s="344">
        <v>7605</v>
      </c>
      <c r="H282" s="233" t="s">
        <v>58</v>
      </c>
      <c r="I282" s="233">
        <v>60</v>
      </c>
      <c r="J282" s="239">
        <v>0.68055555555555547</v>
      </c>
      <c r="K282" s="239">
        <v>0.74305555555555547</v>
      </c>
      <c r="L282" s="234">
        <f t="shared" si="34"/>
        <v>6.25E-2</v>
      </c>
      <c r="M282" s="233" t="s">
        <v>67</v>
      </c>
      <c r="N282" s="233" t="s">
        <v>735</v>
      </c>
      <c r="O282" s="3">
        <v>3500</v>
      </c>
      <c r="Q282" s="3">
        <v>3500</v>
      </c>
      <c r="R282" s="149">
        <v>5109.3999999999996</v>
      </c>
      <c r="S282" s="269">
        <f>R282-R281</f>
        <v>1.1999999999998181</v>
      </c>
      <c r="T282" s="233">
        <f>Q282/S282</f>
        <v>2916.666666667109</v>
      </c>
      <c r="U282" s="149">
        <v>1.55</v>
      </c>
      <c r="AA282" s="3">
        <v>1804</v>
      </c>
      <c r="AB282" s="3">
        <v>1704</v>
      </c>
      <c r="AC282" s="3">
        <v>3508</v>
      </c>
      <c r="AD282" s="3">
        <v>3500</v>
      </c>
      <c r="AE282" s="233" t="s">
        <v>6</v>
      </c>
      <c r="AF282" s="233" t="s">
        <v>144</v>
      </c>
      <c r="AG282" s="233" t="s">
        <v>1181</v>
      </c>
      <c r="AH282" s="233" t="s">
        <v>221</v>
      </c>
    </row>
    <row r="283" spans="2:34" x14ac:dyDescent="0.25">
      <c r="B283" s="235">
        <v>45057</v>
      </c>
      <c r="C283" s="3">
        <v>3</v>
      </c>
      <c r="D283" s="236">
        <v>45058</v>
      </c>
      <c r="E283" s="156">
        <v>8368</v>
      </c>
      <c r="F283" s="3">
        <v>268</v>
      </c>
      <c r="G283" s="344">
        <v>7617</v>
      </c>
      <c r="H283" s="3" t="s">
        <v>66</v>
      </c>
      <c r="I283" s="3">
        <v>56</v>
      </c>
      <c r="J283" s="239">
        <v>0.98611111111111116</v>
      </c>
      <c r="K283" s="239">
        <v>4.5138888888888888E-2</v>
      </c>
      <c r="L283" s="234">
        <v>5.9027777777777783E-2</v>
      </c>
      <c r="M283" s="233" t="s">
        <v>67</v>
      </c>
      <c r="N283" s="233" t="s">
        <v>735</v>
      </c>
      <c r="O283" s="3">
        <v>3450</v>
      </c>
      <c r="Q283" s="3">
        <v>3450</v>
      </c>
      <c r="R283" s="149">
        <v>5110.72</v>
      </c>
      <c r="S283" s="269">
        <f>R283-R282</f>
        <v>1.3200000000006185</v>
      </c>
      <c r="T283" s="233">
        <f>Q283/S283</f>
        <v>2613.6363636351389</v>
      </c>
      <c r="U283" s="149">
        <v>1.4</v>
      </c>
      <c r="AA283" s="3">
        <v>1809</v>
      </c>
      <c r="AB283" s="3">
        <v>1640</v>
      </c>
      <c r="AC283" s="3">
        <v>3450</v>
      </c>
      <c r="AD283" s="233" t="s">
        <v>492</v>
      </c>
      <c r="AE283" s="233" t="s">
        <v>199</v>
      </c>
      <c r="AF283" s="233" t="s">
        <v>1140</v>
      </c>
      <c r="AG283" s="233" t="s">
        <v>903</v>
      </c>
      <c r="AH283" s="233" t="s">
        <v>1103</v>
      </c>
    </row>
    <row r="284" spans="2:34" x14ac:dyDescent="0.25">
      <c r="B284" s="235">
        <v>45058</v>
      </c>
      <c r="C284" s="3">
        <v>1</v>
      </c>
      <c r="D284" s="148">
        <v>45058</v>
      </c>
      <c r="E284" s="156">
        <v>8369</v>
      </c>
      <c r="F284" s="3">
        <v>16</v>
      </c>
      <c r="G284" s="3">
        <v>7619</v>
      </c>
      <c r="H284" s="3" t="s">
        <v>58</v>
      </c>
      <c r="I284" s="3">
        <v>59</v>
      </c>
      <c r="J284" s="239">
        <v>0.38541666666666669</v>
      </c>
      <c r="K284" s="239">
        <v>0.4513888888888889</v>
      </c>
      <c r="L284" s="5">
        <v>6.5972222222222224E-2</v>
      </c>
      <c r="M284" s="3" t="s">
        <v>59</v>
      </c>
      <c r="N284" s="3" t="s">
        <v>738</v>
      </c>
      <c r="O284" s="3">
        <v>3465</v>
      </c>
      <c r="Q284" s="3">
        <v>3465</v>
      </c>
      <c r="R284" s="149">
        <v>5112.2</v>
      </c>
      <c r="S284" s="269">
        <f>R284-R283</f>
        <v>1.4799999999995634</v>
      </c>
      <c r="T284" s="233">
        <f>Q284/S284</f>
        <v>2341.216216216907</v>
      </c>
      <c r="U284" s="149">
        <v>1.51</v>
      </c>
      <c r="AA284" s="3">
        <v>1840</v>
      </c>
      <c r="AB284" s="3">
        <v>1625</v>
      </c>
      <c r="AC284" s="3">
        <v>3465</v>
      </c>
      <c r="AD284" s="233" t="s">
        <v>492</v>
      </c>
      <c r="AE284" s="233" t="s">
        <v>476</v>
      </c>
      <c r="AF284" s="233" t="s">
        <v>461</v>
      </c>
      <c r="AG284" s="233" t="s">
        <v>771</v>
      </c>
      <c r="AH284" s="233" t="s">
        <v>1185</v>
      </c>
    </row>
    <row r="285" spans="2:34" x14ac:dyDescent="0.25">
      <c r="B285" s="235">
        <v>45058</v>
      </c>
      <c r="C285" s="3">
        <v>2</v>
      </c>
      <c r="D285" s="148">
        <v>45059</v>
      </c>
      <c r="E285" s="156">
        <v>8370</v>
      </c>
      <c r="F285" s="3">
        <v>269</v>
      </c>
      <c r="G285" s="233">
        <v>7605</v>
      </c>
      <c r="H285" s="3" t="s">
        <v>58</v>
      </c>
      <c r="I285" s="3">
        <v>60</v>
      </c>
      <c r="J285" s="239">
        <v>0.71875</v>
      </c>
      <c r="K285" s="239">
        <v>0.78472222222222221</v>
      </c>
      <c r="L285" s="234">
        <v>6.5972222222222224E-2</v>
      </c>
      <c r="M285" s="233" t="s">
        <v>67</v>
      </c>
      <c r="N285" s="233" t="s">
        <v>735</v>
      </c>
      <c r="O285" s="3">
        <v>3508</v>
      </c>
      <c r="Q285" s="3">
        <v>3508</v>
      </c>
      <c r="R285" s="149">
        <v>5113.5600000000004</v>
      </c>
      <c r="S285" s="269">
        <f t="shared" ref="S285:S291" si="37">R285-R284</f>
        <v>1.3600000000005821</v>
      </c>
      <c r="T285" s="233">
        <f t="shared" ref="T285:T292" si="38">Q285/S285</f>
        <v>2579.4117647047783</v>
      </c>
      <c r="U285" s="149">
        <v>1.38</v>
      </c>
      <c r="AA285" s="3">
        <v>1750</v>
      </c>
      <c r="AB285" s="3">
        <v>1758</v>
      </c>
      <c r="AC285" s="3">
        <v>3508</v>
      </c>
      <c r="AD285" s="233" t="s">
        <v>492</v>
      </c>
      <c r="AE285" s="233" t="s">
        <v>6</v>
      </c>
      <c r="AF285" s="233" t="s">
        <v>144</v>
      </c>
      <c r="AG285" s="233" t="s">
        <v>1181</v>
      </c>
      <c r="AH285" s="233" t="s">
        <v>221</v>
      </c>
    </row>
    <row r="286" spans="2:34" x14ac:dyDescent="0.25">
      <c r="B286" s="235">
        <v>45058</v>
      </c>
      <c r="C286" s="3">
        <v>3</v>
      </c>
      <c r="D286" s="236">
        <v>45059</v>
      </c>
      <c r="E286" s="156">
        <v>8371</v>
      </c>
      <c r="F286" s="3">
        <v>270</v>
      </c>
      <c r="G286" s="233">
        <v>7617</v>
      </c>
      <c r="H286" s="233" t="s">
        <v>58</v>
      </c>
      <c r="I286" s="233">
        <v>60</v>
      </c>
      <c r="J286" s="239">
        <v>2.7777777777777776E-2</v>
      </c>
      <c r="K286" s="239">
        <v>0.10416666666666667</v>
      </c>
      <c r="L286" s="5">
        <v>6.9444444444444434E-2</v>
      </c>
      <c r="M286" s="233" t="s">
        <v>67</v>
      </c>
      <c r="N286" s="233" t="s">
        <v>735</v>
      </c>
      <c r="O286" s="3">
        <v>3585</v>
      </c>
      <c r="Q286" s="3">
        <v>3585</v>
      </c>
      <c r="R286" s="149">
        <v>5115.5</v>
      </c>
      <c r="S286" s="269">
        <f t="shared" si="37"/>
        <v>1.9399999999995998</v>
      </c>
      <c r="T286" s="233">
        <f t="shared" si="38"/>
        <v>1847.9381443302782</v>
      </c>
      <c r="U286" s="149">
        <v>1.85</v>
      </c>
      <c r="AA286" s="3">
        <v>1881</v>
      </c>
      <c r="AB286" s="3">
        <v>1704</v>
      </c>
      <c r="AC286" s="3">
        <v>3585</v>
      </c>
      <c r="AD286" s="233" t="s">
        <v>492</v>
      </c>
      <c r="AE286" s="233" t="s">
        <v>199</v>
      </c>
      <c r="AF286" s="233" t="s">
        <v>1140</v>
      </c>
      <c r="AG286" s="233" t="s">
        <v>903</v>
      </c>
      <c r="AH286" s="233" t="s">
        <v>1103</v>
      </c>
    </row>
    <row r="287" spans="2:34" x14ac:dyDescent="0.25">
      <c r="B287" s="235">
        <v>45061</v>
      </c>
      <c r="C287" s="3">
        <v>1</v>
      </c>
      <c r="D287" s="148">
        <v>45061</v>
      </c>
      <c r="E287" s="156">
        <v>8372</v>
      </c>
      <c r="F287" s="3">
        <v>271</v>
      </c>
      <c r="G287" s="3">
        <v>7617</v>
      </c>
      <c r="H287" s="3" t="s">
        <v>58</v>
      </c>
      <c r="I287" s="3">
        <v>58</v>
      </c>
      <c r="J287" s="239">
        <v>0.33680555555555558</v>
      </c>
      <c r="K287" s="239">
        <v>0.46180555555555558</v>
      </c>
      <c r="L287" s="234">
        <f>K287-J287</f>
        <v>0.125</v>
      </c>
      <c r="M287" s="3" t="s">
        <v>67</v>
      </c>
      <c r="N287" s="3" t="s">
        <v>735</v>
      </c>
      <c r="O287" s="3">
        <v>3500</v>
      </c>
      <c r="Q287" s="3">
        <v>3500</v>
      </c>
      <c r="R287" s="149">
        <v>5117.3599999999997</v>
      </c>
      <c r="S287" s="269">
        <f t="shared" si="37"/>
        <v>1.8599999999996726</v>
      </c>
      <c r="T287" s="233">
        <f t="shared" si="38"/>
        <v>1881.7204301078582</v>
      </c>
      <c r="U287" s="149">
        <v>2.1800000000000002</v>
      </c>
      <c r="AA287" s="3">
        <v>1820</v>
      </c>
      <c r="AB287" s="3">
        <v>1737</v>
      </c>
      <c r="AC287" s="3">
        <v>3557</v>
      </c>
      <c r="AD287" s="3" t="s">
        <v>492</v>
      </c>
      <c r="AE287" s="3" t="s">
        <v>926</v>
      </c>
      <c r="AF287" s="3" t="s">
        <v>467</v>
      </c>
      <c r="AG287" s="3" t="s">
        <v>144</v>
      </c>
      <c r="AH287" s="3" t="s">
        <v>904</v>
      </c>
    </row>
    <row r="288" spans="2:34" x14ac:dyDescent="0.25">
      <c r="B288" s="235">
        <v>45061</v>
      </c>
      <c r="C288" s="3">
        <v>2</v>
      </c>
      <c r="D288" s="236">
        <v>45061</v>
      </c>
      <c r="E288" s="156">
        <v>8373</v>
      </c>
      <c r="F288" s="3">
        <v>272</v>
      </c>
      <c r="G288" s="233">
        <v>7625</v>
      </c>
      <c r="H288" s="3" t="s">
        <v>58</v>
      </c>
      <c r="I288" s="3">
        <v>60</v>
      </c>
      <c r="J288" s="239">
        <v>0.66666666666666663</v>
      </c>
      <c r="K288" s="239">
        <v>0.73958333333333337</v>
      </c>
      <c r="L288" s="234">
        <f>K288-J288</f>
        <v>7.2916666666666741E-2</v>
      </c>
      <c r="M288" s="3" t="s">
        <v>67</v>
      </c>
      <c r="N288" s="233" t="s">
        <v>735</v>
      </c>
      <c r="O288" s="3">
        <v>3520</v>
      </c>
      <c r="Q288" s="3">
        <v>3520</v>
      </c>
      <c r="R288" s="149">
        <v>5119.17</v>
      </c>
      <c r="S288" s="269">
        <f t="shared" si="37"/>
        <v>1.8100000000004002</v>
      </c>
      <c r="T288" s="233">
        <f t="shared" si="38"/>
        <v>1944.7513812150396</v>
      </c>
      <c r="U288" s="149">
        <v>1.84</v>
      </c>
      <c r="AA288" s="3">
        <v>1987</v>
      </c>
      <c r="AB288" s="3">
        <v>1734</v>
      </c>
      <c r="AC288" s="3">
        <v>3722</v>
      </c>
      <c r="AD288" s="233" t="s">
        <v>492</v>
      </c>
      <c r="AE288" s="233" t="s">
        <v>199</v>
      </c>
      <c r="AF288" s="3" t="s">
        <v>759</v>
      </c>
      <c r="AG288" s="3" t="s">
        <v>179</v>
      </c>
      <c r="AH288" s="3" t="s">
        <v>1193</v>
      </c>
    </row>
    <row r="289" spans="2:34" x14ac:dyDescent="0.25">
      <c r="B289" s="235">
        <v>45061</v>
      </c>
      <c r="C289" s="3">
        <v>3</v>
      </c>
      <c r="D289" s="148">
        <v>45062</v>
      </c>
      <c r="E289" s="156">
        <v>8374</v>
      </c>
      <c r="F289" s="3">
        <v>273</v>
      </c>
      <c r="G289" s="3">
        <v>7605</v>
      </c>
      <c r="H289" s="3" t="s">
        <v>58</v>
      </c>
      <c r="I289" s="3">
        <v>60</v>
      </c>
      <c r="J289" s="239">
        <v>3.125E-2</v>
      </c>
      <c r="K289" s="239">
        <v>0.1076388888888889</v>
      </c>
      <c r="L289" s="234">
        <f t="shared" ref="L289:L325" si="39">K289-J289</f>
        <v>7.6388888888888895E-2</v>
      </c>
      <c r="M289" s="3" t="s">
        <v>67</v>
      </c>
      <c r="N289" s="233" t="s">
        <v>733</v>
      </c>
      <c r="O289" s="3">
        <v>3480</v>
      </c>
      <c r="Q289" s="3">
        <v>3480</v>
      </c>
      <c r="R289" s="149">
        <v>5120.68</v>
      </c>
      <c r="S289" s="269">
        <f t="shared" si="37"/>
        <v>1.5100000000002183</v>
      </c>
      <c r="T289" s="233">
        <f t="shared" si="38"/>
        <v>2304.6357615890706</v>
      </c>
      <c r="U289" s="149">
        <v>1.9</v>
      </c>
      <c r="AA289" s="3">
        <v>1840</v>
      </c>
      <c r="AB289" s="3">
        <v>1625</v>
      </c>
      <c r="AC289" s="3">
        <v>3464</v>
      </c>
      <c r="AD289" s="3">
        <v>3480</v>
      </c>
      <c r="AE289" s="233" t="s">
        <v>855</v>
      </c>
      <c r="AF289" s="233" t="s">
        <v>461</v>
      </c>
      <c r="AG289" s="233"/>
      <c r="AH289" s="233" t="s">
        <v>771</v>
      </c>
    </row>
    <row r="290" spans="2:34" x14ac:dyDescent="0.25">
      <c r="B290" s="235">
        <v>45062</v>
      </c>
      <c r="C290" s="3">
        <v>1</v>
      </c>
      <c r="D290" s="236">
        <v>45062</v>
      </c>
      <c r="E290" s="237">
        <v>8375</v>
      </c>
      <c r="F290" s="233">
        <v>274</v>
      </c>
      <c r="G290" s="3">
        <v>7617</v>
      </c>
      <c r="H290" s="3" t="s">
        <v>66</v>
      </c>
      <c r="I290" s="3">
        <v>58</v>
      </c>
      <c r="J290" s="239">
        <v>0.36458333333333331</v>
      </c>
      <c r="K290" s="239">
        <v>0.4201388888888889</v>
      </c>
      <c r="L290" s="234">
        <f t="shared" si="39"/>
        <v>5.555555555555558E-2</v>
      </c>
      <c r="M290" s="233" t="s">
        <v>67</v>
      </c>
      <c r="N290" s="233" t="s">
        <v>733</v>
      </c>
      <c r="O290" s="3">
        <v>3490</v>
      </c>
      <c r="Q290" s="3">
        <v>3490</v>
      </c>
      <c r="R290" s="149">
        <v>5122.28</v>
      </c>
      <c r="S290" s="269">
        <f t="shared" si="37"/>
        <v>1.5999999999994543</v>
      </c>
      <c r="T290" s="233">
        <f t="shared" si="38"/>
        <v>2181.250000000744</v>
      </c>
      <c r="U290" s="149">
        <v>1.71</v>
      </c>
      <c r="AA290" s="3">
        <v>1928</v>
      </c>
      <c r="AB290" s="3">
        <v>1715</v>
      </c>
      <c r="AC290" s="3">
        <v>3644</v>
      </c>
      <c r="AD290" s="3">
        <v>3490</v>
      </c>
      <c r="AE290" s="3" t="s">
        <v>1</v>
      </c>
      <c r="AF290" s="3" t="s">
        <v>467</v>
      </c>
      <c r="AG290" s="3" t="s">
        <v>144</v>
      </c>
      <c r="AH290" s="3" t="s">
        <v>1194</v>
      </c>
    </row>
    <row r="291" spans="2:34" x14ac:dyDescent="0.25">
      <c r="B291" s="235">
        <v>45064</v>
      </c>
      <c r="C291" s="3">
        <v>1</v>
      </c>
      <c r="D291" s="236">
        <v>45064</v>
      </c>
      <c r="E291" s="237">
        <v>8376</v>
      </c>
      <c r="F291" s="233">
        <v>275</v>
      </c>
      <c r="G291" s="3">
        <v>7625</v>
      </c>
      <c r="H291" s="3" t="s">
        <v>58</v>
      </c>
      <c r="I291" s="3">
        <v>60</v>
      </c>
      <c r="J291" s="239">
        <v>0.36458333333333331</v>
      </c>
      <c r="K291" s="239">
        <v>0.44791666666666669</v>
      </c>
      <c r="L291" s="234">
        <f t="shared" si="39"/>
        <v>8.333333333333337E-2</v>
      </c>
      <c r="M291" s="233" t="s">
        <v>67</v>
      </c>
      <c r="N291" s="233" t="s">
        <v>733</v>
      </c>
      <c r="O291" s="3">
        <v>3590</v>
      </c>
      <c r="Q291" s="3">
        <f>+O291-W291</f>
        <v>3590</v>
      </c>
      <c r="R291" s="149">
        <v>5123.99</v>
      </c>
      <c r="S291" s="269">
        <f t="shared" si="37"/>
        <v>1.7100000000000364</v>
      </c>
      <c r="T291" s="233">
        <f t="shared" si="38"/>
        <v>2099.4152046783179</v>
      </c>
      <c r="U291" s="149">
        <v>2.29</v>
      </c>
      <c r="AA291" s="3">
        <v>1815</v>
      </c>
      <c r="AB291" s="3">
        <v>1775</v>
      </c>
      <c r="AC291" s="3">
        <v>3590</v>
      </c>
      <c r="AD291" s="3" t="s">
        <v>1195</v>
      </c>
      <c r="AE291" s="3" t="s">
        <v>177</v>
      </c>
      <c r="AF291" s="233" t="s">
        <v>467</v>
      </c>
      <c r="AG291" s="3" t="s">
        <v>193</v>
      </c>
      <c r="AH291" s="233" t="s">
        <v>1181</v>
      </c>
    </row>
    <row r="292" spans="2:34" x14ac:dyDescent="0.25">
      <c r="B292" s="235">
        <v>45064</v>
      </c>
      <c r="C292" s="3">
        <v>2</v>
      </c>
      <c r="D292" s="236">
        <v>45065</v>
      </c>
      <c r="E292" s="237">
        <v>8377</v>
      </c>
      <c r="F292" s="3">
        <v>276</v>
      </c>
      <c r="G292" s="3">
        <v>7605</v>
      </c>
      <c r="H292" s="3" t="s">
        <v>66</v>
      </c>
      <c r="I292" s="3">
        <v>58</v>
      </c>
      <c r="J292" s="239">
        <v>0.69444444444444453</v>
      </c>
      <c r="K292" s="239">
        <v>0.76388888888888884</v>
      </c>
      <c r="L292" s="5">
        <f t="shared" si="39"/>
        <v>6.9444444444444309E-2</v>
      </c>
      <c r="M292" s="3" t="s">
        <v>67</v>
      </c>
      <c r="N292" s="233" t="s">
        <v>733</v>
      </c>
      <c r="O292" s="3">
        <v>3470</v>
      </c>
      <c r="Q292" s="233">
        <f>+O292-W292</f>
        <v>3470</v>
      </c>
      <c r="R292" s="149">
        <v>5125.72</v>
      </c>
      <c r="S292" s="269">
        <f t="shared" ref="S292:S318" si="40">R292-R291</f>
        <v>1.7300000000004729</v>
      </c>
      <c r="T292" s="233">
        <f t="shared" si="38"/>
        <v>2005.780346820261</v>
      </c>
      <c r="U292" s="149">
        <v>1.9</v>
      </c>
      <c r="AA292" s="3">
        <v>1700</v>
      </c>
      <c r="AB292" s="3">
        <v>1760</v>
      </c>
      <c r="AC292" s="3">
        <v>3460</v>
      </c>
      <c r="AD292" s="3">
        <v>3470</v>
      </c>
      <c r="AE292" s="233" t="s">
        <v>199</v>
      </c>
      <c r="AF292" s="233" t="s">
        <v>759</v>
      </c>
      <c r="AG292" s="233" t="s">
        <v>179</v>
      </c>
      <c r="AH292" s="233" t="s">
        <v>1193</v>
      </c>
    </row>
    <row r="293" spans="2:34" x14ac:dyDescent="0.25">
      <c r="B293" s="235">
        <v>45064</v>
      </c>
      <c r="C293" s="3">
        <v>3</v>
      </c>
      <c r="D293" s="236">
        <v>45065</v>
      </c>
      <c r="E293" s="237">
        <v>8378</v>
      </c>
      <c r="F293" s="3">
        <v>17</v>
      </c>
      <c r="G293" s="3">
        <v>7619</v>
      </c>
      <c r="H293" s="3" t="s">
        <v>58</v>
      </c>
      <c r="I293" s="3">
        <v>60</v>
      </c>
      <c r="J293" s="239">
        <v>2.4305555555555556E-2</v>
      </c>
      <c r="K293" s="239">
        <v>9.7222222222222224E-2</v>
      </c>
      <c r="L293" s="5">
        <f t="shared" si="39"/>
        <v>7.2916666666666671E-2</v>
      </c>
      <c r="M293" s="3" t="s">
        <v>73</v>
      </c>
      <c r="N293" s="3" t="s">
        <v>737</v>
      </c>
      <c r="O293" s="3">
        <v>3520</v>
      </c>
      <c r="Q293" s="3">
        <f>3520-400</f>
        <v>3120</v>
      </c>
      <c r="R293" s="149">
        <v>5127.3</v>
      </c>
      <c r="S293" s="269">
        <f t="shared" si="40"/>
        <v>1.5799999999999272</v>
      </c>
      <c r="T293" s="233">
        <v>2102.6799999999998</v>
      </c>
      <c r="U293" s="149">
        <v>1.7</v>
      </c>
      <c r="W293" s="152">
        <v>400</v>
      </c>
      <c r="AA293" s="3">
        <v>1764</v>
      </c>
      <c r="AB293" s="3">
        <v>1689</v>
      </c>
      <c r="AC293" s="3">
        <v>3454</v>
      </c>
      <c r="AD293" s="3">
        <v>3520</v>
      </c>
      <c r="AE293" s="3" t="s">
        <v>1196</v>
      </c>
      <c r="AF293" s="3" t="s">
        <v>1152</v>
      </c>
      <c r="AG293" s="3" t="s">
        <v>474</v>
      </c>
      <c r="AH293" s="233" t="s">
        <v>771</v>
      </c>
    </row>
    <row r="294" spans="2:34" x14ac:dyDescent="0.25">
      <c r="B294" s="235">
        <v>45065</v>
      </c>
      <c r="C294" s="3">
        <v>1</v>
      </c>
      <c r="D294" s="148">
        <v>45065</v>
      </c>
      <c r="E294" s="156">
        <v>8379</v>
      </c>
      <c r="F294" s="3">
        <v>277</v>
      </c>
      <c r="G294" s="3">
        <v>7625</v>
      </c>
      <c r="H294" s="3" t="s">
        <v>58</v>
      </c>
      <c r="I294" s="3">
        <v>60</v>
      </c>
      <c r="J294" s="239">
        <v>0.43055555555555558</v>
      </c>
      <c r="K294" s="239">
        <v>0.51041666666666663</v>
      </c>
      <c r="L294" s="5">
        <f t="shared" si="39"/>
        <v>7.9861111111111049E-2</v>
      </c>
      <c r="M294" s="3" t="s">
        <v>67</v>
      </c>
      <c r="N294" s="3" t="s">
        <v>733</v>
      </c>
      <c r="O294" s="3">
        <v>3500</v>
      </c>
      <c r="Q294" s="3">
        <v>3500</v>
      </c>
      <c r="R294" s="346">
        <v>5129.09</v>
      </c>
      <c r="S294" s="269">
        <f t="shared" si="40"/>
        <v>1.7899999999999636</v>
      </c>
      <c r="T294" s="233">
        <v>2102.6799999999998</v>
      </c>
      <c r="U294" s="149">
        <v>1.76</v>
      </c>
      <c r="AA294" s="3">
        <v>1650</v>
      </c>
      <c r="AB294" s="3">
        <v>1905</v>
      </c>
      <c r="AC294" s="3">
        <v>3500</v>
      </c>
      <c r="AD294" s="3">
        <v>3500</v>
      </c>
      <c r="AE294" s="233" t="s">
        <v>926</v>
      </c>
      <c r="AF294" s="233" t="s">
        <v>467</v>
      </c>
      <c r="AG294" s="233" t="s">
        <v>144</v>
      </c>
      <c r="AH294" s="233" t="s">
        <v>904</v>
      </c>
    </row>
    <row r="295" spans="2:34" x14ac:dyDescent="0.25">
      <c r="B295" s="235">
        <v>45065</v>
      </c>
      <c r="C295" s="3">
        <v>2</v>
      </c>
      <c r="D295" s="148">
        <v>45066</v>
      </c>
      <c r="E295" s="156">
        <v>8380</v>
      </c>
      <c r="F295" s="3">
        <v>278</v>
      </c>
      <c r="G295" s="233">
        <v>7605</v>
      </c>
      <c r="H295" s="3" t="s">
        <v>58</v>
      </c>
      <c r="I295" s="3">
        <v>60</v>
      </c>
      <c r="J295" s="239">
        <v>0.70138888888888884</v>
      </c>
      <c r="K295" s="239">
        <v>0.78472222222222221</v>
      </c>
      <c r="L295" s="5">
        <f t="shared" si="39"/>
        <v>8.333333333333337E-2</v>
      </c>
      <c r="M295" s="233" t="s">
        <v>67</v>
      </c>
      <c r="N295" s="233" t="s">
        <v>733</v>
      </c>
      <c r="O295" s="3">
        <v>3480</v>
      </c>
      <c r="Q295" s="3">
        <v>3480</v>
      </c>
      <c r="R295" s="149">
        <v>5130.95</v>
      </c>
      <c r="S295" s="269">
        <f t="shared" si="40"/>
        <v>1.8599999999996726</v>
      </c>
      <c r="T295" s="233">
        <v>2102.6799999999998</v>
      </c>
      <c r="U295" s="149">
        <v>2</v>
      </c>
      <c r="AA295" s="3">
        <v>1750</v>
      </c>
      <c r="AB295" s="3">
        <v>1700</v>
      </c>
      <c r="AC295" s="3">
        <v>3450</v>
      </c>
      <c r="AD295" s="3">
        <v>3480</v>
      </c>
      <c r="AE295" s="233" t="s">
        <v>7</v>
      </c>
      <c r="AF295" s="233" t="s">
        <v>759</v>
      </c>
      <c r="AG295" s="233" t="s">
        <v>179</v>
      </c>
      <c r="AH295" s="233" t="s">
        <v>1193</v>
      </c>
    </row>
    <row r="296" spans="2:34" x14ac:dyDescent="0.25">
      <c r="B296" s="235">
        <v>45065</v>
      </c>
      <c r="C296" s="3">
        <v>3</v>
      </c>
      <c r="D296" s="148">
        <v>45066</v>
      </c>
      <c r="E296" s="156">
        <v>8381</v>
      </c>
      <c r="F296" s="3">
        <v>279</v>
      </c>
      <c r="G296" s="233">
        <v>7617</v>
      </c>
      <c r="H296" s="3" t="s">
        <v>66</v>
      </c>
      <c r="I296" s="3">
        <v>58</v>
      </c>
      <c r="J296" s="239">
        <v>0</v>
      </c>
      <c r="K296" s="239">
        <v>6.9444444444444434E-2</v>
      </c>
      <c r="L296" s="5">
        <f t="shared" si="39"/>
        <v>6.9444444444444434E-2</v>
      </c>
      <c r="M296" s="3" t="s">
        <v>67</v>
      </c>
      <c r="N296" s="233" t="s">
        <v>733</v>
      </c>
      <c r="O296" s="3">
        <v>3580</v>
      </c>
      <c r="Q296" s="3">
        <v>3580</v>
      </c>
      <c r="R296" s="149">
        <v>5132.8900000000003</v>
      </c>
      <c r="S296" s="269">
        <f t="shared" si="40"/>
        <v>1.9400000000005093</v>
      </c>
      <c r="T296" s="233">
        <v>2102.6799999999998</v>
      </c>
      <c r="U296" s="149">
        <v>1.7</v>
      </c>
      <c r="AA296" s="233">
        <v>1764</v>
      </c>
      <c r="AB296" s="233">
        <v>1689</v>
      </c>
      <c r="AC296" s="233">
        <v>3454</v>
      </c>
      <c r="AD296" s="3">
        <v>3580</v>
      </c>
      <c r="AE296" s="233" t="s">
        <v>182</v>
      </c>
      <c r="AF296" s="233" t="s">
        <v>1152</v>
      </c>
      <c r="AG296" s="233" t="s">
        <v>474</v>
      </c>
      <c r="AH296" s="233" t="s">
        <v>771</v>
      </c>
    </row>
    <row r="297" spans="2:34" x14ac:dyDescent="0.25">
      <c r="B297" s="235">
        <v>45068</v>
      </c>
      <c r="C297" s="3">
        <v>1</v>
      </c>
      <c r="D297" s="236">
        <v>45068</v>
      </c>
      <c r="E297" s="156">
        <v>8382</v>
      </c>
      <c r="F297" s="3">
        <v>280</v>
      </c>
      <c r="G297" s="233">
        <v>7617</v>
      </c>
      <c r="H297" s="3" t="s">
        <v>58</v>
      </c>
      <c r="I297" s="3">
        <v>60</v>
      </c>
      <c r="J297" s="239">
        <v>0.40625</v>
      </c>
      <c r="K297" s="239">
        <v>0.4826388888888889</v>
      </c>
      <c r="L297" s="5">
        <f t="shared" si="39"/>
        <v>7.6388888888888895E-2</v>
      </c>
      <c r="M297" s="3" t="s">
        <v>67</v>
      </c>
      <c r="N297" s="233" t="s">
        <v>733</v>
      </c>
      <c r="O297" s="3">
        <v>3500</v>
      </c>
      <c r="Q297" s="3">
        <v>3500</v>
      </c>
      <c r="R297" s="149">
        <v>5134.82</v>
      </c>
      <c r="S297" s="269">
        <f t="shared" si="40"/>
        <v>1.9299999999993815</v>
      </c>
      <c r="T297" s="233">
        <v>2102.6799999999998</v>
      </c>
      <c r="U297" s="149">
        <v>1.87</v>
      </c>
      <c r="AA297" s="233">
        <v>1840</v>
      </c>
      <c r="AB297" s="233">
        <v>1625</v>
      </c>
      <c r="AC297" s="233">
        <v>3464</v>
      </c>
      <c r="AD297" s="3">
        <v>3500</v>
      </c>
      <c r="AE297" s="233" t="s">
        <v>963</v>
      </c>
      <c r="AF297" s="233" t="s">
        <v>1193</v>
      </c>
      <c r="AG297" s="233" t="s">
        <v>179</v>
      </c>
    </row>
    <row r="298" spans="2:34" x14ac:dyDescent="0.25">
      <c r="B298" s="235">
        <v>45068</v>
      </c>
      <c r="C298" s="3">
        <v>2</v>
      </c>
      <c r="D298" s="236">
        <v>45068</v>
      </c>
      <c r="E298" s="156">
        <v>8383</v>
      </c>
      <c r="F298" s="3">
        <v>281</v>
      </c>
      <c r="G298" s="233">
        <v>7625</v>
      </c>
      <c r="H298" s="3" t="s">
        <v>66</v>
      </c>
      <c r="I298" s="3">
        <v>58</v>
      </c>
      <c r="J298" s="239">
        <v>0.68055555555555547</v>
      </c>
      <c r="K298" s="239">
        <v>0.75</v>
      </c>
      <c r="L298" s="5">
        <f t="shared" si="39"/>
        <v>6.9444444444444531E-2</v>
      </c>
      <c r="M298" s="3" t="s">
        <v>67</v>
      </c>
      <c r="N298" s="233" t="s">
        <v>733</v>
      </c>
      <c r="O298" s="3">
        <v>3539</v>
      </c>
      <c r="Q298" s="3">
        <v>3539</v>
      </c>
      <c r="R298" s="149">
        <v>5136.2</v>
      </c>
      <c r="S298" s="269">
        <f t="shared" si="40"/>
        <v>1.3800000000001091</v>
      </c>
      <c r="T298" s="233">
        <v>2102.6799999999998</v>
      </c>
      <c r="U298" s="149">
        <v>1.7</v>
      </c>
      <c r="AA298" s="3">
        <v>1908</v>
      </c>
      <c r="AB298" s="3">
        <v>1686</v>
      </c>
      <c r="AC298" s="3">
        <v>3595</v>
      </c>
      <c r="AD298" s="3">
        <v>3539</v>
      </c>
      <c r="AE298" s="3" t="s">
        <v>459</v>
      </c>
      <c r="AF298" s="3" t="s">
        <v>1153</v>
      </c>
      <c r="AG298" s="3" t="s">
        <v>1152</v>
      </c>
      <c r="AH298" s="3" t="s">
        <v>451</v>
      </c>
    </row>
    <row r="299" spans="2:34" x14ac:dyDescent="0.25">
      <c r="B299" s="235">
        <v>45068</v>
      </c>
      <c r="C299" s="233">
        <v>2</v>
      </c>
      <c r="D299" s="236">
        <v>45069</v>
      </c>
      <c r="E299" s="156">
        <v>8384</v>
      </c>
      <c r="F299" s="3">
        <v>282</v>
      </c>
      <c r="G299" s="3">
        <v>7605</v>
      </c>
      <c r="H299" s="3" t="s">
        <v>58</v>
      </c>
      <c r="I299" s="3">
        <v>60</v>
      </c>
      <c r="J299" s="239">
        <v>0.82638888888888884</v>
      </c>
      <c r="K299" s="239">
        <v>0.91319444444444453</v>
      </c>
      <c r="L299" s="5">
        <f t="shared" si="39"/>
        <v>8.6805555555555691E-2</v>
      </c>
      <c r="M299" s="3" t="s">
        <v>67</v>
      </c>
      <c r="N299" s="233" t="s">
        <v>733</v>
      </c>
      <c r="O299" s="3">
        <v>3378</v>
      </c>
      <c r="Q299" s="3">
        <v>3378</v>
      </c>
      <c r="R299" s="149">
        <v>5138.2</v>
      </c>
      <c r="S299" s="269">
        <f t="shared" si="40"/>
        <v>2</v>
      </c>
      <c r="T299" s="233">
        <v>2102.6799999999998</v>
      </c>
      <c r="U299" s="149">
        <v>1.6</v>
      </c>
      <c r="AA299" s="3">
        <v>1600</v>
      </c>
      <c r="AB299" s="3">
        <v>1640</v>
      </c>
      <c r="AC299" s="3">
        <v>3240</v>
      </c>
      <c r="AD299" s="3">
        <v>3378</v>
      </c>
      <c r="AE299" s="233" t="s">
        <v>459</v>
      </c>
      <c r="AF299" s="233" t="s">
        <v>1153</v>
      </c>
      <c r="AG299" s="233" t="s">
        <v>1152</v>
      </c>
      <c r="AH299" s="233" t="s">
        <v>451</v>
      </c>
    </row>
    <row r="300" spans="2:34" x14ac:dyDescent="0.25">
      <c r="B300" s="235">
        <v>45068</v>
      </c>
      <c r="C300" s="3">
        <v>3</v>
      </c>
      <c r="D300" s="236">
        <v>45069</v>
      </c>
      <c r="E300" s="156">
        <v>8385</v>
      </c>
      <c r="F300" s="3">
        <v>283</v>
      </c>
      <c r="G300" s="3">
        <v>7617</v>
      </c>
      <c r="H300" s="3" t="s">
        <v>58</v>
      </c>
      <c r="I300" s="3">
        <v>60</v>
      </c>
      <c r="J300" s="239">
        <v>0.14583333333333334</v>
      </c>
      <c r="K300" s="239">
        <v>0.23611111111111113</v>
      </c>
      <c r="L300" s="5">
        <f t="shared" si="39"/>
        <v>9.027777777777779E-2</v>
      </c>
      <c r="M300" s="3" t="s">
        <v>67</v>
      </c>
      <c r="N300" s="3" t="s">
        <v>733</v>
      </c>
      <c r="O300" s="3">
        <v>3500</v>
      </c>
      <c r="Q300" s="3">
        <v>3500</v>
      </c>
      <c r="R300" s="149">
        <v>5139.92</v>
      </c>
      <c r="S300" s="269">
        <f t="shared" si="40"/>
        <v>1.7200000000002547</v>
      </c>
      <c r="T300" s="233">
        <v>2102.6799999999998</v>
      </c>
      <c r="U300" s="149">
        <v>2.11</v>
      </c>
      <c r="AA300" s="3">
        <v>1695</v>
      </c>
      <c r="AB300" s="3">
        <v>1805</v>
      </c>
      <c r="AC300" s="3">
        <v>3500</v>
      </c>
      <c r="AD300" s="3">
        <v>3500</v>
      </c>
      <c r="AE300" s="3" t="s">
        <v>6</v>
      </c>
      <c r="AF300" s="3" t="s">
        <v>148</v>
      </c>
      <c r="AG300" s="3" t="s">
        <v>1203</v>
      </c>
      <c r="AH300" s="3" t="s">
        <v>144</v>
      </c>
    </row>
    <row r="301" spans="2:34" x14ac:dyDescent="0.25">
      <c r="B301" s="235">
        <v>45069</v>
      </c>
      <c r="C301" s="3">
        <v>1</v>
      </c>
      <c r="D301" s="236">
        <v>45069</v>
      </c>
      <c r="E301" s="156">
        <v>8386</v>
      </c>
      <c r="F301" s="3">
        <v>18</v>
      </c>
      <c r="G301" s="3">
        <v>7619</v>
      </c>
      <c r="H301" s="3" t="s">
        <v>66</v>
      </c>
      <c r="I301" s="3">
        <v>58</v>
      </c>
      <c r="J301" s="239">
        <v>0.46180555555555558</v>
      </c>
      <c r="K301" s="239">
        <v>0.54166666666666663</v>
      </c>
      <c r="L301" s="5">
        <f t="shared" si="39"/>
        <v>7.9861111111111049E-2</v>
      </c>
      <c r="M301" s="3" t="s">
        <v>59</v>
      </c>
      <c r="N301" s="3" t="s">
        <v>738</v>
      </c>
      <c r="O301" s="3">
        <v>3400</v>
      </c>
      <c r="Q301" s="3">
        <v>3400</v>
      </c>
      <c r="R301" s="149">
        <v>5141.49</v>
      </c>
      <c r="S301" s="269">
        <f t="shared" si="40"/>
        <v>1.569999999999709</v>
      </c>
      <c r="T301" s="233">
        <v>2102.6799999999998</v>
      </c>
      <c r="AA301" s="3">
        <v>1700</v>
      </c>
      <c r="AB301" s="3">
        <v>1700</v>
      </c>
      <c r="AC301" s="3">
        <v>3400</v>
      </c>
      <c r="AD301" s="3">
        <v>3400</v>
      </c>
      <c r="AE301" s="3" t="s">
        <v>963</v>
      </c>
      <c r="AF301" s="3" t="s">
        <v>1057</v>
      </c>
      <c r="AG301" s="3" t="s">
        <v>709</v>
      </c>
      <c r="AH301" s="3" t="s">
        <v>1205</v>
      </c>
    </row>
    <row r="302" spans="2:34" x14ac:dyDescent="0.25">
      <c r="B302" s="235">
        <v>45069</v>
      </c>
      <c r="C302" s="3">
        <v>2</v>
      </c>
      <c r="D302" s="236">
        <v>45070</v>
      </c>
      <c r="E302" s="156">
        <v>8387</v>
      </c>
      <c r="F302" s="3">
        <v>284</v>
      </c>
      <c r="G302" s="233">
        <v>7605</v>
      </c>
      <c r="H302" s="3" t="s">
        <v>58</v>
      </c>
      <c r="I302" s="3">
        <v>58</v>
      </c>
      <c r="J302" s="239">
        <v>0.76388888888888884</v>
      </c>
      <c r="K302" s="239">
        <v>0.82638888888888884</v>
      </c>
      <c r="L302" s="5">
        <f t="shared" si="39"/>
        <v>6.25E-2</v>
      </c>
      <c r="M302" s="3" t="s">
        <v>67</v>
      </c>
      <c r="N302" s="233" t="s">
        <v>733</v>
      </c>
      <c r="O302" s="3">
        <v>3250</v>
      </c>
      <c r="Q302" s="3">
        <v>3250</v>
      </c>
      <c r="R302" s="149">
        <v>5143.1099999999997</v>
      </c>
      <c r="S302" s="269">
        <f t="shared" si="40"/>
        <v>1.6199999999998909</v>
      </c>
      <c r="T302" s="233">
        <v>2102.6799999999998</v>
      </c>
      <c r="U302" s="149">
        <v>1.52</v>
      </c>
      <c r="AA302" s="3">
        <v>1650</v>
      </c>
      <c r="AB302" s="3">
        <v>1660</v>
      </c>
      <c r="AC302" s="3">
        <v>3310</v>
      </c>
      <c r="AD302" s="3">
        <v>3400</v>
      </c>
      <c r="AE302" s="233" t="s">
        <v>7</v>
      </c>
      <c r="AF302" s="233" t="s">
        <v>701</v>
      </c>
      <c r="AG302" s="233" t="s">
        <v>474</v>
      </c>
      <c r="AH302" s="233" t="s">
        <v>902</v>
      </c>
    </row>
    <row r="303" spans="2:34" x14ac:dyDescent="0.25">
      <c r="B303" s="235">
        <v>45069</v>
      </c>
      <c r="C303" s="3">
        <v>3</v>
      </c>
      <c r="D303" s="148">
        <v>45070</v>
      </c>
      <c r="E303" s="156">
        <v>8388</v>
      </c>
      <c r="F303" s="3">
        <v>285</v>
      </c>
      <c r="G303" s="3">
        <v>7617</v>
      </c>
      <c r="H303" s="3" t="s">
        <v>58</v>
      </c>
      <c r="I303" s="3">
        <v>60</v>
      </c>
      <c r="J303" s="239">
        <v>8.3333333333333329E-2</v>
      </c>
      <c r="K303" s="239">
        <v>0.14583333333333334</v>
      </c>
      <c r="L303" s="5">
        <f t="shared" si="39"/>
        <v>6.2500000000000014E-2</v>
      </c>
      <c r="M303" s="3" t="s">
        <v>67</v>
      </c>
      <c r="N303" s="3" t="s">
        <v>733</v>
      </c>
      <c r="O303" s="3">
        <v>3460</v>
      </c>
      <c r="Q303" s="3">
        <v>3460</v>
      </c>
      <c r="R303" s="149">
        <v>5144.3599999999997</v>
      </c>
      <c r="S303" s="269">
        <f t="shared" si="40"/>
        <v>1.25</v>
      </c>
      <c r="T303" s="233">
        <v>2102.6799999999998</v>
      </c>
      <c r="U303" s="149">
        <v>1.42</v>
      </c>
      <c r="AA303" s="3">
        <v>1810</v>
      </c>
      <c r="AB303" s="3">
        <v>1650</v>
      </c>
      <c r="AC303" s="3">
        <v>3460</v>
      </c>
      <c r="AD303" s="3">
        <v>3460</v>
      </c>
      <c r="AE303" s="233" t="s">
        <v>6</v>
      </c>
      <c r="AF303" s="233" t="s">
        <v>919</v>
      </c>
      <c r="AG303" s="233" t="s">
        <v>1203</v>
      </c>
      <c r="AH303" s="233" t="s">
        <v>144</v>
      </c>
    </row>
    <row r="304" spans="2:34" x14ac:dyDescent="0.25">
      <c r="B304" s="235">
        <v>45070</v>
      </c>
      <c r="C304" s="3">
        <v>1</v>
      </c>
      <c r="D304" s="148">
        <v>45070</v>
      </c>
      <c r="E304" s="156">
        <v>8389</v>
      </c>
      <c r="F304" s="3">
        <v>19</v>
      </c>
      <c r="G304" s="3">
        <v>7619</v>
      </c>
      <c r="H304" s="3" t="s">
        <v>58</v>
      </c>
      <c r="I304" s="3">
        <v>60</v>
      </c>
      <c r="J304" s="239">
        <v>0.4513888888888889</v>
      </c>
      <c r="K304" s="239">
        <v>0.51736111111111105</v>
      </c>
      <c r="L304" s="5">
        <f t="shared" si="39"/>
        <v>6.5972222222222154E-2</v>
      </c>
      <c r="M304" s="3" t="s">
        <v>59</v>
      </c>
      <c r="N304" s="3" t="s">
        <v>737</v>
      </c>
      <c r="O304" s="3">
        <v>3365</v>
      </c>
      <c r="Q304" s="3">
        <v>3365</v>
      </c>
      <c r="R304" s="149">
        <v>5145.88</v>
      </c>
      <c r="S304" s="269">
        <f t="shared" si="40"/>
        <v>1.5200000000004366</v>
      </c>
      <c r="T304" s="3">
        <v>2100</v>
      </c>
      <c r="U304" s="149">
        <v>1.42</v>
      </c>
      <c r="AA304" s="3">
        <v>1615</v>
      </c>
      <c r="AB304" s="3">
        <v>1645</v>
      </c>
      <c r="AC304" s="3">
        <v>3260</v>
      </c>
      <c r="AD304" s="3">
        <v>3365</v>
      </c>
      <c r="AE304" s="3" t="s">
        <v>1099</v>
      </c>
      <c r="AF304" s="3" t="s">
        <v>1209</v>
      </c>
      <c r="AG304" s="3" t="s">
        <v>1208</v>
      </c>
      <c r="AH304" s="3" t="s">
        <v>709</v>
      </c>
    </row>
    <row r="305" spans="2:34" x14ac:dyDescent="0.25">
      <c r="B305" s="235">
        <v>45070</v>
      </c>
      <c r="C305" s="3">
        <v>2</v>
      </c>
      <c r="D305" s="148">
        <v>45071</v>
      </c>
      <c r="E305" s="156">
        <v>8390</v>
      </c>
      <c r="F305" s="3">
        <v>286</v>
      </c>
      <c r="G305" s="3">
        <v>7605</v>
      </c>
      <c r="H305" s="3" t="s">
        <v>66</v>
      </c>
      <c r="I305" s="3">
        <v>57</v>
      </c>
      <c r="J305" s="239">
        <v>0.75</v>
      </c>
      <c r="K305" s="239">
        <v>0.81944444444444453</v>
      </c>
      <c r="L305" s="5">
        <f t="shared" si="39"/>
        <v>6.9444444444444531E-2</v>
      </c>
      <c r="M305" s="3" t="s">
        <v>73</v>
      </c>
      <c r="N305" s="3" t="s">
        <v>733</v>
      </c>
      <c r="O305" s="3">
        <v>3324</v>
      </c>
      <c r="Q305" s="3">
        <v>3324</v>
      </c>
      <c r="R305" s="149">
        <v>5148.5200000000004</v>
      </c>
      <c r="S305" s="269">
        <f t="shared" si="40"/>
        <v>2.6400000000003274</v>
      </c>
      <c r="T305" s="233">
        <v>2100</v>
      </c>
      <c r="U305" s="149">
        <v>1.9</v>
      </c>
      <c r="AA305" s="3">
        <v>1630</v>
      </c>
      <c r="AB305" s="3">
        <v>1640</v>
      </c>
      <c r="AC305" s="3">
        <v>3270</v>
      </c>
      <c r="AD305" s="3">
        <v>3324</v>
      </c>
      <c r="AE305" s="3" t="s">
        <v>747</v>
      </c>
      <c r="AF305" s="233" t="s">
        <v>1153</v>
      </c>
      <c r="AG305" s="233" t="s">
        <v>1152</v>
      </c>
      <c r="AH305" s="233" t="s">
        <v>451</v>
      </c>
    </row>
    <row r="306" spans="2:34" x14ac:dyDescent="0.25">
      <c r="B306" s="235">
        <v>45070</v>
      </c>
      <c r="C306" s="3">
        <v>3</v>
      </c>
      <c r="D306" s="236">
        <v>45071</v>
      </c>
      <c r="E306" s="156">
        <v>8391</v>
      </c>
      <c r="F306" s="3">
        <v>287</v>
      </c>
      <c r="G306" s="233">
        <v>7617</v>
      </c>
      <c r="H306" s="233" t="s">
        <v>58</v>
      </c>
      <c r="I306" s="3">
        <v>58</v>
      </c>
      <c r="J306" s="239">
        <v>0.125</v>
      </c>
      <c r="K306" s="239">
        <v>0.1875</v>
      </c>
      <c r="L306" s="5">
        <f t="shared" si="39"/>
        <v>6.25E-2</v>
      </c>
      <c r="M306" s="233" t="s">
        <v>73</v>
      </c>
      <c r="N306" s="233" t="s">
        <v>733</v>
      </c>
      <c r="O306" s="3">
        <v>3300</v>
      </c>
      <c r="Q306" s="3">
        <v>3300</v>
      </c>
      <c r="R306" s="149">
        <v>5150.16</v>
      </c>
      <c r="S306" s="269">
        <f t="shared" si="40"/>
        <v>1.6399999999994179</v>
      </c>
      <c r="T306" s="233">
        <v>2100</v>
      </c>
      <c r="U306" s="149">
        <v>1.5</v>
      </c>
      <c r="AA306" s="233">
        <v>0</v>
      </c>
      <c r="AB306" s="233">
        <v>0</v>
      </c>
      <c r="AC306" s="233">
        <v>0</v>
      </c>
      <c r="AD306" s="3">
        <v>3300</v>
      </c>
      <c r="AE306" s="233" t="s">
        <v>6</v>
      </c>
      <c r="AF306" s="233" t="s">
        <v>919</v>
      </c>
      <c r="AG306" s="233" t="s">
        <v>1203</v>
      </c>
      <c r="AH306" s="233" t="s">
        <v>144</v>
      </c>
    </row>
    <row r="307" spans="2:34" x14ac:dyDescent="0.25">
      <c r="B307" s="235">
        <v>45071</v>
      </c>
      <c r="C307" s="3">
        <v>1</v>
      </c>
      <c r="D307" s="148">
        <v>45071</v>
      </c>
      <c r="E307" s="156">
        <v>8392</v>
      </c>
      <c r="F307" s="3">
        <v>288</v>
      </c>
      <c r="G307" s="3">
        <v>7625</v>
      </c>
      <c r="H307" s="3" t="s">
        <v>58</v>
      </c>
      <c r="I307" s="3">
        <v>60</v>
      </c>
      <c r="J307" s="239">
        <v>0.48958333333333331</v>
      </c>
      <c r="K307" s="239">
        <v>0.55555555555555558</v>
      </c>
      <c r="L307" s="5">
        <f t="shared" si="39"/>
        <v>6.5972222222222265E-2</v>
      </c>
      <c r="M307" s="3" t="s">
        <v>73</v>
      </c>
      <c r="N307" s="3" t="s">
        <v>733</v>
      </c>
      <c r="O307" s="3">
        <v>3430</v>
      </c>
      <c r="Q307" s="3">
        <v>3430</v>
      </c>
      <c r="R307" s="149">
        <v>5151.58</v>
      </c>
      <c r="S307" s="269">
        <f t="shared" si="40"/>
        <v>1.4200000000000728</v>
      </c>
      <c r="T307" s="233">
        <v>2353</v>
      </c>
      <c r="U307" s="149">
        <v>1.64</v>
      </c>
      <c r="AA307" s="3">
        <v>1700</v>
      </c>
      <c r="AB307" s="3">
        <v>1730</v>
      </c>
      <c r="AC307" s="3">
        <v>3430</v>
      </c>
      <c r="AD307" s="3">
        <v>3430</v>
      </c>
      <c r="AE307" s="3" t="s">
        <v>459</v>
      </c>
      <c r="AF307" s="3" t="s">
        <v>940</v>
      </c>
      <c r="AG307" s="3" t="s">
        <v>179</v>
      </c>
      <c r="AH307" s="3" t="s">
        <v>709</v>
      </c>
    </row>
    <row r="308" spans="2:34" x14ac:dyDescent="0.25">
      <c r="B308" s="235">
        <v>45071</v>
      </c>
      <c r="C308" s="3">
        <v>2</v>
      </c>
      <c r="D308" s="148">
        <v>45072</v>
      </c>
      <c r="E308" s="156">
        <v>8393</v>
      </c>
      <c r="F308" s="3">
        <v>289</v>
      </c>
      <c r="G308" s="3">
        <v>7605</v>
      </c>
      <c r="H308" s="3" t="s">
        <v>66</v>
      </c>
      <c r="I308" s="3">
        <v>56</v>
      </c>
      <c r="J308" s="239">
        <v>0.67361111111111116</v>
      </c>
      <c r="K308" s="239">
        <v>0.73611111111111116</v>
      </c>
      <c r="L308" s="5">
        <f t="shared" si="39"/>
        <v>6.25E-2</v>
      </c>
      <c r="M308" s="3" t="s">
        <v>73</v>
      </c>
      <c r="N308" s="3" t="s">
        <v>735</v>
      </c>
      <c r="O308" s="3">
        <v>3281</v>
      </c>
      <c r="Q308" s="3">
        <v>3281</v>
      </c>
      <c r="R308" s="149">
        <v>5153.2</v>
      </c>
      <c r="S308" s="269">
        <f t="shared" si="40"/>
        <v>1.6199999999998909</v>
      </c>
      <c r="T308" s="233">
        <v>2353</v>
      </c>
      <c r="U308" s="149">
        <v>1.59</v>
      </c>
      <c r="AA308" s="3">
        <v>0</v>
      </c>
      <c r="AB308" s="3">
        <v>0</v>
      </c>
      <c r="AC308" s="3">
        <v>0</v>
      </c>
      <c r="AD308" s="3">
        <v>3281</v>
      </c>
      <c r="AE308" s="233" t="s">
        <v>1213</v>
      </c>
      <c r="AF308" s="233" t="s">
        <v>1153</v>
      </c>
      <c r="AG308" s="233" t="s">
        <v>1152</v>
      </c>
      <c r="AH308" s="233" t="s">
        <v>451</v>
      </c>
    </row>
    <row r="309" spans="2:34" x14ac:dyDescent="0.25">
      <c r="B309" s="235">
        <v>45071</v>
      </c>
      <c r="C309" s="3">
        <v>3</v>
      </c>
      <c r="D309" s="236">
        <v>45072</v>
      </c>
      <c r="E309" s="156">
        <v>8394</v>
      </c>
      <c r="F309" s="3">
        <v>290</v>
      </c>
      <c r="G309" s="233">
        <v>7617</v>
      </c>
      <c r="H309" s="233" t="s">
        <v>58</v>
      </c>
      <c r="I309" s="3">
        <v>60</v>
      </c>
      <c r="J309" s="239">
        <v>0.1388888888888889</v>
      </c>
      <c r="K309" s="239">
        <v>0.19791666666666666</v>
      </c>
      <c r="L309" s="5">
        <f t="shared" si="39"/>
        <v>5.9027777777777762E-2</v>
      </c>
      <c r="M309" s="233" t="s">
        <v>73</v>
      </c>
      <c r="N309" s="233" t="s">
        <v>735</v>
      </c>
      <c r="O309" s="3">
        <v>3400</v>
      </c>
      <c r="Q309" s="3">
        <v>3400</v>
      </c>
      <c r="R309" s="149">
        <v>5154.47</v>
      </c>
      <c r="S309" s="269">
        <f t="shared" si="40"/>
        <v>1.2700000000004366</v>
      </c>
      <c r="T309" s="233">
        <v>2353</v>
      </c>
      <c r="U309" s="149">
        <v>1.51</v>
      </c>
      <c r="AA309" s="233">
        <v>0</v>
      </c>
      <c r="AB309" s="233">
        <v>0</v>
      </c>
      <c r="AC309" s="233">
        <v>0</v>
      </c>
      <c r="AD309" s="3">
        <v>3400</v>
      </c>
      <c r="AE309" s="233" t="s">
        <v>199</v>
      </c>
      <c r="AF309" s="233" t="s">
        <v>919</v>
      </c>
      <c r="AG309" s="233" t="s">
        <v>1203</v>
      </c>
      <c r="AH309" s="233" t="s">
        <v>144</v>
      </c>
    </row>
    <row r="310" spans="2:34" x14ac:dyDescent="0.25">
      <c r="B310" s="235">
        <v>45072</v>
      </c>
      <c r="C310" s="3">
        <v>1</v>
      </c>
      <c r="D310" s="148">
        <v>45073</v>
      </c>
      <c r="E310" s="156">
        <v>8395</v>
      </c>
      <c r="F310" s="3">
        <v>291</v>
      </c>
      <c r="G310" s="3">
        <v>7605</v>
      </c>
      <c r="H310" s="3" t="s">
        <v>58</v>
      </c>
      <c r="I310" s="3">
        <v>60</v>
      </c>
      <c r="J310" s="239">
        <v>0.51736111111111105</v>
      </c>
      <c r="K310" s="239">
        <v>0.58333333333333337</v>
      </c>
      <c r="L310" s="5">
        <f t="shared" si="39"/>
        <v>6.5972222222222321E-2</v>
      </c>
      <c r="M310" s="3" t="s">
        <v>73</v>
      </c>
      <c r="N310" s="3" t="s">
        <v>735</v>
      </c>
      <c r="O310" s="3">
        <v>3430</v>
      </c>
      <c r="Q310" s="3">
        <v>3430</v>
      </c>
      <c r="R310" s="149">
        <v>5155.99</v>
      </c>
      <c r="S310" s="269">
        <f t="shared" si="40"/>
        <v>1.5199999999995271</v>
      </c>
      <c r="T310" s="3">
        <v>2381</v>
      </c>
      <c r="U310" s="149">
        <v>1.6</v>
      </c>
      <c r="AA310" s="3">
        <v>1817</v>
      </c>
      <c r="AB310" s="3">
        <v>1705</v>
      </c>
      <c r="AC310" s="3">
        <v>3523</v>
      </c>
      <c r="AD310" s="3">
        <v>3430</v>
      </c>
      <c r="AE310" s="3" t="s">
        <v>926</v>
      </c>
      <c r="AF310" s="3" t="s">
        <v>940</v>
      </c>
      <c r="AG310" s="3" t="s">
        <v>179</v>
      </c>
      <c r="AH310" s="3" t="s">
        <v>1216</v>
      </c>
    </row>
    <row r="311" spans="2:34" x14ac:dyDescent="0.25">
      <c r="B311" s="235">
        <v>45072</v>
      </c>
      <c r="C311" s="3">
        <v>2</v>
      </c>
      <c r="D311" s="148">
        <v>45073</v>
      </c>
      <c r="E311" s="156">
        <v>8396</v>
      </c>
      <c r="F311" s="3">
        <v>292</v>
      </c>
      <c r="G311" s="233">
        <v>7617</v>
      </c>
      <c r="H311" s="3" t="s">
        <v>66</v>
      </c>
      <c r="I311" s="3">
        <v>56</v>
      </c>
      <c r="J311" s="239">
        <v>0.73263888888888884</v>
      </c>
      <c r="K311" s="239">
        <v>0.79513888888888884</v>
      </c>
      <c r="L311" s="5">
        <f t="shared" si="39"/>
        <v>6.25E-2</v>
      </c>
      <c r="M311" s="3" t="s">
        <v>73</v>
      </c>
      <c r="N311" s="233" t="s">
        <v>735</v>
      </c>
      <c r="O311" s="3">
        <v>3300</v>
      </c>
      <c r="Q311" s="3">
        <v>3300</v>
      </c>
      <c r="R311" s="149">
        <v>5157.3</v>
      </c>
      <c r="S311" s="269">
        <f t="shared" si="40"/>
        <v>1.3100000000004002</v>
      </c>
      <c r="T311" s="233">
        <v>2381</v>
      </c>
      <c r="U311" s="149">
        <v>1.601</v>
      </c>
      <c r="AA311" s="3">
        <v>1864</v>
      </c>
      <c r="AB311" s="3">
        <v>1656</v>
      </c>
      <c r="AC311" s="3">
        <v>3520</v>
      </c>
      <c r="AD311" s="3">
        <v>3300</v>
      </c>
      <c r="AE311" s="233" t="s">
        <v>747</v>
      </c>
      <c r="AF311" s="233" t="s">
        <v>1153</v>
      </c>
      <c r="AG311" s="233" t="s">
        <v>1152</v>
      </c>
      <c r="AH311" s="233" t="s">
        <v>451</v>
      </c>
    </row>
    <row r="312" spans="2:34" x14ac:dyDescent="0.25">
      <c r="B312" s="235">
        <v>45077</v>
      </c>
      <c r="C312" s="3">
        <v>1</v>
      </c>
      <c r="D312" s="148">
        <v>45078</v>
      </c>
      <c r="E312" s="156">
        <v>8397</v>
      </c>
      <c r="F312" s="3">
        <v>293</v>
      </c>
      <c r="G312" s="3">
        <v>7605</v>
      </c>
      <c r="H312" s="3" t="s">
        <v>58</v>
      </c>
      <c r="I312" s="3">
        <v>59</v>
      </c>
      <c r="J312" s="239">
        <v>0.51736111111111105</v>
      </c>
      <c r="K312" s="239">
        <v>0.57638888888888895</v>
      </c>
      <c r="L312" s="5">
        <f t="shared" si="39"/>
        <v>5.9027777777777901E-2</v>
      </c>
      <c r="M312" s="233" t="s">
        <v>73</v>
      </c>
      <c r="N312" s="233" t="s">
        <v>735</v>
      </c>
      <c r="O312" s="3">
        <v>3320</v>
      </c>
      <c r="Q312" s="3">
        <v>3320</v>
      </c>
      <c r="R312" s="149">
        <v>5158.72</v>
      </c>
      <c r="S312" s="269">
        <f t="shared" si="40"/>
        <v>1.4200000000000728</v>
      </c>
      <c r="T312" s="3">
        <v>2372</v>
      </c>
      <c r="U312" s="149">
        <v>1.46</v>
      </c>
      <c r="AA312" s="3">
        <v>1728</v>
      </c>
      <c r="AB312" s="3">
        <v>1567</v>
      </c>
      <c r="AC312" s="3">
        <v>3296</v>
      </c>
      <c r="AD312" s="3">
        <v>3320</v>
      </c>
      <c r="AE312" s="3" t="s">
        <v>1099</v>
      </c>
      <c r="AF312" s="3" t="s">
        <v>1185</v>
      </c>
      <c r="AG312" s="3" t="s">
        <v>1152</v>
      </c>
      <c r="AH312" s="3" t="s">
        <v>461</v>
      </c>
    </row>
    <row r="313" spans="2:34" x14ac:dyDescent="0.25">
      <c r="B313" s="235">
        <v>45077</v>
      </c>
      <c r="C313" s="233">
        <v>2</v>
      </c>
      <c r="D313" s="236">
        <v>45078</v>
      </c>
      <c r="E313" s="156">
        <v>8398</v>
      </c>
      <c r="F313" s="3">
        <v>294</v>
      </c>
      <c r="G313" s="233">
        <v>7617</v>
      </c>
      <c r="H313" s="3" t="s">
        <v>58</v>
      </c>
      <c r="I313" s="3">
        <v>60</v>
      </c>
      <c r="J313" s="239">
        <v>0.80902777777777779</v>
      </c>
      <c r="K313" s="239">
        <v>0.875</v>
      </c>
      <c r="L313" s="5">
        <f t="shared" si="39"/>
        <v>6.597222222222221E-2</v>
      </c>
      <c r="M313" s="233" t="s">
        <v>73</v>
      </c>
      <c r="N313" s="233" t="s">
        <v>735</v>
      </c>
      <c r="O313" s="3">
        <v>3480</v>
      </c>
      <c r="Q313" s="3">
        <v>3480</v>
      </c>
      <c r="R313" s="149">
        <v>5160.24</v>
      </c>
      <c r="S313" s="269">
        <f t="shared" si="40"/>
        <v>1.5199999999995271</v>
      </c>
      <c r="T313" s="233">
        <v>2372</v>
      </c>
      <c r="U313" s="149">
        <v>1.55</v>
      </c>
      <c r="AA313" s="3">
        <v>1818</v>
      </c>
      <c r="AB313" s="3">
        <v>1771</v>
      </c>
      <c r="AC313" s="3">
        <v>3589</v>
      </c>
      <c r="AD313" s="3">
        <v>3480</v>
      </c>
      <c r="AE313" s="3" t="s">
        <v>714</v>
      </c>
      <c r="AF313" s="3" t="s">
        <v>148</v>
      </c>
      <c r="AG313" s="3" t="s">
        <v>193</v>
      </c>
      <c r="AH313" s="3" t="s">
        <v>816</v>
      </c>
    </row>
    <row r="314" spans="2:34" x14ac:dyDescent="0.25">
      <c r="B314" s="235">
        <v>45047</v>
      </c>
      <c r="C314" s="3">
        <v>1</v>
      </c>
      <c r="D314" s="148">
        <v>45078</v>
      </c>
      <c r="E314" s="156">
        <v>8399</v>
      </c>
      <c r="F314" s="3">
        <v>295</v>
      </c>
      <c r="G314" s="233">
        <v>7625</v>
      </c>
      <c r="H314" s="3" t="s">
        <v>66</v>
      </c>
      <c r="I314" s="3">
        <v>58</v>
      </c>
      <c r="J314" s="239">
        <v>0.44444444444444442</v>
      </c>
      <c r="K314" s="239">
        <v>0.5</v>
      </c>
      <c r="L314" s="5">
        <f t="shared" si="39"/>
        <v>5.555555555555558E-2</v>
      </c>
      <c r="M314" s="3" t="s">
        <v>73</v>
      </c>
      <c r="N314" s="233" t="s">
        <v>735</v>
      </c>
      <c r="O314" s="3">
        <v>3610</v>
      </c>
      <c r="Q314" s="3">
        <v>3610</v>
      </c>
      <c r="R314" s="149">
        <v>5162.2</v>
      </c>
      <c r="S314" s="269">
        <f t="shared" si="40"/>
        <v>1.9600000000000364</v>
      </c>
      <c r="T314" s="233">
        <v>2372</v>
      </c>
      <c r="U314" s="149">
        <v>1.59</v>
      </c>
      <c r="AA314" s="3">
        <v>1700</v>
      </c>
      <c r="AB314" s="3">
        <v>1800</v>
      </c>
      <c r="AC314" s="3">
        <v>3500</v>
      </c>
      <c r="AD314" s="3">
        <v>3400</v>
      </c>
      <c r="AE314" s="233" t="s">
        <v>926</v>
      </c>
      <c r="AF314" s="233" t="s">
        <v>940</v>
      </c>
      <c r="AG314" s="233" t="s">
        <v>1152</v>
      </c>
      <c r="AH314" s="3" t="s">
        <v>825</v>
      </c>
    </row>
    <row r="315" spans="2:34" x14ac:dyDescent="0.25">
      <c r="B315" s="235">
        <v>45047</v>
      </c>
      <c r="C315" s="3">
        <v>2</v>
      </c>
      <c r="D315" s="148">
        <v>45079</v>
      </c>
      <c r="E315" s="156">
        <v>8400</v>
      </c>
      <c r="F315" s="3">
        <v>296</v>
      </c>
      <c r="G315" s="233">
        <v>7605</v>
      </c>
      <c r="H315" s="3" t="s">
        <v>58</v>
      </c>
      <c r="I315" s="3">
        <v>60</v>
      </c>
      <c r="J315" s="239">
        <v>0.78472222222222221</v>
      </c>
      <c r="K315" s="239">
        <v>0.85416666666666663</v>
      </c>
      <c r="L315" s="5">
        <f t="shared" si="39"/>
        <v>6.944444444444442E-2</v>
      </c>
      <c r="M315" s="233" t="s">
        <v>73</v>
      </c>
      <c r="N315" s="233" t="s">
        <v>735</v>
      </c>
      <c r="O315" s="3">
        <v>3420</v>
      </c>
      <c r="Q315" s="3">
        <v>3420</v>
      </c>
      <c r="R315" s="149">
        <v>5163.59</v>
      </c>
      <c r="S315" s="269">
        <f t="shared" si="40"/>
        <v>1.3900000000003274</v>
      </c>
      <c r="T315" s="233">
        <v>2372</v>
      </c>
      <c r="U315" s="149">
        <v>1.82</v>
      </c>
      <c r="AA315" s="3">
        <v>1784</v>
      </c>
      <c r="AB315" s="3">
        <v>1765</v>
      </c>
      <c r="AC315" s="233">
        <v>3534</v>
      </c>
      <c r="AD315" s="233">
        <v>3420</v>
      </c>
      <c r="AE315" s="233" t="s">
        <v>714</v>
      </c>
      <c r="AF315" s="233" t="s">
        <v>148</v>
      </c>
      <c r="AG315" s="233" t="s">
        <v>193</v>
      </c>
      <c r="AH315" s="233" t="s">
        <v>816</v>
      </c>
    </row>
    <row r="316" spans="2:34" x14ac:dyDescent="0.25">
      <c r="B316" s="235">
        <v>45047</v>
      </c>
      <c r="C316" s="3">
        <v>3</v>
      </c>
      <c r="D316" s="236">
        <v>45079</v>
      </c>
      <c r="E316" s="156">
        <v>8401</v>
      </c>
      <c r="F316" s="3">
        <v>297</v>
      </c>
      <c r="G316" s="233">
        <v>7617</v>
      </c>
      <c r="H316" s="233" t="s">
        <v>58</v>
      </c>
      <c r="I316" s="3">
        <v>60</v>
      </c>
      <c r="J316" s="239">
        <v>0.14583333333333334</v>
      </c>
      <c r="K316" s="239">
        <v>0.22916666666666666</v>
      </c>
      <c r="L316" s="5">
        <f t="shared" si="39"/>
        <v>8.3333333333333315E-2</v>
      </c>
      <c r="M316" s="233" t="s">
        <v>73</v>
      </c>
      <c r="N316" s="233" t="s">
        <v>735</v>
      </c>
      <c r="O316" s="3">
        <v>3443</v>
      </c>
      <c r="Q316" s="3">
        <v>3443</v>
      </c>
      <c r="R316" s="149">
        <v>5165.43</v>
      </c>
      <c r="S316" s="269">
        <f t="shared" si="40"/>
        <v>1.8400000000001455</v>
      </c>
      <c r="T316" s="233">
        <v>2372</v>
      </c>
      <c r="U316" s="149">
        <v>2.06</v>
      </c>
      <c r="AA316" s="3">
        <v>1738</v>
      </c>
      <c r="AB316" s="3">
        <v>1704</v>
      </c>
      <c r="AC316" s="3">
        <v>3443</v>
      </c>
      <c r="AD316" s="3" t="s">
        <v>492</v>
      </c>
      <c r="AE316" s="233" t="s">
        <v>747</v>
      </c>
      <c r="AF316" s="3" t="s">
        <v>1248</v>
      </c>
      <c r="AG316" s="3" t="s">
        <v>663</v>
      </c>
      <c r="AH316" s="3" t="s">
        <v>846</v>
      </c>
    </row>
    <row r="317" spans="2:34" x14ac:dyDescent="0.25">
      <c r="B317" s="235">
        <v>45079</v>
      </c>
      <c r="C317" s="3">
        <v>1</v>
      </c>
      <c r="D317" s="148">
        <v>45079</v>
      </c>
      <c r="E317" s="156">
        <v>8402</v>
      </c>
      <c r="F317" s="3">
        <v>298</v>
      </c>
      <c r="G317" s="233">
        <v>7625</v>
      </c>
      <c r="H317" s="3" t="s">
        <v>66</v>
      </c>
      <c r="I317" s="3">
        <v>58</v>
      </c>
      <c r="J317" s="239">
        <v>0.39930555555555558</v>
      </c>
      <c r="K317" s="239">
        <v>0.47222222222222227</v>
      </c>
      <c r="L317" s="5">
        <f t="shared" si="39"/>
        <v>7.2916666666666685E-2</v>
      </c>
      <c r="M317" s="3" t="s">
        <v>73</v>
      </c>
      <c r="N317" s="3" t="s">
        <v>733</v>
      </c>
      <c r="O317" s="3">
        <v>3420</v>
      </c>
      <c r="Q317" s="3">
        <v>3420</v>
      </c>
      <c r="R317" s="149">
        <v>5167.2</v>
      </c>
      <c r="S317" s="269">
        <f t="shared" si="40"/>
        <v>1.7699999999995271</v>
      </c>
      <c r="T317" s="233">
        <v>2372</v>
      </c>
      <c r="U317" s="149">
        <v>1.9</v>
      </c>
      <c r="AA317" s="3">
        <v>1738</v>
      </c>
      <c r="AB317" s="3">
        <v>1682</v>
      </c>
      <c r="AC317" s="3">
        <v>3420</v>
      </c>
      <c r="AD317" s="3">
        <v>3420</v>
      </c>
      <c r="AE317" s="233" t="s">
        <v>926</v>
      </c>
      <c r="AF317" s="233" t="s">
        <v>940</v>
      </c>
      <c r="AG317" s="233" t="s">
        <v>1152</v>
      </c>
      <c r="AH317" s="233" t="s">
        <v>906</v>
      </c>
    </row>
    <row r="318" spans="2:34" x14ac:dyDescent="0.25">
      <c r="B318" s="235">
        <v>45079</v>
      </c>
      <c r="C318" s="3">
        <v>2</v>
      </c>
      <c r="D318" s="148">
        <v>45080</v>
      </c>
      <c r="E318" s="156">
        <v>8403</v>
      </c>
      <c r="F318" s="3">
        <v>299</v>
      </c>
      <c r="G318" s="3">
        <v>7605</v>
      </c>
      <c r="H318" s="233" t="s">
        <v>58</v>
      </c>
      <c r="I318" s="233">
        <v>60</v>
      </c>
      <c r="J318" s="239">
        <v>0.68402777777777779</v>
      </c>
      <c r="K318" s="239">
        <v>0.75</v>
      </c>
      <c r="L318" s="5">
        <f t="shared" si="39"/>
        <v>6.597222222222221E-2</v>
      </c>
      <c r="M318" s="233" t="s">
        <v>73</v>
      </c>
      <c r="N318" s="233" t="s">
        <v>733</v>
      </c>
      <c r="O318" s="3">
        <v>3430</v>
      </c>
      <c r="Q318" s="3">
        <v>3430</v>
      </c>
      <c r="R318" s="149">
        <v>5168.7700000000004</v>
      </c>
      <c r="S318" s="269">
        <f t="shared" si="40"/>
        <v>1.5700000000006185</v>
      </c>
      <c r="T318" s="233">
        <v>2372</v>
      </c>
      <c r="U318" s="149">
        <v>1.66</v>
      </c>
      <c r="AA318" s="3">
        <v>1904</v>
      </c>
      <c r="AB318" s="3">
        <v>1605</v>
      </c>
      <c r="AC318" s="3">
        <v>3556</v>
      </c>
      <c r="AD318" s="3">
        <v>3430</v>
      </c>
      <c r="AE318" s="233" t="s">
        <v>714</v>
      </c>
      <c r="AF318" s="233" t="s">
        <v>148</v>
      </c>
      <c r="AG318" s="233" t="s">
        <v>193</v>
      </c>
      <c r="AH318" s="233" t="s">
        <v>816</v>
      </c>
    </row>
    <row r="319" spans="2:34" x14ac:dyDescent="0.25">
      <c r="B319" s="235">
        <v>45079</v>
      </c>
      <c r="C319" s="3">
        <v>3</v>
      </c>
      <c r="D319" s="236">
        <v>45080</v>
      </c>
      <c r="E319" s="156">
        <v>8404</v>
      </c>
      <c r="F319" s="3">
        <v>300</v>
      </c>
      <c r="G319" s="233">
        <v>7617</v>
      </c>
      <c r="H319" s="233" t="s">
        <v>58</v>
      </c>
      <c r="I319" s="3">
        <v>60</v>
      </c>
      <c r="J319" s="239">
        <v>0.13194444444444445</v>
      </c>
      <c r="K319" s="239">
        <v>0.19791666666666666</v>
      </c>
      <c r="L319" s="5">
        <f t="shared" si="39"/>
        <v>6.597222222222221E-2</v>
      </c>
      <c r="M319" s="233" t="s">
        <v>73</v>
      </c>
      <c r="N319" s="233" t="s">
        <v>733</v>
      </c>
      <c r="O319" s="3">
        <v>3425</v>
      </c>
      <c r="Q319" s="3">
        <v>3425</v>
      </c>
      <c r="R319" s="149">
        <v>5170.2</v>
      </c>
      <c r="S319" s="269">
        <f t="shared" ref="S319:S325" si="41">R319-R318</f>
        <v>1.4299999999993815</v>
      </c>
      <c r="T319" s="233">
        <v>2372</v>
      </c>
      <c r="U319" s="149">
        <v>1.7</v>
      </c>
      <c r="AA319" s="3">
        <v>1735</v>
      </c>
      <c r="AB319" s="3">
        <v>1690</v>
      </c>
      <c r="AC319" s="3">
        <v>3425</v>
      </c>
      <c r="AD319" s="233" t="s">
        <v>492</v>
      </c>
      <c r="AE319" s="233" t="s">
        <v>747</v>
      </c>
      <c r="AF319" s="233" t="s">
        <v>1248</v>
      </c>
      <c r="AG319" s="233" t="s">
        <v>663</v>
      </c>
      <c r="AH319" s="233" t="s">
        <v>846</v>
      </c>
    </row>
    <row r="320" spans="2:34" x14ac:dyDescent="0.25">
      <c r="B320" s="235">
        <v>45082</v>
      </c>
      <c r="C320" s="3">
        <v>1</v>
      </c>
      <c r="D320" s="148">
        <v>45082</v>
      </c>
      <c r="E320" s="156">
        <v>8405</v>
      </c>
      <c r="F320" s="3">
        <v>301</v>
      </c>
      <c r="G320" s="233">
        <v>7605</v>
      </c>
      <c r="H320" s="3" t="s">
        <v>66</v>
      </c>
      <c r="I320" s="3">
        <v>58</v>
      </c>
      <c r="J320" s="239">
        <v>0.3611111111111111</v>
      </c>
      <c r="K320" s="239">
        <v>0.42708333333333331</v>
      </c>
      <c r="L320" s="5">
        <f t="shared" si="39"/>
        <v>6.597222222222221E-2</v>
      </c>
      <c r="M320" s="3" t="s">
        <v>73</v>
      </c>
      <c r="N320" s="3" t="s">
        <v>733</v>
      </c>
      <c r="O320" s="3">
        <v>3500</v>
      </c>
      <c r="Q320" s="3">
        <v>3500</v>
      </c>
      <c r="R320" s="149">
        <v>5172.2</v>
      </c>
      <c r="S320" s="269">
        <f>R320-R319</f>
        <v>2</v>
      </c>
      <c r="T320" s="233">
        <v>2372</v>
      </c>
      <c r="U320" s="149">
        <v>1.6</v>
      </c>
      <c r="AA320" s="3">
        <v>1872</v>
      </c>
      <c r="AB320" s="3">
        <v>1682</v>
      </c>
      <c r="AC320" s="3">
        <v>3555</v>
      </c>
      <c r="AD320" s="3" t="s">
        <v>492</v>
      </c>
      <c r="AE320" s="233" t="s">
        <v>1</v>
      </c>
      <c r="AF320" s="233" t="s">
        <v>1209</v>
      </c>
      <c r="AG320" s="233" t="s">
        <v>196</v>
      </c>
      <c r="AH320" s="233" t="s">
        <v>1255</v>
      </c>
    </row>
    <row r="321" spans="2:34" x14ac:dyDescent="0.25">
      <c r="B321" s="235">
        <v>45082</v>
      </c>
      <c r="C321" s="3">
        <v>2</v>
      </c>
      <c r="D321" s="148">
        <v>45082</v>
      </c>
      <c r="E321" s="156">
        <v>8406</v>
      </c>
      <c r="F321" s="3">
        <v>302</v>
      </c>
      <c r="G321" s="233">
        <v>7617</v>
      </c>
      <c r="H321" s="3" t="s">
        <v>58</v>
      </c>
      <c r="I321" s="3">
        <v>60</v>
      </c>
      <c r="J321" s="239">
        <v>0.70486111111111116</v>
      </c>
      <c r="K321" s="239">
        <v>0.78125</v>
      </c>
      <c r="L321" s="234">
        <f>K321-J321</f>
        <v>7.638888888888884E-2</v>
      </c>
      <c r="M321" s="3" t="s">
        <v>73</v>
      </c>
      <c r="N321" s="3" t="s">
        <v>733</v>
      </c>
      <c r="O321" s="3">
        <v>3510</v>
      </c>
      <c r="Q321" s="3">
        <v>3510</v>
      </c>
      <c r="R321" s="149">
        <v>5173.8</v>
      </c>
      <c r="S321" s="269">
        <f>R321-R320</f>
        <v>1.6000000000003638</v>
      </c>
      <c r="T321" s="233">
        <v>2372</v>
      </c>
      <c r="U321" s="149">
        <v>1.8</v>
      </c>
      <c r="AA321" s="3">
        <v>1817</v>
      </c>
      <c r="AB321" s="3">
        <v>1691</v>
      </c>
      <c r="AC321" s="3">
        <v>3508</v>
      </c>
      <c r="AD321" s="3" t="s">
        <v>492</v>
      </c>
      <c r="AE321" s="233" t="s">
        <v>747</v>
      </c>
      <c r="AF321" s="233" t="s">
        <v>179</v>
      </c>
      <c r="AG321" s="233" t="s">
        <v>709</v>
      </c>
      <c r="AH321" s="233" t="s">
        <v>1248</v>
      </c>
    </row>
    <row r="322" spans="2:34" x14ac:dyDescent="0.25">
      <c r="B322" s="235">
        <v>45082</v>
      </c>
      <c r="C322" s="3">
        <v>3</v>
      </c>
      <c r="D322" s="148">
        <v>45083</v>
      </c>
      <c r="E322" s="156">
        <v>8407</v>
      </c>
      <c r="F322" s="3">
        <v>303</v>
      </c>
      <c r="G322" s="3">
        <v>7605</v>
      </c>
      <c r="H322" s="3" t="s">
        <v>58</v>
      </c>
      <c r="I322" s="3">
        <v>60</v>
      </c>
      <c r="J322" s="239">
        <v>6.9444444444444441E-3</v>
      </c>
      <c r="K322" s="239">
        <v>7.2916666666666671E-2</v>
      </c>
      <c r="L322" s="234">
        <f t="shared" si="39"/>
        <v>6.5972222222222224E-2</v>
      </c>
      <c r="M322" s="3" t="s">
        <v>73</v>
      </c>
      <c r="N322" s="3" t="s">
        <v>733</v>
      </c>
      <c r="O322" s="3">
        <v>3370</v>
      </c>
      <c r="Q322" s="3">
        <v>3370</v>
      </c>
      <c r="R322" s="149">
        <v>5175.4399999999996</v>
      </c>
      <c r="S322" s="269">
        <f>R322-R321</f>
        <v>1.6399999999994179</v>
      </c>
      <c r="T322" s="233">
        <v>2372</v>
      </c>
      <c r="U322" s="149">
        <v>1.64</v>
      </c>
      <c r="AA322" s="3">
        <v>1961</v>
      </c>
      <c r="AB322" s="3">
        <v>1682</v>
      </c>
      <c r="AC322" s="3">
        <v>3644</v>
      </c>
      <c r="AD322" s="3" t="s">
        <v>492</v>
      </c>
      <c r="AE322" s="3" t="s">
        <v>1099</v>
      </c>
      <c r="AF322" s="3" t="s">
        <v>715</v>
      </c>
      <c r="AG322" s="3" t="s">
        <v>1254</v>
      </c>
      <c r="AH322" s="3" t="s">
        <v>857</v>
      </c>
    </row>
    <row r="323" spans="2:34" x14ac:dyDescent="0.25">
      <c r="B323" s="235">
        <v>45083</v>
      </c>
      <c r="C323" s="3">
        <v>1</v>
      </c>
      <c r="D323" s="148">
        <v>45083</v>
      </c>
      <c r="E323" s="156">
        <v>8408</v>
      </c>
      <c r="F323" s="3">
        <v>304</v>
      </c>
      <c r="G323" s="3">
        <v>7617</v>
      </c>
      <c r="H323" s="3" t="s">
        <v>66</v>
      </c>
      <c r="I323" s="3">
        <v>56</v>
      </c>
      <c r="J323" s="239">
        <v>0.36458333333333331</v>
      </c>
      <c r="K323" s="239">
        <v>0.42708333333333331</v>
      </c>
      <c r="L323" s="234">
        <f t="shared" si="39"/>
        <v>6.25E-2</v>
      </c>
      <c r="M323" s="3" t="s">
        <v>73</v>
      </c>
      <c r="N323" s="3" t="s">
        <v>733</v>
      </c>
      <c r="O323" s="3">
        <f>56*58</f>
        <v>3248</v>
      </c>
      <c r="Q323" s="3">
        <f>56*58</f>
        <v>3248</v>
      </c>
      <c r="R323" s="149">
        <v>5176.78</v>
      </c>
      <c r="S323" s="269">
        <f t="shared" si="41"/>
        <v>1.3400000000001455</v>
      </c>
      <c r="T323" s="3">
        <f t="shared" ref="T323:T334" si="42">Q323/S323</f>
        <v>2423.8805970146623</v>
      </c>
      <c r="U323" s="149">
        <v>1.34</v>
      </c>
      <c r="AA323" s="233">
        <v>1600</v>
      </c>
      <c r="AB323" s="233">
        <v>1648</v>
      </c>
      <c r="AC323" s="233">
        <v>3248</v>
      </c>
      <c r="AD323" s="233" t="s">
        <v>492</v>
      </c>
      <c r="AE323" s="233" t="s">
        <v>1</v>
      </c>
      <c r="AF323" s="233" t="s">
        <v>1209</v>
      </c>
      <c r="AG323" s="233" t="s">
        <v>196</v>
      </c>
      <c r="AH323" s="233" t="s">
        <v>1255</v>
      </c>
    </row>
    <row r="324" spans="2:34" x14ac:dyDescent="0.25">
      <c r="B324" s="235">
        <v>45083</v>
      </c>
      <c r="C324" s="3">
        <v>2</v>
      </c>
      <c r="D324" s="236">
        <v>45083</v>
      </c>
      <c r="E324" s="156">
        <v>8409</v>
      </c>
      <c r="F324" s="3">
        <v>305</v>
      </c>
      <c r="G324" s="233">
        <v>7625</v>
      </c>
      <c r="H324" s="3" t="s">
        <v>58</v>
      </c>
      <c r="I324" s="3">
        <v>60</v>
      </c>
      <c r="J324" s="239">
        <v>0.70138888888888884</v>
      </c>
      <c r="K324" s="239">
        <v>0.77430555555555547</v>
      </c>
      <c r="L324" s="5">
        <f t="shared" si="39"/>
        <v>7.291666666666663E-2</v>
      </c>
      <c r="M324" s="233" t="s">
        <v>67</v>
      </c>
      <c r="N324" s="233" t="s">
        <v>733</v>
      </c>
      <c r="O324" s="3">
        <v>3450</v>
      </c>
      <c r="Q324" s="3">
        <v>2480</v>
      </c>
      <c r="R324" s="149">
        <v>5178.13</v>
      </c>
      <c r="S324" s="269">
        <f t="shared" si="41"/>
        <v>1.3500000000003638</v>
      </c>
      <c r="T324" s="233">
        <f t="shared" si="42"/>
        <v>1837.037037036542</v>
      </c>
      <c r="U324" s="149">
        <v>1.34</v>
      </c>
      <c r="W324" s="152">
        <v>970</v>
      </c>
      <c r="AA324" s="233">
        <v>0</v>
      </c>
      <c r="AB324" s="233">
        <v>0</v>
      </c>
      <c r="AC324" s="233">
        <v>0</v>
      </c>
      <c r="AD324" s="233">
        <v>3450</v>
      </c>
      <c r="AE324" s="233" t="s">
        <v>747</v>
      </c>
      <c r="AF324" s="3" t="s">
        <v>179</v>
      </c>
      <c r="AG324" s="3" t="s">
        <v>709</v>
      </c>
      <c r="AH324" s="233" t="s">
        <v>1248</v>
      </c>
    </row>
    <row r="325" spans="2:34" x14ac:dyDescent="0.25">
      <c r="B325" s="235">
        <v>45083</v>
      </c>
      <c r="C325" s="3">
        <v>3</v>
      </c>
      <c r="D325" s="148">
        <v>45084</v>
      </c>
      <c r="E325" s="156">
        <v>8410</v>
      </c>
      <c r="F325" s="3">
        <v>306</v>
      </c>
      <c r="G325" s="3">
        <v>7605</v>
      </c>
      <c r="H325" s="3" t="s">
        <v>58</v>
      </c>
      <c r="I325" s="3">
        <v>59</v>
      </c>
      <c r="J325" s="239">
        <v>2.4305555555555556E-2</v>
      </c>
      <c r="K325" s="239">
        <v>0.10416666666666667</v>
      </c>
      <c r="L325" s="5">
        <f t="shared" si="39"/>
        <v>7.9861111111111119E-2</v>
      </c>
      <c r="M325" s="3" t="s">
        <v>67</v>
      </c>
      <c r="N325" s="3" t="s">
        <v>733</v>
      </c>
      <c r="O325" s="3">
        <v>3310</v>
      </c>
      <c r="Q325" s="3">
        <v>2475</v>
      </c>
      <c r="R325" s="149">
        <v>5179.7299999999996</v>
      </c>
      <c r="S325" s="269">
        <f t="shared" si="41"/>
        <v>1.5999999999994543</v>
      </c>
      <c r="T325" s="233">
        <f t="shared" si="42"/>
        <v>1546.8750000005275</v>
      </c>
      <c r="U325" s="149">
        <v>1.64</v>
      </c>
      <c r="W325" s="152">
        <v>835</v>
      </c>
      <c r="AA325" s="3">
        <v>0</v>
      </c>
      <c r="AB325" s="3">
        <v>0</v>
      </c>
      <c r="AC325" s="3">
        <v>0</v>
      </c>
      <c r="AD325" s="3">
        <v>3310</v>
      </c>
      <c r="AE325" s="233" t="s">
        <v>1099</v>
      </c>
      <c r="AF325" s="233" t="s">
        <v>715</v>
      </c>
      <c r="AG325" s="233" t="s">
        <v>1254</v>
      </c>
      <c r="AH325" s="233" t="s">
        <v>857</v>
      </c>
    </row>
    <row r="326" spans="2:34" x14ac:dyDescent="0.25">
      <c r="B326" s="235">
        <v>45084</v>
      </c>
      <c r="C326" s="3">
        <v>1</v>
      </c>
      <c r="D326" s="236">
        <v>45084</v>
      </c>
      <c r="E326" s="156">
        <v>8411</v>
      </c>
      <c r="F326" s="3">
        <v>307</v>
      </c>
      <c r="G326" s="233">
        <v>7617</v>
      </c>
      <c r="H326" s="3" t="s">
        <v>58</v>
      </c>
      <c r="I326" s="3">
        <v>60</v>
      </c>
      <c r="J326" s="239">
        <v>0.3888888888888889</v>
      </c>
      <c r="K326" s="239">
        <v>0.4548611111111111</v>
      </c>
      <c r="L326" s="5">
        <f>K326-J326</f>
        <v>6.597222222222221E-2</v>
      </c>
      <c r="M326" s="233" t="s">
        <v>67</v>
      </c>
      <c r="N326" s="233" t="s">
        <v>733</v>
      </c>
      <c r="O326" s="3">
        <v>3470</v>
      </c>
      <c r="Q326" s="3">
        <v>3470</v>
      </c>
      <c r="R326" s="149">
        <v>5181.29</v>
      </c>
      <c r="S326" s="269">
        <f t="shared" ref="S326:S348" si="43">R326-R325</f>
        <v>1.5600000000004002</v>
      </c>
      <c r="T326" s="233">
        <f t="shared" si="42"/>
        <v>2224.3589743584039</v>
      </c>
      <c r="U326" s="149">
        <v>1.75</v>
      </c>
      <c r="AA326" s="3">
        <v>0</v>
      </c>
      <c r="AB326" s="3">
        <v>0</v>
      </c>
      <c r="AC326" s="3">
        <v>0</v>
      </c>
      <c r="AD326" s="3">
        <v>3470</v>
      </c>
      <c r="AE326" s="233" t="s">
        <v>1</v>
      </c>
      <c r="AF326" s="233" t="s">
        <v>1209</v>
      </c>
      <c r="AG326" s="233" t="s">
        <v>1265</v>
      </c>
      <c r="AH326" s="233" t="s">
        <v>1255</v>
      </c>
    </row>
    <row r="327" spans="2:34" x14ac:dyDescent="0.25">
      <c r="B327" s="235">
        <v>45084</v>
      </c>
      <c r="C327" s="3">
        <v>2</v>
      </c>
      <c r="D327" s="236">
        <v>45084</v>
      </c>
      <c r="E327" s="156">
        <v>8412</v>
      </c>
      <c r="F327" s="3">
        <v>308</v>
      </c>
      <c r="G327" s="233">
        <v>7625</v>
      </c>
      <c r="H327" s="3" t="s">
        <v>58</v>
      </c>
      <c r="I327" s="3">
        <v>58</v>
      </c>
      <c r="J327" s="369" t="s">
        <v>1266</v>
      </c>
      <c r="K327" s="239">
        <v>0.80208333333333337</v>
      </c>
      <c r="L327" s="234">
        <v>8.3333333333333329E-2</v>
      </c>
      <c r="M327" s="233" t="s">
        <v>67</v>
      </c>
      <c r="N327" s="233" t="s">
        <v>733</v>
      </c>
      <c r="O327" s="3">
        <v>3250</v>
      </c>
      <c r="Q327" s="3">
        <v>3250</v>
      </c>
      <c r="R327" s="149">
        <v>5182.49</v>
      </c>
      <c r="S327" s="269">
        <f t="shared" si="43"/>
        <v>1.1999999999998181</v>
      </c>
      <c r="T327" s="233">
        <f t="shared" si="42"/>
        <v>2708.3333333337437</v>
      </c>
      <c r="U327" s="149">
        <v>2</v>
      </c>
      <c r="AA327" s="3">
        <v>0</v>
      </c>
      <c r="AB327" s="3">
        <v>0</v>
      </c>
      <c r="AC327" s="3">
        <v>0</v>
      </c>
      <c r="AD327" s="3">
        <v>3250</v>
      </c>
      <c r="AE327" s="233" t="s">
        <v>747</v>
      </c>
      <c r="AF327" s="233" t="s">
        <v>179</v>
      </c>
      <c r="AG327" s="233" t="s">
        <v>709</v>
      </c>
      <c r="AH327" s="233" t="s">
        <v>1248</v>
      </c>
    </row>
    <row r="328" spans="2:34" x14ac:dyDescent="0.25">
      <c r="B328" s="235">
        <v>45084</v>
      </c>
      <c r="C328" s="3">
        <v>3</v>
      </c>
      <c r="D328" s="148">
        <v>45085</v>
      </c>
      <c r="E328" s="156">
        <v>8413</v>
      </c>
      <c r="F328" s="3">
        <v>309</v>
      </c>
      <c r="G328" s="3">
        <v>7605</v>
      </c>
      <c r="H328" s="3" t="s">
        <v>66</v>
      </c>
      <c r="I328" s="3">
        <v>56</v>
      </c>
      <c r="J328" s="239">
        <v>0.98958333333333337</v>
      </c>
      <c r="K328" s="239">
        <v>4.8611111111111112E-2</v>
      </c>
      <c r="L328" s="234">
        <v>5.9027777777777783E-2</v>
      </c>
      <c r="M328" s="3" t="s">
        <v>67</v>
      </c>
      <c r="N328" s="3" t="s">
        <v>733</v>
      </c>
      <c r="O328" s="3">
        <v>3251</v>
      </c>
      <c r="Q328" s="3">
        <v>3251</v>
      </c>
      <c r="R328" s="149">
        <v>5183.6400000000003</v>
      </c>
      <c r="S328" s="269">
        <f t="shared" si="43"/>
        <v>1.1500000000005457</v>
      </c>
      <c r="T328" s="233">
        <f t="shared" si="42"/>
        <v>2826.956521737789</v>
      </c>
      <c r="U328" s="149">
        <v>1.42</v>
      </c>
      <c r="AA328" s="233">
        <v>0</v>
      </c>
      <c r="AB328" s="233">
        <v>0</v>
      </c>
      <c r="AC328" s="233">
        <v>0</v>
      </c>
      <c r="AD328" s="3">
        <v>3251</v>
      </c>
      <c r="AE328" s="233" t="s">
        <v>1099</v>
      </c>
      <c r="AF328" s="233" t="s">
        <v>715</v>
      </c>
      <c r="AG328" s="233" t="s">
        <v>1254</v>
      </c>
      <c r="AH328" s="233" t="s">
        <v>857</v>
      </c>
    </row>
    <row r="329" spans="2:34" x14ac:dyDescent="0.25">
      <c r="B329" s="235">
        <v>45085</v>
      </c>
      <c r="C329" s="3">
        <v>1</v>
      </c>
      <c r="D329" s="148">
        <v>45085</v>
      </c>
      <c r="E329" s="156">
        <v>8414</v>
      </c>
      <c r="F329" s="3">
        <v>310</v>
      </c>
      <c r="G329" s="3">
        <v>7617</v>
      </c>
      <c r="H329" s="3" t="s">
        <v>58</v>
      </c>
      <c r="I329" s="3">
        <v>60</v>
      </c>
      <c r="J329" s="239">
        <v>0.3611111111111111</v>
      </c>
      <c r="K329" s="239">
        <v>0.4236111111111111</v>
      </c>
      <c r="L329" s="234">
        <f>+K329-J329</f>
        <v>6.25E-2</v>
      </c>
      <c r="M329" s="3" t="s">
        <v>67</v>
      </c>
      <c r="N329" s="3" t="s">
        <v>733</v>
      </c>
      <c r="O329" s="3">
        <v>3450</v>
      </c>
      <c r="Q329" s="3">
        <v>3450</v>
      </c>
      <c r="R329" s="149">
        <v>5185.0600000000004</v>
      </c>
      <c r="S329" s="269">
        <f t="shared" si="43"/>
        <v>1.4200000000000728</v>
      </c>
      <c r="T329" s="233">
        <f t="shared" si="42"/>
        <v>2429.5774647886078</v>
      </c>
      <c r="U329" s="149">
        <v>1.5249999999999999</v>
      </c>
      <c r="AA329" s="3">
        <v>0</v>
      </c>
      <c r="AB329" s="3">
        <v>0</v>
      </c>
      <c r="AC329" s="3">
        <v>0</v>
      </c>
      <c r="AD329" s="3">
        <v>3450</v>
      </c>
      <c r="AE329" s="3" t="s">
        <v>957</v>
      </c>
      <c r="AF329" s="3" t="s">
        <v>1203</v>
      </c>
      <c r="AG329" s="3" t="s">
        <v>1024</v>
      </c>
      <c r="AH329" s="3" t="s">
        <v>1268</v>
      </c>
    </row>
    <row r="330" spans="2:34" x14ac:dyDescent="0.25">
      <c r="B330" s="235">
        <v>45085</v>
      </c>
      <c r="C330" s="3">
        <v>1</v>
      </c>
      <c r="D330" s="236">
        <v>45085</v>
      </c>
      <c r="E330" s="156">
        <v>8415</v>
      </c>
      <c r="F330" s="3">
        <v>311</v>
      </c>
      <c r="G330" s="3">
        <v>7625</v>
      </c>
      <c r="H330" s="3" t="s">
        <v>58</v>
      </c>
      <c r="I330" s="3">
        <v>60</v>
      </c>
      <c r="J330" s="239">
        <v>0.55902777777777779</v>
      </c>
      <c r="K330" s="239">
        <v>0.61111111111111105</v>
      </c>
      <c r="L330" s="234">
        <f>+K330-J330</f>
        <v>5.2083333333333259E-2</v>
      </c>
      <c r="M330" s="3" t="s">
        <v>67</v>
      </c>
      <c r="N330" s="3" t="s">
        <v>733</v>
      </c>
      <c r="O330" s="3">
        <v>3430</v>
      </c>
      <c r="Q330" s="3">
        <v>3430</v>
      </c>
      <c r="R330" s="149">
        <v>5186.49</v>
      </c>
      <c r="S330" s="269">
        <f t="shared" si="43"/>
        <v>1.4299999999993815</v>
      </c>
      <c r="T330" s="233">
        <f t="shared" si="42"/>
        <v>2398.6013986024359</v>
      </c>
      <c r="U330" s="149">
        <v>1.2</v>
      </c>
      <c r="AA330" s="233">
        <v>0</v>
      </c>
      <c r="AB330" s="233">
        <v>0</v>
      </c>
      <c r="AC330" s="233">
        <v>0</v>
      </c>
      <c r="AD330" s="3">
        <v>3430</v>
      </c>
      <c r="AE330" s="233" t="s">
        <v>957</v>
      </c>
      <c r="AF330" s="233" t="s">
        <v>1203</v>
      </c>
      <c r="AG330" s="233" t="s">
        <v>1024</v>
      </c>
      <c r="AH330" s="233" t="s">
        <v>1268</v>
      </c>
    </row>
    <row r="331" spans="2:34" x14ac:dyDescent="0.25">
      <c r="B331" s="235">
        <v>45085</v>
      </c>
      <c r="C331" s="3">
        <v>2</v>
      </c>
      <c r="D331" s="236">
        <v>45086</v>
      </c>
      <c r="E331" s="156">
        <v>8416</v>
      </c>
      <c r="F331" s="3">
        <v>312</v>
      </c>
      <c r="G331" s="3">
        <v>7605</v>
      </c>
      <c r="H331" s="3" t="s">
        <v>66</v>
      </c>
      <c r="I331" s="3">
        <v>58</v>
      </c>
      <c r="J331" s="239">
        <v>0.73263888888888884</v>
      </c>
      <c r="K331" s="239">
        <v>0.79513888888888884</v>
      </c>
      <c r="L331" s="234">
        <f t="shared" ref="L331:L349" si="44">+K331-J331</f>
        <v>6.25E-2</v>
      </c>
      <c r="M331" s="3" t="s">
        <v>67</v>
      </c>
      <c r="N331" s="233" t="s">
        <v>733</v>
      </c>
      <c r="O331" s="3">
        <v>3520</v>
      </c>
      <c r="Q331" s="3">
        <v>3520</v>
      </c>
      <c r="R331" s="149">
        <v>5187.99</v>
      </c>
      <c r="S331" s="269">
        <f t="shared" si="43"/>
        <v>1.5</v>
      </c>
      <c r="T331" s="233">
        <f t="shared" si="42"/>
        <v>2346.6666666666665</v>
      </c>
      <c r="U331" s="149">
        <v>1.8</v>
      </c>
      <c r="AA331" s="233">
        <v>0</v>
      </c>
      <c r="AB331" s="233">
        <v>0</v>
      </c>
      <c r="AC331" s="233">
        <v>0</v>
      </c>
      <c r="AD331" s="3">
        <v>3520</v>
      </c>
      <c r="AE331" s="233" t="s">
        <v>747</v>
      </c>
      <c r="AF331" s="233" t="s">
        <v>179</v>
      </c>
      <c r="AG331" s="233" t="s">
        <v>709</v>
      </c>
      <c r="AH331" s="233" t="s">
        <v>1248</v>
      </c>
    </row>
    <row r="332" spans="2:34" x14ac:dyDescent="0.25">
      <c r="B332" s="235">
        <v>45085</v>
      </c>
      <c r="C332" s="3">
        <v>3</v>
      </c>
      <c r="D332" s="148">
        <v>45086</v>
      </c>
      <c r="E332" s="156">
        <v>8417</v>
      </c>
      <c r="F332" s="3">
        <v>313</v>
      </c>
      <c r="G332" s="233">
        <v>7617</v>
      </c>
      <c r="H332" s="3" t="s">
        <v>58</v>
      </c>
      <c r="I332" s="3">
        <v>59</v>
      </c>
      <c r="J332" s="239">
        <v>9.375E-2</v>
      </c>
      <c r="K332" s="239">
        <v>0.15277777777777776</v>
      </c>
      <c r="L332" s="234">
        <f t="shared" si="44"/>
        <v>5.9027777777777762E-2</v>
      </c>
      <c r="M332" s="3" t="s">
        <v>67</v>
      </c>
      <c r="N332" s="3" t="s">
        <v>733</v>
      </c>
      <c r="O332" s="3">
        <v>3310</v>
      </c>
      <c r="Q332" s="3">
        <v>3310</v>
      </c>
      <c r="R332" s="149">
        <v>5189.2</v>
      </c>
      <c r="S332" s="269">
        <f t="shared" si="43"/>
        <v>1.2100000000000364</v>
      </c>
      <c r="T332" s="233">
        <f t="shared" si="42"/>
        <v>2735.5371900825626</v>
      </c>
      <c r="U332" s="149">
        <v>1.8</v>
      </c>
      <c r="AA332" s="3">
        <v>0</v>
      </c>
      <c r="AB332" s="3">
        <v>0</v>
      </c>
      <c r="AC332" s="3">
        <v>0</v>
      </c>
      <c r="AD332" s="3">
        <v>3310</v>
      </c>
      <c r="AE332" s="233" t="s">
        <v>1099</v>
      </c>
      <c r="AF332" s="233" t="s">
        <v>715</v>
      </c>
      <c r="AG332" s="233" t="s">
        <v>1254</v>
      </c>
      <c r="AH332" s="233" t="s">
        <v>857</v>
      </c>
    </row>
    <row r="333" spans="2:34" x14ac:dyDescent="0.25">
      <c r="B333" s="235">
        <v>45086</v>
      </c>
      <c r="C333" s="3">
        <v>1</v>
      </c>
      <c r="D333" s="148">
        <v>45086</v>
      </c>
      <c r="E333" s="156">
        <v>8418</v>
      </c>
      <c r="F333" s="3">
        <v>314</v>
      </c>
      <c r="G333" s="3">
        <v>7625</v>
      </c>
      <c r="H333" s="3" t="s">
        <v>58</v>
      </c>
      <c r="I333" s="3">
        <v>60</v>
      </c>
      <c r="J333" s="239">
        <v>0.40625</v>
      </c>
      <c r="K333" s="239">
        <v>0.46875</v>
      </c>
      <c r="L333" s="5">
        <f t="shared" si="44"/>
        <v>6.25E-2</v>
      </c>
      <c r="M333" s="3" t="s">
        <v>67</v>
      </c>
      <c r="N333" s="3" t="s">
        <v>733</v>
      </c>
      <c r="O333" s="3">
        <v>3410</v>
      </c>
      <c r="Q333" s="3">
        <v>3410</v>
      </c>
      <c r="R333" s="149">
        <v>5190.95</v>
      </c>
      <c r="S333" s="269">
        <f t="shared" si="43"/>
        <v>1.75</v>
      </c>
      <c r="T333" s="233">
        <f t="shared" si="42"/>
        <v>1948.5714285714287</v>
      </c>
      <c r="U333" s="149">
        <v>1.8</v>
      </c>
      <c r="AA333" s="3">
        <v>1724</v>
      </c>
      <c r="AB333" s="3">
        <v>1606</v>
      </c>
      <c r="AC333" s="3">
        <v>3330</v>
      </c>
      <c r="AD333" s="3">
        <v>3330</v>
      </c>
      <c r="AE333" s="233" t="s">
        <v>957</v>
      </c>
      <c r="AF333" s="233" t="s">
        <v>196</v>
      </c>
      <c r="AG333" s="233" t="s">
        <v>1024</v>
      </c>
      <c r="AH333" s="233" t="s">
        <v>1203</v>
      </c>
    </row>
    <row r="334" spans="2:34" x14ac:dyDescent="0.25">
      <c r="B334" s="235">
        <v>45086</v>
      </c>
      <c r="C334" s="3">
        <v>2</v>
      </c>
      <c r="D334" s="236">
        <v>45087</v>
      </c>
      <c r="E334" s="156">
        <v>8419</v>
      </c>
      <c r="F334" s="3">
        <v>315</v>
      </c>
      <c r="G334" s="3">
        <v>7605</v>
      </c>
      <c r="H334" s="3" t="s">
        <v>66</v>
      </c>
      <c r="I334" s="3">
        <v>57</v>
      </c>
      <c r="J334" s="239">
        <v>0.70486111111111116</v>
      </c>
      <c r="K334" s="239">
        <v>0.76736111111111116</v>
      </c>
      <c r="L334" s="5">
        <f t="shared" si="44"/>
        <v>6.25E-2</v>
      </c>
      <c r="M334" s="233" t="s">
        <v>67</v>
      </c>
      <c r="N334" s="233" t="s">
        <v>735</v>
      </c>
      <c r="O334" s="3">
        <v>3320</v>
      </c>
      <c r="Q334" s="3">
        <v>3320</v>
      </c>
      <c r="R334" s="149">
        <v>5192.6499999999996</v>
      </c>
      <c r="S334" s="269">
        <f t="shared" si="43"/>
        <v>1.6999999999998181</v>
      </c>
      <c r="T334" s="233">
        <f t="shared" si="42"/>
        <v>1952.9411764707972</v>
      </c>
      <c r="U334" s="149">
        <v>1.6</v>
      </c>
      <c r="AA334" s="233">
        <v>0</v>
      </c>
      <c r="AB334" s="233">
        <v>0</v>
      </c>
      <c r="AC334" s="233">
        <v>0</v>
      </c>
      <c r="AD334" s="3">
        <v>3320</v>
      </c>
      <c r="AE334" s="233" t="s">
        <v>747</v>
      </c>
      <c r="AF334" s="233" t="s">
        <v>179</v>
      </c>
      <c r="AG334" s="233" t="s">
        <v>709</v>
      </c>
      <c r="AH334" s="233" t="s">
        <v>1248</v>
      </c>
    </row>
    <row r="335" spans="2:34" x14ac:dyDescent="0.25">
      <c r="B335" s="235">
        <v>45086</v>
      </c>
      <c r="C335" s="3">
        <v>3</v>
      </c>
      <c r="D335" s="148">
        <v>45087</v>
      </c>
      <c r="E335" s="156">
        <v>8420</v>
      </c>
      <c r="F335" s="3">
        <v>316</v>
      </c>
      <c r="G335" s="233">
        <v>7617</v>
      </c>
      <c r="H335" s="3" t="s">
        <v>58</v>
      </c>
      <c r="I335" s="3">
        <v>57</v>
      </c>
      <c r="J335" s="239">
        <v>9.0277777777777776E-2</v>
      </c>
      <c r="K335" s="239">
        <v>0.15972222222222224</v>
      </c>
      <c r="L335" s="5">
        <f t="shared" si="44"/>
        <v>6.9444444444444461E-2</v>
      </c>
      <c r="M335" s="3" t="s">
        <v>67</v>
      </c>
      <c r="N335" s="233" t="s">
        <v>735</v>
      </c>
      <c r="O335" s="3">
        <v>3249</v>
      </c>
      <c r="Q335" s="3">
        <v>3249</v>
      </c>
      <c r="R335" s="149">
        <v>5194.2</v>
      </c>
      <c r="S335" s="269">
        <f t="shared" si="43"/>
        <v>1.5500000000001819</v>
      </c>
      <c r="T335" s="233">
        <f t="shared" ref="T335:T348" si="45">Q335/S335</f>
        <v>2096.1290322578184</v>
      </c>
      <c r="U335" s="149">
        <v>1.7</v>
      </c>
      <c r="AA335" s="3">
        <v>0</v>
      </c>
      <c r="AB335" s="3">
        <v>0</v>
      </c>
      <c r="AC335" s="3">
        <v>0</v>
      </c>
      <c r="AD335" s="3">
        <v>3249</v>
      </c>
      <c r="AE335" s="233" t="s">
        <v>1099</v>
      </c>
      <c r="AF335" s="233" t="s">
        <v>715</v>
      </c>
      <c r="AG335" s="233" t="s">
        <v>1254</v>
      </c>
      <c r="AH335" s="233" t="s">
        <v>1277</v>
      </c>
    </row>
    <row r="336" spans="2:34" x14ac:dyDescent="0.25">
      <c r="B336" s="235">
        <v>45089</v>
      </c>
      <c r="C336" s="3">
        <v>1</v>
      </c>
      <c r="D336" s="148">
        <v>45089</v>
      </c>
      <c r="E336" s="156">
        <v>8421</v>
      </c>
      <c r="F336" s="3">
        <v>317</v>
      </c>
      <c r="G336" s="233">
        <v>7617</v>
      </c>
      <c r="H336" s="3" t="s">
        <v>58</v>
      </c>
      <c r="I336" s="3">
        <v>59</v>
      </c>
      <c r="J336" s="239">
        <v>0.35069444444444442</v>
      </c>
      <c r="K336" s="239">
        <v>0.4201388888888889</v>
      </c>
      <c r="L336" s="5">
        <f t="shared" si="44"/>
        <v>6.9444444444444475E-2</v>
      </c>
      <c r="M336" s="3" t="s">
        <v>67</v>
      </c>
      <c r="N336" s="233" t="s">
        <v>735</v>
      </c>
      <c r="O336" s="3">
        <v>3521</v>
      </c>
      <c r="Q336" s="3">
        <v>3521</v>
      </c>
      <c r="R336" s="149">
        <v>5195.7</v>
      </c>
      <c r="S336" s="269">
        <f t="shared" si="43"/>
        <v>1.5</v>
      </c>
      <c r="T336" s="233">
        <f t="shared" si="45"/>
        <v>2347.3333333333335</v>
      </c>
      <c r="U336" s="149">
        <v>1.8</v>
      </c>
      <c r="AA336" s="233">
        <v>0</v>
      </c>
      <c r="AB336" s="233">
        <v>0</v>
      </c>
      <c r="AC336" s="233">
        <v>0</v>
      </c>
      <c r="AD336" s="3">
        <v>3521</v>
      </c>
      <c r="AE336" s="3" t="s">
        <v>926</v>
      </c>
      <c r="AF336" s="233" t="s">
        <v>1289</v>
      </c>
      <c r="AG336" s="233" t="s">
        <v>179</v>
      </c>
      <c r="AH336" s="3" t="s">
        <v>709</v>
      </c>
    </row>
    <row r="337" spans="2:34" x14ac:dyDescent="0.25">
      <c r="B337" s="235">
        <v>45089</v>
      </c>
      <c r="C337" s="233">
        <v>1</v>
      </c>
      <c r="D337" s="236">
        <v>45089</v>
      </c>
      <c r="E337" s="237">
        <v>8422</v>
      </c>
      <c r="F337" s="3">
        <v>318</v>
      </c>
      <c r="G337" s="233">
        <v>7625</v>
      </c>
      <c r="H337" s="3" t="s">
        <v>58</v>
      </c>
      <c r="I337" s="3">
        <v>55</v>
      </c>
      <c r="J337" s="239">
        <v>0.4826388888888889</v>
      </c>
      <c r="K337" s="239">
        <v>0.54861111111111105</v>
      </c>
      <c r="L337" s="5">
        <f t="shared" si="44"/>
        <v>6.5972222222222154E-2</v>
      </c>
      <c r="M337" s="3" t="s">
        <v>67</v>
      </c>
      <c r="N337" s="233" t="s">
        <v>735</v>
      </c>
      <c r="O337" s="3">
        <v>3314</v>
      </c>
      <c r="Q337" s="3">
        <v>3314</v>
      </c>
      <c r="R337" s="149">
        <v>5197.2</v>
      </c>
      <c r="S337" s="269">
        <f t="shared" si="43"/>
        <v>1.5</v>
      </c>
      <c r="T337" s="233">
        <f t="shared" si="45"/>
        <v>2209.3333333333335</v>
      </c>
      <c r="U337" s="149">
        <v>1.6</v>
      </c>
      <c r="AA337" s="233">
        <v>0</v>
      </c>
      <c r="AB337" s="233">
        <v>0</v>
      </c>
      <c r="AC337" s="233">
        <v>0</v>
      </c>
      <c r="AD337" s="3">
        <v>3314</v>
      </c>
      <c r="AE337" s="3" t="s">
        <v>926</v>
      </c>
      <c r="AF337" s="233"/>
      <c r="AG337" s="233" t="s">
        <v>179</v>
      </c>
      <c r="AH337" s="3" t="s">
        <v>709</v>
      </c>
    </row>
    <row r="338" spans="2:34" x14ac:dyDescent="0.25">
      <c r="B338" s="235">
        <v>45089</v>
      </c>
      <c r="C338" s="3">
        <v>2</v>
      </c>
      <c r="D338" s="148">
        <v>45090</v>
      </c>
      <c r="E338" s="156">
        <v>8423</v>
      </c>
      <c r="F338" s="3">
        <v>319</v>
      </c>
      <c r="G338" s="3">
        <v>7605</v>
      </c>
      <c r="H338" s="3" t="s">
        <v>58</v>
      </c>
      <c r="I338" s="3">
        <v>60</v>
      </c>
      <c r="J338" s="239">
        <v>0.74652777777777779</v>
      </c>
      <c r="K338" s="239">
        <v>0.82638888888888884</v>
      </c>
      <c r="L338" s="234">
        <f t="shared" si="44"/>
        <v>7.9861111111111049E-2</v>
      </c>
      <c r="M338" s="3" t="s">
        <v>67</v>
      </c>
      <c r="N338" s="233" t="s">
        <v>735</v>
      </c>
      <c r="O338" s="3">
        <v>3488</v>
      </c>
      <c r="Q338" s="3">
        <v>3488</v>
      </c>
      <c r="R338" s="149">
        <v>5198.75</v>
      </c>
      <c r="S338" s="269">
        <f t="shared" si="43"/>
        <v>1.5500000000001819</v>
      </c>
      <c r="T338" s="233">
        <f t="shared" si="45"/>
        <v>2250.3225806448972</v>
      </c>
      <c r="U338" s="149">
        <v>1.7</v>
      </c>
      <c r="AA338" s="233">
        <v>0</v>
      </c>
      <c r="AB338" s="233">
        <v>0</v>
      </c>
      <c r="AC338" s="233">
        <v>0</v>
      </c>
      <c r="AD338" s="3">
        <v>3488</v>
      </c>
      <c r="AE338" s="3" t="s">
        <v>182</v>
      </c>
      <c r="AF338" s="3" t="s">
        <v>654</v>
      </c>
      <c r="AG338" s="3" t="s">
        <v>921</v>
      </c>
      <c r="AH338" s="3" t="s">
        <v>1165</v>
      </c>
    </row>
    <row r="339" spans="2:34" x14ac:dyDescent="0.25">
      <c r="B339" s="235">
        <v>45089</v>
      </c>
      <c r="C339" s="3">
        <v>3</v>
      </c>
      <c r="D339" s="236">
        <v>45090</v>
      </c>
      <c r="E339" s="237">
        <v>8424</v>
      </c>
      <c r="F339" s="233">
        <v>320</v>
      </c>
      <c r="G339" s="3">
        <v>7617</v>
      </c>
      <c r="H339" s="3" t="s">
        <v>58</v>
      </c>
      <c r="I339" s="3">
        <v>57</v>
      </c>
      <c r="J339" s="239">
        <v>0.11458333333333333</v>
      </c>
      <c r="K339" s="239">
        <v>0.16319444444444445</v>
      </c>
      <c r="L339" s="234">
        <f t="shared" si="44"/>
        <v>4.8611111111111119E-2</v>
      </c>
      <c r="M339" s="233" t="s">
        <v>67</v>
      </c>
      <c r="N339" s="233" t="s">
        <v>735</v>
      </c>
      <c r="O339" s="3">
        <v>3200</v>
      </c>
      <c r="Q339" s="3">
        <v>3200</v>
      </c>
      <c r="R339" s="149">
        <v>5199.8999999999996</v>
      </c>
      <c r="S339" s="269">
        <f t="shared" si="43"/>
        <v>1.1499999999996362</v>
      </c>
      <c r="T339" s="233">
        <f t="shared" si="45"/>
        <v>2782.6086956530544</v>
      </c>
      <c r="U339" s="149">
        <v>1.42</v>
      </c>
      <c r="AA339" s="3">
        <v>1775</v>
      </c>
      <c r="AB339" s="3">
        <v>1612</v>
      </c>
      <c r="AC339" s="3">
        <v>3387</v>
      </c>
      <c r="AD339" s="3">
        <v>3200</v>
      </c>
      <c r="AE339" s="3" t="s">
        <v>8</v>
      </c>
      <c r="AF339" s="3" t="s">
        <v>919</v>
      </c>
      <c r="AG339" s="3" t="s">
        <v>1284</v>
      </c>
      <c r="AH339" s="3" t="s">
        <v>710</v>
      </c>
    </row>
    <row r="340" spans="2:34" x14ac:dyDescent="0.25">
      <c r="B340" s="235">
        <v>45090</v>
      </c>
      <c r="C340" s="3">
        <v>1</v>
      </c>
      <c r="D340" s="236">
        <v>45090</v>
      </c>
      <c r="E340" s="156">
        <v>8425</v>
      </c>
      <c r="F340" s="3">
        <v>321</v>
      </c>
      <c r="G340" s="233">
        <v>7625</v>
      </c>
      <c r="H340" s="3" t="s">
        <v>66</v>
      </c>
      <c r="I340" s="3">
        <v>54</v>
      </c>
      <c r="J340" s="239">
        <v>0.42708333333333331</v>
      </c>
      <c r="K340" s="239">
        <v>0.48958333333333331</v>
      </c>
      <c r="L340" s="234">
        <f t="shared" si="44"/>
        <v>6.25E-2</v>
      </c>
      <c r="M340" s="3" t="s">
        <v>67</v>
      </c>
      <c r="N340" s="233" t="s">
        <v>735</v>
      </c>
      <c r="O340" s="3">
        <v>3216</v>
      </c>
      <c r="Q340" s="3">
        <v>3216</v>
      </c>
      <c r="R340" s="149">
        <v>5201.3999999999996</v>
      </c>
      <c r="S340" s="269">
        <f t="shared" si="43"/>
        <v>1.5</v>
      </c>
      <c r="T340" s="233">
        <f t="shared" si="45"/>
        <v>2144</v>
      </c>
      <c r="U340" s="149">
        <v>1.77</v>
      </c>
      <c r="AA340" s="3">
        <v>1627</v>
      </c>
      <c r="AB340" s="3">
        <v>1588</v>
      </c>
      <c r="AC340" s="3">
        <v>3216</v>
      </c>
      <c r="AD340" s="3">
        <v>3216</v>
      </c>
      <c r="AE340" s="233" t="s">
        <v>926</v>
      </c>
      <c r="AF340" s="3" t="s">
        <v>631</v>
      </c>
      <c r="AG340" s="233" t="s">
        <v>179</v>
      </c>
      <c r="AH340" s="233" t="s">
        <v>709</v>
      </c>
    </row>
    <row r="341" spans="2:34" x14ac:dyDescent="0.25">
      <c r="B341" s="235">
        <v>45090</v>
      </c>
      <c r="C341" s="3">
        <v>2</v>
      </c>
      <c r="D341" s="148">
        <v>45091</v>
      </c>
      <c r="E341" s="156">
        <v>8426</v>
      </c>
      <c r="F341" s="3">
        <v>322</v>
      </c>
      <c r="G341" s="3">
        <v>7605</v>
      </c>
      <c r="H341" s="3" t="s">
        <v>58</v>
      </c>
      <c r="I341" s="3">
        <v>60</v>
      </c>
      <c r="J341" s="239">
        <v>0.76736111111111116</v>
      </c>
      <c r="K341" s="239">
        <v>0.84375</v>
      </c>
      <c r="L341" s="234">
        <f t="shared" si="44"/>
        <v>7.638888888888884E-2</v>
      </c>
      <c r="M341" s="3" t="s">
        <v>67</v>
      </c>
      <c r="N341" s="233" t="s">
        <v>735</v>
      </c>
      <c r="O341" s="3">
        <v>3437</v>
      </c>
      <c r="Q341" s="3">
        <v>3437</v>
      </c>
      <c r="R341" s="149">
        <v>5202.95</v>
      </c>
      <c r="S341" s="269">
        <f t="shared" si="43"/>
        <v>1.5500000000001819</v>
      </c>
      <c r="T341" s="233">
        <f t="shared" si="45"/>
        <v>2217.4193548384496</v>
      </c>
      <c r="U341" s="149">
        <v>1.85</v>
      </c>
      <c r="AA341" s="3">
        <v>1800</v>
      </c>
      <c r="AB341" s="3">
        <v>1697</v>
      </c>
      <c r="AC341" s="3">
        <v>3497</v>
      </c>
      <c r="AD341" s="3">
        <v>3437</v>
      </c>
      <c r="AE341" s="233" t="s">
        <v>182</v>
      </c>
      <c r="AF341" s="233" t="s">
        <v>654</v>
      </c>
      <c r="AG341" s="233" t="s">
        <v>921</v>
      </c>
      <c r="AH341" s="233" t="s">
        <v>1165</v>
      </c>
    </row>
    <row r="342" spans="2:34" x14ac:dyDescent="0.25">
      <c r="B342" s="235">
        <v>45090</v>
      </c>
      <c r="C342" s="3">
        <v>3</v>
      </c>
      <c r="D342" s="236">
        <v>45091</v>
      </c>
      <c r="E342" s="156">
        <v>8427</v>
      </c>
      <c r="F342" s="3">
        <v>323</v>
      </c>
      <c r="G342" s="233">
        <v>7617</v>
      </c>
      <c r="H342" s="3" t="s">
        <v>58</v>
      </c>
      <c r="I342" s="3">
        <v>60</v>
      </c>
      <c r="J342" s="239">
        <v>0.11805555555555557</v>
      </c>
      <c r="K342" s="239">
        <v>0.17708333333333334</v>
      </c>
      <c r="L342" s="234">
        <f t="shared" si="44"/>
        <v>5.9027777777777776E-2</v>
      </c>
      <c r="M342" s="233" t="s">
        <v>67</v>
      </c>
      <c r="N342" s="233" t="s">
        <v>735</v>
      </c>
      <c r="O342" s="3">
        <v>3360</v>
      </c>
      <c r="Q342" s="3">
        <v>3360</v>
      </c>
      <c r="R342" s="149">
        <v>5204.37</v>
      </c>
      <c r="S342" s="269">
        <f t="shared" si="43"/>
        <v>1.4200000000000728</v>
      </c>
      <c r="T342" s="233">
        <f t="shared" si="45"/>
        <v>2366.1971830984703</v>
      </c>
      <c r="U342" s="149">
        <v>1.57</v>
      </c>
      <c r="AA342" s="3">
        <v>1583</v>
      </c>
      <c r="AB342" s="3">
        <v>1660</v>
      </c>
      <c r="AC342" s="3">
        <v>3213</v>
      </c>
      <c r="AD342" s="3">
        <v>3360</v>
      </c>
      <c r="AE342" s="233" t="s">
        <v>8</v>
      </c>
      <c r="AF342" s="233" t="s">
        <v>919</v>
      </c>
      <c r="AG342" s="233" t="s">
        <v>1284</v>
      </c>
      <c r="AH342" s="233" t="s">
        <v>710</v>
      </c>
    </row>
    <row r="343" spans="2:34" x14ac:dyDescent="0.25">
      <c r="B343" s="235">
        <v>45091</v>
      </c>
      <c r="C343" s="3">
        <v>1</v>
      </c>
      <c r="D343" s="148">
        <v>45091</v>
      </c>
      <c r="E343" s="156">
        <v>8428</v>
      </c>
      <c r="F343" s="3">
        <v>324</v>
      </c>
      <c r="G343" s="233">
        <v>7625</v>
      </c>
      <c r="H343" s="3" t="s">
        <v>66</v>
      </c>
      <c r="I343" s="3">
        <v>58</v>
      </c>
      <c r="J343" s="239">
        <v>0.40625</v>
      </c>
      <c r="K343" s="239">
        <v>0.47222222222222227</v>
      </c>
      <c r="L343" s="5">
        <f t="shared" si="44"/>
        <v>6.5972222222222265E-2</v>
      </c>
      <c r="M343" s="3" t="s">
        <v>67</v>
      </c>
      <c r="N343" s="233" t="s">
        <v>735</v>
      </c>
      <c r="O343" s="3">
        <v>3504</v>
      </c>
      <c r="Q343" s="3">
        <v>3504</v>
      </c>
      <c r="R343" s="149">
        <v>5206.2</v>
      </c>
      <c r="S343" s="269">
        <f t="shared" si="43"/>
        <v>1.8299999999999272</v>
      </c>
      <c r="T343" s="233">
        <f t="shared" si="45"/>
        <v>1914.7540983607319</v>
      </c>
      <c r="U343" s="149">
        <v>1.7</v>
      </c>
      <c r="AA343" s="3">
        <v>1792</v>
      </c>
      <c r="AB343" s="3">
        <v>1711</v>
      </c>
      <c r="AC343" s="3">
        <v>3503</v>
      </c>
      <c r="AD343" s="3">
        <v>3504</v>
      </c>
      <c r="AE343" s="233" t="s">
        <v>926</v>
      </c>
      <c r="AF343" s="233" t="s">
        <v>940</v>
      </c>
      <c r="AG343" s="233" t="s">
        <v>903</v>
      </c>
      <c r="AH343" s="233" t="s">
        <v>500</v>
      </c>
    </row>
    <row r="344" spans="2:34" x14ac:dyDescent="0.25">
      <c r="B344" s="235">
        <v>45091</v>
      </c>
      <c r="C344" s="3">
        <v>2</v>
      </c>
      <c r="D344" s="148">
        <v>45092</v>
      </c>
      <c r="E344" s="156">
        <v>8429</v>
      </c>
      <c r="F344" s="3">
        <v>325</v>
      </c>
      <c r="G344" s="3">
        <v>7617</v>
      </c>
      <c r="H344" s="3" t="s">
        <v>58</v>
      </c>
      <c r="I344" s="3">
        <v>60</v>
      </c>
      <c r="J344" s="239">
        <v>0.6875</v>
      </c>
      <c r="K344" s="239">
        <v>0.75694444444444453</v>
      </c>
      <c r="L344" s="5">
        <f t="shared" si="44"/>
        <v>6.9444444444444531E-2</v>
      </c>
      <c r="M344" s="3" t="s">
        <v>67</v>
      </c>
      <c r="N344" s="233" t="s">
        <v>735</v>
      </c>
      <c r="O344" s="3">
        <v>3515</v>
      </c>
      <c r="Q344" s="3">
        <v>3515</v>
      </c>
      <c r="R344" s="149">
        <v>5207.6000000000004</v>
      </c>
      <c r="S344" s="269">
        <f t="shared" si="43"/>
        <v>1.4000000000005457</v>
      </c>
      <c r="T344" s="233">
        <f t="shared" si="45"/>
        <v>2510.7142857133072</v>
      </c>
      <c r="U344" s="149">
        <v>1.67</v>
      </c>
      <c r="AA344" s="3">
        <v>1856</v>
      </c>
      <c r="AB344" s="3">
        <v>1658</v>
      </c>
      <c r="AC344" s="3">
        <v>3514</v>
      </c>
      <c r="AD344" s="3">
        <v>3515</v>
      </c>
      <c r="AE344" s="233" t="s">
        <v>182</v>
      </c>
      <c r="AF344" s="233" t="s">
        <v>654</v>
      </c>
      <c r="AG344" s="233" t="s">
        <v>921</v>
      </c>
      <c r="AH344" s="233" t="s">
        <v>1165</v>
      </c>
    </row>
    <row r="345" spans="2:34" x14ac:dyDescent="0.25">
      <c r="B345" s="235">
        <v>45092</v>
      </c>
      <c r="C345" s="3">
        <v>1</v>
      </c>
      <c r="D345" s="148">
        <v>45093</v>
      </c>
      <c r="E345" s="156">
        <v>8430</v>
      </c>
      <c r="F345" s="3">
        <v>326</v>
      </c>
      <c r="G345" s="3">
        <v>7605</v>
      </c>
      <c r="H345" s="3" t="s">
        <v>66</v>
      </c>
      <c r="I345" s="3">
        <v>58</v>
      </c>
      <c r="J345" s="239">
        <v>0.53125</v>
      </c>
      <c r="K345" s="239">
        <v>0.59722222222222221</v>
      </c>
      <c r="L345" s="5">
        <f t="shared" si="44"/>
        <v>6.597222222222221E-2</v>
      </c>
      <c r="M345" s="3" t="s">
        <v>67</v>
      </c>
      <c r="N345" s="233" t="s">
        <v>735</v>
      </c>
      <c r="O345" s="3">
        <v>3420</v>
      </c>
      <c r="Q345" s="3">
        <v>3420</v>
      </c>
      <c r="R345" s="149">
        <v>5209.28</v>
      </c>
      <c r="S345" s="269">
        <f t="shared" si="43"/>
        <v>1.6799999999993815</v>
      </c>
      <c r="T345" s="233">
        <f t="shared" si="45"/>
        <v>2035.7142857150352</v>
      </c>
      <c r="U345" s="149">
        <v>1.7</v>
      </c>
      <c r="AA345" s="3">
        <v>1786</v>
      </c>
      <c r="AB345" s="3">
        <v>1705</v>
      </c>
      <c r="AC345" s="3">
        <v>3492</v>
      </c>
      <c r="AD345" s="3">
        <v>3420</v>
      </c>
      <c r="AE345" s="3" t="s">
        <v>926</v>
      </c>
      <c r="AF345" s="3" t="s">
        <v>940</v>
      </c>
      <c r="AG345" s="3" t="s">
        <v>903</v>
      </c>
      <c r="AH345" s="3" t="s">
        <v>500</v>
      </c>
    </row>
    <row r="346" spans="2:34" x14ac:dyDescent="0.25">
      <c r="B346" s="235">
        <v>45092</v>
      </c>
      <c r="C346" s="3">
        <v>2</v>
      </c>
      <c r="D346" s="236">
        <v>45093</v>
      </c>
      <c r="E346" s="156">
        <v>8431</v>
      </c>
      <c r="F346" s="3">
        <v>327</v>
      </c>
      <c r="G346" s="233">
        <v>7617</v>
      </c>
      <c r="H346" s="3" t="s">
        <v>58</v>
      </c>
      <c r="I346" s="3">
        <v>58</v>
      </c>
      <c r="J346" s="239">
        <v>0.6875</v>
      </c>
      <c r="K346" s="239">
        <v>0.75</v>
      </c>
      <c r="L346" s="5">
        <f t="shared" si="44"/>
        <v>6.25E-2</v>
      </c>
      <c r="M346" s="3" t="s">
        <v>67</v>
      </c>
      <c r="N346" s="233" t="s">
        <v>735</v>
      </c>
      <c r="O346" s="3">
        <v>3310</v>
      </c>
      <c r="Q346" s="3">
        <v>3310</v>
      </c>
      <c r="R346" s="149">
        <v>5210.92</v>
      </c>
      <c r="S346" s="269">
        <f t="shared" si="43"/>
        <v>1.6400000000003274</v>
      </c>
      <c r="T346" s="233">
        <f t="shared" si="45"/>
        <v>2018.2926829264263</v>
      </c>
      <c r="U346" s="149">
        <v>1.6</v>
      </c>
      <c r="AA346" s="3">
        <v>1703</v>
      </c>
      <c r="AB346" s="3">
        <v>1606</v>
      </c>
      <c r="AC346" s="3">
        <v>3310</v>
      </c>
      <c r="AD346" s="3">
        <v>3310</v>
      </c>
      <c r="AE346" s="233" t="s">
        <v>182</v>
      </c>
      <c r="AF346" s="233" t="s">
        <v>654</v>
      </c>
      <c r="AG346" s="233" t="s">
        <v>921</v>
      </c>
      <c r="AH346" s="3" t="s">
        <v>1299</v>
      </c>
    </row>
    <row r="347" spans="2:34" x14ac:dyDescent="0.25">
      <c r="B347" s="235">
        <v>45093</v>
      </c>
      <c r="C347" s="3">
        <v>1</v>
      </c>
      <c r="D347" s="148">
        <v>45093</v>
      </c>
      <c r="E347" s="156">
        <v>8432</v>
      </c>
      <c r="F347" s="3">
        <v>328</v>
      </c>
      <c r="G347" s="3">
        <v>7625</v>
      </c>
      <c r="H347" s="3" t="s">
        <v>58</v>
      </c>
      <c r="I347" s="3">
        <v>58</v>
      </c>
      <c r="J347" s="239">
        <v>0.3888888888888889</v>
      </c>
      <c r="K347" s="239">
        <v>0.4548611111111111</v>
      </c>
      <c r="L347" s="5">
        <f t="shared" si="44"/>
        <v>6.597222222222221E-2</v>
      </c>
      <c r="M347" s="3" t="s">
        <v>59</v>
      </c>
      <c r="N347" s="3" t="s">
        <v>733</v>
      </c>
      <c r="O347" s="3">
        <v>3400</v>
      </c>
      <c r="Q347" s="3">
        <v>3000</v>
      </c>
      <c r="R347" s="149">
        <v>5212.3500000000004</v>
      </c>
      <c r="S347" s="269">
        <f t="shared" si="43"/>
        <v>1.430000000000291</v>
      </c>
      <c r="T347" s="233">
        <f t="shared" si="45"/>
        <v>2097.9020979016709</v>
      </c>
      <c r="U347" s="149">
        <v>1.87</v>
      </c>
      <c r="W347" s="152">
        <v>400</v>
      </c>
      <c r="AA347" s="3">
        <v>1759</v>
      </c>
      <c r="AB347" s="3">
        <v>1656</v>
      </c>
      <c r="AC347" s="3">
        <v>3416</v>
      </c>
      <c r="AD347" s="3">
        <v>3400</v>
      </c>
      <c r="AE347" s="3" t="s">
        <v>926</v>
      </c>
      <c r="AF347" s="3" t="s">
        <v>940</v>
      </c>
      <c r="AG347" s="3" t="s">
        <v>903</v>
      </c>
      <c r="AH347" s="3" t="s">
        <v>196</v>
      </c>
    </row>
    <row r="348" spans="2:34" x14ac:dyDescent="0.25">
      <c r="B348" s="235">
        <v>45093</v>
      </c>
      <c r="C348" s="3">
        <v>2</v>
      </c>
      <c r="D348" s="236">
        <v>45094</v>
      </c>
      <c r="E348" s="237">
        <v>8433</v>
      </c>
      <c r="F348" s="233">
        <v>329</v>
      </c>
      <c r="G348" s="3">
        <v>7605</v>
      </c>
      <c r="H348" s="3" t="s">
        <v>66</v>
      </c>
      <c r="I348" s="3">
        <v>58</v>
      </c>
      <c r="J348" s="239">
        <v>0.68402777777777779</v>
      </c>
      <c r="K348" s="239">
        <v>0.75</v>
      </c>
      <c r="L348" s="5">
        <f t="shared" si="44"/>
        <v>6.597222222222221E-2</v>
      </c>
      <c r="M348" s="3" t="s">
        <v>59</v>
      </c>
      <c r="N348" s="233" t="s">
        <v>733</v>
      </c>
      <c r="O348" s="3">
        <v>3587</v>
      </c>
      <c r="Q348" s="3">
        <v>3587</v>
      </c>
      <c r="R348" s="149">
        <v>5214.1400000000003</v>
      </c>
      <c r="S348" s="269">
        <f t="shared" si="43"/>
        <v>1.7899999999999636</v>
      </c>
      <c r="T348" s="233">
        <f t="shared" si="45"/>
        <v>2003.9106145251803</v>
      </c>
      <c r="U348" s="149">
        <v>1.7</v>
      </c>
      <c r="AA348" s="3">
        <v>1924</v>
      </c>
      <c r="AB348" s="3">
        <v>1662</v>
      </c>
      <c r="AC348" s="3">
        <v>3587</v>
      </c>
      <c r="AD348" s="3">
        <v>3587</v>
      </c>
      <c r="AE348" s="233" t="s">
        <v>182</v>
      </c>
      <c r="AF348" s="233" t="s">
        <v>654</v>
      </c>
      <c r="AG348" s="233" t="s">
        <v>921</v>
      </c>
      <c r="AH348" s="233" t="s">
        <v>1165</v>
      </c>
    </row>
    <row r="349" spans="2:34" x14ac:dyDescent="0.25">
      <c r="B349" s="235">
        <v>45093</v>
      </c>
      <c r="C349" s="3">
        <v>3</v>
      </c>
      <c r="D349" s="236">
        <v>45094</v>
      </c>
      <c r="E349" s="156">
        <v>8434</v>
      </c>
      <c r="F349" s="3">
        <v>330</v>
      </c>
      <c r="G349" s="233">
        <v>7617</v>
      </c>
      <c r="H349" s="3" t="s">
        <v>58</v>
      </c>
      <c r="I349" s="3">
        <v>57</v>
      </c>
      <c r="J349" s="239">
        <v>4.5138888888888888E-2</v>
      </c>
      <c r="K349" s="239">
        <v>9.7222222222222224E-2</v>
      </c>
      <c r="L349" s="5">
        <f t="shared" si="44"/>
        <v>5.2083333333333336E-2</v>
      </c>
      <c r="M349" s="233" t="s">
        <v>59</v>
      </c>
      <c r="N349" s="233" t="s">
        <v>733</v>
      </c>
      <c r="O349" s="3">
        <v>3320</v>
      </c>
      <c r="Q349" s="3">
        <v>3320</v>
      </c>
      <c r="R349" s="149">
        <v>5215.3599999999997</v>
      </c>
      <c r="S349" s="269">
        <f>R349-R348</f>
        <v>1.2199999999993452</v>
      </c>
      <c r="T349" s="233">
        <f>Q349/S349</f>
        <v>2721.3114754112967</v>
      </c>
      <c r="U349" s="149">
        <v>1.45</v>
      </c>
      <c r="AA349" s="3">
        <v>1792</v>
      </c>
      <c r="AB349" s="3">
        <v>1518</v>
      </c>
      <c r="AC349" s="3">
        <v>3310</v>
      </c>
      <c r="AD349" s="3">
        <v>3320</v>
      </c>
      <c r="AE349" s="233" t="s">
        <v>8</v>
      </c>
      <c r="AF349" s="233" t="s">
        <v>919</v>
      </c>
      <c r="AG349" s="233" t="s">
        <v>1284</v>
      </c>
      <c r="AH349" s="233" t="s">
        <v>710</v>
      </c>
    </row>
    <row r="350" spans="2:34" x14ac:dyDescent="0.25">
      <c r="B350" s="235">
        <v>45094</v>
      </c>
      <c r="C350" s="3">
        <v>1</v>
      </c>
      <c r="D350" s="382"/>
      <c r="E350" s="281"/>
      <c r="F350" s="281"/>
      <c r="G350" s="281"/>
      <c r="H350" s="281"/>
      <c r="I350" s="281"/>
      <c r="J350" s="281"/>
      <c r="K350" s="281"/>
      <c r="L350" s="383"/>
      <c r="M350" s="281"/>
      <c r="N350" s="281"/>
      <c r="O350" s="281"/>
      <c r="AF350" s="233"/>
      <c r="AG350" s="233"/>
    </row>
    <row r="351" spans="2:34" x14ac:dyDescent="0.25">
      <c r="B351" s="235">
        <v>45095</v>
      </c>
      <c r="C351" s="3">
        <v>1</v>
      </c>
      <c r="D351" s="382"/>
      <c r="E351" s="281"/>
      <c r="F351" s="281"/>
      <c r="G351" s="281"/>
      <c r="H351" s="281"/>
      <c r="I351" s="281"/>
      <c r="J351" s="281"/>
      <c r="K351" s="281"/>
      <c r="L351" s="383"/>
      <c r="M351" s="281"/>
      <c r="N351" s="281"/>
      <c r="O351" s="281"/>
    </row>
    <row r="352" spans="2:34" x14ac:dyDescent="0.25">
      <c r="B352" s="235">
        <v>45096</v>
      </c>
      <c r="C352" s="3">
        <v>1</v>
      </c>
      <c r="D352" s="148">
        <v>45096</v>
      </c>
      <c r="E352" s="156">
        <v>8435</v>
      </c>
      <c r="F352" s="3">
        <v>331</v>
      </c>
      <c r="G352" s="233">
        <v>7617</v>
      </c>
      <c r="H352" s="3" t="s">
        <v>58</v>
      </c>
      <c r="I352" s="3">
        <v>60</v>
      </c>
      <c r="J352" s="239">
        <v>0.32291666666666669</v>
      </c>
      <c r="K352" s="239">
        <v>0.3923611111111111</v>
      </c>
      <c r="L352" s="234">
        <f t="shared" ref="L352:L363" si="46">+K352-J352</f>
        <v>6.944444444444442E-2</v>
      </c>
      <c r="M352" s="3" t="s">
        <v>59</v>
      </c>
      <c r="N352" s="3" t="s">
        <v>733</v>
      </c>
      <c r="O352" s="3">
        <v>3619</v>
      </c>
      <c r="Q352" s="233">
        <v>3619</v>
      </c>
      <c r="R352" s="149">
        <v>5216.76</v>
      </c>
      <c r="S352" s="269">
        <v>1.4</v>
      </c>
      <c r="T352" s="233">
        <f>Q352/S352</f>
        <v>2585</v>
      </c>
      <c r="U352" s="149">
        <v>1.45</v>
      </c>
      <c r="AA352" s="233">
        <v>1917</v>
      </c>
      <c r="AB352" s="233">
        <v>1659</v>
      </c>
      <c r="AC352" s="233">
        <v>3576</v>
      </c>
      <c r="AD352" s="3">
        <v>3619</v>
      </c>
      <c r="AE352" s="233" t="s">
        <v>459</v>
      </c>
      <c r="AF352" s="233" t="s">
        <v>1165</v>
      </c>
      <c r="AG352" s="233" t="s">
        <v>1165</v>
      </c>
      <c r="AH352" s="233" t="s">
        <v>825</v>
      </c>
    </row>
    <row r="353" spans="2:34" x14ac:dyDescent="0.25">
      <c r="B353" s="235">
        <v>45096</v>
      </c>
      <c r="C353" s="3">
        <v>2</v>
      </c>
      <c r="D353" s="236">
        <v>45096</v>
      </c>
      <c r="E353" s="156">
        <v>8436</v>
      </c>
      <c r="F353" s="3">
        <v>332</v>
      </c>
      <c r="G353" s="233">
        <v>7625</v>
      </c>
      <c r="H353" s="3" t="s">
        <v>58</v>
      </c>
      <c r="I353" s="3">
        <v>60</v>
      </c>
      <c r="J353" s="239">
        <v>0.67361111111111116</v>
      </c>
      <c r="K353" s="239">
        <v>0.73958333333333337</v>
      </c>
      <c r="L353" s="234">
        <f t="shared" si="46"/>
        <v>6.597222222222221E-2</v>
      </c>
      <c r="M353" s="233" t="s">
        <v>59</v>
      </c>
      <c r="N353" s="233" t="s">
        <v>733</v>
      </c>
      <c r="O353" s="3">
        <v>3450</v>
      </c>
      <c r="Q353" s="3">
        <v>3450</v>
      </c>
      <c r="R353" s="149">
        <v>5218.45</v>
      </c>
      <c r="S353" s="269">
        <f t="shared" ref="S353:S361" si="47">R353-R352</f>
        <v>1.6899999999995998</v>
      </c>
      <c r="T353" s="233">
        <f>Q353/S353</f>
        <v>2041.4201183436787</v>
      </c>
      <c r="U353" s="149">
        <v>1.67</v>
      </c>
      <c r="AA353" s="3">
        <v>1788</v>
      </c>
      <c r="AB353" s="3">
        <v>1696</v>
      </c>
      <c r="AC353" s="3">
        <v>3454</v>
      </c>
      <c r="AD353" s="3">
        <v>3450</v>
      </c>
      <c r="AE353" s="3" t="s">
        <v>1213</v>
      </c>
      <c r="AF353" s="233" t="s">
        <v>906</v>
      </c>
      <c r="AG353" s="3" t="s">
        <v>1310</v>
      </c>
      <c r="AH353" s="3" t="s">
        <v>822</v>
      </c>
    </row>
    <row r="354" spans="2:34" x14ac:dyDescent="0.25">
      <c r="B354" s="235">
        <v>45096</v>
      </c>
      <c r="C354" s="3">
        <v>3</v>
      </c>
      <c r="D354" s="236">
        <v>45097</v>
      </c>
      <c r="E354" s="156">
        <v>8437</v>
      </c>
      <c r="F354" s="3">
        <v>333</v>
      </c>
      <c r="G354" s="3">
        <v>7605</v>
      </c>
      <c r="H354" s="3" t="s">
        <v>66</v>
      </c>
      <c r="I354" s="3">
        <v>57</v>
      </c>
      <c r="J354" s="239">
        <v>1.0416666666666666E-2</v>
      </c>
      <c r="K354" s="239">
        <v>7.2916666666666671E-2</v>
      </c>
      <c r="L354" s="234">
        <f t="shared" si="46"/>
        <v>6.25E-2</v>
      </c>
      <c r="M354" s="233" t="s">
        <v>59</v>
      </c>
      <c r="N354" s="233" t="s">
        <v>733</v>
      </c>
      <c r="O354" s="3">
        <v>3335</v>
      </c>
      <c r="Q354" s="3">
        <v>3335</v>
      </c>
      <c r="R354" s="149">
        <v>5219.75</v>
      </c>
      <c r="S354" s="269">
        <f t="shared" si="47"/>
        <v>1.3000000000001819</v>
      </c>
      <c r="T354" s="233">
        <f>Q354/S354</f>
        <v>2565.3846153842564</v>
      </c>
      <c r="U354" s="149">
        <v>1.69</v>
      </c>
      <c r="AA354" s="3">
        <v>1678</v>
      </c>
      <c r="AB354" s="3">
        <v>1656</v>
      </c>
      <c r="AC354" s="3">
        <v>3334</v>
      </c>
      <c r="AD354" s="233" t="s">
        <v>492</v>
      </c>
      <c r="AE354" s="3" t="s">
        <v>676</v>
      </c>
      <c r="AF354" s="3" t="s">
        <v>1248</v>
      </c>
      <c r="AG354" s="233" t="s">
        <v>903</v>
      </c>
      <c r="AH354" s="3" t="s">
        <v>1313</v>
      </c>
    </row>
    <row r="355" spans="2:34" x14ac:dyDescent="0.25">
      <c r="B355" s="235">
        <v>45097</v>
      </c>
      <c r="C355" s="3">
        <v>1</v>
      </c>
      <c r="D355" s="148">
        <v>45097</v>
      </c>
      <c r="E355" s="156">
        <v>8438</v>
      </c>
      <c r="F355" s="3">
        <v>334</v>
      </c>
      <c r="G355" s="233">
        <v>7617</v>
      </c>
      <c r="H355" s="3" t="s">
        <v>58</v>
      </c>
      <c r="I355" s="3">
        <v>60</v>
      </c>
      <c r="J355" s="239">
        <v>0.375</v>
      </c>
      <c r="K355" s="239">
        <v>0.50694444444444442</v>
      </c>
      <c r="L355" s="234">
        <f t="shared" si="46"/>
        <v>0.13194444444444442</v>
      </c>
      <c r="M355" s="3" t="s">
        <v>73</v>
      </c>
      <c r="N355" s="233" t="s">
        <v>733</v>
      </c>
      <c r="O355" s="3">
        <v>3420</v>
      </c>
      <c r="Q355" s="3">
        <v>3420</v>
      </c>
      <c r="R355" s="149">
        <v>5221.3</v>
      </c>
      <c r="S355" s="269">
        <f t="shared" si="47"/>
        <v>1.5500000000001819</v>
      </c>
      <c r="T355" s="233">
        <f t="shared" ref="T355:T361" si="48">Q355/S355</f>
        <v>2206.4516129029666</v>
      </c>
      <c r="U355" s="149">
        <v>1.9</v>
      </c>
      <c r="W355" s="152">
        <v>468</v>
      </c>
      <c r="AA355" s="3">
        <v>2100</v>
      </c>
      <c r="AB355" s="3">
        <v>1656</v>
      </c>
      <c r="AC355" s="3">
        <v>3757</v>
      </c>
      <c r="AD355" s="3" t="s">
        <v>687</v>
      </c>
      <c r="AE355" s="233" t="s">
        <v>459</v>
      </c>
      <c r="AF355" s="3" t="s">
        <v>474</v>
      </c>
      <c r="AG355" s="3" t="s">
        <v>1153</v>
      </c>
      <c r="AH355" s="3" t="s">
        <v>822</v>
      </c>
    </row>
    <row r="356" spans="2:34" x14ac:dyDescent="0.25">
      <c r="B356" s="235">
        <v>45097</v>
      </c>
      <c r="C356" s="3">
        <v>2</v>
      </c>
      <c r="D356" s="148">
        <v>45098</v>
      </c>
      <c r="E356" s="156">
        <v>8438</v>
      </c>
      <c r="F356" s="3">
        <v>335</v>
      </c>
      <c r="G356" s="233">
        <v>7605</v>
      </c>
      <c r="H356" s="3" t="s">
        <v>58</v>
      </c>
      <c r="I356" s="3">
        <v>59</v>
      </c>
      <c r="J356" s="239">
        <v>0.69791666666666663</v>
      </c>
      <c r="K356" s="239">
        <v>0.76388888888888884</v>
      </c>
      <c r="L356" s="234">
        <f t="shared" si="46"/>
        <v>6.597222222222221E-2</v>
      </c>
      <c r="M356" s="233" t="s">
        <v>73</v>
      </c>
      <c r="N356" s="233" t="s">
        <v>733</v>
      </c>
      <c r="O356" s="3">
        <v>3480</v>
      </c>
      <c r="Q356" s="3">
        <v>3480</v>
      </c>
      <c r="R356" s="149">
        <v>5222.6899999999996</v>
      </c>
      <c r="S356" s="269">
        <f t="shared" si="47"/>
        <v>1.3899999999994179</v>
      </c>
      <c r="T356" s="233">
        <f t="shared" si="48"/>
        <v>2503.5971223032066</v>
      </c>
      <c r="U356" s="149">
        <v>1.9</v>
      </c>
      <c r="AA356" s="3">
        <v>1746</v>
      </c>
      <c r="AB356" s="3">
        <v>1695</v>
      </c>
      <c r="AC356" s="3">
        <v>3441</v>
      </c>
      <c r="AD356" s="3" t="s">
        <v>492</v>
      </c>
      <c r="AE356" s="233" t="s">
        <v>676</v>
      </c>
      <c r="AF356" s="233" t="s">
        <v>1248</v>
      </c>
      <c r="AG356" s="233" t="s">
        <v>903</v>
      </c>
      <c r="AH356" s="233" t="s">
        <v>1313</v>
      </c>
    </row>
    <row r="357" spans="2:34" x14ac:dyDescent="0.25">
      <c r="B357" s="235">
        <v>45097</v>
      </c>
      <c r="C357" s="3">
        <v>3</v>
      </c>
      <c r="D357" s="236">
        <v>45098</v>
      </c>
      <c r="E357" s="156">
        <v>8439</v>
      </c>
      <c r="F357" s="3">
        <v>336</v>
      </c>
      <c r="G357" s="233">
        <v>7617</v>
      </c>
      <c r="H357" s="3" t="s">
        <v>66</v>
      </c>
      <c r="I357" s="3">
        <v>58</v>
      </c>
      <c r="J357" s="239">
        <v>0</v>
      </c>
      <c r="K357" s="239">
        <v>6.25E-2</v>
      </c>
      <c r="L357" s="5">
        <f t="shared" si="46"/>
        <v>6.25E-2</v>
      </c>
      <c r="M357" s="3" t="s">
        <v>73</v>
      </c>
      <c r="N357" s="233" t="s">
        <v>733</v>
      </c>
      <c r="O357" s="3">
        <v>3341</v>
      </c>
      <c r="Q357" s="3">
        <v>3341</v>
      </c>
      <c r="R357" s="149">
        <v>5224.1499999999996</v>
      </c>
      <c r="S357" s="269">
        <f t="shared" si="47"/>
        <v>1.4600000000000364</v>
      </c>
      <c r="T357" s="233">
        <f t="shared" si="48"/>
        <v>2288.3561643835046</v>
      </c>
      <c r="U357" s="149">
        <v>1.6</v>
      </c>
      <c r="AA357" s="3">
        <v>2004</v>
      </c>
      <c r="AB357" s="3">
        <v>1695</v>
      </c>
      <c r="AC357" s="3">
        <v>3735</v>
      </c>
      <c r="AD357" s="3">
        <v>3370</v>
      </c>
      <c r="AE357" s="3" t="s">
        <v>459</v>
      </c>
      <c r="AF357" s="3" t="s">
        <v>1153</v>
      </c>
      <c r="AG357" s="3" t="s">
        <v>474</v>
      </c>
      <c r="AH357" s="3" t="s">
        <v>1323</v>
      </c>
    </row>
    <row r="358" spans="2:34" x14ac:dyDescent="0.25">
      <c r="B358" s="235">
        <v>45098</v>
      </c>
      <c r="C358" s="3">
        <v>1</v>
      </c>
      <c r="D358" s="148">
        <v>45099</v>
      </c>
      <c r="E358" s="156">
        <v>8440</v>
      </c>
      <c r="F358" s="3">
        <v>337</v>
      </c>
      <c r="G358" s="3">
        <v>7617</v>
      </c>
      <c r="H358" s="3" t="s">
        <v>58</v>
      </c>
      <c r="I358" s="3">
        <v>60</v>
      </c>
      <c r="J358" s="239">
        <v>0.41666666666666669</v>
      </c>
      <c r="K358" s="239">
        <v>0.49652777777777773</v>
      </c>
      <c r="L358" s="5">
        <f t="shared" si="46"/>
        <v>7.9861111111111049E-2</v>
      </c>
      <c r="M358" s="3" t="s">
        <v>73</v>
      </c>
      <c r="N358" s="3" t="s">
        <v>733</v>
      </c>
      <c r="O358" s="3">
        <v>3370</v>
      </c>
      <c r="Q358" s="3">
        <v>3370</v>
      </c>
      <c r="R358" s="149">
        <v>5226.62</v>
      </c>
      <c r="S358" s="269">
        <f t="shared" si="47"/>
        <v>2.4700000000002547</v>
      </c>
      <c r="T358" s="233">
        <f t="shared" si="48"/>
        <v>1364.3724696354868</v>
      </c>
      <c r="U358" s="149">
        <v>1.94</v>
      </c>
      <c r="AA358" s="233">
        <v>1792</v>
      </c>
      <c r="AB358" s="233">
        <v>1518</v>
      </c>
      <c r="AC358" s="233">
        <v>3310</v>
      </c>
      <c r="AD358" s="3">
        <v>3370</v>
      </c>
      <c r="AE358" s="3" t="s">
        <v>1325</v>
      </c>
      <c r="AF358" s="233" t="s">
        <v>474</v>
      </c>
      <c r="AG358" s="233" t="s">
        <v>1153</v>
      </c>
      <c r="AH358" s="233" t="s">
        <v>822</v>
      </c>
    </row>
    <row r="359" spans="2:34" x14ac:dyDescent="0.25">
      <c r="B359" s="235">
        <v>45098</v>
      </c>
      <c r="C359" s="3">
        <v>2</v>
      </c>
      <c r="D359" s="236">
        <v>45099</v>
      </c>
      <c r="E359" s="156">
        <v>8441</v>
      </c>
      <c r="F359" s="3">
        <v>338</v>
      </c>
      <c r="G359" s="233">
        <v>7605</v>
      </c>
      <c r="H359" s="3" t="s">
        <v>58</v>
      </c>
      <c r="I359" s="3">
        <v>60</v>
      </c>
      <c r="J359" s="239">
        <v>0.76388888888888884</v>
      </c>
      <c r="K359" s="239">
        <v>0.84027777777777779</v>
      </c>
      <c r="L359" s="5">
        <f t="shared" si="46"/>
        <v>7.6388888888888951E-2</v>
      </c>
      <c r="M359" s="233" t="s">
        <v>73</v>
      </c>
      <c r="N359" s="233" t="s">
        <v>733</v>
      </c>
      <c r="O359" s="3">
        <v>3520</v>
      </c>
      <c r="Q359" s="3">
        <v>3520</v>
      </c>
      <c r="R359" s="149">
        <v>5228.1499999999996</v>
      </c>
      <c r="S359" s="269">
        <f t="shared" si="47"/>
        <v>1.5299999999997453</v>
      </c>
      <c r="T359" s="233">
        <f t="shared" si="48"/>
        <v>2300.6535947716247</v>
      </c>
      <c r="U359" s="149">
        <v>2</v>
      </c>
      <c r="AA359" s="3">
        <v>1750</v>
      </c>
      <c r="AB359" s="3">
        <v>1750</v>
      </c>
      <c r="AC359" s="3">
        <v>3500</v>
      </c>
      <c r="AD359" s="3">
        <v>3520</v>
      </c>
      <c r="AE359" s="233" t="s">
        <v>1326</v>
      </c>
      <c r="AF359" s="233" t="s">
        <v>906</v>
      </c>
      <c r="AG359" s="233" t="s">
        <v>1310</v>
      </c>
      <c r="AH359" s="233" t="s">
        <v>822</v>
      </c>
    </row>
    <row r="360" spans="2:34" x14ac:dyDescent="0.25">
      <c r="B360" s="235">
        <v>45098</v>
      </c>
      <c r="C360" s="3">
        <v>3</v>
      </c>
      <c r="D360" s="236">
        <v>45100</v>
      </c>
      <c r="E360" s="156">
        <v>8442</v>
      </c>
      <c r="F360" s="3">
        <v>339</v>
      </c>
      <c r="G360" s="233">
        <v>7605</v>
      </c>
      <c r="H360" s="3" t="s">
        <v>58</v>
      </c>
      <c r="I360" s="3">
        <v>60</v>
      </c>
      <c r="J360" s="239">
        <v>8.3333333333333329E-2</v>
      </c>
      <c r="K360" s="239">
        <v>0.14583333333333334</v>
      </c>
      <c r="L360" s="5">
        <f t="shared" si="46"/>
        <v>6.2500000000000014E-2</v>
      </c>
      <c r="M360" s="233" t="s">
        <v>73</v>
      </c>
      <c r="N360" s="233" t="s">
        <v>733</v>
      </c>
      <c r="O360" s="3">
        <v>3420</v>
      </c>
      <c r="Q360" s="3">
        <v>3420</v>
      </c>
      <c r="R360" s="149">
        <v>5230.1000000000004</v>
      </c>
      <c r="S360" s="269">
        <f t="shared" si="47"/>
        <v>1.9500000000007276</v>
      </c>
      <c r="T360" s="233">
        <f t="shared" si="48"/>
        <v>1753.8461538454994</v>
      </c>
      <c r="U360" s="149">
        <v>1.7</v>
      </c>
      <c r="AA360" s="3">
        <v>1730</v>
      </c>
      <c r="AB360" s="3">
        <v>1700</v>
      </c>
      <c r="AC360" s="3">
        <v>3430</v>
      </c>
      <c r="AD360" s="3">
        <v>3420</v>
      </c>
      <c r="AE360" s="233" t="s">
        <v>1213</v>
      </c>
      <c r="AF360" s="233" t="s">
        <v>1248</v>
      </c>
      <c r="AG360" s="233" t="s">
        <v>903</v>
      </c>
      <c r="AH360" s="233" t="s">
        <v>1313</v>
      </c>
    </row>
    <row r="361" spans="2:34" x14ac:dyDescent="0.25">
      <c r="B361" s="235">
        <v>45099</v>
      </c>
      <c r="C361" s="3">
        <v>1</v>
      </c>
      <c r="D361" s="148">
        <v>45100</v>
      </c>
      <c r="E361" s="156">
        <v>8443</v>
      </c>
      <c r="F361" s="3">
        <v>340</v>
      </c>
      <c r="G361" s="233">
        <v>7617</v>
      </c>
      <c r="H361" s="3" t="s">
        <v>66</v>
      </c>
      <c r="I361" s="3">
        <v>56</v>
      </c>
      <c r="J361" s="239">
        <v>0.43055555555555558</v>
      </c>
      <c r="K361" s="239">
        <v>0.5</v>
      </c>
      <c r="L361" s="5">
        <f t="shared" si="46"/>
        <v>6.944444444444442E-2</v>
      </c>
      <c r="M361" s="3" t="s">
        <v>73</v>
      </c>
      <c r="N361" s="3" t="s">
        <v>733</v>
      </c>
      <c r="O361" s="3">
        <v>3300</v>
      </c>
      <c r="Q361" s="3">
        <v>3300</v>
      </c>
      <c r="R361" s="149">
        <v>5232.2</v>
      </c>
      <c r="S361" s="269">
        <f t="shared" si="47"/>
        <v>2.0999999999994543</v>
      </c>
      <c r="T361" s="233">
        <f t="shared" si="48"/>
        <v>1571.4285714289797</v>
      </c>
      <c r="U361" s="149">
        <v>1.9</v>
      </c>
      <c r="AA361" s="3">
        <v>1809</v>
      </c>
      <c r="AB361" s="3">
        <v>1650</v>
      </c>
      <c r="AC361" s="3">
        <v>3456</v>
      </c>
      <c r="AD361" s="3">
        <v>3300</v>
      </c>
      <c r="AE361" s="233" t="s">
        <v>459</v>
      </c>
      <c r="AF361" s="233" t="s">
        <v>1153</v>
      </c>
      <c r="AG361" s="233" t="s">
        <v>1323</v>
      </c>
      <c r="AH361" s="233" t="s">
        <v>474</v>
      </c>
    </row>
    <row r="362" spans="2:34" x14ac:dyDescent="0.25">
      <c r="B362" s="235">
        <v>45100</v>
      </c>
      <c r="C362" s="233">
        <v>1</v>
      </c>
      <c r="D362" s="148">
        <v>45101</v>
      </c>
      <c r="E362" s="156">
        <v>8444</v>
      </c>
      <c r="F362" s="3">
        <v>341</v>
      </c>
      <c r="G362" s="3">
        <v>7605</v>
      </c>
      <c r="H362" s="3" t="s">
        <v>58</v>
      </c>
      <c r="I362" s="3">
        <v>60</v>
      </c>
      <c r="J362" s="239">
        <v>0.4375</v>
      </c>
      <c r="K362" s="239">
        <v>0.50694444444444442</v>
      </c>
      <c r="L362" s="5">
        <f t="shared" si="46"/>
        <v>6.944444444444442E-2</v>
      </c>
      <c r="M362" s="233" t="s">
        <v>73</v>
      </c>
      <c r="N362" s="233" t="s">
        <v>733</v>
      </c>
      <c r="O362" s="3">
        <v>3450</v>
      </c>
      <c r="Q362" s="3">
        <v>3450</v>
      </c>
      <c r="R362" s="149">
        <v>5233.55</v>
      </c>
      <c r="S362" s="269">
        <f t="shared" ref="S362" si="49">R362-R361</f>
        <v>1.3500000000003638</v>
      </c>
      <c r="T362" s="233">
        <f t="shared" ref="T362" si="50">Q362/S362</f>
        <v>2555.5555555548667</v>
      </c>
      <c r="U362" s="149">
        <v>1.9</v>
      </c>
      <c r="AA362" s="3">
        <v>1990</v>
      </c>
      <c r="AB362" s="3">
        <v>1747</v>
      </c>
      <c r="AC362" s="3">
        <v>3738</v>
      </c>
      <c r="AD362" s="3">
        <v>3450</v>
      </c>
      <c r="AE362" s="233" t="s">
        <v>459</v>
      </c>
      <c r="AF362" s="233" t="s">
        <v>1153</v>
      </c>
      <c r="AG362" s="233" t="s">
        <v>1323</v>
      </c>
      <c r="AH362" s="233" t="s">
        <v>906</v>
      </c>
    </row>
    <row r="363" spans="2:34" x14ac:dyDescent="0.25">
      <c r="B363" s="235">
        <v>45100</v>
      </c>
      <c r="C363" s="3">
        <v>2</v>
      </c>
      <c r="D363" s="236">
        <v>45101</v>
      </c>
      <c r="E363" s="156">
        <v>8445</v>
      </c>
      <c r="F363" s="3">
        <v>342</v>
      </c>
      <c r="G363" s="233">
        <v>7617</v>
      </c>
      <c r="H363" s="3" t="s">
        <v>58</v>
      </c>
      <c r="I363" s="3">
        <v>60</v>
      </c>
      <c r="J363" s="239">
        <v>0.75</v>
      </c>
      <c r="K363" s="239">
        <v>0.8125</v>
      </c>
      <c r="L363" s="5">
        <f t="shared" si="46"/>
        <v>6.25E-2</v>
      </c>
      <c r="M363" s="233" t="s">
        <v>73</v>
      </c>
      <c r="N363" s="233" t="s">
        <v>733</v>
      </c>
      <c r="O363" s="3">
        <v>3490</v>
      </c>
      <c r="Q363" s="3">
        <v>3490</v>
      </c>
      <c r="R363" s="149">
        <v>5234.96</v>
      </c>
      <c r="S363" s="269">
        <f t="shared" ref="S363" si="51">R363-R362</f>
        <v>1.4099999999998545</v>
      </c>
      <c r="T363" s="233">
        <f t="shared" ref="T363" si="52">Q363/S363</f>
        <v>2475.1773049647945</v>
      </c>
      <c r="U363" s="149">
        <v>1.85</v>
      </c>
      <c r="AA363" s="3">
        <v>1730</v>
      </c>
      <c r="AB363" s="3">
        <v>1740</v>
      </c>
      <c r="AC363" s="3">
        <v>3470</v>
      </c>
      <c r="AD363" s="3">
        <v>3490</v>
      </c>
      <c r="AE363" s="233" t="s">
        <v>1213</v>
      </c>
      <c r="AF363" s="233" t="s">
        <v>906</v>
      </c>
      <c r="AG363" s="233" t="s">
        <v>1310</v>
      </c>
      <c r="AH363" s="233" t="s">
        <v>822</v>
      </c>
    </row>
    <row r="364" spans="2:34" x14ac:dyDescent="0.25">
      <c r="B364" s="235">
        <v>45100</v>
      </c>
      <c r="C364" s="3">
        <v>3</v>
      </c>
      <c r="D364" s="310"/>
      <c r="E364" s="237"/>
      <c r="F364" s="237"/>
      <c r="G364" s="237"/>
      <c r="H364" s="237"/>
      <c r="I364" s="237"/>
      <c r="J364" s="237"/>
      <c r="K364" s="237"/>
      <c r="L364" s="386"/>
      <c r="M364" s="237"/>
      <c r="N364" s="237"/>
      <c r="O364" s="237"/>
      <c r="P364" s="296"/>
      <c r="Q364" s="237"/>
      <c r="R364" s="387"/>
      <c r="S364" s="237"/>
      <c r="T364" s="237"/>
      <c r="U364" s="387"/>
    </row>
    <row r="365" spans="2:34" x14ac:dyDescent="0.25">
      <c r="B365" s="235">
        <v>45101</v>
      </c>
      <c r="C365" s="3">
        <v>1</v>
      </c>
      <c r="D365" s="310"/>
      <c r="E365" s="237"/>
      <c r="F365" s="237"/>
      <c r="G365" s="237"/>
      <c r="H365" s="237"/>
      <c r="I365" s="237"/>
      <c r="J365" s="237"/>
      <c r="K365" s="237"/>
      <c r="L365" s="386"/>
      <c r="M365" s="237"/>
      <c r="N365" s="237"/>
      <c r="O365" s="237"/>
      <c r="P365" s="296"/>
      <c r="Q365" s="237"/>
      <c r="R365" s="387"/>
      <c r="S365" s="237"/>
      <c r="T365" s="237"/>
      <c r="U365" s="387"/>
    </row>
    <row r="366" spans="2:34" x14ac:dyDescent="0.25">
      <c r="B366" s="235">
        <v>45101</v>
      </c>
      <c r="C366" s="3">
        <v>2</v>
      </c>
      <c r="D366" s="310"/>
      <c r="E366" s="237"/>
      <c r="F366" s="237"/>
      <c r="G366" s="237"/>
      <c r="H366" s="237"/>
      <c r="I366" s="237"/>
      <c r="J366" s="237"/>
      <c r="K366" s="237"/>
      <c r="L366" s="386"/>
      <c r="M366" s="237"/>
      <c r="N366" s="237"/>
      <c r="O366" s="237"/>
      <c r="P366" s="296"/>
      <c r="Q366" s="237"/>
      <c r="R366" s="387"/>
      <c r="S366" s="237"/>
      <c r="T366" s="237"/>
      <c r="U366" s="387"/>
    </row>
    <row r="367" spans="2:34" x14ac:dyDescent="0.25">
      <c r="B367" s="235">
        <v>45101</v>
      </c>
      <c r="C367" s="3">
        <v>3</v>
      </c>
      <c r="D367" s="310"/>
      <c r="E367" s="237"/>
      <c r="F367" s="237"/>
      <c r="G367" s="237"/>
      <c r="H367" s="237"/>
      <c r="I367" s="237"/>
      <c r="J367" s="237"/>
      <c r="K367" s="237"/>
      <c r="L367" s="386"/>
      <c r="M367" s="237"/>
      <c r="N367" s="237"/>
      <c r="O367" s="237"/>
      <c r="P367" s="296"/>
      <c r="Q367" s="237"/>
      <c r="R367" s="387"/>
      <c r="S367" s="237"/>
      <c r="T367" s="237"/>
      <c r="U367" s="387"/>
    </row>
    <row r="368" spans="2:34" x14ac:dyDescent="0.25">
      <c r="B368" s="235">
        <v>45103</v>
      </c>
      <c r="C368" s="3">
        <v>1</v>
      </c>
      <c r="D368" s="148">
        <v>45103</v>
      </c>
      <c r="E368" s="156">
        <v>8446</v>
      </c>
      <c r="F368" s="3">
        <v>343</v>
      </c>
      <c r="G368" s="3">
        <v>7617</v>
      </c>
      <c r="H368" s="3" t="s">
        <v>58</v>
      </c>
      <c r="I368" s="3">
        <v>60</v>
      </c>
      <c r="J368" s="239">
        <v>0.34722222222222227</v>
      </c>
      <c r="K368" s="239">
        <v>0.4201388888888889</v>
      </c>
      <c r="L368" s="234">
        <f t="shared" ref="L368:L386" si="53">+K368-J368</f>
        <v>7.291666666666663E-2</v>
      </c>
      <c r="M368" s="3" t="s">
        <v>73</v>
      </c>
      <c r="N368" s="3" t="s">
        <v>733</v>
      </c>
      <c r="O368" s="3">
        <v>3500</v>
      </c>
      <c r="Q368" s="3">
        <v>3500</v>
      </c>
      <c r="R368" s="149">
        <v>5236.82</v>
      </c>
      <c r="S368" s="3">
        <v>1.77</v>
      </c>
      <c r="T368" s="233">
        <f t="shared" ref="T368:T381" si="54">Q368/S368</f>
        <v>1977.4011299435028</v>
      </c>
      <c r="U368" s="149">
        <v>1.45</v>
      </c>
      <c r="AA368" s="3">
        <v>1941</v>
      </c>
      <c r="AB368" s="3">
        <v>1677</v>
      </c>
      <c r="AC368" s="3">
        <v>3619</v>
      </c>
      <c r="AD368" s="3">
        <v>3500</v>
      </c>
      <c r="AE368" s="3" t="s">
        <v>957</v>
      </c>
      <c r="AF368" s="3" t="s">
        <v>1289</v>
      </c>
      <c r="AG368" s="3" t="s">
        <v>1146</v>
      </c>
      <c r="AH368" s="3" t="s">
        <v>816</v>
      </c>
    </row>
    <row r="369" spans="2:41" x14ac:dyDescent="0.25">
      <c r="B369" s="235">
        <v>45103</v>
      </c>
      <c r="C369" s="233">
        <v>1</v>
      </c>
      <c r="D369" s="236">
        <v>45103</v>
      </c>
      <c r="E369" s="237">
        <v>8447</v>
      </c>
      <c r="F369" s="233">
        <v>344</v>
      </c>
      <c r="G369" s="3">
        <v>7625</v>
      </c>
      <c r="H369" s="3" t="s">
        <v>66</v>
      </c>
      <c r="I369" s="3">
        <v>52</v>
      </c>
      <c r="J369" s="239">
        <v>0.52083333333333337</v>
      </c>
      <c r="K369" s="239">
        <v>0.59027777777777779</v>
      </c>
      <c r="L369" s="234">
        <f t="shared" si="53"/>
        <v>6.944444444444442E-2</v>
      </c>
      <c r="M369" s="233" t="s">
        <v>73</v>
      </c>
      <c r="N369" s="233" t="s">
        <v>733</v>
      </c>
      <c r="O369" s="3">
        <v>3450</v>
      </c>
      <c r="Q369" s="3">
        <v>3450</v>
      </c>
      <c r="R369" s="149">
        <v>5238.34</v>
      </c>
      <c r="S369" s="3">
        <v>1.65</v>
      </c>
      <c r="T369" s="233">
        <f t="shared" si="54"/>
        <v>2090.909090909091</v>
      </c>
      <c r="U369" s="149">
        <v>1.4</v>
      </c>
      <c r="AA369" s="3">
        <v>1899</v>
      </c>
      <c r="AB369" s="3">
        <v>1696</v>
      </c>
      <c r="AC369" s="3">
        <v>3595</v>
      </c>
      <c r="AD369" s="3">
        <v>3450</v>
      </c>
      <c r="AE369" s="233" t="s">
        <v>957</v>
      </c>
      <c r="AF369" s="233" t="s">
        <v>1289</v>
      </c>
      <c r="AG369" s="233" t="s">
        <v>1146</v>
      </c>
      <c r="AH369" s="233" t="s">
        <v>816</v>
      </c>
    </row>
    <row r="370" spans="2:41" x14ac:dyDescent="0.25">
      <c r="B370" s="235">
        <v>45103</v>
      </c>
      <c r="C370" s="3">
        <v>2</v>
      </c>
      <c r="D370" s="236">
        <v>45104</v>
      </c>
      <c r="E370" s="156">
        <v>8448</v>
      </c>
      <c r="F370" s="3">
        <v>345</v>
      </c>
      <c r="G370" s="233">
        <v>7617</v>
      </c>
      <c r="H370" s="3" t="s">
        <v>58</v>
      </c>
      <c r="I370" s="3">
        <v>59</v>
      </c>
      <c r="J370" s="239">
        <v>0.77777777777777779</v>
      </c>
      <c r="K370" s="239">
        <v>0.86111111111111116</v>
      </c>
      <c r="L370" s="234">
        <f t="shared" si="53"/>
        <v>8.333333333333337E-2</v>
      </c>
      <c r="M370" s="233" t="s">
        <v>73</v>
      </c>
      <c r="N370" s="233" t="s">
        <v>733</v>
      </c>
      <c r="O370" s="3">
        <v>3480</v>
      </c>
      <c r="Q370" s="3">
        <v>3672</v>
      </c>
      <c r="R370" s="149">
        <v>5240.38</v>
      </c>
      <c r="S370" s="269">
        <f t="shared" ref="S370:S381" si="55">R370-R369</f>
        <v>2.0399999999999636</v>
      </c>
      <c r="T370" s="233">
        <f t="shared" si="54"/>
        <v>1800.0000000000321</v>
      </c>
      <c r="U370" s="149">
        <v>2.29</v>
      </c>
      <c r="AA370" s="3">
        <v>1761</v>
      </c>
      <c r="AB370" s="3">
        <v>1719</v>
      </c>
      <c r="AC370" s="3">
        <v>3480</v>
      </c>
      <c r="AD370" s="3">
        <v>3450</v>
      </c>
      <c r="AE370" s="3" t="s">
        <v>459</v>
      </c>
      <c r="AF370" s="3" t="s">
        <v>759</v>
      </c>
      <c r="AG370" s="3" t="s">
        <v>214</v>
      </c>
      <c r="AH370" s="3" t="s">
        <v>179</v>
      </c>
    </row>
    <row r="371" spans="2:41" x14ac:dyDescent="0.25">
      <c r="B371" s="235">
        <v>45104</v>
      </c>
      <c r="C371" s="3">
        <v>2</v>
      </c>
      <c r="D371" s="236">
        <v>45104</v>
      </c>
      <c r="E371" s="237">
        <v>8449</v>
      </c>
      <c r="F371" s="3">
        <v>346</v>
      </c>
      <c r="G371" s="233">
        <v>7625</v>
      </c>
      <c r="H371" s="3" t="s">
        <v>58</v>
      </c>
      <c r="I371" s="3">
        <v>58</v>
      </c>
      <c r="J371" s="239">
        <v>0.71527777777777779</v>
      </c>
      <c r="K371" s="239">
        <v>0.78472222222222221</v>
      </c>
      <c r="L371" s="234">
        <f t="shared" si="53"/>
        <v>6.944444444444442E-2</v>
      </c>
      <c r="M371" s="3" t="s">
        <v>73</v>
      </c>
      <c r="N371" s="233" t="s">
        <v>734</v>
      </c>
      <c r="O371" s="3">
        <v>3480</v>
      </c>
      <c r="Q371" s="3">
        <v>3480</v>
      </c>
      <c r="R371" s="149">
        <v>5242.1400000000003</v>
      </c>
      <c r="S371" s="269">
        <f t="shared" si="55"/>
        <v>1.7600000000002183</v>
      </c>
      <c r="T371" s="233">
        <f t="shared" si="54"/>
        <v>1977.2727272724821</v>
      </c>
      <c r="U371" s="149">
        <v>1.69</v>
      </c>
      <c r="AA371" s="3">
        <v>1771</v>
      </c>
      <c r="AB371" s="3">
        <v>1709</v>
      </c>
      <c r="AC371" s="3">
        <v>3481</v>
      </c>
      <c r="AD371" s="3">
        <v>3480</v>
      </c>
      <c r="AE371" s="233" t="s">
        <v>7</v>
      </c>
      <c r="AF371" s="233" t="s">
        <v>759</v>
      </c>
      <c r="AG371" s="233" t="s">
        <v>214</v>
      </c>
      <c r="AH371" s="233" t="s">
        <v>179</v>
      </c>
    </row>
    <row r="372" spans="2:41" x14ac:dyDescent="0.25">
      <c r="B372" s="235">
        <v>45110</v>
      </c>
      <c r="C372" s="3">
        <v>1</v>
      </c>
      <c r="D372" s="148">
        <v>45110</v>
      </c>
      <c r="E372" s="156">
        <v>8450</v>
      </c>
      <c r="F372" s="3">
        <v>347</v>
      </c>
      <c r="G372" s="233">
        <v>7617</v>
      </c>
      <c r="H372" s="3" t="s">
        <v>66</v>
      </c>
      <c r="I372" s="3">
        <v>58</v>
      </c>
      <c r="J372" s="239">
        <v>0.36805555555555558</v>
      </c>
      <c r="K372" s="239">
        <v>0.4513888888888889</v>
      </c>
      <c r="L372" s="5">
        <f t="shared" si="53"/>
        <v>8.3333333333333315E-2</v>
      </c>
      <c r="M372" s="3" t="s">
        <v>73</v>
      </c>
      <c r="N372" s="233" t="s">
        <v>734</v>
      </c>
      <c r="O372" s="3">
        <v>3697</v>
      </c>
      <c r="Q372" s="3">
        <v>3697</v>
      </c>
      <c r="R372" s="149">
        <v>5243.82</v>
      </c>
      <c r="S372" s="269">
        <f t="shared" si="55"/>
        <v>1.6799999999993815</v>
      </c>
      <c r="T372" s="233">
        <f t="shared" si="54"/>
        <v>2200.595238096048</v>
      </c>
      <c r="U372" s="149">
        <v>2.1</v>
      </c>
      <c r="AA372" s="3">
        <v>1919</v>
      </c>
      <c r="AB372" s="3">
        <v>1778</v>
      </c>
      <c r="AC372" s="3">
        <v>3667</v>
      </c>
      <c r="AD372" s="3">
        <v>3420</v>
      </c>
      <c r="AE372" s="3" t="s">
        <v>223</v>
      </c>
      <c r="AF372" s="3" t="s">
        <v>631</v>
      </c>
      <c r="AG372" s="3" t="s">
        <v>179</v>
      </c>
      <c r="AH372" s="3" t="s">
        <v>759</v>
      </c>
    </row>
    <row r="373" spans="2:41" x14ac:dyDescent="0.25">
      <c r="B373" s="235">
        <v>45110</v>
      </c>
      <c r="C373" s="3">
        <v>2</v>
      </c>
      <c r="D373" s="148">
        <v>45110</v>
      </c>
      <c r="E373" s="156">
        <v>8451</v>
      </c>
      <c r="F373" s="3">
        <v>348</v>
      </c>
      <c r="G373" s="3">
        <v>7625</v>
      </c>
      <c r="H373" s="3" t="s">
        <v>58</v>
      </c>
      <c r="I373" s="3">
        <v>58</v>
      </c>
      <c r="J373" s="239">
        <v>0.72916666666666663</v>
      </c>
      <c r="K373" s="239">
        <v>0.79513888888888884</v>
      </c>
      <c r="L373" s="5">
        <f t="shared" si="53"/>
        <v>6.597222222222221E-2</v>
      </c>
      <c r="M373" s="3" t="s">
        <v>59</v>
      </c>
      <c r="N373" s="233" t="s">
        <v>734</v>
      </c>
      <c r="O373" s="3">
        <v>3410</v>
      </c>
      <c r="Q373" s="3">
        <v>2257</v>
      </c>
      <c r="R373" s="149">
        <v>5245.1</v>
      </c>
      <c r="S373" s="269">
        <f t="shared" si="55"/>
        <v>1.2800000000006548</v>
      </c>
      <c r="T373" s="233">
        <f t="shared" si="54"/>
        <v>1763.281249999098</v>
      </c>
      <c r="U373" s="149">
        <v>1.7</v>
      </c>
      <c r="W373" s="152">
        <v>1153</v>
      </c>
      <c r="AA373" s="3">
        <v>1721</v>
      </c>
      <c r="AB373" s="3">
        <v>1688</v>
      </c>
      <c r="AC373" s="3">
        <v>3410</v>
      </c>
      <c r="AD373" s="3">
        <v>3410</v>
      </c>
      <c r="AE373" s="3" t="s">
        <v>459</v>
      </c>
      <c r="AF373" s="3" t="s">
        <v>451</v>
      </c>
      <c r="AG373" s="3" t="s">
        <v>759</v>
      </c>
      <c r="AH373" s="3" t="s">
        <v>1354</v>
      </c>
    </row>
    <row r="374" spans="2:41" x14ac:dyDescent="0.25">
      <c r="B374" s="235">
        <v>45110</v>
      </c>
      <c r="C374" s="3">
        <v>3</v>
      </c>
      <c r="D374" s="148">
        <v>45111</v>
      </c>
      <c r="E374" s="156">
        <v>8452</v>
      </c>
      <c r="F374" s="3">
        <v>349</v>
      </c>
      <c r="G374" s="3">
        <v>7605</v>
      </c>
      <c r="H374" s="3" t="s">
        <v>58</v>
      </c>
      <c r="I374" s="3">
        <v>60</v>
      </c>
      <c r="J374" s="239">
        <v>6.9444444444444441E-3</v>
      </c>
      <c r="K374" s="239">
        <v>6.9444444444444434E-2</v>
      </c>
      <c r="L374" s="5">
        <f t="shared" si="53"/>
        <v>6.2499999999999986E-2</v>
      </c>
      <c r="M374" s="233" t="s">
        <v>59</v>
      </c>
      <c r="N374" s="233" t="s">
        <v>734</v>
      </c>
      <c r="O374" s="3">
        <v>3471</v>
      </c>
      <c r="Q374" s="233">
        <v>2771</v>
      </c>
      <c r="R374" s="149">
        <v>5246.46</v>
      </c>
      <c r="S374" s="269">
        <f t="shared" si="55"/>
        <v>1.3599999999996726</v>
      </c>
      <c r="T374" s="233">
        <f t="shared" si="54"/>
        <v>2037.5000000004904</v>
      </c>
      <c r="U374" s="149">
        <v>1.35</v>
      </c>
      <c r="W374" s="152">
        <v>700</v>
      </c>
      <c r="AA374" s="3">
        <v>1758</v>
      </c>
      <c r="AB374" s="3">
        <v>1712</v>
      </c>
      <c r="AC374" s="3">
        <v>3471</v>
      </c>
      <c r="AD374" s="3">
        <v>3471</v>
      </c>
      <c r="AE374" s="233" t="s">
        <v>957</v>
      </c>
      <c r="AF374" s="3" t="s">
        <v>221</v>
      </c>
      <c r="AG374" s="3" t="s">
        <v>1357</v>
      </c>
      <c r="AH374" s="3" t="s">
        <v>1358</v>
      </c>
    </row>
    <row r="375" spans="2:41" x14ac:dyDescent="0.25">
      <c r="B375" s="235">
        <v>45111</v>
      </c>
      <c r="C375" s="3">
        <v>1</v>
      </c>
      <c r="D375" s="236">
        <v>45111</v>
      </c>
      <c r="E375" s="156">
        <v>8453</v>
      </c>
      <c r="F375" s="3">
        <v>350</v>
      </c>
      <c r="G375" s="233">
        <v>7617</v>
      </c>
      <c r="H375" s="3" t="s">
        <v>66</v>
      </c>
      <c r="I375" s="3">
        <v>57</v>
      </c>
      <c r="J375" s="239">
        <v>0.3888888888888889</v>
      </c>
      <c r="K375" s="239">
        <v>0.44444444444444442</v>
      </c>
      <c r="L375" s="5">
        <f t="shared" si="53"/>
        <v>5.5555555555555525E-2</v>
      </c>
      <c r="M375" s="233" t="s">
        <v>59</v>
      </c>
      <c r="N375" s="233" t="s">
        <v>734</v>
      </c>
      <c r="O375" s="3">
        <v>3434</v>
      </c>
      <c r="Q375" s="3">
        <v>3434</v>
      </c>
      <c r="R375" s="149">
        <v>5247.62</v>
      </c>
      <c r="S375" s="269">
        <f t="shared" si="55"/>
        <v>1.1599999999998545</v>
      </c>
      <c r="T375" s="233">
        <f t="shared" si="54"/>
        <v>2960.344827586578</v>
      </c>
      <c r="U375" s="149">
        <v>1.45</v>
      </c>
      <c r="AA375" s="3">
        <v>1648</v>
      </c>
      <c r="AB375" s="3">
        <v>1786</v>
      </c>
      <c r="AC375" s="3">
        <v>3434</v>
      </c>
      <c r="AD375" s="233" t="s">
        <v>687</v>
      </c>
      <c r="AE375" s="233" t="s">
        <v>459</v>
      </c>
      <c r="AF375" s="233" t="s">
        <v>1289</v>
      </c>
      <c r="AG375" s="233" t="s">
        <v>179</v>
      </c>
      <c r="AH375" s="233" t="s">
        <v>759</v>
      </c>
    </row>
    <row r="376" spans="2:41" x14ac:dyDescent="0.25">
      <c r="B376" s="235">
        <v>45111</v>
      </c>
      <c r="C376" s="3">
        <v>2</v>
      </c>
      <c r="D376" s="148">
        <v>45112</v>
      </c>
      <c r="E376" s="156">
        <v>8454</v>
      </c>
      <c r="F376" s="3">
        <v>351</v>
      </c>
      <c r="G376" s="3">
        <v>7605</v>
      </c>
      <c r="H376" s="3" t="s">
        <v>58</v>
      </c>
      <c r="I376" s="3">
        <v>57</v>
      </c>
      <c r="J376" s="239">
        <v>0.74652777777777779</v>
      </c>
      <c r="K376" s="239">
        <v>0.80902777777777779</v>
      </c>
      <c r="L376" s="5">
        <f t="shared" si="53"/>
        <v>6.25E-2</v>
      </c>
      <c r="M376" s="3" t="s">
        <v>73</v>
      </c>
      <c r="N376" s="233" t="s">
        <v>734</v>
      </c>
      <c r="O376" s="3">
        <v>3322</v>
      </c>
      <c r="Q376" s="3">
        <v>3322</v>
      </c>
      <c r="R376" s="149">
        <v>5249.02</v>
      </c>
      <c r="S376" s="269">
        <f t="shared" si="55"/>
        <v>1.4000000000005457</v>
      </c>
      <c r="T376" s="233">
        <f t="shared" si="54"/>
        <v>2372.8571428562182</v>
      </c>
      <c r="U376" s="149">
        <v>1.51</v>
      </c>
      <c r="AA376" s="3">
        <v>1734</v>
      </c>
      <c r="AB376" s="3">
        <v>1587</v>
      </c>
      <c r="AC376" s="3">
        <v>3321</v>
      </c>
      <c r="AD376" s="3">
        <v>3322</v>
      </c>
      <c r="AE376" s="3" t="s">
        <v>199</v>
      </c>
      <c r="AF376" s="233" t="s">
        <v>451</v>
      </c>
      <c r="AG376" s="233" t="s">
        <v>759</v>
      </c>
      <c r="AH376" s="233" t="s">
        <v>1354</v>
      </c>
    </row>
    <row r="377" spans="2:41" x14ac:dyDescent="0.25">
      <c r="B377" s="235">
        <v>45111</v>
      </c>
      <c r="C377" s="3">
        <v>3</v>
      </c>
      <c r="D377" s="236">
        <v>45112</v>
      </c>
      <c r="E377" s="156">
        <v>8455</v>
      </c>
      <c r="F377" s="3">
        <v>352</v>
      </c>
      <c r="G377" s="233">
        <v>7617</v>
      </c>
      <c r="H377" s="3" t="s">
        <v>58</v>
      </c>
      <c r="I377" s="3">
        <v>58</v>
      </c>
      <c r="J377" s="239">
        <v>0.16319444444444445</v>
      </c>
      <c r="K377" s="239">
        <v>0.22569444444444445</v>
      </c>
      <c r="L377" s="5">
        <f t="shared" si="53"/>
        <v>6.25E-2</v>
      </c>
      <c r="M377" s="233" t="s">
        <v>73</v>
      </c>
      <c r="N377" s="233" t="s">
        <v>734</v>
      </c>
      <c r="O377" s="3">
        <v>3375</v>
      </c>
      <c r="Q377" s="3">
        <v>3375</v>
      </c>
      <c r="R377" s="149">
        <v>5250.56</v>
      </c>
      <c r="S377" s="269">
        <f t="shared" si="55"/>
        <v>1.5399999999999636</v>
      </c>
      <c r="T377" s="233">
        <f t="shared" si="54"/>
        <v>2191.5584415584935</v>
      </c>
      <c r="U377" s="149">
        <v>1.73</v>
      </c>
      <c r="AA377" s="3">
        <v>1735</v>
      </c>
      <c r="AB377" s="3">
        <v>1640</v>
      </c>
      <c r="AC377" s="3">
        <v>3375</v>
      </c>
      <c r="AD377" s="3">
        <v>3375</v>
      </c>
      <c r="AE377" s="233" t="s">
        <v>957</v>
      </c>
      <c r="AF377" s="233" t="s">
        <v>221</v>
      </c>
      <c r="AG377" s="233" t="s">
        <v>1357</v>
      </c>
      <c r="AH377" s="233" t="s">
        <v>1358</v>
      </c>
    </row>
    <row r="378" spans="2:41" x14ac:dyDescent="0.25">
      <c r="B378" s="235">
        <v>45112</v>
      </c>
      <c r="C378" s="3">
        <v>1</v>
      </c>
      <c r="D378" s="148">
        <v>45113</v>
      </c>
      <c r="E378" s="156">
        <v>8456</v>
      </c>
      <c r="F378" s="3">
        <v>353</v>
      </c>
      <c r="G378" s="233">
        <v>7605</v>
      </c>
      <c r="H378" s="3" t="s">
        <v>66</v>
      </c>
      <c r="I378" s="3">
        <v>55</v>
      </c>
      <c r="J378" s="239">
        <v>0.45833333333333331</v>
      </c>
      <c r="K378" s="239">
        <v>0.51388888888888895</v>
      </c>
      <c r="L378" s="5">
        <f t="shared" si="53"/>
        <v>5.5555555555555636E-2</v>
      </c>
      <c r="M378" s="233" t="s">
        <v>73</v>
      </c>
      <c r="N378" s="233" t="s">
        <v>734</v>
      </c>
      <c r="O378" s="3">
        <v>3599</v>
      </c>
      <c r="Q378" s="3">
        <v>3599</v>
      </c>
      <c r="R378" s="149">
        <v>5252.05</v>
      </c>
      <c r="S378" s="269">
        <f t="shared" si="55"/>
        <v>1.4899999999997817</v>
      </c>
      <c r="T378" s="233">
        <f t="shared" si="54"/>
        <v>2415.4362416110921</v>
      </c>
      <c r="U378" s="149">
        <v>1.5</v>
      </c>
      <c r="AA378" s="3">
        <v>1967</v>
      </c>
      <c r="AB378" s="3">
        <v>1632</v>
      </c>
      <c r="AC378" s="3">
        <v>3599</v>
      </c>
      <c r="AD378" s="233" t="s">
        <v>687</v>
      </c>
      <c r="AE378" s="233" t="s">
        <v>459</v>
      </c>
      <c r="AF378" s="233" t="s">
        <v>1289</v>
      </c>
      <c r="AG378" s="233" t="s">
        <v>179</v>
      </c>
      <c r="AH378" s="233" t="s">
        <v>759</v>
      </c>
    </row>
    <row r="379" spans="2:41" x14ac:dyDescent="0.25">
      <c r="B379" s="235">
        <v>45112</v>
      </c>
      <c r="C379" s="3">
        <v>3</v>
      </c>
      <c r="D379" s="236">
        <v>45113</v>
      </c>
      <c r="E379" s="156">
        <v>8457</v>
      </c>
      <c r="F379" s="3">
        <v>354</v>
      </c>
      <c r="G379" s="233">
        <v>7617</v>
      </c>
      <c r="H379" s="3" t="s">
        <v>58</v>
      </c>
      <c r="I379" s="3">
        <v>60</v>
      </c>
      <c r="J379" s="239">
        <v>0.10416666666666667</v>
      </c>
      <c r="K379" s="239">
        <v>0.16666666666666666</v>
      </c>
      <c r="L379" s="5">
        <f t="shared" si="53"/>
        <v>6.2499999999999986E-2</v>
      </c>
      <c r="M379" s="233" t="s">
        <v>73</v>
      </c>
      <c r="N379" s="233" t="s">
        <v>734</v>
      </c>
      <c r="O379" s="3">
        <v>3462</v>
      </c>
      <c r="Q379" s="3">
        <v>3462</v>
      </c>
      <c r="R379" s="149">
        <v>5253.44</v>
      </c>
      <c r="S379" s="269">
        <f t="shared" si="55"/>
        <v>1.3899999999994179</v>
      </c>
      <c r="T379" s="233">
        <f t="shared" si="54"/>
        <v>2490.6474820154313</v>
      </c>
      <c r="U379" s="149">
        <v>1.69</v>
      </c>
      <c r="AA379" s="3">
        <v>1767</v>
      </c>
      <c r="AB379" s="3">
        <v>1694</v>
      </c>
      <c r="AC379" s="3">
        <v>3482</v>
      </c>
      <c r="AD379" s="233" t="s">
        <v>687</v>
      </c>
      <c r="AE379" s="233" t="s">
        <v>957</v>
      </c>
      <c r="AF379" s="233" t="s">
        <v>221</v>
      </c>
      <c r="AG379" s="233" t="s">
        <v>1357</v>
      </c>
      <c r="AH379" s="233" t="s">
        <v>1358</v>
      </c>
    </row>
    <row r="380" spans="2:41" x14ac:dyDescent="0.25">
      <c r="B380" s="235">
        <v>45113</v>
      </c>
      <c r="C380" s="3">
        <v>2</v>
      </c>
      <c r="D380" s="148">
        <v>45114</v>
      </c>
      <c r="E380" s="156">
        <v>8458</v>
      </c>
      <c r="F380" s="3">
        <v>355</v>
      </c>
      <c r="G380" s="3">
        <v>7605</v>
      </c>
      <c r="H380" s="3" t="s">
        <v>58</v>
      </c>
      <c r="I380" s="3">
        <v>60</v>
      </c>
      <c r="J380" s="239">
        <v>0.66666666666666663</v>
      </c>
      <c r="K380" s="239">
        <v>0.74305555555555547</v>
      </c>
      <c r="L380" s="5">
        <f t="shared" si="53"/>
        <v>7.638888888888884E-2</v>
      </c>
      <c r="M380" s="3" t="s">
        <v>73</v>
      </c>
      <c r="N380" s="3" t="s">
        <v>734</v>
      </c>
      <c r="O380" s="3">
        <v>3496</v>
      </c>
      <c r="Q380" s="3">
        <v>3496</v>
      </c>
      <c r="R380" s="149">
        <v>5255.19</v>
      </c>
      <c r="S380" s="269">
        <f t="shared" si="55"/>
        <v>1.75</v>
      </c>
      <c r="T380" s="233">
        <f t="shared" si="54"/>
        <v>1997.7142857142858</v>
      </c>
      <c r="U380" s="149">
        <v>1.64</v>
      </c>
      <c r="AA380" s="3">
        <v>1779</v>
      </c>
      <c r="AB380" s="3">
        <v>1717</v>
      </c>
      <c r="AC380" s="3">
        <v>3496</v>
      </c>
      <c r="AD380" s="3">
        <v>3496</v>
      </c>
      <c r="AE380" s="233" t="s">
        <v>199</v>
      </c>
      <c r="AF380" s="233" t="s">
        <v>451</v>
      </c>
      <c r="AG380" s="233" t="s">
        <v>759</v>
      </c>
      <c r="AH380" s="233" t="s">
        <v>1354</v>
      </c>
    </row>
    <row r="381" spans="2:41" x14ac:dyDescent="0.25">
      <c r="B381" s="235">
        <v>45113</v>
      </c>
      <c r="C381" s="3">
        <v>3</v>
      </c>
      <c r="D381" s="148">
        <v>45114</v>
      </c>
      <c r="E381" s="156">
        <v>8459</v>
      </c>
      <c r="F381" s="3">
        <v>356</v>
      </c>
      <c r="G381" s="3">
        <v>7617</v>
      </c>
      <c r="H381" s="3" t="s">
        <v>66</v>
      </c>
      <c r="I381" s="3">
        <v>56</v>
      </c>
      <c r="J381" s="239">
        <v>8.3333333333333329E-2</v>
      </c>
      <c r="K381" s="239">
        <v>0.1423611111111111</v>
      </c>
      <c r="L381" s="5">
        <f t="shared" si="53"/>
        <v>5.9027777777777776E-2</v>
      </c>
      <c r="M381" s="3" t="s">
        <v>73</v>
      </c>
      <c r="N381" s="3" t="s">
        <v>734</v>
      </c>
      <c r="O381" s="3">
        <v>3444</v>
      </c>
      <c r="Q381" s="3">
        <v>3444</v>
      </c>
      <c r="R381" s="149">
        <v>5256.56</v>
      </c>
      <c r="S381" s="269">
        <f t="shared" si="55"/>
        <v>1.3700000000008004</v>
      </c>
      <c r="T381" s="233">
        <f t="shared" si="54"/>
        <v>2513.8686131372174</v>
      </c>
      <c r="U381" s="149">
        <v>1.86</v>
      </c>
      <c r="AA381" s="3">
        <v>1741</v>
      </c>
      <c r="AB381" s="3">
        <v>1702</v>
      </c>
      <c r="AC381" s="3">
        <v>3443</v>
      </c>
      <c r="AD381" s="3">
        <v>3444</v>
      </c>
      <c r="AE381" s="233" t="s">
        <v>957</v>
      </c>
      <c r="AF381" s="233" t="s">
        <v>221</v>
      </c>
      <c r="AG381" s="233" t="s">
        <v>1357</v>
      </c>
      <c r="AH381" s="233" t="s">
        <v>1358</v>
      </c>
    </row>
    <row r="382" spans="2:41" x14ac:dyDescent="0.25">
      <c r="B382" s="235">
        <v>45114</v>
      </c>
      <c r="C382" s="3">
        <v>1</v>
      </c>
      <c r="D382" s="148">
        <v>45115</v>
      </c>
      <c r="E382" s="156">
        <v>8460</v>
      </c>
      <c r="F382" s="3">
        <v>357</v>
      </c>
      <c r="G382" s="3">
        <v>7605</v>
      </c>
      <c r="H382" s="3" t="s">
        <v>58</v>
      </c>
      <c r="I382" s="3">
        <v>60</v>
      </c>
      <c r="J382" s="239">
        <v>0.53125</v>
      </c>
      <c r="K382" s="239">
        <v>0.59027777777777779</v>
      </c>
      <c r="L382" s="5">
        <f t="shared" si="53"/>
        <v>5.902777777777779E-2</v>
      </c>
      <c r="M382" s="3" t="s">
        <v>73</v>
      </c>
      <c r="N382" s="3" t="s">
        <v>734</v>
      </c>
      <c r="O382" s="3">
        <v>3511</v>
      </c>
      <c r="S382" s="269"/>
      <c r="T382" s="233"/>
      <c r="U382" s="149">
        <v>1.57</v>
      </c>
    </row>
    <row r="383" spans="2:41" x14ac:dyDescent="0.25">
      <c r="B383" s="235">
        <v>45114</v>
      </c>
      <c r="C383" s="3">
        <v>2</v>
      </c>
      <c r="D383" s="236">
        <v>45115</v>
      </c>
      <c r="E383" s="156">
        <v>8461</v>
      </c>
      <c r="F383" s="3">
        <v>358</v>
      </c>
      <c r="G383" s="233">
        <v>7617</v>
      </c>
      <c r="H383" s="233" t="s">
        <v>58</v>
      </c>
      <c r="I383" s="233">
        <v>58</v>
      </c>
      <c r="J383" s="239">
        <v>0.82986111111111116</v>
      </c>
      <c r="K383" s="239">
        <v>0.89236111111111116</v>
      </c>
      <c r="L383" s="5">
        <f t="shared" si="53"/>
        <v>6.25E-2</v>
      </c>
      <c r="M383" s="233" t="s">
        <v>73</v>
      </c>
      <c r="N383" s="233" t="s">
        <v>734</v>
      </c>
      <c r="O383" s="3">
        <v>3336</v>
      </c>
      <c r="Q383" s="3">
        <v>3336</v>
      </c>
      <c r="R383" s="149">
        <v>5259.6</v>
      </c>
      <c r="S383" s="269"/>
      <c r="T383" s="233"/>
      <c r="U383" s="149">
        <v>1.61</v>
      </c>
      <c r="AA383" s="3">
        <v>1682</v>
      </c>
      <c r="AB383" s="3">
        <v>1653</v>
      </c>
      <c r="AC383" s="3">
        <v>3335</v>
      </c>
      <c r="AD383" s="233" t="s">
        <v>687</v>
      </c>
      <c r="AE383" s="3" t="s">
        <v>676</v>
      </c>
      <c r="AF383" s="233" t="s">
        <v>451</v>
      </c>
      <c r="AG383" s="233" t="s">
        <v>759</v>
      </c>
      <c r="AH383" s="233" t="s">
        <v>1354</v>
      </c>
    </row>
    <row r="384" spans="2:41" x14ac:dyDescent="0.25">
      <c r="B384" s="290">
        <v>45115</v>
      </c>
      <c r="C384" s="237"/>
      <c r="D384" s="310">
        <v>45116</v>
      </c>
      <c r="F384" s="237"/>
      <c r="G384" s="237"/>
      <c r="H384" s="237"/>
      <c r="I384" s="237"/>
      <c r="J384" s="237"/>
      <c r="K384" s="237"/>
      <c r="L384" s="386"/>
      <c r="M384" s="237"/>
      <c r="N384" s="237"/>
      <c r="O384" s="237"/>
      <c r="P384" s="296"/>
      <c r="Q384" s="237"/>
      <c r="R384" s="387"/>
      <c r="S384" s="237"/>
      <c r="T384" s="237"/>
      <c r="U384" s="387"/>
      <c r="V384" s="397"/>
      <c r="W384" s="237"/>
      <c r="X384" s="237"/>
      <c r="Y384" s="237"/>
      <c r="Z384" s="237"/>
      <c r="AA384" s="237"/>
      <c r="AB384" s="237"/>
      <c r="AC384" s="237"/>
      <c r="AD384" s="237"/>
      <c r="AE384" s="237"/>
      <c r="AF384" s="237"/>
      <c r="AG384" s="237"/>
      <c r="AH384" s="237"/>
      <c r="AI384" s="397"/>
      <c r="AJ384" s="237"/>
      <c r="AK384" s="237"/>
      <c r="AL384" s="237"/>
      <c r="AM384" s="237"/>
      <c r="AN384" s="237"/>
      <c r="AO384" s="237"/>
    </row>
    <row r="385" spans="2:41" x14ac:dyDescent="0.25">
      <c r="B385" s="290">
        <v>45116</v>
      </c>
      <c r="C385" s="237"/>
      <c r="D385" s="310">
        <v>45116</v>
      </c>
      <c r="F385" s="237"/>
      <c r="G385" s="237"/>
      <c r="H385" s="237"/>
      <c r="I385" s="237"/>
      <c r="J385" s="237"/>
      <c r="K385" s="237"/>
      <c r="L385" s="386"/>
      <c r="M385" s="237"/>
      <c r="N385" s="237"/>
      <c r="O385" s="237"/>
      <c r="P385" s="296"/>
      <c r="Q385" s="237"/>
      <c r="R385" s="387"/>
      <c r="S385" s="237"/>
      <c r="T385" s="237"/>
      <c r="U385" s="387"/>
      <c r="V385" s="397"/>
      <c r="W385" s="237"/>
      <c r="X385" s="237"/>
      <c r="Y385" s="237"/>
      <c r="Z385" s="237"/>
      <c r="AA385" s="237"/>
      <c r="AB385" s="237"/>
      <c r="AC385" s="237"/>
      <c r="AD385" s="237"/>
      <c r="AE385" s="237"/>
      <c r="AF385" s="237"/>
      <c r="AG385" s="237"/>
      <c r="AH385" s="237"/>
      <c r="AI385" s="397"/>
      <c r="AJ385" s="237"/>
      <c r="AK385" s="237"/>
      <c r="AL385" s="237"/>
      <c r="AM385" s="237"/>
      <c r="AN385" s="237"/>
      <c r="AO385" s="237"/>
    </row>
    <row r="386" spans="2:41" x14ac:dyDescent="0.25">
      <c r="B386" s="235">
        <v>45117</v>
      </c>
      <c r="C386" s="3">
        <v>1</v>
      </c>
      <c r="D386" s="236">
        <v>45117</v>
      </c>
      <c r="E386" s="156">
        <v>8462</v>
      </c>
      <c r="F386" s="3">
        <v>359</v>
      </c>
      <c r="G386" s="233">
        <v>7617</v>
      </c>
      <c r="H386" s="3" t="s">
        <v>66</v>
      </c>
      <c r="I386" s="3">
        <v>58</v>
      </c>
      <c r="J386" s="239">
        <v>0.3263888888888889</v>
      </c>
      <c r="K386" s="239">
        <v>0.39583333333333331</v>
      </c>
      <c r="L386" s="234">
        <f t="shared" si="53"/>
        <v>6.944444444444442E-2</v>
      </c>
      <c r="M386" s="233" t="s">
        <v>73</v>
      </c>
      <c r="N386" s="233" t="s">
        <v>734</v>
      </c>
      <c r="O386" s="3">
        <v>3465</v>
      </c>
      <c r="Q386" s="3">
        <v>3465</v>
      </c>
      <c r="R386" s="149">
        <v>5261.28</v>
      </c>
      <c r="S386" s="3">
        <v>1.68</v>
      </c>
      <c r="T386" s="3">
        <v>2062.5</v>
      </c>
      <c r="U386" s="149">
        <v>1.86</v>
      </c>
      <c r="AA386" s="3">
        <v>1745</v>
      </c>
      <c r="AB386" s="3">
        <v>1719</v>
      </c>
      <c r="AC386" s="3">
        <v>3464</v>
      </c>
      <c r="AD386" s="233" t="s">
        <v>687</v>
      </c>
      <c r="AE386" s="233" t="s">
        <v>459</v>
      </c>
      <c r="AF386" s="3" t="s">
        <v>472</v>
      </c>
      <c r="AG386" s="3" t="s">
        <v>1313</v>
      </c>
      <c r="AH386" s="3" t="s">
        <v>1377</v>
      </c>
    </row>
  </sheetData>
  <sheetProtection selectLockedCells="1" selectUnlockedCells="1"/>
  <dataConsolidate link="1"/>
  <customSheetViews>
    <customSheetView guid="{3E6EB34F-E2F7-456F-8B3B-5F84BD050AA2}" hiddenColumns="1" topLeftCell="B1">
      <selection activeCell="P3" sqref="P3"/>
      <pageMargins left="0.7" right="0.7" top="0.75" bottom="0.75" header="0.3" footer="0.3"/>
      <pageSetup paperSize="9" orientation="portrait" r:id="rId1"/>
    </customSheetView>
    <customSheetView guid="{4F232D79-B707-4527-B1C5-2E1BF2995FFF}" hiddenColumns="1" topLeftCell="D1">
      <pane ySplit="2" topLeftCell="A588" activePane="bottomLeft" state="frozen"/>
      <selection pane="bottomLeft" activeCell="S605" sqref="S605"/>
      <pageMargins left="0.7" right="0.7" top="0.75" bottom="0.75" header="0.3" footer="0.3"/>
      <pageSetup paperSize="9" orientation="portrait" r:id="rId2"/>
    </customSheetView>
  </customSheetViews>
  <conditionalFormatting sqref="Q1:R1 T1">
    <cfRule type="cellIs" dxfId="125" priority="1293" operator="equal">
      <formula>0</formula>
    </cfRule>
  </conditionalFormatting>
  <conditionalFormatting sqref="P2:P127 P129:P157">
    <cfRule type="cellIs" dxfId="124" priority="1292" operator="lessThan">
      <formula>0.96</formula>
    </cfRule>
  </conditionalFormatting>
  <conditionalFormatting sqref="L2:L127 L129:L281 L284:L1048576">
    <cfRule type="cellIs" dxfId="123" priority="1291" operator="greaterThan">
      <formula>0.0798611111111111</formula>
    </cfRule>
  </conditionalFormatting>
  <conditionalFormatting sqref="P1:P127 P129:P1048576">
    <cfRule type="cellIs" dxfId="122" priority="1290" operator="lessThan">
      <formula>0.94</formula>
    </cfRule>
  </conditionalFormatting>
  <conditionalFormatting sqref="C1:C17 C19:C84 C86:C89 C91:C108 C110:C113 C115:C116 C118:C124 C126:C127 C129 C131:C134 C136:C142 C145:C146 C148:C155 C157 C159:C163 C166:C167 C169:C180 C182:C187 C189:C218 C221:C236 C238:C281 C283:C298 C300:C312 C314:C336 C338:C361 C363:C1048576">
    <cfRule type="cellIs" dxfId="121" priority="1287" operator="equal">
      <formula>3</formula>
    </cfRule>
    <cfRule type="cellIs" dxfId="120" priority="1288" operator="equal">
      <formula>2</formula>
    </cfRule>
    <cfRule type="cellIs" dxfId="119" priority="1289" operator="equal">
      <formula>1</formula>
    </cfRule>
  </conditionalFormatting>
  <conditionalFormatting sqref="C18">
    <cfRule type="cellIs" dxfId="118" priority="83" operator="equal">
      <formula>3</formula>
    </cfRule>
    <cfRule type="cellIs" dxfId="117" priority="84" operator="equal">
      <formula>2</formula>
    </cfRule>
    <cfRule type="cellIs" dxfId="116" priority="85" operator="equal">
      <formula>1</formula>
    </cfRule>
  </conditionalFormatting>
  <conditionalFormatting sqref="C85">
    <cfRule type="cellIs" dxfId="115" priority="80" operator="equal">
      <formula>3</formula>
    </cfRule>
    <cfRule type="cellIs" dxfId="114" priority="81" operator="equal">
      <formula>2</formula>
    </cfRule>
    <cfRule type="cellIs" dxfId="113" priority="82" operator="equal">
      <formula>1</formula>
    </cfRule>
  </conditionalFormatting>
  <conditionalFormatting sqref="C90">
    <cfRule type="cellIs" dxfId="112" priority="77" operator="equal">
      <formula>3</formula>
    </cfRule>
    <cfRule type="cellIs" dxfId="111" priority="78" operator="equal">
      <formula>2</formula>
    </cfRule>
    <cfRule type="cellIs" dxfId="110" priority="79" operator="equal">
      <formula>1</formula>
    </cfRule>
  </conditionalFormatting>
  <conditionalFormatting sqref="C109">
    <cfRule type="cellIs" dxfId="109" priority="74" operator="equal">
      <formula>3</formula>
    </cfRule>
    <cfRule type="cellIs" dxfId="108" priority="75" operator="equal">
      <formula>2</formula>
    </cfRule>
    <cfRule type="cellIs" dxfId="107" priority="76" operator="equal">
      <formula>1</formula>
    </cfRule>
  </conditionalFormatting>
  <conditionalFormatting sqref="C114">
    <cfRule type="cellIs" dxfId="106" priority="71" operator="equal">
      <formula>3</formula>
    </cfRule>
    <cfRule type="cellIs" dxfId="105" priority="72" operator="equal">
      <formula>2</formula>
    </cfRule>
    <cfRule type="cellIs" dxfId="104" priority="73" operator="equal">
      <formula>1</formula>
    </cfRule>
  </conditionalFormatting>
  <conditionalFormatting sqref="C117">
    <cfRule type="cellIs" dxfId="103" priority="68" operator="equal">
      <formula>3</formula>
    </cfRule>
    <cfRule type="cellIs" dxfId="102" priority="69" operator="equal">
      <formula>2</formula>
    </cfRule>
    <cfRule type="cellIs" dxfId="101" priority="70" operator="equal">
      <formula>1</formula>
    </cfRule>
  </conditionalFormatting>
  <conditionalFormatting sqref="C125">
    <cfRule type="cellIs" dxfId="100" priority="65" operator="equal">
      <formula>3</formula>
    </cfRule>
    <cfRule type="cellIs" dxfId="99" priority="66" operator="equal">
      <formula>2</formula>
    </cfRule>
    <cfRule type="cellIs" dxfId="98" priority="67" operator="equal">
      <formula>1</formula>
    </cfRule>
  </conditionalFormatting>
  <conditionalFormatting sqref="P128">
    <cfRule type="cellIs" dxfId="97" priority="64" operator="lessThan">
      <formula>0.96</formula>
    </cfRule>
  </conditionalFormatting>
  <conditionalFormatting sqref="L128">
    <cfRule type="cellIs" dxfId="96" priority="63" operator="greaterThan">
      <formula>0.0798611111111111</formula>
    </cfRule>
  </conditionalFormatting>
  <conditionalFormatting sqref="P128">
    <cfRule type="cellIs" dxfId="95" priority="62" operator="lessThan">
      <formula>0.94</formula>
    </cfRule>
  </conditionalFormatting>
  <conditionalFormatting sqref="C128">
    <cfRule type="cellIs" dxfId="94" priority="59" operator="equal">
      <formula>3</formula>
    </cfRule>
    <cfRule type="cellIs" dxfId="93" priority="60" operator="equal">
      <formula>2</formula>
    </cfRule>
    <cfRule type="cellIs" dxfId="92" priority="61" operator="equal">
      <formula>1</formula>
    </cfRule>
  </conditionalFormatting>
  <conditionalFormatting sqref="C130">
    <cfRule type="cellIs" dxfId="91" priority="56" operator="equal">
      <formula>3</formula>
    </cfRule>
    <cfRule type="cellIs" dxfId="90" priority="57" operator="equal">
      <formula>2</formula>
    </cfRule>
    <cfRule type="cellIs" dxfId="89" priority="58" operator="equal">
      <formula>1</formula>
    </cfRule>
  </conditionalFormatting>
  <conditionalFormatting sqref="C135">
    <cfRule type="cellIs" dxfId="88" priority="53" operator="equal">
      <formula>3</formula>
    </cfRule>
    <cfRule type="cellIs" dxfId="87" priority="54" operator="equal">
      <formula>2</formula>
    </cfRule>
    <cfRule type="cellIs" dxfId="86" priority="55" operator="equal">
      <formula>1</formula>
    </cfRule>
  </conditionalFormatting>
  <conditionalFormatting sqref="C143">
    <cfRule type="cellIs" dxfId="85" priority="50" operator="equal">
      <formula>3</formula>
    </cfRule>
    <cfRule type="cellIs" dxfId="84" priority="51" operator="equal">
      <formula>2</formula>
    </cfRule>
    <cfRule type="cellIs" dxfId="83" priority="52" operator="equal">
      <formula>1</formula>
    </cfRule>
  </conditionalFormatting>
  <conditionalFormatting sqref="C144">
    <cfRule type="cellIs" dxfId="82" priority="47" operator="equal">
      <formula>3</formula>
    </cfRule>
    <cfRule type="cellIs" dxfId="81" priority="48" operator="equal">
      <formula>2</formula>
    </cfRule>
    <cfRule type="cellIs" dxfId="80" priority="49" operator="equal">
      <formula>1</formula>
    </cfRule>
  </conditionalFormatting>
  <conditionalFormatting sqref="C147">
    <cfRule type="cellIs" dxfId="79" priority="44" operator="equal">
      <formula>3</formula>
    </cfRule>
    <cfRule type="cellIs" dxfId="78" priority="45" operator="equal">
      <formula>2</formula>
    </cfRule>
    <cfRule type="cellIs" dxfId="77" priority="46" operator="equal">
      <formula>1</formula>
    </cfRule>
  </conditionalFormatting>
  <conditionalFormatting sqref="C156">
    <cfRule type="cellIs" dxfId="76" priority="41" operator="equal">
      <formula>3</formula>
    </cfRule>
    <cfRule type="cellIs" dxfId="75" priority="42" operator="equal">
      <formula>2</formula>
    </cfRule>
    <cfRule type="cellIs" dxfId="74" priority="43" operator="equal">
      <formula>1</formula>
    </cfRule>
  </conditionalFormatting>
  <conditionalFormatting sqref="C158">
    <cfRule type="cellIs" dxfId="73" priority="38" operator="equal">
      <formula>3</formula>
    </cfRule>
    <cfRule type="cellIs" dxfId="72" priority="39" operator="equal">
      <formula>2</formula>
    </cfRule>
    <cfRule type="cellIs" dxfId="71" priority="40" operator="equal">
      <formula>1</formula>
    </cfRule>
  </conditionalFormatting>
  <conditionalFormatting sqref="C164:C165">
    <cfRule type="cellIs" dxfId="70" priority="35" operator="equal">
      <formula>3</formula>
    </cfRule>
    <cfRule type="cellIs" dxfId="69" priority="36" operator="equal">
      <formula>2</formula>
    </cfRule>
    <cfRule type="cellIs" dxfId="68" priority="37" operator="equal">
      <formula>1</formula>
    </cfRule>
  </conditionalFormatting>
  <conditionalFormatting sqref="C168">
    <cfRule type="cellIs" dxfId="67" priority="32" operator="equal">
      <formula>3</formula>
    </cfRule>
    <cfRule type="cellIs" dxfId="66" priority="33" operator="equal">
      <formula>2</formula>
    </cfRule>
    <cfRule type="cellIs" dxfId="65" priority="34" operator="equal">
      <formula>1</formula>
    </cfRule>
  </conditionalFormatting>
  <conditionalFormatting sqref="C181">
    <cfRule type="cellIs" dxfId="64" priority="29" operator="equal">
      <formula>3</formula>
    </cfRule>
    <cfRule type="cellIs" dxfId="63" priority="30" operator="equal">
      <formula>2</formula>
    </cfRule>
    <cfRule type="cellIs" dxfId="62" priority="31" operator="equal">
      <formula>1</formula>
    </cfRule>
  </conditionalFormatting>
  <conditionalFormatting sqref="C188">
    <cfRule type="cellIs" dxfId="61" priority="26" operator="equal">
      <formula>3</formula>
    </cfRule>
    <cfRule type="cellIs" dxfId="60" priority="27" operator="equal">
      <formula>2</formula>
    </cfRule>
    <cfRule type="cellIs" dxfId="59" priority="28" operator="equal">
      <formula>1</formula>
    </cfRule>
  </conditionalFormatting>
  <conditionalFormatting sqref="C219">
    <cfRule type="cellIs" dxfId="58" priority="23" operator="equal">
      <formula>3</formula>
    </cfRule>
    <cfRule type="cellIs" dxfId="57" priority="24" operator="equal">
      <formula>2</formula>
    </cfRule>
    <cfRule type="cellIs" dxfId="56" priority="25" operator="equal">
      <formula>1</formula>
    </cfRule>
  </conditionalFormatting>
  <conditionalFormatting sqref="C220">
    <cfRule type="cellIs" dxfId="55" priority="20" operator="equal">
      <formula>3</formula>
    </cfRule>
    <cfRule type="cellIs" dxfId="54" priority="21" operator="equal">
      <formula>2</formula>
    </cfRule>
    <cfRule type="cellIs" dxfId="53" priority="22" operator="equal">
      <formula>1</formula>
    </cfRule>
  </conditionalFormatting>
  <conditionalFormatting sqref="C237">
    <cfRule type="cellIs" dxfId="52" priority="17" operator="equal">
      <formula>3</formula>
    </cfRule>
    <cfRule type="cellIs" dxfId="51" priority="18" operator="equal">
      <formula>2</formula>
    </cfRule>
    <cfRule type="cellIs" dxfId="50" priority="19" operator="equal">
      <formula>1</formula>
    </cfRule>
  </conditionalFormatting>
  <conditionalFormatting sqref="L282:L283">
    <cfRule type="cellIs" dxfId="49" priority="16" operator="greaterThan">
      <formula>0.0798611111111111</formula>
    </cfRule>
  </conditionalFormatting>
  <conditionalFormatting sqref="C282">
    <cfRule type="cellIs" dxfId="48" priority="13" operator="equal">
      <formula>3</formula>
    </cfRule>
    <cfRule type="cellIs" dxfId="47" priority="14" operator="equal">
      <formula>2</formula>
    </cfRule>
    <cfRule type="cellIs" dxfId="46" priority="15" operator="equal">
      <formula>1</formula>
    </cfRule>
  </conditionalFormatting>
  <conditionalFormatting sqref="C299">
    <cfRule type="cellIs" dxfId="45" priority="10" operator="equal">
      <formula>3</formula>
    </cfRule>
    <cfRule type="cellIs" dxfId="44" priority="11" operator="equal">
      <formula>2</formula>
    </cfRule>
    <cfRule type="cellIs" dxfId="43" priority="12" operator="equal">
      <formula>1</formula>
    </cfRule>
  </conditionalFormatting>
  <conditionalFormatting sqref="C313">
    <cfRule type="cellIs" dxfId="42" priority="7" operator="equal">
      <formula>3</formula>
    </cfRule>
    <cfRule type="cellIs" dxfId="41" priority="8" operator="equal">
      <formula>2</formula>
    </cfRule>
    <cfRule type="cellIs" dxfId="40" priority="9" operator="equal">
      <formula>1</formula>
    </cfRule>
  </conditionalFormatting>
  <conditionalFormatting sqref="C337">
    <cfRule type="cellIs" dxfId="39" priority="4" operator="equal">
      <formula>3</formula>
    </cfRule>
    <cfRule type="cellIs" dxfId="38" priority="5" operator="equal">
      <formula>2</formula>
    </cfRule>
    <cfRule type="cellIs" dxfId="37" priority="6" operator="equal">
      <formula>1</formula>
    </cfRule>
  </conditionalFormatting>
  <conditionalFormatting sqref="C362">
    <cfRule type="cellIs" dxfId="36" priority="1" operator="equal">
      <formula>3</formula>
    </cfRule>
    <cfRule type="cellIs" dxfId="35" priority="2" operator="equal">
      <formula>2</formula>
    </cfRule>
    <cfRule type="cellIs" dxfId="34" priority="3" operator="equal">
      <formula>1</formula>
    </cfRule>
  </conditionalFormatting>
  <dataValidations count="4">
    <dataValidation type="list" allowBlank="1" showInputMessage="1" showErrorMessage="1" sqref="G1:G17 G19:G84 G86:G103 G105:G135 H271 G137:G1048576">
      <formula1>rame</formula1>
    </dataValidation>
    <dataValidation type="list" allowBlank="1" showInputMessage="1" showErrorMessage="1" sqref="M2:M1048576">
      <formula1>parc</formula1>
    </dataValidation>
    <dataValidation type="list" allowBlank="1" showInputMessage="1" showErrorMessage="1" sqref="H2:H270 H272:H1048576">
      <formula1>train</formula1>
    </dataValidation>
    <dataValidation type="list" allowBlank="1" showInputMessage="1" showErrorMessage="1" sqref="C2:C1048576">
      <formula1>poste</formula1>
    </dataValidation>
  </dataValidations>
  <pageMargins left="0.7" right="0.7" top="0.75" bottom="0.75" header="0.3" footer="0.3"/>
  <pageSetup paperSize="9" orientation="portrait" r:id="rId3"/>
  <ignoredErrors>
    <ignoredError sqref="Y2:Z127 W2:W18 W22 W24 W29:W30 W41 W46:W49 W51 W53:W58 W60:W63 W65:W88 W92:W109 W114:W127 Y129:Z235 W130:W132 W134:W139 W141:W157 W158 W159 W160 V161:W161 V162:W162 V163:W163 V164:W164 V165:W165 V166:W166 V167:W167 V168:W168 V169:W169 V170:W170 V171:W171 V173:W173 V172:W172 V174:W174 V175:W175 V176:W176 V177:W177 V178:W178 V179:W179 V180:W180 V181:W181 V182:W182 V183:W183 V184 V185:W185 V186:W186 V187:W187 V188:W188 V189:W189 V190:W190 V191:W191 V192:W192 V193:W193 V194:W194 V195:W195 V197:W197 V196:W196 V198:W198 V199:W199 V200:W200 V201:W201 V304:W304 V203:W203 V202:W202 V204:W204 V205:W205 V206:W206 V207:W207 V208:W208 V209:W209 V210:W210 V211:W211 V212 V213:W213 V214:W214 V215:W215 V216:W216 V217:W217 V218:W218 V219:W219 V220:W220 V221:W221 V222:W222 V223:W223 V224:W224 V225:W225 V226:W226 V227:W227 V228:W228 V230:W230 V231 V232:W232 V233:W233 V229:W229 V234 V235:W235 V237 V236:W236 Y237:Z479 Z236 V238:W238 V239:W239 V242:W242 V243:W243 V244:W244 V240:W240 V241:W241 V245 V246:W246 V247:W247 V248:W248 V249:W249 V250:W250 V251:W251 V252:W252 V253:W253 V254:W254 V255:W255 V256:W256 V257 V258 V259:W259 V260:W260 V261:W261 V262:W262 V263:W263 V264:W264 V265:W265 V266 V267:W267 V268:W268 V269:W269 V270:W270 V271:W271 V272:W272 V273:W273 V274:W274 V275:W275 V276:W276 V277:W277 V278:W278 V279:W279 V280 V281:W281 V282:W282 V283:W283 V284:W284 V285:W285 V286:W286 V287:W287 V288:W288 V289:W289 V290:W290 V291:W291 V292:W292 V293 V294:W294 V295:W295 V296:W296 V297:W297 V298:W298 V299:W299 V300:W300 AA446:AC484 AA445 AC445 Y481:Z1048576 Z480 AA486:AC775 AA485 AC485 AA777:AC1048576 AB776:AC776 V301:W301 V302:W302 V303:W303 V305:W305 V306:W306 V307:W307 V308:W308 V309:W309 V310:W310 V311:W311 V312:W312 Q351:W351 V313:W313 V314:W314 V315:W315 V316:W316 V317:W317 V318:W318 V319:W319 V320:W320 V321:W321 V322:W322 V323:W323 V324 V325 V326:W326 V327:W327 V328:W328 V329:W329 V330:W330 V331:W331 V332:W332 V333:W333 V334:W334 V335:W335 V336:W336 V337:W337 V339:W339 V340:W340 V338:W338 V341:W341 V342:W342 V343:W343 V344:W344 V345:W345 V346:W346 AA351:AC351 V347 V348:W348 V349:W349 Q350 S350:W350 Q364:W367 V352:W352 AA364:AC367 V353:W353 V354:W354 V355 V356:W356 V357:W357 V358:W358 V361:W361 V362:W362 V359:W359 V360:W360 V363:W363 Q384:Q385 V368:W368 AA382:AC382 V369:W369 V370:W370 V371:W371 V373 V372:W372 V376:W376 V374 V375:W375 V379:W379 V377:W377 V378:W378 V380:W380 Q382:R382 V383:W383 V381:W381 V382:W382 AA384:AC385 Q387:W1048576 V386:W386 S384:W385 AA387:AC444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6" r:id="rId6" name="Button 14">
              <controlPr defaultSize="0" print="0" autoFill="0" autoPict="0" macro="[0]!Envoi_R0">
                <anchor moveWithCells="1" sizeWithCells="1">
                  <from>
                    <xdr:col>1</xdr:col>
                    <xdr:colOff>66675</xdr:colOff>
                    <xdr:row>0</xdr:row>
                    <xdr:rowOff>104775</xdr:rowOff>
                  </from>
                  <to>
                    <xdr:col>2</xdr:col>
                    <xdr:colOff>38100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Feuil1!$N$4:$N$6</xm:f>
          </x14:formula1>
          <xm:sqref>X1:X127 X129:X1048576</xm:sqref>
        </x14:dataValidation>
        <x14:dataValidation type="list" allowBlank="1" showInputMessage="1" showErrorMessage="1">
          <x14:formula1>
            <xm:f>Feuil1!$P$16:$P$22</xm:f>
          </x14:formula1>
          <xm:sqref>N1:N96 N98:N127 N129:N1048576</xm:sqref>
        </x14:dataValidation>
        <x14:dataValidation type="list" allowBlank="1" showInputMessage="1" showErrorMessage="1">
          <x14:formula1>
            <xm:f>'C:\Users\sdc\Desktop\[Copie de rapport_R0 20.xlsm]Feuil1'!#REF!</xm:f>
          </x14:formula1>
          <xm:sqref>N128 X128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theme="6" tint="0.39997558519241921"/>
  </sheetPr>
  <dimension ref="A1:M529"/>
  <sheetViews>
    <sheetView zoomScaleNormal="100" workbookViewId="0">
      <pane xSplit="2" ySplit="1" topLeftCell="C2" activePane="bottomRight" state="frozen"/>
      <selection activeCell="K529" sqref="K523:K529"/>
      <selection pane="topRight" activeCell="K529" sqref="K523:K529"/>
      <selection pane="bottomLeft" activeCell="K529" sqref="K523:K529"/>
      <selection pane="bottomRight" activeCell="E26" sqref="E26"/>
    </sheetView>
  </sheetViews>
  <sheetFormatPr defaultColWidth="11.42578125" defaultRowHeight="15" x14ac:dyDescent="0.25"/>
  <cols>
    <col min="1" max="1" width="3.28515625" style="33" hidden="1" customWidth="1"/>
    <col min="2" max="2" width="11.42578125" style="33"/>
    <col min="3" max="3" width="11.42578125" style="35"/>
    <col min="4" max="4" width="11.42578125" style="53"/>
    <col min="5" max="5" width="8.140625" style="35" customWidth="1"/>
    <col min="6" max="7" width="11.42578125" style="35"/>
    <col min="8" max="8" width="11.5703125" style="32" bestFit="1" customWidth="1"/>
    <col min="9" max="9" width="24.85546875" style="33" customWidth="1"/>
    <col min="10" max="10" width="29.5703125" style="33" customWidth="1"/>
    <col min="11" max="11" width="11.7109375" style="33" customWidth="1"/>
    <col min="12" max="12" width="36.42578125" style="33" bestFit="1" customWidth="1"/>
    <col min="13" max="13" width="19.28515625" style="33" customWidth="1"/>
    <col min="14" max="16384" width="11.42578125" style="33"/>
  </cols>
  <sheetData>
    <row r="1" spans="1:13" s="53" customFormat="1" ht="75" x14ac:dyDescent="0.25">
      <c r="B1" s="34" t="s">
        <v>241</v>
      </c>
      <c r="C1" s="54" t="s">
        <v>242</v>
      </c>
      <c r="D1" s="54" t="s">
        <v>354</v>
      </c>
      <c r="E1" s="55" t="s">
        <v>460</v>
      </c>
      <c r="F1" s="56" t="s">
        <v>355</v>
      </c>
      <c r="G1" s="54" t="s">
        <v>268</v>
      </c>
      <c r="H1" s="54" t="s">
        <v>269</v>
      </c>
      <c r="I1" s="54" t="s">
        <v>270</v>
      </c>
      <c r="J1" s="54" t="s">
        <v>271</v>
      </c>
      <c r="K1" s="54" t="s">
        <v>272</v>
      </c>
      <c r="L1" s="54" t="str">
        <f>CONCATENATE(J1," ",I1)</f>
        <v>Arrêts Equipement</v>
      </c>
      <c r="M1" s="54" t="s">
        <v>273</v>
      </c>
    </row>
    <row r="2" spans="1:13" x14ac:dyDescent="0.25">
      <c r="A2" s="33" t="str">
        <f t="shared" ref="A2:A50" si="0">CONCATENATE(B2,C2,E2)</f>
        <v>4492811</v>
      </c>
      <c r="B2" s="275">
        <v>44928</v>
      </c>
      <c r="C2" s="2">
        <v>1</v>
      </c>
      <c r="D2" s="276">
        <v>7625</v>
      </c>
      <c r="E2" s="2">
        <v>1</v>
      </c>
      <c r="F2" s="274">
        <v>0.3923611111111111</v>
      </c>
      <c r="G2" s="274">
        <v>0.40277777777777773</v>
      </c>
      <c r="H2" s="30">
        <f t="shared" ref="H2:H9" si="1">IFERROR(IF(F2&gt;G2,((G2+B2+1)-(F2+B2))*24,HOUR(G2-F2)+MINUTE(G2-F2)/60),"")</f>
        <v>0.25</v>
      </c>
      <c r="I2" s="1" t="s">
        <v>87</v>
      </c>
      <c r="J2" s="1" t="s">
        <v>117</v>
      </c>
      <c r="K2" s="1" t="s">
        <v>143</v>
      </c>
      <c r="L2" s="1" t="str">
        <f t="shared" ref="L2:L40" si="2">CONCATENATE(J2," ",I2)</f>
        <v>Manque huile G. hydraulique</v>
      </c>
      <c r="M2" s="1"/>
    </row>
    <row r="3" spans="1:13" x14ac:dyDescent="0.25">
      <c r="A3" s="33" t="str">
        <f t="shared" si="0"/>
        <v>4492812</v>
      </c>
      <c r="B3" s="275">
        <v>44928</v>
      </c>
      <c r="C3" s="2">
        <v>1</v>
      </c>
      <c r="D3" s="276">
        <v>7625</v>
      </c>
      <c r="E3" s="2">
        <v>2</v>
      </c>
      <c r="F3" s="274">
        <v>0.40277777777777773</v>
      </c>
      <c r="G3" s="274">
        <v>0.41319444444444442</v>
      </c>
      <c r="H3" s="30">
        <f t="shared" si="1"/>
        <v>0.25</v>
      </c>
      <c r="I3" s="1" t="s">
        <v>87</v>
      </c>
      <c r="J3" s="1" t="s">
        <v>101</v>
      </c>
      <c r="K3" s="1" t="s">
        <v>76</v>
      </c>
      <c r="L3" s="1" t="str">
        <f t="shared" si="2"/>
        <v>Déclenchement  G. hydraulique</v>
      </c>
      <c r="M3" s="1"/>
    </row>
    <row r="4" spans="1:13" x14ac:dyDescent="0.25">
      <c r="A4" s="33" t="str">
        <f t="shared" si="0"/>
        <v>4496011</v>
      </c>
      <c r="B4" s="275">
        <v>44960</v>
      </c>
      <c r="C4" s="2">
        <v>1</v>
      </c>
      <c r="D4" s="2">
        <v>7617</v>
      </c>
      <c r="E4" s="2">
        <v>1</v>
      </c>
      <c r="F4" s="274">
        <v>0.41250000000000003</v>
      </c>
      <c r="G4" s="274">
        <v>0.44097222222222227</v>
      </c>
      <c r="H4" s="30">
        <f t="shared" si="1"/>
        <v>0.68333333333333335</v>
      </c>
      <c r="I4" s="1" t="s">
        <v>87</v>
      </c>
      <c r="J4" s="1" t="s">
        <v>117</v>
      </c>
      <c r="K4" s="1" t="s">
        <v>143</v>
      </c>
      <c r="L4" s="1" t="str">
        <f t="shared" si="2"/>
        <v>Manque huile G. hydraulique</v>
      </c>
      <c r="M4" s="1"/>
    </row>
    <row r="5" spans="1:13" x14ac:dyDescent="0.25">
      <c r="A5" s="33" t="str">
        <f t="shared" si="0"/>
        <v>4497522</v>
      </c>
      <c r="B5" s="275">
        <v>44975</v>
      </c>
      <c r="C5" s="2">
        <v>2</v>
      </c>
      <c r="D5" s="276">
        <v>7625</v>
      </c>
      <c r="E5" s="2">
        <v>2</v>
      </c>
      <c r="F5" s="274">
        <v>0.71875</v>
      </c>
      <c r="G5" s="274">
        <v>0.75</v>
      </c>
      <c r="H5" s="30">
        <f t="shared" si="1"/>
        <v>0.75</v>
      </c>
      <c r="I5" s="1" t="s">
        <v>55</v>
      </c>
      <c r="J5" s="1" t="s">
        <v>69</v>
      </c>
      <c r="K5" s="1" t="s">
        <v>76</v>
      </c>
      <c r="L5" s="1" t="str">
        <f t="shared" si="2"/>
        <v>Arrêt sans signalisation Roue pelle</v>
      </c>
      <c r="M5" s="1" t="s">
        <v>935</v>
      </c>
    </row>
    <row r="6" spans="1:13" ht="15" customHeight="1" x14ac:dyDescent="0.25">
      <c r="A6" s="33" t="str">
        <f t="shared" si="0"/>
        <v>4497522</v>
      </c>
      <c r="B6" s="275">
        <v>44975</v>
      </c>
      <c r="C6" s="2">
        <v>2</v>
      </c>
      <c r="D6" s="2">
        <v>7605</v>
      </c>
      <c r="E6" s="2">
        <v>2</v>
      </c>
      <c r="F6" s="274">
        <v>0.79166666666666663</v>
      </c>
      <c r="G6" s="274">
        <v>0.8125</v>
      </c>
      <c r="H6" s="30">
        <f t="shared" si="1"/>
        <v>0.5</v>
      </c>
      <c r="I6" s="1" t="s">
        <v>89</v>
      </c>
      <c r="J6" s="1" t="s">
        <v>1063</v>
      </c>
      <c r="K6" s="1" t="s">
        <v>153</v>
      </c>
      <c r="L6" s="1" t="str">
        <f>CONCATENATE(J6," ",I6)</f>
        <v>BRIQUET Trémie 300m3</v>
      </c>
      <c r="M6" s="403"/>
    </row>
    <row r="7" spans="1:13" x14ac:dyDescent="0.25">
      <c r="A7" s="33" t="str">
        <f t="shared" si="0"/>
        <v>4506111</v>
      </c>
      <c r="B7" s="275">
        <v>45061</v>
      </c>
      <c r="C7" s="2">
        <v>1</v>
      </c>
      <c r="D7" s="2">
        <v>7617</v>
      </c>
      <c r="E7" s="2">
        <v>1</v>
      </c>
      <c r="F7" s="274">
        <v>0.38194444444444442</v>
      </c>
      <c r="G7" s="274">
        <v>0.40972222222222227</v>
      </c>
      <c r="H7" s="30">
        <f t="shared" si="1"/>
        <v>0.66666666666666663</v>
      </c>
      <c r="I7" s="1" t="s">
        <v>87</v>
      </c>
      <c r="J7" s="1" t="s">
        <v>1191</v>
      </c>
      <c r="K7" s="1" t="s">
        <v>143</v>
      </c>
      <c r="L7" s="1" t="str">
        <f t="shared" si="2"/>
        <v>fuite d'huile G. hydraulique</v>
      </c>
      <c r="M7" s="404"/>
    </row>
    <row r="8" spans="1:13" x14ac:dyDescent="0.25">
      <c r="A8" s="33" t="str">
        <f t="shared" si="0"/>
        <v>4506111</v>
      </c>
      <c r="B8" s="275">
        <v>45061</v>
      </c>
      <c r="C8" s="2">
        <v>1</v>
      </c>
      <c r="D8" s="2">
        <v>7617</v>
      </c>
      <c r="E8" s="2">
        <v>1</v>
      </c>
      <c r="F8" s="274">
        <v>0.4236111111111111</v>
      </c>
      <c r="G8" s="274">
        <v>0.4375</v>
      </c>
      <c r="H8" s="30">
        <f t="shared" si="1"/>
        <v>0.33333333333333331</v>
      </c>
      <c r="I8" s="1" t="s">
        <v>75</v>
      </c>
      <c r="J8" s="1" t="s">
        <v>1192</v>
      </c>
      <c r="K8" s="1" t="s">
        <v>76</v>
      </c>
      <c r="L8" s="1" t="str">
        <f>CONCATENATE(J8," ",I8)</f>
        <v>défaut frein non levé CV T15</v>
      </c>
      <c r="M8" s="404"/>
    </row>
    <row r="9" spans="1:13" x14ac:dyDescent="0.25">
      <c r="A9" s="33" t="str">
        <f t="shared" si="0"/>
        <v>4506833</v>
      </c>
      <c r="B9" s="275">
        <v>45068</v>
      </c>
      <c r="C9" s="2">
        <v>3</v>
      </c>
      <c r="D9" s="2">
        <v>7617</v>
      </c>
      <c r="E9" s="2">
        <v>3</v>
      </c>
      <c r="F9" s="274">
        <v>0.14583333333333334</v>
      </c>
      <c r="G9" s="274">
        <v>0.16319444444444445</v>
      </c>
      <c r="H9" s="30">
        <f t="shared" si="1"/>
        <v>0.41666666666666669</v>
      </c>
      <c r="I9" s="1" t="s">
        <v>62</v>
      </c>
      <c r="J9" s="1" t="s">
        <v>108</v>
      </c>
      <c r="K9" s="1" t="s">
        <v>76</v>
      </c>
      <c r="L9" s="1" t="str">
        <f t="shared" si="2"/>
        <v>Déport bande  CV T14A</v>
      </c>
      <c r="M9" s="404"/>
    </row>
    <row r="10" spans="1:13" x14ac:dyDescent="0.25">
      <c r="A10" s="33" t="str">
        <f t="shared" si="0"/>
        <v/>
      </c>
      <c r="B10" s="275"/>
      <c r="C10" s="2"/>
      <c r="D10" s="233"/>
      <c r="E10" s="2"/>
      <c r="F10" s="2"/>
      <c r="G10" s="2"/>
      <c r="H10" s="30"/>
      <c r="I10" s="1"/>
      <c r="J10" s="1"/>
      <c r="K10" s="1"/>
      <c r="L10" s="1" t="str">
        <f t="shared" si="2"/>
        <v xml:space="preserve"> </v>
      </c>
      <c r="M10" s="404"/>
    </row>
    <row r="11" spans="1:13" x14ac:dyDescent="0.25">
      <c r="A11" s="33" t="str">
        <f t="shared" si="0"/>
        <v/>
      </c>
      <c r="B11" s="275"/>
      <c r="C11" s="2"/>
      <c r="D11" s="233"/>
      <c r="E11" s="2"/>
      <c r="F11" s="2"/>
      <c r="G11" s="2"/>
      <c r="H11" s="30"/>
      <c r="I11" s="1"/>
      <c r="J11" s="1"/>
      <c r="K11" s="1"/>
      <c r="L11" s="1" t="str">
        <f t="shared" si="2"/>
        <v xml:space="preserve"> </v>
      </c>
      <c r="M11" s="308"/>
    </row>
    <row r="12" spans="1:13" x14ac:dyDescent="0.25">
      <c r="A12" s="33" t="str">
        <f t="shared" si="0"/>
        <v/>
      </c>
      <c r="B12" s="275"/>
      <c r="C12" s="2"/>
      <c r="D12" s="233"/>
      <c r="E12" s="2"/>
      <c r="F12" s="2"/>
      <c r="G12" s="2"/>
      <c r="H12" s="30"/>
      <c r="I12" s="1"/>
      <c r="J12" s="1"/>
      <c r="K12" s="1"/>
      <c r="L12" s="1" t="str">
        <f t="shared" si="2"/>
        <v xml:space="preserve"> </v>
      </c>
      <c r="M12" s="308"/>
    </row>
    <row r="13" spans="1:13" x14ac:dyDescent="0.25">
      <c r="A13" s="33" t="str">
        <f t="shared" si="0"/>
        <v/>
      </c>
      <c r="B13" s="275"/>
      <c r="C13" s="2"/>
      <c r="D13" s="233"/>
      <c r="E13" s="2"/>
      <c r="F13" s="2"/>
      <c r="G13" s="2"/>
      <c r="H13" s="30"/>
      <c r="I13" s="1"/>
      <c r="J13" s="1"/>
      <c r="K13" s="1"/>
      <c r="L13" s="1" t="str">
        <f t="shared" si="2"/>
        <v xml:space="preserve"> </v>
      </c>
      <c r="M13" s="309"/>
    </row>
    <row r="14" spans="1:13" x14ac:dyDescent="0.25">
      <c r="A14" s="33" t="str">
        <f t="shared" si="0"/>
        <v/>
      </c>
      <c r="B14" s="275"/>
      <c r="C14" s="2"/>
      <c r="D14" s="233"/>
      <c r="E14" s="2"/>
      <c r="F14" s="2"/>
      <c r="G14" s="2"/>
      <c r="H14" s="30"/>
      <c r="I14" s="1"/>
      <c r="J14" s="1"/>
      <c r="K14" s="1"/>
      <c r="L14" s="1" t="str">
        <f t="shared" si="2"/>
        <v xml:space="preserve"> </v>
      </c>
      <c r="M14" s="1"/>
    </row>
    <row r="15" spans="1:13" x14ac:dyDescent="0.25">
      <c r="A15" s="33" t="str">
        <f t="shared" si="0"/>
        <v/>
      </c>
      <c r="B15" s="1"/>
      <c r="C15" s="2"/>
      <c r="D15" s="233"/>
      <c r="E15" s="2"/>
      <c r="F15" s="2"/>
      <c r="G15" s="2"/>
      <c r="H15" s="30"/>
      <c r="I15" s="1"/>
      <c r="J15" s="1"/>
      <c r="K15" s="1"/>
      <c r="L15" s="1" t="str">
        <f t="shared" si="2"/>
        <v xml:space="preserve"> </v>
      </c>
      <c r="M15" s="1"/>
    </row>
    <row r="16" spans="1:13" x14ac:dyDescent="0.25">
      <c r="A16" s="33" t="str">
        <f t="shared" si="0"/>
        <v/>
      </c>
      <c r="B16" s="1"/>
      <c r="C16" s="2"/>
      <c r="D16" s="233"/>
      <c r="E16" s="2"/>
      <c r="F16" s="2"/>
      <c r="G16" s="2"/>
      <c r="H16" s="30"/>
      <c r="I16" s="1"/>
      <c r="J16" s="1"/>
      <c r="K16" s="1"/>
      <c r="L16" s="1" t="str">
        <f t="shared" si="2"/>
        <v xml:space="preserve"> </v>
      </c>
      <c r="M16" s="1"/>
    </row>
    <row r="17" spans="1:13" x14ac:dyDescent="0.25">
      <c r="A17" s="33" t="str">
        <f t="shared" si="0"/>
        <v/>
      </c>
      <c r="B17" s="1"/>
      <c r="C17" s="2"/>
      <c r="D17" s="233"/>
      <c r="E17" s="2"/>
      <c r="F17" s="2"/>
      <c r="G17" s="2"/>
      <c r="H17" s="30"/>
      <c r="I17" s="1"/>
      <c r="J17" s="1"/>
      <c r="K17" s="1"/>
      <c r="L17" s="1" t="str">
        <f t="shared" si="2"/>
        <v xml:space="preserve"> </v>
      </c>
      <c r="M17" s="1"/>
    </row>
    <row r="18" spans="1:13" x14ac:dyDescent="0.25">
      <c r="A18" s="33" t="str">
        <f t="shared" si="0"/>
        <v/>
      </c>
      <c r="B18" s="1"/>
      <c r="C18" s="2"/>
      <c r="D18" s="233"/>
      <c r="E18" s="2"/>
      <c r="F18" s="2"/>
      <c r="G18" s="2"/>
      <c r="H18" s="30"/>
      <c r="I18" s="1"/>
      <c r="J18" s="1"/>
      <c r="K18" s="1"/>
      <c r="L18" s="1" t="str">
        <f t="shared" si="2"/>
        <v xml:space="preserve"> </v>
      </c>
      <c r="M18" s="1"/>
    </row>
    <row r="19" spans="1:13" x14ac:dyDescent="0.25">
      <c r="A19" s="33" t="str">
        <f t="shared" si="0"/>
        <v/>
      </c>
      <c r="B19" s="1"/>
      <c r="C19" s="2"/>
      <c r="D19" s="233"/>
      <c r="E19" s="2"/>
      <c r="F19" s="2"/>
      <c r="G19" s="2"/>
      <c r="H19" s="30"/>
      <c r="I19" s="1"/>
      <c r="J19" s="1"/>
      <c r="K19" s="1"/>
      <c r="L19" s="1" t="str">
        <f t="shared" si="2"/>
        <v xml:space="preserve"> </v>
      </c>
      <c r="M19" s="1"/>
    </row>
    <row r="20" spans="1:13" x14ac:dyDescent="0.25">
      <c r="A20" s="33" t="str">
        <f t="shared" si="0"/>
        <v/>
      </c>
      <c r="B20" s="1"/>
      <c r="C20" s="2"/>
      <c r="D20" s="233"/>
      <c r="E20" s="2"/>
      <c r="F20" s="2"/>
      <c r="G20" s="2"/>
      <c r="H20" s="30"/>
      <c r="I20" s="1"/>
      <c r="J20" s="1"/>
      <c r="K20" s="1"/>
      <c r="L20" s="1" t="str">
        <f t="shared" si="2"/>
        <v xml:space="preserve"> </v>
      </c>
      <c r="M20" s="1"/>
    </row>
    <row r="21" spans="1:13" x14ac:dyDescent="0.25">
      <c r="A21" s="33" t="str">
        <f t="shared" si="0"/>
        <v/>
      </c>
      <c r="B21" s="1"/>
      <c r="C21" s="2"/>
      <c r="D21" s="233"/>
      <c r="E21" s="2"/>
      <c r="F21" s="2"/>
      <c r="G21" s="2"/>
      <c r="H21" s="30"/>
      <c r="I21" s="1"/>
      <c r="J21" s="1"/>
      <c r="K21" s="1"/>
      <c r="L21" s="1" t="str">
        <f t="shared" si="2"/>
        <v xml:space="preserve"> </v>
      </c>
      <c r="M21" s="1"/>
    </row>
    <row r="22" spans="1:13" x14ac:dyDescent="0.25">
      <c r="A22" s="33" t="str">
        <f t="shared" si="0"/>
        <v/>
      </c>
      <c r="B22" s="1"/>
      <c r="C22" s="2"/>
      <c r="D22" s="233"/>
      <c r="E22" s="2"/>
      <c r="F22" s="2"/>
      <c r="G22" s="2"/>
      <c r="H22" s="30"/>
      <c r="I22" s="1"/>
      <c r="J22" s="1"/>
      <c r="K22" s="1"/>
      <c r="L22" s="1" t="str">
        <f t="shared" si="2"/>
        <v xml:space="preserve"> </v>
      </c>
      <c r="M22" s="1"/>
    </row>
    <row r="23" spans="1:13" x14ac:dyDescent="0.25">
      <c r="A23" s="33" t="str">
        <f t="shared" si="0"/>
        <v/>
      </c>
      <c r="B23" s="1"/>
      <c r="C23" s="2"/>
      <c r="D23" s="233"/>
      <c r="E23" s="2"/>
      <c r="F23" s="2"/>
      <c r="G23" s="2"/>
      <c r="H23" s="30"/>
      <c r="I23" s="1"/>
      <c r="J23" s="1"/>
      <c r="K23" s="1"/>
      <c r="L23" s="1" t="str">
        <f t="shared" si="2"/>
        <v xml:space="preserve"> </v>
      </c>
      <c r="M23" s="1"/>
    </row>
    <row r="24" spans="1:13" x14ac:dyDescent="0.25">
      <c r="A24" s="33" t="str">
        <f t="shared" si="0"/>
        <v/>
      </c>
      <c r="B24" s="1"/>
      <c r="C24" s="2"/>
      <c r="D24" s="233"/>
      <c r="E24" s="2"/>
      <c r="F24" s="2"/>
      <c r="G24" s="2"/>
      <c r="H24" s="30"/>
      <c r="I24" s="1"/>
      <c r="J24" s="1"/>
      <c r="K24" s="1"/>
      <c r="L24" s="1" t="str">
        <f t="shared" si="2"/>
        <v xml:space="preserve"> </v>
      </c>
      <c r="M24" s="1"/>
    </row>
    <row r="25" spans="1:13" x14ac:dyDescent="0.25">
      <c r="A25" s="33" t="str">
        <f t="shared" si="0"/>
        <v/>
      </c>
      <c r="B25" s="1"/>
      <c r="C25" s="2"/>
      <c r="D25" s="233"/>
      <c r="E25" s="2"/>
      <c r="F25" s="2"/>
      <c r="G25" s="2"/>
      <c r="H25" s="30"/>
      <c r="I25" s="1"/>
      <c r="J25" s="1"/>
      <c r="K25" s="1"/>
      <c r="L25" s="1" t="str">
        <f t="shared" si="2"/>
        <v xml:space="preserve"> </v>
      </c>
      <c r="M25" s="1"/>
    </row>
    <row r="26" spans="1:13" x14ac:dyDescent="0.25">
      <c r="A26" s="33" t="str">
        <f t="shared" si="0"/>
        <v/>
      </c>
      <c r="B26" s="1"/>
      <c r="C26" s="2"/>
      <c r="D26" s="233"/>
      <c r="E26" s="2"/>
      <c r="F26" s="2"/>
      <c r="G26" s="2"/>
      <c r="H26" s="30"/>
      <c r="I26" s="1"/>
      <c r="J26" s="1"/>
      <c r="K26" s="1"/>
      <c r="L26" s="1" t="str">
        <f t="shared" si="2"/>
        <v xml:space="preserve"> </v>
      </c>
      <c r="M26" s="1"/>
    </row>
    <row r="27" spans="1:13" x14ac:dyDescent="0.25">
      <c r="A27" s="33" t="str">
        <f t="shared" si="0"/>
        <v/>
      </c>
      <c r="B27" s="1"/>
      <c r="C27" s="2"/>
      <c r="D27" s="233"/>
      <c r="E27" s="2"/>
      <c r="F27" s="2"/>
      <c r="G27" s="2"/>
      <c r="H27" s="30"/>
      <c r="I27" s="1"/>
      <c r="J27" s="1"/>
      <c r="K27" s="1"/>
      <c r="L27" s="1" t="str">
        <f t="shared" si="2"/>
        <v xml:space="preserve"> </v>
      </c>
      <c r="M27" s="1"/>
    </row>
    <row r="28" spans="1:13" x14ac:dyDescent="0.25">
      <c r="A28" s="33" t="str">
        <f t="shared" si="0"/>
        <v/>
      </c>
      <c r="B28" s="1"/>
      <c r="C28" s="2"/>
      <c r="D28" s="233"/>
      <c r="E28" s="2"/>
      <c r="F28" s="2"/>
      <c r="G28" s="2"/>
      <c r="H28" s="30"/>
      <c r="I28" s="1"/>
      <c r="J28" s="1"/>
      <c r="K28" s="1"/>
      <c r="L28" s="1" t="str">
        <f t="shared" si="2"/>
        <v xml:space="preserve"> </v>
      </c>
      <c r="M28" s="1"/>
    </row>
    <row r="29" spans="1:13" x14ac:dyDescent="0.25">
      <c r="A29" s="33" t="str">
        <f t="shared" si="0"/>
        <v/>
      </c>
      <c r="B29" s="1"/>
      <c r="C29" s="2"/>
      <c r="D29" s="233"/>
      <c r="E29" s="2"/>
      <c r="F29" s="2"/>
      <c r="G29" s="2"/>
      <c r="H29" s="30"/>
      <c r="I29" s="1"/>
      <c r="J29" s="1"/>
      <c r="K29" s="1"/>
      <c r="L29" s="1" t="str">
        <f t="shared" si="2"/>
        <v xml:space="preserve"> </v>
      </c>
      <c r="M29" s="1"/>
    </row>
    <row r="30" spans="1:13" x14ac:dyDescent="0.25">
      <c r="A30" s="33" t="str">
        <f t="shared" si="0"/>
        <v/>
      </c>
      <c r="B30" s="1"/>
      <c r="C30" s="2"/>
      <c r="D30" s="233"/>
      <c r="E30" s="2"/>
      <c r="F30" s="2"/>
      <c r="G30" s="2"/>
      <c r="H30" s="30"/>
      <c r="I30" s="1"/>
      <c r="J30" s="1"/>
      <c r="K30" s="1"/>
      <c r="L30" s="1" t="str">
        <f t="shared" si="2"/>
        <v xml:space="preserve"> </v>
      </c>
      <c r="M30" s="1"/>
    </row>
    <row r="31" spans="1:13" x14ac:dyDescent="0.25">
      <c r="A31" s="33" t="str">
        <f t="shared" si="0"/>
        <v/>
      </c>
      <c r="B31" s="1"/>
      <c r="C31" s="2"/>
      <c r="D31" s="233"/>
      <c r="E31" s="2"/>
      <c r="F31" s="2"/>
      <c r="G31" s="2"/>
      <c r="H31" s="30"/>
      <c r="I31" s="1"/>
      <c r="J31" s="1"/>
      <c r="K31" s="1"/>
      <c r="L31" s="1" t="str">
        <f t="shared" si="2"/>
        <v xml:space="preserve"> </v>
      </c>
      <c r="M31" s="1"/>
    </row>
    <row r="32" spans="1:13" x14ac:dyDescent="0.25">
      <c r="A32" s="33" t="str">
        <f t="shared" si="0"/>
        <v/>
      </c>
      <c r="B32" s="1"/>
      <c r="C32" s="2"/>
      <c r="D32" s="233"/>
      <c r="E32" s="2"/>
      <c r="F32" s="2"/>
      <c r="G32" s="2"/>
      <c r="H32" s="30"/>
      <c r="I32" s="1"/>
      <c r="J32" s="1"/>
      <c r="K32" s="1"/>
      <c r="L32" s="1" t="str">
        <f t="shared" si="2"/>
        <v xml:space="preserve"> </v>
      </c>
      <c r="M32" s="1"/>
    </row>
    <row r="33" spans="1:13" x14ac:dyDescent="0.25">
      <c r="A33" s="33" t="str">
        <f t="shared" si="0"/>
        <v/>
      </c>
      <c r="B33" s="1"/>
      <c r="C33" s="2"/>
      <c r="D33" s="233"/>
      <c r="E33" s="2"/>
      <c r="F33" s="2"/>
      <c r="G33" s="2"/>
      <c r="H33" s="30"/>
      <c r="I33" s="1"/>
      <c r="J33" s="1"/>
      <c r="K33" s="1"/>
      <c r="L33" s="1" t="str">
        <f t="shared" si="2"/>
        <v xml:space="preserve"> </v>
      </c>
      <c r="M33" s="1"/>
    </row>
    <row r="34" spans="1:13" x14ac:dyDescent="0.25">
      <c r="A34" s="33" t="str">
        <f t="shared" si="0"/>
        <v/>
      </c>
      <c r="B34" s="1"/>
      <c r="C34" s="2"/>
      <c r="D34" s="233"/>
      <c r="E34" s="2"/>
      <c r="F34" s="2"/>
      <c r="G34" s="2"/>
      <c r="H34" s="30"/>
      <c r="I34" s="1"/>
      <c r="J34" s="1"/>
      <c r="K34" s="1"/>
      <c r="L34" s="1" t="str">
        <f t="shared" si="2"/>
        <v xml:space="preserve"> </v>
      </c>
      <c r="M34" s="1"/>
    </row>
    <row r="35" spans="1:13" x14ac:dyDescent="0.25">
      <c r="A35" s="33" t="str">
        <f t="shared" si="0"/>
        <v/>
      </c>
      <c r="B35" s="1"/>
      <c r="C35" s="2"/>
      <c r="D35" s="233"/>
      <c r="E35" s="2"/>
      <c r="F35" s="2"/>
      <c r="G35" s="2"/>
      <c r="H35" s="30"/>
      <c r="I35" s="1"/>
      <c r="J35" s="1"/>
      <c r="K35" s="1"/>
      <c r="L35" s="1" t="str">
        <f t="shared" si="2"/>
        <v xml:space="preserve"> </v>
      </c>
      <c r="M35" s="1"/>
    </row>
    <row r="36" spans="1:13" x14ac:dyDescent="0.25">
      <c r="A36" s="33" t="str">
        <f t="shared" si="0"/>
        <v/>
      </c>
      <c r="B36" s="1"/>
      <c r="C36" s="2"/>
      <c r="D36" s="233"/>
      <c r="E36" s="2"/>
      <c r="F36" s="2"/>
      <c r="G36" s="2"/>
      <c r="H36" s="30"/>
      <c r="I36" s="1"/>
      <c r="J36" s="1"/>
      <c r="K36" s="1"/>
      <c r="L36" s="1" t="str">
        <f t="shared" si="2"/>
        <v xml:space="preserve"> </v>
      </c>
      <c r="M36" s="1"/>
    </row>
    <row r="37" spans="1:13" x14ac:dyDescent="0.25">
      <c r="A37" s="33" t="str">
        <f t="shared" si="0"/>
        <v/>
      </c>
      <c r="B37" s="1"/>
      <c r="C37" s="2"/>
      <c r="D37" s="233"/>
      <c r="E37" s="2"/>
      <c r="F37" s="2"/>
      <c r="G37" s="2"/>
      <c r="H37" s="30"/>
      <c r="I37" s="1"/>
      <c r="J37" s="1"/>
      <c r="K37" s="1"/>
      <c r="L37" s="1" t="str">
        <f t="shared" si="2"/>
        <v xml:space="preserve"> </v>
      </c>
      <c r="M37" s="1"/>
    </row>
    <row r="38" spans="1:13" x14ac:dyDescent="0.25">
      <c r="A38" s="33" t="str">
        <f t="shared" si="0"/>
        <v/>
      </c>
      <c r="B38" s="1"/>
      <c r="C38" s="2"/>
      <c r="D38" s="233"/>
      <c r="E38" s="2"/>
      <c r="F38" s="2"/>
      <c r="G38" s="2"/>
      <c r="H38" s="30"/>
      <c r="I38" s="1"/>
      <c r="J38" s="1"/>
      <c r="K38" s="1"/>
      <c r="L38" s="1" t="str">
        <f t="shared" si="2"/>
        <v xml:space="preserve"> </v>
      </c>
      <c r="M38" s="1"/>
    </row>
    <row r="39" spans="1:13" x14ac:dyDescent="0.25">
      <c r="A39" s="33" t="str">
        <f t="shared" si="0"/>
        <v/>
      </c>
      <c r="B39" s="1"/>
      <c r="C39" s="2"/>
      <c r="D39" s="233"/>
      <c r="E39" s="2"/>
      <c r="F39" s="2"/>
      <c r="G39" s="2"/>
      <c r="H39" s="30"/>
      <c r="I39" s="1"/>
      <c r="J39" s="1"/>
      <c r="K39" s="1"/>
      <c r="L39" s="1" t="str">
        <f t="shared" si="2"/>
        <v xml:space="preserve"> </v>
      </c>
      <c r="M39" s="1"/>
    </row>
    <row r="40" spans="1:13" x14ac:dyDescent="0.25">
      <c r="A40" s="33" t="str">
        <f t="shared" si="0"/>
        <v/>
      </c>
      <c r="B40" s="1"/>
      <c r="C40" s="2"/>
      <c r="D40" s="233"/>
      <c r="E40" s="2"/>
      <c r="F40" s="2"/>
      <c r="G40" s="2"/>
      <c r="H40" s="30"/>
      <c r="I40" s="1"/>
      <c r="J40" s="1"/>
      <c r="K40" s="1"/>
      <c r="L40" s="1" t="str">
        <f t="shared" si="2"/>
        <v xml:space="preserve"> </v>
      </c>
      <c r="M40" s="1"/>
    </row>
    <row r="41" spans="1:13" x14ac:dyDescent="0.25">
      <c r="A41" s="33" t="str">
        <f t="shared" si="0"/>
        <v/>
      </c>
      <c r="B41" s="1"/>
      <c r="C41" s="2"/>
      <c r="D41" s="233"/>
      <c r="E41" s="2"/>
      <c r="F41" s="2"/>
      <c r="G41" s="2"/>
      <c r="H41" s="30"/>
      <c r="I41" s="1"/>
      <c r="J41" s="1"/>
      <c r="K41" s="1"/>
      <c r="L41" s="1" t="str">
        <f t="shared" ref="L41:L104" si="3">CONCATENATE(J41," ",I41)</f>
        <v xml:space="preserve"> </v>
      </c>
      <c r="M41" s="1"/>
    </row>
    <row r="42" spans="1:13" x14ac:dyDescent="0.25">
      <c r="A42" s="33" t="str">
        <f t="shared" si="0"/>
        <v/>
      </c>
      <c r="B42" s="1"/>
      <c r="C42" s="2"/>
      <c r="D42" s="233"/>
      <c r="E42" s="2"/>
      <c r="F42" s="2"/>
      <c r="G42" s="2"/>
      <c r="H42" s="30"/>
      <c r="I42" s="1"/>
      <c r="J42" s="1"/>
      <c r="K42" s="1"/>
      <c r="L42" s="1" t="str">
        <f t="shared" si="3"/>
        <v xml:space="preserve"> </v>
      </c>
      <c r="M42" s="1"/>
    </row>
    <row r="43" spans="1:13" x14ac:dyDescent="0.25">
      <c r="A43" s="33" t="str">
        <f t="shared" si="0"/>
        <v/>
      </c>
      <c r="B43" s="1"/>
      <c r="C43" s="2"/>
      <c r="D43" s="233"/>
      <c r="E43" s="2"/>
      <c r="F43" s="2"/>
      <c r="G43" s="2"/>
      <c r="H43" s="30"/>
      <c r="I43" s="1"/>
      <c r="J43" s="1"/>
      <c r="K43" s="1"/>
      <c r="L43" s="1" t="str">
        <f t="shared" si="3"/>
        <v xml:space="preserve"> </v>
      </c>
      <c r="M43" s="1"/>
    </row>
    <row r="44" spans="1:13" x14ac:dyDescent="0.25">
      <c r="A44" s="33" t="str">
        <f t="shared" si="0"/>
        <v/>
      </c>
      <c r="B44" s="1"/>
      <c r="C44" s="2"/>
      <c r="D44" s="233"/>
      <c r="E44" s="2"/>
      <c r="F44" s="2"/>
      <c r="G44" s="2"/>
      <c r="H44" s="30"/>
      <c r="I44" s="1"/>
      <c r="J44" s="1"/>
      <c r="K44" s="1"/>
      <c r="L44" s="1" t="str">
        <f t="shared" si="3"/>
        <v xml:space="preserve"> </v>
      </c>
      <c r="M44" s="1"/>
    </row>
    <row r="45" spans="1:13" x14ac:dyDescent="0.25">
      <c r="A45" s="33" t="str">
        <f t="shared" si="0"/>
        <v/>
      </c>
      <c r="B45" s="1"/>
      <c r="C45" s="2"/>
      <c r="D45" s="233"/>
      <c r="E45" s="2"/>
      <c r="F45" s="2"/>
      <c r="G45" s="2"/>
      <c r="H45" s="30"/>
      <c r="I45" s="1"/>
      <c r="J45" s="1"/>
      <c r="K45" s="1"/>
      <c r="L45" s="1" t="str">
        <f t="shared" si="3"/>
        <v xml:space="preserve"> </v>
      </c>
      <c r="M45" s="1"/>
    </row>
    <row r="46" spans="1:13" x14ac:dyDescent="0.25">
      <c r="A46" s="33" t="str">
        <f t="shared" si="0"/>
        <v/>
      </c>
      <c r="B46" s="1"/>
      <c r="C46" s="2"/>
      <c r="D46" s="233"/>
      <c r="E46" s="2"/>
      <c r="F46" s="2"/>
      <c r="G46" s="2"/>
      <c r="H46" s="30"/>
      <c r="I46" s="1"/>
      <c r="J46" s="1"/>
      <c r="K46" s="1"/>
      <c r="L46" s="1" t="str">
        <f t="shared" si="3"/>
        <v xml:space="preserve"> </v>
      </c>
      <c r="M46" s="1"/>
    </row>
    <row r="47" spans="1:13" x14ac:dyDescent="0.25">
      <c r="A47" s="33" t="str">
        <f t="shared" si="0"/>
        <v/>
      </c>
      <c r="B47" s="1"/>
      <c r="C47" s="2"/>
      <c r="D47" s="233"/>
      <c r="E47" s="2"/>
      <c r="F47" s="2"/>
      <c r="G47" s="2"/>
      <c r="H47" s="30"/>
      <c r="I47" s="1"/>
      <c r="J47" s="1"/>
      <c r="K47" s="1"/>
      <c r="L47" s="1" t="str">
        <f t="shared" si="3"/>
        <v xml:space="preserve"> </v>
      </c>
      <c r="M47" s="1"/>
    </row>
    <row r="48" spans="1:13" x14ac:dyDescent="0.25">
      <c r="A48" s="33" t="str">
        <f t="shared" si="0"/>
        <v/>
      </c>
      <c r="B48" s="1"/>
      <c r="C48" s="2"/>
      <c r="D48" s="233"/>
      <c r="E48" s="2"/>
      <c r="F48" s="2"/>
      <c r="G48" s="2"/>
      <c r="H48" s="30"/>
      <c r="I48" s="1"/>
      <c r="J48" s="1"/>
      <c r="K48" s="1"/>
      <c r="L48" s="1" t="str">
        <f t="shared" si="3"/>
        <v xml:space="preserve"> </v>
      </c>
      <c r="M48" s="1"/>
    </row>
    <row r="49" spans="1:13" x14ac:dyDescent="0.25">
      <c r="A49" s="33" t="str">
        <f t="shared" si="0"/>
        <v/>
      </c>
      <c r="B49" s="1"/>
      <c r="C49" s="2"/>
      <c r="D49" s="233"/>
      <c r="E49" s="2"/>
      <c r="F49" s="2"/>
      <c r="G49" s="2"/>
      <c r="H49" s="30"/>
      <c r="I49" s="1"/>
      <c r="J49" s="1"/>
      <c r="K49" s="1"/>
      <c r="L49" s="1" t="str">
        <f t="shared" si="3"/>
        <v xml:space="preserve"> </v>
      </c>
      <c r="M49" s="1"/>
    </row>
    <row r="50" spans="1:13" x14ac:dyDescent="0.25">
      <c r="A50" s="33" t="str">
        <f t="shared" si="0"/>
        <v/>
      </c>
      <c r="B50" s="1"/>
      <c r="C50" s="2"/>
      <c r="D50" s="233"/>
      <c r="E50" s="2"/>
      <c r="F50" s="2"/>
      <c r="G50" s="2"/>
      <c r="H50" s="30"/>
      <c r="I50" s="1"/>
      <c r="J50" s="1"/>
      <c r="K50" s="1"/>
      <c r="L50" s="1" t="str">
        <f t="shared" si="3"/>
        <v xml:space="preserve"> </v>
      </c>
      <c r="M50" s="1"/>
    </row>
    <row r="51" spans="1:13" x14ac:dyDescent="0.25">
      <c r="A51" s="33" t="str">
        <f t="shared" ref="A51:A114" si="4">CONCATENATE(B51,C51,E51)</f>
        <v/>
      </c>
      <c r="B51" s="1"/>
      <c r="C51" s="2"/>
      <c r="D51" s="233"/>
      <c r="E51" s="2"/>
      <c r="F51" s="2"/>
      <c r="G51" s="2"/>
      <c r="H51" s="30"/>
      <c r="I51" s="1"/>
      <c r="J51" s="1"/>
      <c r="K51" s="1"/>
      <c r="L51" s="1" t="str">
        <f t="shared" si="3"/>
        <v xml:space="preserve"> </v>
      </c>
      <c r="M51" s="1"/>
    </row>
    <row r="52" spans="1:13" x14ac:dyDescent="0.25">
      <c r="A52" s="33" t="str">
        <f t="shared" si="4"/>
        <v/>
      </c>
      <c r="B52" s="1"/>
      <c r="C52" s="2"/>
      <c r="D52" s="233"/>
      <c r="E52" s="2"/>
      <c r="F52" s="2"/>
      <c r="G52" s="2"/>
      <c r="H52" s="30"/>
      <c r="I52" s="1"/>
      <c r="J52" s="1"/>
      <c r="K52" s="1"/>
      <c r="L52" s="1" t="str">
        <f t="shared" si="3"/>
        <v xml:space="preserve"> </v>
      </c>
      <c r="M52" s="1"/>
    </row>
    <row r="53" spans="1:13" x14ac:dyDescent="0.25">
      <c r="A53" s="33" t="str">
        <f t="shared" si="4"/>
        <v/>
      </c>
      <c r="B53" s="1"/>
      <c r="C53" s="2"/>
      <c r="D53" s="233"/>
      <c r="E53" s="2"/>
      <c r="F53" s="2"/>
      <c r="G53" s="2"/>
      <c r="H53" s="30"/>
      <c r="I53" s="1"/>
      <c r="J53" s="1"/>
      <c r="K53" s="1"/>
      <c r="L53" s="1" t="str">
        <f t="shared" si="3"/>
        <v xml:space="preserve"> </v>
      </c>
      <c r="M53" s="1"/>
    </row>
    <row r="54" spans="1:13" x14ac:dyDescent="0.25">
      <c r="A54" s="33" t="str">
        <f t="shared" si="4"/>
        <v/>
      </c>
      <c r="B54" s="1"/>
      <c r="C54" s="2"/>
      <c r="D54" s="233"/>
      <c r="E54" s="2"/>
      <c r="F54" s="2"/>
      <c r="G54" s="2"/>
      <c r="H54" s="30"/>
      <c r="I54" s="1"/>
      <c r="J54" s="1"/>
      <c r="K54" s="1"/>
      <c r="L54" s="1" t="str">
        <f t="shared" si="3"/>
        <v xml:space="preserve"> </v>
      </c>
      <c r="M54" s="1"/>
    </row>
    <row r="55" spans="1:13" x14ac:dyDescent="0.25">
      <c r="A55" s="33" t="str">
        <f t="shared" si="4"/>
        <v/>
      </c>
      <c r="B55" s="1"/>
      <c r="C55" s="2"/>
      <c r="D55" s="233"/>
      <c r="E55" s="2"/>
      <c r="F55" s="2"/>
      <c r="G55" s="2"/>
      <c r="H55" s="30"/>
      <c r="I55" s="1"/>
      <c r="J55" s="1"/>
      <c r="K55" s="1"/>
      <c r="L55" s="1" t="str">
        <f t="shared" si="3"/>
        <v xml:space="preserve"> </v>
      </c>
      <c r="M55" s="1"/>
    </row>
    <row r="56" spans="1:13" x14ac:dyDescent="0.25">
      <c r="A56" s="33" t="str">
        <f t="shared" si="4"/>
        <v/>
      </c>
      <c r="B56" s="1"/>
      <c r="C56" s="2"/>
      <c r="D56" s="233"/>
      <c r="E56" s="2"/>
      <c r="F56" s="2"/>
      <c r="G56" s="2"/>
      <c r="H56" s="30"/>
      <c r="I56" s="1"/>
      <c r="J56" s="1"/>
      <c r="K56" s="1"/>
      <c r="L56" s="1" t="str">
        <f t="shared" si="3"/>
        <v xml:space="preserve"> </v>
      </c>
      <c r="M56" s="1"/>
    </row>
    <row r="57" spans="1:13" x14ac:dyDescent="0.25">
      <c r="A57" s="33" t="str">
        <f t="shared" si="4"/>
        <v/>
      </c>
      <c r="B57" s="1"/>
      <c r="C57" s="2"/>
      <c r="D57" s="233"/>
      <c r="E57" s="2"/>
      <c r="F57" s="2"/>
      <c r="G57" s="2"/>
      <c r="H57" s="30"/>
      <c r="I57" s="1"/>
      <c r="J57" s="1"/>
      <c r="K57" s="1"/>
      <c r="L57" s="1" t="str">
        <f t="shared" si="3"/>
        <v xml:space="preserve"> </v>
      </c>
      <c r="M57" s="1"/>
    </row>
    <row r="58" spans="1:13" x14ac:dyDescent="0.25">
      <c r="A58" s="33" t="str">
        <f t="shared" si="4"/>
        <v/>
      </c>
      <c r="B58" s="1"/>
      <c r="C58" s="2"/>
      <c r="D58" s="233"/>
      <c r="E58" s="2"/>
      <c r="F58" s="2"/>
      <c r="G58" s="2"/>
      <c r="H58" s="30"/>
      <c r="I58" s="1"/>
      <c r="J58" s="1"/>
      <c r="K58" s="1"/>
      <c r="L58" s="1" t="str">
        <f t="shared" si="3"/>
        <v xml:space="preserve"> </v>
      </c>
      <c r="M58" s="1"/>
    </row>
    <row r="59" spans="1:13" x14ac:dyDescent="0.25">
      <c r="A59" s="33" t="str">
        <f t="shared" si="4"/>
        <v/>
      </c>
      <c r="B59" s="1"/>
      <c r="C59" s="2"/>
      <c r="D59" s="233"/>
      <c r="E59" s="2"/>
      <c r="F59" s="2"/>
      <c r="G59" s="2"/>
      <c r="H59" s="30"/>
      <c r="I59" s="1"/>
      <c r="J59" s="1"/>
      <c r="K59" s="1"/>
      <c r="L59" s="1" t="str">
        <f t="shared" si="3"/>
        <v xml:space="preserve"> </v>
      </c>
      <c r="M59" s="1"/>
    </row>
    <row r="60" spans="1:13" x14ac:dyDescent="0.25">
      <c r="A60" s="33" t="str">
        <f t="shared" si="4"/>
        <v/>
      </c>
      <c r="B60" s="1"/>
      <c r="C60" s="2"/>
      <c r="D60" s="233"/>
      <c r="E60" s="2"/>
      <c r="F60" s="2"/>
      <c r="G60" s="2"/>
      <c r="H60" s="30"/>
      <c r="I60" s="1"/>
      <c r="J60" s="1"/>
      <c r="K60" s="1"/>
      <c r="L60" s="1" t="str">
        <f t="shared" si="3"/>
        <v xml:space="preserve"> </v>
      </c>
      <c r="M60" s="1"/>
    </row>
    <row r="61" spans="1:13" x14ac:dyDescent="0.25">
      <c r="A61" s="33" t="str">
        <f t="shared" si="4"/>
        <v/>
      </c>
      <c r="B61" s="1"/>
      <c r="C61" s="2"/>
      <c r="D61" s="233"/>
      <c r="E61" s="2"/>
      <c r="F61" s="2"/>
      <c r="G61" s="2"/>
      <c r="H61" s="30"/>
      <c r="I61" s="1"/>
      <c r="J61" s="1"/>
      <c r="K61" s="1"/>
      <c r="L61" s="1" t="str">
        <f t="shared" si="3"/>
        <v xml:space="preserve"> </v>
      </c>
      <c r="M61" s="1"/>
    </row>
    <row r="62" spans="1:13" x14ac:dyDescent="0.25">
      <c r="A62" s="33" t="str">
        <f t="shared" si="4"/>
        <v/>
      </c>
      <c r="B62" s="1"/>
      <c r="C62" s="2"/>
      <c r="D62" s="233"/>
      <c r="E62" s="2"/>
      <c r="F62" s="2"/>
      <c r="G62" s="2"/>
      <c r="H62" s="30"/>
      <c r="I62" s="1"/>
      <c r="J62" s="1"/>
      <c r="K62" s="1"/>
      <c r="L62" s="1" t="str">
        <f t="shared" si="3"/>
        <v xml:space="preserve"> </v>
      </c>
      <c r="M62" s="1"/>
    </row>
    <row r="63" spans="1:13" x14ac:dyDescent="0.25">
      <c r="A63" s="33" t="str">
        <f t="shared" si="4"/>
        <v/>
      </c>
      <c r="B63" s="1"/>
      <c r="C63" s="2"/>
      <c r="D63" s="233"/>
      <c r="E63" s="2"/>
      <c r="F63" s="2"/>
      <c r="G63" s="2"/>
      <c r="H63" s="30"/>
      <c r="I63" s="1"/>
      <c r="J63" s="1"/>
      <c r="K63" s="1"/>
      <c r="L63" s="1" t="str">
        <f t="shared" si="3"/>
        <v xml:space="preserve"> </v>
      </c>
      <c r="M63" s="1"/>
    </row>
    <row r="64" spans="1:13" x14ac:dyDescent="0.25">
      <c r="A64" s="33" t="str">
        <f t="shared" si="4"/>
        <v/>
      </c>
      <c r="B64" s="1"/>
      <c r="C64" s="2"/>
      <c r="D64" s="233"/>
      <c r="E64" s="2"/>
      <c r="F64" s="2"/>
      <c r="G64" s="2"/>
      <c r="H64" s="30"/>
      <c r="I64" s="1"/>
      <c r="J64" s="1"/>
      <c r="K64" s="1"/>
      <c r="L64" s="1" t="str">
        <f t="shared" si="3"/>
        <v xml:space="preserve"> </v>
      </c>
      <c r="M64" s="1"/>
    </row>
    <row r="65" spans="1:13" x14ac:dyDescent="0.25">
      <c r="A65" s="33" t="str">
        <f t="shared" si="4"/>
        <v/>
      </c>
      <c r="B65" s="1"/>
      <c r="C65" s="2"/>
      <c r="D65" s="233"/>
      <c r="E65" s="2"/>
      <c r="F65" s="2"/>
      <c r="G65" s="2"/>
      <c r="H65" s="30"/>
      <c r="I65" s="1"/>
      <c r="J65" s="1"/>
      <c r="K65" s="1"/>
      <c r="L65" s="1" t="str">
        <f t="shared" si="3"/>
        <v xml:space="preserve"> </v>
      </c>
      <c r="M65" s="1"/>
    </row>
    <row r="66" spans="1:13" x14ac:dyDescent="0.25">
      <c r="A66" s="33" t="str">
        <f t="shared" si="4"/>
        <v/>
      </c>
      <c r="B66" s="1"/>
      <c r="C66" s="2"/>
      <c r="D66" s="233"/>
      <c r="E66" s="2"/>
      <c r="F66" s="2"/>
      <c r="G66" s="2"/>
      <c r="H66" s="30"/>
      <c r="I66" s="1"/>
      <c r="J66" s="1"/>
      <c r="K66" s="1"/>
      <c r="L66" s="1" t="str">
        <f t="shared" si="3"/>
        <v xml:space="preserve"> </v>
      </c>
      <c r="M66" s="1"/>
    </row>
    <row r="67" spans="1:13" x14ac:dyDescent="0.25">
      <c r="A67" s="33" t="str">
        <f t="shared" si="4"/>
        <v/>
      </c>
      <c r="B67" s="1"/>
      <c r="C67" s="2"/>
      <c r="D67" s="233"/>
      <c r="E67" s="2"/>
      <c r="F67" s="2"/>
      <c r="G67" s="2"/>
      <c r="H67" s="30"/>
      <c r="I67" s="1"/>
      <c r="J67" s="1"/>
      <c r="K67" s="1"/>
      <c r="L67" s="1" t="str">
        <f t="shared" si="3"/>
        <v xml:space="preserve"> </v>
      </c>
      <c r="M67" s="1"/>
    </row>
    <row r="68" spans="1:13" x14ac:dyDescent="0.25">
      <c r="A68" s="33" t="str">
        <f t="shared" si="4"/>
        <v/>
      </c>
      <c r="B68" s="1"/>
      <c r="C68" s="2"/>
      <c r="D68" s="233"/>
      <c r="E68" s="2"/>
      <c r="F68" s="2"/>
      <c r="G68" s="2"/>
      <c r="H68" s="30"/>
      <c r="I68" s="1"/>
      <c r="J68" s="1"/>
      <c r="K68" s="1"/>
      <c r="L68" s="1" t="str">
        <f t="shared" si="3"/>
        <v xml:space="preserve"> </v>
      </c>
      <c r="M68" s="1"/>
    </row>
    <row r="69" spans="1:13" x14ac:dyDescent="0.25">
      <c r="A69" s="33" t="str">
        <f t="shared" si="4"/>
        <v/>
      </c>
      <c r="B69" s="1"/>
      <c r="C69" s="2"/>
      <c r="D69" s="233"/>
      <c r="E69" s="2"/>
      <c r="F69" s="2"/>
      <c r="G69" s="2"/>
      <c r="H69" s="30"/>
      <c r="I69" s="1"/>
      <c r="J69" s="1"/>
      <c r="K69" s="1"/>
      <c r="L69" s="1" t="str">
        <f t="shared" si="3"/>
        <v xml:space="preserve"> </v>
      </c>
      <c r="M69" s="1"/>
    </row>
    <row r="70" spans="1:13" x14ac:dyDescent="0.25">
      <c r="A70" s="33" t="str">
        <f t="shared" si="4"/>
        <v/>
      </c>
      <c r="B70" s="1"/>
      <c r="C70" s="2"/>
      <c r="D70" s="233"/>
      <c r="E70" s="2"/>
      <c r="F70" s="2"/>
      <c r="G70" s="2"/>
      <c r="H70" s="30"/>
      <c r="I70" s="1"/>
      <c r="J70" s="1"/>
      <c r="K70" s="1"/>
      <c r="L70" s="1" t="str">
        <f t="shared" si="3"/>
        <v xml:space="preserve"> </v>
      </c>
      <c r="M70" s="1"/>
    </row>
    <row r="71" spans="1:13" x14ac:dyDescent="0.25">
      <c r="A71" s="33" t="str">
        <f t="shared" si="4"/>
        <v/>
      </c>
      <c r="B71" s="1"/>
      <c r="C71" s="2"/>
      <c r="D71" s="233"/>
      <c r="E71" s="2"/>
      <c r="F71" s="2"/>
      <c r="G71" s="2"/>
      <c r="H71" s="30"/>
      <c r="I71" s="1"/>
      <c r="J71" s="1"/>
      <c r="K71" s="1"/>
      <c r="L71" s="1" t="str">
        <f t="shared" si="3"/>
        <v xml:space="preserve"> </v>
      </c>
      <c r="M71" s="1"/>
    </row>
    <row r="72" spans="1:13" x14ac:dyDescent="0.25">
      <c r="A72" s="33" t="str">
        <f t="shared" si="4"/>
        <v/>
      </c>
      <c r="B72" s="1"/>
      <c r="C72" s="2"/>
      <c r="D72" s="233"/>
      <c r="E72" s="2"/>
      <c r="F72" s="2"/>
      <c r="G72" s="2"/>
      <c r="H72" s="30"/>
      <c r="I72" s="1"/>
      <c r="J72" s="1"/>
      <c r="K72" s="1"/>
      <c r="L72" s="1" t="str">
        <f t="shared" si="3"/>
        <v xml:space="preserve"> </v>
      </c>
      <c r="M72" s="1"/>
    </row>
    <row r="73" spans="1:13" x14ac:dyDescent="0.25">
      <c r="A73" s="33" t="str">
        <f t="shared" si="4"/>
        <v/>
      </c>
      <c r="B73" s="1"/>
      <c r="C73" s="2"/>
      <c r="D73" s="233"/>
      <c r="E73" s="2"/>
      <c r="F73" s="2"/>
      <c r="G73" s="2"/>
      <c r="H73" s="30"/>
      <c r="I73" s="1"/>
      <c r="J73" s="1"/>
      <c r="K73" s="1"/>
      <c r="L73" s="1" t="str">
        <f t="shared" si="3"/>
        <v xml:space="preserve"> </v>
      </c>
      <c r="M73" s="1"/>
    </row>
    <row r="74" spans="1:13" x14ac:dyDescent="0.25">
      <c r="A74" s="33" t="str">
        <f t="shared" si="4"/>
        <v/>
      </c>
      <c r="B74" s="1"/>
      <c r="C74" s="2"/>
      <c r="D74" s="233"/>
      <c r="E74" s="2"/>
      <c r="F74" s="2"/>
      <c r="G74" s="2"/>
      <c r="H74" s="30"/>
      <c r="I74" s="1"/>
      <c r="J74" s="1"/>
      <c r="K74" s="1"/>
      <c r="L74" s="1" t="str">
        <f t="shared" si="3"/>
        <v xml:space="preserve"> </v>
      </c>
      <c r="M74" s="1"/>
    </row>
    <row r="75" spans="1:13" x14ac:dyDescent="0.25">
      <c r="A75" s="33" t="str">
        <f t="shared" si="4"/>
        <v/>
      </c>
      <c r="B75" s="1"/>
      <c r="C75" s="2"/>
      <c r="D75" s="233"/>
      <c r="E75" s="2"/>
      <c r="F75" s="2"/>
      <c r="G75" s="2"/>
      <c r="H75" s="30"/>
      <c r="I75" s="1"/>
      <c r="J75" s="1"/>
      <c r="K75" s="1"/>
      <c r="L75" s="1" t="str">
        <f t="shared" si="3"/>
        <v xml:space="preserve"> </v>
      </c>
      <c r="M75" s="1"/>
    </row>
    <row r="76" spans="1:13" x14ac:dyDescent="0.25">
      <c r="A76" s="33" t="str">
        <f t="shared" si="4"/>
        <v/>
      </c>
      <c r="B76" s="1"/>
      <c r="C76" s="2"/>
      <c r="D76" s="233"/>
      <c r="E76" s="2"/>
      <c r="F76" s="2"/>
      <c r="G76" s="2"/>
      <c r="H76" s="30"/>
      <c r="I76" s="1"/>
      <c r="J76" s="1"/>
      <c r="K76" s="1"/>
      <c r="L76" s="1" t="str">
        <f t="shared" si="3"/>
        <v xml:space="preserve"> </v>
      </c>
      <c r="M76" s="1"/>
    </row>
    <row r="77" spans="1:13" x14ac:dyDescent="0.25">
      <c r="A77" s="33" t="str">
        <f t="shared" si="4"/>
        <v/>
      </c>
      <c r="B77" s="1"/>
      <c r="C77" s="2"/>
      <c r="D77" s="233"/>
      <c r="E77" s="2"/>
      <c r="F77" s="2"/>
      <c r="G77" s="2"/>
      <c r="H77" s="30"/>
      <c r="I77" s="1"/>
      <c r="J77" s="1"/>
      <c r="K77" s="1"/>
      <c r="L77" s="1" t="str">
        <f t="shared" si="3"/>
        <v xml:space="preserve"> </v>
      </c>
      <c r="M77" s="1"/>
    </row>
    <row r="78" spans="1:13" x14ac:dyDescent="0.25">
      <c r="A78" s="33" t="str">
        <f t="shared" si="4"/>
        <v/>
      </c>
      <c r="B78" s="1"/>
      <c r="C78" s="2"/>
      <c r="D78" s="233"/>
      <c r="E78" s="2"/>
      <c r="F78" s="2"/>
      <c r="G78" s="2"/>
      <c r="H78" s="30"/>
      <c r="I78" s="1"/>
      <c r="J78" s="1"/>
      <c r="K78" s="1"/>
      <c r="L78" s="1" t="str">
        <f t="shared" si="3"/>
        <v xml:space="preserve"> </v>
      </c>
      <c r="M78" s="1"/>
    </row>
    <row r="79" spans="1:13" x14ac:dyDescent="0.25">
      <c r="A79" s="33" t="str">
        <f t="shared" si="4"/>
        <v/>
      </c>
      <c r="B79" s="1"/>
      <c r="C79" s="2"/>
      <c r="D79" s="233"/>
      <c r="E79" s="2"/>
      <c r="F79" s="2"/>
      <c r="G79" s="2"/>
      <c r="H79" s="30"/>
      <c r="I79" s="1"/>
      <c r="J79" s="1"/>
      <c r="K79" s="1"/>
      <c r="L79" s="1" t="str">
        <f t="shared" si="3"/>
        <v xml:space="preserve"> </v>
      </c>
      <c r="M79" s="1"/>
    </row>
    <row r="80" spans="1:13" x14ac:dyDescent="0.25">
      <c r="A80" s="33" t="str">
        <f t="shared" si="4"/>
        <v/>
      </c>
      <c r="B80" s="1"/>
      <c r="C80" s="2"/>
      <c r="D80" s="233"/>
      <c r="E80" s="2"/>
      <c r="F80" s="2"/>
      <c r="G80" s="2"/>
      <c r="H80" s="30"/>
      <c r="I80" s="1"/>
      <c r="J80" s="1"/>
      <c r="K80" s="1"/>
      <c r="L80" s="1" t="str">
        <f t="shared" si="3"/>
        <v xml:space="preserve"> </v>
      </c>
      <c r="M80" s="1"/>
    </row>
    <row r="81" spans="1:13" x14ac:dyDescent="0.25">
      <c r="A81" s="33" t="str">
        <f t="shared" si="4"/>
        <v/>
      </c>
      <c r="B81" s="1"/>
      <c r="C81" s="2"/>
      <c r="D81" s="233"/>
      <c r="E81" s="2"/>
      <c r="F81" s="2"/>
      <c r="G81" s="2"/>
      <c r="H81" s="30"/>
      <c r="I81" s="1"/>
      <c r="J81" s="1"/>
      <c r="K81" s="1"/>
      <c r="L81" s="1" t="str">
        <f t="shared" si="3"/>
        <v xml:space="preserve"> </v>
      </c>
      <c r="M81" s="1"/>
    </row>
    <row r="82" spans="1:13" x14ac:dyDescent="0.25">
      <c r="A82" s="33" t="str">
        <f t="shared" si="4"/>
        <v/>
      </c>
      <c r="B82" s="1"/>
      <c r="C82" s="2"/>
      <c r="D82" s="233"/>
      <c r="E82" s="2"/>
      <c r="F82" s="2"/>
      <c r="G82" s="2"/>
      <c r="H82" s="30"/>
      <c r="I82" s="1"/>
      <c r="J82" s="1"/>
      <c r="K82" s="1"/>
      <c r="L82" s="1" t="str">
        <f t="shared" si="3"/>
        <v xml:space="preserve"> </v>
      </c>
      <c r="M82" s="1"/>
    </row>
    <row r="83" spans="1:13" x14ac:dyDescent="0.25">
      <c r="A83" s="33" t="str">
        <f t="shared" si="4"/>
        <v/>
      </c>
      <c r="B83" s="1"/>
      <c r="C83" s="2"/>
      <c r="D83" s="233"/>
      <c r="E83" s="2"/>
      <c r="F83" s="2"/>
      <c r="G83" s="2"/>
      <c r="H83" s="30"/>
      <c r="I83" s="1"/>
      <c r="J83" s="1"/>
      <c r="K83" s="1"/>
      <c r="L83" s="1" t="str">
        <f t="shared" si="3"/>
        <v xml:space="preserve"> </v>
      </c>
      <c r="M83" s="1"/>
    </row>
    <row r="84" spans="1:13" x14ac:dyDescent="0.25">
      <c r="A84" s="33" t="str">
        <f t="shared" si="4"/>
        <v/>
      </c>
      <c r="B84" s="1"/>
      <c r="C84" s="2"/>
      <c r="D84" s="233"/>
      <c r="E84" s="2"/>
      <c r="F84" s="2"/>
      <c r="G84" s="2"/>
      <c r="H84" s="30"/>
      <c r="I84" s="1"/>
      <c r="J84" s="1"/>
      <c r="K84" s="1"/>
      <c r="L84" s="1" t="str">
        <f t="shared" si="3"/>
        <v xml:space="preserve"> </v>
      </c>
      <c r="M84" s="1"/>
    </row>
    <row r="85" spans="1:13" x14ac:dyDescent="0.25">
      <c r="A85" s="33" t="str">
        <f t="shared" si="4"/>
        <v/>
      </c>
      <c r="B85" s="1"/>
      <c r="C85" s="2"/>
      <c r="D85" s="233"/>
      <c r="E85" s="2"/>
      <c r="F85" s="2"/>
      <c r="G85" s="2"/>
      <c r="H85" s="30"/>
      <c r="I85" s="1"/>
      <c r="J85" s="1"/>
      <c r="K85" s="1"/>
      <c r="L85" s="1" t="str">
        <f t="shared" si="3"/>
        <v xml:space="preserve"> </v>
      </c>
      <c r="M85" s="1"/>
    </row>
    <row r="86" spans="1:13" x14ac:dyDescent="0.25">
      <c r="A86" s="33" t="str">
        <f t="shared" si="4"/>
        <v/>
      </c>
      <c r="B86" s="1"/>
      <c r="C86" s="2"/>
      <c r="D86" s="233"/>
      <c r="E86" s="2"/>
      <c r="F86" s="2"/>
      <c r="G86" s="2"/>
      <c r="H86" s="30"/>
      <c r="I86" s="1"/>
      <c r="J86" s="1"/>
      <c r="K86" s="1"/>
      <c r="L86" s="1" t="str">
        <f t="shared" si="3"/>
        <v xml:space="preserve"> </v>
      </c>
      <c r="M86" s="1"/>
    </row>
    <row r="87" spans="1:13" x14ac:dyDescent="0.25">
      <c r="A87" s="33" t="str">
        <f t="shared" si="4"/>
        <v/>
      </c>
      <c r="B87" s="1"/>
      <c r="C87" s="2"/>
      <c r="D87" s="233"/>
      <c r="E87" s="2"/>
      <c r="F87" s="2"/>
      <c r="G87" s="2"/>
      <c r="H87" s="30"/>
      <c r="I87" s="1"/>
      <c r="J87" s="1"/>
      <c r="K87" s="1"/>
      <c r="L87" s="1" t="str">
        <f t="shared" si="3"/>
        <v xml:space="preserve"> </v>
      </c>
      <c r="M87" s="1"/>
    </row>
    <row r="88" spans="1:13" x14ac:dyDescent="0.25">
      <c r="A88" s="33" t="str">
        <f t="shared" si="4"/>
        <v/>
      </c>
      <c r="B88" s="1"/>
      <c r="C88" s="2"/>
      <c r="D88" s="233"/>
      <c r="E88" s="2"/>
      <c r="F88" s="2"/>
      <c r="G88" s="2"/>
      <c r="H88" s="30"/>
      <c r="I88" s="1"/>
      <c r="J88" s="1"/>
      <c r="K88" s="1"/>
      <c r="L88" s="1" t="str">
        <f t="shared" si="3"/>
        <v xml:space="preserve"> </v>
      </c>
      <c r="M88" s="1"/>
    </row>
    <row r="89" spans="1:13" x14ac:dyDescent="0.25">
      <c r="A89" s="33" t="str">
        <f t="shared" si="4"/>
        <v/>
      </c>
      <c r="B89" s="1"/>
      <c r="C89" s="2"/>
      <c r="D89" s="233"/>
      <c r="E89" s="2"/>
      <c r="F89" s="2"/>
      <c r="G89" s="2"/>
      <c r="H89" s="30"/>
      <c r="I89" s="1"/>
      <c r="J89" s="1"/>
      <c r="K89" s="1"/>
      <c r="L89" s="1" t="str">
        <f t="shared" si="3"/>
        <v xml:space="preserve"> </v>
      </c>
      <c r="M89" s="1"/>
    </row>
    <row r="90" spans="1:13" x14ac:dyDescent="0.25">
      <c r="A90" s="33" t="str">
        <f t="shared" si="4"/>
        <v/>
      </c>
      <c r="B90" s="1"/>
      <c r="C90" s="2"/>
      <c r="D90" s="233"/>
      <c r="E90" s="2"/>
      <c r="F90" s="2"/>
      <c r="G90" s="2"/>
      <c r="H90" s="30"/>
      <c r="I90" s="1"/>
      <c r="J90" s="1"/>
      <c r="K90" s="1"/>
      <c r="L90" s="1" t="str">
        <f t="shared" si="3"/>
        <v xml:space="preserve"> </v>
      </c>
      <c r="M90" s="1"/>
    </row>
    <row r="91" spans="1:13" x14ac:dyDescent="0.25">
      <c r="A91" s="33" t="str">
        <f t="shared" si="4"/>
        <v/>
      </c>
      <c r="B91" s="1"/>
      <c r="C91" s="2"/>
      <c r="D91" s="233"/>
      <c r="E91" s="2"/>
      <c r="F91" s="2"/>
      <c r="G91" s="2"/>
      <c r="H91" s="30"/>
      <c r="I91" s="1"/>
      <c r="J91" s="1"/>
      <c r="K91" s="1"/>
      <c r="L91" s="1" t="str">
        <f t="shared" si="3"/>
        <v xml:space="preserve"> </v>
      </c>
      <c r="M91" s="1"/>
    </row>
    <row r="92" spans="1:13" x14ac:dyDescent="0.25">
      <c r="A92" s="33" t="str">
        <f t="shared" si="4"/>
        <v/>
      </c>
      <c r="B92" s="1"/>
      <c r="C92" s="2"/>
      <c r="D92" s="233"/>
      <c r="E92" s="2"/>
      <c r="F92" s="2"/>
      <c r="G92" s="2"/>
      <c r="H92" s="30"/>
      <c r="I92" s="1"/>
      <c r="J92" s="1"/>
      <c r="K92" s="1"/>
      <c r="L92" s="1" t="str">
        <f t="shared" si="3"/>
        <v xml:space="preserve"> </v>
      </c>
      <c r="M92" s="1"/>
    </row>
    <row r="93" spans="1:13" x14ac:dyDescent="0.25">
      <c r="A93" s="33" t="str">
        <f t="shared" si="4"/>
        <v/>
      </c>
      <c r="B93" s="1"/>
      <c r="C93" s="2"/>
      <c r="D93" s="233"/>
      <c r="E93" s="2"/>
      <c r="F93" s="2"/>
      <c r="G93" s="2"/>
      <c r="H93" s="30"/>
      <c r="I93" s="1"/>
      <c r="J93" s="1"/>
      <c r="K93" s="1"/>
      <c r="L93" s="1" t="str">
        <f t="shared" si="3"/>
        <v xml:space="preserve"> </v>
      </c>
      <c r="M93" s="1"/>
    </row>
    <row r="94" spans="1:13" x14ac:dyDescent="0.25">
      <c r="A94" s="33" t="str">
        <f t="shared" si="4"/>
        <v/>
      </c>
      <c r="B94" s="1"/>
      <c r="C94" s="2"/>
      <c r="D94" s="233"/>
      <c r="E94" s="2"/>
      <c r="F94" s="2"/>
      <c r="G94" s="2"/>
      <c r="H94" s="30"/>
      <c r="I94" s="1"/>
      <c r="J94" s="1"/>
      <c r="K94" s="1"/>
      <c r="L94" s="1" t="str">
        <f t="shared" si="3"/>
        <v xml:space="preserve"> </v>
      </c>
      <c r="M94" s="1"/>
    </row>
    <row r="95" spans="1:13" x14ac:dyDescent="0.25">
      <c r="A95" s="33" t="str">
        <f t="shared" si="4"/>
        <v/>
      </c>
      <c r="B95" s="1"/>
      <c r="C95" s="2"/>
      <c r="D95" s="233"/>
      <c r="E95" s="2"/>
      <c r="F95" s="2"/>
      <c r="G95" s="2"/>
      <c r="H95" s="30"/>
      <c r="I95" s="1"/>
      <c r="J95" s="1"/>
      <c r="K95" s="1"/>
      <c r="L95" s="1" t="str">
        <f t="shared" si="3"/>
        <v xml:space="preserve"> </v>
      </c>
      <c r="M95" s="1"/>
    </row>
    <row r="96" spans="1:13" x14ac:dyDescent="0.25">
      <c r="A96" s="33" t="str">
        <f t="shared" si="4"/>
        <v/>
      </c>
      <c r="B96" s="1"/>
      <c r="C96" s="2"/>
      <c r="D96" s="233"/>
      <c r="E96" s="2"/>
      <c r="F96" s="2"/>
      <c r="G96" s="2"/>
      <c r="H96" s="30"/>
      <c r="I96" s="1"/>
      <c r="J96" s="1"/>
      <c r="K96" s="1"/>
      <c r="L96" s="1" t="str">
        <f t="shared" si="3"/>
        <v xml:space="preserve"> </v>
      </c>
      <c r="M96" s="1"/>
    </row>
    <row r="97" spans="1:13" x14ac:dyDescent="0.25">
      <c r="A97" s="33" t="str">
        <f t="shared" si="4"/>
        <v/>
      </c>
      <c r="B97" s="1"/>
      <c r="C97" s="2"/>
      <c r="D97" s="233"/>
      <c r="E97" s="2"/>
      <c r="F97" s="2"/>
      <c r="G97" s="2"/>
      <c r="H97" s="30"/>
      <c r="I97" s="1"/>
      <c r="J97" s="1"/>
      <c r="K97" s="1"/>
      <c r="L97" s="1" t="str">
        <f t="shared" si="3"/>
        <v xml:space="preserve"> </v>
      </c>
      <c r="M97" s="1"/>
    </row>
    <row r="98" spans="1:13" x14ac:dyDescent="0.25">
      <c r="A98" s="33" t="str">
        <f t="shared" si="4"/>
        <v/>
      </c>
      <c r="B98" s="1"/>
      <c r="C98" s="2"/>
      <c r="D98" s="233"/>
      <c r="E98" s="2"/>
      <c r="F98" s="2"/>
      <c r="G98" s="2"/>
      <c r="H98" s="30"/>
      <c r="I98" s="1"/>
      <c r="J98" s="1"/>
      <c r="K98" s="1"/>
      <c r="L98" s="1" t="str">
        <f t="shared" si="3"/>
        <v xml:space="preserve"> </v>
      </c>
      <c r="M98" s="1"/>
    </row>
    <row r="99" spans="1:13" x14ac:dyDescent="0.25">
      <c r="A99" s="33" t="str">
        <f t="shared" si="4"/>
        <v/>
      </c>
      <c r="B99" s="1"/>
      <c r="C99" s="2"/>
      <c r="D99" s="233"/>
      <c r="E99" s="2"/>
      <c r="F99" s="2"/>
      <c r="G99" s="2"/>
      <c r="H99" s="30"/>
      <c r="I99" s="1"/>
      <c r="J99" s="1"/>
      <c r="K99" s="1"/>
      <c r="L99" s="1" t="str">
        <f t="shared" si="3"/>
        <v xml:space="preserve"> </v>
      </c>
      <c r="M99" s="1"/>
    </row>
    <row r="100" spans="1:13" x14ac:dyDescent="0.25">
      <c r="A100" s="33" t="str">
        <f t="shared" si="4"/>
        <v/>
      </c>
      <c r="B100" s="1"/>
      <c r="C100" s="2"/>
      <c r="D100" s="233"/>
      <c r="E100" s="2"/>
      <c r="F100" s="2"/>
      <c r="G100" s="2"/>
      <c r="H100" s="30"/>
      <c r="I100" s="1"/>
      <c r="J100" s="1"/>
      <c r="K100" s="1"/>
      <c r="L100" s="1" t="str">
        <f t="shared" si="3"/>
        <v xml:space="preserve"> </v>
      </c>
      <c r="M100" s="1"/>
    </row>
    <row r="101" spans="1:13" x14ac:dyDescent="0.25">
      <c r="A101" s="33" t="str">
        <f t="shared" si="4"/>
        <v/>
      </c>
      <c r="B101" s="1"/>
      <c r="C101" s="2"/>
      <c r="D101" s="233"/>
      <c r="E101" s="2"/>
      <c r="F101" s="2"/>
      <c r="G101" s="2"/>
      <c r="H101" s="30"/>
      <c r="I101" s="1"/>
      <c r="J101" s="1"/>
      <c r="K101" s="1"/>
      <c r="L101" s="1" t="str">
        <f t="shared" si="3"/>
        <v xml:space="preserve"> </v>
      </c>
      <c r="M101" s="1"/>
    </row>
    <row r="102" spans="1:13" x14ac:dyDescent="0.25">
      <c r="A102" s="33" t="str">
        <f t="shared" si="4"/>
        <v/>
      </c>
      <c r="B102" s="1"/>
      <c r="C102" s="2"/>
      <c r="D102" s="233"/>
      <c r="E102" s="2"/>
      <c r="F102" s="2"/>
      <c r="G102" s="2"/>
      <c r="H102" s="30"/>
      <c r="I102" s="1"/>
      <c r="J102" s="1"/>
      <c r="K102" s="1"/>
      <c r="L102" s="1" t="str">
        <f t="shared" si="3"/>
        <v xml:space="preserve"> </v>
      </c>
      <c r="M102" s="1"/>
    </row>
    <row r="103" spans="1:13" x14ac:dyDescent="0.25">
      <c r="A103" s="33" t="str">
        <f t="shared" si="4"/>
        <v/>
      </c>
      <c r="B103" s="1"/>
      <c r="C103" s="2"/>
      <c r="D103" s="233"/>
      <c r="E103" s="2"/>
      <c r="F103" s="2"/>
      <c r="G103" s="2"/>
      <c r="H103" s="30"/>
      <c r="I103" s="1"/>
      <c r="J103" s="1"/>
      <c r="K103" s="1"/>
      <c r="L103" s="1" t="str">
        <f t="shared" si="3"/>
        <v xml:space="preserve"> </v>
      </c>
      <c r="M103" s="1"/>
    </row>
    <row r="104" spans="1:13" x14ac:dyDescent="0.25">
      <c r="A104" s="33" t="str">
        <f t="shared" si="4"/>
        <v/>
      </c>
      <c r="B104" s="1"/>
      <c r="C104" s="2"/>
      <c r="D104" s="233"/>
      <c r="E104" s="2"/>
      <c r="F104" s="2"/>
      <c r="G104" s="2"/>
      <c r="H104" s="30"/>
      <c r="I104" s="1"/>
      <c r="J104" s="1"/>
      <c r="K104" s="1"/>
      <c r="L104" s="1" t="str">
        <f t="shared" si="3"/>
        <v xml:space="preserve"> </v>
      </c>
      <c r="M104" s="1"/>
    </row>
    <row r="105" spans="1:13" x14ac:dyDescent="0.25">
      <c r="A105" s="33" t="str">
        <f t="shared" si="4"/>
        <v/>
      </c>
      <c r="B105" s="1"/>
      <c r="C105" s="2"/>
      <c r="D105" s="233"/>
      <c r="E105" s="2"/>
      <c r="F105" s="2"/>
      <c r="G105" s="2"/>
      <c r="H105" s="30"/>
      <c r="I105" s="1"/>
      <c r="J105" s="1"/>
      <c r="K105" s="1"/>
      <c r="L105" s="1" t="str">
        <f t="shared" ref="L105:L168" si="5">CONCATENATE(J105," ",I105)</f>
        <v xml:space="preserve"> </v>
      </c>
      <c r="M105" s="1"/>
    </row>
    <row r="106" spans="1:13" x14ac:dyDescent="0.25">
      <c r="A106" s="33" t="str">
        <f t="shared" si="4"/>
        <v/>
      </c>
      <c r="B106" s="1"/>
      <c r="C106" s="2"/>
      <c r="D106" s="233"/>
      <c r="E106" s="2"/>
      <c r="F106" s="2"/>
      <c r="G106" s="2"/>
      <c r="H106" s="30"/>
      <c r="I106" s="1"/>
      <c r="J106" s="1"/>
      <c r="K106" s="1"/>
      <c r="L106" s="1" t="str">
        <f t="shared" si="5"/>
        <v xml:space="preserve"> </v>
      </c>
      <c r="M106" s="1"/>
    </row>
    <row r="107" spans="1:13" x14ac:dyDescent="0.25">
      <c r="A107" s="33" t="str">
        <f t="shared" si="4"/>
        <v/>
      </c>
      <c r="B107" s="1"/>
      <c r="C107" s="2"/>
      <c r="D107" s="233"/>
      <c r="E107" s="2"/>
      <c r="F107" s="2"/>
      <c r="G107" s="2"/>
      <c r="H107" s="30"/>
      <c r="I107" s="1"/>
      <c r="J107" s="1"/>
      <c r="K107" s="1"/>
      <c r="L107" s="1" t="str">
        <f t="shared" si="5"/>
        <v xml:space="preserve"> </v>
      </c>
      <c r="M107" s="1"/>
    </row>
    <row r="108" spans="1:13" x14ac:dyDescent="0.25">
      <c r="A108" s="33" t="str">
        <f t="shared" si="4"/>
        <v/>
      </c>
      <c r="B108" s="1"/>
      <c r="C108" s="2"/>
      <c r="D108" s="233"/>
      <c r="E108" s="2"/>
      <c r="F108" s="2"/>
      <c r="G108" s="2"/>
      <c r="H108" s="30"/>
      <c r="I108" s="1"/>
      <c r="J108" s="1"/>
      <c r="K108" s="1"/>
      <c r="L108" s="1" t="str">
        <f t="shared" si="5"/>
        <v xml:space="preserve"> </v>
      </c>
      <c r="M108" s="1"/>
    </row>
    <row r="109" spans="1:13" x14ac:dyDescent="0.25">
      <c r="A109" s="33" t="str">
        <f t="shared" si="4"/>
        <v/>
      </c>
      <c r="B109" s="1"/>
      <c r="C109" s="2"/>
      <c r="D109" s="233"/>
      <c r="E109" s="2"/>
      <c r="F109" s="2"/>
      <c r="G109" s="2"/>
      <c r="H109" s="30"/>
      <c r="I109" s="1"/>
      <c r="J109" s="1"/>
      <c r="K109" s="1"/>
      <c r="L109" s="1" t="str">
        <f t="shared" si="5"/>
        <v xml:space="preserve"> </v>
      </c>
      <c r="M109" s="1"/>
    </row>
    <row r="110" spans="1:13" x14ac:dyDescent="0.25">
      <c r="A110" s="33" t="str">
        <f t="shared" si="4"/>
        <v/>
      </c>
      <c r="B110" s="1"/>
      <c r="C110" s="2"/>
      <c r="D110" s="233"/>
      <c r="E110" s="2"/>
      <c r="F110" s="2"/>
      <c r="G110" s="2"/>
      <c r="H110" s="30"/>
      <c r="I110" s="1"/>
      <c r="J110" s="1"/>
      <c r="K110" s="1"/>
      <c r="L110" s="1" t="str">
        <f t="shared" si="5"/>
        <v xml:space="preserve"> </v>
      </c>
      <c r="M110" s="1"/>
    </row>
    <row r="111" spans="1:13" x14ac:dyDescent="0.25">
      <c r="A111" s="33" t="str">
        <f t="shared" si="4"/>
        <v/>
      </c>
      <c r="B111" s="1"/>
      <c r="C111" s="2"/>
      <c r="D111" s="233"/>
      <c r="E111" s="2"/>
      <c r="F111" s="2"/>
      <c r="G111" s="2"/>
      <c r="H111" s="30"/>
      <c r="I111" s="1"/>
      <c r="J111" s="1"/>
      <c r="K111" s="1"/>
      <c r="L111" s="1" t="str">
        <f t="shared" si="5"/>
        <v xml:space="preserve"> </v>
      </c>
      <c r="M111" s="1"/>
    </row>
    <row r="112" spans="1:13" x14ac:dyDescent="0.25">
      <c r="A112" s="33" t="str">
        <f t="shared" si="4"/>
        <v/>
      </c>
      <c r="B112" s="1"/>
      <c r="C112" s="2"/>
      <c r="D112" s="233"/>
      <c r="E112" s="2"/>
      <c r="F112" s="2"/>
      <c r="G112" s="2"/>
      <c r="H112" s="30"/>
      <c r="I112" s="1"/>
      <c r="J112" s="1"/>
      <c r="K112" s="1"/>
      <c r="L112" s="1" t="str">
        <f t="shared" si="5"/>
        <v xml:space="preserve"> </v>
      </c>
      <c r="M112" s="1"/>
    </row>
    <row r="113" spans="1:13" x14ac:dyDescent="0.25">
      <c r="A113" s="33" t="str">
        <f t="shared" si="4"/>
        <v/>
      </c>
      <c r="B113" s="1"/>
      <c r="C113" s="2"/>
      <c r="D113" s="233"/>
      <c r="E113" s="2"/>
      <c r="F113" s="2"/>
      <c r="G113" s="2"/>
      <c r="H113" s="30"/>
      <c r="I113" s="1"/>
      <c r="J113" s="1"/>
      <c r="K113" s="1"/>
      <c r="L113" s="1" t="str">
        <f t="shared" si="5"/>
        <v xml:space="preserve"> </v>
      </c>
      <c r="M113" s="1"/>
    </row>
    <row r="114" spans="1:13" x14ac:dyDescent="0.25">
      <c r="A114" s="33" t="str">
        <f t="shared" si="4"/>
        <v/>
      </c>
      <c r="B114" s="1"/>
      <c r="C114" s="2"/>
      <c r="D114" s="233"/>
      <c r="E114" s="2"/>
      <c r="F114" s="2"/>
      <c r="G114" s="2"/>
      <c r="H114" s="30"/>
      <c r="I114" s="1"/>
      <c r="J114" s="1"/>
      <c r="K114" s="1"/>
      <c r="L114" s="1" t="str">
        <f t="shared" si="5"/>
        <v xml:space="preserve"> </v>
      </c>
      <c r="M114" s="1"/>
    </row>
    <row r="115" spans="1:13" x14ac:dyDescent="0.25">
      <c r="A115" s="33" t="str">
        <f t="shared" ref="A115:A178" si="6">CONCATENATE(B115,C115,E115)</f>
        <v/>
      </c>
      <c r="B115" s="1"/>
      <c r="C115" s="2"/>
      <c r="D115" s="233"/>
      <c r="E115" s="2"/>
      <c r="F115" s="2"/>
      <c r="G115" s="2"/>
      <c r="H115" s="30"/>
      <c r="I115" s="1"/>
      <c r="J115" s="1"/>
      <c r="K115" s="1"/>
      <c r="L115" s="1" t="str">
        <f t="shared" si="5"/>
        <v xml:space="preserve"> </v>
      </c>
      <c r="M115" s="1"/>
    </row>
    <row r="116" spans="1:13" x14ac:dyDescent="0.25">
      <c r="A116" s="33" t="str">
        <f t="shared" si="6"/>
        <v/>
      </c>
      <c r="B116" s="1"/>
      <c r="C116" s="2"/>
      <c r="D116" s="233"/>
      <c r="E116" s="2"/>
      <c r="F116" s="2"/>
      <c r="G116" s="2"/>
      <c r="H116" s="30"/>
      <c r="I116" s="1"/>
      <c r="J116" s="1"/>
      <c r="K116" s="1"/>
      <c r="L116" s="1" t="str">
        <f t="shared" si="5"/>
        <v xml:space="preserve"> </v>
      </c>
      <c r="M116" s="1"/>
    </row>
    <row r="117" spans="1:13" x14ac:dyDescent="0.25">
      <c r="A117" s="33" t="str">
        <f t="shared" si="6"/>
        <v/>
      </c>
      <c r="B117" s="1"/>
      <c r="C117" s="2"/>
      <c r="D117" s="233"/>
      <c r="E117" s="2"/>
      <c r="F117" s="2"/>
      <c r="G117" s="2"/>
      <c r="H117" s="30"/>
      <c r="I117" s="1"/>
      <c r="J117" s="1"/>
      <c r="K117" s="1"/>
      <c r="L117" s="1" t="str">
        <f t="shared" si="5"/>
        <v xml:space="preserve"> </v>
      </c>
      <c r="M117" s="1"/>
    </row>
    <row r="118" spans="1:13" x14ac:dyDescent="0.25">
      <c r="A118" s="33" t="str">
        <f t="shared" si="6"/>
        <v/>
      </c>
      <c r="B118" s="1"/>
      <c r="C118" s="2"/>
      <c r="D118" s="233"/>
      <c r="E118" s="2"/>
      <c r="F118" s="2"/>
      <c r="G118" s="2"/>
      <c r="H118" s="30"/>
      <c r="I118" s="1"/>
      <c r="J118" s="1"/>
      <c r="K118" s="1"/>
      <c r="L118" s="1" t="str">
        <f t="shared" si="5"/>
        <v xml:space="preserve"> </v>
      </c>
      <c r="M118" s="1"/>
    </row>
    <row r="119" spans="1:13" x14ac:dyDescent="0.25">
      <c r="A119" s="33" t="str">
        <f t="shared" si="6"/>
        <v/>
      </c>
      <c r="B119" s="1"/>
      <c r="C119" s="2"/>
      <c r="D119" s="233"/>
      <c r="E119" s="2"/>
      <c r="F119" s="2"/>
      <c r="G119" s="2"/>
      <c r="H119" s="30"/>
      <c r="I119" s="1"/>
      <c r="J119" s="1"/>
      <c r="K119" s="1"/>
      <c r="L119" s="1" t="str">
        <f t="shared" si="5"/>
        <v xml:space="preserve"> </v>
      </c>
      <c r="M119" s="1"/>
    </row>
    <row r="120" spans="1:13" x14ac:dyDescent="0.25">
      <c r="A120" s="33" t="str">
        <f t="shared" si="6"/>
        <v/>
      </c>
      <c r="B120" s="1"/>
      <c r="C120" s="2"/>
      <c r="D120" s="233"/>
      <c r="E120" s="2"/>
      <c r="F120" s="2"/>
      <c r="G120" s="2"/>
      <c r="H120" s="30"/>
      <c r="I120" s="1"/>
      <c r="J120" s="1"/>
      <c r="K120" s="1"/>
      <c r="L120" s="1" t="str">
        <f t="shared" si="5"/>
        <v xml:space="preserve"> </v>
      </c>
      <c r="M120" s="1"/>
    </row>
    <row r="121" spans="1:13" x14ac:dyDescent="0.25">
      <c r="A121" s="33" t="str">
        <f t="shared" si="6"/>
        <v/>
      </c>
      <c r="B121" s="1"/>
      <c r="C121" s="2"/>
      <c r="D121" s="233"/>
      <c r="E121" s="2"/>
      <c r="F121" s="2"/>
      <c r="G121" s="2"/>
      <c r="H121" s="30"/>
      <c r="I121" s="1"/>
      <c r="J121" s="1"/>
      <c r="K121" s="1"/>
      <c r="L121" s="1" t="str">
        <f t="shared" si="5"/>
        <v xml:space="preserve"> </v>
      </c>
      <c r="M121" s="1"/>
    </row>
    <row r="122" spans="1:13" x14ac:dyDescent="0.25">
      <c r="A122" s="33" t="str">
        <f t="shared" si="6"/>
        <v/>
      </c>
      <c r="B122" s="1"/>
      <c r="C122" s="2"/>
      <c r="D122" s="233"/>
      <c r="E122" s="2"/>
      <c r="F122" s="2"/>
      <c r="G122" s="2"/>
      <c r="H122" s="30"/>
      <c r="I122" s="1"/>
      <c r="J122" s="1"/>
      <c r="K122" s="1"/>
      <c r="L122" s="1" t="str">
        <f t="shared" si="5"/>
        <v xml:space="preserve"> </v>
      </c>
      <c r="M122" s="1"/>
    </row>
    <row r="123" spans="1:13" x14ac:dyDescent="0.25">
      <c r="A123" s="33" t="str">
        <f t="shared" si="6"/>
        <v/>
      </c>
      <c r="B123" s="1"/>
      <c r="C123" s="2"/>
      <c r="D123" s="233"/>
      <c r="E123" s="2"/>
      <c r="F123" s="2"/>
      <c r="G123" s="2"/>
      <c r="H123" s="30"/>
      <c r="I123" s="1"/>
      <c r="J123" s="1"/>
      <c r="K123" s="1"/>
      <c r="L123" s="1" t="str">
        <f t="shared" si="5"/>
        <v xml:space="preserve"> </v>
      </c>
      <c r="M123" s="1"/>
    </row>
    <row r="124" spans="1:13" x14ac:dyDescent="0.25">
      <c r="A124" s="33" t="str">
        <f t="shared" si="6"/>
        <v/>
      </c>
      <c r="B124" s="1"/>
      <c r="C124" s="2"/>
      <c r="D124" s="233"/>
      <c r="E124" s="2"/>
      <c r="F124" s="2"/>
      <c r="G124" s="2"/>
      <c r="H124" s="30"/>
      <c r="I124" s="1"/>
      <c r="J124" s="1"/>
      <c r="K124" s="1"/>
      <c r="L124" s="1" t="str">
        <f t="shared" si="5"/>
        <v xml:space="preserve"> </v>
      </c>
      <c r="M124" s="1"/>
    </row>
    <row r="125" spans="1:13" x14ac:dyDescent="0.25">
      <c r="A125" s="33" t="str">
        <f t="shared" si="6"/>
        <v/>
      </c>
      <c r="B125" s="1"/>
      <c r="C125" s="2"/>
      <c r="D125" s="233"/>
      <c r="E125" s="2"/>
      <c r="F125" s="2"/>
      <c r="G125" s="2"/>
      <c r="H125" s="30"/>
      <c r="I125" s="1"/>
      <c r="J125" s="1"/>
      <c r="K125" s="1"/>
      <c r="L125" s="1" t="str">
        <f t="shared" si="5"/>
        <v xml:space="preserve"> </v>
      </c>
      <c r="M125" s="1"/>
    </row>
    <row r="126" spans="1:13" x14ac:dyDescent="0.25">
      <c r="A126" s="33" t="str">
        <f t="shared" si="6"/>
        <v/>
      </c>
      <c r="B126" s="1"/>
      <c r="C126" s="2"/>
      <c r="D126" s="233"/>
      <c r="E126" s="2"/>
      <c r="F126" s="2"/>
      <c r="G126" s="2"/>
      <c r="H126" s="30"/>
      <c r="I126" s="1"/>
      <c r="J126" s="1"/>
      <c r="K126" s="1"/>
      <c r="L126" s="1" t="str">
        <f t="shared" si="5"/>
        <v xml:space="preserve"> </v>
      </c>
      <c r="M126" s="1"/>
    </row>
    <row r="127" spans="1:13" x14ac:dyDescent="0.25">
      <c r="A127" s="33" t="str">
        <f t="shared" si="6"/>
        <v/>
      </c>
      <c r="B127" s="1"/>
      <c r="C127" s="2"/>
      <c r="D127" s="233"/>
      <c r="E127" s="2"/>
      <c r="F127" s="2"/>
      <c r="G127" s="2"/>
      <c r="H127" s="30"/>
      <c r="I127" s="1"/>
      <c r="J127" s="1"/>
      <c r="K127" s="1"/>
      <c r="L127" s="1" t="str">
        <f t="shared" si="5"/>
        <v xml:space="preserve"> </v>
      </c>
      <c r="M127" s="1"/>
    </row>
    <row r="128" spans="1:13" x14ac:dyDescent="0.25">
      <c r="A128" s="33" t="str">
        <f t="shared" si="6"/>
        <v/>
      </c>
      <c r="B128" s="1"/>
      <c r="C128" s="2"/>
      <c r="D128" s="233"/>
      <c r="E128" s="2"/>
      <c r="F128" s="2"/>
      <c r="G128" s="2"/>
      <c r="H128" s="30"/>
      <c r="I128" s="1"/>
      <c r="J128" s="1"/>
      <c r="K128" s="1"/>
      <c r="L128" s="1" t="str">
        <f t="shared" si="5"/>
        <v xml:space="preserve"> </v>
      </c>
      <c r="M128" s="1"/>
    </row>
    <row r="129" spans="1:13" x14ac:dyDescent="0.25">
      <c r="A129" s="33" t="str">
        <f t="shared" si="6"/>
        <v/>
      </c>
      <c r="B129" s="1"/>
      <c r="C129" s="2"/>
      <c r="D129" s="233"/>
      <c r="E129" s="2"/>
      <c r="F129" s="2"/>
      <c r="G129" s="2"/>
      <c r="H129" s="30"/>
      <c r="I129" s="1"/>
      <c r="J129" s="1"/>
      <c r="K129" s="1"/>
      <c r="L129" s="1" t="str">
        <f t="shared" si="5"/>
        <v xml:space="preserve"> </v>
      </c>
      <c r="M129" s="1"/>
    </row>
    <row r="130" spans="1:13" x14ac:dyDescent="0.25">
      <c r="A130" s="33" t="str">
        <f t="shared" si="6"/>
        <v/>
      </c>
      <c r="B130" s="1"/>
      <c r="C130" s="2"/>
      <c r="D130" s="233"/>
      <c r="E130" s="2"/>
      <c r="F130" s="2"/>
      <c r="G130" s="2"/>
      <c r="H130" s="30"/>
      <c r="I130" s="1"/>
      <c r="J130" s="1"/>
      <c r="K130" s="1"/>
      <c r="L130" s="1" t="str">
        <f t="shared" si="5"/>
        <v xml:space="preserve"> </v>
      </c>
      <c r="M130" s="1"/>
    </row>
    <row r="131" spans="1:13" x14ac:dyDescent="0.25">
      <c r="A131" s="33" t="str">
        <f t="shared" si="6"/>
        <v/>
      </c>
      <c r="B131" s="1"/>
      <c r="C131" s="2"/>
      <c r="D131" s="233"/>
      <c r="E131" s="2"/>
      <c r="F131" s="2"/>
      <c r="G131" s="2"/>
      <c r="H131" s="30"/>
      <c r="I131" s="1"/>
      <c r="J131" s="1"/>
      <c r="K131" s="1"/>
      <c r="L131" s="1" t="str">
        <f t="shared" si="5"/>
        <v xml:space="preserve"> </v>
      </c>
      <c r="M131" s="1"/>
    </row>
    <row r="132" spans="1:13" x14ac:dyDescent="0.25">
      <c r="A132" s="33" t="str">
        <f t="shared" si="6"/>
        <v/>
      </c>
      <c r="B132" s="1"/>
      <c r="C132" s="2"/>
      <c r="D132" s="233"/>
      <c r="E132" s="2"/>
      <c r="F132" s="2"/>
      <c r="G132" s="2"/>
      <c r="H132" s="30"/>
      <c r="I132" s="1"/>
      <c r="J132" s="1"/>
      <c r="K132" s="1"/>
      <c r="L132" s="1" t="str">
        <f t="shared" si="5"/>
        <v xml:space="preserve"> </v>
      </c>
      <c r="M132" s="1"/>
    </row>
    <row r="133" spans="1:13" x14ac:dyDescent="0.25">
      <c r="A133" s="33" t="str">
        <f t="shared" si="6"/>
        <v/>
      </c>
      <c r="B133" s="1"/>
      <c r="C133" s="2"/>
      <c r="D133" s="233"/>
      <c r="E133" s="2"/>
      <c r="F133" s="2"/>
      <c r="G133" s="2"/>
      <c r="H133" s="30"/>
      <c r="I133" s="1"/>
      <c r="J133" s="1"/>
      <c r="K133" s="1"/>
      <c r="L133" s="1" t="str">
        <f t="shared" si="5"/>
        <v xml:space="preserve"> </v>
      </c>
      <c r="M133" s="1"/>
    </row>
    <row r="134" spans="1:13" x14ac:dyDescent="0.25">
      <c r="A134" s="33" t="str">
        <f t="shared" si="6"/>
        <v/>
      </c>
      <c r="B134" s="1"/>
      <c r="C134" s="2"/>
      <c r="D134" s="233"/>
      <c r="E134" s="2"/>
      <c r="F134" s="2"/>
      <c r="G134" s="2"/>
      <c r="H134" s="30"/>
      <c r="I134" s="1"/>
      <c r="J134" s="1"/>
      <c r="K134" s="1"/>
      <c r="L134" s="1" t="str">
        <f t="shared" si="5"/>
        <v xml:space="preserve"> </v>
      </c>
      <c r="M134" s="1"/>
    </row>
    <row r="135" spans="1:13" x14ac:dyDescent="0.25">
      <c r="A135" s="33" t="str">
        <f t="shared" si="6"/>
        <v/>
      </c>
      <c r="B135" s="1"/>
      <c r="C135" s="2"/>
      <c r="D135" s="233"/>
      <c r="E135" s="2"/>
      <c r="F135" s="2"/>
      <c r="G135" s="2"/>
      <c r="H135" s="30"/>
      <c r="I135" s="1"/>
      <c r="J135" s="1"/>
      <c r="K135" s="1"/>
      <c r="L135" s="1" t="str">
        <f t="shared" si="5"/>
        <v xml:space="preserve"> </v>
      </c>
      <c r="M135" s="1"/>
    </row>
    <row r="136" spans="1:13" x14ac:dyDescent="0.25">
      <c r="A136" s="33" t="str">
        <f t="shared" si="6"/>
        <v/>
      </c>
      <c r="B136" s="1"/>
      <c r="C136" s="2"/>
      <c r="D136" s="233"/>
      <c r="E136" s="2"/>
      <c r="F136" s="2"/>
      <c r="G136" s="2"/>
      <c r="H136" s="30"/>
      <c r="I136" s="1"/>
      <c r="J136" s="1"/>
      <c r="K136" s="1"/>
      <c r="L136" s="1" t="str">
        <f t="shared" si="5"/>
        <v xml:space="preserve"> </v>
      </c>
      <c r="M136" s="1"/>
    </row>
    <row r="137" spans="1:13" x14ac:dyDescent="0.25">
      <c r="A137" s="33" t="str">
        <f t="shared" si="6"/>
        <v/>
      </c>
      <c r="B137" s="1"/>
      <c r="C137" s="2"/>
      <c r="D137" s="233"/>
      <c r="E137" s="2"/>
      <c r="F137" s="2"/>
      <c r="G137" s="2"/>
      <c r="H137" s="30"/>
      <c r="I137" s="1"/>
      <c r="J137" s="1"/>
      <c r="K137" s="1"/>
      <c r="L137" s="1" t="str">
        <f t="shared" si="5"/>
        <v xml:space="preserve"> </v>
      </c>
      <c r="M137" s="1"/>
    </row>
    <row r="138" spans="1:13" x14ac:dyDescent="0.25">
      <c r="A138" s="33" t="str">
        <f t="shared" si="6"/>
        <v/>
      </c>
      <c r="B138" s="1"/>
      <c r="C138" s="2"/>
      <c r="D138" s="233"/>
      <c r="E138" s="2"/>
      <c r="F138" s="2"/>
      <c r="G138" s="2"/>
      <c r="H138" s="30"/>
      <c r="I138" s="1"/>
      <c r="J138" s="1"/>
      <c r="K138" s="1"/>
      <c r="L138" s="1" t="str">
        <f t="shared" si="5"/>
        <v xml:space="preserve"> </v>
      </c>
      <c r="M138" s="1"/>
    </row>
    <row r="139" spans="1:13" x14ac:dyDescent="0.25">
      <c r="A139" s="33" t="str">
        <f t="shared" si="6"/>
        <v/>
      </c>
      <c r="B139" s="1"/>
      <c r="C139" s="2"/>
      <c r="D139" s="233"/>
      <c r="E139" s="2"/>
      <c r="F139" s="2"/>
      <c r="G139" s="2"/>
      <c r="H139" s="30"/>
      <c r="I139" s="1"/>
      <c r="J139" s="1"/>
      <c r="K139" s="1"/>
      <c r="L139" s="1" t="str">
        <f t="shared" si="5"/>
        <v xml:space="preserve"> </v>
      </c>
      <c r="M139" s="1"/>
    </row>
    <row r="140" spans="1:13" x14ac:dyDescent="0.25">
      <c r="A140" s="33" t="str">
        <f t="shared" si="6"/>
        <v/>
      </c>
      <c r="B140" s="1"/>
      <c r="C140" s="2"/>
      <c r="D140" s="233"/>
      <c r="E140" s="2"/>
      <c r="F140" s="2"/>
      <c r="G140" s="2"/>
      <c r="H140" s="30"/>
      <c r="I140" s="1"/>
      <c r="J140" s="1"/>
      <c r="K140" s="1"/>
      <c r="L140" s="1" t="str">
        <f t="shared" si="5"/>
        <v xml:space="preserve"> </v>
      </c>
      <c r="M140" s="1"/>
    </row>
    <row r="141" spans="1:13" x14ac:dyDescent="0.25">
      <c r="A141" s="33" t="str">
        <f t="shared" si="6"/>
        <v/>
      </c>
      <c r="B141" s="1"/>
      <c r="C141" s="2"/>
      <c r="D141" s="233"/>
      <c r="E141" s="2"/>
      <c r="F141" s="2"/>
      <c r="G141" s="2"/>
      <c r="H141" s="30"/>
      <c r="I141" s="1"/>
      <c r="J141" s="1"/>
      <c r="K141" s="1"/>
      <c r="L141" s="1" t="str">
        <f t="shared" si="5"/>
        <v xml:space="preserve"> </v>
      </c>
      <c r="M141" s="1"/>
    </row>
    <row r="142" spans="1:13" x14ac:dyDescent="0.25">
      <c r="A142" s="33" t="str">
        <f t="shared" si="6"/>
        <v/>
      </c>
      <c r="B142" s="1"/>
      <c r="C142" s="2"/>
      <c r="D142" s="233"/>
      <c r="E142" s="2"/>
      <c r="F142" s="2"/>
      <c r="G142" s="2"/>
      <c r="H142" s="30"/>
      <c r="I142" s="1"/>
      <c r="J142" s="1"/>
      <c r="K142" s="1"/>
      <c r="L142" s="1" t="str">
        <f t="shared" si="5"/>
        <v xml:space="preserve"> </v>
      </c>
      <c r="M142" s="1"/>
    </row>
    <row r="143" spans="1:13" x14ac:dyDescent="0.25">
      <c r="A143" s="33" t="str">
        <f t="shared" si="6"/>
        <v/>
      </c>
      <c r="B143" s="1"/>
      <c r="C143" s="2"/>
      <c r="D143" s="233"/>
      <c r="E143" s="2"/>
      <c r="F143" s="2"/>
      <c r="G143" s="2"/>
      <c r="H143" s="30"/>
      <c r="I143" s="1"/>
      <c r="J143" s="1"/>
      <c r="K143" s="1"/>
      <c r="L143" s="1" t="str">
        <f t="shared" si="5"/>
        <v xml:space="preserve"> </v>
      </c>
      <c r="M143" s="1"/>
    </row>
    <row r="144" spans="1:13" x14ac:dyDescent="0.25">
      <c r="A144" s="33" t="str">
        <f t="shared" si="6"/>
        <v/>
      </c>
      <c r="B144" s="1"/>
      <c r="C144" s="2"/>
      <c r="D144" s="233"/>
      <c r="E144" s="2"/>
      <c r="F144" s="2"/>
      <c r="G144" s="2"/>
      <c r="H144" s="30"/>
      <c r="I144" s="1"/>
      <c r="J144" s="1"/>
      <c r="K144" s="1"/>
      <c r="L144" s="1" t="str">
        <f t="shared" si="5"/>
        <v xml:space="preserve"> </v>
      </c>
      <c r="M144" s="1"/>
    </row>
    <row r="145" spans="1:13" x14ac:dyDescent="0.25">
      <c r="A145" s="33" t="str">
        <f t="shared" si="6"/>
        <v/>
      </c>
      <c r="B145" s="1"/>
      <c r="C145" s="2"/>
      <c r="D145" s="233"/>
      <c r="E145" s="2"/>
      <c r="F145" s="2"/>
      <c r="G145" s="2"/>
      <c r="H145" s="30"/>
      <c r="I145" s="1"/>
      <c r="J145" s="1"/>
      <c r="K145" s="1"/>
      <c r="L145" s="1" t="str">
        <f t="shared" si="5"/>
        <v xml:space="preserve"> </v>
      </c>
      <c r="M145" s="1"/>
    </row>
    <row r="146" spans="1:13" x14ac:dyDescent="0.25">
      <c r="A146" s="33" t="str">
        <f t="shared" si="6"/>
        <v/>
      </c>
      <c r="B146" s="1"/>
      <c r="C146" s="2"/>
      <c r="D146" s="233"/>
      <c r="E146" s="2"/>
      <c r="F146" s="2"/>
      <c r="G146" s="2"/>
      <c r="H146" s="30"/>
      <c r="I146" s="1"/>
      <c r="J146" s="1"/>
      <c r="K146" s="1"/>
      <c r="L146" s="1" t="str">
        <f t="shared" si="5"/>
        <v xml:space="preserve"> </v>
      </c>
      <c r="M146" s="1"/>
    </row>
    <row r="147" spans="1:13" x14ac:dyDescent="0.25">
      <c r="A147" s="33" t="str">
        <f t="shared" si="6"/>
        <v/>
      </c>
      <c r="B147" s="1"/>
      <c r="C147" s="2"/>
      <c r="D147" s="233"/>
      <c r="E147" s="2"/>
      <c r="F147" s="2"/>
      <c r="G147" s="2"/>
      <c r="H147" s="30"/>
      <c r="I147" s="1"/>
      <c r="J147" s="1"/>
      <c r="K147" s="1"/>
      <c r="L147" s="1" t="str">
        <f t="shared" si="5"/>
        <v xml:space="preserve"> </v>
      </c>
      <c r="M147" s="1"/>
    </row>
    <row r="148" spans="1:13" x14ac:dyDescent="0.25">
      <c r="A148" s="33" t="str">
        <f t="shared" si="6"/>
        <v/>
      </c>
      <c r="B148" s="1"/>
      <c r="C148" s="2"/>
      <c r="D148" s="233"/>
      <c r="E148" s="2"/>
      <c r="F148" s="2"/>
      <c r="G148" s="2"/>
      <c r="H148" s="30"/>
      <c r="I148" s="1"/>
      <c r="J148" s="1"/>
      <c r="K148" s="1"/>
      <c r="L148" s="1" t="str">
        <f t="shared" si="5"/>
        <v xml:space="preserve"> </v>
      </c>
      <c r="M148" s="1"/>
    </row>
    <row r="149" spans="1:13" x14ac:dyDescent="0.25">
      <c r="A149" s="33" t="str">
        <f t="shared" si="6"/>
        <v/>
      </c>
      <c r="B149" s="1"/>
      <c r="C149" s="2"/>
      <c r="D149" s="233"/>
      <c r="E149" s="2"/>
      <c r="F149" s="2"/>
      <c r="G149" s="2"/>
      <c r="H149" s="30"/>
      <c r="I149" s="1"/>
      <c r="J149" s="1"/>
      <c r="K149" s="1"/>
      <c r="L149" s="1" t="str">
        <f t="shared" si="5"/>
        <v xml:space="preserve"> </v>
      </c>
      <c r="M149" s="1"/>
    </row>
    <row r="150" spans="1:13" x14ac:dyDescent="0.25">
      <c r="A150" s="33" t="str">
        <f t="shared" si="6"/>
        <v/>
      </c>
      <c r="B150" s="1"/>
      <c r="C150" s="2"/>
      <c r="D150" s="233"/>
      <c r="E150" s="2"/>
      <c r="F150" s="2"/>
      <c r="G150" s="2"/>
      <c r="H150" s="30"/>
      <c r="I150" s="1"/>
      <c r="J150" s="1"/>
      <c r="K150" s="1"/>
      <c r="L150" s="1" t="str">
        <f t="shared" si="5"/>
        <v xml:space="preserve"> </v>
      </c>
      <c r="M150" s="1"/>
    </row>
    <row r="151" spans="1:13" x14ac:dyDescent="0.25">
      <c r="A151" s="33" t="str">
        <f t="shared" si="6"/>
        <v/>
      </c>
      <c r="B151" s="1"/>
      <c r="C151" s="2"/>
      <c r="D151" s="233"/>
      <c r="E151" s="2"/>
      <c r="F151" s="2"/>
      <c r="G151" s="2"/>
      <c r="H151" s="30"/>
      <c r="I151" s="1"/>
      <c r="J151" s="1"/>
      <c r="K151" s="1"/>
      <c r="L151" s="1" t="str">
        <f t="shared" si="5"/>
        <v xml:space="preserve"> </v>
      </c>
      <c r="M151" s="1"/>
    </row>
    <row r="152" spans="1:13" x14ac:dyDescent="0.25">
      <c r="A152" s="33" t="str">
        <f t="shared" si="6"/>
        <v/>
      </c>
      <c r="B152" s="1"/>
      <c r="C152" s="2"/>
      <c r="D152" s="233"/>
      <c r="E152" s="2"/>
      <c r="F152" s="2"/>
      <c r="G152" s="2"/>
      <c r="H152" s="30"/>
      <c r="I152" s="1"/>
      <c r="J152" s="1"/>
      <c r="K152" s="1"/>
      <c r="L152" s="1" t="str">
        <f t="shared" si="5"/>
        <v xml:space="preserve"> </v>
      </c>
      <c r="M152" s="1"/>
    </row>
    <row r="153" spans="1:13" x14ac:dyDescent="0.25">
      <c r="A153" s="33" t="str">
        <f t="shared" si="6"/>
        <v/>
      </c>
      <c r="B153" s="1"/>
      <c r="C153" s="2"/>
      <c r="D153" s="233"/>
      <c r="E153" s="2"/>
      <c r="F153" s="2"/>
      <c r="G153" s="2"/>
      <c r="H153" s="30"/>
      <c r="I153" s="1"/>
      <c r="J153" s="1"/>
      <c r="K153" s="1"/>
      <c r="L153" s="1" t="str">
        <f t="shared" si="5"/>
        <v xml:space="preserve"> </v>
      </c>
      <c r="M153" s="1"/>
    </row>
    <row r="154" spans="1:13" x14ac:dyDescent="0.25">
      <c r="A154" s="33" t="str">
        <f t="shared" si="6"/>
        <v/>
      </c>
      <c r="B154" s="1"/>
      <c r="C154" s="2"/>
      <c r="D154" s="233"/>
      <c r="E154" s="2"/>
      <c r="F154" s="2"/>
      <c r="G154" s="2"/>
      <c r="H154" s="30"/>
      <c r="I154" s="1"/>
      <c r="J154" s="1"/>
      <c r="K154" s="1"/>
      <c r="L154" s="1" t="str">
        <f t="shared" si="5"/>
        <v xml:space="preserve"> </v>
      </c>
      <c r="M154" s="1"/>
    </row>
    <row r="155" spans="1:13" x14ac:dyDescent="0.25">
      <c r="A155" s="33" t="str">
        <f t="shared" si="6"/>
        <v/>
      </c>
      <c r="B155" s="1"/>
      <c r="C155" s="2"/>
      <c r="D155" s="233"/>
      <c r="E155" s="2"/>
      <c r="F155" s="2"/>
      <c r="G155" s="2"/>
      <c r="H155" s="30"/>
      <c r="I155" s="1"/>
      <c r="J155" s="1"/>
      <c r="K155" s="1"/>
      <c r="L155" s="1" t="str">
        <f t="shared" si="5"/>
        <v xml:space="preserve"> </v>
      </c>
      <c r="M155" s="1"/>
    </row>
    <row r="156" spans="1:13" x14ac:dyDescent="0.25">
      <c r="A156" s="33" t="str">
        <f t="shared" si="6"/>
        <v/>
      </c>
      <c r="B156" s="1"/>
      <c r="C156" s="2"/>
      <c r="D156" s="233"/>
      <c r="E156" s="2"/>
      <c r="F156" s="2"/>
      <c r="G156" s="2"/>
      <c r="H156" s="30"/>
      <c r="I156" s="1"/>
      <c r="J156" s="1"/>
      <c r="K156" s="1"/>
      <c r="L156" s="1" t="str">
        <f t="shared" si="5"/>
        <v xml:space="preserve"> </v>
      </c>
      <c r="M156" s="1"/>
    </row>
    <row r="157" spans="1:13" x14ac:dyDescent="0.25">
      <c r="A157" s="33" t="str">
        <f t="shared" si="6"/>
        <v/>
      </c>
      <c r="B157" s="1"/>
      <c r="C157" s="2"/>
      <c r="D157" s="233"/>
      <c r="E157" s="2"/>
      <c r="F157" s="2"/>
      <c r="G157" s="2"/>
      <c r="H157" s="30"/>
      <c r="I157" s="1"/>
      <c r="J157" s="1"/>
      <c r="K157" s="1"/>
      <c r="L157" s="1" t="str">
        <f t="shared" si="5"/>
        <v xml:space="preserve"> </v>
      </c>
      <c r="M157" s="1"/>
    </row>
    <row r="158" spans="1:13" x14ac:dyDescent="0.25">
      <c r="A158" s="33" t="str">
        <f t="shared" si="6"/>
        <v/>
      </c>
      <c r="B158" s="1"/>
      <c r="C158" s="2"/>
      <c r="D158" s="233"/>
      <c r="E158" s="2"/>
      <c r="F158" s="2"/>
      <c r="G158" s="2"/>
      <c r="H158" s="30"/>
      <c r="I158" s="1"/>
      <c r="J158" s="1"/>
      <c r="K158" s="1"/>
      <c r="L158" s="1" t="str">
        <f t="shared" si="5"/>
        <v xml:space="preserve"> </v>
      </c>
      <c r="M158" s="1"/>
    </row>
    <row r="159" spans="1:13" x14ac:dyDescent="0.25">
      <c r="A159" s="33" t="str">
        <f t="shared" si="6"/>
        <v/>
      </c>
      <c r="B159" s="1"/>
      <c r="C159" s="2"/>
      <c r="D159" s="233"/>
      <c r="E159" s="2"/>
      <c r="F159" s="2"/>
      <c r="G159" s="2"/>
      <c r="H159" s="30"/>
      <c r="I159" s="1"/>
      <c r="J159" s="1"/>
      <c r="K159" s="1"/>
      <c r="L159" s="1" t="str">
        <f t="shared" si="5"/>
        <v xml:space="preserve"> </v>
      </c>
      <c r="M159" s="1"/>
    </row>
    <row r="160" spans="1:13" x14ac:dyDescent="0.25">
      <c r="A160" s="33" t="str">
        <f t="shared" si="6"/>
        <v/>
      </c>
      <c r="B160" s="1"/>
      <c r="C160" s="2"/>
      <c r="D160" s="233"/>
      <c r="E160" s="2"/>
      <c r="F160" s="2"/>
      <c r="G160" s="2"/>
      <c r="H160" s="30">
        <f t="shared" ref="H160:H178" si="7">IFERROR(IF(F160&gt;G160,((G160+B160+1)-(F160+B160))*24,HOUR(G160-F160)+MINUTE(G160-F160)/60),"")</f>
        <v>0</v>
      </c>
      <c r="I160" s="1"/>
      <c r="J160" s="1"/>
      <c r="K160" s="1"/>
      <c r="L160" s="1" t="str">
        <f t="shared" si="5"/>
        <v xml:space="preserve"> </v>
      </c>
      <c r="M160" s="1"/>
    </row>
    <row r="161" spans="1:13" x14ac:dyDescent="0.25">
      <c r="A161" s="33" t="str">
        <f t="shared" si="6"/>
        <v/>
      </c>
      <c r="B161" s="1"/>
      <c r="C161" s="2"/>
      <c r="D161" s="233"/>
      <c r="E161" s="2"/>
      <c r="F161" s="2"/>
      <c r="G161" s="2"/>
      <c r="H161" s="30">
        <f t="shared" si="7"/>
        <v>0</v>
      </c>
      <c r="I161" s="1"/>
      <c r="J161" s="1"/>
      <c r="K161" s="1"/>
      <c r="L161" s="1" t="str">
        <f t="shared" si="5"/>
        <v xml:space="preserve"> </v>
      </c>
      <c r="M161" s="1"/>
    </row>
    <row r="162" spans="1:13" x14ac:dyDescent="0.25">
      <c r="A162" s="33" t="str">
        <f t="shared" si="6"/>
        <v/>
      </c>
      <c r="B162" s="1"/>
      <c r="C162" s="2"/>
      <c r="D162" s="233"/>
      <c r="E162" s="2"/>
      <c r="F162" s="2"/>
      <c r="G162" s="2"/>
      <c r="H162" s="30">
        <f t="shared" si="7"/>
        <v>0</v>
      </c>
      <c r="I162" s="1"/>
      <c r="J162" s="1"/>
      <c r="K162" s="1"/>
      <c r="L162" s="1" t="str">
        <f t="shared" si="5"/>
        <v xml:space="preserve"> </v>
      </c>
      <c r="M162" s="1"/>
    </row>
    <row r="163" spans="1:13" x14ac:dyDescent="0.25">
      <c r="A163" s="33" t="str">
        <f t="shared" si="6"/>
        <v/>
      </c>
      <c r="B163" s="1"/>
      <c r="C163" s="2"/>
      <c r="D163" s="233"/>
      <c r="E163" s="2"/>
      <c r="F163" s="2"/>
      <c r="G163" s="2"/>
      <c r="H163" s="30">
        <f t="shared" si="7"/>
        <v>0</v>
      </c>
      <c r="I163" s="1"/>
      <c r="J163" s="1"/>
      <c r="K163" s="1"/>
      <c r="L163" s="1" t="str">
        <f t="shared" si="5"/>
        <v xml:space="preserve"> </v>
      </c>
      <c r="M163" s="1"/>
    </row>
    <row r="164" spans="1:13" x14ac:dyDescent="0.25">
      <c r="A164" s="33" t="str">
        <f t="shared" si="6"/>
        <v/>
      </c>
      <c r="B164" s="1"/>
      <c r="C164" s="2"/>
      <c r="D164" s="233"/>
      <c r="E164" s="2"/>
      <c r="F164" s="2"/>
      <c r="G164" s="2"/>
      <c r="H164" s="30">
        <f t="shared" si="7"/>
        <v>0</v>
      </c>
      <c r="I164" s="1"/>
      <c r="J164" s="1"/>
      <c r="K164" s="1"/>
      <c r="L164" s="1" t="str">
        <f t="shared" si="5"/>
        <v xml:space="preserve"> </v>
      </c>
      <c r="M164" s="1"/>
    </row>
    <row r="165" spans="1:13" x14ac:dyDescent="0.25">
      <c r="A165" s="33" t="str">
        <f t="shared" si="6"/>
        <v/>
      </c>
      <c r="B165" s="1"/>
      <c r="C165" s="2"/>
      <c r="D165" s="233"/>
      <c r="E165" s="2"/>
      <c r="F165" s="2"/>
      <c r="G165" s="2"/>
      <c r="H165" s="30">
        <f t="shared" si="7"/>
        <v>0</v>
      </c>
      <c r="I165" s="1"/>
      <c r="J165" s="1"/>
      <c r="K165" s="1"/>
      <c r="L165" s="1" t="str">
        <f t="shared" si="5"/>
        <v xml:space="preserve"> </v>
      </c>
      <c r="M165" s="1"/>
    </row>
    <row r="166" spans="1:13" x14ac:dyDescent="0.25">
      <c r="A166" s="33" t="str">
        <f t="shared" si="6"/>
        <v/>
      </c>
      <c r="B166" s="1"/>
      <c r="C166" s="2"/>
      <c r="D166" s="233"/>
      <c r="E166" s="2"/>
      <c r="F166" s="2"/>
      <c r="G166" s="2"/>
      <c r="H166" s="30">
        <f t="shared" si="7"/>
        <v>0</v>
      </c>
      <c r="I166" s="1"/>
      <c r="J166" s="1"/>
      <c r="K166" s="1"/>
      <c r="L166" s="1" t="str">
        <f t="shared" si="5"/>
        <v xml:space="preserve"> </v>
      </c>
      <c r="M166" s="1"/>
    </row>
    <row r="167" spans="1:13" x14ac:dyDescent="0.25">
      <c r="A167" s="33" t="str">
        <f t="shared" si="6"/>
        <v/>
      </c>
      <c r="B167" s="1"/>
      <c r="C167" s="2"/>
      <c r="D167" s="233"/>
      <c r="E167" s="2"/>
      <c r="F167" s="2"/>
      <c r="G167" s="2"/>
      <c r="H167" s="30">
        <f t="shared" si="7"/>
        <v>0</v>
      </c>
      <c r="I167" s="1"/>
      <c r="J167" s="1"/>
      <c r="K167" s="1"/>
      <c r="L167" s="1" t="str">
        <f t="shared" si="5"/>
        <v xml:space="preserve"> </v>
      </c>
      <c r="M167" s="1"/>
    </row>
    <row r="168" spans="1:13" x14ac:dyDescent="0.25">
      <c r="A168" s="33" t="str">
        <f t="shared" si="6"/>
        <v/>
      </c>
      <c r="B168" s="1"/>
      <c r="C168" s="2"/>
      <c r="D168" s="233"/>
      <c r="E168" s="2"/>
      <c r="F168" s="2"/>
      <c r="G168" s="2"/>
      <c r="H168" s="30">
        <f t="shared" si="7"/>
        <v>0</v>
      </c>
      <c r="I168" s="1"/>
      <c r="J168" s="1"/>
      <c r="K168" s="1"/>
      <c r="L168" s="1" t="str">
        <f t="shared" si="5"/>
        <v xml:space="preserve"> </v>
      </c>
      <c r="M168" s="1"/>
    </row>
    <row r="169" spans="1:13" x14ac:dyDescent="0.25">
      <c r="A169" s="33" t="str">
        <f t="shared" si="6"/>
        <v/>
      </c>
      <c r="B169" s="1"/>
      <c r="C169" s="2"/>
      <c r="D169" s="233"/>
      <c r="E169" s="2"/>
      <c r="F169" s="2"/>
      <c r="G169" s="2"/>
      <c r="H169" s="30">
        <f t="shared" si="7"/>
        <v>0</v>
      </c>
      <c r="I169" s="1"/>
      <c r="J169" s="1"/>
      <c r="K169" s="1"/>
      <c r="L169" s="1" t="str">
        <f t="shared" ref="L169:L232" si="8">CONCATENATE(J169," ",I169)</f>
        <v xml:space="preserve"> </v>
      </c>
      <c r="M169" s="1"/>
    </row>
    <row r="170" spans="1:13" x14ac:dyDescent="0.25">
      <c r="A170" s="33" t="str">
        <f t="shared" si="6"/>
        <v/>
      </c>
      <c r="B170" s="1"/>
      <c r="C170" s="2"/>
      <c r="D170" s="233"/>
      <c r="E170" s="2"/>
      <c r="F170" s="2"/>
      <c r="G170" s="2"/>
      <c r="H170" s="30">
        <f t="shared" si="7"/>
        <v>0</v>
      </c>
      <c r="I170" s="1"/>
      <c r="J170" s="1"/>
      <c r="K170" s="1"/>
      <c r="L170" s="1" t="str">
        <f t="shared" si="8"/>
        <v xml:space="preserve"> </v>
      </c>
      <c r="M170" s="1"/>
    </row>
    <row r="171" spans="1:13" x14ac:dyDescent="0.25">
      <c r="A171" s="33" t="str">
        <f t="shared" si="6"/>
        <v/>
      </c>
      <c r="B171" s="1"/>
      <c r="C171" s="2"/>
      <c r="D171" s="233"/>
      <c r="E171" s="2"/>
      <c r="F171" s="2"/>
      <c r="G171" s="2"/>
      <c r="H171" s="30">
        <f t="shared" si="7"/>
        <v>0</v>
      </c>
      <c r="I171" s="1"/>
      <c r="J171" s="1"/>
      <c r="K171" s="1"/>
      <c r="L171" s="1" t="str">
        <f t="shared" si="8"/>
        <v xml:space="preserve"> </v>
      </c>
      <c r="M171" s="1"/>
    </row>
    <row r="172" spans="1:13" x14ac:dyDescent="0.25">
      <c r="A172" s="33" t="str">
        <f t="shared" si="6"/>
        <v/>
      </c>
      <c r="B172" s="1"/>
      <c r="C172" s="2"/>
      <c r="D172" s="233"/>
      <c r="E172" s="2"/>
      <c r="F172" s="2"/>
      <c r="G172" s="2"/>
      <c r="H172" s="30">
        <f t="shared" si="7"/>
        <v>0</v>
      </c>
      <c r="I172" s="1"/>
      <c r="J172" s="1"/>
      <c r="K172" s="1"/>
      <c r="L172" s="1" t="str">
        <f t="shared" si="8"/>
        <v xml:space="preserve"> </v>
      </c>
      <c r="M172" s="1"/>
    </row>
    <row r="173" spans="1:13" x14ac:dyDescent="0.25">
      <c r="A173" s="33" t="str">
        <f t="shared" si="6"/>
        <v/>
      </c>
      <c r="B173" s="1"/>
      <c r="C173" s="2"/>
      <c r="D173" s="233"/>
      <c r="E173" s="2"/>
      <c r="F173" s="2"/>
      <c r="G173" s="2"/>
      <c r="H173" s="30">
        <f t="shared" si="7"/>
        <v>0</v>
      </c>
      <c r="I173" s="1"/>
      <c r="J173" s="1"/>
      <c r="K173" s="1"/>
      <c r="L173" s="1" t="str">
        <f t="shared" si="8"/>
        <v xml:space="preserve"> </v>
      </c>
      <c r="M173" s="1"/>
    </row>
    <row r="174" spans="1:13" x14ac:dyDescent="0.25">
      <c r="A174" s="33" t="str">
        <f t="shared" si="6"/>
        <v/>
      </c>
      <c r="B174" s="1"/>
      <c r="C174" s="2"/>
      <c r="D174" s="233"/>
      <c r="E174" s="2"/>
      <c r="F174" s="2"/>
      <c r="G174" s="2"/>
      <c r="H174" s="30">
        <f t="shared" si="7"/>
        <v>0</v>
      </c>
      <c r="I174" s="1"/>
      <c r="J174" s="1"/>
      <c r="K174" s="1"/>
      <c r="L174" s="1" t="str">
        <f t="shared" si="8"/>
        <v xml:space="preserve"> </v>
      </c>
      <c r="M174" s="1"/>
    </row>
    <row r="175" spans="1:13" x14ac:dyDescent="0.25">
      <c r="A175" s="33" t="str">
        <f t="shared" si="6"/>
        <v/>
      </c>
      <c r="B175" s="1"/>
      <c r="C175" s="2"/>
      <c r="D175" s="233"/>
      <c r="E175" s="2"/>
      <c r="F175" s="2"/>
      <c r="G175" s="2"/>
      <c r="H175" s="30">
        <f t="shared" si="7"/>
        <v>0</v>
      </c>
      <c r="I175" s="1"/>
      <c r="J175" s="1"/>
      <c r="K175" s="1"/>
      <c r="L175" s="1" t="str">
        <f t="shared" si="8"/>
        <v xml:space="preserve"> </v>
      </c>
      <c r="M175" s="1"/>
    </row>
    <row r="176" spans="1:13" x14ac:dyDescent="0.25">
      <c r="A176" s="33" t="str">
        <f t="shared" si="6"/>
        <v/>
      </c>
      <c r="B176" s="1"/>
      <c r="C176" s="2"/>
      <c r="D176" s="233"/>
      <c r="E176" s="2"/>
      <c r="F176" s="2"/>
      <c r="G176" s="2"/>
      <c r="H176" s="30">
        <f t="shared" si="7"/>
        <v>0</v>
      </c>
      <c r="I176" s="1"/>
      <c r="J176" s="1"/>
      <c r="K176" s="1"/>
      <c r="L176" s="1" t="str">
        <f t="shared" si="8"/>
        <v xml:space="preserve"> </v>
      </c>
      <c r="M176" s="1"/>
    </row>
    <row r="177" spans="1:13" x14ac:dyDescent="0.25">
      <c r="A177" s="33" t="str">
        <f t="shared" si="6"/>
        <v/>
      </c>
      <c r="B177" s="1"/>
      <c r="C177" s="2"/>
      <c r="D177" s="233"/>
      <c r="E177" s="2"/>
      <c r="F177" s="2"/>
      <c r="G177" s="2"/>
      <c r="H177" s="30">
        <f t="shared" si="7"/>
        <v>0</v>
      </c>
      <c r="I177" s="1"/>
      <c r="J177" s="1"/>
      <c r="K177" s="1"/>
      <c r="L177" s="1" t="str">
        <f t="shared" si="8"/>
        <v xml:space="preserve"> </v>
      </c>
      <c r="M177" s="1"/>
    </row>
    <row r="178" spans="1:13" x14ac:dyDescent="0.25">
      <c r="A178" s="33" t="str">
        <f t="shared" si="6"/>
        <v/>
      </c>
      <c r="B178" s="1"/>
      <c r="C178" s="2"/>
      <c r="D178" s="233"/>
      <c r="E178" s="2"/>
      <c r="F178" s="2"/>
      <c r="G178" s="2"/>
      <c r="H178" s="30">
        <f t="shared" si="7"/>
        <v>0</v>
      </c>
      <c r="I178" s="1"/>
      <c r="J178" s="1"/>
      <c r="K178" s="1"/>
      <c r="L178" s="1" t="str">
        <f t="shared" si="8"/>
        <v xml:space="preserve"> </v>
      </c>
      <c r="M178" s="1"/>
    </row>
    <row r="179" spans="1:13" x14ac:dyDescent="0.25">
      <c r="A179" s="33" t="str">
        <f t="shared" ref="A179:A242" si="9">CONCATENATE(B179,C179,E179)</f>
        <v/>
      </c>
      <c r="B179" s="1"/>
      <c r="C179" s="2"/>
      <c r="D179" s="233"/>
      <c r="E179" s="2"/>
      <c r="F179" s="2"/>
      <c r="G179" s="2"/>
      <c r="H179" s="30">
        <f t="shared" ref="H179:H242" si="10">IFERROR(IF(F179&gt;G179,((G179+B179+1)-(F179+B179))*24,HOUR(G179-F179)+MINUTE(G179-F179)/60),"")</f>
        <v>0</v>
      </c>
      <c r="I179" s="1"/>
      <c r="J179" s="1"/>
      <c r="K179" s="1"/>
      <c r="L179" s="1" t="str">
        <f t="shared" si="8"/>
        <v xml:space="preserve"> </v>
      </c>
      <c r="M179" s="1"/>
    </row>
    <row r="180" spans="1:13" x14ac:dyDescent="0.25">
      <c r="A180" s="33" t="str">
        <f t="shared" si="9"/>
        <v/>
      </c>
      <c r="B180" s="1"/>
      <c r="C180" s="2"/>
      <c r="D180" s="233"/>
      <c r="E180" s="2"/>
      <c r="F180" s="2"/>
      <c r="G180" s="2"/>
      <c r="H180" s="30">
        <f t="shared" si="10"/>
        <v>0</v>
      </c>
      <c r="I180" s="1"/>
      <c r="J180" s="1"/>
      <c r="K180" s="1"/>
      <c r="L180" s="1" t="str">
        <f t="shared" si="8"/>
        <v xml:space="preserve"> </v>
      </c>
      <c r="M180" s="1"/>
    </row>
    <row r="181" spans="1:13" x14ac:dyDescent="0.25">
      <c r="A181" s="33" t="str">
        <f t="shared" si="9"/>
        <v/>
      </c>
      <c r="B181" s="1"/>
      <c r="C181" s="2"/>
      <c r="D181" s="233"/>
      <c r="E181" s="2"/>
      <c r="F181" s="2"/>
      <c r="G181" s="2"/>
      <c r="H181" s="30">
        <f t="shared" si="10"/>
        <v>0</v>
      </c>
      <c r="I181" s="1"/>
      <c r="J181" s="1"/>
      <c r="K181" s="1"/>
      <c r="L181" s="1" t="str">
        <f t="shared" si="8"/>
        <v xml:space="preserve"> </v>
      </c>
      <c r="M181" s="1"/>
    </row>
    <row r="182" spans="1:13" x14ac:dyDescent="0.25">
      <c r="A182" s="33" t="str">
        <f t="shared" si="9"/>
        <v/>
      </c>
      <c r="B182" s="1"/>
      <c r="C182" s="2"/>
      <c r="D182" s="233"/>
      <c r="E182" s="2"/>
      <c r="F182" s="2"/>
      <c r="G182" s="2"/>
      <c r="H182" s="30">
        <f t="shared" si="10"/>
        <v>0</v>
      </c>
      <c r="I182" s="1"/>
      <c r="J182" s="1"/>
      <c r="K182" s="1"/>
      <c r="L182" s="1" t="str">
        <f t="shared" si="8"/>
        <v xml:space="preserve"> </v>
      </c>
      <c r="M182" s="1"/>
    </row>
    <row r="183" spans="1:13" x14ac:dyDescent="0.25">
      <c r="A183" s="33" t="str">
        <f t="shared" si="9"/>
        <v/>
      </c>
      <c r="B183" s="1"/>
      <c r="C183" s="2"/>
      <c r="D183" s="233"/>
      <c r="E183" s="2"/>
      <c r="F183" s="2"/>
      <c r="G183" s="2"/>
      <c r="H183" s="30">
        <f t="shared" si="10"/>
        <v>0</v>
      </c>
      <c r="I183" s="1"/>
      <c r="J183" s="1"/>
      <c r="K183" s="1"/>
      <c r="L183" s="1" t="str">
        <f t="shared" si="8"/>
        <v xml:space="preserve"> </v>
      </c>
      <c r="M183" s="1"/>
    </row>
    <row r="184" spans="1:13" x14ac:dyDescent="0.25">
      <c r="A184" s="33" t="str">
        <f t="shared" si="9"/>
        <v/>
      </c>
      <c r="B184" s="1"/>
      <c r="C184" s="2"/>
      <c r="D184" s="233"/>
      <c r="E184" s="2"/>
      <c r="F184" s="2"/>
      <c r="G184" s="2"/>
      <c r="H184" s="30">
        <f t="shared" si="10"/>
        <v>0</v>
      </c>
      <c r="I184" s="1"/>
      <c r="J184" s="1"/>
      <c r="K184" s="1"/>
      <c r="L184" s="1" t="str">
        <f t="shared" si="8"/>
        <v xml:space="preserve"> </v>
      </c>
      <c r="M184" s="1"/>
    </row>
    <row r="185" spans="1:13" x14ac:dyDescent="0.25">
      <c r="A185" s="33" t="str">
        <f t="shared" si="9"/>
        <v/>
      </c>
      <c r="B185" s="1"/>
      <c r="C185" s="2"/>
      <c r="D185" s="233"/>
      <c r="E185" s="2"/>
      <c r="F185" s="2"/>
      <c r="G185" s="2"/>
      <c r="H185" s="30">
        <f t="shared" si="10"/>
        <v>0</v>
      </c>
      <c r="I185" s="1"/>
      <c r="J185" s="1"/>
      <c r="K185" s="1"/>
      <c r="L185" s="1" t="str">
        <f t="shared" si="8"/>
        <v xml:space="preserve"> </v>
      </c>
      <c r="M185" s="1"/>
    </row>
    <row r="186" spans="1:13" x14ac:dyDescent="0.25">
      <c r="A186" s="33" t="str">
        <f t="shared" si="9"/>
        <v/>
      </c>
      <c r="B186" s="1"/>
      <c r="C186" s="2"/>
      <c r="D186" s="233"/>
      <c r="E186" s="2"/>
      <c r="F186" s="2"/>
      <c r="G186" s="2"/>
      <c r="H186" s="30">
        <f t="shared" si="10"/>
        <v>0</v>
      </c>
      <c r="I186" s="1"/>
      <c r="J186" s="1"/>
      <c r="K186" s="1"/>
      <c r="L186" s="1" t="str">
        <f t="shared" si="8"/>
        <v xml:space="preserve"> </v>
      </c>
      <c r="M186" s="1"/>
    </row>
    <row r="187" spans="1:13" x14ac:dyDescent="0.25">
      <c r="A187" s="33" t="str">
        <f t="shared" si="9"/>
        <v/>
      </c>
      <c r="B187" s="1"/>
      <c r="C187" s="2"/>
      <c r="D187" s="233"/>
      <c r="E187" s="2"/>
      <c r="F187" s="2"/>
      <c r="G187" s="2"/>
      <c r="H187" s="30">
        <f t="shared" si="10"/>
        <v>0</v>
      </c>
      <c r="I187" s="1"/>
      <c r="J187" s="1"/>
      <c r="K187" s="1"/>
      <c r="L187" s="1" t="str">
        <f t="shared" si="8"/>
        <v xml:space="preserve"> </v>
      </c>
      <c r="M187" s="1"/>
    </row>
    <row r="188" spans="1:13" x14ac:dyDescent="0.25">
      <c r="A188" s="33" t="str">
        <f t="shared" si="9"/>
        <v/>
      </c>
      <c r="B188" s="1"/>
      <c r="C188" s="2"/>
      <c r="D188" s="233"/>
      <c r="E188" s="2"/>
      <c r="F188" s="2"/>
      <c r="G188" s="2"/>
      <c r="H188" s="30">
        <f t="shared" si="10"/>
        <v>0</v>
      </c>
      <c r="I188" s="1"/>
      <c r="J188" s="1"/>
      <c r="K188" s="1"/>
      <c r="L188" s="1" t="str">
        <f t="shared" si="8"/>
        <v xml:space="preserve"> </v>
      </c>
      <c r="M188" s="1"/>
    </row>
    <row r="189" spans="1:13" x14ac:dyDescent="0.25">
      <c r="A189" s="33" t="str">
        <f t="shared" si="9"/>
        <v/>
      </c>
      <c r="B189" s="1"/>
      <c r="C189" s="2"/>
      <c r="D189" s="233"/>
      <c r="E189" s="2"/>
      <c r="F189" s="2"/>
      <c r="G189" s="2"/>
      <c r="H189" s="30">
        <f t="shared" si="10"/>
        <v>0</v>
      </c>
      <c r="I189" s="1"/>
      <c r="J189" s="1"/>
      <c r="K189" s="1"/>
      <c r="L189" s="1" t="str">
        <f t="shared" si="8"/>
        <v xml:space="preserve"> </v>
      </c>
      <c r="M189" s="1"/>
    </row>
    <row r="190" spans="1:13" x14ac:dyDescent="0.25">
      <c r="A190" s="33" t="str">
        <f t="shared" si="9"/>
        <v/>
      </c>
      <c r="B190" s="1"/>
      <c r="C190" s="2"/>
      <c r="D190" s="233"/>
      <c r="E190" s="2"/>
      <c r="F190" s="2"/>
      <c r="G190" s="2"/>
      <c r="H190" s="30">
        <f t="shared" si="10"/>
        <v>0</v>
      </c>
      <c r="I190" s="1"/>
      <c r="J190" s="1"/>
      <c r="K190" s="1"/>
      <c r="L190" s="1" t="str">
        <f t="shared" si="8"/>
        <v xml:space="preserve"> </v>
      </c>
      <c r="M190" s="1"/>
    </row>
    <row r="191" spans="1:13" x14ac:dyDescent="0.25">
      <c r="A191" s="33" t="str">
        <f t="shared" si="9"/>
        <v/>
      </c>
      <c r="B191" s="1"/>
      <c r="C191" s="2"/>
      <c r="D191" s="233"/>
      <c r="E191" s="2"/>
      <c r="F191" s="2"/>
      <c r="G191" s="2"/>
      <c r="H191" s="30">
        <f t="shared" si="10"/>
        <v>0</v>
      </c>
      <c r="I191" s="1"/>
      <c r="J191" s="1"/>
      <c r="K191" s="1"/>
      <c r="L191" s="1" t="str">
        <f t="shared" si="8"/>
        <v xml:space="preserve"> </v>
      </c>
      <c r="M191" s="1"/>
    </row>
    <row r="192" spans="1:13" x14ac:dyDescent="0.25">
      <c r="A192" s="33" t="str">
        <f t="shared" si="9"/>
        <v/>
      </c>
      <c r="B192" s="1"/>
      <c r="C192" s="2"/>
      <c r="D192" s="233"/>
      <c r="E192" s="2"/>
      <c r="F192" s="2"/>
      <c r="G192" s="2"/>
      <c r="H192" s="30">
        <f t="shared" si="10"/>
        <v>0</v>
      </c>
      <c r="I192" s="1"/>
      <c r="J192" s="1"/>
      <c r="K192" s="1"/>
      <c r="L192" s="1" t="str">
        <f t="shared" si="8"/>
        <v xml:space="preserve"> </v>
      </c>
      <c r="M192" s="1"/>
    </row>
    <row r="193" spans="1:13" x14ac:dyDescent="0.25">
      <c r="A193" s="33" t="str">
        <f t="shared" si="9"/>
        <v/>
      </c>
      <c r="B193" s="1"/>
      <c r="C193" s="2"/>
      <c r="D193" s="233"/>
      <c r="E193" s="2"/>
      <c r="F193" s="2"/>
      <c r="G193" s="2"/>
      <c r="H193" s="30">
        <f t="shared" si="10"/>
        <v>0</v>
      </c>
      <c r="I193" s="1"/>
      <c r="J193" s="1"/>
      <c r="K193" s="1"/>
      <c r="L193" s="1" t="str">
        <f t="shared" si="8"/>
        <v xml:space="preserve"> </v>
      </c>
      <c r="M193" s="1"/>
    </row>
    <row r="194" spans="1:13" x14ac:dyDescent="0.25">
      <c r="A194" s="33" t="str">
        <f t="shared" si="9"/>
        <v/>
      </c>
      <c r="B194" s="1"/>
      <c r="C194" s="2"/>
      <c r="D194" s="233"/>
      <c r="E194" s="2"/>
      <c r="F194" s="2"/>
      <c r="G194" s="2"/>
      <c r="H194" s="30">
        <f t="shared" si="10"/>
        <v>0</v>
      </c>
      <c r="I194" s="1"/>
      <c r="J194" s="1"/>
      <c r="K194" s="1"/>
      <c r="L194" s="1" t="str">
        <f t="shared" si="8"/>
        <v xml:space="preserve"> </v>
      </c>
      <c r="M194" s="1"/>
    </row>
    <row r="195" spans="1:13" x14ac:dyDescent="0.25">
      <c r="A195" s="33" t="str">
        <f t="shared" si="9"/>
        <v/>
      </c>
      <c r="B195" s="1"/>
      <c r="C195" s="2"/>
      <c r="D195" s="233"/>
      <c r="E195" s="2"/>
      <c r="F195" s="2"/>
      <c r="G195" s="2"/>
      <c r="H195" s="30">
        <f t="shared" si="10"/>
        <v>0</v>
      </c>
      <c r="I195" s="1"/>
      <c r="J195" s="1"/>
      <c r="K195" s="1"/>
      <c r="L195" s="1" t="str">
        <f t="shared" si="8"/>
        <v xml:space="preserve"> </v>
      </c>
      <c r="M195" s="1"/>
    </row>
    <row r="196" spans="1:13" x14ac:dyDescent="0.25">
      <c r="A196" s="33" t="str">
        <f t="shared" si="9"/>
        <v/>
      </c>
      <c r="B196" s="1"/>
      <c r="C196" s="2"/>
      <c r="D196" s="233"/>
      <c r="E196" s="2"/>
      <c r="F196" s="2"/>
      <c r="G196" s="2"/>
      <c r="H196" s="30">
        <f t="shared" si="10"/>
        <v>0</v>
      </c>
      <c r="I196" s="1"/>
      <c r="J196" s="1"/>
      <c r="K196" s="1"/>
      <c r="L196" s="1" t="str">
        <f t="shared" si="8"/>
        <v xml:space="preserve"> </v>
      </c>
      <c r="M196" s="1"/>
    </row>
    <row r="197" spans="1:13" x14ac:dyDescent="0.25">
      <c r="A197" s="33" t="str">
        <f t="shared" si="9"/>
        <v/>
      </c>
      <c r="B197" s="1"/>
      <c r="C197" s="2"/>
      <c r="D197" s="233"/>
      <c r="E197" s="2"/>
      <c r="F197" s="2"/>
      <c r="G197" s="2"/>
      <c r="H197" s="30">
        <f t="shared" si="10"/>
        <v>0</v>
      </c>
      <c r="I197" s="1"/>
      <c r="J197" s="1"/>
      <c r="K197" s="1"/>
      <c r="L197" s="1" t="str">
        <f t="shared" si="8"/>
        <v xml:space="preserve"> </v>
      </c>
      <c r="M197" s="1"/>
    </row>
    <row r="198" spans="1:13" x14ac:dyDescent="0.25">
      <c r="A198" s="33" t="str">
        <f t="shared" si="9"/>
        <v/>
      </c>
      <c r="B198" s="1"/>
      <c r="C198" s="2"/>
      <c r="D198" s="233"/>
      <c r="E198" s="2"/>
      <c r="F198" s="2"/>
      <c r="G198" s="2"/>
      <c r="H198" s="30">
        <f t="shared" si="10"/>
        <v>0</v>
      </c>
      <c r="I198" s="1"/>
      <c r="J198" s="1"/>
      <c r="K198" s="1"/>
      <c r="L198" s="1" t="str">
        <f t="shared" si="8"/>
        <v xml:space="preserve"> </v>
      </c>
      <c r="M198" s="1"/>
    </row>
    <row r="199" spans="1:13" x14ac:dyDescent="0.25">
      <c r="A199" s="33" t="str">
        <f t="shared" si="9"/>
        <v/>
      </c>
      <c r="B199" s="1"/>
      <c r="C199" s="2"/>
      <c r="D199" s="233"/>
      <c r="E199" s="2"/>
      <c r="F199" s="2"/>
      <c r="G199" s="2"/>
      <c r="H199" s="30">
        <f t="shared" si="10"/>
        <v>0</v>
      </c>
      <c r="I199" s="1"/>
      <c r="J199" s="1"/>
      <c r="K199" s="1"/>
      <c r="L199" s="1" t="str">
        <f t="shared" si="8"/>
        <v xml:space="preserve"> </v>
      </c>
      <c r="M199" s="1"/>
    </row>
    <row r="200" spans="1:13" x14ac:dyDescent="0.25">
      <c r="A200" s="33" t="str">
        <f t="shared" si="9"/>
        <v/>
      </c>
      <c r="B200" s="1"/>
      <c r="C200" s="2"/>
      <c r="D200" s="233"/>
      <c r="E200" s="2"/>
      <c r="F200" s="2"/>
      <c r="G200" s="2"/>
      <c r="H200" s="30">
        <f t="shared" si="10"/>
        <v>0</v>
      </c>
      <c r="I200" s="1"/>
      <c r="J200" s="1"/>
      <c r="K200" s="1"/>
      <c r="L200" s="1" t="str">
        <f t="shared" si="8"/>
        <v xml:space="preserve"> </v>
      </c>
      <c r="M200" s="1"/>
    </row>
    <row r="201" spans="1:13" x14ac:dyDescent="0.25">
      <c r="A201" s="33" t="str">
        <f t="shared" si="9"/>
        <v/>
      </c>
      <c r="B201" s="1"/>
      <c r="C201" s="2"/>
      <c r="D201" s="233"/>
      <c r="E201" s="2"/>
      <c r="F201" s="2"/>
      <c r="G201" s="2"/>
      <c r="H201" s="30">
        <f t="shared" si="10"/>
        <v>0</v>
      </c>
      <c r="I201" s="1"/>
      <c r="J201" s="1"/>
      <c r="K201" s="1"/>
      <c r="L201" s="1" t="str">
        <f t="shared" si="8"/>
        <v xml:space="preserve"> </v>
      </c>
      <c r="M201" s="1"/>
    </row>
    <row r="202" spans="1:13" x14ac:dyDescent="0.25">
      <c r="A202" s="33" t="str">
        <f t="shared" si="9"/>
        <v/>
      </c>
      <c r="B202" s="1"/>
      <c r="C202" s="2"/>
      <c r="D202" s="233"/>
      <c r="E202" s="2"/>
      <c r="F202" s="2"/>
      <c r="G202" s="2"/>
      <c r="H202" s="30">
        <f t="shared" si="10"/>
        <v>0</v>
      </c>
      <c r="I202" s="1"/>
      <c r="J202" s="1"/>
      <c r="K202" s="1"/>
      <c r="L202" s="1" t="str">
        <f t="shared" si="8"/>
        <v xml:space="preserve"> </v>
      </c>
      <c r="M202" s="1"/>
    </row>
    <row r="203" spans="1:13" x14ac:dyDescent="0.25">
      <c r="A203" s="33" t="str">
        <f t="shared" si="9"/>
        <v/>
      </c>
      <c r="B203" s="1"/>
      <c r="C203" s="2"/>
      <c r="D203" s="233"/>
      <c r="E203" s="2"/>
      <c r="F203" s="2"/>
      <c r="G203" s="2"/>
      <c r="H203" s="30">
        <f t="shared" si="10"/>
        <v>0</v>
      </c>
      <c r="I203" s="1"/>
      <c r="J203" s="1"/>
      <c r="K203" s="1"/>
      <c r="L203" s="1" t="str">
        <f t="shared" si="8"/>
        <v xml:space="preserve"> </v>
      </c>
      <c r="M203" s="1"/>
    </row>
    <row r="204" spans="1:13" x14ac:dyDescent="0.25">
      <c r="A204" s="33" t="str">
        <f t="shared" si="9"/>
        <v/>
      </c>
      <c r="B204" s="1"/>
      <c r="C204" s="2"/>
      <c r="D204" s="233"/>
      <c r="E204" s="2"/>
      <c r="F204" s="2"/>
      <c r="G204" s="2"/>
      <c r="H204" s="30">
        <f t="shared" si="10"/>
        <v>0</v>
      </c>
      <c r="I204" s="1"/>
      <c r="J204" s="1"/>
      <c r="K204" s="1"/>
      <c r="L204" s="1" t="str">
        <f t="shared" si="8"/>
        <v xml:space="preserve"> </v>
      </c>
      <c r="M204" s="1"/>
    </row>
    <row r="205" spans="1:13" x14ac:dyDescent="0.25">
      <c r="A205" s="33" t="str">
        <f t="shared" si="9"/>
        <v/>
      </c>
      <c r="B205" s="1"/>
      <c r="C205" s="2"/>
      <c r="D205" s="233"/>
      <c r="E205" s="2"/>
      <c r="F205" s="2"/>
      <c r="G205" s="2"/>
      <c r="H205" s="30">
        <f t="shared" si="10"/>
        <v>0</v>
      </c>
      <c r="I205" s="1"/>
      <c r="J205" s="1"/>
      <c r="K205" s="1"/>
      <c r="L205" s="1" t="str">
        <f t="shared" si="8"/>
        <v xml:space="preserve"> </v>
      </c>
      <c r="M205" s="1"/>
    </row>
    <row r="206" spans="1:13" x14ac:dyDescent="0.25">
      <c r="A206" s="33" t="str">
        <f t="shared" si="9"/>
        <v/>
      </c>
      <c r="B206" s="1"/>
      <c r="C206" s="2"/>
      <c r="D206" s="233"/>
      <c r="E206" s="2"/>
      <c r="F206" s="2"/>
      <c r="G206" s="2"/>
      <c r="H206" s="30">
        <f t="shared" si="10"/>
        <v>0</v>
      </c>
      <c r="I206" s="1"/>
      <c r="J206" s="1"/>
      <c r="K206" s="1"/>
      <c r="L206" s="1" t="str">
        <f t="shared" si="8"/>
        <v xml:space="preserve"> </v>
      </c>
      <c r="M206" s="1"/>
    </row>
    <row r="207" spans="1:13" x14ac:dyDescent="0.25">
      <c r="A207" s="33" t="str">
        <f t="shared" si="9"/>
        <v/>
      </c>
      <c r="B207" s="1"/>
      <c r="C207" s="2"/>
      <c r="D207" s="233"/>
      <c r="E207" s="2"/>
      <c r="F207" s="2"/>
      <c r="G207" s="2"/>
      <c r="H207" s="30">
        <f t="shared" si="10"/>
        <v>0</v>
      </c>
      <c r="I207" s="1"/>
      <c r="J207" s="1"/>
      <c r="K207" s="1"/>
      <c r="L207" s="1" t="str">
        <f t="shared" si="8"/>
        <v xml:space="preserve"> </v>
      </c>
      <c r="M207" s="1"/>
    </row>
    <row r="208" spans="1:13" x14ac:dyDescent="0.25">
      <c r="A208" s="33" t="str">
        <f t="shared" si="9"/>
        <v/>
      </c>
      <c r="B208" s="1"/>
      <c r="C208" s="2"/>
      <c r="D208" s="233"/>
      <c r="E208" s="2"/>
      <c r="F208" s="2"/>
      <c r="G208" s="2"/>
      <c r="H208" s="30">
        <f t="shared" si="10"/>
        <v>0</v>
      </c>
      <c r="I208" s="1"/>
      <c r="J208" s="1"/>
      <c r="K208" s="1"/>
      <c r="L208" s="1" t="str">
        <f t="shared" si="8"/>
        <v xml:space="preserve"> </v>
      </c>
      <c r="M208" s="1"/>
    </row>
    <row r="209" spans="1:13" x14ac:dyDescent="0.25">
      <c r="A209" s="33" t="str">
        <f t="shared" si="9"/>
        <v/>
      </c>
      <c r="B209" s="1"/>
      <c r="C209" s="2"/>
      <c r="D209" s="233"/>
      <c r="E209" s="2"/>
      <c r="F209" s="2"/>
      <c r="G209" s="2"/>
      <c r="H209" s="30">
        <f t="shared" si="10"/>
        <v>0</v>
      </c>
      <c r="I209" s="1"/>
      <c r="J209" s="1"/>
      <c r="K209" s="1"/>
      <c r="L209" s="1" t="str">
        <f t="shared" si="8"/>
        <v xml:space="preserve"> </v>
      </c>
      <c r="M209" s="1"/>
    </row>
    <row r="210" spans="1:13" x14ac:dyDescent="0.25">
      <c r="A210" s="33" t="str">
        <f t="shared" si="9"/>
        <v/>
      </c>
      <c r="B210" s="1"/>
      <c r="C210" s="2"/>
      <c r="D210" s="233"/>
      <c r="E210" s="2"/>
      <c r="F210" s="2"/>
      <c r="G210" s="2"/>
      <c r="H210" s="30">
        <f t="shared" si="10"/>
        <v>0</v>
      </c>
      <c r="I210" s="1"/>
      <c r="J210" s="1"/>
      <c r="K210" s="1"/>
      <c r="L210" s="1" t="str">
        <f t="shared" si="8"/>
        <v xml:space="preserve"> </v>
      </c>
      <c r="M210" s="1"/>
    </row>
    <row r="211" spans="1:13" x14ac:dyDescent="0.25">
      <c r="A211" s="33" t="str">
        <f t="shared" si="9"/>
        <v/>
      </c>
      <c r="B211" s="1"/>
      <c r="C211" s="2"/>
      <c r="D211" s="233"/>
      <c r="E211" s="2"/>
      <c r="F211" s="2"/>
      <c r="G211" s="2"/>
      <c r="H211" s="30">
        <f t="shared" si="10"/>
        <v>0</v>
      </c>
      <c r="I211" s="1"/>
      <c r="J211" s="1"/>
      <c r="K211" s="1"/>
      <c r="L211" s="1" t="str">
        <f t="shared" si="8"/>
        <v xml:space="preserve"> </v>
      </c>
      <c r="M211" s="1"/>
    </row>
    <row r="212" spans="1:13" x14ac:dyDescent="0.25">
      <c r="A212" s="33" t="str">
        <f t="shared" si="9"/>
        <v/>
      </c>
      <c r="B212" s="1"/>
      <c r="C212" s="2"/>
      <c r="D212" s="233"/>
      <c r="E212" s="2"/>
      <c r="F212" s="2"/>
      <c r="G212" s="2"/>
      <c r="H212" s="30">
        <f t="shared" si="10"/>
        <v>0</v>
      </c>
      <c r="I212" s="1"/>
      <c r="J212" s="1"/>
      <c r="K212" s="1"/>
      <c r="L212" s="1" t="str">
        <f t="shared" si="8"/>
        <v xml:space="preserve"> </v>
      </c>
      <c r="M212" s="1"/>
    </row>
    <row r="213" spans="1:13" x14ac:dyDescent="0.25">
      <c r="A213" s="33" t="str">
        <f t="shared" si="9"/>
        <v/>
      </c>
      <c r="B213" s="1"/>
      <c r="C213" s="2"/>
      <c r="D213" s="233"/>
      <c r="E213" s="2"/>
      <c r="F213" s="2"/>
      <c r="G213" s="2"/>
      <c r="H213" s="30">
        <f t="shared" si="10"/>
        <v>0</v>
      </c>
      <c r="I213" s="1"/>
      <c r="J213" s="1"/>
      <c r="K213" s="1"/>
      <c r="L213" s="1" t="str">
        <f t="shared" si="8"/>
        <v xml:space="preserve"> </v>
      </c>
      <c r="M213" s="1"/>
    </row>
    <row r="214" spans="1:13" x14ac:dyDescent="0.25">
      <c r="A214" s="33" t="str">
        <f t="shared" si="9"/>
        <v/>
      </c>
      <c r="B214" s="1"/>
      <c r="C214" s="2"/>
      <c r="D214" s="233"/>
      <c r="E214" s="2"/>
      <c r="F214" s="2"/>
      <c r="G214" s="2"/>
      <c r="H214" s="30">
        <f t="shared" si="10"/>
        <v>0</v>
      </c>
      <c r="I214" s="1"/>
      <c r="J214" s="1"/>
      <c r="K214" s="1"/>
      <c r="L214" s="1" t="str">
        <f t="shared" si="8"/>
        <v xml:space="preserve"> </v>
      </c>
      <c r="M214" s="1"/>
    </row>
    <row r="215" spans="1:13" x14ac:dyDescent="0.25">
      <c r="A215" s="33" t="str">
        <f t="shared" si="9"/>
        <v/>
      </c>
      <c r="B215" s="1"/>
      <c r="C215" s="2"/>
      <c r="D215" s="233"/>
      <c r="E215" s="2"/>
      <c r="F215" s="2"/>
      <c r="G215" s="2"/>
      <c r="H215" s="30">
        <f t="shared" si="10"/>
        <v>0</v>
      </c>
      <c r="I215" s="1"/>
      <c r="J215" s="1"/>
      <c r="K215" s="1"/>
      <c r="L215" s="1" t="str">
        <f t="shared" si="8"/>
        <v xml:space="preserve"> </v>
      </c>
      <c r="M215" s="1"/>
    </row>
    <row r="216" spans="1:13" x14ac:dyDescent="0.25">
      <c r="A216" s="33" t="str">
        <f t="shared" si="9"/>
        <v/>
      </c>
      <c r="B216" s="1"/>
      <c r="C216" s="2"/>
      <c r="D216" s="233"/>
      <c r="E216" s="2"/>
      <c r="F216" s="2"/>
      <c r="G216" s="2"/>
      <c r="H216" s="30">
        <f t="shared" si="10"/>
        <v>0</v>
      </c>
      <c r="I216" s="1"/>
      <c r="J216" s="1"/>
      <c r="K216" s="1"/>
      <c r="L216" s="1" t="str">
        <f t="shared" si="8"/>
        <v xml:space="preserve"> </v>
      </c>
      <c r="M216" s="1"/>
    </row>
    <row r="217" spans="1:13" x14ac:dyDescent="0.25">
      <c r="A217" s="33" t="str">
        <f t="shared" si="9"/>
        <v/>
      </c>
      <c r="B217" s="1"/>
      <c r="C217" s="2"/>
      <c r="D217" s="233"/>
      <c r="E217" s="2"/>
      <c r="F217" s="2"/>
      <c r="G217" s="2"/>
      <c r="H217" s="30">
        <f t="shared" si="10"/>
        <v>0</v>
      </c>
      <c r="I217" s="1"/>
      <c r="J217" s="1"/>
      <c r="K217" s="1"/>
      <c r="L217" s="1" t="str">
        <f t="shared" si="8"/>
        <v xml:space="preserve"> </v>
      </c>
      <c r="M217" s="1"/>
    </row>
    <row r="218" spans="1:13" x14ac:dyDescent="0.25">
      <c r="A218" s="33" t="str">
        <f t="shared" si="9"/>
        <v/>
      </c>
      <c r="B218" s="1"/>
      <c r="C218" s="2"/>
      <c r="D218" s="233"/>
      <c r="E218" s="2"/>
      <c r="F218" s="2"/>
      <c r="G218" s="2"/>
      <c r="H218" s="30">
        <f t="shared" si="10"/>
        <v>0</v>
      </c>
      <c r="I218" s="1"/>
      <c r="J218" s="1"/>
      <c r="K218" s="1"/>
      <c r="L218" s="1" t="str">
        <f t="shared" si="8"/>
        <v xml:space="preserve"> </v>
      </c>
      <c r="M218" s="1"/>
    </row>
    <row r="219" spans="1:13" x14ac:dyDescent="0.25">
      <c r="A219" s="33" t="str">
        <f t="shared" si="9"/>
        <v/>
      </c>
      <c r="B219" s="1"/>
      <c r="C219" s="2"/>
      <c r="D219" s="233"/>
      <c r="E219" s="2"/>
      <c r="F219" s="2"/>
      <c r="G219" s="2"/>
      <c r="H219" s="30">
        <f t="shared" si="10"/>
        <v>0</v>
      </c>
      <c r="I219" s="1"/>
      <c r="J219" s="1"/>
      <c r="K219" s="1"/>
      <c r="L219" s="1" t="str">
        <f t="shared" si="8"/>
        <v xml:space="preserve"> </v>
      </c>
      <c r="M219" s="1"/>
    </row>
    <row r="220" spans="1:13" x14ac:dyDescent="0.25">
      <c r="A220" s="33" t="str">
        <f t="shared" si="9"/>
        <v/>
      </c>
      <c r="B220" s="1"/>
      <c r="C220" s="2"/>
      <c r="D220" s="233"/>
      <c r="E220" s="2"/>
      <c r="F220" s="2"/>
      <c r="G220" s="2"/>
      <c r="H220" s="30">
        <f t="shared" si="10"/>
        <v>0</v>
      </c>
      <c r="I220" s="1"/>
      <c r="J220" s="1"/>
      <c r="K220" s="1"/>
      <c r="L220" s="1" t="str">
        <f t="shared" si="8"/>
        <v xml:space="preserve"> </v>
      </c>
      <c r="M220" s="1"/>
    </row>
    <row r="221" spans="1:13" x14ac:dyDescent="0.25">
      <c r="A221" s="33" t="str">
        <f t="shared" si="9"/>
        <v/>
      </c>
      <c r="B221" s="1"/>
      <c r="C221" s="2"/>
      <c r="D221" s="233"/>
      <c r="E221" s="2"/>
      <c r="F221" s="2"/>
      <c r="G221" s="2"/>
      <c r="H221" s="30">
        <f t="shared" si="10"/>
        <v>0</v>
      </c>
      <c r="I221" s="1"/>
      <c r="J221" s="1"/>
      <c r="K221" s="1"/>
      <c r="L221" s="1" t="str">
        <f t="shared" si="8"/>
        <v xml:space="preserve"> </v>
      </c>
      <c r="M221" s="1"/>
    </row>
    <row r="222" spans="1:13" x14ac:dyDescent="0.25">
      <c r="A222" s="33" t="str">
        <f t="shared" si="9"/>
        <v/>
      </c>
      <c r="B222" s="1"/>
      <c r="C222" s="2"/>
      <c r="D222" s="233"/>
      <c r="E222" s="2"/>
      <c r="F222" s="2"/>
      <c r="G222" s="2"/>
      <c r="H222" s="30">
        <f t="shared" si="10"/>
        <v>0</v>
      </c>
      <c r="I222" s="1"/>
      <c r="J222" s="1"/>
      <c r="K222" s="1"/>
      <c r="L222" s="1" t="str">
        <f t="shared" si="8"/>
        <v xml:space="preserve"> </v>
      </c>
      <c r="M222" s="1"/>
    </row>
    <row r="223" spans="1:13" x14ac:dyDescent="0.25">
      <c r="A223" s="33" t="str">
        <f t="shared" si="9"/>
        <v/>
      </c>
      <c r="B223" s="1"/>
      <c r="C223" s="2"/>
      <c r="D223" s="233"/>
      <c r="E223" s="2"/>
      <c r="F223" s="2"/>
      <c r="G223" s="2"/>
      <c r="H223" s="30">
        <f t="shared" si="10"/>
        <v>0</v>
      </c>
      <c r="I223" s="1"/>
      <c r="J223" s="1"/>
      <c r="K223" s="1"/>
      <c r="L223" s="1" t="str">
        <f t="shared" si="8"/>
        <v xml:space="preserve"> </v>
      </c>
      <c r="M223" s="1"/>
    </row>
    <row r="224" spans="1:13" x14ac:dyDescent="0.25">
      <c r="A224" s="33" t="str">
        <f t="shared" si="9"/>
        <v/>
      </c>
      <c r="B224" s="1"/>
      <c r="C224" s="2"/>
      <c r="D224" s="233"/>
      <c r="E224" s="2"/>
      <c r="F224" s="2"/>
      <c r="G224" s="2"/>
      <c r="H224" s="30">
        <f t="shared" si="10"/>
        <v>0</v>
      </c>
      <c r="I224" s="1"/>
      <c r="J224" s="1"/>
      <c r="K224" s="1"/>
      <c r="L224" s="1" t="str">
        <f t="shared" si="8"/>
        <v xml:space="preserve"> </v>
      </c>
      <c r="M224" s="1"/>
    </row>
    <row r="225" spans="1:13" x14ac:dyDescent="0.25">
      <c r="A225" s="33" t="str">
        <f t="shared" si="9"/>
        <v/>
      </c>
      <c r="B225" s="1"/>
      <c r="C225" s="2"/>
      <c r="D225" s="233"/>
      <c r="E225" s="2"/>
      <c r="F225" s="2"/>
      <c r="G225" s="2"/>
      <c r="H225" s="30">
        <f t="shared" si="10"/>
        <v>0</v>
      </c>
      <c r="I225" s="1"/>
      <c r="J225" s="1"/>
      <c r="K225" s="1"/>
      <c r="L225" s="1" t="str">
        <f t="shared" si="8"/>
        <v xml:space="preserve"> </v>
      </c>
      <c r="M225" s="1"/>
    </row>
    <row r="226" spans="1:13" x14ac:dyDescent="0.25">
      <c r="A226" s="33" t="str">
        <f t="shared" si="9"/>
        <v/>
      </c>
      <c r="B226" s="1"/>
      <c r="C226" s="2"/>
      <c r="D226" s="233"/>
      <c r="E226" s="2"/>
      <c r="F226" s="2"/>
      <c r="G226" s="2"/>
      <c r="H226" s="30">
        <f t="shared" si="10"/>
        <v>0</v>
      </c>
      <c r="I226" s="1"/>
      <c r="J226" s="1"/>
      <c r="K226" s="1"/>
      <c r="L226" s="1" t="str">
        <f t="shared" si="8"/>
        <v xml:space="preserve"> </v>
      </c>
      <c r="M226" s="1"/>
    </row>
    <row r="227" spans="1:13" x14ac:dyDescent="0.25">
      <c r="A227" s="33" t="str">
        <f t="shared" si="9"/>
        <v/>
      </c>
      <c r="B227" s="1"/>
      <c r="C227" s="2"/>
      <c r="D227" s="233"/>
      <c r="E227" s="2"/>
      <c r="F227" s="2"/>
      <c r="G227" s="2"/>
      <c r="H227" s="30">
        <f t="shared" si="10"/>
        <v>0</v>
      </c>
      <c r="I227" s="1"/>
      <c r="J227" s="1"/>
      <c r="K227" s="1"/>
      <c r="L227" s="1" t="str">
        <f t="shared" si="8"/>
        <v xml:space="preserve"> </v>
      </c>
      <c r="M227" s="1"/>
    </row>
    <row r="228" spans="1:13" x14ac:dyDescent="0.25">
      <c r="A228" s="33" t="str">
        <f t="shared" si="9"/>
        <v/>
      </c>
      <c r="B228" s="1"/>
      <c r="C228" s="2"/>
      <c r="D228" s="233"/>
      <c r="E228" s="2"/>
      <c r="F228" s="2"/>
      <c r="G228" s="2"/>
      <c r="H228" s="30">
        <f t="shared" si="10"/>
        <v>0</v>
      </c>
      <c r="I228" s="1"/>
      <c r="J228" s="1"/>
      <c r="K228" s="1"/>
      <c r="L228" s="1" t="str">
        <f t="shared" si="8"/>
        <v xml:space="preserve"> </v>
      </c>
      <c r="M228" s="1"/>
    </row>
    <row r="229" spans="1:13" x14ac:dyDescent="0.25">
      <c r="A229" s="33" t="str">
        <f t="shared" si="9"/>
        <v/>
      </c>
      <c r="B229" s="1"/>
      <c r="C229" s="2"/>
      <c r="D229" s="233"/>
      <c r="E229" s="2"/>
      <c r="F229" s="2"/>
      <c r="G229" s="2"/>
      <c r="H229" s="30">
        <f t="shared" si="10"/>
        <v>0</v>
      </c>
      <c r="I229" s="1"/>
      <c r="J229" s="1"/>
      <c r="K229" s="1"/>
      <c r="L229" s="1" t="str">
        <f t="shared" si="8"/>
        <v xml:space="preserve"> </v>
      </c>
      <c r="M229" s="1"/>
    </row>
    <row r="230" spans="1:13" x14ac:dyDescent="0.25">
      <c r="A230" s="33" t="str">
        <f t="shared" si="9"/>
        <v/>
      </c>
      <c r="B230" s="1"/>
      <c r="C230" s="2"/>
      <c r="D230" s="233"/>
      <c r="E230" s="2"/>
      <c r="F230" s="2"/>
      <c r="G230" s="2"/>
      <c r="H230" s="30">
        <f t="shared" si="10"/>
        <v>0</v>
      </c>
      <c r="I230" s="1"/>
      <c r="J230" s="1"/>
      <c r="K230" s="1"/>
      <c r="L230" s="1" t="str">
        <f t="shared" si="8"/>
        <v xml:space="preserve"> </v>
      </c>
      <c r="M230" s="1"/>
    </row>
    <row r="231" spans="1:13" x14ac:dyDescent="0.25">
      <c r="A231" s="33" t="str">
        <f t="shared" si="9"/>
        <v/>
      </c>
      <c r="B231" s="1"/>
      <c r="C231" s="2"/>
      <c r="D231" s="233"/>
      <c r="E231" s="2"/>
      <c r="F231" s="2"/>
      <c r="G231" s="2"/>
      <c r="H231" s="30">
        <f t="shared" si="10"/>
        <v>0</v>
      </c>
      <c r="I231" s="1"/>
      <c r="J231" s="1"/>
      <c r="K231" s="1"/>
      <c r="L231" s="1" t="str">
        <f t="shared" si="8"/>
        <v xml:space="preserve"> </v>
      </c>
      <c r="M231" s="1"/>
    </row>
    <row r="232" spans="1:13" x14ac:dyDescent="0.25">
      <c r="A232" s="33" t="str">
        <f t="shared" si="9"/>
        <v/>
      </c>
      <c r="B232" s="1"/>
      <c r="C232" s="2"/>
      <c r="D232" s="233"/>
      <c r="E232" s="2"/>
      <c r="F232" s="2"/>
      <c r="G232" s="2"/>
      <c r="H232" s="30">
        <f t="shared" si="10"/>
        <v>0</v>
      </c>
      <c r="I232" s="1"/>
      <c r="J232" s="1"/>
      <c r="K232" s="1"/>
      <c r="L232" s="1" t="str">
        <f t="shared" si="8"/>
        <v xml:space="preserve"> </v>
      </c>
      <c r="M232" s="1"/>
    </row>
    <row r="233" spans="1:13" x14ac:dyDescent="0.25">
      <c r="A233" s="33" t="str">
        <f t="shared" si="9"/>
        <v/>
      </c>
      <c r="B233" s="1"/>
      <c r="C233" s="2"/>
      <c r="D233" s="233"/>
      <c r="E233" s="2"/>
      <c r="F233" s="2"/>
      <c r="G233" s="2"/>
      <c r="H233" s="30">
        <f t="shared" si="10"/>
        <v>0</v>
      </c>
      <c r="I233" s="1"/>
      <c r="J233" s="1"/>
      <c r="K233" s="1"/>
      <c r="L233" s="1" t="str">
        <f t="shared" ref="L233:L296" si="11">CONCATENATE(J233," ",I233)</f>
        <v xml:space="preserve"> </v>
      </c>
      <c r="M233" s="1"/>
    </row>
    <row r="234" spans="1:13" x14ac:dyDescent="0.25">
      <c r="A234" s="33" t="str">
        <f t="shared" si="9"/>
        <v/>
      </c>
      <c r="B234" s="1"/>
      <c r="C234" s="2"/>
      <c r="D234" s="233"/>
      <c r="E234" s="2"/>
      <c r="F234" s="2"/>
      <c r="G234" s="2"/>
      <c r="H234" s="30">
        <f t="shared" si="10"/>
        <v>0</v>
      </c>
      <c r="I234" s="1"/>
      <c r="J234" s="1"/>
      <c r="K234" s="1"/>
      <c r="L234" s="1" t="str">
        <f t="shared" si="11"/>
        <v xml:space="preserve"> </v>
      </c>
      <c r="M234" s="1"/>
    </row>
    <row r="235" spans="1:13" x14ac:dyDescent="0.25">
      <c r="A235" s="33" t="str">
        <f t="shared" si="9"/>
        <v/>
      </c>
      <c r="B235" s="1"/>
      <c r="C235" s="2"/>
      <c r="D235" s="233"/>
      <c r="E235" s="2"/>
      <c r="F235" s="2"/>
      <c r="G235" s="2"/>
      <c r="H235" s="30">
        <f t="shared" si="10"/>
        <v>0</v>
      </c>
      <c r="I235" s="1"/>
      <c r="J235" s="1"/>
      <c r="K235" s="1"/>
      <c r="L235" s="1" t="str">
        <f t="shared" si="11"/>
        <v xml:space="preserve"> </v>
      </c>
      <c r="M235" s="1"/>
    </row>
    <row r="236" spans="1:13" x14ac:dyDescent="0.25">
      <c r="A236" s="33" t="str">
        <f t="shared" si="9"/>
        <v/>
      </c>
      <c r="B236" s="1"/>
      <c r="C236" s="2"/>
      <c r="D236" s="233"/>
      <c r="E236" s="2"/>
      <c r="F236" s="2"/>
      <c r="G236" s="2"/>
      <c r="H236" s="30">
        <f t="shared" si="10"/>
        <v>0</v>
      </c>
      <c r="I236" s="1"/>
      <c r="J236" s="1"/>
      <c r="K236" s="1"/>
      <c r="L236" s="1" t="str">
        <f t="shared" si="11"/>
        <v xml:space="preserve"> </v>
      </c>
      <c r="M236" s="1"/>
    </row>
    <row r="237" spans="1:13" x14ac:dyDescent="0.25">
      <c r="A237" s="33" t="str">
        <f t="shared" si="9"/>
        <v/>
      </c>
      <c r="B237" s="1"/>
      <c r="C237" s="2"/>
      <c r="D237" s="233"/>
      <c r="E237" s="2"/>
      <c r="F237" s="2"/>
      <c r="G237" s="2"/>
      <c r="H237" s="30">
        <f t="shared" si="10"/>
        <v>0</v>
      </c>
      <c r="I237" s="1"/>
      <c r="J237" s="1"/>
      <c r="K237" s="1"/>
      <c r="L237" s="1" t="str">
        <f t="shared" si="11"/>
        <v xml:space="preserve"> </v>
      </c>
      <c r="M237" s="1"/>
    </row>
    <row r="238" spans="1:13" x14ac:dyDescent="0.25">
      <c r="A238" s="33" t="str">
        <f t="shared" si="9"/>
        <v/>
      </c>
      <c r="B238" s="1"/>
      <c r="C238" s="2"/>
      <c r="D238" s="233"/>
      <c r="E238" s="2"/>
      <c r="F238" s="2"/>
      <c r="G238" s="2"/>
      <c r="H238" s="30">
        <f t="shared" si="10"/>
        <v>0</v>
      </c>
      <c r="I238" s="1"/>
      <c r="J238" s="1"/>
      <c r="K238" s="1"/>
      <c r="L238" s="1" t="str">
        <f t="shared" si="11"/>
        <v xml:space="preserve"> </v>
      </c>
      <c r="M238" s="1"/>
    </row>
    <row r="239" spans="1:13" x14ac:dyDescent="0.25">
      <c r="A239" s="33" t="str">
        <f t="shared" si="9"/>
        <v/>
      </c>
      <c r="B239" s="1"/>
      <c r="C239" s="2"/>
      <c r="D239" s="233"/>
      <c r="E239" s="2"/>
      <c r="F239" s="2"/>
      <c r="G239" s="2"/>
      <c r="H239" s="30">
        <f t="shared" si="10"/>
        <v>0</v>
      </c>
      <c r="I239" s="1"/>
      <c r="J239" s="1"/>
      <c r="K239" s="1"/>
      <c r="L239" s="1" t="str">
        <f t="shared" si="11"/>
        <v xml:space="preserve"> </v>
      </c>
      <c r="M239" s="1"/>
    </row>
    <row r="240" spans="1:13" x14ac:dyDescent="0.25">
      <c r="A240" s="33" t="str">
        <f t="shared" si="9"/>
        <v/>
      </c>
      <c r="B240" s="1"/>
      <c r="C240" s="2"/>
      <c r="D240" s="233"/>
      <c r="E240" s="2"/>
      <c r="F240" s="2"/>
      <c r="G240" s="2"/>
      <c r="H240" s="30">
        <f t="shared" si="10"/>
        <v>0</v>
      </c>
      <c r="I240" s="1"/>
      <c r="J240" s="1"/>
      <c r="K240" s="1"/>
      <c r="L240" s="1" t="str">
        <f t="shared" si="11"/>
        <v xml:space="preserve"> </v>
      </c>
      <c r="M240" s="1"/>
    </row>
    <row r="241" spans="1:13" x14ac:dyDescent="0.25">
      <c r="A241" s="33" t="str">
        <f t="shared" si="9"/>
        <v/>
      </c>
      <c r="B241" s="1"/>
      <c r="C241" s="2"/>
      <c r="D241" s="233"/>
      <c r="E241" s="2"/>
      <c r="F241" s="2"/>
      <c r="G241" s="2"/>
      <c r="H241" s="30">
        <f t="shared" si="10"/>
        <v>0</v>
      </c>
      <c r="I241" s="1"/>
      <c r="J241" s="1"/>
      <c r="K241" s="1"/>
      <c r="L241" s="1" t="str">
        <f t="shared" si="11"/>
        <v xml:space="preserve"> </v>
      </c>
      <c r="M241" s="1"/>
    </row>
    <row r="242" spans="1:13" x14ac:dyDescent="0.25">
      <c r="A242" s="33" t="str">
        <f t="shared" si="9"/>
        <v/>
      </c>
      <c r="B242" s="1"/>
      <c r="C242" s="2"/>
      <c r="D242" s="233"/>
      <c r="E242" s="2"/>
      <c r="F242" s="2"/>
      <c r="G242" s="2"/>
      <c r="H242" s="30">
        <f t="shared" si="10"/>
        <v>0</v>
      </c>
      <c r="I242" s="1"/>
      <c r="J242" s="1"/>
      <c r="K242" s="1"/>
      <c r="L242" s="1" t="str">
        <f t="shared" si="11"/>
        <v xml:space="preserve"> </v>
      </c>
      <c r="M242" s="1"/>
    </row>
    <row r="243" spans="1:13" x14ac:dyDescent="0.25">
      <c r="A243" s="33" t="str">
        <f t="shared" ref="A243:A306" si="12">CONCATENATE(B243,C243,E243)</f>
        <v/>
      </c>
      <c r="B243" s="1"/>
      <c r="C243" s="2"/>
      <c r="D243" s="233"/>
      <c r="E243" s="2"/>
      <c r="F243" s="2"/>
      <c r="G243" s="2"/>
      <c r="H243" s="30">
        <f t="shared" ref="H243:H306" si="13">IFERROR(IF(F243&gt;G243,((G243+B243+1)-(F243+B243))*24,HOUR(G243-F243)+MINUTE(G243-F243)/60),"")</f>
        <v>0</v>
      </c>
      <c r="I243" s="1"/>
      <c r="J243" s="1"/>
      <c r="K243" s="1"/>
      <c r="L243" s="1" t="str">
        <f t="shared" si="11"/>
        <v xml:space="preserve"> </v>
      </c>
      <c r="M243" s="1"/>
    </row>
    <row r="244" spans="1:13" x14ac:dyDescent="0.25">
      <c r="A244" s="33" t="str">
        <f t="shared" si="12"/>
        <v/>
      </c>
      <c r="B244" s="1"/>
      <c r="C244" s="2"/>
      <c r="D244" s="233"/>
      <c r="E244" s="2"/>
      <c r="F244" s="2"/>
      <c r="G244" s="2"/>
      <c r="H244" s="30">
        <f t="shared" si="13"/>
        <v>0</v>
      </c>
      <c r="I244" s="1"/>
      <c r="J244" s="1"/>
      <c r="K244" s="1"/>
      <c r="L244" s="1" t="str">
        <f t="shared" si="11"/>
        <v xml:space="preserve"> </v>
      </c>
      <c r="M244" s="1"/>
    </row>
    <row r="245" spans="1:13" x14ac:dyDescent="0.25">
      <c r="A245" s="33" t="str">
        <f t="shared" si="12"/>
        <v/>
      </c>
      <c r="B245" s="1"/>
      <c r="C245" s="2"/>
      <c r="D245" s="233"/>
      <c r="E245" s="2"/>
      <c r="F245" s="2"/>
      <c r="G245" s="2"/>
      <c r="H245" s="30">
        <f t="shared" si="13"/>
        <v>0</v>
      </c>
      <c r="I245" s="1"/>
      <c r="J245" s="1"/>
      <c r="K245" s="1"/>
      <c r="L245" s="1" t="str">
        <f t="shared" si="11"/>
        <v xml:space="preserve"> </v>
      </c>
      <c r="M245" s="1"/>
    </row>
    <row r="246" spans="1:13" x14ac:dyDescent="0.25">
      <c r="A246" s="33" t="str">
        <f t="shared" si="12"/>
        <v/>
      </c>
      <c r="B246" s="1"/>
      <c r="C246" s="2"/>
      <c r="D246" s="233"/>
      <c r="E246" s="2"/>
      <c r="F246" s="2"/>
      <c r="G246" s="2"/>
      <c r="H246" s="30">
        <f t="shared" si="13"/>
        <v>0</v>
      </c>
      <c r="I246" s="1"/>
      <c r="J246" s="1"/>
      <c r="K246" s="1"/>
      <c r="L246" s="1" t="str">
        <f t="shared" si="11"/>
        <v xml:space="preserve"> </v>
      </c>
      <c r="M246" s="1"/>
    </row>
    <row r="247" spans="1:13" x14ac:dyDescent="0.25">
      <c r="A247" s="33" t="str">
        <f t="shared" si="12"/>
        <v/>
      </c>
      <c r="B247" s="1"/>
      <c r="C247" s="2"/>
      <c r="D247" s="233"/>
      <c r="E247" s="2"/>
      <c r="F247" s="2"/>
      <c r="G247" s="2"/>
      <c r="H247" s="30">
        <f t="shared" si="13"/>
        <v>0</v>
      </c>
      <c r="I247" s="1"/>
      <c r="J247" s="1"/>
      <c r="K247" s="1"/>
      <c r="L247" s="1" t="str">
        <f t="shared" si="11"/>
        <v xml:space="preserve"> </v>
      </c>
      <c r="M247" s="1"/>
    </row>
    <row r="248" spans="1:13" x14ac:dyDescent="0.25">
      <c r="A248" s="33" t="str">
        <f t="shared" si="12"/>
        <v/>
      </c>
      <c r="B248" s="1"/>
      <c r="C248" s="2"/>
      <c r="D248" s="233"/>
      <c r="E248" s="2"/>
      <c r="F248" s="2"/>
      <c r="G248" s="2"/>
      <c r="H248" s="30">
        <f t="shared" si="13"/>
        <v>0</v>
      </c>
      <c r="I248" s="1"/>
      <c r="J248" s="1"/>
      <c r="K248" s="1"/>
      <c r="L248" s="1" t="str">
        <f t="shared" si="11"/>
        <v xml:space="preserve"> </v>
      </c>
      <c r="M248" s="1"/>
    </row>
    <row r="249" spans="1:13" x14ac:dyDescent="0.25">
      <c r="A249" s="33" t="str">
        <f t="shared" si="12"/>
        <v/>
      </c>
      <c r="B249" s="1"/>
      <c r="C249" s="2"/>
      <c r="D249" s="233"/>
      <c r="E249" s="2"/>
      <c r="F249" s="2"/>
      <c r="G249" s="2"/>
      <c r="H249" s="30">
        <f t="shared" si="13"/>
        <v>0</v>
      </c>
      <c r="I249" s="1"/>
      <c r="J249" s="1"/>
      <c r="K249" s="1"/>
      <c r="L249" s="1" t="str">
        <f t="shared" si="11"/>
        <v xml:space="preserve"> </v>
      </c>
      <c r="M249" s="1"/>
    </row>
    <row r="250" spans="1:13" x14ac:dyDescent="0.25">
      <c r="A250" s="33" t="str">
        <f t="shared" si="12"/>
        <v/>
      </c>
      <c r="B250" s="1"/>
      <c r="C250" s="2"/>
      <c r="D250" s="233"/>
      <c r="E250" s="2"/>
      <c r="F250" s="2"/>
      <c r="G250" s="2"/>
      <c r="H250" s="30">
        <f t="shared" si="13"/>
        <v>0</v>
      </c>
      <c r="I250" s="1"/>
      <c r="J250" s="1"/>
      <c r="K250" s="1"/>
      <c r="L250" s="1" t="str">
        <f t="shared" si="11"/>
        <v xml:space="preserve"> </v>
      </c>
      <c r="M250" s="1"/>
    </row>
    <row r="251" spans="1:13" x14ac:dyDescent="0.25">
      <c r="A251" s="33" t="str">
        <f t="shared" si="12"/>
        <v/>
      </c>
      <c r="B251" s="1"/>
      <c r="C251" s="2"/>
      <c r="D251" s="233"/>
      <c r="E251" s="2"/>
      <c r="F251" s="2"/>
      <c r="G251" s="2"/>
      <c r="H251" s="30">
        <f t="shared" si="13"/>
        <v>0</v>
      </c>
      <c r="I251" s="1"/>
      <c r="J251" s="1"/>
      <c r="K251" s="1"/>
      <c r="L251" s="1" t="str">
        <f t="shared" si="11"/>
        <v xml:space="preserve"> </v>
      </c>
      <c r="M251" s="1"/>
    </row>
    <row r="252" spans="1:13" x14ac:dyDescent="0.25">
      <c r="A252" s="33" t="str">
        <f t="shared" si="12"/>
        <v/>
      </c>
      <c r="B252" s="1"/>
      <c r="C252" s="2"/>
      <c r="D252" s="233"/>
      <c r="E252" s="2"/>
      <c r="F252" s="2"/>
      <c r="G252" s="2"/>
      <c r="H252" s="30">
        <f t="shared" si="13"/>
        <v>0</v>
      </c>
      <c r="I252" s="1"/>
      <c r="J252" s="1"/>
      <c r="K252" s="1"/>
      <c r="L252" s="1" t="str">
        <f t="shared" si="11"/>
        <v xml:space="preserve"> </v>
      </c>
      <c r="M252" s="1"/>
    </row>
    <row r="253" spans="1:13" x14ac:dyDescent="0.25">
      <c r="A253" s="33" t="str">
        <f t="shared" si="12"/>
        <v/>
      </c>
      <c r="B253" s="1"/>
      <c r="C253" s="2"/>
      <c r="D253" s="233"/>
      <c r="E253" s="2"/>
      <c r="F253" s="2"/>
      <c r="G253" s="2"/>
      <c r="H253" s="30">
        <f t="shared" si="13"/>
        <v>0</v>
      </c>
      <c r="I253" s="1"/>
      <c r="J253" s="1"/>
      <c r="K253" s="1"/>
      <c r="L253" s="1" t="str">
        <f t="shared" si="11"/>
        <v xml:space="preserve"> </v>
      </c>
      <c r="M253" s="1"/>
    </row>
    <row r="254" spans="1:13" x14ac:dyDescent="0.25">
      <c r="A254" s="33" t="str">
        <f t="shared" si="12"/>
        <v/>
      </c>
      <c r="B254" s="1"/>
      <c r="C254" s="2"/>
      <c r="D254" s="233"/>
      <c r="E254" s="2"/>
      <c r="F254" s="2"/>
      <c r="G254" s="2"/>
      <c r="H254" s="30">
        <f t="shared" si="13"/>
        <v>0</v>
      </c>
      <c r="I254" s="1"/>
      <c r="J254" s="1"/>
      <c r="K254" s="1"/>
      <c r="L254" s="1" t="str">
        <f t="shared" si="11"/>
        <v xml:space="preserve"> </v>
      </c>
      <c r="M254" s="1"/>
    </row>
    <row r="255" spans="1:13" x14ac:dyDescent="0.25">
      <c r="A255" s="33" t="str">
        <f t="shared" si="12"/>
        <v/>
      </c>
      <c r="B255" s="1"/>
      <c r="C255" s="2"/>
      <c r="D255" s="233"/>
      <c r="E255" s="2"/>
      <c r="F255" s="2"/>
      <c r="G255" s="2"/>
      <c r="H255" s="30">
        <f t="shared" si="13"/>
        <v>0</v>
      </c>
      <c r="I255" s="1"/>
      <c r="J255" s="1"/>
      <c r="K255" s="1"/>
      <c r="L255" s="1" t="str">
        <f t="shared" si="11"/>
        <v xml:space="preserve"> </v>
      </c>
      <c r="M255" s="1"/>
    </row>
    <row r="256" spans="1:13" x14ac:dyDescent="0.25">
      <c r="A256" s="33" t="str">
        <f t="shared" si="12"/>
        <v/>
      </c>
      <c r="B256" s="1"/>
      <c r="C256" s="2"/>
      <c r="D256" s="233"/>
      <c r="E256" s="2"/>
      <c r="F256" s="2"/>
      <c r="G256" s="2"/>
      <c r="H256" s="30">
        <f t="shared" si="13"/>
        <v>0</v>
      </c>
      <c r="I256" s="1"/>
      <c r="J256" s="1"/>
      <c r="K256" s="1"/>
      <c r="L256" s="1" t="str">
        <f t="shared" si="11"/>
        <v xml:space="preserve"> </v>
      </c>
      <c r="M256" s="1"/>
    </row>
    <row r="257" spans="1:13" x14ac:dyDescent="0.25">
      <c r="A257" s="33" t="str">
        <f t="shared" si="12"/>
        <v/>
      </c>
      <c r="B257" s="1"/>
      <c r="C257" s="2"/>
      <c r="D257" s="233"/>
      <c r="E257" s="2"/>
      <c r="F257" s="2"/>
      <c r="G257" s="2"/>
      <c r="H257" s="30">
        <f t="shared" si="13"/>
        <v>0</v>
      </c>
      <c r="I257" s="1"/>
      <c r="J257" s="1"/>
      <c r="K257" s="1"/>
      <c r="L257" s="1" t="str">
        <f t="shared" si="11"/>
        <v xml:space="preserve"> </v>
      </c>
      <c r="M257" s="1"/>
    </row>
    <row r="258" spans="1:13" x14ac:dyDescent="0.25">
      <c r="A258" s="33" t="str">
        <f t="shared" si="12"/>
        <v/>
      </c>
      <c r="B258" s="1"/>
      <c r="C258" s="2"/>
      <c r="D258" s="233"/>
      <c r="E258" s="2"/>
      <c r="F258" s="2"/>
      <c r="G258" s="2"/>
      <c r="H258" s="30">
        <f t="shared" si="13"/>
        <v>0</v>
      </c>
      <c r="I258" s="1"/>
      <c r="J258" s="1"/>
      <c r="K258" s="1"/>
      <c r="L258" s="1" t="str">
        <f t="shared" si="11"/>
        <v xml:space="preserve"> </v>
      </c>
      <c r="M258" s="1"/>
    </row>
    <row r="259" spans="1:13" x14ac:dyDescent="0.25">
      <c r="A259" s="33" t="str">
        <f t="shared" si="12"/>
        <v/>
      </c>
      <c r="B259" s="1"/>
      <c r="C259" s="2"/>
      <c r="D259" s="233"/>
      <c r="E259" s="2"/>
      <c r="F259" s="2"/>
      <c r="G259" s="2"/>
      <c r="H259" s="30">
        <f t="shared" si="13"/>
        <v>0</v>
      </c>
      <c r="I259" s="1"/>
      <c r="J259" s="1"/>
      <c r="K259" s="1"/>
      <c r="L259" s="1" t="str">
        <f t="shared" si="11"/>
        <v xml:space="preserve"> </v>
      </c>
      <c r="M259" s="1"/>
    </row>
    <row r="260" spans="1:13" x14ac:dyDescent="0.25">
      <c r="A260" s="33" t="str">
        <f t="shared" si="12"/>
        <v/>
      </c>
      <c r="B260" s="1"/>
      <c r="C260" s="2"/>
      <c r="D260" s="233"/>
      <c r="E260" s="2"/>
      <c r="F260" s="2"/>
      <c r="G260" s="2"/>
      <c r="H260" s="30">
        <f t="shared" si="13"/>
        <v>0</v>
      </c>
      <c r="I260" s="1"/>
      <c r="J260" s="1"/>
      <c r="K260" s="1"/>
      <c r="L260" s="1" t="str">
        <f t="shared" si="11"/>
        <v xml:space="preserve"> </v>
      </c>
      <c r="M260" s="1"/>
    </row>
    <row r="261" spans="1:13" x14ac:dyDescent="0.25">
      <c r="A261" s="33" t="str">
        <f t="shared" si="12"/>
        <v/>
      </c>
      <c r="B261" s="1"/>
      <c r="C261" s="2"/>
      <c r="D261" s="233"/>
      <c r="E261" s="2"/>
      <c r="F261" s="2"/>
      <c r="G261" s="2"/>
      <c r="H261" s="30">
        <f t="shared" si="13"/>
        <v>0</v>
      </c>
      <c r="I261" s="1"/>
      <c r="J261" s="1"/>
      <c r="K261" s="1"/>
      <c r="L261" s="1" t="str">
        <f t="shared" si="11"/>
        <v xml:space="preserve"> </v>
      </c>
      <c r="M261" s="1"/>
    </row>
    <row r="262" spans="1:13" x14ac:dyDescent="0.25">
      <c r="A262" s="33" t="str">
        <f t="shared" si="12"/>
        <v/>
      </c>
      <c r="B262" s="1"/>
      <c r="C262" s="2"/>
      <c r="D262" s="233"/>
      <c r="E262" s="2"/>
      <c r="F262" s="2"/>
      <c r="G262" s="2"/>
      <c r="H262" s="30">
        <f t="shared" si="13"/>
        <v>0</v>
      </c>
      <c r="I262" s="1"/>
      <c r="J262" s="1"/>
      <c r="K262" s="1"/>
      <c r="L262" s="1" t="str">
        <f t="shared" si="11"/>
        <v xml:space="preserve"> </v>
      </c>
      <c r="M262" s="1"/>
    </row>
    <row r="263" spans="1:13" x14ac:dyDescent="0.25">
      <c r="A263" s="33" t="str">
        <f t="shared" si="12"/>
        <v/>
      </c>
      <c r="B263" s="1"/>
      <c r="C263" s="2"/>
      <c r="D263" s="233"/>
      <c r="E263" s="2"/>
      <c r="F263" s="2"/>
      <c r="G263" s="2"/>
      <c r="H263" s="30">
        <f t="shared" si="13"/>
        <v>0</v>
      </c>
      <c r="I263" s="1"/>
      <c r="J263" s="1"/>
      <c r="K263" s="1"/>
      <c r="L263" s="1" t="str">
        <f t="shared" si="11"/>
        <v xml:space="preserve"> </v>
      </c>
      <c r="M263" s="1"/>
    </row>
    <row r="264" spans="1:13" x14ac:dyDescent="0.25">
      <c r="A264" s="33" t="str">
        <f t="shared" si="12"/>
        <v/>
      </c>
      <c r="B264" s="1"/>
      <c r="C264" s="2"/>
      <c r="D264" s="233"/>
      <c r="E264" s="2"/>
      <c r="F264" s="2"/>
      <c r="G264" s="2"/>
      <c r="H264" s="30">
        <f t="shared" si="13"/>
        <v>0</v>
      </c>
      <c r="I264" s="1"/>
      <c r="J264" s="1"/>
      <c r="K264" s="1"/>
      <c r="L264" s="1" t="str">
        <f t="shared" si="11"/>
        <v xml:space="preserve"> </v>
      </c>
      <c r="M264" s="1"/>
    </row>
    <row r="265" spans="1:13" x14ac:dyDescent="0.25">
      <c r="A265" s="33" t="str">
        <f t="shared" si="12"/>
        <v/>
      </c>
      <c r="B265" s="1"/>
      <c r="C265" s="2"/>
      <c r="D265" s="233"/>
      <c r="E265" s="2"/>
      <c r="F265" s="2"/>
      <c r="G265" s="2"/>
      <c r="H265" s="30">
        <f t="shared" si="13"/>
        <v>0</v>
      </c>
      <c r="I265" s="1"/>
      <c r="J265" s="1"/>
      <c r="K265" s="1"/>
      <c r="L265" s="1" t="str">
        <f t="shared" si="11"/>
        <v xml:space="preserve"> </v>
      </c>
      <c r="M265" s="1"/>
    </row>
    <row r="266" spans="1:13" x14ac:dyDescent="0.25">
      <c r="A266" s="33" t="str">
        <f t="shared" si="12"/>
        <v/>
      </c>
      <c r="B266" s="1"/>
      <c r="C266" s="2"/>
      <c r="D266" s="233"/>
      <c r="E266" s="2"/>
      <c r="F266" s="2"/>
      <c r="G266" s="2"/>
      <c r="H266" s="30">
        <f t="shared" si="13"/>
        <v>0</v>
      </c>
      <c r="I266" s="1"/>
      <c r="J266" s="1"/>
      <c r="K266" s="1"/>
      <c r="L266" s="1" t="str">
        <f t="shared" si="11"/>
        <v xml:space="preserve"> </v>
      </c>
      <c r="M266" s="1"/>
    </row>
    <row r="267" spans="1:13" x14ac:dyDescent="0.25">
      <c r="A267" s="33" t="str">
        <f t="shared" si="12"/>
        <v/>
      </c>
      <c r="B267" s="1"/>
      <c r="C267" s="2"/>
      <c r="D267" s="233"/>
      <c r="E267" s="2"/>
      <c r="F267" s="2"/>
      <c r="G267" s="2"/>
      <c r="H267" s="30">
        <f t="shared" si="13"/>
        <v>0</v>
      </c>
      <c r="I267" s="1"/>
      <c r="J267" s="1"/>
      <c r="K267" s="1"/>
      <c r="L267" s="1" t="str">
        <f t="shared" si="11"/>
        <v xml:space="preserve"> </v>
      </c>
      <c r="M267" s="1"/>
    </row>
    <row r="268" spans="1:13" x14ac:dyDescent="0.25">
      <c r="A268" s="33" t="str">
        <f t="shared" si="12"/>
        <v/>
      </c>
      <c r="B268" s="1"/>
      <c r="C268" s="2"/>
      <c r="D268" s="233"/>
      <c r="E268" s="2"/>
      <c r="F268" s="2"/>
      <c r="G268" s="2"/>
      <c r="H268" s="30">
        <f t="shared" si="13"/>
        <v>0</v>
      </c>
      <c r="I268" s="1"/>
      <c r="J268" s="1"/>
      <c r="K268" s="1"/>
      <c r="L268" s="1" t="str">
        <f t="shared" si="11"/>
        <v xml:space="preserve"> </v>
      </c>
      <c r="M268" s="1"/>
    </row>
    <row r="269" spans="1:13" x14ac:dyDescent="0.25">
      <c r="A269" s="33" t="str">
        <f t="shared" si="12"/>
        <v/>
      </c>
      <c r="B269" s="1"/>
      <c r="C269" s="2"/>
      <c r="D269" s="233"/>
      <c r="E269" s="2"/>
      <c r="F269" s="2"/>
      <c r="G269" s="2"/>
      <c r="H269" s="30">
        <f t="shared" si="13"/>
        <v>0</v>
      </c>
      <c r="I269" s="1"/>
      <c r="J269" s="1"/>
      <c r="K269" s="1"/>
      <c r="L269" s="1" t="str">
        <f t="shared" si="11"/>
        <v xml:space="preserve"> </v>
      </c>
      <c r="M269" s="1"/>
    </row>
    <row r="270" spans="1:13" x14ac:dyDescent="0.25">
      <c r="A270" s="33" t="str">
        <f t="shared" si="12"/>
        <v/>
      </c>
      <c r="B270" s="1"/>
      <c r="C270" s="2"/>
      <c r="D270" s="233"/>
      <c r="E270" s="2"/>
      <c r="F270" s="2"/>
      <c r="G270" s="2"/>
      <c r="H270" s="30">
        <f t="shared" si="13"/>
        <v>0</v>
      </c>
      <c r="I270" s="1"/>
      <c r="J270" s="1"/>
      <c r="K270" s="1"/>
      <c r="L270" s="1" t="str">
        <f t="shared" si="11"/>
        <v xml:space="preserve"> </v>
      </c>
      <c r="M270" s="1"/>
    </row>
    <row r="271" spans="1:13" x14ac:dyDescent="0.25">
      <c r="A271" s="33" t="str">
        <f t="shared" si="12"/>
        <v/>
      </c>
      <c r="B271" s="1"/>
      <c r="C271" s="2"/>
      <c r="D271" s="233"/>
      <c r="E271" s="2"/>
      <c r="F271" s="2"/>
      <c r="G271" s="2"/>
      <c r="H271" s="30">
        <f t="shared" si="13"/>
        <v>0</v>
      </c>
      <c r="I271" s="1"/>
      <c r="J271" s="1"/>
      <c r="K271" s="1"/>
      <c r="L271" s="1" t="str">
        <f t="shared" si="11"/>
        <v xml:space="preserve"> </v>
      </c>
      <c r="M271" s="1"/>
    </row>
    <row r="272" spans="1:13" x14ac:dyDescent="0.25">
      <c r="A272" s="33" t="str">
        <f t="shared" si="12"/>
        <v/>
      </c>
      <c r="B272" s="1"/>
      <c r="C272" s="2"/>
      <c r="D272" s="233"/>
      <c r="E272" s="2"/>
      <c r="F272" s="2"/>
      <c r="G272" s="2"/>
      <c r="H272" s="30">
        <f t="shared" si="13"/>
        <v>0</v>
      </c>
      <c r="I272" s="1"/>
      <c r="J272" s="1"/>
      <c r="K272" s="1"/>
      <c r="L272" s="1" t="str">
        <f t="shared" si="11"/>
        <v xml:space="preserve"> </v>
      </c>
      <c r="M272" s="1"/>
    </row>
    <row r="273" spans="1:13" x14ac:dyDescent="0.25">
      <c r="A273" s="33" t="str">
        <f t="shared" si="12"/>
        <v/>
      </c>
      <c r="B273" s="1"/>
      <c r="C273" s="2"/>
      <c r="D273" s="233"/>
      <c r="E273" s="2"/>
      <c r="F273" s="2"/>
      <c r="G273" s="2"/>
      <c r="H273" s="30">
        <f t="shared" si="13"/>
        <v>0</v>
      </c>
      <c r="I273" s="1"/>
      <c r="J273" s="1"/>
      <c r="K273" s="1"/>
      <c r="L273" s="1" t="str">
        <f t="shared" si="11"/>
        <v xml:space="preserve"> </v>
      </c>
      <c r="M273" s="1"/>
    </row>
    <row r="274" spans="1:13" x14ac:dyDescent="0.25">
      <c r="A274" s="33" t="str">
        <f t="shared" si="12"/>
        <v/>
      </c>
      <c r="B274" s="1"/>
      <c r="C274" s="2"/>
      <c r="D274" s="233"/>
      <c r="E274" s="2"/>
      <c r="F274" s="2"/>
      <c r="G274" s="2"/>
      <c r="H274" s="30">
        <f t="shared" si="13"/>
        <v>0</v>
      </c>
      <c r="I274" s="1"/>
      <c r="J274" s="1"/>
      <c r="K274" s="1"/>
      <c r="L274" s="1" t="str">
        <f t="shared" si="11"/>
        <v xml:space="preserve"> </v>
      </c>
      <c r="M274" s="1"/>
    </row>
    <row r="275" spans="1:13" x14ac:dyDescent="0.25">
      <c r="A275" s="33" t="str">
        <f t="shared" si="12"/>
        <v/>
      </c>
      <c r="B275" s="1"/>
      <c r="C275" s="2"/>
      <c r="D275" s="233"/>
      <c r="E275" s="2"/>
      <c r="F275" s="2"/>
      <c r="G275" s="2"/>
      <c r="H275" s="30">
        <f t="shared" si="13"/>
        <v>0</v>
      </c>
      <c r="I275" s="1"/>
      <c r="J275" s="1"/>
      <c r="K275" s="1"/>
      <c r="L275" s="1" t="str">
        <f t="shared" si="11"/>
        <v xml:space="preserve"> </v>
      </c>
      <c r="M275" s="1"/>
    </row>
    <row r="276" spans="1:13" x14ac:dyDescent="0.25">
      <c r="A276" s="33" t="str">
        <f t="shared" si="12"/>
        <v/>
      </c>
      <c r="B276" s="1"/>
      <c r="C276" s="2"/>
      <c r="D276" s="233"/>
      <c r="E276" s="2"/>
      <c r="F276" s="2"/>
      <c r="G276" s="2"/>
      <c r="H276" s="30">
        <f t="shared" si="13"/>
        <v>0</v>
      </c>
      <c r="I276" s="1"/>
      <c r="J276" s="1"/>
      <c r="K276" s="1"/>
      <c r="L276" s="1" t="str">
        <f t="shared" si="11"/>
        <v xml:space="preserve"> </v>
      </c>
      <c r="M276" s="1"/>
    </row>
    <row r="277" spans="1:13" x14ac:dyDescent="0.25">
      <c r="A277" s="33" t="str">
        <f t="shared" si="12"/>
        <v/>
      </c>
      <c r="B277" s="1"/>
      <c r="C277" s="2"/>
      <c r="D277" s="233"/>
      <c r="E277" s="2"/>
      <c r="F277" s="2"/>
      <c r="G277" s="2"/>
      <c r="H277" s="30">
        <f t="shared" si="13"/>
        <v>0</v>
      </c>
      <c r="I277" s="1"/>
      <c r="J277" s="1"/>
      <c r="K277" s="1"/>
      <c r="L277" s="1" t="str">
        <f t="shared" si="11"/>
        <v xml:space="preserve"> </v>
      </c>
      <c r="M277" s="1"/>
    </row>
    <row r="278" spans="1:13" x14ac:dyDescent="0.25">
      <c r="A278" s="33" t="str">
        <f t="shared" si="12"/>
        <v/>
      </c>
      <c r="B278" s="1"/>
      <c r="C278" s="2"/>
      <c r="D278" s="233"/>
      <c r="E278" s="2"/>
      <c r="F278" s="2"/>
      <c r="G278" s="2"/>
      <c r="H278" s="30">
        <f t="shared" si="13"/>
        <v>0</v>
      </c>
      <c r="I278" s="1"/>
      <c r="J278" s="1"/>
      <c r="K278" s="1"/>
      <c r="L278" s="1" t="str">
        <f t="shared" si="11"/>
        <v xml:space="preserve"> </v>
      </c>
      <c r="M278" s="1"/>
    </row>
    <row r="279" spans="1:13" x14ac:dyDescent="0.25">
      <c r="A279" s="33" t="str">
        <f t="shared" si="12"/>
        <v/>
      </c>
      <c r="B279" s="1"/>
      <c r="C279" s="2"/>
      <c r="D279" s="233"/>
      <c r="E279" s="2"/>
      <c r="F279" s="2"/>
      <c r="G279" s="2"/>
      <c r="H279" s="30">
        <f t="shared" si="13"/>
        <v>0</v>
      </c>
      <c r="I279" s="1"/>
      <c r="J279" s="1"/>
      <c r="K279" s="1"/>
      <c r="L279" s="1" t="str">
        <f t="shared" si="11"/>
        <v xml:space="preserve"> </v>
      </c>
      <c r="M279" s="1"/>
    </row>
    <row r="280" spans="1:13" x14ac:dyDescent="0.25">
      <c r="A280" s="33" t="str">
        <f t="shared" si="12"/>
        <v/>
      </c>
      <c r="B280" s="1"/>
      <c r="C280" s="2"/>
      <c r="D280" s="233"/>
      <c r="E280" s="2"/>
      <c r="F280" s="2"/>
      <c r="G280" s="2"/>
      <c r="H280" s="30">
        <f t="shared" si="13"/>
        <v>0</v>
      </c>
      <c r="I280" s="1"/>
      <c r="J280" s="1"/>
      <c r="K280" s="1"/>
      <c r="L280" s="1" t="str">
        <f t="shared" si="11"/>
        <v xml:space="preserve"> </v>
      </c>
      <c r="M280" s="1"/>
    </row>
    <row r="281" spans="1:13" x14ac:dyDescent="0.25">
      <c r="A281" s="33" t="str">
        <f t="shared" si="12"/>
        <v/>
      </c>
      <c r="B281" s="1"/>
      <c r="C281" s="2"/>
      <c r="D281" s="233"/>
      <c r="E281" s="2"/>
      <c r="F281" s="2"/>
      <c r="G281" s="2"/>
      <c r="H281" s="30">
        <f t="shared" si="13"/>
        <v>0</v>
      </c>
      <c r="I281" s="1"/>
      <c r="J281" s="1"/>
      <c r="K281" s="1"/>
      <c r="L281" s="1" t="str">
        <f t="shared" si="11"/>
        <v xml:space="preserve"> </v>
      </c>
      <c r="M281" s="1"/>
    </row>
    <row r="282" spans="1:13" x14ac:dyDescent="0.25">
      <c r="A282" s="33" t="str">
        <f t="shared" si="12"/>
        <v/>
      </c>
      <c r="B282" s="1"/>
      <c r="C282" s="2"/>
      <c r="D282" s="233"/>
      <c r="E282" s="2"/>
      <c r="F282" s="2"/>
      <c r="G282" s="2"/>
      <c r="H282" s="30">
        <f t="shared" si="13"/>
        <v>0</v>
      </c>
      <c r="I282" s="1"/>
      <c r="J282" s="1"/>
      <c r="K282" s="1"/>
      <c r="L282" s="1" t="str">
        <f t="shared" si="11"/>
        <v xml:space="preserve"> </v>
      </c>
      <c r="M282" s="1"/>
    </row>
    <row r="283" spans="1:13" x14ac:dyDescent="0.25">
      <c r="A283" s="33" t="str">
        <f t="shared" si="12"/>
        <v/>
      </c>
      <c r="B283" s="1"/>
      <c r="C283" s="2"/>
      <c r="D283" s="233"/>
      <c r="E283" s="2"/>
      <c r="F283" s="2"/>
      <c r="G283" s="2"/>
      <c r="H283" s="30">
        <f t="shared" si="13"/>
        <v>0</v>
      </c>
      <c r="I283" s="1"/>
      <c r="J283" s="1"/>
      <c r="K283" s="1"/>
      <c r="L283" s="1" t="str">
        <f t="shared" si="11"/>
        <v xml:space="preserve"> </v>
      </c>
      <c r="M283" s="1"/>
    </row>
    <row r="284" spans="1:13" x14ac:dyDescent="0.25">
      <c r="A284" s="33" t="str">
        <f t="shared" si="12"/>
        <v/>
      </c>
      <c r="B284" s="1"/>
      <c r="C284" s="2"/>
      <c r="D284" s="233"/>
      <c r="E284" s="2"/>
      <c r="F284" s="2"/>
      <c r="G284" s="2"/>
      <c r="H284" s="30">
        <f t="shared" si="13"/>
        <v>0</v>
      </c>
      <c r="I284" s="1"/>
      <c r="J284" s="1"/>
      <c r="K284" s="1"/>
      <c r="L284" s="1" t="str">
        <f t="shared" si="11"/>
        <v xml:space="preserve"> </v>
      </c>
      <c r="M284" s="1"/>
    </row>
    <row r="285" spans="1:13" x14ac:dyDescent="0.25">
      <c r="A285" s="33" t="str">
        <f t="shared" si="12"/>
        <v/>
      </c>
      <c r="B285" s="1"/>
      <c r="C285" s="2"/>
      <c r="D285" s="233"/>
      <c r="E285" s="2"/>
      <c r="F285" s="2"/>
      <c r="G285" s="2"/>
      <c r="H285" s="30">
        <f t="shared" si="13"/>
        <v>0</v>
      </c>
      <c r="I285" s="1"/>
      <c r="J285" s="1"/>
      <c r="K285" s="1"/>
      <c r="L285" s="1" t="str">
        <f t="shared" si="11"/>
        <v xml:space="preserve"> </v>
      </c>
      <c r="M285" s="1"/>
    </row>
    <row r="286" spans="1:13" x14ac:dyDescent="0.25">
      <c r="A286" s="33" t="str">
        <f t="shared" si="12"/>
        <v/>
      </c>
      <c r="B286" s="1"/>
      <c r="C286" s="2"/>
      <c r="D286" s="233"/>
      <c r="E286" s="2"/>
      <c r="F286" s="2"/>
      <c r="G286" s="2"/>
      <c r="H286" s="30">
        <f t="shared" si="13"/>
        <v>0</v>
      </c>
      <c r="I286" s="1"/>
      <c r="J286" s="1"/>
      <c r="K286" s="1"/>
      <c r="L286" s="1" t="str">
        <f t="shared" si="11"/>
        <v xml:space="preserve"> </v>
      </c>
      <c r="M286" s="1"/>
    </row>
    <row r="287" spans="1:13" x14ac:dyDescent="0.25">
      <c r="A287" s="33" t="str">
        <f t="shared" si="12"/>
        <v/>
      </c>
      <c r="B287" s="1"/>
      <c r="C287" s="2"/>
      <c r="D287" s="233"/>
      <c r="E287" s="2"/>
      <c r="F287" s="2"/>
      <c r="G287" s="2"/>
      <c r="H287" s="30">
        <f t="shared" si="13"/>
        <v>0</v>
      </c>
      <c r="I287" s="1"/>
      <c r="J287" s="1"/>
      <c r="K287" s="1"/>
      <c r="L287" s="1" t="str">
        <f t="shared" si="11"/>
        <v xml:space="preserve"> </v>
      </c>
      <c r="M287" s="1"/>
    </row>
    <row r="288" spans="1:13" x14ac:dyDescent="0.25">
      <c r="A288" s="33" t="str">
        <f t="shared" si="12"/>
        <v/>
      </c>
      <c r="B288" s="1"/>
      <c r="C288" s="2"/>
      <c r="D288" s="233"/>
      <c r="E288" s="2"/>
      <c r="F288" s="2"/>
      <c r="G288" s="2"/>
      <c r="H288" s="30">
        <f t="shared" si="13"/>
        <v>0</v>
      </c>
      <c r="I288" s="1"/>
      <c r="J288" s="1"/>
      <c r="K288" s="1"/>
      <c r="L288" s="1" t="str">
        <f t="shared" si="11"/>
        <v xml:space="preserve"> </v>
      </c>
      <c r="M288" s="1"/>
    </row>
    <row r="289" spans="1:13" x14ac:dyDescent="0.25">
      <c r="A289" s="33" t="str">
        <f t="shared" si="12"/>
        <v/>
      </c>
      <c r="B289" s="1"/>
      <c r="C289" s="2"/>
      <c r="D289" s="233"/>
      <c r="E289" s="2"/>
      <c r="F289" s="2"/>
      <c r="G289" s="2"/>
      <c r="H289" s="30">
        <f t="shared" si="13"/>
        <v>0</v>
      </c>
      <c r="I289" s="1"/>
      <c r="J289" s="1"/>
      <c r="K289" s="1"/>
      <c r="L289" s="1" t="str">
        <f t="shared" si="11"/>
        <v xml:space="preserve"> </v>
      </c>
      <c r="M289" s="1"/>
    </row>
    <row r="290" spans="1:13" x14ac:dyDescent="0.25">
      <c r="A290" s="33" t="str">
        <f t="shared" si="12"/>
        <v/>
      </c>
      <c r="B290" s="1"/>
      <c r="C290" s="2"/>
      <c r="D290" s="233"/>
      <c r="E290" s="2"/>
      <c r="F290" s="2"/>
      <c r="G290" s="2"/>
      <c r="H290" s="30">
        <f t="shared" si="13"/>
        <v>0</v>
      </c>
      <c r="I290" s="1"/>
      <c r="J290" s="1"/>
      <c r="K290" s="1"/>
      <c r="L290" s="1" t="str">
        <f t="shared" si="11"/>
        <v xml:space="preserve"> </v>
      </c>
      <c r="M290" s="1"/>
    </row>
    <row r="291" spans="1:13" x14ac:dyDescent="0.25">
      <c r="A291" s="33" t="str">
        <f t="shared" si="12"/>
        <v/>
      </c>
      <c r="B291" s="1"/>
      <c r="C291" s="2"/>
      <c r="D291" s="233"/>
      <c r="E291" s="2"/>
      <c r="F291" s="2"/>
      <c r="G291" s="2"/>
      <c r="H291" s="30">
        <f t="shared" si="13"/>
        <v>0</v>
      </c>
      <c r="I291" s="1"/>
      <c r="J291" s="1"/>
      <c r="K291" s="1"/>
      <c r="L291" s="1" t="str">
        <f t="shared" si="11"/>
        <v xml:space="preserve"> </v>
      </c>
      <c r="M291" s="1"/>
    </row>
    <row r="292" spans="1:13" x14ac:dyDescent="0.25">
      <c r="A292" s="33" t="str">
        <f t="shared" si="12"/>
        <v/>
      </c>
      <c r="B292" s="1"/>
      <c r="C292" s="2"/>
      <c r="D292" s="233"/>
      <c r="E292" s="2"/>
      <c r="F292" s="2"/>
      <c r="G292" s="2"/>
      <c r="H292" s="30">
        <f t="shared" si="13"/>
        <v>0</v>
      </c>
      <c r="I292" s="1"/>
      <c r="J292" s="1"/>
      <c r="K292" s="1"/>
      <c r="L292" s="1" t="str">
        <f t="shared" si="11"/>
        <v xml:space="preserve"> </v>
      </c>
      <c r="M292" s="1"/>
    </row>
    <row r="293" spans="1:13" x14ac:dyDescent="0.25">
      <c r="A293" s="33" t="str">
        <f t="shared" si="12"/>
        <v/>
      </c>
      <c r="B293" s="1"/>
      <c r="C293" s="2"/>
      <c r="D293" s="233"/>
      <c r="E293" s="2"/>
      <c r="F293" s="2"/>
      <c r="G293" s="2"/>
      <c r="H293" s="30">
        <f t="shared" si="13"/>
        <v>0</v>
      </c>
      <c r="I293" s="1"/>
      <c r="J293" s="1"/>
      <c r="K293" s="1"/>
      <c r="L293" s="1" t="str">
        <f t="shared" si="11"/>
        <v xml:space="preserve"> </v>
      </c>
      <c r="M293" s="1"/>
    </row>
    <row r="294" spans="1:13" x14ac:dyDescent="0.25">
      <c r="A294" s="33" t="str">
        <f t="shared" si="12"/>
        <v/>
      </c>
      <c r="B294" s="1"/>
      <c r="C294" s="2"/>
      <c r="D294" s="233"/>
      <c r="E294" s="2"/>
      <c r="F294" s="2"/>
      <c r="G294" s="2"/>
      <c r="H294" s="30">
        <f t="shared" si="13"/>
        <v>0</v>
      </c>
      <c r="I294" s="1"/>
      <c r="J294" s="1"/>
      <c r="K294" s="1"/>
      <c r="L294" s="1" t="str">
        <f t="shared" si="11"/>
        <v xml:space="preserve"> </v>
      </c>
      <c r="M294" s="1"/>
    </row>
    <row r="295" spans="1:13" x14ac:dyDescent="0.25">
      <c r="A295" s="33" t="str">
        <f t="shared" si="12"/>
        <v/>
      </c>
      <c r="B295" s="1"/>
      <c r="C295" s="2"/>
      <c r="D295" s="233"/>
      <c r="E295" s="2"/>
      <c r="F295" s="2"/>
      <c r="G295" s="2"/>
      <c r="H295" s="30">
        <f t="shared" si="13"/>
        <v>0</v>
      </c>
      <c r="I295" s="1"/>
      <c r="J295" s="1"/>
      <c r="K295" s="1"/>
      <c r="L295" s="1" t="str">
        <f t="shared" si="11"/>
        <v xml:space="preserve"> </v>
      </c>
      <c r="M295" s="1"/>
    </row>
    <row r="296" spans="1:13" x14ac:dyDescent="0.25">
      <c r="A296" s="33" t="str">
        <f t="shared" si="12"/>
        <v/>
      </c>
      <c r="B296" s="1"/>
      <c r="C296" s="2"/>
      <c r="D296" s="233"/>
      <c r="E296" s="2"/>
      <c r="F296" s="2"/>
      <c r="G296" s="2"/>
      <c r="H296" s="30">
        <f t="shared" si="13"/>
        <v>0</v>
      </c>
      <c r="I296" s="1"/>
      <c r="J296" s="1"/>
      <c r="K296" s="1"/>
      <c r="L296" s="1" t="str">
        <f t="shared" si="11"/>
        <v xml:space="preserve"> </v>
      </c>
      <c r="M296" s="1"/>
    </row>
    <row r="297" spans="1:13" x14ac:dyDescent="0.25">
      <c r="A297" s="33" t="str">
        <f t="shared" si="12"/>
        <v/>
      </c>
      <c r="B297" s="1"/>
      <c r="C297" s="2"/>
      <c r="D297" s="233"/>
      <c r="E297" s="2"/>
      <c r="F297" s="2"/>
      <c r="G297" s="2"/>
      <c r="H297" s="30">
        <f t="shared" si="13"/>
        <v>0</v>
      </c>
      <c r="I297" s="1"/>
      <c r="J297" s="1"/>
      <c r="K297" s="1"/>
      <c r="L297" s="1" t="str">
        <f t="shared" ref="L297:L360" si="14">CONCATENATE(J297," ",I297)</f>
        <v xml:space="preserve"> </v>
      </c>
      <c r="M297" s="1"/>
    </row>
    <row r="298" spans="1:13" x14ac:dyDescent="0.25">
      <c r="A298" s="33" t="str">
        <f t="shared" si="12"/>
        <v/>
      </c>
      <c r="B298" s="1"/>
      <c r="C298" s="2"/>
      <c r="D298" s="233"/>
      <c r="E298" s="2"/>
      <c r="F298" s="2"/>
      <c r="G298" s="2"/>
      <c r="H298" s="30">
        <f t="shared" si="13"/>
        <v>0</v>
      </c>
      <c r="I298" s="1"/>
      <c r="J298" s="1"/>
      <c r="K298" s="1"/>
      <c r="L298" s="1" t="str">
        <f t="shared" si="14"/>
        <v xml:space="preserve"> </v>
      </c>
      <c r="M298" s="1"/>
    </row>
    <row r="299" spans="1:13" x14ac:dyDescent="0.25">
      <c r="A299" s="33" t="str">
        <f t="shared" si="12"/>
        <v/>
      </c>
      <c r="B299" s="1"/>
      <c r="C299" s="2"/>
      <c r="D299" s="233"/>
      <c r="E299" s="2"/>
      <c r="F299" s="2"/>
      <c r="G299" s="2"/>
      <c r="H299" s="30">
        <f t="shared" si="13"/>
        <v>0</v>
      </c>
      <c r="I299" s="1"/>
      <c r="J299" s="1"/>
      <c r="K299" s="1"/>
      <c r="L299" s="1" t="str">
        <f t="shared" si="14"/>
        <v xml:space="preserve"> </v>
      </c>
      <c r="M299" s="1"/>
    </row>
    <row r="300" spans="1:13" x14ac:dyDescent="0.25">
      <c r="A300" s="33" t="str">
        <f t="shared" si="12"/>
        <v/>
      </c>
      <c r="B300" s="1"/>
      <c r="C300" s="2"/>
      <c r="D300" s="233"/>
      <c r="E300" s="2"/>
      <c r="F300" s="2"/>
      <c r="G300" s="2"/>
      <c r="H300" s="30">
        <f t="shared" si="13"/>
        <v>0</v>
      </c>
      <c r="I300" s="1"/>
      <c r="J300" s="1"/>
      <c r="K300" s="1"/>
      <c r="L300" s="1" t="str">
        <f t="shared" si="14"/>
        <v xml:space="preserve"> </v>
      </c>
      <c r="M300" s="1"/>
    </row>
    <row r="301" spans="1:13" x14ac:dyDescent="0.25">
      <c r="A301" s="33" t="str">
        <f t="shared" si="12"/>
        <v/>
      </c>
      <c r="B301" s="1"/>
      <c r="C301" s="2"/>
      <c r="D301" s="233"/>
      <c r="E301" s="2"/>
      <c r="F301" s="2"/>
      <c r="G301" s="2"/>
      <c r="H301" s="30">
        <f t="shared" si="13"/>
        <v>0</v>
      </c>
      <c r="I301" s="1"/>
      <c r="J301" s="1"/>
      <c r="K301" s="1"/>
      <c r="L301" s="1" t="str">
        <f t="shared" si="14"/>
        <v xml:space="preserve"> </v>
      </c>
      <c r="M301" s="1"/>
    </row>
    <row r="302" spans="1:13" x14ac:dyDescent="0.25">
      <c r="A302" s="33" t="str">
        <f t="shared" si="12"/>
        <v/>
      </c>
      <c r="B302" s="1"/>
      <c r="C302" s="2"/>
      <c r="D302" s="233"/>
      <c r="E302" s="2"/>
      <c r="F302" s="2"/>
      <c r="G302" s="2"/>
      <c r="H302" s="30">
        <f t="shared" si="13"/>
        <v>0</v>
      </c>
      <c r="I302" s="1"/>
      <c r="J302" s="1"/>
      <c r="K302" s="1"/>
      <c r="L302" s="1" t="str">
        <f t="shared" si="14"/>
        <v xml:space="preserve"> </v>
      </c>
      <c r="M302" s="1"/>
    </row>
    <row r="303" spans="1:13" x14ac:dyDescent="0.25">
      <c r="A303" s="33" t="str">
        <f t="shared" si="12"/>
        <v/>
      </c>
      <c r="B303" s="1"/>
      <c r="C303" s="2"/>
      <c r="D303" s="233"/>
      <c r="E303" s="2"/>
      <c r="F303" s="2"/>
      <c r="G303" s="2"/>
      <c r="H303" s="30">
        <f t="shared" si="13"/>
        <v>0</v>
      </c>
      <c r="I303" s="1"/>
      <c r="J303" s="1"/>
      <c r="K303" s="1"/>
      <c r="L303" s="1" t="str">
        <f t="shared" si="14"/>
        <v xml:space="preserve"> </v>
      </c>
      <c r="M303" s="1"/>
    </row>
    <row r="304" spans="1:13" x14ac:dyDescent="0.25">
      <c r="A304" s="33" t="str">
        <f t="shared" si="12"/>
        <v/>
      </c>
      <c r="B304" s="1"/>
      <c r="C304" s="2"/>
      <c r="D304" s="233"/>
      <c r="E304" s="2"/>
      <c r="F304" s="2"/>
      <c r="G304" s="2"/>
      <c r="H304" s="30">
        <f t="shared" si="13"/>
        <v>0</v>
      </c>
      <c r="I304" s="1"/>
      <c r="J304" s="1"/>
      <c r="K304" s="1"/>
      <c r="L304" s="1" t="str">
        <f t="shared" si="14"/>
        <v xml:space="preserve"> </v>
      </c>
      <c r="M304" s="1"/>
    </row>
    <row r="305" spans="1:13" x14ac:dyDescent="0.25">
      <c r="A305" s="33" t="str">
        <f t="shared" si="12"/>
        <v/>
      </c>
      <c r="B305" s="1"/>
      <c r="C305" s="2"/>
      <c r="D305" s="233"/>
      <c r="E305" s="2"/>
      <c r="F305" s="2"/>
      <c r="G305" s="2"/>
      <c r="H305" s="30">
        <f t="shared" si="13"/>
        <v>0</v>
      </c>
      <c r="I305" s="1"/>
      <c r="J305" s="1"/>
      <c r="K305" s="1"/>
      <c r="L305" s="1" t="str">
        <f t="shared" si="14"/>
        <v xml:space="preserve"> </v>
      </c>
      <c r="M305" s="1"/>
    </row>
    <row r="306" spans="1:13" x14ac:dyDescent="0.25">
      <c r="A306" s="33" t="str">
        <f t="shared" si="12"/>
        <v/>
      </c>
      <c r="B306" s="1"/>
      <c r="C306" s="2"/>
      <c r="D306" s="233"/>
      <c r="E306" s="2"/>
      <c r="F306" s="2"/>
      <c r="G306" s="2"/>
      <c r="H306" s="30">
        <f t="shared" si="13"/>
        <v>0</v>
      </c>
      <c r="I306" s="1"/>
      <c r="J306" s="1"/>
      <c r="K306" s="1"/>
      <c r="L306" s="1" t="str">
        <f t="shared" si="14"/>
        <v xml:space="preserve"> </v>
      </c>
      <c r="M306" s="1"/>
    </row>
    <row r="307" spans="1:13" x14ac:dyDescent="0.25">
      <c r="A307" s="33" t="str">
        <f t="shared" ref="A307:A370" si="15">CONCATENATE(B307,C307,E307)</f>
        <v/>
      </c>
      <c r="B307" s="1"/>
      <c r="C307" s="2"/>
      <c r="D307" s="233"/>
      <c r="E307" s="2"/>
      <c r="F307" s="2"/>
      <c r="G307" s="2"/>
      <c r="H307" s="30">
        <f t="shared" ref="H307:H370" si="16">IFERROR(IF(F307&gt;G307,((G307+B307+1)-(F307+B307))*24,HOUR(G307-F307)+MINUTE(G307-F307)/60),"")</f>
        <v>0</v>
      </c>
      <c r="I307" s="1"/>
      <c r="J307" s="1"/>
      <c r="K307" s="1"/>
      <c r="L307" s="1" t="str">
        <f t="shared" si="14"/>
        <v xml:space="preserve"> </v>
      </c>
      <c r="M307" s="1"/>
    </row>
    <row r="308" spans="1:13" x14ac:dyDescent="0.25">
      <c r="A308" s="33" t="str">
        <f t="shared" si="15"/>
        <v/>
      </c>
      <c r="B308" s="1"/>
      <c r="C308" s="2"/>
      <c r="D308" s="233"/>
      <c r="E308" s="2"/>
      <c r="F308" s="2"/>
      <c r="G308" s="2"/>
      <c r="H308" s="30">
        <f t="shared" si="16"/>
        <v>0</v>
      </c>
      <c r="I308" s="1"/>
      <c r="J308" s="1"/>
      <c r="K308" s="1"/>
      <c r="L308" s="1" t="str">
        <f t="shared" si="14"/>
        <v xml:space="preserve"> </v>
      </c>
      <c r="M308" s="1"/>
    </row>
    <row r="309" spans="1:13" x14ac:dyDescent="0.25">
      <c r="A309" s="33" t="str">
        <f t="shared" si="15"/>
        <v/>
      </c>
      <c r="B309" s="1"/>
      <c r="C309" s="2"/>
      <c r="D309" s="233"/>
      <c r="E309" s="2"/>
      <c r="F309" s="2"/>
      <c r="G309" s="2"/>
      <c r="H309" s="30">
        <f t="shared" si="16"/>
        <v>0</v>
      </c>
      <c r="I309" s="1"/>
      <c r="J309" s="1"/>
      <c r="K309" s="1"/>
      <c r="L309" s="1" t="str">
        <f t="shared" si="14"/>
        <v xml:space="preserve"> </v>
      </c>
      <c r="M309" s="1"/>
    </row>
    <row r="310" spans="1:13" x14ac:dyDescent="0.25">
      <c r="A310" s="33" t="str">
        <f t="shared" si="15"/>
        <v/>
      </c>
      <c r="B310" s="1"/>
      <c r="C310" s="2"/>
      <c r="D310" s="233"/>
      <c r="E310" s="2"/>
      <c r="F310" s="2"/>
      <c r="G310" s="2"/>
      <c r="H310" s="30">
        <f t="shared" si="16"/>
        <v>0</v>
      </c>
      <c r="I310" s="1"/>
      <c r="J310" s="1"/>
      <c r="K310" s="1"/>
      <c r="L310" s="1" t="str">
        <f t="shared" si="14"/>
        <v xml:space="preserve"> </v>
      </c>
      <c r="M310" s="1"/>
    </row>
    <row r="311" spans="1:13" x14ac:dyDescent="0.25">
      <c r="A311" s="33" t="str">
        <f t="shared" si="15"/>
        <v/>
      </c>
      <c r="B311" s="1"/>
      <c r="C311" s="2"/>
      <c r="D311" s="233"/>
      <c r="E311" s="2"/>
      <c r="F311" s="2"/>
      <c r="G311" s="2"/>
      <c r="H311" s="30">
        <f t="shared" si="16"/>
        <v>0</v>
      </c>
      <c r="I311" s="1"/>
      <c r="J311" s="1"/>
      <c r="K311" s="1"/>
      <c r="L311" s="1" t="str">
        <f t="shared" si="14"/>
        <v xml:space="preserve"> </v>
      </c>
      <c r="M311" s="1"/>
    </row>
    <row r="312" spans="1:13" x14ac:dyDescent="0.25">
      <c r="A312" s="33" t="str">
        <f t="shared" si="15"/>
        <v/>
      </c>
      <c r="B312" s="1"/>
      <c r="C312" s="2"/>
      <c r="D312" s="233"/>
      <c r="E312" s="2"/>
      <c r="F312" s="2"/>
      <c r="G312" s="2"/>
      <c r="H312" s="30">
        <f t="shared" si="16"/>
        <v>0</v>
      </c>
      <c r="I312" s="1"/>
      <c r="J312" s="1"/>
      <c r="K312" s="1"/>
      <c r="L312" s="1" t="str">
        <f t="shared" si="14"/>
        <v xml:space="preserve"> </v>
      </c>
      <c r="M312" s="1"/>
    </row>
    <row r="313" spans="1:13" x14ac:dyDescent="0.25">
      <c r="A313" s="33" t="str">
        <f t="shared" si="15"/>
        <v/>
      </c>
      <c r="B313" s="1"/>
      <c r="C313" s="2"/>
      <c r="D313" s="233"/>
      <c r="E313" s="2"/>
      <c r="F313" s="2"/>
      <c r="G313" s="2"/>
      <c r="H313" s="30">
        <f t="shared" si="16"/>
        <v>0</v>
      </c>
      <c r="I313" s="1"/>
      <c r="J313" s="1"/>
      <c r="K313" s="1"/>
      <c r="L313" s="1" t="str">
        <f t="shared" si="14"/>
        <v xml:space="preserve"> </v>
      </c>
      <c r="M313" s="1"/>
    </row>
    <row r="314" spans="1:13" x14ac:dyDescent="0.25">
      <c r="A314" s="33" t="str">
        <f t="shared" si="15"/>
        <v/>
      </c>
      <c r="B314" s="1"/>
      <c r="C314" s="2"/>
      <c r="D314" s="233"/>
      <c r="E314" s="2"/>
      <c r="F314" s="2"/>
      <c r="G314" s="2"/>
      <c r="H314" s="30">
        <f t="shared" si="16"/>
        <v>0</v>
      </c>
      <c r="I314" s="1"/>
      <c r="J314" s="1"/>
      <c r="K314" s="1"/>
      <c r="L314" s="1" t="str">
        <f t="shared" si="14"/>
        <v xml:space="preserve"> </v>
      </c>
      <c r="M314" s="1"/>
    </row>
    <row r="315" spans="1:13" x14ac:dyDescent="0.25">
      <c r="A315" s="33" t="str">
        <f t="shared" si="15"/>
        <v/>
      </c>
      <c r="B315" s="1"/>
      <c r="C315" s="2"/>
      <c r="D315" s="233"/>
      <c r="E315" s="2"/>
      <c r="F315" s="2"/>
      <c r="G315" s="2"/>
      <c r="H315" s="30">
        <f t="shared" si="16"/>
        <v>0</v>
      </c>
      <c r="I315" s="1"/>
      <c r="J315" s="1"/>
      <c r="K315" s="1"/>
      <c r="L315" s="1" t="str">
        <f t="shared" si="14"/>
        <v xml:space="preserve"> </v>
      </c>
      <c r="M315" s="1"/>
    </row>
    <row r="316" spans="1:13" x14ac:dyDescent="0.25">
      <c r="A316" s="33" t="str">
        <f t="shared" si="15"/>
        <v/>
      </c>
      <c r="B316" s="1"/>
      <c r="C316" s="2"/>
      <c r="D316" s="233"/>
      <c r="E316" s="2"/>
      <c r="F316" s="2"/>
      <c r="G316" s="2"/>
      <c r="H316" s="30">
        <f t="shared" si="16"/>
        <v>0</v>
      </c>
      <c r="I316" s="1"/>
      <c r="J316" s="1"/>
      <c r="K316" s="1"/>
      <c r="L316" s="1" t="str">
        <f t="shared" si="14"/>
        <v xml:space="preserve"> </v>
      </c>
      <c r="M316" s="1"/>
    </row>
    <row r="317" spans="1:13" x14ac:dyDescent="0.25">
      <c r="A317" s="33" t="str">
        <f t="shared" si="15"/>
        <v/>
      </c>
      <c r="B317" s="1"/>
      <c r="C317" s="2"/>
      <c r="D317" s="233"/>
      <c r="E317" s="2"/>
      <c r="F317" s="2"/>
      <c r="G317" s="2"/>
      <c r="H317" s="30">
        <f t="shared" si="16"/>
        <v>0</v>
      </c>
      <c r="I317" s="1"/>
      <c r="J317" s="1"/>
      <c r="K317" s="1"/>
      <c r="L317" s="1" t="str">
        <f t="shared" si="14"/>
        <v xml:space="preserve"> </v>
      </c>
      <c r="M317" s="1"/>
    </row>
    <row r="318" spans="1:13" x14ac:dyDescent="0.25">
      <c r="A318" s="33" t="str">
        <f t="shared" si="15"/>
        <v/>
      </c>
      <c r="B318" s="1"/>
      <c r="C318" s="2"/>
      <c r="D318" s="233"/>
      <c r="E318" s="2"/>
      <c r="F318" s="2"/>
      <c r="G318" s="2"/>
      <c r="H318" s="30">
        <f t="shared" si="16"/>
        <v>0</v>
      </c>
      <c r="I318" s="1"/>
      <c r="J318" s="1"/>
      <c r="K318" s="1"/>
      <c r="L318" s="1" t="str">
        <f t="shared" si="14"/>
        <v xml:space="preserve"> </v>
      </c>
      <c r="M318" s="1"/>
    </row>
    <row r="319" spans="1:13" x14ac:dyDescent="0.25">
      <c r="A319" s="33" t="str">
        <f t="shared" si="15"/>
        <v/>
      </c>
      <c r="B319" s="1"/>
      <c r="C319" s="2"/>
      <c r="D319" s="233"/>
      <c r="E319" s="2"/>
      <c r="F319" s="2"/>
      <c r="G319" s="2"/>
      <c r="H319" s="30">
        <f t="shared" si="16"/>
        <v>0</v>
      </c>
      <c r="I319" s="1"/>
      <c r="J319" s="1"/>
      <c r="K319" s="1"/>
      <c r="L319" s="1" t="str">
        <f t="shared" si="14"/>
        <v xml:space="preserve"> </v>
      </c>
      <c r="M319" s="1"/>
    </row>
    <row r="320" spans="1:13" x14ac:dyDescent="0.25">
      <c r="A320" s="33" t="str">
        <f t="shared" si="15"/>
        <v/>
      </c>
      <c r="B320" s="1"/>
      <c r="C320" s="2"/>
      <c r="D320" s="233"/>
      <c r="E320" s="2"/>
      <c r="F320" s="2"/>
      <c r="G320" s="2"/>
      <c r="H320" s="30">
        <f t="shared" si="16"/>
        <v>0</v>
      </c>
      <c r="I320" s="1"/>
      <c r="J320" s="1"/>
      <c r="K320" s="1"/>
      <c r="L320" s="1" t="str">
        <f t="shared" si="14"/>
        <v xml:space="preserve"> </v>
      </c>
      <c r="M320" s="1"/>
    </row>
    <row r="321" spans="1:13" x14ac:dyDescent="0.25">
      <c r="A321" s="33" t="str">
        <f t="shared" si="15"/>
        <v/>
      </c>
      <c r="B321" s="1"/>
      <c r="C321" s="2"/>
      <c r="D321" s="233"/>
      <c r="E321" s="2"/>
      <c r="F321" s="2"/>
      <c r="G321" s="2"/>
      <c r="H321" s="30">
        <f t="shared" si="16"/>
        <v>0</v>
      </c>
      <c r="I321" s="1"/>
      <c r="J321" s="1"/>
      <c r="K321" s="1"/>
      <c r="L321" s="1" t="str">
        <f t="shared" si="14"/>
        <v xml:space="preserve"> </v>
      </c>
      <c r="M321" s="1"/>
    </row>
    <row r="322" spans="1:13" x14ac:dyDescent="0.25">
      <c r="A322" s="33" t="str">
        <f t="shared" si="15"/>
        <v/>
      </c>
      <c r="B322" s="1"/>
      <c r="C322" s="2"/>
      <c r="D322" s="233"/>
      <c r="E322" s="2"/>
      <c r="F322" s="2"/>
      <c r="G322" s="2"/>
      <c r="H322" s="30">
        <f t="shared" si="16"/>
        <v>0</v>
      </c>
      <c r="I322" s="1"/>
      <c r="J322" s="1"/>
      <c r="K322" s="1"/>
      <c r="L322" s="1" t="str">
        <f t="shared" si="14"/>
        <v xml:space="preserve"> </v>
      </c>
      <c r="M322" s="1"/>
    </row>
    <row r="323" spans="1:13" x14ac:dyDescent="0.25">
      <c r="A323" s="33" t="str">
        <f t="shared" si="15"/>
        <v/>
      </c>
      <c r="B323" s="1"/>
      <c r="C323" s="2"/>
      <c r="D323" s="233"/>
      <c r="E323" s="2"/>
      <c r="F323" s="2"/>
      <c r="G323" s="2"/>
      <c r="H323" s="30">
        <f t="shared" si="16"/>
        <v>0</v>
      </c>
      <c r="I323" s="1"/>
      <c r="J323" s="1"/>
      <c r="K323" s="1"/>
      <c r="L323" s="1" t="str">
        <f t="shared" si="14"/>
        <v xml:space="preserve"> </v>
      </c>
      <c r="M323" s="1"/>
    </row>
    <row r="324" spans="1:13" x14ac:dyDescent="0.25">
      <c r="A324" s="33" t="str">
        <f t="shared" si="15"/>
        <v/>
      </c>
      <c r="B324" s="1"/>
      <c r="C324" s="2"/>
      <c r="D324" s="233"/>
      <c r="E324" s="2"/>
      <c r="F324" s="2"/>
      <c r="G324" s="2"/>
      <c r="H324" s="30">
        <f t="shared" si="16"/>
        <v>0</v>
      </c>
      <c r="I324" s="1"/>
      <c r="J324" s="1"/>
      <c r="K324" s="1"/>
      <c r="L324" s="1" t="str">
        <f t="shared" si="14"/>
        <v xml:space="preserve"> </v>
      </c>
      <c r="M324" s="1"/>
    </row>
    <row r="325" spans="1:13" x14ac:dyDescent="0.25">
      <c r="A325" s="33" t="str">
        <f t="shared" si="15"/>
        <v/>
      </c>
      <c r="B325" s="1"/>
      <c r="C325" s="2"/>
      <c r="D325" s="233"/>
      <c r="E325" s="2"/>
      <c r="F325" s="2"/>
      <c r="G325" s="2"/>
      <c r="H325" s="30">
        <f t="shared" si="16"/>
        <v>0</v>
      </c>
      <c r="I325" s="1"/>
      <c r="J325" s="1"/>
      <c r="K325" s="1"/>
      <c r="L325" s="1" t="str">
        <f t="shared" si="14"/>
        <v xml:space="preserve"> </v>
      </c>
      <c r="M325" s="1"/>
    </row>
    <row r="326" spans="1:13" x14ac:dyDescent="0.25">
      <c r="A326" s="33" t="str">
        <f t="shared" si="15"/>
        <v/>
      </c>
      <c r="B326" s="1"/>
      <c r="C326" s="2"/>
      <c r="D326" s="233"/>
      <c r="E326" s="2"/>
      <c r="F326" s="2"/>
      <c r="G326" s="2"/>
      <c r="H326" s="30">
        <f t="shared" si="16"/>
        <v>0</v>
      </c>
      <c r="I326" s="1"/>
      <c r="J326" s="1"/>
      <c r="K326" s="1"/>
      <c r="L326" s="1" t="str">
        <f t="shared" si="14"/>
        <v xml:space="preserve"> </v>
      </c>
      <c r="M326" s="1"/>
    </row>
    <row r="327" spans="1:13" x14ac:dyDescent="0.25">
      <c r="A327" s="33" t="str">
        <f t="shared" si="15"/>
        <v/>
      </c>
      <c r="B327" s="1"/>
      <c r="C327" s="2"/>
      <c r="D327" s="233"/>
      <c r="E327" s="2"/>
      <c r="F327" s="2"/>
      <c r="G327" s="2"/>
      <c r="H327" s="30">
        <f t="shared" si="16"/>
        <v>0</v>
      </c>
      <c r="I327" s="1"/>
      <c r="J327" s="1"/>
      <c r="K327" s="1"/>
      <c r="L327" s="1" t="str">
        <f t="shared" si="14"/>
        <v xml:space="preserve"> </v>
      </c>
      <c r="M327" s="1"/>
    </row>
    <row r="328" spans="1:13" x14ac:dyDescent="0.25">
      <c r="A328" s="33" t="str">
        <f t="shared" si="15"/>
        <v/>
      </c>
      <c r="B328" s="1"/>
      <c r="C328" s="2"/>
      <c r="D328" s="233"/>
      <c r="E328" s="2"/>
      <c r="F328" s="2"/>
      <c r="G328" s="2"/>
      <c r="H328" s="30">
        <f t="shared" si="16"/>
        <v>0</v>
      </c>
      <c r="I328" s="1"/>
      <c r="J328" s="1"/>
      <c r="K328" s="1"/>
      <c r="L328" s="1" t="str">
        <f t="shared" si="14"/>
        <v xml:space="preserve"> </v>
      </c>
      <c r="M328" s="1"/>
    </row>
    <row r="329" spans="1:13" x14ac:dyDescent="0.25">
      <c r="A329" s="33" t="str">
        <f t="shared" si="15"/>
        <v/>
      </c>
      <c r="B329" s="1"/>
      <c r="C329" s="2"/>
      <c r="D329" s="233"/>
      <c r="E329" s="2"/>
      <c r="F329" s="2"/>
      <c r="G329" s="2"/>
      <c r="H329" s="30">
        <f t="shared" si="16"/>
        <v>0</v>
      </c>
      <c r="I329" s="1"/>
      <c r="J329" s="1"/>
      <c r="K329" s="1"/>
      <c r="L329" s="1" t="str">
        <f t="shared" si="14"/>
        <v xml:space="preserve"> </v>
      </c>
      <c r="M329" s="1"/>
    </row>
    <row r="330" spans="1:13" x14ac:dyDescent="0.25">
      <c r="A330" s="33" t="str">
        <f t="shared" si="15"/>
        <v/>
      </c>
      <c r="B330" s="1"/>
      <c r="C330" s="2"/>
      <c r="D330" s="233"/>
      <c r="E330" s="2"/>
      <c r="F330" s="2"/>
      <c r="G330" s="2"/>
      <c r="H330" s="30">
        <f t="shared" si="16"/>
        <v>0</v>
      </c>
      <c r="I330" s="1"/>
      <c r="J330" s="1"/>
      <c r="K330" s="1"/>
      <c r="L330" s="1" t="str">
        <f t="shared" si="14"/>
        <v xml:space="preserve"> </v>
      </c>
      <c r="M330" s="1"/>
    </row>
    <row r="331" spans="1:13" x14ac:dyDescent="0.25">
      <c r="A331" s="33" t="str">
        <f t="shared" si="15"/>
        <v/>
      </c>
      <c r="B331" s="1"/>
      <c r="C331" s="2"/>
      <c r="D331" s="233"/>
      <c r="E331" s="2"/>
      <c r="F331" s="2"/>
      <c r="G331" s="2"/>
      <c r="H331" s="30">
        <f t="shared" si="16"/>
        <v>0</v>
      </c>
      <c r="I331" s="1"/>
      <c r="J331" s="1"/>
      <c r="K331" s="1"/>
      <c r="L331" s="1" t="str">
        <f t="shared" si="14"/>
        <v xml:space="preserve"> </v>
      </c>
      <c r="M331" s="1"/>
    </row>
    <row r="332" spans="1:13" x14ac:dyDescent="0.25">
      <c r="A332" s="33" t="str">
        <f t="shared" si="15"/>
        <v/>
      </c>
      <c r="B332" s="1"/>
      <c r="C332" s="2"/>
      <c r="D332" s="233"/>
      <c r="E332" s="2"/>
      <c r="F332" s="2"/>
      <c r="G332" s="2"/>
      <c r="H332" s="30">
        <f t="shared" si="16"/>
        <v>0</v>
      </c>
      <c r="I332" s="1"/>
      <c r="J332" s="1"/>
      <c r="K332" s="1"/>
      <c r="L332" s="1" t="str">
        <f t="shared" si="14"/>
        <v xml:space="preserve"> </v>
      </c>
      <c r="M332" s="1"/>
    </row>
    <row r="333" spans="1:13" x14ac:dyDescent="0.25">
      <c r="A333" s="33" t="str">
        <f t="shared" si="15"/>
        <v/>
      </c>
      <c r="B333" s="1"/>
      <c r="C333" s="2"/>
      <c r="D333" s="233"/>
      <c r="E333" s="2"/>
      <c r="F333" s="2"/>
      <c r="G333" s="2"/>
      <c r="H333" s="30">
        <f t="shared" si="16"/>
        <v>0</v>
      </c>
      <c r="I333" s="1"/>
      <c r="J333" s="1"/>
      <c r="K333" s="1"/>
      <c r="L333" s="1" t="str">
        <f t="shared" si="14"/>
        <v xml:space="preserve"> </v>
      </c>
      <c r="M333" s="1"/>
    </row>
    <row r="334" spans="1:13" x14ac:dyDescent="0.25">
      <c r="A334" s="33" t="str">
        <f t="shared" si="15"/>
        <v/>
      </c>
      <c r="B334" s="1"/>
      <c r="C334" s="2"/>
      <c r="D334" s="233"/>
      <c r="E334" s="2"/>
      <c r="F334" s="2"/>
      <c r="G334" s="2"/>
      <c r="H334" s="30">
        <f t="shared" si="16"/>
        <v>0</v>
      </c>
      <c r="I334" s="1"/>
      <c r="J334" s="1"/>
      <c r="K334" s="1"/>
      <c r="L334" s="1" t="str">
        <f t="shared" si="14"/>
        <v xml:space="preserve"> </v>
      </c>
      <c r="M334" s="1"/>
    </row>
    <row r="335" spans="1:13" x14ac:dyDescent="0.25">
      <c r="A335" s="33" t="str">
        <f t="shared" si="15"/>
        <v/>
      </c>
      <c r="B335" s="1"/>
      <c r="C335" s="2"/>
      <c r="D335" s="233"/>
      <c r="E335" s="2"/>
      <c r="F335" s="2"/>
      <c r="G335" s="2"/>
      <c r="H335" s="30">
        <f t="shared" si="16"/>
        <v>0</v>
      </c>
      <c r="I335" s="1"/>
      <c r="J335" s="1"/>
      <c r="K335" s="1"/>
      <c r="L335" s="1" t="str">
        <f t="shared" si="14"/>
        <v xml:space="preserve"> </v>
      </c>
      <c r="M335" s="1"/>
    </row>
    <row r="336" spans="1:13" x14ac:dyDescent="0.25">
      <c r="A336" s="33" t="str">
        <f t="shared" si="15"/>
        <v/>
      </c>
      <c r="B336" s="1"/>
      <c r="C336" s="2"/>
      <c r="D336" s="233"/>
      <c r="E336" s="2"/>
      <c r="F336" s="2"/>
      <c r="G336" s="2"/>
      <c r="H336" s="30">
        <f t="shared" si="16"/>
        <v>0</v>
      </c>
      <c r="I336" s="1"/>
      <c r="J336" s="1"/>
      <c r="K336" s="1"/>
      <c r="L336" s="1" t="str">
        <f t="shared" si="14"/>
        <v xml:space="preserve"> </v>
      </c>
      <c r="M336" s="1"/>
    </row>
    <row r="337" spans="1:13" x14ac:dyDescent="0.25">
      <c r="A337" s="33" t="str">
        <f t="shared" si="15"/>
        <v/>
      </c>
      <c r="B337" s="1"/>
      <c r="C337" s="2"/>
      <c r="D337" s="233"/>
      <c r="E337" s="2"/>
      <c r="F337" s="2"/>
      <c r="G337" s="2"/>
      <c r="H337" s="30">
        <f t="shared" si="16"/>
        <v>0</v>
      </c>
      <c r="I337" s="1"/>
      <c r="J337" s="1"/>
      <c r="K337" s="1"/>
      <c r="L337" s="1" t="str">
        <f t="shared" si="14"/>
        <v xml:space="preserve"> </v>
      </c>
      <c r="M337" s="1"/>
    </row>
    <row r="338" spans="1:13" x14ac:dyDescent="0.25">
      <c r="A338" s="33" t="str">
        <f t="shared" si="15"/>
        <v/>
      </c>
      <c r="B338" s="1"/>
      <c r="C338" s="2"/>
      <c r="D338" s="233"/>
      <c r="E338" s="2"/>
      <c r="F338" s="2"/>
      <c r="G338" s="2"/>
      <c r="H338" s="30">
        <f t="shared" si="16"/>
        <v>0</v>
      </c>
      <c r="I338" s="1"/>
      <c r="J338" s="1"/>
      <c r="K338" s="1"/>
      <c r="L338" s="1" t="str">
        <f t="shared" si="14"/>
        <v xml:space="preserve"> </v>
      </c>
      <c r="M338" s="1"/>
    </row>
    <row r="339" spans="1:13" x14ac:dyDescent="0.25">
      <c r="A339" s="33" t="str">
        <f t="shared" si="15"/>
        <v/>
      </c>
      <c r="B339" s="1"/>
      <c r="C339" s="2"/>
      <c r="D339" s="233"/>
      <c r="E339" s="2"/>
      <c r="F339" s="2"/>
      <c r="G339" s="2"/>
      <c r="H339" s="30">
        <f t="shared" si="16"/>
        <v>0</v>
      </c>
      <c r="I339" s="1"/>
      <c r="J339" s="1"/>
      <c r="K339" s="1"/>
      <c r="L339" s="1" t="str">
        <f t="shared" si="14"/>
        <v xml:space="preserve"> </v>
      </c>
      <c r="M339" s="1"/>
    </row>
    <row r="340" spans="1:13" x14ac:dyDescent="0.25">
      <c r="A340" s="33" t="str">
        <f t="shared" si="15"/>
        <v/>
      </c>
      <c r="B340" s="1"/>
      <c r="C340" s="2"/>
      <c r="D340" s="233"/>
      <c r="E340" s="2"/>
      <c r="F340" s="2"/>
      <c r="G340" s="2"/>
      <c r="H340" s="30">
        <f t="shared" si="16"/>
        <v>0</v>
      </c>
      <c r="I340" s="1"/>
      <c r="J340" s="1"/>
      <c r="K340" s="1"/>
      <c r="L340" s="1" t="str">
        <f t="shared" si="14"/>
        <v xml:space="preserve"> </v>
      </c>
      <c r="M340" s="1"/>
    </row>
    <row r="341" spans="1:13" x14ac:dyDescent="0.25">
      <c r="A341" s="33" t="str">
        <f t="shared" si="15"/>
        <v/>
      </c>
      <c r="B341" s="1"/>
      <c r="C341" s="2"/>
      <c r="D341" s="233"/>
      <c r="E341" s="2"/>
      <c r="F341" s="2"/>
      <c r="G341" s="2"/>
      <c r="H341" s="30">
        <f t="shared" si="16"/>
        <v>0</v>
      </c>
      <c r="I341" s="1"/>
      <c r="J341" s="1"/>
      <c r="K341" s="1"/>
      <c r="L341" s="1" t="str">
        <f t="shared" si="14"/>
        <v xml:space="preserve"> </v>
      </c>
      <c r="M341" s="1"/>
    </row>
    <row r="342" spans="1:13" x14ac:dyDescent="0.25">
      <c r="A342" s="33" t="str">
        <f t="shared" si="15"/>
        <v/>
      </c>
      <c r="B342" s="1"/>
      <c r="C342" s="2"/>
      <c r="D342" s="233"/>
      <c r="E342" s="2"/>
      <c r="F342" s="2"/>
      <c r="G342" s="2"/>
      <c r="H342" s="30">
        <f t="shared" si="16"/>
        <v>0</v>
      </c>
      <c r="I342" s="1"/>
      <c r="J342" s="1"/>
      <c r="K342" s="1"/>
      <c r="L342" s="1" t="str">
        <f t="shared" si="14"/>
        <v xml:space="preserve"> </v>
      </c>
      <c r="M342" s="1"/>
    </row>
    <row r="343" spans="1:13" x14ac:dyDescent="0.25">
      <c r="A343" s="33" t="str">
        <f t="shared" si="15"/>
        <v/>
      </c>
      <c r="B343" s="1"/>
      <c r="C343" s="2"/>
      <c r="D343" s="233"/>
      <c r="E343" s="2"/>
      <c r="F343" s="2"/>
      <c r="G343" s="2"/>
      <c r="H343" s="30">
        <f t="shared" si="16"/>
        <v>0</v>
      </c>
      <c r="I343" s="1"/>
      <c r="J343" s="1"/>
      <c r="K343" s="1"/>
      <c r="L343" s="1" t="str">
        <f t="shared" si="14"/>
        <v xml:space="preserve"> </v>
      </c>
      <c r="M343" s="1"/>
    </row>
    <row r="344" spans="1:13" x14ac:dyDescent="0.25">
      <c r="A344" s="33" t="str">
        <f t="shared" si="15"/>
        <v/>
      </c>
      <c r="B344" s="1"/>
      <c r="C344" s="2"/>
      <c r="D344" s="233"/>
      <c r="E344" s="2"/>
      <c r="F344" s="2"/>
      <c r="G344" s="2"/>
      <c r="H344" s="30">
        <f t="shared" si="16"/>
        <v>0</v>
      </c>
      <c r="I344" s="1"/>
      <c r="J344" s="1"/>
      <c r="K344" s="1"/>
      <c r="L344" s="1" t="str">
        <f t="shared" si="14"/>
        <v xml:space="preserve"> </v>
      </c>
      <c r="M344" s="1"/>
    </row>
    <row r="345" spans="1:13" x14ac:dyDescent="0.25">
      <c r="A345" s="33" t="str">
        <f t="shared" si="15"/>
        <v/>
      </c>
      <c r="B345" s="1"/>
      <c r="C345" s="2"/>
      <c r="D345" s="233"/>
      <c r="E345" s="2"/>
      <c r="F345" s="2"/>
      <c r="G345" s="2"/>
      <c r="H345" s="30">
        <f t="shared" si="16"/>
        <v>0</v>
      </c>
      <c r="I345" s="1"/>
      <c r="J345" s="1"/>
      <c r="K345" s="1"/>
      <c r="L345" s="1" t="str">
        <f t="shared" si="14"/>
        <v xml:space="preserve"> </v>
      </c>
      <c r="M345" s="1"/>
    </row>
    <row r="346" spans="1:13" x14ac:dyDescent="0.25">
      <c r="A346" s="33" t="str">
        <f t="shared" si="15"/>
        <v/>
      </c>
      <c r="B346" s="1"/>
      <c r="C346" s="2"/>
      <c r="D346" s="233"/>
      <c r="E346" s="2"/>
      <c r="F346" s="2"/>
      <c r="G346" s="2"/>
      <c r="H346" s="30">
        <f t="shared" si="16"/>
        <v>0</v>
      </c>
      <c r="I346" s="1"/>
      <c r="J346" s="1"/>
      <c r="K346" s="1"/>
      <c r="L346" s="1" t="str">
        <f t="shared" si="14"/>
        <v xml:space="preserve"> </v>
      </c>
      <c r="M346" s="1"/>
    </row>
    <row r="347" spans="1:13" x14ac:dyDescent="0.25">
      <c r="A347" s="33" t="str">
        <f t="shared" si="15"/>
        <v/>
      </c>
      <c r="B347" s="1"/>
      <c r="C347" s="2"/>
      <c r="D347" s="233"/>
      <c r="E347" s="2"/>
      <c r="F347" s="2"/>
      <c r="G347" s="2"/>
      <c r="H347" s="30">
        <f t="shared" si="16"/>
        <v>0</v>
      </c>
      <c r="I347" s="1"/>
      <c r="J347" s="1"/>
      <c r="K347" s="1"/>
      <c r="L347" s="1" t="str">
        <f t="shared" si="14"/>
        <v xml:space="preserve"> </v>
      </c>
      <c r="M347" s="1"/>
    </row>
    <row r="348" spans="1:13" x14ac:dyDescent="0.25">
      <c r="A348" s="33" t="str">
        <f t="shared" si="15"/>
        <v/>
      </c>
      <c r="B348" s="1"/>
      <c r="C348" s="2"/>
      <c r="D348" s="233"/>
      <c r="E348" s="2"/>
      <c r="F348" s="2"/>
      <c r="G348" s="2"/>
      <c r="H348" s="30">
        <f t="shared" si="16"/>
        <v>0</v>
      </c>
      <c r="I348" s="1"/>
      <c r="J348" s="1"/>
      <c r="K348" s="1"/>
      <c r="L348" s="1" t="str">
        <f t="shared" si="14"/>
        <v xml:space="preserve"> </v>
      </c>
      <c r="M348" s="1"/>
    </row>
    <row r="349" spans="1:13" x14ac:dyDescent="0.25">
      <c r="A349" s="33" t="str">
        <f t="shared" si="15"/>
        <v/>
      </c>
      <c r="B349" s="1"/>
      <c r="C349" s="2"/>
      <c r="D349" s="233"/>
      <c r="E349" s="2"/>
      <c r="F349" s="2"/>
      <c r="G349" s="2"/>
      <c r="H349" s="30">
        <f t="shared" si="16"/>
        <v>0</v>
      </c>
      <c r="I349" s="1"/>
      <c r="J349" s="1"/>
      <c r="K349" s="1"/>
      <c r="L349" s="1" t="str">
        <f t="shared" si="14"/>
        <v xml:space="preserve"> </v>
      </c>
      <c r="M349" s="1"/>
    </row>
    <row r="350" spans="1:13" x14ac:dyDescent="0.25">
      <c r="A350" s="33" t="str">
        <f t="shared" si="15"/>
        <v/>
      </c>
      <c r="B350" s="1"/>
      <c r="C350" s="2"/>
      <c r="D350" s="233"/>
      <c r="E350" s="2"/>
      <c r="F350" s="2"/>
      <c r="G350" s="2"/>
      <c r="H350" s="30">
        <f t="shared" si="16"/>
        <v>0</v>
      </c>
      <c r="I350" s="1"/>
      <c r="J350" s="1"/>
      <c r="K350" s="1"/>
      <c r="L350" s="1" t="str">
        <f t="shared" si="14"/>
        <v xml:space="preserve"> </v>
      </c>
      <c r="M350" s="1"/>
    </row>
    <row r="351" spans="1:13" x14ac:dyDescent="0.25">
      <c r="A351" s="33" t="str">
        <f t="shared" si="15"/>
        <v/>
      </c>
      <c r="B351" s="1"/>
      <c r="C351" s="2"/>
      <c r="D351" s="233"/>
      <c r="E351" s="2"/>
      <c r="F351" s="2"/>
      <c r="G351" s="2"/>
      <c r="H351" s="30">
        <f t="shared" si="16"/>
        <v>0</v>
      </c>
      <c r="I351" s="1"/>
      <c r="J351" s="1"/>
      <c r="K351" s="1"/>
      <c r="L351" s="1" t="str">
        <f t="shared" si="14"/>
        <v xml:space="preserve"> </v>
      </c>
      <c r="M351" s="1"/>
    </row>
    <row r="352" spans="1:13" x14ac:dyDescent="0.25">
      <c r="A352" s="33" t="str">
        <f t="shared" si="15"/>
        <v/>
      </c>
      <c r="B352" s="1"/>
      <c r="C352" s="2"/>
      <c r="D352" s="233"/>
      <c r="E352" s="2"/>
      <c r="F352" s="2"/>
      <c r="G352" s="2"/>
      <c r="H352" s="30">
        <f t="shared" si="16"/>
        <v>0</v>
      </c>
      <c r="I352" s="1"/>
      <c r="J352" s="1"/>
      <c r="K352" s="1"/>
      <c r="L352" s="1" t="str">
        <f t="shared" si="14"/>
        <v xml:space="preserve"> </v>
      </c>
      <c r="M352" s="1"/>
    </row>
    <row r="353" spans="1:13" x14ac:dyDescent="0.25">
      <c r="A353" s="33" t="str">
        <f t="shared" si="15"/>
        <v/>
      </c>
      <c r="B353" s="1"/>
      <c r="C353" s="2"/>
      <c r="D353" s="233"/>
      <c r="E353" s="2"/>
      <c r="F353" s="2"/>
      <c r="G353" s="2"/>
      <c r="H353" s="30">
        <f t="shared" si="16"/>
        <v>0</v>
      </c>
      <c r="I353" s="1"/>
      <c r="J353" s="1"/>
      <c r="K353" s="1"/>
      <c r="L353" s="1" t="str">
        <f t="shared" si="14"/>
        <v xml:space="preserve"> </v>
      </c>
      <c r="M353" s="1"/>
    </row>
    <row r="354" spans="1:13" x14ac:dyDescent="0.25">
      <c r="A354" s="33" t="str">
        <f t="shared" si="15"/>
        <v/>
      </c>
      <c r="B354" s="1"/>
      <c r="C354" s="2"/>
      <c r="D354" s="233"/>
      <c r="E354" s="2"/>
      <c r="F354" s="2"/>
      <c r="G354" s="2"/>
      <c r="H354" s="30">
        <f t="shared" si="16"/>
        <v>0</v>
      </c>
      <c r="I354" s="1"/>
      <c r="J354" s="1"/>
      <c r="K354" s="1"/>
      <c r="L354" s="1" t="str">
        <f t="shared" si="14"/>
        <v xml:space="preserve"> </v>
      </c>
      <c r="M354" s="1"/>
    </row>
    <row r="355" spans="1:13" x14ac:dyDescent="0.25">
      <c r="A355" s="33" t="str">
        <f t="shared" si="15"/>
        <v/>
      </c>
      <c r="B355" s="1"/>
      <c r="C355" s="2"/>
      <c r="D355" s="233"/>
      <c r="E355" s="2"/>
      <c r="F355" s="2"/>
      <c r="G355" s="2">
        <f>IFERROR(IF(E355&gt;F355,((F355+B355+1)-(E355+'arrets Chargement'!F280355))*24,HOUR(F355-E355)+MINUTE(F355-E355)/60),"")</f>
        <v>0</v>
      </c>
      <c r="H355" s="30">
        <f t="shared" si="16"/>
        <v>0</v>
      </c>
      <c r="I355" s="1"/>
      <c r="J355" s="1"/>
      <c r="K355" s="1"/>
      <c r="L355" s="1" t="str">
        <f t="shared" si="14"/>
        <v xml:space="preserve"> </v>
      </c>
      <c r="M355" s="1"/>
    </row>
    <row r="356" spans="1:13" x14ac:dyDescent="0.25">
      <c r="A356" s="33" t="str">
        <f t="shared" si="15"/>
        <v/>
      </c>
      <c r="B356" s="1"/>
      <c r="C356" s="2"/>
      <c r="D356" s="233"/>
      <c r="E356" s="2"/>
      <c r="F356" s="2"/>
      <c r="G356" s="2"/>
      <c r="H356" s="30">
        <f t="shared" si="16"/>
        <v>0</v>
      </c>
      <c r="I356" s="1"/>
      <c r="J356" s="1"/>
      <c r="K356" s="1"/>
      <c r="L356" s="1" t="str">
        <f t="shared" si="14"/>
        <v xml:space="preserve"> </v>
      </c>
      <c r="M356" s="1"/>
    </row>
    <row r="357" spans="1:13" x14ac:dyDescent="0.25">
      <c r="A357" s="33" t="str">
        <f t="shared" si="15"/>
        <v/>
      </c>
      <c r="B357" s="1"/>
      <c r="C357" s="2"/>
      <c r="D357" s="233"/>
      <c r="E357" s="2"/>
      <c r="F357" s="2"/>
      <c r="G357" s="2"/>
      <c r="H357" s="30">
        <f t="shared" si="16"/>
        <v>0</v>
      </c>
      <c r="I357" s="1"/>
      <c r="J357" s="1"/>
      <c r="K357" s="1"/>
      <c r="L357" s="1" t="str">
        <f t="shared" si="14"/>
        <v xml:space="preserve"> </v>
      </c>
      <c r="M357" s="1"/>
    </row>
    <row r="358" spans="1:13" x14ac:dyDescent="0.25">
      <c r="A358" s="33" t="str">
        <f t="shared" si="15"/>
        <v/>
      </c>
      <c r="B358" s="1"/>
      <c r="C358" s="2"/>
      <c r="D358" s="233"/>
      <c r="E358" s="2"/>
      <c r="F358" s="2"/>
      <c r="G358" s="2"/>
      <c r="H358" s="30">
        <f t="shared" si="16"/>
        <v>0</v>
      </c>
      <c r="I358" s="1"/>
      <c r="J358" s="1"/>
      <c r="K358" s="1"/>
      <c r="L358" s="1" t="str">
        <f t="shared" si="14"/>
        <v xml:space="preserve"> </v>
      </c>
      <c r="M358" s="1"/>
    </row>
    <row r="359" spans="1:13" x14ac:dyDescent="0.25">
      <c r="A359" s="33" t="str">
        <f t="shared" si="15"/>
        <v/>
      </c>
      <c r="B359" s="1"/>
      <c r="C359" s="2"/>
      <c r="D359" s="233"/>
      <c r="E359" s="2"/>
      <c r="F359" s="2"/>
      <c r="G359" s="2"/>
      <c r="H359" s="30">
        <f t="shared" si="16"/>
        <v>0</v>
      </c>
      <c r="I359" s="1"/>
      <c r="J359" s="1"/>
      <c r="K359" s="1"/>
      <c r="L359" s="1" t="str">
        <f t="shared" si="14"/>
        <v xml:space="preserve"> </v>
      </c>
      <c r="M359" s="1"/>
    </row>
    <row r="360" spans="1:13" x14ac:dyDescent="0.25">
      <c r="A360" s="33" t="str">
        <f t="shared" si="15"/>
        <v/>
      </c>
      <c r="B360" s="1"/>
      <c r="C360" s="2"/>
      <c r="D360" s="233"/>
      <c r="E360" s="2"/>
      <c r="F360" s="2"/>
      <c r="G360" s="2"/>
      <c r="H360" s="30">
        <f t="shared" si="16"/>
        <v>0</v>
      </c>
      <c r="I360" s="1"/>
      <c r="J360" s="1"/>
      <c r="K360" s="1"/>
      <c r="L360" s="1" t="str">
        <f t="shared" si="14"/>
        <v xml:space="preserve"> </v>
      </c>
      <c r="M360" s="1"/>
    </row>
    <row r="361" spans="1:13" x14ac:dyDescent="0.25">
      <c r="A361" s="33" t="str">
        <f t="shared" si="15"/>
        <v/>
      </c>
      <c r="B361" s="1"/>
      <c r="C361" s="2"/>
      <c r="D361" s="233"/>
      <c r="E361" s="2"/>
      <c r="F361" s="2"/>
      <c r="G361" s="2"/>
      <c r="H361" s="30">
        <f t="shared" si="16"/>
        <v>0</v>
      </c>
      <c r="I361" s="1"/>
      <c r="J361" s="1"/>
      <c r="K361" s="1"/>
      <c r="L361" s="1" t="str">
        <f t="shared" ref="L361:L424" si="17">CONCATENATE(J361," ",I361)</f>
        <v xml:space="preserve"> </v>
      </c>
      <c r="M361" s="1"/>
    </row>
    <row r="362" spans="1:13" x14ac:dyDescent="0.25">
      <c r="A362" s="33" t="str">
        <f t="shared" si="15"/>
        <v/>
      </c>
      <c r="B362" s="1"/>
      <c r="C362" s="2"/>
      <c r="D362" s="233"/>
      <c r="E362" s="2"/>
      <c r="F362" s="2"/>
      <c r="G362" s="2"/>
      <c r="H362" s="30">
        <f t="shared" si="16"/>
        <v>0</v>
      </c>
      <c r="I362" s="1"/>
      <c r="J362" s="1"/>
      <c r="K362" s="1"/>
      <c r="L362" s="1" t="str">
        <f t="shared" si="17"/>
        <v xml:space="preserve"> </v>
      </c>
      <c r="M362" s="1"/>
    </row>
    <row r="363" spans="1:13" x14ac:dyDescent="0.25">
      <c r="A363" s="33" t="str">
        <f t="shared" si="15"/>
        <v/>
      </c>
      <c r="B363" s="1"/>
      <c r="C363" s="2"/>
      <c r="D363" s="233"/>
      <c r="E363" s="2"/>
      <c r="F363" s="2"/>
      <c r="G363" s="2"/>
      <c r="H363" s="30">
        <f t="shared" si="16"/>
        <v>0</v>
      </c>
      <c r="I363" s="1"/>
      <c r="J363" s="1"/>
      <c r="K363" s="1"/>
      <c r="L363" s="1" t="str">
        <f t="shared" si="17"/>
        <v xml:space="preserve"> </v>
      </c>
      <c r="M363" s="1"/>
    </row>
    <row r="364" spans="1:13" x14ac:dyDescent="0.25">
      <c r="A364" s="33" t="str">
        <f t="shared" si="15"/>
        <v/>
      </c>
      <c r="B364" s="1"/>
      <c r="C364" s="2"/>
      <c r="D364" s="233"/>
      <c r="E364" s="2"/>
      <c r="F364" s="2"/>
      <c r="G364" s="2"/>
      <c r="H364" s="30">
        <f t="shared" si="16"/>
        <v>0</v>
      </c>
      <c r="I364" s="1"/>
      <c r="J364" s="1"/>
      <c r="K364" s="1"/>
      <c r="L364" s="1" t="str">
        <f t="shared" si="17"/>
        <v xml:space="preserve"> </v>
      </c>
      <c r="M364" s="1"/>
    </row>
    <row r="365" spans="1:13" x14ac:dyDescent="0.25">
      <c r="A365" s="33" t="str">
        <f t="shared" si="15"/>
        <v/>
      </c>
      <c r="B365" s="1"/>
      <c r="C365" s="2"/>
      <c r="D365" s="233"/>
      <c r="E365" s="2"/>
      <c r="F365" s="2"/>
      <c r="G365" s="2"/>
      <c r="H365" s="30">
        <f t="shared" si="16"/>
        <v>0</v>
      </c>
      <c r="I365" s="1"/>
      <c r="J365" s="1"/>
      <c r="K365" s="1"/>
      <c r="L365" s="1" t="str">
        <f t="shared" si="17"/>
        <v xml:space="preserve"> </v>
      </c>
      <c r="M365" s="1"/>
    </row>
    <row r="366" spans="1:13" x14ac:dyDescent="0.25">
      <c r="A366" s="33" t="str">
        <f t="shared" si="15"/>
        <v/>
      </c>
      <c r="B366" s="1"/>
      <c r="C366" s="2"/>
      <c r="D366" s="233"/>
      <c r="E366" s="2"/>
      <c r="F366" s="2"/>
      <c r="G366" s="2"/>
      <c r="H366" s="30">
        <f t="shared" si="16"/>
        <v>0</v>
      </c>
      <c r="I366" s="1"/>
      <c r="J366" s="1"/>
      <c r="K366" s="1"/>
      <c r="L366" s="1" t="str">
        <f t="shared" si="17"/>
        <v xml:space="preserve"> </v>
      </c>
      <c r="M366" s="1"/>
    </row>
    <row r="367" spans="1:13" x14ac:dyDescent="0.25">
      <c r="A367" s="33" t="str">
        <f t="shared" si="15"/>
        <v/>
      </c>
      <c r="B367" s="1"/>
      <c r="C367" s="2"/>
      <c r="D367" s="233"/>
      <c r="E367" s="2"/>
      <c r="F367" s="2"/>
      <c r="G367" s="2"/>
      <c r="H367" s="30">
        <f t="shared" si="16"/>
        <v>0</v>
      </c>
      <c r="I367" s="1"/>
      <c r="J367" s="1"/>
      <c r="K367" s="1"/>
      <c r="L367" s="1" t="str">
        <f t="shared" si="17"/>
        <v xml:space="preserve"> </v>
      </c>
      <c r="M367" s="1"/>
    </row>
    <row r="368" spans="1:13" x14ac:dyDescent="0.25">
      <c r="A368" s="33" t="str">
        <f t="shared" si="15"/>
        <v/>
      </c>
      <c r="B368" s="1"/>
      <c r="C368" s="2"/>
      <c r="D368" s="233"/>
      <c r="E368" s="2"/>
      <c r="F368" s="2"/>
      <c r="G368" s="2"/>
      <c r="H368" s="30">
        <f t="shared" si="16"/>
        <v>0</v>
      </c>
      <c r="I368" s="1"/>
      <c r="J368" s="1"/>
      <c r="K368" s="1"/>
      <c r="L368" s="1" t="str">
        <f t="shared" si="17"/>
        <v xml:space="preserve"> </v>
      </c>
      <c r="M368" s="1"/>
    </row>
    <row r="369" spans="1:13" x14ac:dyDescent="0.25">
      <c r="A369" s="33" t="str">
        <f t="shared" si="15"/>
        <v/>
      </c>
      <c r="B369" s="1"/>
      <c r="C369" s="2"/>
      <c r="D369" s="233"/>
      <c r="E369" s="2"/>
      <c r="F369" s="2"/>
      <c r="G369" s="2"/>
      <c r="H369" s="30">
        <f t="shared" si="16"/>
        <v>0</v>
      </c>
      <c r="I369" s="1"/>
      <c r="J369" s="1"/>
      <c r="K369" s="1"/>
      <c r="L369" s="1" t="str">
        <f t="shared" si="17"/>
        <v xml:space="preserve"> </v>
      </c>
      <c r="M369" s="1"/>
    </row>
    <row r="370" spans="1:13" x14ac:dyDescent="0.25">
      <c r="A370" s="33" t="str">
        <f t="shared" si="15"/>
        <v/>
      </c>
      <c r="B370" s="1"/>
      <c r="C370" s="2"/>
      <c r="D370" s="233"/>
      <c r="E370" s="2"/>
      <c r="F370" s="2"/>
      <c r="G370" s="2"/>
      <c r="H370" s="30">
        <f t="shared" si="16"/>
        <v>0</v>
      </c>
      <c r="I370" s="1"/>
      <c r="J370" s="1"/>
      <c r="K370" s="1"/>
      <c r="L370" s="1" t="str">
        <f t="shared" si="17"/>
        <v xml:space="preserve"> </v>
      </c>
      <c r="M370" s="1"/>
    </row>
    <row r="371" spans="1:13" x14ac:dyDescent="0.25">
      <c r="A371" s="33" t="str">
        <f t="shared" ref="A371:A434" si="18">CONCATENATE(B371,C371,E371)</f>
        <v/>
      </c>
      <c r="B371" s="1"/>
      <c r="C371" s="2"/>
      <c r="D371" s="233"/>
      <c r="E371" s="2"/>
      <c r="F371" s="2"/>
      <c r="G371" s="2"/>
      <c r="H371" s="30">
        <f t="shared" ref="H371:H434" si="19">IFERROR(IF(F371&gt;G371,((G371+B371+1)-(F371+B371))*24,HOUR(G371-F371)+MINUTE(G371-F371)/60),"")</f>
        <v>0</v>
      </c>
      <c r="I371" s="1"/>
      <c r="J371" s="1"/>
      <c r="K371" s="1"/>
      <c r="L371" s="1" t="str">
        <f t="shared" si="17"/>
        <v xml:space="preserve"> </v>
      </c>
      <c r="M371" s="1"/>
    </row>
    <row r="372" spans="1:13" x14ac:dyDescent="0.25">
      <c r="A372" s="33" t="str">
        <f t="shared" si="18"/>
        <v/>
      </c>
      <c r="B372" s="1"/>
      <c r="C372" s="2"/>
      <c r="D372" s="233"/>
      <c r="E372" s="2"/>
      <c r="F372" s="2"/>
      <c r="G372" s="2"/>
      <c r="H372" s="30">
        <f t="shared" si="19"/>
        <v>0</v>
      </c>
      <c r="I372" s="1"/>
      <c r="J372" s="1"/>
      <c r="K372" s="1"/>
      <c r="L372" s="1" t="str">
        <f t="shared" si="17"/>
        <v xml:space="preserve"> </v>
      </c>
      <c r="M372" s="1"/>
    </row>
    <row r="373" spans="1:13" x14ac:dyDescent="0.25">
      <c r="A373" s="33" t="str">
        <f t="shared" si="18"/>
        <v/>
      </c>
      <c r="B373" s="1"/>
      <c r="C373" s="2"/>
      <c r="D373" s="233"/>
      <c r="E373" s="2"/>
      <c r="F373" s="2"/>
      <c r="G373" s="2"/>
      <c r="H373" s="30">
        <f t="shared" si="19"/>
        <v>0</v>
      </c>
      <c r="I373" s="1"/>
      <c r="J373" s="1"/>
      <c r="K373" s="1"/>
      <c r="L373" s="1" t="str">
        <f t="shared" si="17"/>
        <v xml:space="preserve"> </v>
      </c>
      <c r="M373" s="1"/>
    </row>
    <row r="374" spans="1:13" x14ac:dyDescent="0.25">
      <c r="A374" s="33" t="str">
        <f t="shared" si="18"/>
        <v/>
      </c>
      <c r="B374" s="1"/>
      <c r="C374" s="2"/>
      <c r="D374" s="233"/>
      <c r="E374" s="2"/>
      <c r="F374" s="2"/>
      <c r="G374" s="2"/>
      <c r="H374" s="30">
        <f t="shared" si="19"/>
        <v>0</v>
      </c>
      <c r="I374" s="1"/>
      <c r="J374" s="1"/>
      <c r="K374" s="1"/>
      <c r="L374" s="1" t="str">
        <f t="shared" si="17"/>
        <v xml:space="preserve"> </v>
      </c>
      <c r="M374" s="1"/>
    </row>
    <row r="375" spans="1:13" x14ac:dyDescent="0.25">
      <c r="A375" s="33" t="str">
        <f t="shared" si="18"/>
        <v/>
      </c>
      <c r="B375" s="1"/>
      <c r="C375" s="2"/>
      <c r="D375" s="233"/>
      <c r="E375" s="2"/>
      <c r="F375" s="2"/>
      <c r="G375" s="2"/>
      <c r="H375" s="30">
        <f t="shared" si="19"/>
        <v>0</v>
      </c>
      <c r="I375" s="1"/>
      <c r="J375" s="1"/>
      <c r="K375" s="1"/>
      <c r="L375" s="1" t="str">
        <f t="shared" si="17"/>
        <v xml:space="preserve"> </v>
      </c>
      <c r="M375" s="1"/>
    </row>
    <row r="376" spans="1:13" x14ac:dyDescent="0.25">
      <c r="A376" s="33" t="str">
        <f t="shared" si="18"/>
        <v/>
      </c>
      <c r="B376" s="1"/>
      <c r="C376" s="2"/>
      <c r="D376" s="233"/>
      <c r="E376" s="2"/>
      <c r="F376" s="2"/>
      <c r="G376" s="2"/>
      <c r="H376" s="30">
        <f t="shared" si="19"/>
        <v>0</v>
      </c>
      <c r="I376" s="1"/>
      <c r="J376" s="1"/>
      <c r="K376" s="1"/>
      <c r="L376" s="1" t="str">
        <f t="shared" si="17"/>
        <v xml:space="preserve"> </v>
      </c>
      <c r="M376" s="1"/>
    </row>
    <row r="377" spans="1:13" x14ac:dyDescent="0.25">
      <c r="A377" s="33" t="str">
        <f t="shared" si="18"/>
        <v/>
      </c>
      <c r="B377" s="1"/>
      <c r="C377" s="2"/>
      <c r="D377" s="233"/>
      <c r="E377" s="2"/>
      <c r="F377" s="2"/>
      <c r="G377" s="2"/>
      <c r="H377" s="30">
        <f t="shared" si="19"/>
        <v>0</v>
      </c>
      <c r="I377" s="1"/>
      <c r="J377" s="1"/>
      <c r="K377" s="1"/>
      <c r="L377" s="1" t="str">
        <f t="shared" si="17"/>
        <v xml:space="preserve"> </v>
      </c>
      <c r="M377" s="1"/>
    </row>
    <row r="378" spans="1:13" x14ac:dyDescent="0.25">
      <c r="A378" s="33" t="str">
        <f t="shared" si="18"/>
        <v/>
      </c>
      <c r="B378" s="1"/>
      <c r="C378" s="2"/>
      <c r="D378" s="233"/>
      <c r="E378" s="2"/>
      <c r="F378" s="2"/>
      <c r="G378" s="2"/>
      <c r="H378" s="30">
        <f t="shared" si="19"/>
        <v>0</v>
      </c>
      <c r="I378" s="1"/>
      <c r="J378" s="1"/>
      <c r="K378" s="1"/>
      <c r="L378" s="1" t="str">
        <f t="shared" si="17"/>
        <v xml:space="preserve"> </v>
      </c>
      <c r="M378" s="1"/>
    </row>
    <row r="379" spans="1:13" x14ac:dyDescent="0.25">
      <c r="A379" s="33" t="str">
        <f t="shared" si="18"/>
        <v/>
      </c>
      <c r="B379" s="1"/>
      <c r="C379" s="2"/>
      <c r="D379" s="233"/>
      <c r="E379" s="2"/>
      <c r="F379" s="2"/>
      <c r="G379" s="2"/>
      <c r="H379" s="30">
        <f t="shared" si="19"/>
        <v>0</v>
      </c>
      <c r="I379" s="1"/>
      <c r="J379" s="1"/>
      <c r="K379" s="1"/>
      <c r="L379" s="1" t="str">
        <f t="shared" si="17"/>
        <v xml:space="preserve"> </v>
      </c>
      <c r="M379" s="1"/>
    </row>
    <row r="380" spans="1:13" x14ac:dyDescent="0.25">
      <c r="A380" s="33" t="str">
        <f t="shared" si="18"/>
        <v/>
      </c>
      <c r="B380" s="1"/>
      <c r="C380" s="2"/>
      <c r="D380" s="233"/>
      <c r="E380" s="2"/>
      <c r="F380" s="2"/>
      <c r="G380" s="2"/>
      <c r="H380" s="30">
        <f t="shared" si="19"/>
        <v>0</v>
      </c>
      <c r="I380" s="1"/>
      <c r="J380" s="1"/>
      <c r="K380" s="1"/>
      <c r="L380" s="1" t="str">
        <f t="shared" si="17"/>
        <v xml:space="preserve"> </v>
      </c>
      <c r="M380" s="1"/>
    </row>
    <row r="381" spans="1:13" x14ac:dyDescent="0.25">
      <c r="A381" s="33" t="str">
        <f t="shared" si="18"/>
        <v/>
      </c>
      <c r="B381" s="1"/>
      <c r="C381" s="2"/>
      <c r="D381" s="233"/>
      <c r="E381" s="2"/>
      <c r="F381" s="2"/>
      <c r="G381" s="2"/>
      <c r="H381" s="30">
        <f t="shared" si="19"/>
        <v>0</v>
      </c>
      <c r="I381" s="1"/>
      <c r="J381" s="1"/>
      <c r="K381" s="1"/>
      <c r="L381" s="1" t="str">
        <f t="shared" si="17"/>
        <v xml:space="preserve"> </v>
      </c>
      <c r="M381" s="1"/>
    </row>
    <row r="382" spans="1:13" x14ac:dyDescent="0.25">
      <c r="A382" s="33" t="str">
        <f t="shared" si="18"/>
        <v/>
      </c>
      <c r="B382" s="1"/>
      <c r="C382" s="2"/>
      <c r="D382" s="233"/>
      <c r="E382" s="2"/>
      <c r="F382" s="2"/>
      <c r="G382" s="2"/>
      <c r="H382" s="30">
        <f t="shared" si="19"/>
        <v>0</v>
      </c>
      <c r="I382" s="1"/>
      <c r="J382" s="1"/>
      <c r="K382" s="1"/>
      <c r="L382" s="1" t="str">
        <f t="shared" si="17"/>
        <v xml:space="preserve"> </v>
      </c>
      <c r="M382" s="1"/>
    </row>
    <row r="383" spans="1:13" x14ac:dyDescent="0.25">
      <c r="A383" s="33" t="str">
        <f t="shared" si="18"/>
        <v/>
      </c>
      <c r="B383" s="1"/>
      <c r="C383" s="2"/>
      <c r="D383" s="233"/>
      <c r="E383" s="2"/>
      <c r="F383" s="2"/>
      <c r="G383" s="2"/>
      <c r="H383" s="30">
        <f t="shared" si="19"/>
        <v>0</v>
      </c>
      <c r="I383" s="1"/>
      <c r="J383" s="1"/>
      <c r="K383" s="1"/>
      <c r="L383" s="1" t="str">
        <f t="shared" si="17"/>
        <v xml:space="preserve"> </v>
      </c>
      <c r="M383" s="1"/>
    </row>
    <row r="384" spans="1:13" x14ac:dyDescent="0.25">
      <c r="A384" s="33" t="str">
        <f t="shared" si="18"/>
        <v/>
      </c>
      <c r="B384" s="1"/>
      <c r="C384" s="2"/>
      <c r="D384" s="233"/>
      <c r="E384" s="2"/>
      <c r="F384" s="2"/>
      <c r="G384" s="2"/>
      <c r="H384" s="30">
        <f t="shared" si="19"/>
        <v>0</v>
      </c>
      <c r="I384" s="1"/>
      <c r="J384" s="1"/>
      <c r="K384" s="1"/>
      <c r="L384" s="1" t="str">
        <f t="shared" si="17"/>
        <v xml:space="preserve"> </v>
      </c>
      <c r="M384" s="1"/>
    </row>
    <row r="385" spans="1:13" x14ac:dyDescent="0.25">
      <c r="A385" s="33" t="str">
        <f t="shared" si="18"/>
        <v/>
      </c>
      <c r="B385" s="1"/>
      <c r="C385" s="2"/>
      <c r="D385" s="233"/>
      <c r="E385" s="2"/>
      <c r="F385" s="2"/>
      <c r="G385" s="2"/>
      <c r="H385" s="30">
        <f t="shared" si="19"/>
        <v>0</v>
      </c>
      <c r="I385" s="1"/>
      <c r="J385" s="1"/>
      <c r="K385" s="1"/>
      <c r="L385" s="1" t="str">
        <f t="shared" si="17"/>
        <v xml:space="preserve"> </v>
      </c>
      <c r="M385" s="1"/>
    </row>
    <row r="386" spans="1:13" x14ac:dyDescent="0.25">
      <c r="A386" s="33" t="str">
        <f t="shared" si="18"/>
        <v/>
      </c>
      <c r="B386" s="1"/>
      <c r="C386" s="2"/>
      <c r="D386" s="233"/>
      <c r="E386" s="2"/>
      <c r="F386" s="2"/>
      <c r="G386" s="2"/>
      <c r="H386" s="30">
        <f t="shared" si="19"/>
        <v>0</v>
      </c>
      <c r="I386" s="1"/>
      <c r="J386" s="1"/>
      <c r="K386" s="1"/>
      <c r="L386" s="1" t="str">
        <f t="shared" si="17"/>
        <v xml:space="preserve"> </v>
      </c>
      <c r="M386" s="1"/>
    </row>
    <row r="387" spans="1:13" x14ac:dyDescent="0.25">
      <c r="A387" s="33" t="str">
        <f t="shared" si="18"/>
        <v/>
      </c>
      <c r="B387" s="1"/>
      <c r="C387" s="2"/>
      <c r="D387" s="233"/>
      <c r="E387" s="2"/>
      <c r="F387" s="2"/>
      <c r="G387" s="2"/>
      <c r="H387" s="30">
        <f t="shared" si="19"/>
        <v>0</v>
      </c>
      <c r="I387" s="1"/>
      <c r="J387" s="1"/>
      <c r="K387" s="1"/>
      <c r="L387" s="1" t="str">
        <f t="shared" si="17"/>
        <v xml:space="preserve"> </v>
      </c>
      <c r="M387" s="1"/>
    </row>
    <row r="388" spans="1:13" x14ac:dyDescent="0.25">
      <c r="A388" s="33" t="str">
        <f t="shared" si="18"/>
        <v/>
      </c>
      <c r="B388" s="1"/>
      <c r="C388" s="2"/>
      <c r="D388" s="233"/>
      <c r="E388" s="2"/>
      <c r="F388" s="2"/>
      <c r="G388" s="2"/>
      <c r="H388" s="30">
        <f t="shared" si="19"/>
        <v>0</v>
      </c>
      <c r="I388" s="1"/>
      <c r="J388" s="1"/>
      <c r="K388" s="1"/>
      <c r="L388" s="1" t="str">
        <f t="shared" si="17"/>
        <v xml:space="preserve"> </v>
      </c>
      <c r="M388" s="1"/>
    </row>
    <row r="389" spans="1:13" x14ac:dyDescent="0.25">
      <c r="A389" s="33" t="str">
        <f t="shared" si="18"/>
        <v/>
      </c>
      <c r="B389" s="1"/>
      <c r="C389" s="2"/>
      <c r="D389" s="233"/>
      <c r="E389" s="2"/>
      <c r="F389" s="2"/>
      <c r="G389" s="2"/>
      <c r="H389" s="30">
        <f t="shared" si="19"/>
        <v>0</v>
      </c>
      <c r="I389" s="1"/>
      <c r="J389" s="1"/>
      <c r="K389" s="1"/>
      <c r="L389" s="1" t="str">
        <f t="shared" si="17"/>
        <v xml:space="preserve"> </v>
      </c>
      <c r="M389" s="1"/>
    </row>
    <row r="390" spans="1:13" x14ac:dyDescent="0.25">
      <c r="A390" s="33" t="str">
        <f t="shared" si="18"/>
        <v/>
      </c>
      <c r="B390" s="1"/>
      <c r="C390" s="2"/>
      <c r="D390" s="233"/>
      <c r="E390" s="2"/>
      <c r="F390" s="2"/>
      <c r="G390" s="2"/>
      <c r="H390" s="30">
        <f t="shared" si="19"/>
        <v>0</v>
      </c>
      <c r="I390" s="1"/>
      <c r="J390" s="1"/>
      <c r="K390" s="1"/>
      <c r="L390" s="1" t="str">
        <f t="shared" si="17"/>
        <v xml:space="preserve"> </v>
      </c>
      <c r="M390" s="1"/>
    </row>
    <row r="391" spans="1:13" x14ac:dyDescent="0.25">
      <c r="A391" s="33" t="str">
        <f t="shared" si="18"/>
        <v/>
      </c>
      <c r="B391" s="1"/>
      <c r="C391" s="2"/>
      <c r="D391" s="233"/>
      <c r="E391" s="2"/>
      <c r="F391" s="2"/>
      <c r="G391" s="2"/>
      <c r="H391" s="30">
        <f t="shared" si="19"/>
        <v>0</v>
      </c>
      <c r="I391" s="1"/>
      <c r="J391" s="1"/>
      <c r="K391" s="1"/>
      <c r="L391" s="1" t="str">
        <f t="shared" si="17"/>
        <v xml:space="preserve"> </v>
      </c>
      <c r="M391" s="1"/>
    </row>
    <row r="392" spans="1:13" x14ac:dyDescent="0.25">
      <c r="A392" s="33" t="str">
        <f t="shared" si="18"/>
        <v/>
      </c>
      <c r="B392" s="1"/>
      <c r="C392" s="2"/>
      <c r="D392" s="233"/>
      <c r="E392" s="2"/>
      <c r="F392" s="2"/>
      <c r="G392" s="2"/>
      <c r="H392" s="30">
        <f t="shared" si="19"/>
        <v>0</v>
      </c>
      <c r="I392" s="1"/>
      <c r="J392" s="1"/>
      <c r="K392" s="1"/>
      <c r="L392" s="1" t="str">
        <f t="shared" si="17"/>
        <v xml:space="preserve"> </v>
      </c>
      <c r="M392" s="1"/>
    </row>
    <row r="393" spans="1:13" x14ac:dyDescent="0.25">
      <c r="A393" s="33" t="str">
        <f t="shared" si="18"/>
        <v/>
      </c>
      <c r="B393" s="1"/>
      <c r="C393" s="2"/>
      <c r="D393" s="233"/>
      <c r="E393" s="2"/>
      <c r="F393" s="2"/>
      <c r="G393" s="2"/>
      <c r="H393" s="30">
        <f t="shared" si="19"/>
        <v>0</v>
      </c>
      <c r="I393" s="1"/>
      <c r="J393" s="1"/>
      <c r="K393" s="1"/>
      <c r="L393" s="1" t="str">
        <f t="shared" si="17"/>
        <v xml:space="preserve"> </v>
      </c>
      <c r="M393" s="1"/>
    </row>
    <row r="394" spans="1:13" x14ac:dyDescent="0.25">
      <c r="A394" s="33" t="str">
        <f t="shared" si="18"/>
        <v/>
      </c>
      <c r="B394" s="1"/>
      <c r="C394" s="2"/>
      <c r="D394" s="233"/>
      <c r="E394" s="2"/>
      <c r="F394" s="2"/>
      <c r="G394" s="2"/>
      <c r="H394" s="30">
        <f t="shared" si="19"/>
        <v>0</v>
      </c>
      <c r="I394" s="1"/>
      <c r="J394" s="1"/>
      <c r="K394" s="1"/>
      <c r="L394" s="1" t="str">
        <f t="shared" si="17"/>
        <v xml:space="preserve"> </v>
      </c>
      <c r="M394" s="1"/>
    </row>
    <row r="395" spans="1:13" x14ac:dyDescent="0.25">
      <c r="A395" s="33" t="str">
        <f t="shared" si="18"/>
        <v/>
      </c>
      <c r="B395" s="1"/>
      <c r="C395" s="2"/>
      <c r="D395" s="233"/>
      <c r="E395" s="2"/>
      <c r="F395" s="2"/>
      <c r="G395" s="2"/>
      <c r="H395" s="30">
        <f t="shared" si="19"/>
        <v>0</v>
      </c>
      <c r="I395" s="1"/>
      <c r="J395" s="1"/>
      <c r="K395" s="1"/>
      <c r="L395" s="1" t="str">
        <f t="shared" si="17"/>
        <v xml:space="preserve"> </v>
      </c>
      <c r="M395" s="1"/>
    </row>
    <row r="396" spans="1:13" x14ac:dyDescent="0.25">
      <c r="A396" s="33" t="str">
        <f t="shared" si="18"/>
        <v/>
      </c>
      <c r="B396" s="1"/>
      <c r="C396" s="2"/>
      <c r="D396" s="233"/>
      <c r="E396" s="2"/>
      <c r="F396" s="2"/>
      <c r="G396" s="2"/>
      <c r="H396" s="30">
        <f t="shared" si="19"/>
        <v>0</v>
      </c>
      <c r="I396" s="1"/>
      <c r="J396" s="1"/>
      <c r="K396" s="1"/>
      <c r="L396" s="1" t="str">
        <f t="shared" si="17"/>
        <v xml:space="preserve"> </v>
      </c>
      <c r="M396" s="1"/>
    </row>
    <row r="397" spans="1:13" x14ac:dyDescent="0.25">
      <c r="A397" s="33" t="str">
        <f t="shared" si="18"/>
        <v/>
      </c>
      <c r="B397" s="1"/>
      <c r="C397" s="2"/>
      <c r="D397" s="233"/>
      <c r="E397" s="2"/>
      <c r="F397" s="2"/>
      <c r="G397" s="2"/>
      <c r="H397" s="30">
        <f t="shared" si="19"/>
        <v>0</v>
      </c>
      <c r="I397" s="1"/>
      <c r="J397" s="1"/>
      <c r="K397" s="1"/>
      <c r="L397" s="1" t="str">
        <f t="shared" si="17"/>
        <v xml:space="preserve"> </v>
      </c>
      <c r="M397" s="1"/>
    </row>
    <row r="398" spans="1:13" x14ac:dyDescent="0.25">
      <c r="A398" s="33" t="str">
        <f t="shared" si="18"/>
        <v/>
      </c>
      <c r="B398" s="1"/>
      <c r="C398" s="2"/>
      <c r="D398" s="233"/>
      <c r="E398" s="2"/>
      <c r="F398" s="2"/>
      <c r="G398" s="2"/>
      <c r="H398" s="30">
        <f t="shared" si="19"/>
        <v>0</v>
      </c>
      <c r="I398" s="1"/>
      <c r="J398" s="1"/>
      <c r="K398" s="1"/>
      <c r="L398" s="1" t="str">
        <f t="shared" si="17"/>
        <v xml:space="preserve"> </v>
      </c>
      <c r="M398" s="1"/>
    </row>
    <row r="399" spans="1:13" x14ac:dyDescent="0.25">
      <c r="A399" s="33" t="str">
        <f t="shared" si="18"/>
        <v/>
      </c>
      <c r="B399" s="1"/>
      <c r="C399" s="2"/>
      <c r="D399" s="233"/>
      <c r="E399" s="2"/>
      <c r="F399" s="2"/>
      <c r="G399" s="2"/>
      <c r="H399" s="30">
        <f t="shared" si="19"/>
        <v>0</v>
      </c>
      <c r="I399" s="1"/>
      <c r="J399" s="1"/>
      <c r="K399" s="1"/>
      <c r="L399" s="1" t="str">
        <f t="shared" si="17"/>
        <v xml:space="preserve"> </v>
      </c>
      <c r="M399" s="1"/>
    </row>
    <row r="400" spans="1:13" x14ac:dyDescent="0.25">
      <c r="A400" s="33" t="str">
        <f t="shared" si="18"/>
        <v/>
      </c>
      <c r="B400" s="1"/>
      <c r="C400" s="2"/>
      <c r="D400" s="233"/>
      <c r="E400" s="2"/>
      <c r="F400" s="2"/>
      <c r="G400" s="2"/>
      <c r="H400" s="30">
        <f t="shared" si="19"/>
        <v>0</v>
      </c>
      <c r="I400" s="1"/>
      <c r="J400" s="1"/>
      <c r="K400" s="1"/>
      <c r="L400" s="1" t="str">
        <f t="shared" si="17"/>
        <v xml:space="preserve"> </v>
      </c>
      <c r="M400" s="1"/>
    </row>
    <row r="401" spans="1:13" x14ac:dyDescent="0.25">
      <c r="A401" s="33" t="str">
        <f t="shared" si="18"/>
        <v/>
      </c>
      <c r="B401" s="1"/>
      <c r="C401" s="2"/>
      <c r="D401" s="233"/>
      <c r="E401" s="2"/>
      <c r="F401" s="2"/>
      <c r="G401" s="2"/>
      <c r="H401" s="30">
        <f t="shared" si="19"/>
        <v>0</v>
      </c>
      <c r="I401" s="1"/>
      <c r="J401" s="1"/>
      <c r="K401" s="1"/>
      <c r="L401" s="1" t="str">
        <f t="shared" si="17"/>
        <v xml:space="preserve"> </v>
      </c>
      <c r="M401" s="1"/>
    </row>
    <row r="402" spans="1:13" x14ac:dyDescent="0.25">
      <c r="A402" s="33" t="str">
        <f t="shared" si="18"/>
        <v/>
      </c>
      <c r="B402" s="1"/>
      <c r="C402" s="2"/>
      <c r="D402" s="233"/>
      <c r="E402" s="2"/>
      <c r="F402" s="2"/>
      <c r="G402" s="2"/>
      <c r="H402" s="30">
        <f t="shared" si="19"/>
        <v>0</v>
      </c>
      <c r="I402" s="1"/>
      <c r="J402" s="1"/>
      <c r="K402" s="1"/>
      <c r="L402" s="1" t="str">
        <f t="shared" si="17"/>
        <v xml:space="preserve"> </v>
      </c>
      <c r="M402" s="1"/>
    </row>
    <row r="403" spans="1:13" x14ac:dyDescent="0.25">
      <c r="A403" s="33" t="str">
        <f t="shared" si="18"/>
        <v/>
      </c>
      <c r="B403" s="1"/>
      <c r="C403" s="2"/>
      <c r="D403" s="233"/>
      <c r="E403" s="2"/>
      <c r="F403" s="2"/>
      <c r="G403" s="2"/>
      <c r="H403" s="30">
        <f t="shared" si="19"/>
        <v>0</v>
      </c>
      <c r="I403" s="1"/>
      <c r="J403" s="1"/>
      <c r="K403" s="1"/>
      <c r="L403" s="1" t="str">
        <f t="shared" si="17"/>
        <v xml:space="preserve"> </v>
      </c>
      <c r="M403" s="1"/>
    </row>
    <row r="404" spans="1:13" x14ac:dyDescent="0.25">
      <c r="A404" s="33" t="str">
        <f t="shared" si="18"/>
        <v/>
      </c>
      <c r="B404" s="1"/>
      <c r="C404" s="2"/>
      <c r="D404" s="233"/>
      <c r="E404" s="2"/>
      <c r="F404" s="2"/>
      <c r="G404" s="2"/>
      <c r="H404" s="30">
        <f t="shared" si="19"/>
        <v>0</v>
      </c>
      <c r="I404" s="1"/>
      <c r="J404" s="1"/>
      <c r="K404" s="1"/>
      <c r="L404" s="1" t="str">
        <f t="shared" si="17"/>
        <v xml:space="preserve"> </v>
      </c>
      <c r="M404" s="1"/>
    </row>
    <row r="405" spans="1:13" x14ac:dyDescent="0.25">
      <c r="A405" s="33" t="str">
        <f t="shared" si="18"/>
        <v/>
      </c>
      <c r="B405" s="1"/>
      <c r="C405" s="2"/>
      <c r="D405" s="233"/>
      <c r="E405" s="2"/>
      <c r="F405" s="2"/>
      <c r="G405" s="2"/>
      <c r="H405" s="30">
        <f t="shared" si="19"/>
        <v>0</v>
      </c>
      <c r="I405" s="1"/>
      <c r="J405" s="1"/>
      <c r="K405" s="1"/>
      <c r="L405" s="1" t="str">
        <f t="shared" si="17"/>
        <v xml:space="preserve"> </v>
      </c>
      <c r="M405" s="1"/>
    </row>
    <row r="406" spans="1:13" x14ac:dyDescent="0.25">
      <c r="A406" s="33" t="str">
        <f t="shared" si="18"/>
        <v/>
      </c>
      <c r="B406" s="1"/>
      <c r="C406" s="2"/>
      <c r="D406" s="233"/>
      <c r="E406" s="2"/>
      <c r="F406" s="2"/>
      <c r="G406" s="2"/>
      <c r="H406" s="30">
        <f t="shared" si="19"/>
        <v>0</v>
      </c>
      <c r="I406" s="1"/>
      <c r="J406" s="1"/>
      <c r="K406" s="1"/>
      <c r="L406" s="1" t="str">
        <f t="shared" si="17"/>
        <v xml:space="preserve"> </v>
      </c>
      <c r="M406" s="1"/>
    </row>
    <row r="407" spans="1:13" x14ac:dyDescent="0.25">
      <c r="A407" s="33" t="str">
        <f t="shared" si="18"/>
        <v/>
      </c>
      <c r="B407" s="1"/>
      <c r="C407" s="2"/>
      <c r="D407" s="233"/>
      <c r="E407" s="2"/>
      <c r="F407" s="2"/>
      <c r="G407" s="2"/>
      <c r="H407" s="30">
        <f t="shared" si="19"/>
        <v>0</v>
      </c>
      <c r="I407" s="1"/>
      <c r="J407" s="1"/>
      <c r="K407" s="1"/>
      <c r="L407" s="1" t="str">
        <f t="shared" si="17"/>
        <v xml:space="preserve"> </v>
      </c>
      <c r="M407" s="1"/>
    </row>
    <row r="408" spans="1:13" x14ac:dyDescent="0.25">
      <c r="A408" s="33" t="str">
        <f t="shared" si="18"/>
        <v/>
      </c>
      <c r="B408" s="1"/>
      <c r="C408" s="2"/>
      <c r="D408" s="233"/>
      <c r="E408" s="2"/>
      <c r="F408" s="2"/>
      <c r="G408" s="2"/>
      <c r="H408" s="30">
        <f t="shared" si="19"/>
        <v>0</v>
      </c>
      <c r="I408" s="1"/>
      <c r="J408" s="1"/>
      <c r="K408" s="1"/>
      <c r="L408" s="1" t="str">
        <f t="shared" si="17"/>
        <v xml:space="preserve"> </v>
      </c>
      <c r="M408" s="1"/>
    </row>
    <row r="409" spans="1:13" x14ac:dyDescent="0.25">
      <c r="A409" s="33" t="str">
        <f t="shared" si="18"/>
        <v/>
      </c>
      <c r="B409" s="1"/>
      <c r="C409" s="2"/>
      <c r="D409" s="233"/>
      <c r="E409" s="2"/>
      <c r="F409" s="2"/>
      <c r="G409" s="2"/>
      <c r="H409" s="30">
        <f t="shared" si="19"/>
        <v>0</v>
      </c>
      <c r="I409" s="1"/>
      <c r="J409" s="1"/>
      <c r="K409" s="1"/>
      <c r="L409" s="1" t="str">
        <f t="shared" si="17"/>
        <v xml:space="preserve"> </v>
      </c>
      <c r="M409" s="1"/>
    </row>
    <row r="410" spans="1:13" x14ac:dyDescent="0.25">
      <c r="A410" s="33" t="str">
        <f t="shared" si="18"/>
        <v/>
      </c>
      <c r="B410" s="1"/>
      <c r="C410" s="2"/>
      <c r="D410" s="233"/>
      <c r="E410" s="2"/>
      <c r="F410" s="2"/>
      <c r="G410" s="2"/>
      <c r="H410" s="30">
        <f t="shared" si="19"/>
        <v>0</v>
      </c>
      <c r="I410" s="1"/>
      <c r="J410" s="1"/>
      <c r="K410" s="1"/>
      <c r="L410" s="1" t="str">
        <f t="shared" si="17"/>
        <v xml:space="preserve"> </v>
      </c>
      <c r="M410" s="1"/>
    </row>
    <row r="411" spans="1:13" x14ac:dyDescent="0.25">
      <c r="A411" s="33" t="str">
        <f t="shared" si="18"/>
        <v/>
      </c>
      <c r="B411" s="1"/>
      <c r="C411" s="2"/>
      <c r="D411" s="233"/>
      <c r="E411" s="2"/>
      <c r="F411" s="2"/>
      <c r="G411" s="2"/>
      <c r="H411" s="30">
        <f t="shared" si="19"/>
        <v>0</v>
      </c>
      <c r="I411" s="1"/>
      <c r="J411" s="1"/>
      <c r="K411" s="1"/>
      <c r="L411" s="1" t="str">
        <f t="shared" si="17"/>
        <v xml:space="preserve"> </v>
      </c>
      <c r="M411" s="1"/>
    </row>
    <row r="412" spans="1:13" x14ac:dyDescent="0.25">
      <c r="A412" s="33" t="str">
        <f t="shared" si="18"/>
        <v/>
      </c>
      <c r="B412" s="1"/>
      <c r="C412" s="2"/>
      <c r="D412" s="233"/>
      <c r="E412" s="2"/>
      <c r="F412" s="2"/>
      <c r="G412" s="2"/>
      <c r="H412" s="30">
        <f t="shared" si="19"/>
        <v>0</v>
      </c>
      <c r="I412" s="1"/>
      <c r="J412" s="1"/>
      <c r="K412" s="1"/>
      <c r="L412" s="1" t="str">
        <f t="shared" si="17"/>
        <v xml:space="preserve"> </v>
      </c>
      <c r="M412" s="1"/>
    </row>
    <row r="413" spans="1:13" x14ac:dyDescent="0.25">
      <c r="A413" s="33" t="str">
        <f t="shared" si="18"/>
        <v/>
      </c>
      <c r="B413" s="1"/>
      <c r="C413" s="2"/>
      <c r="D413" s="233"/>
      <c r="E413" s="2"/>
      <c r="F413" s="2"/>
      <c r="G413" s="2"/>
      <c r="H413" s="30">
        <f t="shared" si="19"/>
        <v>0</v>
      </c>
      <c r="I413" s="1"/>
      <c r="J413" s="1"/>
      <c r="K413" s="1"/>
      <c r="L413" s="1" t="str">
        <f t="shared" si="17"/>
        <v xml:space="preserve"> </v>
      </c>
      <c r="M413" s="1"/>
    </row>
    <row r="414" spans="1:13" x14ac:dyDescent="0.25">
      <c r="A414" s="33" t="str">
        <f t="shared" si="18"/>
        <v/>
      </c>
      <c r="B414" s="1"/>
      <c r="C414" s="2"/>
      <c r="D414" s="233"/>
      <c r="E414" s="2"/>
      <c r="F414" s="2"/>
      <c r="G414" s="2"/>
      <c r="H414" s="30">
        <f t="shared" si="19"/>
        <v>0</v>
      </c>
      <c r="I414" s="1"/>
      <c r="J414" s="1"/>
      <c r="K414" s="1"/>
      <c r="L414" s="1" t="str">
        <f t="shared" si="17"/>
        <v xml:space="preserve"> </v>
      </c>
      <c r="M414" s="1"/>
    </row>
    <row r="415" spans="1:13" x14ac:dyDescent="0.25">
      <c r="A415" s="33" t="str">
        <f t="shared" si="18"/>
        <v/>
      </c>
      <c r="B415" s="1"/>
      <c r="C415" s="2"/>
      <c r="D415" s="233"/>
      <c r="E415" s="2"/>
      <c r="F415" s="2"/>
      <c r="G415" s="2"/>
      <c r="H415" s="30">
        <f t="shared" si="19"/>
        <v>0</v>
      </c>
      <c r="I415" s="1"/>
      <c r="J415" s="1"/>
      <c r="K415" s="1"/>
      <c r="L415" s="1" t="str">
        <f t="shared" si="17"/>
        <v xml:space="preserve"> </v>
      </c>
      <c r="M415" s="1"/>
    </row>
    <row r="416" spans="1:13" x14ac:dyDescent="0.25">
      <c r="A416" s="33" t="str">
        <f t="shared" si="18"/>
        <v/>
      </c>
      <c r="B416" s="1"/>
      <c r="C416" s="2"/>
      <c r="D416" s="233"/>
      <c r="E416" s="2"/>
      <c r="F416" s="2"/>
      <c r="G416" s="2"/>
      <c r="H416" s="30">
        <f t="shared" si="19"/>
        <v>0</v>
      </c>
      <c r="I416" s="1"/>
      <c r="J416" s="1"/>
      <c r="K416" s="1"/>
      <c r="L416" s="1" t="str">
        <f t="shared" si="17"/>
        <v xml:space="preserve"> </v>
      </c>
      <c r="M416" s="1"/>
    </row>
    <row r="417" spans="1:13" x14ac:dyDescent="0.25">
      <c r="A417" s="33" t="str">
        <f t="shared" si="18"/>
        <v/>
      </c>
      <c r="B417" s="1"/>
      <c r="C417" s="2"/>
      <c r="D417" s="233"/>
      <c r="E417" s="2"/>
      <c r="F417" s="2"/>
      <c r="G417" s="2"/>
      <c r="H417" s="30">
        <f t="shared" si="19"/>
        <v>0</v>
      </c>
      <c r="I417" s="1"/>
      <c r="J417" s="1"/>
      <c r="K417" s="1"/>
      <c r="L417" s="1" t="str">
        <f t="shared" si="17"/>
        <v xml:space="preserve"> </v>
      </c>
      <c r="M417" s="1"/>
    </row>
    <row r="418" spans="1:13" x14ac:dyDescent="0.25">
      <c r="A418" s="33" t="str">
        <f t="shared" si="18"/>
        <v/>
      </c>
      <c r="B418" s="1"/>
      <c r="C418" s="2"/>
      <c r="D418" s="233"/>
      <c r="E418" s="2"/>
      <c r="F418" s="2"/>
      <c r="G418" s="2"/>
      <c r="H418" s="30">
        <f t="shared" si="19"/>
        <v>0</v>
      </c>
      <c r="I418" s="1"/>
      <c r="J418" s="1"/>
      <c r="K418" s="1"/>
      <c r="L418" s="1" t="str">
        <f t="shared" si="17"/>
        <v xml:space="preserve"> </v>
      </c>
      <c r="M418" s="1"/>
    </row>
    <row r="419" spans="1:13" x14ac:dyDescent="0.25">
      <c r="A419" s="33" t="str">
        <f t="shared" si="18"/>
        <v/>
      </c>
      <c r="B419" s="1"/>
      <c r="C419" s="2"/>
      <c r="D419" s="233"/>
      <c r="E419" s="2"/>
      <c r="F419" s="2"/>
      <c r="G419" s="2"/>
      <c r="H419" s="30">
        <f t="shared" si="19"/>
        <v>0</v>
      </c>
      <c r="I419" s="1"/>
      <c r="J419" s="1"/>
      <c r="K419" s="1"/>
      <c r="L419" s="1" t="str">
        <f t="shared" si="17"/>
        <v xml:space="preserve"> </v>
      </c>
      <c r="M419" s="1"/>
    </row>
    <row r="420" spans="1:13" x14ac:dyDescent="0.25">
      <c r="A420" s="33" t="str">
        <f t="shared" si="18"/>
        <v/>
      </c>
      <c r="B420" s="1"/>
      <c r="C420" s="2"/>
      <c r="D420" s="233"/>
      <c r="E420" s="2"/>
      <c r="F420" s="2"/>
      <c r="G420" s="2"/>
      <c r="H420" s="30">
        <f t="shared" si="19"/>
        <v>0</v>
      </c>
      <c r="I420" s="1"/>
      <c r="J420" s="1"/>
      <c r="K420" s="1"/>
      <c r="L420" s="1" t="str">
        <f t="shared" si="17"/>
        <v xml:space="preserve"> </v>
      </c>
      <c r="M420" s="1"/>
    </row>
    <row r="421" spans="1:13" x14ac:dyDescent="0.25">
      <c r="A421" s="33" t="str">
        <f t="shared" si="18"/>
        <v/>
      </c>
      <c r="B421" s="1"/>
      <c r="C421" s="2"/>
      <c r="D421" s="233"/>
      <c r="E421" s="2"/>
      <c r="F421" s="2"/>
      <c r="G421" s="2"/>
      <c r="H421" s="30">
        <f t="shared" si="19"/>
        <v>0</v>
      </c>
      <c r="I421" s="1"/>
      <c r="J421" s="1"/>
      <c r="K421" s="1"/>
      <c r="L421" s="1" t="str">
        <f t="shared" si="17"/>
        <v xml:space="preserve"> </v>
      </c>
      <c r="M421" s="1"/>
    </row>
    <row r="422" spans="1:13" x14ac:dyDescent="0.25">
      <c r="A422" s="33" t="str">
        <f t="shared" si="18"/>
        <v/>
      </c>
      <c r="B422" s="1"/>
      <c r="C422" s="2"/>
      <c r="D422" s="233"/>
      <c r="E422" s="2"/>
      <c r="F422" s="2"/>
      <c r="G422" s="2"/>
      <c r="H422" s="30">
        <f t="shared" si="19"/>
        <v>0</v>
      </c>
      <c r="I422" s="1"/>
      <c r="J422" s="1"/>
      <c r="K422" s="1"/>
      <c r="L422" s="1" t="str">
        <f t="shared" si="17"/>
        <v xml:space="preserve"> </v>
      </c>
      <c r="M422" s="1"/>
    </row>
    <row r="423" spans="1:13" x14ac:dyDescent="0.25">
      <c r="A423" s="33" t="str">
        <f t="shared" si="18"/>
        <v/>
      </c>
      <c r="B423" s="1"/>
      <c r="C423" s="2"/>
      <c r="D423" s="233"/>
      <c r="E423" s="2"/>
      <c r="F423" s="2"/>
      <c r="G423" s="2"/>
      <c r="H423" s="30">
        <f t="shared" si="19"/>
        <v>0</v>
      </c>
      <c r="I423" s="1"/>
      <c r="J423" s="1"/>
      <c r="K423" s="1"/>
      <c r="L423" s="1" t="str">
        <f t="shared" si="17"/>
        <v xml:space="preserve"> </v>
      </c>
      <c r="M423" s="1"/>
    </row>
    <row r="424" spans="1:13" x14ac:dyDescent="0.25">
      <c r="A424" s="33" t="str">
        <f t="shared" si="18"/>
        <v/>
      </c>
      <c r="B424" s="1"/>
      <c r="C424" s="2"/>
      <c r="D424" s="233"/>
      <c r="E424" s="2"/>
      <c r="F424" s="2"/>
      <c r="G424" s="2"/>
      <c r="H424" s="30">
        <f t="shared" si="19"/>
        <v>0</v>
      </c>
      <c r="I424" s="1"/>
      <c r="J424" s="1"/>
      <c r="K424" s="1"/>
      <c r="L424" s="1" t="str">
        <f t="shared" si="17"/>
        <v xml:space="preserve"> </v>
      </c>
      <c r="M424" s="1"/>
    </row>
    <row r="425" spans="1:13" x14ac:dyDescent="0.25">
      <c r="A425" s="33" t="str">
        <f t="shared" si="18"/>
        <v/>
      </c>
      <c r="B425" s="1"/>
      <c r="C425" s="2"/>
      <c r="D425" s="233"/>
      <c r="E425" s="2"/>
      <c r="F425" s="2"/>
      <c r="G425" s="2"/>
      <c r="H425" s="30">
        <f t="shared" si="19"/>
        <v>0</v>
      </c>
      <c r="I425" s="1"/>
      <c r="J425" s="1"/>
      <c r="K425" s="1"/>
      <c r="L425" s="1" t="str">
        <f t="shared" ref="L425:L488" si="20">CONCATENATE(J425," ",I425)</f>
        <v xml:space="preserve"> </v>
      </c>
      <c r="M425" s="1"/>
    </row>
    <row r="426" spans="1:13" x14ac:dyDescent="0.25">
      <c r="A426" s="33" t="str">
        <f t="shared" si="18"/>
        <v/>
      </c>
      <c r="B426" s="1"/>
      <c r="C426" s="2"/>
      <c r="D426" s="233"/>
      <c r="E426" s="2"/>
      <c r="F426" s="2"/>
      <c r="G426" s="2"/>
      <c r="H426" s="30">
        <f t="shared" si="19"/>
        <v>0</v>
      </c>
      <c r="I426" s="1"/>
      <c r="J426" s="1"/>
      <c r="K426" s="1"/>
      <c r="L426" s="1" t="str">
        <f t="shared" si="20"/>
        <v xml:space="preserve"> </v>
      </c>
      <c r="M426" s="1"/>
    </row>
    <row r="427" spans="1:13" x14ac:dyDescent="0.25">
      <c r="A427" s="33" t="str">
        <f t="shared" si="18"/>
        <v/>
      </c>
      <c r="B427" s="1"/>
      <c r="C427" s="2"/>
      <c r="D427" s="233"/>
      <c r="E427" s="2"/>
      <c r="F427" s="2"/>
      <c r="G427" s="2"/>
      <c r="H427" s="30">
        <f t="shared" si="19"/>
        <v>0</v>
      </c>
      <c r="I427" s="1"/>
      <c r="J427" s="1"/>
      <c r="K427" s="1"/>
      <c r="L427" s="1" t="str">
        <f t="shared" si="20"/>
        <v xml:space="preserve"> </v>
      </c>
      <c r="M427" s="1"/>
    </row>
    <row r="428" spans="1:13" x14ac:dyDescent="0.25">
      <c r="A428" s="33" t="str">
        <f t="shared" si="18"/>
        <v/>
      </c>
      <c r="B428" s="1"/>
      <c r="C428" s="2"/>
      <c r="D428" s="233"/>
      <c r="E428" s="2"/>
      <c r="F428" s="2"/>
      <c r="G428" s="2"/>
      <c r="H428" s="30">
        <f t="shared" si="19"/>
        <v>0</v>
      </c>
      <c r="I428" s="1"/>
      <c r="J428" s="1"/>
      <c r="K428" s="1"/>
      <c r="L428" s="1" t="str">
        <f t="shared" si="20"/>
        <v xml:space="preserve"> </v>
      </c>
      <c r="M428" s="1"/>
    </row>
    <row r="429" spans="1:13" x14ac:dyDescent="0.25">
      <c r="A429" s="33" t="str">
        <f t="shared" si="18"/>
        <v/>
      </c>
      <c r="B429" s="1"/>
      <c r="C429" s="2"/>
      <c r="D429" s="233"/>
      <c r="E429" s="2"/>
      <c r="F429" s="2"/>
      <c r="G429" s="2"/>
      <c r="H429" s="30">
        <f t="shared" si="19"/>
        <v>0</v>
      </c>
      <c r="I429" s="1"/>
      <c r="J429" s="1"/>
      <c r="K429" s="1"/>
      <c r="L429" s="1" t="str">
        <f t="shared" si="20"/>
        <v xml:space="preserve"> </v>
      </c>
      <c r="M429" s="1"/>
    </row>
    <row r="430" spans="1:13" x14ac:dyDescent="0.25">
      <c r="A430" s="33" t="str">
        <f t="shared" si="18"/>
        <v/>
      </c>
      <c r="B430" s="1"/>
      <c r="C430" s="2"/>
      <c r="D430" s="233"/>
      <c r="E430" s="2"/>
      <c r="F430" s="2"/>
      <c r="G430" s="2"/>
      <c r="H430" s="30">
        <f t="shared" si="19"/>
        <v>0</v>
      </c>
      <c r="I430" s="1"/>
      <c r="J430" s="1"/>
      <c r="K430" s="1"/>
      <c r="L430" s="1" t="str">
        <f t="shared" si="20"/>
        <v xml:space="preserve"> </v>
      </c>
      <c r="M430" s="1"/>
    </row>
    <row r="431" spans="1:13" x14ac:dyDescent="0.25">
      <c r="A431" s="33" t="str">
        <f t="shared" si="18"/>
        <v/>
      </c>
      <c r="B431" s="1"/>
      <c r="C431" s="2"/>
      <c r="D431" s="233"/>
      <c r="E431" s="2"/>
      <c r="F431" s="2"/>
      <c r="G431" s="2"/>
      <c r="H431" s="30">
        <f t="shared" si="19"/>
        <v>0</v>
      </c>
      <c r="I431" s="1"/>
      <c r="J431" s="1"/>
      <c r="K431" s="1"/>
      <c r="L431" s="1" t="str">
        <f t="shared" si="20"/>
        <v xml:space="preserve"> </v>
      </c>
      <c r="M431" s="1"/>
    </row>
    <row r="432" spans="1:13" x14ac:dyDescent="0.25">
      <c r="A432" s="33" t="str">
        <f t="shared" si="18"/>
        <v/>
      </c>
      <c r="B432" s="1"/>
      <c r="C432" s="2"/>
      <c r="D432" s="233"/>
      <c r="E432" s="2"/>
      <c r="F432" s="2"/>
      <c r="G432" s="2"/>
      <c r="H432" s="30">
        <f t="shared" si="19"/>
        <v>0</v>
      </c>
      <c r="I432" s="1"/>
      <c r="J432" s="1"/>
      <c r="K432" s="1"/>
      <c r="L432" s="1" t="str">
        <f t="shared" si="20"/>
        <v xml:space="preserve"> </v>
      </c>
      <c r="M432" s="1"/>
    </row>
    <row r="433" spans="1:13" x14ac:dyDescent="0.25">
      <c r="A433" s="33" t="str">
        <f t="shared" si="18"/>
        <v/>
      </c>
      <c r="B433" s="1"/>
      <c r="C433" s="2"/>
      <c r="D433" s="233"/>
      <c r="E433" s="2"/>
      <c r="F433" s="2"/>
      <c r="G433" s="2"/>
      <c r="H433" s="30">
        <f t="shared" si="19"/>
        <v>0</v>
      </c>
      <c r="I433" s="1"/>
      <c r="J433" s="1"/>
      <c r="K433" s="1"/>
      <c r="L433" s="1" t="str">
        <f t="shared" si="20"/>
        <v xml:space="preserve"> </v>
      </c>
      <c r="M433" s="1"/>
    </row>
    <row r="434" spans="1:13" x14ac:dyDescent="0.25">
      <c r="A434" s="33" t="str">
        <f t="shared" si="18"/>
        <v/>
      </c>
      <c r="B434" s="1"/>
      <c r="C434" s="2"/>
      <c r="D434" s="233"/>
      <c r="E434" s="2"/>
      <c r="F434" s="2"/>
      <c r="G434" s="2"/>
      <c r="H434" s="30">
        <f t="shared" si="19"/>
        <v>0</v>
      </c>
      <c r="I434" s="1"/>
      <c r="J434" s="1"/>
      <c r="K434" s="1"/>
      <c r="L434" s="1" t="str">
        <f t="shared" si="20"/>
        <v xml:space="preserve"> </v>
      </c>
      <c r="M434" s="1"/>
    </row>
    <row r="435" spans="1:13" x14ac:dyDescent="0.25">
      <c r="A435" s="33" t="str">
        <f t="shared" ref="A435:A498" si="21">CONCATENATE(B435,C435,E435)</f>
        <v/>
      </c>
      <c r="B435" s="1"/>
      <c r="C435" s="2"/>
      <c r="D435" s="233"/>
      <c r="E435" s="2"/>
      <c r="F435" s="2"/>
      <c r="G435" s="2"/>
      <c r="H435" s="30">
        <f t="shared" ref="H435:H498" si="22">IFERROR(IF(F435&gt;G435,((G435+B435+1)-(F435+B435))*24,HOUR(G435-F435)+MINUTE(G435-F435)/60),"")</f>
        <v>0</v>
      </c>
      <c r="I435" s="1"/>
      <c r="J435" s="1"/>
      <c r="K435" s="1"/>
      <c r="L435" s="1" t="str">
        <f t="shared" si="20"/>
        <v xml:space="preserve"> </v>
      </c>
      <c r="M435" s="1"/>
    </row>
    <row r="436" spans="1:13" x14ac:dyDescent="0.25">
      <c r="A436" s="33" t="str">
        <f t="shared" si="21"/>
        <v/>
      </c>
      <c r="B436" s="1"/>
      <c r="C436" s="2"/>
      <c r="D436" s="233"/>
      <c r="E436" s="2"/>
      <c r="F436" s="2"/>
      <c r="G436" s="2"/>
      <c r="H436" s="30">
        <f t="shared" si="22"/>
        <v>0</v>
      </c>
      <c r="I436" s="1"/>
      <c r="J436" s="1"/>
      <c r="K436" s="1"/>
      <c r="L436" s="1" t="str">
        <f t="shared" si="20"/>
        <v xml:space="preserve"> </v>
      </c>
      <c r="M436" s="1"/>
    </row>
    <row r="437" spans="1:13" x14ac:dyDescent="0.25">
      <c r="A437" s="33" t="str">
        <f t="shared" si="21"/>
        <v/>
      </c>
      <c r="B437" s="1"/>
      <c r="C437" s="2"/>
      <c r="D437" s="233"/>
      <c r="E437" s="2"/>
      <c r="F437" s="2"/>
      <c r="G437" s="2"/>
      <c r="H437" s="30">
        <f t="shared" si="22"/>
        <v>0</v>
      </c>
      <c r="I437" s="1"/>
      <c r="J437" s="1"/>
      <c r="K437" s="1"/>
      <c r="L437" s="1" t="str">
        <f t="shared" si="20"/>
        <v xml:space="preserve"> </v>
      </c>
      <c r="M437" s="1"/>
    </row>
    <row r="438" spans="1:13" x14ac:dyDescent="0.25">
      <c r="A438" s="33" t="str">
        <f t="shared" si="21"/>
        <v/>
      </c>
      <c r="B438" s="1"/>
      <c r="C438" s="2"/>
      <c r="D438" s="233"/>
      <c r="E438" s="2"/>
      <c r="F438" s="2"/>
      <c r="G438" s="2"/>
      <c r="H438" s="30">
        <f t="shared" si="22"/>
        <v>0</v>
      </c>
      <c r="I438" s="1"/>
      <c r="J438" s="1"/>
      <c r="K438" s="1"/>
      <c r="L438" s="1" t="str">
        <f t="shared" si="20"/>
        <v xml:space="preserve"> </v>
      </c>
      <c r="M438" s="1"/>
    </row>
    <row r="439" spans="1:13" x14ac:dyDescent="0.25">
      <c r="A439" s="33" t="str">
        <f t="shared" si="21"/>
        <v/>
      </c>
      <c r="B439" s="1"/>
      <c r="C439" s="2"/>
      <c r="D439" s="233"/>
      <c r="E439" s="2"/>
      <c r="F439" s="2"/>
      <c r="G439" s="2"/>
      <c r="H439" s="30">
        <f t="shared" si="22"/>
        <v>0</v>
      </c>
      <c r="I439" s="1"/>
      <c r="J439" s="1"/>
      <c r="K439" s="1"/>
      <c r="L439" s="1" t="str">
        <f t="shared" si="20"/>
        <v xml:space="preserve"> </v>
      </c>
      <c r="M439" s="1"/>
    </row>
    <row r="440" spans="1:13" x14ac:dyDescent="0.25">
      <c r="A440" s="33" t="str">
        <f t="shared" si="21"/>
        <v/>
      </c>
      <c r="B440" s="1"/>
      <c r="C440" s="2"/>
      <c r="D440" s="233"/>
      <c r="E440" s="2"/>
      <c r="F440" s="2"/>
      <c r="G440" s="2"/>
      <c r="H440" s="30">
        <f t="shared" si="22"/>
        <v>0</v>
      </c>
      <c r="I440" s="1"/>
      <c r="J440" s="1"/>
      <c r="K440" s="1"/>
      <c r="L440" s="1" t="str">
        <f t="shared" si="20"/>
        <v xml:space="preserve"> </v>
      </c>
      <c r="M440" s="1"/>
    </row>
    <row r="441" spans="1:13" x14ac:dyDescent="0.25">
      <c r="A441" s="33" t="str">
        <f t="shared" si="21"/>
        <v/>
      </c>
      <c r="B441" s="1"/>
      <c r="C441" s="2"/>
      <c r="D441" s="233"/>
      <c r="E441" s="2"/>
      <c r="F441" s="2"/>
      <c r="G441" s="2"/>
      <c r="H441" s="30">
        <f t="shared" si="22"/>
        <v>0</v>
      </c>
      <c r="I441" s="1"/>
      <c r="J441" s="1"/>
      <c r="K441" s="1"/>
      <c r="L441" s="1" t="str">
        <f t="shared" si="20"/>
        <v xml:space="preserve"> </v>
      </c>
      <c r="M441" s="1"/>
    </row>
    <row r="442" spans="1:13" x14ac:dyDescent="0.25">
      <c r="A442" s="33" t="str">
        <f t="shared" si="21"/>
        <v/>
      </c>
      <c r="B442" s="1"/>
      <c r="C442" s="2"/>
      <c r="D442" s="233"/>
      <c r="E442" s="2"/>
      <c r="F442" s="2"/>
      <c r="G442" s="2"/>
      <c r="H442" s="30">
        <f t="shared" si="22"/>
        <v>0</v>
      </c>
      <c r="I442" s="1"/>
      <c r="J442" s="1"/>
      <c r="K442" s="1"/>
      <c r="L442" s="1" t="str">
        <f t="shared" si="20"/>
        <v xml:space="preserve"> </v>
      </c>
      <c r="M442" s="1"/>
    </row>
    <row r="443" spans="1:13" x14ac:dyDescent="0.25">
      <c r="A443" s="33" t="str">
        <f t="shared" si="21"/>
        <v/>
      </c>
      <c r="B443" s="1"/>
      <c r="C443" s="2"/>
      <c r="D443" s="233"/>
      <c r="E443" s="2"/>
      <c r="F443" s="2"/>
      <c r="G443" s="2"/>
      <c r="H443" s="30">
        <f t="shared" si="22"/>
        <v>0</v>
      </c>
      <c r="I443" s="1"/>
      <c r="J443" s="1"/>
      <c r="K443" s="1"/>
      <c r="L443" s="1" t="str">
        <f t="shared" si="20"/>
        <v xml:space="preserve"> </v>
      </c>
      <c r="M443" s="1"/>
    </row>
    <row r="444" spans="1:13" x14ac:dyDescent="0.25">
      <c r="A444" s="33" t="str">
        <f t="shared" si="21"/>
        <v/>
      </c>
      <c r="B444" s="1"/>
      <c r="C444" s="2"/>
      <c r="D444" s="233"/>
      <c r="E444" s="2"/>
      <c r="F444" s="2"/>
      <c r="G444" s="2"/>
      <c r="H444" s="30">
        <f t="shared" si="22"/>
        <v>0</v>
      </c>
      <c r="I444" s="1"/>
      <c r="J444" s="1"/>
      <c r="K444" s="1"/>
      <c r="L444" s="1" t="str">
        <f t="shared" si="20"/>
        <v xml:space="preserve"> </v>
      </c>
      <c r="M444" s="1"/>
    </row>
    <row r="445" spans="1:13" x14ac:dyDescent="0.25">
      <c r="A445" s="33" t="str">
        <f t="shared" si="21"/>
        <v/>
      </c>
      <c r="B445" s="1"/>
      <c r="C445" s="2"/>
      <c r="D445" s="233"/>
      <c r="E445" s="2"/>
      <c r="F445" s="2"/>
      <c r="G445" s="2"/>
      <c r="H445" s="30">
        <f t="shared" si="22"/>
        <v>0</v>
      </c>
      <c r="I445" s="1"/>
      <c r="J445" s="1"/>
      <c r="K445" s="1"/>
      <c r="L445" s="1" t="str">
        <f t="shared" si="20"/>
        <v xml:space="preserve"> </v>
      </c>
      <c r="M445" s="1"/>
    </row>
    <row r="446" spans="1:13" x14ac:dyDescent="0.25">
      <c r="A446" s="33" t="str">
        <f t="shared" si="21"/>
        <v/>
      </c>
      <c r="B446" s="1"/>
      <c r="C446" s="2"/>
      <c r="D446" s="233"/>
      <c r="E446" s="2"/>
      <c r="F446" s="2"/>
      <c r="G446" s="2"/>
      <c r="H446" s="30">
        <f t="shared" si="22"/>
        <v>0</v>
      </c>
      <c r="I446" s="1"/>
      <c r="J446" s="1"/>
      <c r="K446" s="1"/>
      <c r="L446" s="1" t="str">
        <f t="shared" si="20"/>
        <v xml:space="preserve"> </v>
      </c>
      <c r="M446" s="1"/>
    </row>
    <row r="447" spans="1:13" x14ac:dyDescent="0.25">
      <c r="A447" s="33" t="str">
        <f t="shared" si="21"/>
        <v/>
      </c>
      <c r="B447" s="1"/>
      <c r="C447" s="2"/>
      <c r="D447" s="233"/>
      <c r="E447" s="2"/>
      <c r="F447" s="2"/>
      <c r="G447" s="2"/>
      <c r="H447" s="30">
        <f t="shared" si="22"/>
        <v>0</v>
      </c>
      <c r="I447" s="1"/>
      <c r="J447" s="1"/>
      <c r="K447" s="1"/>
      <c r="L447" s="1" t="str">
        <f t="shared" si="20"/>
        <v xml:space="preserve"> </v>
      </c>
      <c r="M447" s="1"/>
    </row>
    <row r="448" spans="1:13" x14ac:dyDescent="0.25">
      <c r="A448" s="33" t="str">
        <f t="shared" si="21"/>
        <v/>
      </c>
      <c r="B448" s="1"/>
      <c r="C448" s="2"/>
      <c r="D448" s="233"/>
      <c r="E448" s="2"/>
      <c r="F448" s="2"/>
      <c r="G448" s="2"/>
      <c r="H448" s="30">
        <f t="shared" si="22"/>
        <v>0</v>
      </c>
      <c r="I448" s="1"/>
      <c r="J448" s="1"/>
      <c r="K448" s="1"/>
      <c r="L448" s="1" t="str">
        <f t="shared" si="20"/>
        <v xml:space="preserve"> </v>
      </c>
      <c r="M448" s="1"/>
    </row>
    <row r="449" spans="1:13" x14ac:dyDescent="0.25">
      <c r="A449" s="33" t="str">
        <f t="shared" si="21"/>
        <v/>
      </c>
      <c r="B449" s="1"/>
      <c r="C449" s="2"/>
      <c r="D449" s="233"/>
      <c r="E449" s="2"/>
      <c r="F449" s="2"/>
      <c r="G449" s="2"/>
      <c r="H449" s="30">
        <f t="shared" si="22"/>
        <v>0</v>
      </c>
      <c r="I449" s="1"/>
      <c r="J449" s="1"/>
      <c r="K449" s="1"/>
      <c r="L449" s="1" t="str">
        <f t="shared" si="20"/>
        <v xml:space="preserve"> </v>
      </c>
      <c r="M449" s="1"/>
    </row>
    <row r="450" spans="1:13" x14ac:dyDescent="0.25">
      <c r="A450" s="33" t="str">
        <f t="shared" si="21"/>
        <v/>
      </c>
      <c r="B450" s="1"/>
      <c r="C450" s="2"/>
      <c r="D450" s="233"/>
      <c r="E450" s="2"/>
      <c r="F450" s="2"/>
      <c r="G450" s="2"/>
      <c r="H450" s="30">
        <f t="shared" si="22"/>
        <v>0</v>
      </c>
      <c r="I450" s="1"/>
      <c r="J450" s="1"/>
      <c r="K450" s="1"/>
      <c r="L450" s="1" t="str">
        <f t="shared" si="20"/>
        <v xml:space="preserve"> </v>
      </c>
      <c r="M450" s="1"/>
    </row>
    <row r="451" spans="1:13" x14ac:dyDescent="0.25">
      <c r="A451" s="33" t="str">
        <f t="shared" si="21"/>
        <v/>
      </c>
      <c r="B451" s="1"/>
      <c r="C451" s="2"/>
      <c r="D451" s="233"/>
      <c r="E451" s="2"/>
      <c r="F451" s="2"/>
      <c r="G451" s="2"/>
      <c r="H451" s="30">
        <f t="shared" si="22"/>
        <v>0</v>
      </c>
      <c r="I451" s="1"/>
      <c r="J451" s="1"/>
      <c r="K451" s="1"/>
      <c r="L451" s="1" t="str">
        <f t="shared" si="20"/>
        <v xml:space="preserve"> </v>
      </c>
      <c r="M451" s="1"/>
    </row>
    <row r="452" spans="1:13" x14ac:dyDescent="0.25">
      <c r="A452" s="33" t="str">
        <f t="shared" si="21"/>
        <v/>
      </c>
      <c r="B452" s="1"/>
      <c r="C452" s="2"/>
      <c r="D452" s="233"/>
      <c r="E452" s="2"/>
      <c r="F452" s="2"/>
      <c r="G452" s="2"/>
      <c r="H452" s="30">
        <f t="shared" si="22"/>
        <v>0</v>
      </c>
      <c r="I452" s="1"/>
      <c r="J452" s="1"/>
      <c r="K452" s="1"/>
      <c r="L452" s="1" t="str">
        <f t="shared" si="20"/>
        <v xml:space="preserve"> </v>
      </c>
      <c r="M452" s="1"/>
    </row>
    <row r="453" spans="1:13" x14ac:dyDescent="0.25">
      <c r="A453" s="33" t="str">
        <f t="shared" si="21"/>
        <v/>
      </c>
      <c r="B453" s="1"/>
      <c r="C453" s="2"/>
      <c r="D453" s="233"/>
      <c r="E453" s="2"/>
      <c r="F453" s="2"/>
      <c r="G453" s="2"/>
      <c r="H453" s="30">
        <f t="shared" si="22"/>
        <v>0</v>
      </c>
      <c r="I453" s="1"/>
      <c r="J453" s="1"/>
      <c r="K453" s="1"/>
      <c r="L453" s="1" t="str">
        <f t="shared" si="20"/>
        <v xml:space="preserve"> </v>
      </c>
      <c r="M453" s="1"/>
    </row>
    <row r="454" spans="1:13" x14ac:dyDescent="0.25">
      <c r="A454" s="33" t="str">
        <f t="shared" si="21"/>
        <v/>
      </c>
      <c r="B454" s="1"/>
      <c r="C454" s="2"/>
      <c r="D454" s="233"/>
      <c r="E454" s="2"/>
      <c r="F454" s="2"/>
      <c r="G454" s="2"/>
      <c r="H454" s="30">
        <f t="shared" si="22"/>
        <v>0</v>
      </c>
      <c r="I454" s="1"/>
      <c r="J454" s="1"/>
      <c r="K454" s="1"/>
      <c r="L454" s="1" t="str">
        <f t="shared" si="20"/>
        <v xml:space="preserve"> </v>
      </c>
      <c r="M454" s="1"/>
    </row>
    <row r="455" spans="1:13" x14ac:dyDescent="0.25">
      <c r="A455" s="33" t="str">
        <f t="shared" si="21"/>
        <v/>
      </c>
      <c r="B455" s="1"/>
      <c r="C455" s="2"/>
      <c r="D455" s="233"/>
      <c r="E455" s="2"/>
      <c r="F455" s="2"/>
      <c r="G455" s="2"/>
      <c r="H455" s="30">
        <f t="shared" si="22"/>
        <v>0</v>
      </c>
      <c r="I455" s="1"/>
      <c r="J455" s="1"/>
      <c r="K455" s="1"/>
      <c r="L455" s="1" t="str">
        <f t="shared" si="20"/>
        <v xml:space="preserve"> </v>
      </c>
      <c r="M455" s="1"/>
    </row>
    <row r="456" spans="1:13" x14ac:dyDescent="0.25">
      <c r="A456" s="33" t="str">
        <f t="shared" si="21"/>
        <v/>
      </c>
      <c r="B456" s="1"/>
      <c r="C456" s="2"/>
      <c r="D456" s="233"/>
      <c r="E456" s="2"/>
      <c r="F456" s="2"/>
      <c r="G456" s="2"/>
      <c r="H456" s="30">
        <f t="shared" si="22"/>
        <v>0</v>
      </c>
      <c r="I456" s="1"/>
      <c r="J456" s="1"/>
      <c r="K456" s="1"/>
      <c r="L456" s="1" t="str">
        <f t="shared" si="20"/>
        <v xml:space="preserve"> </v>
      </c>
      <c r="M456" s="1"/>
    </row>
    <row r="457" spans="1:13" x14ac:dyDescent="0.25">
      <c r="A457" s="33" t="str">
        <f t="shared" si="21"/>
        <v/>
      </c>
      <c r="B457" s="1"/>
      <c r="C457" s="2"/>
      <c r="D457" s="233"/>
      <c r="E457" s="2"/>
      <c r="F457" s="2"/>
      <c r="G457" s="2"/>
      <c r="H457" s="30">
        <f t="shared" si="22"/>
        <v>0</v>
      </c>
      <c r="I457" s="1"/>
      <c r="J457" s="1"/>
      <c r="K457" s="1"/>
      <c r="L457" s="1" t="str">
        <f t="shared" si="20"/>
        <v xml:space="preserve"> </v>
      </c>
      <c r="M457" s="1"/>
    </row>
    <row r="458" spans="1:13" x14ac:dyDescent="0.25">
      <c r="A458" s="33" t="str">
        <f t="shared" si="21"/>
        <v/>
      </c>
      <c r="B458" s="1"/>
      <c r="C458" s="2"/>
      <c r="D458" s="233"/>
      <c r="E458" s="2"/>
      <c r="F458" s="2"/>
      <c r="G458" s="2"/>
      <c r="H458" s="30">
        <f t="shared" si="22"/>
        <v>0</v>
      </c>
      <c r="I458" s="1"/>
      <c r="J458" s="1"/>
      <c r="K458" s="1"/>
      <c r="L458" s="1" t="str">
        <f t="shared" si="20"/>
        <v xml:space="preserve"> </v>
      </c>
      <c r="M458" s="1"/>
    </row>
    <row r="459" spans="1:13" x14ac:dyDescent="0.25">
      <c r="A459" s="33" t="str">
        <f t="shared" si="21"/>
        <v/>
      </c>
      <c r="B459" s="1"/>
      <c r="C459" s="2"/>
      <c r="D459" s="233"/>
      <c r="E459" s="2"/>
      <c r="F459" s="2"/>
      <c r="G459" s="2"/>
      <c r="H459" s="30">
        <f t="shared" si="22"/>
        <v>0</v>
      </c>
      <c r="I459" s="1"/>
      <c r="J459" s="1"/>
      <c r="K459" s="1"/>
      <c r="L459" s="1" t="str">
        <f t="shared" si="20"/>
        <v xml:space="preserve"> </v>
      </c>
      <c r="M459" s="1"/>
    </row>
    <row r="460" spans="1:13" x14ac:dyDescent="0.25">
      <c r="A460" s="33" t="str">
        <f t="shared" si="21"/>
        <v/>
      </c>
      <c r="B460" s="1"/>
      <c r="C460" s="2"/>
      <c r="D460" s="233"/>
      <c r="E460" s="2"/>
      <c r="F460" s="2"/>
      <c r="G460" s="2"/>
      <c r="H460" s="30">
        <f t="shared" si="22"/>
        <v>0</v>
      </c>
      <c r="I460" s="1"/>
      <c r="J460" s="1"/>
      <c r="K460" s="1"/>
      <c r="L460" s="1" t="str">
        <f t="shared" si="20"/>
        <v xml:space="preserve"> </v>
      </c>
      <c r="M460" s="1"/>
    </row>
    <row r="461" spans="1:13" x14ac:dyDescent="0.25">
      <c r="A461" s="33" t="str">
        <f t="shared" si="21"/>
        <v/>
      </c>
      <c r="B461" s="1"/>
      <c r="C461" s="2"/>
      <c r="D461" s="233"/>
      <c r="E461" s="2"/>
      <c r="F461" s="2"/>
      <c r="G461" s="2"/>
      <c r="H461" s="30">
        <f t="shared" si="22"/>
        <v>0</v>
      </c>
      <c r="I461" s="1"/>
      <c r="J461" s="1"/>
      <c r="K461" s="1"/>
      <c r="L461" s="1" t="str">
        <f t="shared" si="20"/>
        <v xml:space="preserve"> </v>
      </c>
      <c r="M461" s="1"/>
    </row>
    <row r="462" spans="1:13" x14ac:dyDescent="0.25">
      <c r="A462" s="33" t="str">
        <f t="shared" si="21"/>
        <v/>
      </c>
      <c r="B462" s="1"/>
      <c r="C462" s="2"/>
      <c r="D462" s="233"/>
      <c r="E462" s="2"/>
      <c r="F462" s="2"/>
      <c r="G462" s="2"/>
      <c r="H462" s="30">
        <f t="shared" si="22"/>
        <v>0</v>
      </c>
      <c r="I462" s="1"/>
      <c r="J462" s="1"/>
      <c r="K462" s="1"/>
      <c r="L462" s="1" t="str">
        <f t="shared" si="20"/>
        <v xml:space="preserve"> </v>
      </c>
      <c r="M462" s="1"/>
    </row>
    <row r="463" spans="1:13" x14ac:dyDescent="0.25">
      <c r="A463" s="33" t="str">
        <f t="shared" si="21"/>
        <v/>
      </c>
      <c r="B463" s="1"/>
      <c r="C463" s="2"/>
      <c r="D463" s="233"/>
      <c r="E463" s="2"/>
      <c r="F463" s="2"/>
      <c r="G463" s="2"/>
      <c r="H463" s="30">
        <f t="shared" si="22"/>
        <v>0</v>
      </c>
      <c r="I463" s="1"/>
      <c r="J463" s="1"/>
      <c r="K463" s="1"/>
      <c r="L463" s="1" t="str">
        <f t="shared" si="20"/>
        <v xml:space="preserve"> </v>
      </c>
      <c r="M463" s="1"/>
    </row>
    <row r="464" spans="1:13" x14ac:dyDescent="0.25">
      <c r="A464" s="33" t="str">
        <f t="shared" si="21"/>
        <v/>
      </c>
      <c r="B464" s="1"/>
      <c r="C464" s="2"/>
      <c r="D464" s="233"/>
      <c r="E464" s="2"/>
      <c r="F464" s="2"/>
      <c r="G464" s="2"/>
      <c r="H464" s="30">
        <f t="shared" si="22"/>
        <v>0</v>
      </c>
      <c r="I464" s="1"/>
      <c r="J464" s="1"/>
      <c r="K464" s="1"/>
      <c r="L464" s="1" t="str">
        <f t="shared" si="20"/>
        <v xml:space="preserve"> </v>
      </c>
      <c r="M464" s="1"/>
    </row>
    <row r="465" spans="1:13" x14ac:dyDescent="0.25">
      <c r="A465" s="33" t="str">
        <f t="shared" si="21"/>
        <v/>
      </c>
      <c r="B465" s="1"/>
      <c r="C465" s="2"/>
      <c r="D465" s="233"/>
      <c r="E465" s="2"/>
      <c r="F465" s="2"/>
      <c r="G465" s="2"/>
      <c r="H465" s="30">
        <f t="shared" si="22"/>
        <v>0</v>
      </c>
      <c r="I465" s="1"/>
      <c r="J465" s="1"/>
      <c r="K465" s="1"/>
      <c r="L465" s="1" t="str">
        <f t="shared" si="20"/>
        <v xml:space="preserve"> </v>
      </c>
      <c r="M465" s="1"/>
    </row>
    <row r="466" spans="1:13" x14ac:dyDescent="0.25">
      <c r="A466" s="33" t="str">
        <f t="shared" si="21"/>
        <v/>
      </c>
      <c r="B466" s="1"/>
      <c r="C466" s="2"/>
      <c r="D466" s="233"/>
      <c r="E466" s="2"/>
      <c r="F466" s="2"/>
      <c r="G466" s="2"/>
      <c r="H466" s="30">
        <f t="shared" si="22"/>
        <v>0</v>
      </c>
      <c r="I466" s="1"/>
      <c r="J466" s="1"/>
      <c r="K466" s="1"/>
      <c r="L466" s="1" t="str">
        <f t="shared" si="20"/>
        <v xml:space="preserve"> </v>
      </c>
      <c r="M466" s="1"/>
    </row>
    <row r="467" spans="1:13" x14ac:dyDescent="0.25">
      <c r="A467" s="33" t="str">
        <f t="shared" si="21"/>
        <v/>
      </c>
      <c r="B467" s="1"/>
      <c r="C467" s="2"/>
      <c r="D467" s="233"/>
      <c r="E467" s="2"/>
      <c r="F467" s="2"/>
      <c r="G467" s="2"/>
      <c r="H467" s="30">
        <f t="shared" si="22"/>
        <v>0</v>
      </c>
      <c r="I467" s="1"/>
      <c r="J467" s="1"/>
      <c r="K467" s="1"/>
      <c r="L467" s="1" t="str">
        <f t="shared" si="20"/>
        <v xml:space="preserve"> </v>
      </c>
      <c r="M467" s="1"/>
    </row>
    <row r="468" spans="1:13" x14ac:dyDescent="0.25">
      <c r="A468" s="33" t="str">
        <f t="shared" si="21"/>
        <v/>
      </c>
      <c r="B468" s="1"/>
      <c r="C468" s="2"/>
      <c r="D468" s="233"/>
      <c r="E468" s="2"/>
      <c r="F468" s="2"/>
      <c r="G468" s="2"/>
      <c r="H468" s="30">
        <f t="shared" si="22"/>
        <v>0</v>
      </c>
      <c r="I468" s="1"/>
      <c r="J468" s="1"/>
      <c r="K468" s="1"/>
      <c r="L468" s="1" t="str">
        <f t="shared" si="20"/>
        <v xml:space="preserve"> </v>
      </c>
      <c r="M468" s="1"/>
    </row>
    <row r="469" spans="1:13" x14ac:dyDescent="0.25">
      <c r="A469" s="33" t="str">
        <f t="shared" si="21"/>
        <v/>
      </c>
      <c r="B469" s="1"/>
      <c r="C469" s="2"/>
      <c r="D469" s="233"/>
      <c r="E469" s="2"/>
      <c r="F469" s="2"/>
      <c r="G469" s="2"/>
      <c r="H469" s="30">
        <f t="shared" si="22"/>
        <v>0</v>
      </c>
      <c r="I469" s="1"/>
      <c r="J469" s="1"/>
      <c r="K469" s="1"/>
      <c r="L469" s="1" t="str">
        <f t="shared" si="20"/>
        <v xml:space="preserve"> </v>
      </c>
      <c r="M469" s="1"/>
    </row>
    <row r="470" spans="1:13" x14ac:dyDescent="0.25">
      <c r="A470" s="33" t="str">
        <f t="shared" si="21"/>
        <v/>
      </c>
      <c r="B470" s="1"/>
      <c r="C470" s="2"/>
      <c r="D470" s="233"/>
      <c r="E470" s="2"/>
      <c r="F470" s="2"/>
      <c r="G470" s="2"/>
      <c r="H470" s="30">
        <f t="shared" si="22"/>
        <v>0</v>
      </c>
      <c r="I470" s="1"/>
      <c r="J470" s="1"/>
      <c r="K470" s="1"/>
      <c r="L470" s="1" t="str">
        <f t="shared" si="20"/>
        <v xml:space="preserve"> </v>
      </c>
      <c r="M470" s="1"/>
    </row>
    <row r="471" spans="1:13" x14ac:dyDescent="0.25">
      <c r="A471" s="33" t="str">
        <f t="shared" si="21"/>
        <v/>
      </c>
      <c r="B471" s="1"/>
      <c r="C471" s="2"/>
      <c r="D471" s="233"/>
      <c r="E471" s="2"/>
      <c r="F471" s="2"/>
      <c r="G471" s="2"/>
      <c r="H471" s="30">
        <f t="shared" si="22"/>
        <v>0</v>
      </c>
      <c r="I471" s="1"/>
      <c r="J471" s="1"/>
      <c r="K471" s="1"/>
      <c r="L471" s="1" t="str">
        <f t="shared" si="20"/>
        <v xml:space="preserve"> </v>
      </c>
      <c r="M471" s="1"/>
    </row>
    <row r="472" spans="1:13" x14ac:dyDescent="0.25">
      <c r="A472" s="33" t="str">
        <f t="shared" si="21"/>
        <v/>
      </c>
      <c r="B472" s="1"/>
      <c r="C472" s="2"/>
      <c r="D472" s="233"/>
      <c r="E472" s="2"/>
      <c r="F472" s="2"/>
      <c r="G472" s="2"/>
      <c r="H472" s="30">
        <f t="shared" si="22"/>
        <v>0</v>
      </c>
      <c r="I472" s="1"/>
      <c r="J472" s="1"/>
      <c r="K472" s="1"/>
      <c r="L472" s="1" t="str">
        <f t="shared" si="20"/>
        <v xml:space="preserve"> </v>
      </c>
      <c r="M472" s="1"/>
    </row>
    <row r="473" spans="1:13" x14ac:dyDescent="0.25">
      <c r="A473" s="33" t="str">
        <f t="shared" si="21"/>
        <v/>
      </c>
      <c r="B473" s="1"/>
      <c r="C473" s="2"/>
      <c r="D473" s="233"/>
      <c r="E473" s="2"/>
      <c r="F473" s="2"/>
      <c r="G473" s="2"/>
      <c r="H473" s="30">
        <f t="shared" si="22"/>
        <v>0</v>
      </c>
      <c r="I473" s="1"/>
      <c r="J473" s="1"/>
      <c r="K473" s="1"/>
      <c r="L473" s="1" t="str">
        <f t="shared" si="20"/>
        <v xml:space="preserve"> </v>
      </c>
      <c r="M473" s="1"/>
    </row>
    <row r="474" spans="1:13" x14ac:dyDescent="0.25">
      <c r="A474" s="33" t="str">
        <f t="shared" si="21"/>
        <v/>
      </c>
      <c r="B474" s="1"/>
      <c r="C474" s="2"/>
      <c r="D474" s="233"/>
      <c r="E474" s="2"/>
      <c r="F474" s="2"/>
      <c r="G474" s="2"/>
      <c r="H474" s="30">
        <f t="shared" si="22"/>
        <v>0</v>
      </c>
      <c r="I474" s="1"/>
      <c r="J474" s="1"/>
      <c r="K474" s="1"/>
      <c r="L474" s="1" t="str">
        <f t="shared" si="20"/>
        <v xml:space="preserve"> </v>
      </c>
      <c r="M474" s="1"/>
    </row>
    <row r="475" spans="1:13" x14ac:dyDescent="0.25">
      <c r="A475" s="33" t="str">
        <f t="shared" si="21"/>
        <v/>
      </c>
      <c r="B475" s="1"/>
      <c r="C475" s="2"/>
      <c r="D475" s="233"/>
      <c r="E475" s="2"/>
      <c r="F475" s="2"/>
      <c r="G475" s="2"/>
      <c r="H475" s="30">
        <f t="shared" si="22"/>
        <v>0</v>
      </c>
      <c r="I475" s="1"/>
      <c r="J475" s="1"/>
      <c r="K475" s="1"/>
      <c r="L475" s="1" t="str">
        <f t="shared" si="20"/>
        <v xml:space="preserve"> </v>
      </c>
      <c r="M475" s="1"/>
    </row>
    <row r="476" spans="1:13" x14ac:dyDescent="0.25">
      <c r="A476" s="33" t="str">
        <f t="shared" si="21"/>
        <v/>
      </c>
      <c r="B476" s="1"/>
      <c r="C476" s="2"/>
      <c r="D476" s="233"/>
      <c r="E476" s="2"/>
      <c r="F476" s="2"/>
      <c r="G476" s="2"/>
      <c r="H476" s="30">
        <f t="shared" si="22"/>
        <v>0</v>
      </c>
      <c r="I476" s="1"/>
      <c r="J476" s="1"/>
      <c r="K476" s="1"/>
      <c r="L476" s="1" t="str">
        <f t="shared" si="20"/>
        <v xml:space="preserve"> </v>
      </c>
      <c r="M476" s="1"/>
    </row>
    <row r="477" spans="1:13" x14ac:dyDescent="0.25">
      <c r="A477" s="33" t="str">
        <f t="shared" si="21"/>
        <v/>
      </c>
      <c r="B477" s="1"/>
      <c r="C477" s="2"/>
      <c r="D477" s="233"/>
      <c r="E477" s="2"/>
      <c r="F477" s="2"/>
      <c r="G477" s="2"/>
      <c r="H477" s="30">
        <f t="shared" si="22"/>
        <v>0</v>
      </c>
      <c r="I477" s="1"/>
      <c r="J477" s="1"/>
      <c r="K477" s="1"/>
      <c r="L477" s="1" t="str">
        <f t="shared" si="20"/>
        <v xml:space="preserve"> </v>
      </c>
      <c r="M477" s="1"/>
    </row>
    <row r="478" spans="1:13" x14ac:dyDescent="0.25">
      <c r="A478" s="33" t="str">
        <f t="shared" si="21"/>
        <v/>
      </c>
      <c r="B478" s="1"/>
      <c r="C478" s="2"/>
      <c r="D478" s="233"/>
      <c r="E478" s="2"/>
      <c r="F478" s="2"/>
      <c r="G478" s="2"/>
      <c r="H478" s="30">
        <f t="shared" si="22"/>
        <v>0</v>
      </c>
      <c r="I478" s="1"/>
      <c r="J478" s="1"/>
      <c r="K478" s="1"/>
      <c r="L478" s="1" t="str">
        <f t="shared" si="20"/>
        <v xml:space="preserve"> </v>
      </c>
      <c r="M478" s="1"/>
    </row>
    <row r="479" spans="1:13" x14ac:dyDescent="0.25">
      <c r="A479" s="33" t="str">
        <f t="shared" si="21"/>
        <v/>
      </c>
      <c r="B479" s="1"/>
      <c r="C479" s="2"/>
      <c r="D479" s="233"/>
      <c r="E479" s="2"/>
      <c r="F479" s="2"/>
      <c r="G479" s="2"/>
      <c r="H479" s="30">
        <f t="shared" si="22"/>
        <v>0</v>
      </c>
      <c r="I479" s="1"/>
      <c r="J479" s="1"/>
      <c r="K479" s="1"/>
      <c r="L479" s="1" t="str">
        <f t="shared" si="20"/>
        <v xml:space="preserve"> </v>
      </c>
      <c r="M479" s="1"/>
    </row>
    <row r="480" spans="1:13" x14ac:dyDescent="0.25">
      <c r="A480" s="33" t="str">
        <f t="shared" si="21"/>
        <v/>
      </c>
      <c r="B480" s="1"/>
      <c r="C480" s="2"/>
      <c r="D480" s="233"/>
      <c r="E480" s="2"/>
      <c r="F480" s="2"/>
      <c r="G480" s="2"/>
      <c r="H480" s="30">
        <f t="shared" si="22"/>
        <v>0</v>
      </c>
      <c r="I480" s="1"/>
      <c r="J480" s="1"/>
      <c r="K480" s="1"/>
      <c r="L480" s="1" t="str">
        <f t="shared" si="20"/>
        <v xml:space="preserve"> </v>
      </c>
      <c r="M480" s="1"/>
    </row>
    <row r="481" spans="1:13" x14ac:dyDescent="0.25">
      <c r="A481" s="33" t="str">
        <f t="shared" si="21"/>
        <v/>
      </c>
      <c r="B481" s="1"/>
      <c r="C481" s="2"/>
      <c r="D481" s="233"/>
      <c r="E481" s="2"/>
      <c r="F481" s="2"/>
      <c r="G481" s="2"/>
      <c r="H481" s="30">
        <f t="shared" si="22"/>
        <v>0</v>
      </c>
      <c r="I481" s="1"/>
      <c r="J481" s="1"/>
      <c r="K481" s="1"/>
      <c r="L481" s="1" t="str">
        <f t="shared" si="20"/>
        <v xml:space="preserve"> </v>
      </c>
      <c r="M481" s="1"/>
    </row>
    <row r="482" spans="1:13" x14ac:dyDescent="0.25">
      <c r="A482" s="33" t="str">
        <f t="shared" si="21"/>
        <v/>
      </c>
      <c r="B482" s="1"/>
      <c r="C482" s="2"/>
      <c r="D482" s="233"/>
      <c r="E482" s="2"/>
      <c r="F482" s="2"/>
      <c r="G482" s="2"/>
      <c r="H482" s="30">
        <f t="shared" si="22"/>
        <v>0</v>
      </c>
      <c r="I482" s="1"/>
      <c r="J482" s="1"/>
      <c r="K482" s="1"/>
      <c r="L482" s="1" t="str">
        <f t="shared" si="20"/>
        <v xml:space="preserve"> </v>
      </c>
      <c r="M482" s="1"/>
    </row>
    <row r="483" spans="1:13" x14ac:dyDescent="0.25">
      <c r="A483" s="33" t="str">
        <f t="shared" si="21"/>
        <v/>
      </c>
      <c r="B483" s="1"/>
      <c r="C483" s="2"/>
      <c r="D483" s="233"/>
      <c r="E483" s="2"/>
      <c r="F483" s="2"/>
      <c r="G483" s="2"/>
      <c r="H483" s="30">
        <f t="shared" si="22"/>
        <v>0</v>
      </c>
      <c r="I483" s="1"/>
      <c r="J483" s="1"/>
      <c r="K483" s="1"/>
      <c r="L483" s="1" t="str">
        <f t="shared" si="20"/>
        <v xml:space="preserve"> </v>
      </c>
      <c r="M483" s="1"/>
    </row>
    <row r="484" spans="1:13" x14ac:dyDescent="0.25">
      <c r="A484" s="33" t="str">
        <f t="shared" si="21"/>
        <v/>
      </c>
      <c r="B484" s="1"/>
      <c r="C484" s="2"/>
      <c r="D484" s="233"/>
      <c r="E484" s="2"/>
      <c r="F484" s="2"/>
      <c r="G484" s="2"/>
      <c r="H484" s="30">
        <f t="shared" si="22"/>
        <v>0</v>
      </c>
      <c r="I484" s="1"/>
      <c r="J484" s="1"/>
      <c r="K484" s="1"/>
      <c r="L484" s="1" t="str">
        <f t="shared" si="20"/>
        <v xml:space="preserve"> </v>
      </c>
      <c r="M484" s="1"/>
    </row>
    <row r="485" spans="1:13" x14ac:dyDescent="0.25">
      <c r="A485" s="33" t="str">
        <f t="shared" si="21"/>
        <v/>
      </c>
      <c r="B485" s="1"/>
      <c r="C485" s="2"/>
      <c r="D485" s="233"/>
      <c r="E485" s="2"/>
      <c r="F485" s="2"/>
      <c r="G485" s="2"/>
      <c r="H485" s="30">
        <f t="shared" si="22"/>
        <v>0</v>
      </c>
      <c r="I485" s="1"/>
      <c r="J485" s="1"/>
      <c r="K485" s="1"/>
      <c r="L485" s="1" t="str">
        <f t="shared" si="20"/>
        <v xml:space="preserve"> </v>
      </c>
      <c r="M485" s="1"/>
    </row>
    <row r="486" spans="1:13" x14ac:dyDescent="0.25">
      <c r="A486" s="33" t="str">
        <f t="shared" si="21"/>
        <v/>
      </c>
      <c r="B486" s="1"/>
      <c r="C486" s="2"/>
      <c r="D486" s="233"/>
      <c r="E486" s="2"/>
      <c r="F486" s="2"/>
      <c r="G486" s="2"/>
      <c r="H486" s="30">
        <f t="shared" si="22"/>
        <v>0</v>
      </c>
      <c r="I486" s="1"/>
      <c r="J486" s="1"/>
      <c r="K486" s="1"/>
      <c r="L486" s="1" t="str">
        <f t="shared" si="20"/>
        <v xml:space="preserve"> </v>
      </c>
      <c r="M486" s="1"/>
    </row>
    <row r="487" spans="1:13" x14ac:dyDescent="0.25">
      <c r="A487" s="33" t="str">
        <f t="shared" si="21"/>
        <v/>
      </c>
      <c r="B487" s="1"/>
      <c r="C487" s="2"/>
      <c r="D487" s="233"/>
      <c r="E487" s="2"/>
      <c r="F487" s="2"/>
      <c r="G487" s="2"/>
      <c r="H487" s="30">
        <f t="shared" si="22"/>
        <v>0</v>
      </c>
      <c r="I487" s="1"/>
      <c r="J487" s="1"/>
      <c r="K487" s="1"/>
      <c r="L487" s="1" t="str">
        <f t="shared" si="20"/>
        <v xml:space="preserve"> </v>
      </c>
      <c r="M487" s="1"/>
    </row>
    <row r="488" spans="1:13" x14ac:dyDescent="0.25">
      <c r="A488" s="33" t="str">
        <f t="shared" si="21"/>
        <v/>
      </c>
      <c r="B488" s="1"/>
      <c r="C488" s="2"/>
      <c r="D488" s="233"/>
      <c r="E488" s="2"/>
      <c r="F488" s="2"/>
      <c r="G488" s="2"/>
      <c r="H488" s="30">
        <f t="shared" si="22"/>
        <v>0</v>
      </c>
      <c r="I488" s="1"/>
      <c r="J488" s="1"/>
      <c r="K488" s="1"/>
      <c r="L488" s="1" t="str">
        <f t="shared" si="20"/>
        <v xml:space="preserve"> </v>
      </c>
      <c r="M488" s="1"/>
    </row>
    <row r="489" spans="1:13" x14ac:dyDescent="0.25">
      <c r="A489" s="33" t="str">
        <f t="shared" si="21"/>
        <v/>
      </c>
      <c r="B489" s="1"/>
      <c r="C489" s="2"/>
      <c r="D489" s="233"/>
      <c r="E489" s="2"/>
      <c r="F489" s="2"/>
      <c r="G489" s="2"/>
      <c r="H489" s="30">
        <f t="shared" si="22"/>
        <v>0</v>
      </c>
      <c r="I489" s="1"/>
      <c r="J489" s="1"/>
      <c r="K489" s="1"/>
      <c r="L489" s="1" t="str">
        <f t="shared" ref="L489:L529" si="23">CONCATENATE(J489," ",I489)</f>
        <v xml:space="preserve"> </v>
      </c>
      <c r="M489" s="1"/>
    </row>
    <row r="490" spans="1:13" x14ac:dyDescent="0.25">
      <c r="A490" s="33" t="str">
        <f t="shared" si="21"/>
        <v/>
      </c>
      <c r="B490" s="1"/>
      <c r="C490" s="2"/>
      <c r="D490" s="233"/>
      <c r="E490" s="2"/>
      <c r="F490" s="2"/>
      <c r="G490" s="2"/>
      <c r="H490" s="30">
        <f t="shared" si="22"/>
        <v>0</v>
      </c>
      <c r="I490" s="1"/>
      <c r="J490" s="1"/>
      <c r="K490" s="1"/>
      <c r="L490" s="1" t="str">
        <f t="shared" si="23"/>
        <v xml:space="preserve"> </v>
      </c>
      <c r="M490" s="1"/>
    </row>
    <row r="491" spans="1:13" x14ac:dyDescent="0.25">
      <c r="A491" s="33" t="str">
        <f t="shared" si="21"/>
        <v/>
      </c>
      <c r="B491" s="1"/>
      <c r="C491" s="2"/>
      <c r="D491" s="233"/>
      <c r="E491" s="2"/>
      <c r="F491" s="2"/>
      <c r="G491" s="2"/>
      <c r="H491" s="30">
        <f t="shared" si="22"/>
        <v>0</v>
      </c>
      <c r="I491" s="1"/>
      <c r="J491" s="1"/>
      <c r="K491" s="1"/>
      <c r="L491" s="1" t="str">
        <f t="shared" si="23"/>
        <v xml:space="preserve"> </v>
      </c>
      <c r="M491" s="1"/>
    </row>
    <row r="492" spans="1:13" x14ac:dyDescent="0.25">
      <c r="A492" s="33" t="str">
        <f t="shared" si="21"/>
        <v/>
      </c>
      <c r="B492" s="1"/>
      <c r="C492" s="2"/>
      <c r="D492" s="233"/>
      <c r="E492" s="2"/>
      <c r="F492" s="2"/>
      <c r="G492" s="2"/>
      <c r="H492" s="30">
        <f t="shared" si="22"/>
        <v>0</v>
      </c>
      <c r="I492" s="1"/>
      <c r="J492" s="1"/>
      <c r="K492" s="1"/>
      <c r="L492" s="1" t="str">
        <f t="shared" si="23"/>
        <v xml:space="preserve"> </v>
      </c>
      <c r="M492" s="1"/>
    </row>
    <row r="493" spans="1:13" x14ac:dyDescent="0.25">
      <c r="A493" s="33" t="str">
        <f t="shared" si="21"/>
        <v/>
      </c>
      <c r="B493" s="1"/>
      <c r="C493" s="2"/>
      <c r="D493" s="233"/>
      <c r="E493" s="2"/>
      <c r="F493" s="2"/>
      <c r="G493" s="2"/>
      <c r="H493" s="30">
        <f t="shared" si="22"/>
        <v>0</v>
      </c>
      <c r="I493" s="1"/>
      <c r="J493" s="1"/>
      <c r="K493" s="1"/>
      <c r="L493" s="1" t="str">
        <f t="shared" si="23"/>
        <v xml:space="preserve"> </v>
      </c>
      <c r="M493" s="1"/>
    </row>
    <row r="494" spans="1:13" x14ac:dyDescent="0.25">
      <c r="A494" s="33" t="str">
        <f t="shared" si="21"/>
        <v/>
      </c>
      <c r="B494" s="1"/>
      <c r="C494" s="2"/>
      <c r="D494" s="233"/>
      <c r="E494" s="2"/>
      <c r="F494" s="2"/>
      <c r="G494" s="2"/>
      <c r="H494" s="30">
        <f t="shared" si="22"/>
        <v>0</v>
      </c>
      <c r="I494" s="1"/>
      <c r="J494" s="1"/>
      <c r="K494" s="1"/>
      <c r="L494" s="1" t="str">
        <f t="shared" si="23"/>
        <v xml:space="preserve"> </v>
      </c>
      <c r="M494" s="1"/>
    </row>
    <row r="495" spans="1:13" x14ac:dyDescent="0.25">
      <c r="A495" s="33" t="str">
        <f t="shared" si="21"/>
        <v/>
      </c>
      <c r="B495" s="1"/>
      <c r="C495" s="2"/>
      <c r="D495" s="233"/>
      <c r="E495" s="2"/>
      <c r="F495" s="2"/>
      <c r="G495" s="2"/>
      <c r="H495" s="30">
        <f t="shared" si="22"/>
        <v>0</v>
      </c>
      <c r="I495" s="1"/>
      <c r="J495" s="1"/>
      <c r="K495" s="1"/>
      <c r="L495" s="1" t="str">
        <f t="shared" si="23"/>
        <v xml:space="preserve"> </v>
      </c>
      <c r="M495" s="1"/>
    </row>
    <row r="496" spans="1:13" x14ac:dyDescent="0.25">
      <c r="A496" s="33" t="str">
        <f t="shared" si="21"/>
        <v/>
      </c>
      <c r="B496" s="1"/>
      <c r="C496" s="2"/>
      <c r="D496" s="233"/>
      <c r="E496" s="2"/>
      <c r="F496" s="2"/>
      <c r="G496" s="2"/>
      <c r="H496" s="30">
        <f t="shared" si="22"/>
        <v>0</v>
      </c>
      <c r="I496" s="1"/>
      <c r="J496" s="1"/>
      <c r="K496" s="1"/>
      <c r="L496" s="1" t="str">
        <f t="shared" si="23"/>
        <v xml:space="preserve"> </v>
      </c>
      <c r="M496" s="1"/>
    </row>
    <row r="497" spans="1:13" x14ac:dyDescent="0.25">
      <c r="A497" s="33" t="str">
        <f t="shared" si="21"/>
        <v/>
      </c>
      <c r="B497" s="1"/>
      <c r="C497" s="2"/>
      <c r="D497" s="233"/>
      <c r="E497" s="2"/>
      <c r="F497" s="2"/>
      <c r="G497" s="2"/>
      <c r="H497" s="30">
        <f t="shared" si="22"/>
        <v>0</v>
      </c>
      <c r="I497" s="1"/>
      <c r="J497" s="1"/>
      <c r="K497" s="1"/>
      <c r="L497" s="1" t="str">
        <f t="shared" si="23"/>
        <v xml:space="preserve"> </v>
      </c>
      <c r="M497" s="1"/>
    </row>
    <row r="498" spans="1:13" x14ac:dyDescent="0.25">
      <c r="A498" s="33" t="str">
        <f t="shared" si="21"/>
        <v/>
      </c>
      <c r="B498" s="1"/>
      <c r="C498" s="2"/>
      <c r="D498" s="233"/>
      <c r="E498" s="2"/>
      <c r="F498" s="2"/>
      <c r="G498" s="2"/>
      <c r="H498" s="30">
        <f t="shared" si="22"/>
        <v>0</v>
      </c>
      <c r="I498" s="1"/>
      <c r="J498" s="1"/>
      <c r="K498" s="1"/>
      <c r="L498" s="1" t="str">
        <f t="shared" si="23"/>
        <v xml:space="preserve"> </v>
      </c>
      <c r="M498" s="1"/>
    </row>
    <row r="499" spans="1:13" x14ac:dyDescent="0.25">
      <c r="A499" s="33" t="str">
        <f t="shared" ref="A499:A529" si="24">CONCATENATE(B499,C499,E499)</f>
        <v/>
      </c>
      <c r="B499" s="1"/>
      <c r="C499" s="2"/>
      <c r="D499" s="233"/>
      <c r="E499" s="2"/>
      <c r="F499" s="2"/>
      <c r="G499" s="2"/>
      <c r="H499" s="30">
        <f t="shared" ref="H499:H511" si="25">IFERROR(IF(F499&gt;G499,((G499+B499+1)-(F499+B499))*24,HOUR(G499-F499)+MINUTE(G499-F499)/60),"")</f>
        <v>0</v>
      </c>
      <c r="I499" s="1"/>
      <c r="J499" s="1"/>
      <c r="K499" s="1"/>
      <c r="L499" s="1" t="str">
        <f t="shared" si="23"/>
        <v xml:space="preserve"> </v>
      </c>
      <c r="M499" s="1"/>
    </row>
    <row r="500" spans="1:13" x14ac:dyDescent="0.25">
      <c r="A500" s="33" t="str">
        <f t="shared" si="24"/>
        <v/>
      </c>
      <c r="B500" s="1"/>
      <c r="C500" s="2"/>
      <c r="D500" s="233"/>
      <c r="E500" s="2"/>
      <c r="F500" s="2"/>
      <c r="G500" s="2"/>
      <c r="H500" s="30">
        <f t="shared" si="25"/>
        <v>0</v>
      </c>
      <c r="I500" s="1"/>
      <c r="J500" s="1"/>
      <c r="K500" s="1"/>
      <c r="L500" s="1" t="str">
        <f t="shared" si="23"/>
        <v xml:space="preserve"> </v>
      </c>
      <c r="M500" s="1"/>
    </row>
    <row r="501" spans="1:13" x14ac:dyDescent="0.25">
      <c r="A501" s="33" t="str">
        <f t="shared" si="24"/>
        <v/>
      </c>
      <c r="B501" s="1"/>
      <c r="C501" s="2"/>
      <c r="D501" s="233"/>
      <c r="E501" s="2"/>
      <c r="F501" s="2"/>
      <c r="G501" s="2"/>
      <c r="H501" s="30">
        <f t="shared" si="25"/>
        <v>0</v>
      </c>
      <c r="I501" s="1"/>
      <c r="J501" s="1"/>
      <c r="K501" s="1"/>
      <c r="L501" s="1" t="str">
        <f t="shared" si="23"/>
        <v xml:space="preserve"> </v>
      </c>
      <c r="M501" s="1"/>
    </row>
    <row r="502" spans="1:13" x14ac:dyDescent="0.25">
      <c r="A502" s="33" t="str">
        <f t="shared" si="24"/>
        <v/>
      </c>
      <c r="B502" s="1"/>
      <c r="C502" s="2"/>
      <c r="D502" s="233"/>
      <c r="E502" s="2"/>
      <c r="F502" s="2"/>
      <c r="G502" s="2"/>
      <c r="H502" s="30">
        <f t="shared" si="25"/>
        <v>0</v>
      </c>
      <c r="I502" s="1"/>
      <c r="J502" s="1"/>
      <c r="K502" s="1"/>
      <c r="L502" s="1" t="str">
        <f t="shared" si="23"/>
        <v xml:space="preserve"> </v>
      </c>
      <c r="M502" s="1"/>
    </row>
    <row r="503" spans="1:13" x14ac:dyDescent="0.25">
      <c r="A503" s="33" t="str">
        <f t="shared" si="24"/>
        <v/>
      </c>
      <c r="B503" s="1"/>
      <c r="C503" s="2"/>
      <c r="D503" s="233"/>
      <c r="E503" s="2"/>
      <c r="F503" s="2"/>
      <c r="G503" s="2"/>
      <c r="H503" s="30">
        <f t="shared" si="25"/>
        <v>0</v>
      </c>
      <c r="I503" s="1"/>
      <c r="J503" s="1"/>
      <c r="K503" s="1"/>
      <c r="L503" s="1" t="str">
        <f t="shared" si="23"/>
        <v xml:space="preserve"> </v>
      </c>
      <c r="M503" s="1"/>
    </row>
    <row r="504" spans="1:13" x14ac:dyDescent="0.25">
      <c r="A504" s="33" t="str">
        <f t="shared" si="24"/>
        <v/>
      </c>
      <c r="B504" s="1"/>
      <c r="C504" s="2"/>
      <c r="D504" s="233"/>
      <c r="E504" s="2"/>
      <c r="F504" s="2"/>
      <c r="G504" s="2"/>
      <c r="H504" s="30">
        <f t="shared" si="25"/>
        <v>0</v>
      </c>
      <c r="I504" s="1"/>
      <c r="J504" s="1"/>
      <c r="K504" s="1"/>
      <c r="L504" s="1" t="str">
        <f t="shared" si="23"/>
        <v xml:space="preserve"> </v>
      </c>
      <c r="M504" s="1"/>
    </row>
    <row r="505" spans="1:13" x14ac:dyDescent="0.25">
      <c r="A505" s="33" t="str">
        <f t="shared" si="24"/>
        <v/>
      </c>
      <c r="B505" s="1"/>
      <c r="C505" s="2"/>
      <c r="D505" s="233"/>
      <c r="E505" s="2"/>
      <c r="F505" s="2"/>
      <c r="G505" s="2"/>
      <c r="H505" s="30">
        <f t="shared" si="25"/>
        <v>0</v>
      </c>
      <c r="I505" s="1"/>
      <c r="J505" s="1"/>
      <c r="K505" s="1"/>
      <c r="L505" s="1" t="str">
        <f t="shared" si="23"/>
        <v xml:space="preserve"> </v>
      </c>
      <c r="M505" s="1"/>
    </row>
    <row r="506" spans="1:13" x14ac:dyDescent="0.25">
      <c r="A506" s="33" t="str">
        <f t="shared" si="24"/>
        <v/>
      </c>
      <c r="B506" s="1"/>
      <c r="C506" s="2"/>
      <c r="D506" s="233"/>
      <c r="E506" s="2"/>
      <c r="F506" s="2"/>
      <c r="G506" s="2"/>
      <c r="H506" s="30">
        <f t="shared" si="25"/>
        <v>0</v>
      </c>
      <c r="I506" s="1"/>
      <c r="J506" s="1"/>
      <c r="K506" s="1"/>
      <c r="L506" s="1" t="str">
        <f t="shared" si="23"/>
        <v xml:space="preserve"> </v>
      </c>
      <c r="M506" s="1"/>
    </row>
    <row r="507" spans="1:13" x14ac:dyDescent="0.25">
      <c r="A507" s="33" t="str">
        <f t="shared" si="24"/>
        <v/>
      </c>
      <c r="B507" s="1"/>
      <c r="C507" s="2"/>
      <c r="D507" s="233"/>
      <c r="E507" s="2"/>
      <c r="F507" s="2"/>
      <c r="G507" s="2"/>
      <c r="H507" s="30">
        <f t="shared" si="25"/>
        <v>0</v>
      </c>
      <c r="I507" s="1"/>
      <c r="J507" s="1"/>
      <c r="K507" s="1"/>
      <c r="L507" s="1" t="str">
        <f t="shared" si="23"/>
        <v xml:space="preserve"> </v>
      </c>
      <c r="M507" s="1"/>
    </row>
    <row r="508" spans="1:13" x14ac:dyDescent="0.25">
      <c r="A508" s="33" t="str">
        <f t="shared" si="24"/>
        <v/>
      </c>
      <c r="B508" s="1"/>
      <c r="C508" s="2"/>
      <c r="D508" s="233"/>
      <c r="E508" s="2"/>
      <c r="F508" s="2"/>
      <c r="G508" s="2"/>
      <c r="H508" s="30">
        <f t="shared" si="25"/>
        <v>0</v>
      </c>
      <c r="I508" s="1"/>
      <c r="J508" s="1"/>
      <c r="K508" s="1"/>
      <c r="L508" s="1" t="str">
        <f t="shared" si="23"/>
        <v xml:space="preserve"> </v>
      </c>
      <c r="M508" s="1"/>
    </row>
    <row r="509" spans="1:13" x14ac:dyDescent="0.25">
      <c r="A509" s="33" t="str">
        <f t="shared" si="24"/>
        <v/>
      </c>
      <c r="B509" s="1"/>
      <c r="C509" s="2"/>
      <c r="D509" s="233"/>
      <c r="E509" s="2"/>
      <c r="F509" s="2"/>
      <c r="G509" s="2"/>
      <c r="H509" s="30">
        <f t="shared" si="25"/>
        <v>0</v>
      </c>
      <c r="I509" s="1"/>
      <c r="J509" s="1"/>
      <c r="K509" s="1"/>
      <c r="L509" s="1" t="str">
        <f t="shared" si="23"/>
        <v xml:space="preserve"> </v>
      </c>
      <c r="M509" s="1"/>
    </row>
    <row r="510" spans="1:13" x14ac:dyDescent="0.25">
      <c r="A510" s="33" t="str">
        <f t="shared" si="24"/>
        <v/>
      </c>
      <c r="B510" s="1"/>
      <c r="C510" s="2"/>
      <c r="D510" s="233"/>
      <c r="E510" s="2"/>
      <c r="F510" s="2"/>
      <c r="G510" s="2"/>
      <c r="H510" s="30">
        <f t="shared" si="25"/>
        <v>0</v>
      </c>
      <c r="I510" s="1"/>
      <c r="J510" s="1"/>
      <c r="K510" s="1"/>
      <c r="L510" s="1" t="str">
        <f t="shared" si="23"/>
        <v xml:space="preserve"> </v>
      </c>
      <c r="M510" s="1"/>
    </row>
    <row r="511" spans="1:13" x14ac:dyDescent="0.25">
      <c r="A511" s="33" t="str">
        <f t="shared" si="24"/>
        <v/>
      </c>
      <c r="B511" s="1"/>
      <c r="C511" s="2"/>
      <c r="D511" s="233"/>
      <c r="E511" s="2"/>
      <c r="F511" s="2"/>
      <c r="G511" s="2"/>
      <c r="H511" s="30">
        <f t="shared" si="25"/>
        <v>0</v>
      </c>
      <c r="I511" s="1"/>
      <c r="J511" s="1"/>
      <c r="K511" s="1"/>
      <c r="L511" s="1" t="str">
        <f t="shared" si="23"/>
        <v xml:space="preserve"> </v>
      </c>
      <c r="M511" s="1"/>
    </row>
    <row r="512" spans="1:13" x14ac:dyDescent="0.25">
      <c r="A512" s="33" t="str">
        <f t="shared" si="24"/>
        <v/>
      </c>
      <c r="L512" s="1" t="str">
        <f t="shared" si="23"/>
        <v xml:space="preserve"> </v>
      </c>
    </row>
    <row r="513" spans="1:12" x14ac:dyDescent="0.25">
      <c r="A513" s="33" t="str">
        <f t="shared" si="24"/>
        <v/>
      </c>
      <c r="L513" s="1" t="str">
        <f t="shared" si="23"/>
        <v xml:space="preserve"> </v>
      </c>
    </row>
    <row r="514" spans="1:12" x14ac:dyDescent="0.25">
      <c r="A514" s="33" t="str">
        <f t="shared" si="24"/>
        <v/>
      </c>
      <c r="L514" s="1" t="str">
        <f t="shared" si="23"/>
        <v xml:space="preserve"> </v>
      </c>
    </row>
    <row r="515" spans="1:12" x14ac:dyDescent="0.25">
      <c r="A515" s="33" t="str">
        <f t="shared" si="24"/>
        <v/>
      </c>
      <c r="L515" s="1" t="str">
        <f t="shared" si="23"/>
        <v xml:space="preserve"> </v>
      </c>
    </row>
    <row r="516" spans="1:12" x14ac:dyDescent="0.25">
      <c r="A516" s="33" t="str">
        <f t="shared" si="24"/>
        <v/>
      </c>
      <c r="L516" s="1" t="str">
        <f t="shared" si="23"/>
        <v xml:space="preserve"> </v>
      </c>
    </row>
    <row r="517" spans="1:12" x14ac:dyDescent="0.25">
      <c r="A517" s="33" t="str">
        <f t="shared" si="24"/>
        <v/>
      </c>
      <c r="L517" s="1" t="str">
        <f t="shared" si="23"/>
        <v xml:space="preserve"> </v>
      </c>
    </row>
    <row r="518" spans="1:12" x14ac:dyDescent="0.25">
      <c r="A518" s="33" t="str">
        <f t="shared" si="24"/>
        <v/>
      </c>
      <c r="L518" s="1" t="str">
        <f t="shared" si="23"/>
        <v xml:space="preserve"> </v>
      </c>
    </row>
    <row r="519" spans="1:12" x14ac:dyDescent="0.25">
      <c r="A519" s="33" t="str">
        <f t="shared" si="24"/>
        <v/>
      </c>
      <c r="L519" s="1" t="str">
        <f t="shared" si="23"/>
        <v xml:space="preserve"> </v>
      </c>
    </row>
    <row r="520" spans="1:12" x14ac:dyDescent="0.25">
      <c r="A520" s="33" t="str">
        <f t="shared" si="24"/>
        <v/>
      </c>
      <c r="L520" s="1" t="str">
        <f t="shared" si="23"/>
        <v xml:space="preserve"> </v>
      </c>
    </row>
    <row r="521" spans="1:12" x14ac:dyDescent="0.25">
      <c r="A521" s="33" t="str">
        <f t="shared" si="24"/>
        <v/>
      </c>
      <c r="L521" s="1" t="str">
        <f t="shared" si="23"/>
        <v xml:space="preserve"> </v>
      </c>
    </row>
    <row r="522" spans="1:12" x14ac:dyDescent="0.25">
      <c r="A522" s="33" t="str">
        <f t="shared" si="24"/>
        <v/>
      </c>
      <c r="L522" s="1" t="str">
        <f t="shared" si="23"/>
        <v xml:space="preserve"> </v>
      </c>
    </row>
    <row r="523" spans="1:12" x14ac:dyDescent="0.25">
      <c r="A523" s="33" t="str">
        <f t="shared" si="24"/>
        <v/>
      </c>
      <c r="L523" s="1" t="str">
        <f t="shared" si="23"/>
        <v xml:space="preserve"> </v>
      </c>
    </row>
    <row r="524" spans="1:12" x14ac:dyDescent="0.25">
      <c r="A524" s="33" t="str">
        <f t="shared" si="24"/>
        <v/>
      </c>
      <c r="L524" s="1" t="str">
        <f t="shared" si="23"/>
        <v xml:space="preserve"> </v>
      </c>
    </row>
    <row r="525" spans="1:12" x14ac:dyDescent="0.25">
      <c r="A525" s="33" t="str">
        <f t="shared" si="24"/>
        <v/>
      </c>
      <c r="L525" s="1" t="str">
        <f t="shared" si="23"/>
        <v xml:space="preserve"> </v>
      </c>
    </row>
    <row r="526" spans="1:12" x14ac:dyDescent="0.25">
      <c r="A526" s="33" t="str">
        <f t="shared" si="24"/>
        <v/>
      </c>
      <c r="L526" s="1" t="str">
        <f t="shared" si="23"/>
        <v xml:space="preserve"> </v>
      </c>
    </row>
    <row r="527" spans="1:12" x14ac:dyDescent="0.25">
      <c r="A527" s="33" t="str">
        <f t="shared" si="24"/>
        <v/>
      </c>
      <c r="L527" s="1" t="str">
        <f t="shared" si="23"/>
        <v xml:space="preserve"> </v>
      </c>
    </row>
    <row r="528" spans="1:12" x14ac:dyDescent="0.25">
      <c r="A528" s="33" t="str">
        <f t="shared" si="24"/>
        <v/>
      </c>
      <c r="L528" s="1" t="str">
        <f t="shared" si="23"/>
        <v xml:space="preserve"> </v>
      </c>
    </row>
    <row r="529" spans="1:12" x14ac:dyDescent="0.25">
      <c r="A529" s="33" t="str">
        <f t="shared" si="24"/>
        <v/>
      </c>
      <c r="L529" s="1" t="str">
        <f t="shared" si="23"/>
        <v xml:space="preserve"> </v>
      </c>
    </row>
  </sheetData>
  <customSheetViews>
    <customSheetView guid="{3E6EB34F-E2F7-456F-8B3B-5F84BD050AA2}">
      <pane xSplit="1" ySplit="1" topLeftCell="B2" activePane="bottomRight" state="frozen"/>
      <selection pane="bottomRight" sqref="A1:K1"/>
      <pageMargins left="0.7" right="0.7" top="0.75" bottom="0.75" header="0.3" footer="0.3"/>
    </customSheetView>
    <customSheetView guid="{4F232D79-B707-4527-B1C5-2E1BF2995FFF}" hiddenColumns="1">
      <pane xSplit="2" ySplit="2" topLeftCell="C15" activePane="bottomRight" state="frozen"/>
      <selection pane="bottomRight" activeCell="I33" sqref="I33"/>
      <pageMargins left="0.7" right="0.7" top="0.75" bottom="0.75" header="0.3" footer="0.3"/>
      <pageSetup paperSize="9" orientation="portrait" horizontalDpi="203" verticalDpi="203" r:id="rId1"/>
    </customSheetView>
  </customSheetViews>
  <mergeCells count="1">
    <mergeCell ref="M6:M10"/>
  </mergeCells>
  <conditionalFormatting sqref="C1:C7 C9:C1048576">
    <cfRule type="cellIs" dxfId="33" priority="41" operator="equal">
      <formula>3</formula>
    </cfRule>
    <cfRule type="cellIs" dxfId="32" priority="42" operator="equal">
      <formula>2</formula>
    </cfRule>
    <cfRule type="cellIs" dxfId="31" priority="43" operator="equal">
      <formula>1</formula>
    </cfRule>
  </conditionalFormatting>
  <conditionalFormatting sqref="C8">
    <cfRule type="cellIs" dxfId="30" priority="1" operator="equal">
      <formula>3</formula>
    </cfRule>
    <cfRule type="cellIs" dxfId="29" priority="2" operator="equal">
      <formula>2</formula>
    </cfRule>
    <cfRule type="cellIs" dxfId="28" priority="3" operator="equal">
      <formula>1</formula>
    </cfRule>
  </conditionalFormatting>
  <dataValidations count="5">
    <dataValidation type="list" allowBlank="1" showInputMessage="1" showErrorMessage="1" sqref="D10:D1048576">
      <formula1>numero</formula1>
    </dataValidation>
    <dataValidation type="list" allowBlank="1" showInputMessage="1" showErrorMessage="1" sqref="J2:J5 J9:J1048576">
      <formula1>arrets1</formula1>
    </dataValidation>
    <dataValidation type="list" allowBlank="1" showInputMessage="1" showErrorMessage="1" sqref="I2:I1048576">
      <formula1>equipement1</formula1>
    </dataValidation>
    <dataValidation type="list" allowBlank="1" showInputMessage="1" showErrorMessage="1" sqref="K2:K1048576">
      <formula1>nature</formula1>
    </dataValidation>
    <dataValidation type="list" allowBlank="1" showInputMessage="1" showErrorMessage="1" sqref="C2:C1048576">
      <formula1>poste</formula1>
    </dataValidation>
  </dataValidations>
  <pageMargins left="0.7" right="0.7" top="0.75" bottom="0.75" header="0.3" footer="0.3"/>
  <pageSetup paperSize="9" orientation="portrait" horizontalDpi="203" verticalDpi="203" r:id="rId2"/>
  <ignoredErrors>
    <ignoredError sqref="L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Envoi_R0">
                <anchor moveWithCells="1" sizeWithCells="1">
                  <from>
                    <xdr:col>1</xdr:col>
                    <xdr:colOff>76200</xdr:colOff>
                    <xdr:row>0</xdr:row>
                    <xdr:rowOff>104775</xdr:rowOff>
                  </from>
                  <to>
                    <xdr:col>2</xdr:col>
                    <xdr:colOff>152400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FF00"/>
  </sheetPr>
  <dimension ref="A1:Y1924"/>
  <sheetViews>
    <sheetView topLeftCell="A10" zoomScale="70" zoomScaleNormal="70" workbookViewId="0">
      <selection activeCell="M14" sqref="M14"/>
    </sheetView>
  </sheetViews>
  <sheetFormatPr defaultColWidth="10.7109375" defaultRowHeight="15" x14ac:dyDescent="0.25"/>
  <cols>
    <col min="2" max="2" width="16.140625" customWidth="1"/>
    <col min="4" max="4" width="11.42578125" customWidth="1"/>
    <col min="5" max="5" width="14.140625" customWidth="1"/>
    <col min="11" max="11" width="20.42578125" customWidth="1"/>
    <col min="12" max="12" width="12" bestFit="1" customWidth="1"/>
    <col min="13" max="13" width="9.85546875" customWidth="1"/>
    <col min="14" max="14" width="8.7109375" customWidth="1"/>
    <col min="15" max="15" width="12.140625" customWidth="1"/>
    <col min="16" max="17" width="17.5703125" customWidth="1"/>
    <col min="18" max="18" width="16" customWidth="1"/>
    <col min="19" max="19" width="10.28515625" customWidth="1"/>
    <col min="20" max="20" width="16.140625" customWidth="1"/>
  </cols>
  <sheetData>
    <row r="1" spans="1:20" ht="45.75" customHeight="1" x14ac:dyDescent="0.25">
      <c r="A1" s="146"/>
      <c r="B1" s="3"/>
      <c r="C1" s="3"/>
      <c r="D1" s="3"/>
      <c r="E1" s="3"/>
    </row>
    <row r="3" spans="1:20" ht="26.25" x14ac:dyDescent="0.4"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</row>
    <row r="4" spans="1:20" ht="7.5" customHeight="1" thickBot="1" x14ac:dyDescent="0.45"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</row>
    <row r="5" spans="1:20" ht="27.75" thickTop="1" thickBot="1" x14ac:dyDescent="0.45">
      <c r="B5" s="319"/>
      <c r="C5" s="320"/>
      <c r="D5" s="321"/>
      <c r="E5" s="321"/>
      <c r="F5" s="321"/>
      <c r="G5" s="321"/>
      <c r="H5" s="321"/>
      <c r="I5" s="321"/>
      <c r="J5" s="321"/>
      <c r="K5" s="322"/>
      <c r="L5" s="319"/>
    </row>
    <row r="6" spans="1:20" ht="26.25" x14ac:dyDescent="0.4">
      <c r="B6" s="319"/>
      <c r="C6" s="323"/>
      <c r="D6" s="324"/>
      <c r="E6" s="324"/>
      <c r="F6" s="324"/>
      <c r="G6" s="324"/>
      <c r="H6" s="324"/>
      <c r="I6" s="324"/>
      <c r="J6" s="324"/>
      <c r="K6" s="325"/>
      <c r="L6" s="319"/>
      <c r="O6" s="413" t="s">
        <v>458</v>
      </c>
      <c r="P6" s="414"/>
      <c r="Q6" s="414"/>
      <c r="R6" s="414"/>
      <c r="S6" s="414"/>
      <c r="T6" s="415"/>
    </row>
    <row r="7" spans="1:20" ht="26.25" x14ac:dyDescent="0.4">
      <c r="B7" s="319"/>
      <c r="C7" s="323"/>
      <c r="D7" s="324"/>
      <c r="E7" s="324"/>
      <c r="F7" s="324"/>
      <c r="G7" s="324"/>
      <c r="H7" s="324"/>
      <c r="I7" s="324"/>
      <c r="J7" s="324"/>
      <c r="K7" s="325"/>
      <c r="L7" s="319"/>
      <c r="M7" s="232"/>
      <c r="O7" s="416"/>
      <c r="P7" s="417"/>
      <c r="Q7" s="417"/>
      <c r="R7" s="417"/>
      <c r="S7" s="417"/>
      <c r="T7" s="418"/>
    </row>
    <row r="8" spans="1:20" ht="27" thickBot="1" x14ac:dyDescent="0.45">
      <c r="B8" s="319"/>
      <c r="C8" s="323"/>
      <c r="D8" s="324"/>
      <c r="E8" s="324"/>
      <c r="F8" s="324"/>
      <c r="G8" s="324"/>
      <c r="H8" s="324"/>
      <c r="I8" s="324"/>
      <c r="J8" s="324"/>
      <c r="K8" s="325"/>
      <c r="L8" s="319"/>
      <c r="M8" s="194"/>
      <c r="O8" s="419"/>
      <c r="P8" s="420"/>
      <c r="Q8" s="420"/>
      <c r="R8" s="420"/>
      <c r="S8" s="420"/>
      <c r="T8" s="421"/>
    </row>
    <row r="9" spans="1:20" ht="26.25" x14ac:dyDescent="0.4">
      <c r="B9" s="319"/>
      <c r="C9" s="323"/>
      <c r="D9" s="324"/>
      <c r="E9" s="324"/>
      <c r="F9" s="324"/>
      <c r="G9" s="324"/>
      <c r="H9" s="324"/>
      <c r="I9" s="324"/>
      <c r="J9" s="324"/>
      <c r="K9" s="325"/>
      <c r="L9" s="319"/>
      <c r="M9" s="232"/>
      <c r="N9" s="232"/>
      <c r="O9" s="232"/>
    </row>
    <row r="10" spans="1:20" ht="26.25" x14ac:dyDescent="0.4">
      <c r="B10" s="319"/>
      <c r="C10" s="323"/>
      <c r="D10" s="324"/>
      <c r="E10" s="324"/>
      <c r="F10" s="324"/>
      <c r="G10" s="324"/>
      <c r="H10" s="324"/>
      <c r="I10" s="324"/>
      <c r="J10" s="324"/>
      <c r="K10" s="325"/>
      <c r="L10" s="319"/>
      <c r="N10" s="232"/>
      <c r="O10" s="426" t="s">
        <v>453</v>
      </c>
      <c r="P10" s="427"/>
      <c r="R10" s="422">
        <v>45114</v>
      </c>
      <c r="S10" s="423"/>
    </row>
    <row r="11" spans="1:20" ht="26.25" x14ac:dyDescent="0.4">
      <c r="B11" s="319"/>
      <c r="C11" s="323"/>
      <c r="D11" s="324"/>
      <c r="E11" s="324"/>
      <c r="F11" s="324"/>
      <c r="G11" s="324"/>
      <c r="H11" s="324"/>
      <c r="I11" s="324"/>
      <c r="J11" s="324"/>
      <c r="K11" s="325"/>
      <c r="L11" s="319"/>
      <c r="N11" s="232"/>
      <c r="O11" s="428"/>
      <c r="P11" s="429"/>
      <c r="R11" s="424"/>
      <c r="S11" s="425"/>
    </row>
    <row r="12" spans="1:20" ht="27" thickBot="1" x14ac:dyDescent="0.45">
      <c r="B12" s="319"/>
      <c r="C12" s="326"/>
      <c r="D12" s="327"/>
      <c r="E12" s="327"/>
      <c r="F12" s="327"/>
      <c r="G12" s="327"/>
      <c r="H12" s="327"/>
      <c r="I12" s="327"/>
      <c r="J12" s="327"/>
      <c r="K12" s="328"/>
      <c r="L12" s="319"/>
    </row>
    <row r="13" spans="1:20" ht="15.75" customHeight="1" thickTop="1" x14ac:dyDescent="0.4">
      <c r="B13" s="319"/>
      <c r="C13" s="320"/>
      <c r="D13" s="321"/>
      <c r="E13" s="321"/>
      <c r="F13" s="321"/>
      <c r="G13" s="321"/>
      <c r="H13" s="321"/>
      <c r="I13" s="321"/>
      <c r="J13" s="321"/>
      <c r="K13" s="322"/>
      <c r="L13" s="319"/>
      <c r="N13" s="232"/>
      <c r="O13" s="232"/>
      <c r="P13" s="360" t="s">
        <v>454</v>
      </c>
      <c r="Q13" s="363" t="s">
        <v>343</v>
      </c>
      <c r="R13" s="354" t="s">
        <v>484</v>
      </c>
      <c r="S13" s="355"/>
      <c r="T13" s="366" t="s">
        <v>455</v>
      </c>
    </row>
    <row r="14" spans="1:20" ht="15" customHeight="1" x14ac:dyDescent="0.4">
      <c r="B14" s="319" t="s">
        <v>469</v>
      </c>
      <c r="C14" s="323"/>
      <c r="D14" s="324"/>
      <c r="E14" s="324"/>
      <c r="F14" s="324"/>
      <c r="G14" s="324"/>
      <c r="H14" s="324"/>
      <c r="I14" s="324"/>
      <c r="J14" s="324"/>
      <c r="K14" s="325"/>
      <c r="L14" s="319"/>
      <c r="N14" s="232"/>
      <c r="O14" s="232"/>
      <c r="P14" s="361"/>
      <c r="Q14" s="364"/>
      <c r="R14" s="356"/>
      <c r="S14" s="357"/>
      <c r="T14" s="367"/>
    </row>
    <row r="15" spans="1:20" ht="15.75" customHeight="1" thickBot="1" x14ac:dyDescent="0.45">
      <c r="B15" s="319"/>
      <c r="C15" s="323"/>
      <c r="D15" s="324"/>
      <c r="E15" s="324"/>
      <c r="F15" s="324"/>
      <c r="G15" s="324"/>
      <c r="H15" s="324"/>
      <c r="I15" s="324"/>
      <c r="J15" s="324"/>
      <c r="K15" s="325"/>
      <c r="L15" s="319"/>
      <c r="M15" s="194"/>
      <c r="N15" s="232"/>
      <c r="O15" s="232"/>
      <c r="P15" s="362"/>
      <c r="Q15" s="365"/>
      <c r="R15" s="358"/>
      <c r="S15" s="359"/>
      <c r="T15" s="368"/>
    </row>
    <row r="16" spans="1:20" ht="15.75" customHeight="1" thickBot="1" x14ac:dyDescent="0.45">
      <c r="B16" s="319"/>
      <c r="C16" s="319"/>
      <c r="D16" s="324"/>
      <c r="E16" s="324"/>
      <c r="F16" s="324"/>
      <c r="G16" s="324"/>
      <c r="H16" s="324"/>
      <c r="I16" s="324"/>
      <c r="J16" s="324"/>
      <c r="K16" s="325"/>
      <c r="L16" s="319"/>
      <c r="M16" s="194"/>
      <c r="N16" s="430" t="s">
        <v>456</v>
      </c>
      <c r="O16" s="431"/>
      <c r="P16" s="270"/>
      <c r="Q16" s="208"/>
      <c r="R16" s="405"/>
      <c r="S16" s="406"/>
      <c r="T16" s="207"/>
    </row>
    <row r="17" spans="2:22" ht="16.5" customHeight="1" thickBot="1" x14ac:dyDescent="0.45">
      <c r="B17" s="319"/>
      <c r="C17" s="323"/>
      <c r="D17" s="324"/>
      <c r="E17" s="324"/>
      <c r="F17" s="324"/>
      <c r="G17" s="324"/>
      <c r="H17" s="324"/>
      <c r="I17" s="324"/>
      <c r="J17" s="324"/>
      <c r="K17" s="325"/>
      <c r="L17" s="319"/>
      <c r="M17" s="194"/>
      <c r="N17" s="432"/>
      <c r="O17" s="433"/>
      <c r="P17" s="270"/>
      <c r="Q17" s="208"/>
      <c r="R17" s="405"/>
      <c r="S17" s="406"/>
      <c r="T17" s="207"/>
    </row>
    <row r="18" spans="2:22" ht="15.75" customHeight="1" thickBot="1" x14ac:dyDescent="0.45">
      <c r="B18" s="319"/>
      <c r="C18" s="323"/>
      <c r="D18" s="324"/>
      <c r="E18" s="324"/>
      <c r="F18" s="324"/>
      <c r="G18" s="324"/>
      <c r="H18" s="324"/>
      <c r="I18" s="324"/>
      <c r="J18" s="324"/>
      <c r="K18" s="325"/>
      <c r="L18" s="319"/>
      <c r="M18" s="232"/>
      <c r="N18" s="432"/>
      <c r="O18" s="433"/>
      <c r="P18" s="270"/>
      <c r="Q18" s="208"/>
      <c r="R18" s="405"/>
      <c r="S18" s="406"/>
      <c r="T18" s="207"/>
    </row>
    <row r="19" spans="2:22" ht="15" customHeight="1" thickBot="1" x14ac:dyDescent="0.45">
      <c r="B19" s="319"/>
      <c r="C19" s="323"/>
      <c r="D19" s="324"/>
      <c r="E19" s="324"/>
      <c r="F19" s="324"/>
      <c r="G19" s="324"/>
      <c r="H19" s="324"/>
      <c r="I19" s="324"/>
      <c r="J19" s="324"/>
      <c r="K19" s="325"/>
      <c r="L19" s="319"/>
      <c r="M19" s="232"/>
      <c r="N19" s="434"/>
      <c r="O19" s="435"/>
      <c r="P19" s="270"/>
      <c r="Q19" s="208"/>
      <c r="R19" s="405"/>
      <c r="S19" s="406"/>
      <c r="T19" s="207"/>
    </row>
    <row r="20" spans="2:22" ht="15.75" customHeight="1" thickBot="1" x14ac:dyDescent="0.45">
      <c r="B20" s="319"/>
      <c r="C20" s="326"/>
      <c r="D20" s="327"/>
      <c r="E20" s="327"/>
      <c r="F20" s="327"/>
      <c r="G20" s="327"/>
      <c r="H20" s="327"/>
      <c r="I20" s="327"/>
      <c r="J20" s="327"/>
      <c r="K20" s="328"/>
      <c r="L20" s="319"/>
      <c r="M20" s="232"/>
      <c r="N20" s="407" t="s">
        <v>457</v>
      </c>
      <c r="O20" s="408"/>
      <c r="P20" s="270">
        <v>7605</v>
      </c>
      <c r="Q20" s="208" t="s">
        <v>1373</v>
      </c>
      <c r="R20" s="405" t="s">
        <v>73</v>
      </c>
      <c r="S20" s="406"/>
      <c r="T20" s="207" t="s">
        <v>1360</v>
      </c>
    </row>
    <row r="21" spans="2:22" ht="15.75" customHeight="1" thickTop="1" thickBot="1" x14ac:dyDescent="0.45">
      <c r="B21" s="319"/>
      <c r="C21" s="320"/>
      <c r="D21" s="321"/>
      <c r="E21" s="321"/>
      <c r="F21" s="321"/>
      <c r="G21" s="321"/>
      <c r="H21" s="321"/>
      <c r="I21" s="321"/>
      <c r="J21" s="321"/>
      <c r="K21" s="322"/>
      <c r="L21" s="319"/>
      <c r="M21" s="232"/>
      <c r="N21" s="409"/>
      <c r="O21" s="410"/>
      <c r="P21" s="270">
        <v>7617</v>
      </c>
      <c r="Q21" s="208" t="s">
        <v>1373</v>
      </c>
      <c r="R21" s="405" t="s">
        <v>73</v>
      </c>
      <c r="S21" s="406"/>
      <c r="T21" s="207" t="s">
        <v>1360</v>
      </c>
    </row>
    <row r="22" spans="2:22" ht="15" customHeight="1" thickBot="1" x14ac:dyDescent="0.45">
      <c r="B22" s="319"/>
      <c r="C22" s="323"/>
      <c r="D22" s="324"/>
      <c r="E22" s="324"/>
      <c r="F22" s="324"/>
      <c r="G22" s="324"/>
      <c r="H22" s="324"/>
      <c r="I22" s="324"/>
      <c r="J22" s="324"/>
      <c r="K22" s="325"/>
      <c r="L22" s="319"/>
      <c r="M22" s="232"/>
      <c r="N22" s="409"/>
      <c r="O22" s="410"/>
      <c r="P22" s="270"/>
      <c r="Q22" s="208"/>
      <c r="R22" s="405"/>
      <c r="S22" s="406"/>
      <c r="T22" s="207"/>
    </row>
    <row r="23" spans="2:22" ht="15.75" customHeight="1" thickBot="1" x14ac:dyDescent="0.45">
      <c r="B23" s="319"/>
      <c r="C23" s="323"/>
      <c r="D23" s="324"/>
      <c r="E23" s="324"/>
      <c r="F23" s="324"/>
      <c r="G23" s="324"/>
      <c r="H23" s="324"/>
      <c r="I23" s="324"/>
      <c r="J23" s="324"/>
      <c r="K23" s="325"/>
      <c r="L23" s="319"/>
      <c r="M23" s="194"/>
      <c r="N23" s="411"/>
      <c r="O23" s="412"/>
      <c r="P23" s="270"/>
      <c r="Q23" s="208"/>
      <c r="R23" s="405"/>
      <c r="S23" s="406"/>
      <c r="T23" s="207"/>
      <c r="U23" s="177"/>
    </row>
    <row r="24" spans="2:22" ht="15" customHeight="1" x14ac:dyDescent="0.4">
      <c r="B24" s="319"/>
      <c r="C24" s="323"/>
      <c r="D24" s="324"/>
      <c r="E24" s="324"/>
      <c r="F24" s="324"/>
      <c r="G24" s="324"/>
      <c r="H24" s="324"/>
      <c r="I24" s="324"/>
      <c r="J24" s="324"/>
      <c r="K24" s="325"/>
      <c r="L24" s="319"/>
      <c r="M24" s="194"/>
    </row>
    <row r="25" spans="2:22" ht="26.25" x14ac:dyDescent="0.4">
      <c r="B25" s="319"/>
      <c r="C25" s="323"/>
      <c r="D25" s="324"/>
      <c r="E25" s="324"/>
      <c r="F25" s="324"/>
      <c r="G25" s="324"/>
      <c r="H25" s="324"/>
      <c r="I25" s="324"/>
      <c r="J25" s="324"/>
      <c r="K25" s="325"/>
      <c r="L25" s="319"/>
      <c r="M25" s="194"/>
    </row>
    <row r="26" spans="2:22" ht="21.75" customHeight="1" x14ac:dyDescent="0.4">
      <c r="B26" s="319"/>
      <c r="C26" s="323"/>
      <c r="D26" s="324"/>
      <c r="E26" s="324"/>
      <c r="F26" s="324"/>
      <c r="G26" s="324"/>
      <c r="H26" s="324"/>
      <c r="I26" s="324"/>
      <c r="J26" s="324"/>
      <c r="K26" s="325"/>
      <c r="L26" s="319"/>
      <c r="M26" s="194"/>
    </row>
    <row r="27" spans="2:22" ht="19.5" customHeight="1" x14ac:dyDescent="0.4">
      <c r="B27" s="319"/>
      <c r="C27" s="323"/>
      <c r="D27" s="324"/>
      <c r="E27" s="324"/>
      <c r="F27" s="324"/>
      <c r="G27" s="324"/>
      <c r="H27" s="324"/>
      <c r="I27" s="324"/>
      <c r="J27" s="324"/>
      <c r="K27" s="325"/>
      <c r="L27" s="319"/>
      <c r="M27" s="194"/>
    </row>
    <row r="28" spans="2:22" ht="18" customHeight="1" thickBot="1" x14ac:dyDescent="0.45">
      <c r="B28" s="319"/>
      <c r="C28" s="326"/>
      <c r="D28" s="327"/>
      <c r="E28" s="327"/>
      <c r="F28" s="327"/>
      <c r="G28" s="327"/>
      <c r="H28" s="327"/>
      <c r="I28" s="327"/>
      <c r="J28" s="327"/>
      <c r="K28" s="328"/>
      <c r="L28" s="319"/>
      <c r="M28" s="194"/>
      <c r="U28" s="4"/>
      <c r="V28" s="4"/>
    </row>
    <row r="29" spans="2:22" ht="15.75" customHeight="1" thickTop="1" x14ac:dyDescent="0.4">
      <c r="B29" s="319"/>
      <c r="C29" s="320"/>
      <c r="D29" s="321"/>
      <c r="E29" s="321"/>
      <c r="F29" s="321"/>
      <c r="G29" s="321"/>
      <c r="H29" s="321"/>
      <c r="I29" s="321"/>
      <c r="J29" s="321"/>
      <c r="K29" s="322"/>
      <c r="L29" s="319"/>
      <c r="M29" s="194"/>
      <c r="U29" s="4"/>
      <c r="V29" s="4"/>
    </row>
    <row r="30" spans="2:22" ht="26.25" x14ac:dyDescent="0.4">
      <c r="B30" s="319"/>
      <c r="C30" s="323"/>
      <c r="D30" s="324"/>
      <c r="E30" s="324"/>
      <c r="F30" s="324"/>
      <c r="G30" s="324"/>
      <c r="H30" s="324"/>
      <c r="I30" s="324"/>
      <c r="J30" s="324"/>
      <c r="K30" s="325"/>
      <c r="L30" s="319"/>
      <c r="M30" s="194"/>
      <c r="U30" s="4"/>
      <c r="V30" s="4"/>
    </row>
    <row r="31" spans="2:22" ht="26.25" x14ac:dyDescent="0.4">
      <c r="B31" s="319"/>
      <c r="C31" s="323"/>
      <c r="D31" s="324"/>
      <c r="E31" s="324"/>
      <c r="F31" s="324"/>
      <c r="G31" s="324"/>
      <c r="H31" s="324"/>
      <c r="I31" s="324"/>
      <c r="J31" s="324"/>
      <c r="K31" s="325"/>
      <c r="L31" s="319"/>
      <c r="M31" s="194"/>
      <c r="T31" t="s">
        <v>1202</v>
      </c>
      <c r="U31" s="194"/>
    </row>
    <row r="32" spans="2:22" ht="26.25" x14ac:dyDescent="0.4">
      <c r="B32" s="319"/>
      <c r="C32" s="323"/>
      <c r="D32" s="324"/>
      <c r="E32" s="324"/>
      <c r="F32" s="324"/>
      <c r="G32" s="324"/>
      <c r="H32" s="324"/>
      <c r="I32" s="324"/>
      <c r="J32" s="324"/>
      <c r="K32" s="325"/>
      <c r="L32" s="319"/>
      <c r="M32" s="194"/>
      <c r="U32" s="194"/>
    </row>
    <row r="33" spans="2:21" ht="26.25" x14ac:dyDescent="0.4">
      <c r="B33" s="319"/>
      <c r="C33" s="323"/>
      <c r="D33" s="324"/>
      <c r="E33" s="324"/>
      <c r="F33" s="324"/>
      <c r="G33" s="324"/>
      <c r="H33" s="324"/>
      <c r="I33" s="324"/>
      <c r="J33" s="324"/>
      <c r="K33" s="325"/>
      <c r="L33" s="319"/>
      <c r="M33" s="194"/>
      <c r="P33" s="232"/>
      <c r="U33" s="194"/>
    </row>
    <row r="34" spans="2:21" ht="26.25" x14ac:dyDescent="0.4">
      <c r="B34" s="319"/>
      <c r="C34" s="323"/>
      <c r="D34" s="324"/>
      <c r="E34" s="324"/>
      <c r="F34" s="324"/>
      <c r="G34" s="324"/>
      <c r="H34" s="324"/>
      <c r="I34" s="324"/>
      <c r="J34" s="324"/>
      <c r="K34" s="325"/>
      <c r="L34" s="319"/>
      <c r="M34" s="194"/>
      <c r="N34" s="232"/>
      <c r="O34" s="232"/>
      <c r="U34" s="194"/>
    </row>
    <row r="35" spans="2:21" ht="26.25" x14ac:dyDescent="0.4">
      <c r="B35" s="319"/>
      <c r="C35" s="323"/>
      <c r="D35" s="324"/>
      <c r="E35" s="324"/>
      <c r="F35" s="324"/>
      <c r="G35" s="324"/>
      <c r="H35" s="324"/>
      <c r="I35" s="324"/>
      <c r="J35" s="324"/>
      <c r="K35" s="325"/>
      <c r="L35" s="319"/>
      <c r="M35" s="194"/>
      <c r="N35" s="232"/>
      <c r="O35" s="194"/>
    </row>
    <row r="36" spans="2:21" ht="27" thickBot="1" x14ac:dyDescent="0.45">
      <c r="B36" s="319"/>
      <c r="C36" s="326"/>
      <c r="D36" s="327"/>
      <c r="E36" s="327"/>
      <c r="F36" s="327"/>
      <c r="G36" s="327"/>
      <c r="H36" s="327"/>
      <c r="I36" s="327"/>
      <c r="J36" s="327"/>
      <c r="K36" s="328"/>
      <c r="L36" s="319"/>
      <c r="M36" s="194"/>
      <c r="N36" s="232"/>
      <c r="O36" s="232"/>
      <c r="P36" s="232"/>
    </row>
    <row r="37" spans="2:21" ht="27" thickTop="1" x14ac:dyDescent="0.4"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232" t="s">
        <v>1278</v>
      </c>
      <c r="O37" s="232"/>
      <c r="R37" s="206"/>
      <c r="S37" s="206"/>
    </row>
    <row r="38" spans="2:21" ht="26.25" x14ac:dyDescent="0.4"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194"/>
    </row>
    <row r="39" spans="2:21" ht="26.25" x14ac:dyDescent="0.4"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194"/>
    </row>
    <row r="40" spans="2:21" x14ac:dyDescent="0.25">
      <c r="E40" s="194"/>
      <c r="M40" s="194"/>
    </row>
    <row r="41" spans="2:21" x14ac:dyDescent="0.25">
      <c r="M41" s="194"/>
    </row>
    <row r="42" spans="2:21" x14ac:dyDescent="0.25">
      <c r="M42" s="194"/>
    </row>
    <row r="43" spans="2:21" x14ac:dyDescent="0.25">
      <c r="M43" s="194"/>
    </row>
    <row r="44" spans="2:21" x14ac:dyDescent="0.25">
      <c r="M44" s="194"/>
    </row>
    <row r="45" spans="2:21" x14ac:dyDescent="0.25">
      <c r="M45" s="194"/>
    </row>
    <row r="46" spans="2:21" x14ac:dyDescent="0.25">
      <c r="M46" s="194"/>
    </row>
    <row r="47" spans="2:21" x14ac:dyDescent="0.25">
      <c r="M47" s="194"/>
    </row>
    <row r="48" spans="2:21" x14ac:dyDescent="0.25">
      <c r="M48" s="194"/>
    </row>
    <row r="49" spans="13:13" x14ac:dyDescent="0.25">
      <c r="M49" s="194"/>
    </row>
    <row r="50" spans="13:13" x14ac:dyDescent="0.25">
      <c r="M50" s="194"/>
    </row>
    <row r="51" spans="13:13" x14ac:dyDescent="0.25">
      <c r="M51" s="194"/>
    </row>
    <row r="52" spans="13:13" x14ac:dyDescent="0.25">
      <c r="M52" s="194"/>
    </row>
    <row r="53" spans="13:13" x14ac:dyDescent="0.25">
      <c r="M53" s="194"/>
    </row>
    <row r="54" spans="13:13" x14ac:dyDescent="0.25">
      <c r="M54" s="194"/>
    </row>
    <row r="55" spans="13:13" x14ac:dyDescent="0.25">
      <c r="M55" s="194"/>
    </row>
    <row r="56" spans="13:13" x14ac:dyDescent="0.25">
      <c r="M56" s="194"/>
    </row>
    <row r="57" spans="13:13" x14ac:dyDescent="0.25">
      <c r="M57" s="194"/>
    </row>
    <row r="58" spans="13:13" x14ac:dyDescent="0.25">
      <c r="M58" s="194"/>
    </row>
    <row r="59" spans="13:13" x14ac:dyDescent="0.25">
      <c r="M59" s="194"/>
    </row>
    <row r="60" spans="13:13" x14ac:dyDescent="0.25">
      <c r="M60" s="194"/>
    </row>
    <row r="61" spans="13:13" x14ac:dyDescent="0.25">
      <c r="M61" s="194"/>
    </row>
    <row r="62" spans="13:13" x14ac:dyDescent="0.25">
      <c r="M62" s="194"/>
    </row>
    <row r="63" spans="13:13" x14ac:dyDescent="0.25">
      <c r="M63" s="194"/>
    </row>
    <row r="64" spans="13:13" x14ac:dyDescent="0.25">
      <c r="M64" s="194"/>
    </row>
    <row r="65" spans="13:13" x14ac:dyDescent="0.25">
      <c r="M65" s="194"/>
    </row>
    <row r="66" spans="13:13" x14ac:dyDescent="0.25">
      <c r="M66" s="194"/>
    </row>
    <row r="67" spans="13:13" x14ac:dyDescent="0.25">
      <c r="M67" s="194"/>
    </row>
    <row r="68" spans="13:13" x14ac:dyDescent="0.25">
      <c r="M68" s="194"/>
    </row>
    <row r="69" spans="13:13" x14ac:dyDescent="0.25">
      <c r="M69" s="194"/>
    </row>
    <row r="70" spans="13:13" x14ac:dyDescent="0.25">
      <c r="M70" s="194"/>
    </row>
    <row r="71" spans="13:13" x14ac:dyDescent="0.25">
      <c r="M71" s="194"/>
    </row>
    <row r="72" spans="13:13" x14ac:dyDescent="0.25">
      <c r="M72" s="194"/>
    </row>
    <row r="73" spans="13:13" x14ac:dyDescent="0.25">
      <c r="M73" s="194"/>
    </row>
    <row r="74" spans="13:13" x14ac:dyDescent="0.25">
      <c r="M74" s="194"/>
    </row>
    <row r="75" spans="13:13" x14ac:dyDescent="0.25">
      <c r="M75" s="194"/>
    </row>
    <row r="76" spans="13:13" x14ac:dyDescent="0.25">
      <c r="M76" s="194"/>
    </row>
    <row r="77" spans="13:13" x14ac:dyDescent="0.25">
      <c r="M77" s="194"/>
    </row>
    <row r="78" spans="13:13" x14ac:dyDescent="0.25">
      <c r="M78" s="194"/>
    </row>
    <row r="79" spans="13:13" x14ac:dyDescent="0.25">
      <c r="M79" s="194"/>
    </row>
    <row r="80" spans="13:13" x14ac:dyDescent="0.25">
      <c r="M80" s="194"/>
    </row>
    <row r="81" spans="13:13" x14ac:dyDescent="0.25">
      <c r="M81" s="194"/>
    </row>
    <row r="82" spans="13:13" x14ac:dyDescent="0.25">
      <c r="M82" s="194"/>
    </row>
    <row r="83" spans="13:13" x14ac:dyDescent="0.25">
      <c r="M83" s="194"/>
    </row>
    <row r="375" spans="3:10" x14ac:dyDescent="0.25">
      <c r="C375">
        <v>3</v>
      </c>
      <c r="D375" s="186">
        <v>44309</v>
      </c>
      <c r="E375">
        <v>6134</v>
      </c>
      <c r="F375">
        <v>295</v>
      </c>
      <c r="I375">
        <v>54</v>
      </c>
      <c r="J375" s="185">
        <v>1.3888888888888888E-2</v>
      </c>
    </row>
    <row r="661" spans="3:25" x14ac:dyDescent="0.25">
      <c r="N661" s="185">
        <v>0.95833333333333337</v>
      </c>
      <c r="O661">
        <v>2700</v>
      </c>
      <c r="P661">
        <v>2913</v>
      </c>
      <c r="Q661">
        <v>4.99</v>
      </c>
      <c r="R661">
        <v>5</v>
      </c>
      <c r="V661">
        <v>1.65</v>
      </c>
      <c r="W661">
        <v>1.25</v>
      </c>
      <c r="Y661">
        <v>6.03</v>
      </c>
    </row>
    <row r="662" spans="3:25" x14ac:dyDescent="0.25">
      <c r="C662">
        <v>3</v>
      </c>
      <c r="D662" t="s">
        <v>199</v>
      </c>
      <c r="E662" t="s">
        <v>3</v>
      </c>
      <c r="G662">
        <v>2247</v>
      </c>
      <c r="M662" s="185">
        <v>0.95833333333333337</v>
      </c>
      <c r="N662" s="185">
        <v>2.0833333333333332E-2</v>
      </c>
      <c r="O662">
        <v>200</v>
      </c>
      <c r="P662">
        <v>340</v>
      </c>
      <c r="Q662">
        <v>0.43</v>
      </c>
      <c r="R662">
        <v>0.4</v>
      </c>
    </row>
    <row r="663" spans="3:25" x14ac:dyDescent="0.25">
      <c r="C663">
        <v>3</v>
      </c>
      <c r="D663" t="s">
        <v>199</v>
      </c>
      <c r="E663" t="s">
        <v>3</v>
      </c>
      <c r="G663">
        <v>2248</v>
      </c>
      <c r="L663" t="s">
        <v>477</v>
      </c>
      <c r="M663" s="185">
        <v>2.0833333333333332E-2</v>
      </c>
    </row>
    <row r="1924" spans="14:14" x14ac:dyDescent="0.25">
      <c r="N1924">
        <f>'Etat parc'!D173</f>
        <v>0</v>
      </c>
    </row>
  </sheetData>
  <customSheetViews>
    <customSheetView guid="{3E6EB34F-E2F7-456F-8B3B-5F84BD050AA2}" scale="80">
      <selection activeCell="O18" sqref="O18"/>
      <pageMargins left="0.7" right="0.7" top="0.75" bottom="0.75" header="0.3" footer="0.3"/>
    </customSheetView>
    <customSheetView guid="{4F232D79-B707-4527-B1C5-2E1BF2995FFF}" scale="82" topLeftCell="A4">
      <selection activeCell="Q32" sqref="Q32:Q34"/>
      <pageMargins left="0.7" right="0.7" top="0.75" bottom="0.75" header="0.3" footer="0.3"/>
      <pageSetup paperSize="9" orientation="portrait" horizontalDpi="300" verticalDpi="300" r:id="rId1"/>
    </customSheetView>
  </customSheetViews>
  <mergeCells count="13">
    <mergeCell ref="O6:T8"/>
    <mergeCell ref="R10:S11"/>
    <mergeCell ref="O10:P11"/>
    <mergeCell ref="N16:O19"/>
    <mergeCell ref="R16:S16"/>
    <mergeCell ref="R17:S17"/>
    <mergeCell ref="R18:S18"/>
    <mergeCell ref="R19:S19"/>
    <mergeCell ref="R23:S23"/>
    <mergeCell ref="N20:O23"/>
    <mergeCell ref="R20:S20"/>
    <mergeCell ref="R21:S21"/>
    <mergeCell ref="R22:S22"/>
  </mergeCells>
  <conditionalFormatting sqref="A1:E1">
    <cfRule type="cellIs" dxfId="27" priority="11" operator="equal">
      <formula>1</formula>
    </cfRule>
  </conditionalFormatting>
  <conditionalFormatting sqref="B1">
    <cfRule type="cellIs" dxfId="26" priority="7" operator="equal">
      <formula>3</formula>
    </cfRule>
    <cfRule type="cellIs" dxfId="25" priority="8" operator="equal">
      <formula>3</formula>
    </cfRule>
    <cfRule type="cellIs" dxfId="24" priority="9" operator="equal">
      <formula>2</formula>
    </cfRule>
    <cfRule type="cellIs" dxfId="23" priority="10" operator="equal">
      <formula>1</formula>
    </cfRule>
  </conditionalFormatting>
  <conditionalFormatting sqref="U34">
    <cfRule type="cellIs" dxfId="22" priority="6" operator="equal">
      <formula>1</formula>
    </cfRule>
  </conditionalFormatting>
  <conditionalFormatting sqref="U32">
    <cfRule type="cellIs" dxfId="21" priority="3" operator="equal">
      <formula>1</formula>
    </cfRule>
  </conditionalFormatting>
  <dataValidations count="4">
    <dataValidation type="list" allowBlank="1" showInputMessage="1" showErrorMessage="1" sqref="B1">
      <formula1>poste</formula1>
    </dataValidation>
    <dataValidation type="list" allowBlank="1" showInputMessage="1" showErrorMessage="1" sqref="C1">
      <formula1>LISTE</formula1>
    </dataValidation>
    <dataValidation type="list" allowBlank="1" showInputMessage="1" showErrorMessage="1" sqref="D1">
      <formula1>SDC</formula1>
    </dataValidation>
    <dataValidation type="list" allowBlank="1" showInputMessage="1" showErrorMessage="1" sqref="E1">
      <formula1>rouepelle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Bouton1_Cliquer">
                <anchor moveWithCells="1" sizeWithCells="1">
                  <from>
                    <xdr:col>1</xdr:col>
                    <xdr:colOff>85725</xdr:colOff>
                    <xdr:row>0</xdr:row>
                    <xdr:rowOff>66675</xdr:rowOff>
                  </from>
                  <to>
                    <xdr:col>1</xdr:col>
                    <xdr:colOff>1066800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"/>
  <sheetViews>
    <sheetView workbookViewId="0">
      <selection activeCell="D26" sqref="D26"/>
    </sheetView>
  </sheetViews>
  <sheetFormatPr defaultColWidth="10.7109375" defaultRowHeight="15" x14ac:dyDescent="0.25"/>
  <sheetData/>
  <customSheetViews>
    <customSheetView guid="{4F232D79-B707-4527-B1C5-2E1BF2995FFF}" state="hidden">
      <selection activeCell="D26" sqref="D2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workbookViewId="0">
      <selection activeCell="D26" sqref="D26"/>
    </sheetView>
  </sheetViews>
  <sheetFormatPr defaultColWidth="10.7109375" defaultRowHeight="15" x14ac:dyDescent="0.25"/>
  <sheetData/>
  <customSheetViews>
    <customSheetView guid="{4F232D79-B707-4527-B1C5-2E1BF2995FFF}" state="hidden">
      <selection activeCell="D26" sqref="D2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9"/>
  <dimension ref="A1"/>
  <sheetViews>
    <sheetView workbookViewId="0"/>
  </sheetViews>
  <sheetFormatPr defaultColWidth="10.7109375" defaultRowHeight="15" x14ac:dyDescent="0.25"/>
  <sheetData/>
  <customSheetViews>
    <customSheetView guid="{4F232D79-B707-4527-B1C5-2E1BF2995FFF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U370"/>
  <sheetViews>
    <sheetView tabSelected="1" zoomScale="86" zoomScaleNormal="86" workbookViewId="0">
      <pane ySplit="1" topLeftCell="A186" activePane="bottomLeft" state="frozen"/>
      <selection activeCell="C1" sqref="C1"/>
      <selection pane="bottomLeft" activeCell="A191" sqref="A191"/>
    </sheetView>
  </sheetViews>
  <sheetFormatPr defaultColWidth="11.42578125" defaultRowHeight="15" x14ac:dyDescent="0.25"/>
  <cols>
    <col min="1" max="1" width="14.42578125" customWidth="1"/>
    <col min="2" max="5" width="11.42578125" style="253"/>
    <col min="6" max="9" width="11.42578125" style="255"/>
    <col min="10" max="13" width="11.42578125" style="259"/>
    <col min="14" max="17" width="11.42578125" style="246"/>
    <col min="18" max="21" width="11.42578125" style="250"/>
  </cols>
  <sheetData>
    <row r="1" spans="1:21" ht="43.5" customHeight="1" x14ac:dyDescent="0.25">
      <c r="A1" s="436"/>
      <c r="B1" s="448" t="s">
        <v>253</v>
      </c>
      <c r="C1" s="448"/>
      <c r="D1" s="448"/>
      <c r="E1" s="448"/>
      <c r="F1" s="449" t="s">
        <v>252</v>
      </c>
      <c r="G1" s="449"/>
      <c r="H1" s="449"/>
      <c r="I1" s="449"/>
      <c r="J1" s="450" t="s">
        <v>254</v>
      </c>
      <c r="K1" s="450"/>
      <c r="L1" s="450"/>
      <c r="M1" s="450"/>
      <c r="N1" s="451" t="s">
        <v>255</v>
      </c>
      <c r="O1" s="451"/>
      <c r="P1" s="451"/>
      <c r="Q1" s="451"/>
      <c r="R1" s="452" t="s">
        <v>256</v>
      </c>
      <c r="S1" s="452"/>
      <c r="T1" s="452"/>
      <c r="U1" s="452"/>
    </row>
    <row r="2" spans="1:21" ht="15.75" thickBot="1" x14ac:dyDescent="0.3">
      <c r="A2" s="437"/>
      <c r="B2" s="251">
        <v>3</v>
      </c>
      <c r="C2" s="251">
        <v>1</v>
      </c>
      <c r="D2" s="251">
        <v>2</v>
      </c>
      <c r="E2" s="438" t="s">
        <v>278</v>
      </c>
      <c r="F2" s="245">
        <v>3</v>
      </c>
      <c r="G2" s="245">
        <v>1</v>
      </c>
      <c r="H2" s="245">
        <v>2</v>
      </c>
      <c r="I2" s="440" t="s">
        <v>278</v>
      </c>
      <c r="J2" s="257">
        <v>3</v>
      </c>
      <c r="K2" s="257">
        <v>1</v>
      </c>
      <c r="L2" s="257">
        <v>2</v>
      </c>
      <c r="M2" s="442" t="s">
        <v>278</v>
      </c>
      <c r="N2" s="260">
        <v>3</v>
      </c>
      <c r="O2" s="260">
        <v>1</v>
      </c>
      <c r="P2" s="260">
        <v>2</v>
      </c>
      <c r="Q2" s="444" t="s">
        <v>278</v>
      </c>
      <c r="R2" s="261">
        <v>3</v>
      </c>
      <c r="S2" s="261">
        <v>1</v>
      </c>
      <c r="T2" s="261">
        <v>2</v>
      </c>
      <c r="U2" s="446" t="s">
        <v>278</v>
      </c>
    </row>
    <row r="3" spans="1:21" x14ac:dyDescent="0.25">
      <c r="A3" s="243" t="s">
        <v>241</v>
      </c>
      <c r="B3" s="251" t="s">
        <v>275</v>
      </c>
      <c r="C3" s="251" t="s">
        <v>276</v>
      </c>
      <c r="D3" s="251" t="s">
        <v>277</v>
      </c>
      <c r="E3" s="439"/>
      <c r="F3" s="245" t="s">
        <v>275</v>
      </c>
      <c r="G3" s="245" t="s">
        <v>276</v>
      </c>
      <c r="H3" s="245" t="s">
        <v>277</v>
      </c>
      <c r="I3" s="441"/>
      <c r="J3" s="257" t="s">
        <v>275</v>
      </c>
      <c r="K3" s="257" t="s">
        <v>276</v>
      </c>
      <c r="L3" s="257" t="s">
        <v>277</v>
      </c>
      <c r="M3" s="443"/>
      <c r="N3" s="260" t="s">
        <v>275</v>
      </c>
      <c r="O3" s="260" t="s">
        <v>279</v>
      </c>
      <c r="P3" s="260" t="s">
        <v>277</v>
      </c>
      <c r="Q3" s="445"/>
      <c r="R3" s="261" t="s">
        <v>275</v>
      </c>
      <c r="S3" s="261" t="s">
        <v>276</v>
      </c>
      <c r="T3" s="261" t="s">
        <v>277</v>
      </c>
      <c r="U3" s="447"/>
    </row>
    <row r="4" spans="1:21" x14ac:dyDescent="0.25">
      <c r="A4" s="244">
        <v>44927</v>
      </c>
      <c r="B4" s="252">
        <f>SUMIFS(criblage!$P:$P,criblage!$B:$B,'synthèse 312'!A4-1,criblage!$C:$C,'synthèse 312'!B$2)</f>
        <v>0</v>
      </c>
      <c r="C4" s="252">
        <f>SUMIFS(criblage!$P:$P,criblage!$B:$B,'synthèse 312'!$B4,criblage!$C:$C,'synthèse 312'!C$2)</f>
        <v>0</v>
      </c>
      <c r="D4" s="252">
        <f>SUMIFS(criblage!$P:$P,criblage!$B:$B,'synthèse 312'!C4,criblage!$C:$C,'synthèse 312'!D$2)</f>
        <v>0</v>
      </c>
      <c r="E4" s="252">
        <f>SUM(B4+C4+D4)</f>
        <v>0</v>
      </c>
      <c r="F4" s="254">
        <f>SUMIFS(criblage!$O:$O,criblage!$B:$B,'synthèse 312'!$A4-1,criblage!$C:$C,'synthèse 312'!F$2)</f>
        <v>5424</v>
      </c>
      <c r="G4" s="254">
        <f>SUMIFS(criblage!$O:$O,criblage!$B:$B,'synthèse 312'!$A4,criblage!$C:$C,'synthèse 312'!G$2)</f>
        <v>4554</v>
      </c>
      <c r="H4" s="254">
        <f>SUMIFS(criblage!$O:$O,criblage!$B:$B,'synthèse 312'!$A4,criblage!$C:$C,'synthèse 312'!H$2)</f>
        <v>5301</v>
      </c>
      <c r="I4" s="254">
        <f>SUM(F4+G4+H4)</f>
        <v>15279</v>
      </c>
      <c r="J4" s="258">
        <f>8-SUMIFS('les arrets'!G:G,'les arrets'!B:B,'synthèse 312'!$A4-1,'les arrets'!C:C,'synthèse 312'!J$2)</f>
        <v>6.9166666667248746</v>
      </c>
      <c r="K4" s="258">
        <f>8-SUMIFS('les arrets'!G:G,'les arrets'!B:B,'synthèse 312'!$A4,'les arrets'!C:C,'synthèse 312'!K$2)</f>
        <v>5.9333333333333336</v>
      </c>
      <c r="L4" s="258">
        <f>8-SUMIFS('les arrets'!G:G,'les arrets'!B:B,'synthèse 312'!A4,'les arrets'!C:C,'synthèse 312'!L$2)</f>
        <v>7.7</v>
      </c>
      <c r="M4" s="258">
        <f>SUM(J4+K4+L4)</f>
        <v>20.550000000058208</v>
      </c>
      <c r="N4" s="248">
        <f>SUMIFS(criblage!$R:$R,criblage!$B:$B,'synthèse 312'!$A4-1,criblage!$C:$C,'synthèse 312'!N$2)</f>
        <v>7.26</v>
      </c>
      <c r="O4" s="248">
        <f>SUMIFS(criblage!$R:$R,criblage!$B:$B,'synthèse 312'!$A4,criblage!$C:$C,'synthèse 312'!O$2)</f>
        <v>6.05</v>
      </c>
      <c r="P4" s="248">
        <f>SUMIFS(criblage!$R:$R,criblage!$B:$B,'synthèse 312'!$A4,criblage!$C:$C,'synthèse 312'!P$2)</f>
        <v>7.77</v>
      </c>
      <c r="Q4" s="248">
        <f>SUM(N4:P4)</f>
        <v>21.08</v>
      </c>
      <c r="R4" s="249">
        <f>IFERROR($F4/$J4,0)</f>
        <v>784.19277107773792</v>
      </c>
      <c r="S4" s="249">
        <f>IFERROR($G4/$K4,0)</f>
        <v>767.52808988764036</v>
      </c>
      <c r="T4" s="249">
        <f>IFERROR($H4/$L4,0)</f>
        <v>688.44155844155841</v>
      </c>
      <c r="U4" s="249">
        <f>AVERAGE(R4:T4)</f>
        <v>746.72080646897894</v>
      </c>
    </row>
    <row r="5" spans="1:21" x14ac:dyDescent="0.25">
      <c r="A5" s="244">
        <v>44928</v>
      </c>
      <c r="B5" s="252">
        <f>SUMIFS(criblage!$P:$P,criblage!$B:$B,'synthèse 312'!A5-1,criblage!$C:$C,'synthèse 312'!B$2)</f>
        <v>0</v>
      </c>
      <c r="C5" s="252">
        <f>SUMIFS(criblage!$P:$P,criblage!$B:$B,'synthèse 312'!$A5,criblage!$C:$C,'synthèse 312'!C$2)</f>
        <v>0</v>
      </c>
      <c r="D5" s="252">
        <f>SUMIFS(criblage!$P:$P,criblage!$B:$B,'synthèse 312'!$A5,criblage!$C:$C,'synthèse 312'!D$2)</f>
        <v>0</v>
      </c>
      <c r="E5" s="252">
        <f t="shared" ref="E5:E68" si="0">SUM(B5+C5+D5)</f>
        <v>0</v>
      </c>
      <c r="F5" s="254">
        <f>SUMIFS(criblage!$O:$O,criblage!$B:$B,'synthèse 312'!$A5-1,criblage!$C:$C,'synthèse 312'!F$2)</f>
        <v>5006</v>
      </c>
      <c r="G5" s="254">
        <f>SUMIFS(criblage!$O:$O,criblage!$B:$B,'synthèse 312'!$A5,criblage!$C:$C,'synthèse 312'!G$2)</f>
        <v>3779</v>
      </c>
      <c r="H5" s="254">
        <f>SUMIFS(criblage!$O:$O,criblage!$B:$B,'synthèse 312'!$A5,criblage!$C:$C,'synthèse 312'!H$2)</f>
        <v>4787</v>
      </c>
      <c r="I5" s="254">
        <f>SUM(F5+G5+H5)</f>
        <v>13572</v>
      </c>
      <c r="J5" s="258">
        <f>8-SUMIFS('les arrets'!G:G,'les arrets'!B:B,'synthèse 312'!$A5-1,'les arrets'!C:C,'synthèse 312'!J$2)</f>
        <v>6.916666666666667</v>
      </c>
      <c r="K5" s="258">
        <f>8-SUMIFS('les arrets'!G:G,'les arrets'!B:B,'synthèse 312'!$A5,'les arrets'!C:C,'synthèse 312'!K$2)</f>
        <v>5.7166666666666668</v>
      </c>
      <c r="L5" s="258">
        <f>8-SUMIFS('les arrets'!G:G,'les arrets'!B:B,'synthèse 312'!A5,'les arrets'!C:C,'synthèse 312'!L$2)</f>
        <v>6.6166666666666671</v>
      </c>
      <c r="M5" s="258">
        <f t="shared" ref="M5:M68" si="1">SUM(J5+K5+L5)</f>
        <v>19.25</v>
      </c>
      <c r="N5" s="248">
        <f>SUMIFS(criblage!$R:$R,criblage!$B:$B,'synthèse 312'!$A5-1,criblage!$C:$C,'synthèse 312'!N$2)</f>
        <v>6.86</v>
      </c>
      <c r="O5" s="248">
        <f>SUMIFS(criblage!$R:$R,criblage!$B:$B,'synthèse 312'!$A5,criblage!$C:$C,'synthèse 312'!O$2)</f>
        <v>6.45</v>
      </c>
      <c r="P5" s="248">
        <f>SUMIFS(criblage!$R:$R,criblage!$B:$B,'synthèse 312'!$A5,criblage!$C:$C,'synthèse 312'!P$2)</f>
        <v>6.5200000000000005</v>
      </c>
      <c r="Q5" s="248">
        <f t="shared" ref="Q5:Q68" si="2">SUM(N5:P5)</f>
        <v>19.830000000000002</v>
      </c>
      <c r="R5" s="249">
        <f>$F5/$J5</f>
        <v>723.75903614457832</v>
      </c>
      <c r="S5" s="249">
        <f t="shared" ref="S5:S68" si="3">IFERROR($G5/$K5,0)</f>
        <v>661.04956268221576</v>
      </c>
      <c r="T5" s="249">
        <f t="shared" ref="T5:T68" si="4">IFERROR($H5/$L5,0)</f>
        <v>723.47607052896717</v>
      </c>
      <c r="U5" s="249">
        <f t="shared" ref="U5:U68" si="5">AVERAGE(R5:T5)</f>
        <v>702.76155645192046</v>
      </c>
    </row>
    <row r="6" spans="1:21" x14ac:dyDescent="0.25">
      <c r="A6" s="244">
        <v>44929</v>
      </c>
      <c r="B6" s="252">
        <f>SUMIFS(criblage!$P:$P,criblage!$B:$B,'synthèse 312'!A6-1,criblage!$C:$C,'synthèse 312'!B$2)</f>
        <v>0</v>
      </c>
      <c r="C6" s="252">
        <f>SUMIFS(criblage!$P:$P,criblage!$B:$B,'synthèse 312'!$A6,criblage!$C:$C,'synthèse 312'!C$2)</f>
        <v>0</v>
      </c>
      <c r="D6" s="252">
        <f>SUMIFS(criblage!$P:$P,criblage!$B:$B,'synthèse 312'!$A6,criblage!$C:$C,'synthèse 312'!D$2)</f>
        <v>0</v>
      </c>
      <c r="E6" s="252">
        <f t="shared" si="0"/>
        <v>0</v>
      </c>
      <c r="F6" s="254">
        <f>SUMIFS(criblage!$O:$O,criblage!$B:$B,'synthèse 312'!$A6-1,criblage!$C:$C,'synthèse 312'!F$2)</f>
        <v>5200</v>
      </c>
      <c r="G6" s="254">
        <f>SUMIFS(criblage!$O:$O,criblage!$B:$B,'synthèse 312'!$A6,criblage!$C:$C,'synthèse 312'!G$2)</f>
        <v>3755</v>
      </c>
      <c r="H6" s="254">
        <f>SUMIFS(criblage!$O:$O,criblage!$B:$B,'synthèse 312'!$A6,criblage!$C:$C,'synthèse 312'!H$2)</f>
        <v>4481</v>
      </c>
      <c r="I6" s="254">
        <f t="shared" ref="I6:I68" si="6">SUM(F6+G6+H6)</f>
        <v>13436</v>
      </c>
      <c r="J6" s="258">
        <f>8-SUMIFS('les arrets'!G:G,'les arrets'!B:B,'synthèse 312'!$A6-1,'les arrets'!C:C,'synthèse 312'!J$2)</f>
        <v>7.4666666666666668</v>
      </c>
      <c r="K6" s="258">
        <f>8-SUMIFS('les arrets'!G:G,'les arrets'!B:B,'synthèse 312'!$A6,'les arrets'!C:C,'synthèse 312'!K$2)</f>
        <v>5.8666666666666671</v>
      </c>
      <c r="L6" s="258">
        <f>8-SUMIFS('les arrets'!G:G,'les arrets'!B:B,'synthèse 312'!A6,'les arrets'!C:C,'synthèse 312'!L$2)</f>
        <v>6.35</v>
      </c>
      <c r="M6" s="258">
        <f t="shared" si="1"/>
        <v>19.683333333333334</v>
      </c>
      <c r="N6" s="248">
        <f>SUMIFS(criblage!$R:$R,criblage!$B:$B,'synthèse 312'!$A6-1,criblage!$C:$C,'synthèse 312'!N$2)</f>
        <v>10.68</v>
      </c>
      <c r="O6" s="248">
        <f>SUMIFS(criblage!$R:$R,criblage!$B:$B,'synthèse 312'!$A6,criblage!$C:$C,'synthèse 312'!O$2)</f>
        <v>5.38</v>
      </c>
      <c r="P6" s="248">
        <f>SUMIFS(criblage!$R:$R,criblage!$B:$B,'synthèse 312'!$A6,criblage!$C:$C,'synthèse 312'!P$2)</f>
        <v>7.42</v>
      </c>
      <c r="Q6" s="248">
        <f t="shared" si="2"/>
        <v>23.479999999999997</v>
      </c>
      <c r="R6" s="249">
        <f t="shared" ref="R6:R69" si="7">$F6/$J6</f>
        <v>696.42857142857144</v>
      </c>
      <c r="S6" s="249">
        <f t="shared" si="3"/>
        <v>640.05681818181813</v>
      </c>
      <c r="T6" s="249">
        <f t="shared" si="4"/>
        <v>705.66929133858275</v>
      </c>
      <c r="U6" s="249">
        <f t="shared" si="5"/>
        <v>680.71822698299081</v>
      </c>
    </row>
    <row r="7" spans="1:21" x14ac:dyDescent="0.25">
      <c r="A7" s="244">
        <v>44930</v>
      </c>
      <c r="B7" s="252">
        <f>SUMIFS(criblage!$P:$P,criblage!$B:$B,'synthèse 312'!A7-1,criblage!$C:$C,'synthèse 312'!B$2)</f>
        <v>0</v>
      </c>
      <c r="C7" s="252">
        <f>SUMIFS(criblage!$P:$P,criblage!$B:$B,'synthèse 312'!$A7,criblage!$C:$C,'synthèse 312'!C$2)</f>
        <v>0</v>
      </c>
      <c r="D7" s="252">
        <f>SUMIFS(criblage!$P:$P,criblage!$B:$B,'synthèse 312'!$A7,criblage!$C:$C,'synthèse 312'!D$2)</f>
        <v>0</v>
      </c>
      <c r="E7" s="252">
        <f t="shared" si="0"/>
        <v>0</v>
      </c>
      <c r="F7" s="254">
        <f>SUMIFS(criblage!$O:$O,criblage!$B:$B,'synthèse 312'!$A7-1,criblage!$C:$C,'synthèse 312'!F$2)</f>
        <v>4789</v>
      </c>
      <c r="G7" s="254">
        <f>SUMIFS(criblage!$O:$O,criblage!$B:$B,'synthèse 312'!$A7,criblage!$C:$C,'synthèse 312'!G$2)</f>
        <v>83</v>
      </c>
      <c r="H7" s="254">
        <f>SUMIFS(criblage!$O:$O,criblage!$B:$B,'synthèse 312'!$A7,criblage!$C:$C,'synthèse 312'!H$2)</f>
        <v>0</v>
      </c>
      <c r="I7" s="254">
        <f t="shared" si="6"/>
        <v>4872</v>
      </c>
      <c r="J7" s="258">
        <f>8-SUMIFS('les arrets'!G:G,'les arrets'!B:B,'synthèse 312'!$A7-1,'les arrets'!C:C,'synthèse 312'!J$2)</f>
        <v>7.1833333333333336</v>
      </c>
      <c r="K7" s="258">
        <f>8-SUMIFS('les arrets'!G:G,'les arrets'!B:B,'synthèse 312'!$A7,'les arrets'!C:C,'synthèse 312'!K$2)</f>
        <v>0.20000000000000018</v>
      </c>
      <c r="L7" s="258">
        <f>8-SUMIFS('les arrets'!G:G,'les arrets'!B:B,'synthèse 312'!A7,'les arrets'!C:C,'synthèse 312'!L$2)</f>
        <v>0</v>
      </c>
      <c r="M7" s="258">
        <f t="shared" si="1"/>
        <v>7.3833333333333337</v>
      </c>
      <c r="N7" s="248">
        <f>SUMIFS(criblage!$R:$R,criblage!$B:$B,'synthèse 312'!$A7-1,criblage!$C:$C,'synthèse 312'!N$2)</f>
        <v>7.58</v>
      </c>
      <c r="O7" s="248">
        <f>SUMIFS(criblage!$R:$R,criblage!$B:$B,'synthèse 312'!$A7,criblage!$C:$C,'synthèse 312'!O$2)</f>
        <v>0.22</v>
      </c>
      <c r="P7" s="248">
        <f>SUMIFS(criblage!$R:$R,criblage!$B:$B,'synthèse 312'!$A7,criblage!$C:$C,'synthèse 312'!P$2)</f>
        <v>0</v>
      </c>
      <c r="Q7" s="248">
        <f t="shared" si="2"/>
        <v>7.8</v>
      </c>
      <c r="R7" s="249">
        <f t="shared" si="7"/>
        <v>666.68213457076558</v>
      </c>
      <c r="S7" s="249">
        <f t="shared" si="3"/>
        <v>414.99999999999966</v>
      </c>
      <c r="T7" s="249">
        <f t="shared" si="4"/>
        <v>0</v>
      </c>
      <c r="U7" s="249">
        <f t="shared" si="5"/>
        <v>360.56071152358845</v>
      </c>
    </row>
    <row r="8" spans="1:21" x14ac:dyDescent="0.25">
      <c r="A8" s="244">
        <v>44931</v>
      </c>
      <c r="B8" s="252">
        <f>SUMIFS(criblage!$P:$P,criblage!$B:$B,'synthèse 312'!A8-1,criblage!$C:$C,'synthèse 312'!B$2)</f>
        <v>0</v>
      </c>
      <c r="C8" s="252">
        <f>SUMIFS(criblage!$P:$P,criblage!$B:$B,'synthèse 312'!$A8,criblage!$C:$C,'synthèse 312'!C$2)</f>
        <v>0</v>
      </c>
      <c r="D8" s="252">
        <f>SUMIFS(criblage!$P:$P,criblage!$B:$B,'synthèse 312'!$A8,criblage!$C:$C,'synthèse 312'!D$2)</f>
        <v>0</v>
      </c>
      <c r="E8" s="252">
        <f t="shared" si="0"/>
        <v>0</v>
      </c>
      <c r="F8" s="254">
        <f>SUMIFS(criblage!$O:$O,criblage!$B:$B,'synthèse 312'!$A8-1,criblage!$C:$C,'synthèse 312'!F$2)</f>
        <v>0</v>
      </c>
      <c r="G8" s="254">
        <f>SUMIFS(criblage!$O:$O,criblage!$B:$B,'synthèse 312'!$A8,criblage!$C:$C,'synthèse 312'!G$2)</f>
        <v>0</v>
      </c>
      <c r="H8" s="254">
        <f>SUMIFS(criblage!$O:$O,criblage!$B:$B,'synthèse 312'!$A8,criblage!$C:$C,'synthèse 312'!H$2)</f>
        <v>0</v>
      </c>
      <c r="I8" s="254">
        <f t="shared" si="6"/>
        <v>0</v>
      </c>
      <c r="J8" s="258">
        <f>8-SUMIFS('les arrets'!G:G,'les arrets'!B:B,'synthèse 312'!$A8-1,'les arrets'!C:C,'synthèse 312'!J$2)</f>
        <v>1.1641532182693481E-10</v>
      </c>
      <c r="K8" s="258">
        <f>8-SUMIFS('les arrets'!G:G,'les arrets'!B:B,'synthèse 312'!$A8,'les arrets'!C:C,'synthèse 312'!K$2)</f>
        <v>0</v>
      </c>
      <c r="L8" s="258">
        <f>8-SUMIFS('les arrets'!G:G,'les arrets'!B:B,'synthèse 312'!A8,'les arrets'!C:C,'synthèse 312'!L$2)</f>
        <v>0</v>
      </c>
      <c r="M8" s="258">
        <f t="shared" si="1"/>
        <v>1.1641532182693481E-10</v>
      </c>
      <c r="N8" s="248">
        <f>SUMIFS(criblage!$R:$R,criblage!$B:$B,'synthèse 312'!$A8-1,criblage!$C:$C,'synthèse 312'!N$2)</f>
        <v>0</v>
      </c>
      <c r="O8" s="248">
        <f>SUMIFS(criblage!$R:$R,criblage!$B:$B,'synthèse 312'!$A8,criblage!$C:$C,'synthèse 312'!O$2)</f>
        <v>0</v>
      </c>
      <c r="P8" s="248">
        <f>SUMIFS(criblage!$R:$R,criblage!$B:$B,'synthèse 312'!$A8,criblage!$C:$C,'synthèse 312'!P$2)</f>
        <v>0</v>
      </c>
      <c r="Q8" s="248">
        <f t="shared" si="2"/>
        <v>0</v>
      </c>
      <c r="R8" s="249">
        <f t="shared" si="7"/>
        <v>0</v>
      </c>
      <c r="S8" s="249">
        <f t="shared" si="3"/>
        <v>0</v>
      </c>
      <c r="T8" s="249">
        <f t="shared" si="4"/>
        <v>0</v>
      </c>
      <c r="U8" s="249">
        <f t="shared" si="5"/>
        <v>0</v>
      </c>
    </row>
    <row r="9" spans="1:21" x14ac:dyDescent="0.25">
      <c r="A9" s="244">
        <v>44932</v>
      </c>
      <c r="B9" s="252">
        <f>SUMIFS(criblage!$P:$P,criblage!$B:$B,'synthèse 312'!A9-1,criblage!$C:$C,'synthèse 312'!B$2)</f>
        <v>0</v>
      </c>
      <c r="C9" s="252">
        <f>SUMIFS(criblage!$P:$P,criblage!$B:$B,'synthèse 312'!$A9,criblage!$C:$C,'synthèse 312'!C$2)</f>
        <v>0</v>
      </c>
      <c r="D9" s="252">
        <f>SUMIFS(criblage!$P:$P,criblage!$B:$B,'synthèse 312'!$A9,criblage!$C:$C,'synthèse 312'!D$2)</f>
        <v>0</v>
      </c>
      <c r="E9" s="252">
        <f t="shared" si="0"/>
        <v>0</v>
      </c>
      <c r="F9" s="254">
        <f>SUMIFS(criblage!$O:$O,criblage!$B:$B,'synthèse 312'!$A9-1,criblage!$C:$C,'synthèse 312'!F$2)</f>
        <v>0</v>
      </c>
      <c r="G9" s="254">
        <f>SUMIFS(criblage!$O:$O,criblage!$B:$B,'synthèse 312'!$A9,criblage!$C:$C,'synthèse 312'!G$2)</f>
        <v>2740</v>
      </c>
      <c r="H9" s="254" t="e">
        <f>SUMIFS(criblage!$O:$O,criblage!$B:$B,'synthèse 312'!$A9,criblage!$C:$C,'synthèse 312'!H$2)</f>
        <v>#NAME?</v>
      </c>
      <c r="I9" s="254" t="e">
        <f t="shared" si="6"/>
        <v>#NAME?</v>
      </c>
      <c r="J9" s="258">
        <f>8-SUMIFS('les arrets'!G:G,'les arrets'!B:B,'synthèse 312'!$A9-1,'les arrets'!C:C,'synthèse 312'!J$2)</f>
        <v>1.1641532182693481E-10</v>
      </c>
      <c r="K9" s="258">
        <f>8-SUMIFS('les arrets'!G:G,'les arrets'!B:B,'synthèse 312'!$A9,'les arrets'!C:C,'synthèse 312'!K$2)</f>
        <v>4.1500000000000004</v>
      </c>
      <c r="L9" s="258">
        <f>8-SUMIFS('les arrets'!G:G,'les arrets'!B:B,'synthèse 312'!A9,'les arrets'!C:C,'synthèse 312'!L$2)</f>
        <v>5.3333333333333339</v>
      </c>
      <c r="M9" s="258">
        <f t="shared" si="1"/>
        <v>9.4833333334497496</v>
      </c>
      <c r="N9" s="248">
        <f>SUMIFS(criblage!$R:$R,criblage!$B:$B,'synthèse 312'!$A9-1,criblage!$C:$C,'synthèse 312'!N$2)</f>
        <v>0</v>
      </c>
      <c r="O9" s="248">
        <f>SUMIFS(criblage!$R:$R,criblage!$B:$B,'synthèse 312'!$A9,criblage!$C:$C,'synthèse 312'!O$2)</f>
        <v>4.41</v>
      </c>
      <c r="P9" s="248">
        <f>SUMIFS(criblage!$R:$R,criblage!$B:$B,'synthèse 312'!$A9,criblage!$C:$C,'synthèse 312'!P$2)</f>
        <v>6.39</v>
      </c>
      <c r="Q9" s="248">
        <f t="shared" si="2"/>
        <v>10.8</v>
      </c>
      <c r="R9" s="249">
        <f t="shared" si="7"/>
        <v>0</v>
      </c>
      <c r="S9" s="249">
        <f t="shared" si="3"/>
        <v>660.24096385542168</v>
      </c>
      <c r="T9" s="249">
        <f t="shared" si="4"/>
        <v>0</v>
      </c>
      <c r="U9" s="249">
        <f t="shared" si="5"/>
        <v>220.08032128514057</v>
      </c>
    </row>
    <row r="10" spans="1:21" x14ac:dyDescent="0.25">
      <c r="A10" s="244">
        <v>44933</v>
      </c>
      <c r="B10" s="252">
        <f>SUMIFS(criblage!$P:$P,criblage!$B:$B,'synthèse 312'!A10-1,criblage!$C:$C,'synthèse 312'!B$2)</f>
        <v>0</v>
      </c>
      <c r="C10" s="252">
        <f>SUMIFS(criblage!$P:$P,criblage!$B:$B,'synthèse 312'!$A10,criblage!$C:$C,'synthèse 312'!C$2)</f>
        <v>0</v>
      </c>
      <c r="D10" s="252">
        <f>SUMIFS(criblage!$P:$P,criblage!$B:$B,'synthèse 312'!$A10,criblage!$C:$C,'synthèse 312'!D$2)</f>
        <v>0</v>
      </c>
      <c r="E10" s="252">
        <f t="shared" si="0"/>
        <v>0</v>
      </c>
      <c r="F10" s="254">
        <f>SUMIFS(criblage!$O:$O,criblage!$B:$B,'synthèse 312'!$A10-1,criblage!$C:$C,'synthèse 312'!F$2)</f>
        <v>3472</v>
      </c>
      <c r="G10" s="254">
        <f>SUMIFS(criblage!$O:$O,criblage!$B:$B,'synthèse 312'!$A10,criblage!$C:$C,'synthèse 312'!G$2)</f>
        <v>2313</v>
      </c>
      <c r="H10" s="254">
        <f>SUMIFS(criblage!$O:$O,criblage!$B:$B,'synthèse 312'!$A10,criblage!$C:$C,'synthèse 312'!H$2)</f>
        <v>3081</v>
      </c>
      <c r="I10" s="254">
        <f t="shared" si="6"/>
        <v>8866</v>
      </c>
      <c r="J10" s="258">
        <f>8-SUMIFS('les arrets'!G:G,'les arrets'!B:B,'synthèse 312'!$A10-1,'les arrets'!C:C,'synthèse 312'!J$2)</f>
        <v>6.9666666666666668</v>
      </c>
      <c r="K10" s="258">
        <f>8-SUMIFS('les arrets'!G:G,'les arrets'!B:B,'synthèse 312'!$A10,'les arrets'!C:C,'synthèse 312'!K$2)</f>
        <v>5.4833333333333334</v>
      </c>
      <c r="L10" s="258">
        <f>8-SUMIFS('les arrets'!G:G,'les arrets'!B:B,'synthèse 312'!A10,'les arrets'!C:C,'synthèse 312'!L$2)</f>
        <v>4.75</v>
      </c>
      <c r="M10" s="258">
        <f t="shared" si="1"/>
        <v>17.2</v>
      </c>
      <c r="N10" s="248">
        <f>SUMIFS(criblage!$R:$R,criblage!$B:$B,'synthèse 312'!$A10-1,criblage!$C:$C,'synthèse 312'!N$2)</f>
        <v>7.4</v>
      </c>
      <c r="O10" s="248">
        <f>SUMIFS(criblage!$R:$R,criblage!$B:$B,'synthèse 312'!$A10,criblage!$C:$C,'synthèse 312'!O$2)</f>
        <v>5.8699999999999992</v>
      </c>
      <c r="P10" s="248">
        <f>SUMIFS(criblage!$R:$R,criblage!$B:$B,'synthèse 312'!$A10,criblage!$C:$C,'synthèse 312'!P$2)</f>
        <v>5.66</v>
      </c>
      <c r="Q10" s="248">
        <f t="shared" si="2"/>
        <v>18.93</v>
      </c>
      <c r="R10" s="249">
        <f t="shared" si="7"/>
        <v>498.3732057416268</v>
      </c>
      <c r="S10" s="249">
        <f t="shared" si="3"/>
        <v>421.82370820668694</v>
      </c>
      <c r="T10" s="249">
        <f t="shared" si="4"/>
        <v>648.63157894736844</v>
      </c>
      <c r="U10" s="249">
        <f t="shared" si="5"/>
        <v>522.94283096522747</v>
      </c>
    </row>
    <row r="11" spans="1:21" x14ac:dyDescent="0.25">
      <c r="A11" s="244">
        <v>44934</v>
      </c>
      <c r="B11" s="252">
        <f>SUMIFS(criblage!$P:$P,criblage!$B:$B,'synthèse 312'!A11-1,criblage!$C:$C,'synthèse 312'!B$2)</f>
        <v>0</v>
      </c>
      <c r="C11" s="252">
        <f>SUMIFS(criblage!$P:$P,criblage!$B:$B,'synthèse 312'!$A11,criblage!$C:$C,'synthèse 312'!C$2)</f>
        <v>0</v>
      </c>
      <c r="D11" s="252">
        <f>SUMIFS(criblage!$P:$P,criblage!$B:$B,'synthèse 312'!$A11,criblage!$C:$C,'synthèse 312'!D$2)</f>
        <v>0</v>
      </c>
      <c r="E11" s="252">
        <f t="shared" si="0"/>
        <v>0</v>
      </c>
      <c r="F11" s="254">
        <f>SUMIFS(criblage!$O:$O,criblage!$B:$B,'synthèse 312'!$A11-1,criblage!$C:$C,'synthèse 312'!F$2)</f>
        <v>3073</v>
      </c>
      <c r="G11" s="254">
        <f>SUMIFS(criblage!$O:$O,criblage!$B:$B,'synthèse 312'!$A11,criblage!$C:$C,'synthèse 312'!G$2)</f>
        <v>2970</v>
      </c>
      <c r="H11" s="254">
        <f>SUMIFS(criblage!$O:$O,criblage!$B:$B,'synthèse 312'!$A11,criblage!$C:$C,'synthèse 312'!H$2)</f>
        <v>2895</v>
      </c>
      <c r="I11" s="254">
        <f t="shared" si="6"/>
        <v>8938</v>
      </c>
      <c r="J11" s="258">
        <f>8-SUMIFS('les arrets'!G:G,'les arrets'!B:B,'synthèse 312'!$A11-1,'les arrets'!C:C,'synthèse 312'!J$2)</f>
        <v>5.8333333334303461</v>
      </c>
      <c r="K11" s="258">
        <f>8-SUMIFS('les arrets'!G:G,'les arrets'!B:B,'synthèse 312'!$A11,'les arrets'!C:C,'synthèse 312'!K$2)</f>
        <v>5.6</v>
      </c>
      <c r="L11" s="258">
        <f>8-SUMIFS('les arrets'!G:G,'les arrets'!B:B,'synthèse 312'!A11,'les arrets'!C:C,'synthèse 312'!L$2)</f>
        <v>6.3166666666666664</v>
      </c>
      <c r="M11" s="258">
        <f t="shared" si="1"/>
        <v>17.75000000009701</v>
      </c>
      <c r="N11" s="248">
        <f>SUMIFS(criblage!$R:$R,criblage!$B:$B,'synthèse 312'!$A11-1,criblage!$C:$C,'synthèse 312'!N$2)</f>
        <v>6.73</v>
      </c>
      <c r="O11" s="248">
        <f>SUMIFS(criblage!$R:$R,criblage!$B:$B,'synthèse 312'!$A11,criblage!$C:$C,'synthèse 312'!O$2)</f>
        <v>6.4399999999999995</v>
      </c>
      <c r="P11" s="248">
        <f>SUMIFS(criblage!$R:$R,criblage!$B:$B,'synthèse 312'!$A11,criblage!$C:$C,'synthèse 312'!P$2)</f>
        <v>6.06</v>
      </c>
      <c r="Q11" s="248">
        <f t="shared" si="2"/>
        <v>19.23</v>
      </c>
      <c r="R11" s="249">
        <f t="shared" si="7"/>
        <v>526.79999999123891</v>
      </c>
      <c r="S11" s="249">
        <f t="shared" si="3"/>
        <v>530.35714285714289</v>
      </c>
      <c r="T11" s="249">
        <f t="shared" si="4"/>
        <v>458.31134564643799</v>
      </c>
      <c r="U11" s="249">
        <f t="shared" si="5"/>
        <v>505.15616283160654</v>
      </c>
    </row>
    <row r="12" spans="1:21" x14ac:dyDescent="0.25">
      <c r="A12" s="244">
        <v>44935</v>
      </c>
      <c r="B12" s="252">
        <f>SUMIFS(criblage!$P:$P,criblage!$B:$B,'synthèse 312'!A12-1,criblage!$C:$C,'synthèse 312'!B$2)</f>
        <v>0</v>
      </c>
      <c r="C12" s="252">
        <f>SUMIFS(criblage!$P:$P,criblage!$B:$B,'synthèse 312'!$A12,criblage!$C:$C,'synthèse 312'!C$2)</f>
        <v>0</v>
      </c>
      <c r="D12" s="252">
        <f>SUMIFS(criblage!$P:$P,criblage!$B:$B,'synthèse 312'!$A12,criblage!$C:$C,'synthèse 312'!D$2)</f>
        <v>0</v>
      </c>
      <c r="E12" s="252">
        <f t="shared" si="0"/>
        <v>0</v>
      </c>
      <c r="F12" s="254">
        <f>SUMIFS(criblage!$O:$O,criblage!$B:$B,'synthèse 312'!$A12-1,criblage!$C:$C,'synthèse 312'!F$2)</f>
        <v>3914</v>
      </c>
      <c r="G12" s="254">
        <f>SUMIFS(criblage!$O:$O,criblage!$B:$B,'synthèse 312'!$A12,criblage!$C:$C,'synthèse 312'!G$2)</f>
        <v>2898</v>
      </c>
      <c r="H12" s="254">
        <f>SUMIFS(criblage!$O:$O,criblage!$B:$B,'synthèse 312'!$A12,criblage!$C:$C,'synthèse 312'!H$2)</f>
        <v>3348</v>
      </c>
      <c r="I12" s="254">
        <f t="shared" si="6"/>
        <v>10160</v>
      </c>
      <c r="J12" s="258">
        <f>8-SUMIFS('les arrets'!G:G,'les arrets'!B:B,'synthèse 312'!$A12-1,'les arrets'!C:C,'synthèse 312'!J$2)</f>
        <v>7.333333333333333</v>
      </c>
      <c r="K12" s="258">
        <f>8-SUMIFS('les arrets'!G:G,'les arrets'!B:B,'synthèse 312'!$A12,'les arrets'!C:C,'synthèse 312'!K$2)</f>
        <v>5.45</v>
      </c>
      <c r="L12" s="258">
        <f>8-SUMIFS('les arrets'!G:G,'les arrets'!B:B,'synthèse 312'!A12,'les arrets'!C:C,'synthèse 312'!L$2)</f>
        <v>6.2166666666666668</v>
      </c>
      <c r="M12" s="258">
        <f t="shared" si="1"/>
        <v>19</v>
      </c>
      <c r="N12" s="248">
        <f>SUMIFS(criblage!$R:$R,criblage!$B:$B,'synthèse 312'!$A12-1,criblage!$C:$C,'synthèse 312'!N$2)</f>
        <v>7.34</v>
      </c>
      <c r="O12" s="248">
        <f>SUMIFS(criblage!$R:$R,criblage!$B:$B,'synthèse 312'!$A12,criblage!$C:$C,'synthèse 312'!O$2)</f>
        <v>1.48</v>
      </c>
      <c r="P12" s="248">
        <f>SUMIFS(criblage!$R:$R,criblage!$B:$B,'synthèse 312'!$A12,criblage!$C:$C,'synthèse 312'!P$2)</f>
        <v>7.4</v>
      </c>
      <c r="Q12" s="248">
        <f t="shared" si="2"/>
        <v>16.22</v>
      </c>
      <c r="R12" s="249">
        <f t="shared" si="7"/>
        <v>533.72727272727275</v>
      </c>
      <c r="S12" s="249">
        <f t="shared" si="3"/>
        <v>531.74311926605503</v>
      </c>
      <c r="T12" s="249">
        <f t="shared" si="4"/>
        <v>538.55227882037536</v>
      </c>
      <c r="U12" s="249">
        <f t="shared" si="5"/>
        <v>534.6742236045676</v>
      </c>
    </row>
    <row r="13" spans="1:21" x14ac:dyDescent="0.25">
      <c r="A13" s="244">
        <v>44936</v>
      </c>
      <c r="B13" s="252">
        <f>SUMIFS(criblage!$P:$P,criblage!$B:$B,'synthèse 312'!A13-1,criblage!$C:$C,'synthèse 312'!B$2)</f>
        <v>0</v>
      </c>
      <c r="C13" s="252">
        <f>SUMIFS(criblage!$P:$P,criblage!$B:$B,'synthèse 312'!$A13,criblage!$C:$C,'synthèse 312'!C$2)</f>
        <v>0</v>
      </c>
      <c r="D13" s="252">
        <f>SUMIFS(criblage!$P:$P,criblage!$B:$B,'synthèse 312'!$A13,criblage!$C:$C,'synthèse 312'!D$2)</f>
        <v>0</v>
      </c>
      <c r="E13" s="252">
        <f t="shared" si="0"/>
        <v>0</v>
      </c>
      <c r="F13" s="254">
        <f>SUMIFS(criblage!$O:$O,criblage!$B:$B,'synthèse 312'!$A13-1,criblage!$C:$C,'synthèse 312'!F$2)</f>
        <v>2091</v>
      </c>
      <c r="G13" s="254">
        <f>SUMIFS(criblage!$O:$O,criblage!$B:$B,'synthèse 312'!$A13,criblage!$C:$C,'synthèse 312'!G$2)</f>
        <v>2574</v>
      </c>
      <c r="H13" s="254">
        <f>SUMIFS(criblage!$O:$O,criblage!$B:$B,'synthèse 312'!$A13,criblage!$C:$C,'synthèse 312'!H$2)</f>
        <v>3957</v>
      </c>
      <c r="I13" s="254">
        <f t="shared" si="6"/>
        <v>8622</v>
      </c>
      <c r="J13" s="258">
        <f>8-SUMIFS('les arrets'!G:G,'les arrets'!B:B,'synthèse 312'!$A13-1,'les arrets'!C:C,'synthèse 312'!J$2)</f>
        <v>3.9666666667054722</v>
      </c>
      <c r="K13" s="258">
        <f>8-SUMIFS('les arrets'!G:G,'les arrets'!B:B,'synthèse 312'!$A13,'les arrets'!C:C,'synthèse 312'!K$2)</f>
        <v>5.5</v>
      </c>
      <c r="L13" s="258">
        <f>8-SUMIFS('les arrets'!G:G,'les arrets'!B:B,'synthèse 312'!A13,'les arrets'!C:C,'synthèse 312'!L$2)</f>
        <v>6.6833333333333336</v>
      </c>
      <c r="M13" s="258">
        <f t="shared" si="1"/>
        <v>16.150000000038805</v>
      </c>
      <c r="N13" s="248">
        <f>SUMIFS(criblage!$R:$R,criblage!$B:$B,'synthèse 312'!$A13-1,criblage!$C:$C,'synthèse 312'!N$2)</f>
        <v>1.48</v>
      </c>
      <c r="O13" s="248">
        <f>SUMIFS(criblage!$R:$R,criblage!$B:$B,'synthèse 312'!$A13,criblage!$C:$C,'synthèse 312'!O$2)</f>
        <v>6.17</v>
      </c>
      <c r="P13" s="248">
        <f>SUMIFS(criblage!$R:$R,criblage!$B:$B,'synthèse 312'!$A13,criblage!$C:$C,'synthèse 312'!P$2)</f>
        <v>7.29</v>
      </c>
      <c r="Q13" s="248">
        <f t="shared" si="2"/>
        <v>14.940000000000001</v>
      </c>
      <c r="R13" s="249">
        <f t="shared" si="7"/>
        <v>527.14285713770016</v>
      </c>
      <c r="S13" s="249">
        <f t="shared" si="3"/>
        <v>468</v>
      </c>
      <c r="T13" s="249">
        <f t="shared" si="4"/>
        <v>592.06982543640891</v>
      </c>
      <c r="U13" s="249">
        <f t="shared" si="5"/>
        <v>529.07089419136969</v>
      </c>
    </row>
    <row r="14" spans="1:21" x14ac:dyDescent="0.25">
      <c r="A14" s="244">
        <v>44937</v>
      </c>
      <c r="B14" s="252">
        <f>SUMIFS(criblage!$P:$P,criblage!$B:$B,'synthèse 312'!A14-1,criblage!$C:$C,'synthèse 312'!B$2)</f>
        <v>0</v>
      </c>
      <c r="C14" s="252">
        <f>SUMIFS(criblage!$P:$P,criblage!$B:$B,'synthèse 312'!$A14,criblage!$C:$C,'synthèse 312'!C$2)</f>
        <v>0</v>
      </c>
      <c r="D14" s="252">
        <f>SUMIFS(criblage!$P:$P,criblage!$B:$B,'synthèse 312'!$A14,criblage!$C:$C,'synthèse 312'!D$2)</f>
        <v>0</v>
      </c>
      <c r="E14" s="252">
        <f t="shared" si="0"/>
        <v>0</v>
      </c>
      <c r="F14" s="254">
        <f>SUMIFS(criblage!$O:$O,criblage!$B:$B,'synthèse 312'!$A14-1,criblage!$C:$C,'synthèse 312'!F$2)</f>
        <v>4003</v>
      </c>
      <c r="G14" s="254">
        <f>SUMIFS(criblage!$O:$O,criblage!$B:$B,'synthèse 312'!$A14,criblage!$C:$C,'synthèse 312'!G$2)</f>
        <v>3253</v>
      </c>
      <c r="H14" s="254">
        <f>SUMIFS(criblage!$O:$O,criblage!$B:$B,'synthèse 312'!$A14,criblage!$C:$C,'synthèse 312'!H$2)</f>
        <v>3796</v>
      </c>
      <c r="I14" s="254">
        <f t="shared" si="6"/>
        <v>11052</v>
      </c>
      <c r="J14" s="258">
        <f>8-SUMIFS('les arrets'!G:G,'les arrets'!B:B,'synthèse 312'!$A14-1,'les arrets'!C:C,'synthèse 312'!J$2)</f>
        <v>6.8000000000582075</v>
      </c>
      <c r="K14" s="258">
        <f>8-SUMIFS('les arrets'!G:G,'les arrets'!B:B,'synthèse 312'!$A14,'les arrets'!C:C,'synthèse 312'!K$2)</f>
        <v>5.6666666666666661</v>
      </c>
      <c r="L14" s="258">
        <f>8-SUMIFS('les arrets'!G:G,'les arrets'!B:B,'synthèse 312'!A14,'les arrets'!C:C,'synthèse 312'!L$2)</f>
        <v>6.4</v>
      </c>
      <c r="M14" s="258">
        <f t="shared" si="1"/>
        <v>18.866666666724875</v>
      </c>
      <c r="N14" s="248">
        <f>SUMIFS(criblage!$R:$R,criblage!$B:$B,'synthèse 312'!$A14-1,criblage!$C:$C,'synthèse 312'!N$2)</f>
        <v>6.74</v>
      </c>
      <c r="O14" s="248">
        <f>SUMIFS(criblage!$R:$R,criblage!$B:$B,'synthèse 312'!$A14,criblage!$C:$C,'synthèse 312'!O$2)</f>
        <v>6.0600000000000005</v>
      </c>
      <c r="P14" s="248">
        <f>SUMIFS(criblage!$R:$R,criblage!$B:$B,'synthèse 312'!$A14,criblage!$C:$C,'synthèse 312'!P$2)</f>
        <v>6.55</v>
      </c>
      <c r="Q14" s="248">
        <f t="shared" si="2"/>
        <v>19.350000000000001</v>
      </c>
      <c r="R14" s="249">
        <f t="shared" si="7"/>
        <v>588.67647058319631</v>
      </c>
      <c r="S14" s="249">
        <f t="shared" si="3"/>
        <v>574.05882352941182</v>
      </c>
      <c r="T14" s="249">
        <f t="shared" si="4"/>
        <v>593.125</v>
      </c>
      <c r="U14" s="249">
        <f t="shared" si="5"/>
        <v>585.28676470420271</v>
      </c>
    </row>
    <row r="15" spans="1:21" x14ac:dyDescent="0.25">
      <c r="A15" s="244">
        <v>44938</v>
      </c>
      <c r="B15" s="252">
        <f>SUMIFS(criblage!$P:$P,criblage!$B:$B,'synthèse 312'!A15-1,criblage!$C:$C,'synthèse 312'!B$2)</f>
        <v>0</v>
      </c>
      <c r="C15" s="252">
        <f>SUMIFS(criblage!$P:$P,criblage!$B:$B,'synthèse 312'!$A15,criblage!$C:$C,'synthèse 312'!C$2)</f>
        <v>0</v>
      </c>
      <c r="D15" s="252">
        <f>SUMIFS(criblage!$P:$P,criblage!$B:$B,'synthèse 312'!$A15,criblage!$C:$C,'synthèse 312'!D$2)</f>
        <v>0</v>
      </c>
      <c r="E15" s="252">
        <f t="shared" si="0"/>
        <v>0</v>
      </c>
      <c r="F15" s="254">
        <f>SUMIFS(criblage!$O:$O,criblage!$B:$B,'synthèse 312'!$A15-1,criblage!$C:$C,'synthèse 312'!F$2)</f>
        <v>3442</v>
      </c>
      <c r="G15" s="254">
        <f>SUMIFS(criblage!$O:$O,criblage!$B:$B,'synthèse 312'!$A15,criblage!$C:$C,'synthèse 312'!G$2)</f>
        <v>438</v>
      </c>
      <c r="H15" s="254">
        <f>SUMIFS(criblage!$O:$O,criblage!$B:$B,'synthèse 312'!$A15,criblage!$C:$C,'synthèse 312'!H$2)</f>
        <v>2164</v>
      </c>
      <c r="I15" s="254">
        <f t="shared" si="6"/>
        <v>6044</v>
      </c>
      <c r="J15" s="258">
        <f>8-SUMIFS('les arrets'!G:G,'les arrets'!B:B,'synthèse 312'!$A15-1,'les arrets'!C:C,'synthèse 312'!J$2)</f>
        <v>6.4</v>
      </c>
      <c r="K15" s="258">
        <f>8-SUMIFS('les arrets'!G:G,'les arrets'!B:B,'synthèse 312'!$A15,'les arrets'!C:C,'synthèse 312'!K$2)</f>
        <v>0.58333333333333393</v>
      </c>
      <c r="L15" s="258">
        <f>8-SUMIFS('les arrets'!G:G,'les arrets'!B:B,'synthèse 312'!A15,'les arrets'!C:C,'synthèse 312'!L$2)</f>
        <v>3.583333333333333</v>
      </c>
      <c r="M15" s="258">
        <f t="shared" si="1"/>
        <v>10.566666666666666</v>
      </c>
      <c r="N15" s="248">
        <f>SUMIFS(criblage!$R:$R,criblage!$B:$B,'synthèse 312'!$A15-1,criblage!$C:$C,'synthèse 312'!N$2)</f>
        <v>6.629999999999999</v>
      </c>
      <c r="O15" s="248">
        <f>SUMIFS(criblage!$R:$R,criblage!$B:$B,'synthèse 312'!$A15,criblage!$C:$C,'synthèse 312'!O$2)</f>
        <v>1.05</v>
      </c>
      <c r="P15" s="248">
        <f>SUMIFS(criblage!$R:$R,criblage!$B:$B,'synthèse 312'!$A15,criblage!$C:$C,'synthèse 312'!P$2)</f>
        <v>4.41</v>
      </c>
      <c r="Q15" s="248">
        <f t="shared" si="2"/>
        <v>12.09</v>
      </c>
      <c r="R15" s="249">
        <f t="shared" si="7"/>
        <v>537.8125</v>
      </c>
      <c r="S15" s="249">
        <f t="shared" si="3"/>
        <v>750.85714285714209</v>
      </c>
      <c r="T15" s="249">
        <f t="shared" si="4"/>
        <v>603.90697674418607</v>
      </c>
      <c r="U15" s="249">
        <f t="shared" si="5"/>
        <v>630.85887320044276</v>
      </c>
    </row>
    <row r="16" spans="1:21" x14ac:dyDescent="0.25">
      <c r="A16" s="244">
        <v>44939</v>
      </c>
      <c r="B16" s="252">
        <f>SUMIFS(criblage!$P:$P,criblage!$B:$B,'synthèse 312'!A16-1,criblage!$C:$C,'synthèse 312'!B$2)</f>
        <v>0</v>
      </c>
      <c r="C16" s="252">
        <f>SUMIFS(criblage!$P:$P,criblage!$B:$B,'synthèse 312'!$A16,criblage!$C:$C,'synthèse 312'!C$2)</f>
        <v>0</v>
      </c>
      <c r="D16" s="252">
        <f>SUMIFS(criblage!$P:$P,criblage!$B:$B,'synthèse 312'!$A16,criblage!$C:$C,'synthèse 312'!D$2)</f>
        <v>0</v>
      </c>
      <c r="E16" s="252">
        <f t="shared" si="0"/>
        <v>0</v>
      </c>
      <c r="F16" s="254">
        <f>SUMIFS(criblage!$O:$O,criblage!$B:$B,'synthèse 312'!$A16-1,criblage!$C:$C,'synthèse 312'!F$2)</f>
        <v>3564</v>
      </c>
      <c r="G16" s="254">
        <f>SUMIFS(criblage!$O:$O,criblage!$B:$B,'synthèse 312'!$A16,criblage!$C:$C,'synthèse 312'!G$2)</f>
        <v>4360</v>
      </c>
      <c r="H16" s="254">
        <f>SUMIFS(criblage!$O:$O,criblage!$B:$B,'synthèse 312'!$A16,criblage!$C:$C,'synthèse 312'!H$2)</f>
        <v>4157</v>
      </c>
      <c r="I16" s="254">
        <f t="shared" si="6"/>
        <v>12081</v>
      </c>
      <c r="J16" s="258">
        <f>8-SUMIFS('les arrets'!G:G,'les arrets'!B:B,'synthèse 312'!$A16-1,'les arrets'!C:C,'synthèse 312'!J$2)</f>
        <v>6.7833333333333332</v>
      </c>
      <c r="K16" s="258">
        <f>8-SUMIFS('les arrets'!G:G,'les arrets'!B:B,'synthèse 312'!$A16,'les arrets'!C:C,'synthèse 312'!K$2)</f>
        <v>6.25</v>
      </c>
      <c r="L16" s="258">
        <f>8-SUMIFS('les arrets'!G:G,'les arrets'!B:B,'synthèse 312'!A16,'les arrets'!C:C,'synthèse 312'!L$2)</f>
        <v>6.0833333333333339</v>
      </c>
      <c r="M16" s="258">
        <f t="shared" si="1"/>
        <v>19.116666666666667</v>
      </c>
      <c r="N16" s="248">
        <f>SUMIFS(criblage!$R:$R,criblage!$B:$B,'synthèse 312'!$A16-1,criblage!$C:$C,'synthèse 312'!N$2)</f>
        <v>6.79</v>
      </c>
      <c r="O16" s="248">
        <f>SUMIFS(criblage!$R:$R,criblage!$B:$B,'synthèse 312'!$A16,criblage!$C:$C,'synthèse 312'!O$2)</f>
        <v>6.5200000000000005</v>
      </c>
      <c r="P16" s="248">
        <f>SUMIFS(criblage!$R:$R,criblage!$B:$B,'synthèse 312'!$A16,criblage!$C:$C,'synthèse 312'!P$2)</f>
        <v>6.3000000000000007</v>
      </c>
      <c r="Q16" s="248">
        <f t="shared" si="2"/>
        <v>19.61</v>
      </c>
      <c r="R16" s="249">
        <f t="shared" si="7"/>
        <v>525.40540540540542</v>
      </c>
      <c r="S16" s="249">
        <f t="shared" si="3"/>
        <v>697.6</v>
      </c>
      <c r="T16" s="249">
        <f t="shared" si="4"/>
        <v>683.34246575342456</v>
      </c>
      <c r="U16" s="249">
        <f t="shared" si="5"/>
        <v>635.44929038627663</v>
      </c>
    </row>
    <row r="17" spans="1:21" x14ac:dyDescent="0.25">
      <c r="A17" s="244">
        <v>44940</v>
      </c>
      <c r="B17" s="252">
        <f>SUMIFS(criblage!$P:$P,criblage!$B:$B,'synthèse 312'!A17-1,criblage!$C:$C,'synthèse 312'!B$2)</f>
        <v>0</v>
      </c>
      <c r="C17" s="252">
        <f>SUMIFS(criblage!$P:$P,criblage!$B:$B,'synthèse 312'!$A17,criblage!$C:$C,'synthèse 312'!C$2)</f>
        <v>0</v>
      </c>
      <c r="D17" s="252">
        <f>SUMIFS(criblage!$P:$P,criblage!$B:$B,'synthèse 312'!$A17,criblage!$C:$C,'synthèse 312'!D$2)</f>
        <v>0</v>
      </c>
      <c r="E17" s="252">
        <f t="shared" si="0"/>
        <v>0</v>
      </c>
      <c r="F17" s="254">
        <f>SUMIFS(criblage!$O:$O,criblage!$B:$B,'synthèse 312'!$A17-1,criblage!$C:$C,'synthèse 312'!F$2)</f>
        <v>3958</v>
      </c>
      <c r="G17" s="254">
        <f>SUMIFS(criblage!$O:$O,criblage!$B:$B,'synthèse 312'!$A17,criblage!$C:$C,'synthèse 312'!G$2)</f>
        <v>2099</v>
      </c>
      <c r="H17" s="254">
        <f>SUMIFS(criblage!$O:$O,criblage!$B:$B,'synthèse 312'!$A17,criblage!$C:$C,'synthèse 312'!H$2)</f>
        <v>3328</v>
      </c>
      <c r="I17" s="254">
        <f t="shared" si="6"/>
        <v>9385</v>
      </c>
      <c r="J17" s="258">
        <f>8-SUMIFS('les arrets'!G:G,'les arrets'!B:B,'synthèse 312'!$A17-1,'les arrets'!C:C,'synthèse 312'!J$2)</f>
        <v>6.7</v>
      </c>
      <c r="K17" s="258">
        <f>8-SUMIFS('les arrets'!G:G,'les arrets'!B:B,'synthèse 312'!$A17,'les arrets'!C:C,'synthèse 312'!K$2)</f>
        <v>4.3</v>
      </c>
      <c r="L17" s="258">
        <f>8-SUMIFS('les arrets'!G:G,'les arrets'!B:B,'synthèse 312'!A17,'les arrets'!C:C,'synthèse 312'!L$2)</f>
        <v>5.1666666666666661</v>
      </c>
      <c r="M17" s="258">
        <f t="shared" si="1"/>
        <v>16.166666666666664</v>
      </c>
      <c r="N17" s="248">
        <f>SUMIFS(criblage!$R:$R,criblage!$B:$B,'synthèse 312'!$A17-1,criblage!$C:$C,'synthèse 312'!N$2)</f>
        <v>6.3</v>
      </c>
      <c r="O17" s="248">
        <f>SUMIFS(criblage!$R:$R,criblage!$B:$B,'synthèse 312'!$A17,criblage!$C:$C,'synthèse 312'!O$2)</f>
        <v>4.5299999999999994</v>
      </c>
      <c r="P17" s="248">
        <f>SUMIFS(criblage!$R:$R,criblage!$B:$B,'synthèse 312'!$A17,criblage!$C:$C,'synthèse 312'!P$2)</f>
        <v>5.42</v>
      </c>
      <c r="Q17" s="248">
        <f t="shared" si="2"/>
        <v>16.25</v>
      </c>
      <c r="R17" s="249">
        <f t="shared" si="7"/>
        <v>590.74626865671644</v>
      </c>
      <c r="S17" s="249">
        <f>IFERROR($G17/$K17,0)</f>
        <v>488.13953488372096</v>
      </c>
      <c r="T17" s="249">
        <f t="shared" si="4"/>
        <v>644.12903225806463</v>
      </c>
      <c r="U17" s="249">
        <f t="shared" si="5"/>
        <v>574.33827859950065</v>
      </c>
    </row>
    <row r="18" spans="1:21" x14ac:dyDescent="0.25">
      <c r="A18" s="244">
        <v>44941</v>
      </c>
      <c r="B18" s="252">
        <f>SUMIFS(criblage!$P:$P,criblage!$B:$B,'synthèse 312'!A18-1,criblage!$C:$C,'synthèse 312'!B$2)</f>
        <v>0</v>
      </c>
      <c r="C18" s="252">
        <f>SUMIFS(criblage!$P:$P,criblage!$B:$B,'synthèse 312'!$A18,criblage!$C:$C,'synthèse 312'!C$2)</f>
        <v>0</v>
      </c>
      <c r="D18" s="252">
        <f>SUMIFS(criblage!$P:$P,criblage!$B:$B,'synthèse 312'!$A18,criblage!$C:$C,'synthèse 312'!D$2)</f>
        <v>0</v>
      </c>
      <c r="E18" s="252">
        <f t="shared" si="0"/>
        <v>0</v>
      </c>
      <c r="F18" s="254">
        <f>SUMIFS(criblage!$O:$O,criblage!$B:$B,'synthèse 312'!$A18-1,criblage!$C:$C,'synthèse 312'!F$2)</f>
        <v>3029</v>
      </c>
      <c r="G18" s="254">
        <f>SUMIFS(criblage!$O:$O,criblage!$B:$B,'synthèse 312'!$A18,criblage!$C:$C,'synthèse 312'!G$2)</f>
        <v>2902</v>
      </c>
      <c r="H18" s="254">
        <f>SUMIFS(criblage!$O:$O,criblage!$B:$B,'synthèse 312'!$A18,criblage!$C:$C,'synthèse 312'!H$2)</f>
        <v>2248</v>
      </c>
      <c r="I18" s="254">
        <f t="shared" si="6"/>
        <v>8179</v>
      </c>
      <c r="J18" s="258">
        <f>8-SUMIFS('les arrets'!G:G,'les arrets'!B:B,'synthèse 312'!$A18-1,'les arrets'!C:C,'synthèse 312'!J$2)</f>
        <v>6.4166666667248746</v>
      </c>
      <c r="K18" s="258">
        <f>8-SUMIFS('les arrets'!G:G,'les arrets'!B:B,'synthèse 312'!$A18,'les arrets'!C:C,'synthèse 312'!K$2)</f>
        <v>6.666666666666667</v>
      </c>
      <c r="L18" s="258">
        <f>8-SUMIFS('les arrets'!G:G,'les arrets'!B:B,'synthèse 312'!A18,'les arrets'!C:C,'synthèse 312'!L$2)</f>
        <v>4.916666666666667</v>
      </c>
      <c r="M18" s="258">
        <f t="shared" si="1"/>
        <v>18.000000000058208</v>
      </c>
      <c r="N18" s="248">
        <f>SUMIFS(criblage!$R:$R,criblage!$B:$B,'synthèse 312'!$A18-1,criblage!$C:$C,'synthèse 312'!N$2)</f>
        <v>6.5</v>
      </c>
      <c r="O18" s="248">
        <f>SUMIFS(criblage!$R:$R,criblage!$B:$B,'synthèse 312'!$A18,criblage!$C:$C,'synthèse 312'!O$2)</f>
        <v>6.07</v>
      </c>
      <c r="P18" s="248">
        <f>SUMIFS(criblage!$R:$R,criblage!$B:$B,'synthèse 312'!$A18,criblage!$C:$C,'synthèse 312'!P$2)</f>
        <v>6.5399999999999991</v>
      </c>
      <c r="Q18" s="248">
        <f t="shared" si="2"/>
        <v>19.11</v>
      </c>
      <c r="R18" s="249">
        <f t="shared" si="7"/>
        <v>472.05194804766592</v>
      </c>
      <c r="S18" s="249">
        <f t="shared" si="3"/>
        <v>435.29999999999995</v>
      </c>
      <c r="T18" s="249">
        <f t="shared" si="4"/>
        <v>457.22033898305079</v>
      </c>
      <c r="U18" s="249">
        <f t="shared" si="5"/>
        <v>454.85742901023895</v>
      </c>
    </row>
    <row r="19" spans="1:21" x14ac:dyDescent="0.25">
      <c r="A19" s="244">
        <v>44942</v>
      </c>
      <c r="B19" s="252">
        <f>SUMIFS(criblage!$P:$P,criblage!$B:$B,'synthèse 312'!A19-1,criblage!$C:$C,'synthèse 312'!B$2)</f>
        <v>0</v>
      </c>
      <c r="C19" s="252">
        <f>SUMIFS(criblage!$P:$P,criblage!$B:$B,'synthèse 312'!$A19,criblage!$C:$C,'synthèse 312'!C$2)</f>
        <v>0</v>
      </c>
      <c r="D19" s="252">
        <f>SUMIFS(criblage!$P:$P,criblage!$B:$B,'synthèse 312'!$A19,criblage!$C:$C,'synthèse 312'!D$2)</f>
        <v>0</v>
      </c>
      <c r="E19" s="252">
        <f t="shared" si="0"/>
        <v>0</v>
      </c>
      <c r="F19" s="254">
        <f>SUMIFS(criblage!$O:$O,criblage!$B:$B,'synthèse 312'!$A19-1,criblage!$C:$C,'synthèse 312'!F$2)</f>
        <v>3109</v>
      </c>
      <c r="G19" s="254">
        <f>SUMIFS(criblage!$O:$O,criblage!$B:$B,'synthèse 312'!$A19,criblage!$C:$C,'synthèse 312'!G$2)</f>
        <v>3616</v>
      </c>
      <c r="H19" s="254">
        <f>SUMIFS(criblage!$O:$O,criblage!$B:$B,'synthèse 312'!$A19,criblage!$C:$C,'synthèse 312'!H$2)</f>
        <v>4033</v>
      </c>
      <c r="I19" s="254">
        <f t="shared" si="6"/>
        <v>10758</v>
      </c>
      <c r="J19" s="258">
        <f>8-SUMIFS('les arrets'!G:G,'les arrets'!B:B,'synthèse 312'!$A19-1,'les arrets'!C:C,'synthèse 312'!J$2)</f>
        <v>5.3666666666433835</v>
      </c>
      <c r="K19" s="258">
        <f>8-SUMIFS('les arrets'!G:G,'les arrets'!B:B,'synthèse 312'!$A19,'les arrets'!C:C,'synthèse 312'!K$2)</f>
        <v>5.45</v>
      </c>
      <c r="L19" s="258">
        <f>8-SUMIFS('les arrets'!G:G,'les arrets'!B:B,'synthèse 312'!A19,'les arrets'!C:C,'synthèse 312'!L$2)</f>
        <v>6.0333333333333332</v>
      </c>
      <c r="M19" s="258">
        <f t="shared" si="1"/>
        <v>16.849999999976717</v>
      </c>
      <c r="N19" s="248">
        <f>SUMIFS(criblage!$R:$R,criblage!$B:$B,'synthèse 312'!$A19-1,criblage!$C:$C,'synthèse 312'!N$2)</f>
        <v>6.6</v>
      </c>
      <c r="O19" s="248">
        <f>SUMIFS(criblage!$R:$R,criblage!$B:$B,'synthèse 312'!$A19,criblage!$C:$C,'synthèse 312'!O$2)</f>
        <v>5.7299999999999995</v>
      </c>
      <c r="P19" s="248">
        <f>SUMIFS(criblage!$R:$R,criblage!$B:$B,'synthèse 312'!$A19,criblage!$C:$C,'synthèse 312'!P$2)</f>
        <v>6.68</v>
      </c>
      <c r="Q19" s="248">
        <f t="shared" si="2"/>
        <v>19.009999999999998</v>
      </c>
      <c r="R19" s="249">
        <f t="shared" si="7"/>
        <v>579.31677018884875</v>
      </c>
      <c r="S19" s="249">
        <f t="shared" si="3"/>
        <v>663.48623853211006</v>
      </c>
      <c r="T19" s="249">
        <f t="shared" si="4"/>
        <v>668.45303867403311</v>
      </c>
      <c r="U19" s="249">
        <f t="shared" si="5"/>
        <v>637.08534913166397</v>
      </c>
    </row>
    <row r="20" spans="1:21" x14ac:dyDescent="0.25">
      <c r="A20" s="244">
        <v>44943</v>
      </c>
      <c r="B20" s="252">
        <f>SUMIFS(criblage!$P:$P,criblage!$B:$B,'synthèse 312'!A20-1,criblage!$C:$C,'synthèse 312'!B$2)</f>
        <v>0</v>
      </c>
      <c r="C20" s="252">
        <f>SUMIFS(criblage!$P:$P,criblage!$B:$B,'synthèse 312'!$A20,criblage!$C:$C,'synthèse 312'!C$2)</f>
        <v>0</v>
      </c>
      <c r="D20" s="252">
        <f>SUMIFS(criblage!$P:$P,criblage!$B:$B,'synthèse 312'!$A20,criblage!$C:$C,'synthèse 312'!D$2)</f>
        <v>0</v>
      </c>
      <c r="E20" s="252">
        <f t="shared" si="0"/>
        <v>0</v>
      </c>
      <c r="F20" s="254">
        <f>SUMIFS(criblage!$O:$O,criblage!$B:$B,'synthèse 312'!$A20-1,criblage!$C:$C,'synthèse 312'!F$2)</f>
        <v>3564</v>
      </c>
      <c r="G20" s="254">
        <f>SUMIFS(criblage!$O:$O,criblage!$B:$B,'synthèse 312'!$A20,criblage!$C:$C,'synthèse 312'!G$2)</f>
        <v>3740</v>
      </c>
      <c r="H20" s="254">
        <f>SUMIFS(criblage!$O:$O,criblage!$B:$B,'synthèse 312'!$A20,criblage!$C:$C,'synthèse 312'!H$2)</f>
        <v>3522</v>
      </c>
      <c r="I20" s="254">
        <f t="shared" si="6"/>
        <v>10826</v>
      </c>
      <c r="J20" s="258">
        <f>8-SUMIFS('les arrets'!G:G,'les arrets'!B:B,'synthèse 312'!$A20-1,'les arrets'!C:C,'synthèse 312'!J$2)</f>
        <v>5</v>
      </c>
      <c r="K20" s="258">
        <f>8-SUMIFS('les arrets'!G:G,'les arrets'!B:B,'synthèse 312'!$A20,'les arrets'!C:C,'synthèse 312'!K$2)</f>
        <v>5.8</v>
      </c>
      <c r="L20" s="258">
        <f>8-SUMIFS('les arrets'!G:G,'les arrets'!B:B,'synthèse 312'!A20,'les arrets'!C:C,'synthèse 312'!L$2)</f>
        <v>5.4333333333333336</v>
      </c>
      <c r="M20" s="258">
        <f t="shared" si="1"/>
        <v>16.233333333333334</v>
      </c>
      <c r="N20" s="248">
        <f>SUMIFS(criblage!$R:$R,criblage!$B:$B,'synthèse 312'!$A20-1,criblage!$C:$C,'synthèse 312'!N$2)</f>
        <v>6.2499999999999991</v>
      </c>
      <c r="O20" s="248">
        <f>SUMIFS(criblage!$R:$R,criblage!$B:$B,'synthèse 312'!$A20,criblage!$C:$C,'synthèse 312'!O$2)</f>
        <v>5.87</v>
      </c>
      <c r="P20" s="248">
        <f>SUMIFS(criblage!$R:$R,criblage!$B:$B,'synthèse 312'!$A20,criblage!$C:$C,'synthèse 312'!P$2)</f>
        <v>7.0600000000000005</v>
      </c>
      <c r="Q20" s="248">
        <f t="shared" si="2"/>
        <v>19.18</v>
      </c>
      <c r="R20" s="249">
        <f t="shared" si="7"/>
        <v>712.8</v>
      </c>
      <c r="S20" s="249">
        <f t="shared" si="3"/>
        <v>644.82758620689663</v>
      </c>
      <c r="T20" s="249">
        <f t="shared" si="4"/>
        <v>648.22085889570553</v>
      </c>
      <c r="U20" s="249">
        <f t="shared" si="5"/>
        <v>668.61614836753404</v>
      </c>
    </row>
    <row r="21" spans="1:21" x14ac:dyDescent="0.25">
      <c r="A21" s="244">
        <v>44944</v>
      </c>
      <c r="B21" s="252">
        <f>SUMIFS(criblage!$P:$P,criblage!$B:$B,'synthèse 312'!A21-1,criblage!$C:$C,'synthèse 312'!B$2)</f>
        <v>0</v>
      </c>
      <c r="C21" s="252">
        <f>SUMIFS(criblage!$P:$P,criblage!$B:$B,'synthèse 312'!$A21,criblage!$C:$C,'synthèse 312'!C$2)</f>
        <v>0</v>
      </c>
      <c r="D21" s="252">
        <f>SUMIFS(criblage!$P:$P,criblage!$B:$B,'synthèse 312'!$A21,criblage!$C:$C,'synthèse 312'!D$2)</f>
        <v>0</v>
      </c>
      <c r="E21" s="252">
        <f t="shared" si="0"/>
        <v>0</v>
      </c>
      <c r="F21" s="254">
        <f>SUMIFS(criblage!$O:$O,criblage!$B:$B,'synthèse 312'!$A21-1,criblage!$C:$C,'synthèse 312'!F$2)</f>
        <v>3921</v>
      </c>
      <c r="G21" s="254">
        <f>SUMIFS(criblage!$O:$O,criblage!$B:$B,'synthèse 312'!$A21,criblage!$C:$C,'synthèse 312'!G$2)</f>
        <v>4979</v>
      </c>
      <c r="H21" s="254">
        <f>SUMIFS(criblage!$O:$O,criblage!$B:$B,'synthèse 312'!$A21,criblage!$C:$C,'synthèse 312'!H$2)</f>
        <v>4818</v>
      </c>
      <c r="I21" s="254">
        <f t="shared" si="6"/>
        <v>13718</v>
      </c>
      <c r="J21" s="258">
        <f>8-SUMIFS('les arrets'!G:G,'les arrets'!B:B,'synthèse 312'!$A21-1,'les arrets'!C:C,'synthèse 312'!J$2)</f>
        <v>5.5833333332557231</v>
      </c>
      <c r="K21" s="258">
        <f>8-SUMIFS('les arrets'!G:G,'les arrets'!B:B,'synthèse 312'!$A21,'les arrets'!C:C,'synthèse 312'!K$2)</f>
        <v>6.85</v>
      </c>
      <c r="L21" s="258">
        <f>8-SUMIFS('les arrets'!G:G,'les arrets'!B:B,'synthèse 312'!A21,'les arrets'!C:C,'synthèse 312'!L$2)</f>
        <v>6.7666666666666666</v>
      </c>
      <c r="M21" s="258">
        <f t="shared" si="1"/>
        <v>19.19999999992239</v>
      </c>
      <c r="N21" s="248">
        <f>SUMIFS(criblage!$R:$R,criblage!$B:$B,'synthèse 312'!$A21-1,criblage!$C:$C,'synthèse 312'!N$2)</f>
        <v>7.1400000000000006</v>
      </c>
      <c r="O21" s="248">
        <f>SUMIFS(criblage!$R:$R,criblage!$B:$B,'synthèse 312'!$A21,criblage!$C:$C,'synthèse 312'!O$2)</f>
        <v>6.8900000000000006</v>
      </c>
      <c r="P21" s="248">
        <f>SUMIFS(criblage!$R:$R,criblage!$B:$B,'synthèse 312'!$A21,criblage!$C:$C,'synthèse 312'!P$2)</f>
        <v>6.96</v>
      </c>
      <c r="Q21" s="248">
        <f t="shared" si="2"/>
        <v>20.990000000000002</v>
      </c>
      <c r="R21" s="249">
        <f t="shared" si="7"/>
        <v>702.26865672617964</v>
      </c>
      <c r="S21" s="249">
        <f t="shared" si="3"/>
        <v>726.86131386861314</v>
      </c>
      <c r="T21" s="249">
        <f t="shared" si="4"/>
        <v>712.01970443349751</v>
      </c>
      <c r="U21" s="249">
        <f t="shared" si="5"/>
        <v>713.71655834276351</v>
      </c>
    </row>
    <row r="22" spans="1:21" x14ac:dyDescent="0.25">
      <c r="A22" s="244">
        <v>44945</v>
      </c>
      <c r="B22" s="252">
        <f>SUMIFS(criblage!$P:$P,criblage!$B:$B,'synthèse 312'!A22-1,criblage!$C:$C,'synthèse 312'!B$2)</f>
        <v>0</v>
      </c>
      <c r="C22" s="252">
        <f>SUMIFS(criblage!$P:$P,criblage!$B:$B,'synthèse 312'!$A22,criblage!$C:$C,'synthèse 312'!C$2)</f>
        <v>0</v>
      </c>
      <c r="D22" s="252">
        <f>SUMIFS(criblage!$P:$P,criblage!$B:$B,'synthèse 312'!$A22,criblage!$C:$C,'synthèse 312'!D$2)</f>
        <v>0</v>
      </c>
      <c r="E22" s="252">
        <f t="shared" si="0"/>
        <v>0</v>
      </c>
      <c r="F22" s="254">
        <f>SUMIFS(criblage!$O:$O,criblage!$B:$B,'synthèse 312'!$A22-1,criblage!$C:$C,'synthèse 312'!F$2)</f>
        <v>4633</v>
      </c>
      <c r="G22" s="254">
        <f>SUMIFS(criblage!$O:$O,criblage!$B:$B,'synthèse 312'!$A22,criblage!$C:$C,'synthèse 312'!G$2)</f>
        <v>3263</v>
      </c>
      <c r="H22" s="254">
        <f>SUMIFS(criblage!$O:$O,criblage!$B:$B,'synthèse 312'!$A22,criblage!$C:$C,'synthèse 312'!H$2)</f>
        <v>3508</v>
      </c>
      <c r="I22" s="254">
        <f t="shared" si="6"/>
        <v>11404</v>
      </c>
      <c r="J22" s="258">
        <f>8-SUMIFS('les arrets'!G:G,'les arrets'!B:B,'synthèse 312'!$A22-1,'les arrets'!C:C,'synthèse 312'!J$2)</f>
        <v>6.4333333332751259</v>
      </c>
      <c r="K22" s="258">
        <f>8-SUMIFS('les arrets'!G:G,'les arrets'!B:B,'synthèse 312'!$A22,'les arrets'!C:C,'synthèse 312'!K$2)</f>
        <v>5.2833333333333332</v>
      </c>
      <c r="L22" s="258">
        <f>8-SUMIFS('les arrets'!G:G,'les arrets'!B:B,'synthèse 312'!A22,'les arrets'!C:C,'synthèse 312'!L$2)</f>
        <v>5.85</v>
      </c>
      <c r="M22" s="258">
        <f t="shared" si="1"/>
        <v>17.566666666608459</v>
      </c>
      <c r="N22" s="248">
        <f>SUMIFS(criblage!$R:$R,criblage!$B:$B,'synthèse 312'!$A22-1,criblage!$C:$C,'synthèse 312'!N$2)</f>
        <v>7.3100000000000005</v>
      </c>
      <c r="O22" s="248">
        <f>SUMIFS(criblage!$R:$R,criblage!$B:$B,'synthèse 312'!$A22,criblage!$C:$C,'synthèse 312'!O$2)</f>
        <v>5.8</v>
      </c>
      <c r="P22" s="248">
        <f>SUMIFS(criblage!$R:$R,criblage!$B:$B,'synthèse 312'!$A22,criblage!$C:$C,'synthèse 312'!P$2)</f>
        <v>5.83</v>
      </c>
      <c r="Q22" s="248">
        <f t="shared" si="2"/>
        <v>18.939999999999998</v>
      </c>
      <c r="R22" s="249">
        <f t="shared" si="7"/>
        <v>720.15544042102363</v>
      </c>
      <c r="S22" s="249">
        <f t="shared" si="3"/>
        <v>617.60252365930603</v>
      </c>
      <c r="T22" s="249">
        <f t="shared" si="4"/>
        <v>599.65811965811974</v>
      </c>
      <c r="U22" s="249">
        <f t="shared" si="5"/>
        <v>645.8053612461498</v>
      </c>
    </row>
    <row r="23" spans="1:21" x14ac:dyDescent="0.25">
      <c r="A23" s="244">
        <v>44946</v>
      </c>
      <c r="B23" s="252">
        <f>SUMIFS(criblage!$P:$P,criblage!$B:$B,'synthèse 312'!A23-1,criblage!$C:$C,'synthèse 312'!B$2)</f>
        <v>0</v>
      </c>
      <c r="C23" s="252">
        <f>SUMIFS(criblage!$P:$P,criblage!$B:$B,'synthèse 312'!$A23,criblage!$C:$C,'synthèse 312'!C$2)</f>
        <v>0</v>
      </c>
      <c r="D23" s="252">
        <f>SUMIFS(criblage!$P:$P,criblage!$B:$B,'synthèse 312'!$A23,criblage!$C:$C,'synthèse 312'!D$2)</f>
        <v>0</v>
      </c>
      <c r="E23" s="252">
        <f t="shared" si="0"/>
        <v>0</v>
      </c>
      <c r="F23" s="254">
        <f>SUMIFS(criblage!$O:$O,criblage!$B:$B,'synthèse 312'!$A23-1,criblage!$C:$C,'synthèse 312'!F$2)</f>
        <v>4315</v>
      </c>
      <c r="G23" s="254">
        <f>SUMIFS(criblage!$O:$O,criblage!$B:$B,'synthèse 312'!$A23,criblage!$C:$C,'synthèse 312'!G$2)</f>
        <v>3214</v>
      </c>
      <c r="H23" s="254">
        <f>SUMIFS(criblage!$O:$O,criblage!$B:$B,'synthèse 312'!$A23,criblage!$C:$C,'synthèse 312'!H$2)</f>
        <v>4039</v>
      </c>
      <c r="I23" s="254">
        <f t="shared" si="6"/>
        <v>11568</v>
      </c>
      <c r="J23" s="258">
        <f>8-SUMIFS('les arrets'!G:G,'les arrets'!B:B,'synthèse 312'!$A23-1,'les arrets'!C:C,'synthèse 312'!J$2)</f>
        <v>6.166666666666667</v>
      </c>
      <c r="K23" s="258">
        <f>8-SUMIFS('les arrets'!G:G,'les arrets'!B:B,'synthèse 312'!$A23,'les arrets'!C:C,'synthèse 312'!K$2)</f>
        <v>5.0666666666666664</v>
      </c>
      <c r="L23" s="258">
        <f>8-SUMIFS('les arrets'!G:G,'les arrets'!B:B,'synthèse 312'!A23,'les arrets'!C:C,'synthèse 312'!L$2)</f>
        <v>5.8666666666666671</v>
      </c>
      <c r="M23" s="258">
        <f t="shared" si="1"/>
        <v>17.100000000000001</v>
      </c>
      <c r="N23" s="248">
        <f>SUMIFS(criblage!$R:$R,criblage!$B:$B,'synthèse 312'!$A23-1,criblage!$C:$C,'synthèse 312'!N$2)</f>
        <v>7.25</v>
      </c>
      <c r="O23" s="248">
        <f>SUMIFS(criblage!$R:$R,criblage!$B:$B,'synthèse 312'!$A23,criblage!$C:$C,'synthèse 312'!O$2)</f>
        <v>5.42</v>
      </c>
      <c r="P23" s="248">
        <f>SUMIFS(criblage!$R:$R,criblage!$B:$B,'synthèse 312'!$A23,criblage!$C:$C,'synthèse 312'!P$2)</f>
        <v>6.03</v>
      </c>
      <c r="Q23" s="248">
        <f t="shared" si="2"/>
        <v>18.7</v>
      </c>
      <c r="R23" s="249">
        <f t="shared" si="7"/>
        <v>699.72972972972968</v>
      </c>
      <c r="S23" s="249">
        <f t="shared" si="3"/>
        <v>634.34210526315792</v>
      </c>
      <c r="T23" s="249">
        <f t="shared" si="4"/>
        <v>688.46590909090901</v>
      </c>
      <c r="U23" s="249">
        <f t="shared" si="5"/>
        <v>674.1792480279322</v>
      </c>
    </row>
    <row r="24" spans="1:21" x14ac:dyDescent="0.25">
      <c r="A24" s="244">
        <v>44947</v>
      </c>
      <c r="B24" s="252">
        <f>SUMIFS(criblage!$P:$P,criblage!$B:$B,'synthèse 312'!A24-1,criblage!$C:$C,'synthèse 312'!B$2)</f>
        <v>0</v>
      </c>
      <c r="C24" s="252">
        <f>SUMIFS(criblage!$P:$P,criblage!$B:$B,'synthèse 312'!$A24,criblage!$C:$C,'synthèse 312'!C$2)</f>
        <v>0</v>
      </c>
      <c r="D24" s="252">
        <f>SUMIFS(criblage!$P:$P,criblage!$B:$B,'synthèse 312'!$A24,criblage!$C:$C,'synthèse 312'!D$2)</f>
        <v>0</v>
      </c>
      <c r="E24" s="252">
        <f t="shared" si="0"/>
        <v>0</v>
      </c>
      <c r="F24" s="254">
        <f>SUMIFS(criblage!$O:$O,criblage!$B:$B,'synthèse 312'!$A24-1,criblage!$C:$C,'synthèse 312'!F$2)</f>
        <v>3327</v>
      </c>
      <c r="G24" s="254">
        <f>SUMIFS(criblage!$O:$O,criblage!$B:$B,'synthèse 312'!$A24,criblage!$C:$C,'synthèse 312'!G$2)</f>
        <v>3753</v>
      </c>
      <c r="H24" s="254">
        <f>SUMIFS(criblage!$O:$O,criblage!$B:$B,'synthèse 312'!$A24,criblage!$C:$C,'synthèse 312'!H$2)</f>
        <v>3260</v>
      </c>
      <c r="I24" s="254">
        <f t="shared" si="6"/>
        <v>10340</v>
      </c>
      <c r="J24" s="258">
        <f>8-SUMIFS('les arrets'!G:G,'les arrets'!B:B,'synthèse 312'!$A24-1,'les arrets'!C:C,'synthèse 312'!J$2)</f>
        <v>4.55</v>
      </c>
      <c r="K24" s="258">
        <f>8-SUMIFS('les arrets'!G:G,'les arrets'!B:B,'synthèse 312'!$A24,'les arrets'!C:C,'synthèse 312'!K$2)</f>
        <v>5.3333333333333339</v>
      </c>
      <c r="L24" s="258">
        <f>8-SUMIFS('les arrets'!G:G,'les arrets'!B:B,'synthèse 312'!A24,'les arrets'!C:C,'synthèse 312'!L$2)</f>
        <v>6.6</v>
      </c>
      <c r="M24" s="258">
        <f t="shared" si="1"/>
        <v>16.483333333333334</v>
      </c>
      <c r="N24" s="248">
        <f>SUMIFS(criblage!$R:$R,criblage!$B:$B,'synthèse 312'!$A24-1,criblage!$C:$C,'synthèse 312'!N$2)</f>
        <v>6.2200000000000006</v>
      </c>
      <c r="O24" s="248">
        <f>SUMIFS(criblage!$R:$R,criblage!$B:$B,'synthèse 312'!$A24,criblage!$C:$C,'synthèse 312'!O$2)</f>
        <v>5.74</v>
      </c>
      <c r="P24" s="248">
        <f>SUMIFS(criblage!$R:$R,criblage!$B:$B,'synthèse 312'!$A24,criblage!$C:$C,'synthèse 312'!P$2)</f>
        <v>6.75</v>
      </c>
      <c r="Q24" s="248">
        <f t="shared" si="2"/>
        <v>18.71</v>
      </c>
      <c r="R24" s="249">
        <f t="shared" si="7"/>
        <v>731.20879120879124</v>
      </c>
      <c r="S24" s="249">
        <f>IFERROR($G24/$K24,0)</f>
        <v>703.68749999999989</v>
      </c>
      <c r="T24" s="249">
        <f t="shared" si="4"/>
        <v>493.93939393939394</v>
      </c>
      <c r="U24" s="249">
        <f t="shared" si="5"/>
        <v>642.94522838272837</v>
      </c>
    </row>
    <row r="25" spans="1:21" x14ac:dyDescent="0.25">
      <c r="A25" s="244">
        <v>44948</v>
      </c>
      <c r="B25" s="252">
        <f>SUMIFS(criblage!$P:$P,criblage!$B:$B,'synthèse 312'!A25-1,criblage!$C:$C,'synthèse 312'!B$2)</f>
        <v>0</v>
      </c>
      <c r="C25" s="252">
        <f>SUMIFS(criblage!$P:$P,criblage!$B:$B,'synthèse 312'!$A25,criblage!$C:$C,'synthèse 312'!C$2)</f>
        <v>0</v>
      </c>
      <c r="D25" s="252">
        <f>SUMIFS(criblage!$P:$P,criblage!$B:$B,'synthèse 312'!$A25,criblage!$C:$C,'synthèse 312'!D$2)</f>
        <v>0</v>
      </c>
      <c r="E25" s="252">
        <f t="shared" si="0"/>
        <v>0</v>
      </c>
      <c r="F25" s="254">
        <f>SUMIFS(criblage!$O:$O,criblage!$B:$B,'synthèse 312'!$A25-1,criblage!$C:$C,'synthèse 312'!F$2)</f>
        <v>3103</v>
      </c>
      <c r="G25" s="254">
        <f>SUMIFS(criblage!$O:$O,criblage!$B:$B,'synthèse 312'!$A25,criblage!$C:$C,'synthèse 312'!G$2)</f>
        <v>2949</v>
      </c>
      <c r="H25" s="254">
        <f>SUMIFS(criblage!$O:$O,criblage!$B:$B,'synthèse 312'!$A25,criblage!$C:$C,'synthèse 312'!H$2)</f>
        <v>4564</v>
      </c>
      <c r="I25" s="254">
        <f t="shared" si="6"/>
        <v>10616</v>
      </c>
      <c r="J25" s="258">
        <f>8-SUMIFS('les arrets'!G:G,'les arrets'!B:B,'synthèse 312'!$A25-1,'les arrets'!C:C,'synthèse 312'!J$2)</f>
        <v>6.0166666666666666</v>
      </c>
      <c r="K25" s="258">
        <f>8-SUMIFS('les arrets'!G:G,'les arrets'!B:B,'synthèse 312'!$A25,'les arrets'!C:C,'synthèse 312'!K$2)</f>
        <v>4.2166666666666668</v>
      </c>
      <c r="L25" s="258">
        <f>8-SUMIFS('les arrets'!G:G,'les arrets'!B:B,'synthèse 312'!A25,'les arrets'!C:C,'synthèse 312'!L$2)</f>
        <v>6.1166666666666671</v>
      </c>
      <c r="M25" s="258">
        <f t="shared" si="1"/>
        <v>16.350000000000001</v>
      </c>
      <c r="N25" s="248">
        <f>SUMIFS(criblage!$R:$R,criblage!$B:$B,'synthèse 312'!$A25-1,criblage!$C:$C,'synthèse 312'!N$2)</f>
        <v>6.3900000000000006</v>
      </c>
      <c r="O25" s="248">
        <f>SUMIFS(criblage!$R:$R,criblage!$B:$B,'synthèse 312'!$A25,criblage!$C:$C,'synthèse 312'!O$2)</f>
        <v>4.5999999999999996</v>
      </c>
      <c r="P25" s="248">
        <f>SUMIFS(criblage!$R:$R,criblage!$B:$B,'synthèse 312'!$A25,criblage!$C:$C,'synthèse 312'!P$2)</f>
        <v>8.370000000000001</v>
      </c>
      <c r="Q25" s="248">
        <f t="shared" si="2"/>
        <v>19.36</v>
      </c>
      <c r="R25" s="249">
        <f t="shared" si="7"/>
        <v>515.73407202216072</v>
      </c>
      <c r="S25" s="249">
        <f t="shared" si="3"/>
        <v>699.36758893280626</v>
      </c>
      <c r="T25" s="249">
        <f t="shared" si="4"/>
        <v>746.15803814713888</v>
      </c>
      <c r="U25" s="249">
        <f t="shared" si="5"/>
        <v>653.75323303403536</v>
      </c>
    </row>
    <row r="26" spans="1:21" x14ac:dyDescent="0.25">
      <c r="A26" s="244">
        <v>44949</v>
      </c>
      <c r="B26" s="252">
        <f>SUMIFS(criblage!$P:$P,criblage!$B:$B,'synthèse 312'!A26-1,criblage!$C:$C,'synthèse 312'!B$2)</f>
        <v>0</v>
      </c>
      <c r="C26" s="252">
        <f>SUMIFS(criblage!$P:$P,criblage!$B:$B,'synthèse 312'!$A26,criblage!$C:$C,'synthèse 312'!C$2)</f>
        <v>0</v>
      </c>
      <c r="D26" s="252">
        <f>SUMIFS(criblage!$P:$P,criblage!$B:$B,'synthèse 312'!$A26,criblage!$C:$C,'synthèse 312'!D$2)</f>
        <v>0</v>
      </c>
      <c r="E26" s="252">
        <f t="shared" si="0"/>
        <v>0</v>
      </c>
      <c r="F26" s="254">
        <f>SUMIFS(criblage!$O:$O,criblage!$B:$B,'synthèse 312'!$A26-1,criblage!$C:$C,'synthèse 312'!F$2)</f>
        <v>4119</v>
      </c>
      <c r="G26" s="254">
        <f>SUMIFS(criblage!$O:$O,criblage!$B:$B,'synthèse 312'!$A26,criblage!$C:$C,'synthèse 312'!G$2)</f>
        <v>4346</v>
      </c>
      <c r="H26" s="254">
        <f>SUMIFS(criblage!$O:$O,criblage!$B:$B,'synthèse 312'!$A26,criblage!$C:$C,'synthèse 312'!H$2)</f>
        <v>3829</v>
      </c>
      <c r="I26" s="254">
        <f t="shared" si="6"/>
        <v>12294</v>
      </c>
      <c r="J26" s="258">
        <f>8-SUMIFS('les arrets'!G:G,'les arrets'!B:B,'synthèse 312'!$A26-1,'les arrets'!C:C,'synthèse 312'!J$2)</f>
        <v>6.4166666666666661</v>
      </c>
      <c r="K26" s="258">
        <f>8-SUMIFS('les arrets'!G:G,'les arrets'!B:B,'synthèse 312'!$A26,'les arrets'!C:C,'synthèse 312'!K$2)</f>
        <v>6.6333333333333329</v>
      </c>
      <c r="L26" s="258">
        <f>8-SUMIFS('les arrets'!G:G,'les arrets'!B:B,'synthèse 312'!A26,'les arrets'!C:C,'synthèse 312'!L$2)</f>
        <v>6.4666666666666668</v>
      </c>
      <c r="M26" s="258">
        <f t="shared" si="1"/>
        <v>19.516666666666666</v>
      </c>
      <c r="N26" s="248">
        <f>SUMIFS(criblage!$R:$R,criblage!$B:$B,'synthèse 312'!$A26-1,criblage!$C:$C,'synthèse 312'!N$2)</f>
        <v>7.16</v>
      </c>
      <c r="O26" s="248">
        <f>SUMIFS(criblage!$R:$R,criblage!$B:$B,'synthèse 312'!$A26,criblage!$C:$C,'synthèse 312'!O$2)</f>
        <v>6.5</v>
      </c>
      <c r="P26" s="248">
        <f>SUMIFS(criblage!$R:$R,criblage!$B:$B,'synthèse 312'!$A26,criblage!$C:$C,'synthèse 312'!P$2)</f>
        <v>7.0499999999999989</v>
      </c>
      <c r="Q26" s="248">
        <f t="shared" si="2"/>
        <v>20.71</v>
      </c>
      <c r="R26" s="249">
        <f t="shared" si="7"/>
        <v>641.92207792207796</v>
      </c>
      <c r="S26" s="249">
        <f t="shared" si="3"/>
        <v>655.17587939698501</v>
      </c>
      <c r="T26" s="249">
        <f t="shared" si="4"/>
        <v>592.11340206185571</v>
      </c>
      <c r="U26" s="249">
        <f t="shared" si="5"/>
        <v>629.73711979363952</v>
      </c>
    </row>
    <row r="27" spans="1:21" x14ac:dyDescent="0.25">
      <c r="A27" s="244">
        <v>44950</v>
      </c>
      <c r="B27" s="252">
        <f>SUMIFS(criblage!$P:$P,criblage!$B:$B,'synthèse 312'!A27-1,criblage!$C:$C,'synthèse 312'!B$2)</f>
        <v>0</v>
      </c>
      <c r="C27" s="252">
        <f>SUMIFS(criblage!$P:$P,criblage!$B:$B,'synthèse 312'!$A27,criblage!$C:$C,'synthèse 312'!C$2)</f>
        <v>0</v>
      </c>
      <c r="D27" s="252">
        <f>SUMIFS(criblage!$P:$P,criblage!$B:$B,'synthèse 312'!$A27,criblage!$C:$C,'synthèse 312'!D$2)</f>
        <v>0</v>
      </c>
      <c r="E27" s="252">
        <f t="shared" si="0"/>
        <v>0</v>
      </c>
      <c r="F27" s="254">
        <f>SUMIFS(criblage!$O:$O,criblage!$B:$B,'synthèse 312'!$A27-1,criblage!$C:$C,'synthèse 312'!F$2)</f>
        <v>4432</v>
      </c>
      <c r="G27" s="254">
        <f>SUMIFS(criblage!$O:$O,criblage!$B:$B,'synthèse 312'!$A27,criblage!$C:$C,'synthèse 312'!G$2)</f>
        <v>4099</v>
      </c>
      <c r="H27" s="254">
        <f>SUMIFS(criblage!$O:$O,criblage!$B:$B,'synthèse 312'!$A27,criblage!$C:$C,'synthèse 312'!H$2)</f>
        <v>2744</v>
      </c>
      <c r="I27" s="254">
        <f t="shared" si="6"/>
        <v>11275</v>
      </c>
      <c r="J27" s="258">
        <f>8-SUMIFS('les arrets'!G:G,'les arrets'!B:B,'synthèse 312'!$A27-1,'les arrets'!C:C,'synthèse 312'!J$2)</f>
        <v>6.7</v>
      </c>
      <c r="K27" s="258">
        <f>8-SUMIFS('les arrets'!G:G,'les arrets'!B:B,'synthèse 312'!$A27,'les arrets'!C:C,'synthèse 312'!K$2)</f>
        <v>6.166666666666667</v>
      </c>
      <c r="L27" s="258">
        <f>8-SUMIFS('les arrets'!G:G,'les arrets'!B:B,'synthèse 312'!A27,'les arrets'!C:C,'synthèse 312'!L$2)</f>
        <v>4.25</v>
      </c>
      <c r="M27" s="258">
        <f t="shared" si="1"/>
        <v>17.116666666666667</v>
      </c>
      <c r="N27" s="248">
        <f>SUMIFS(criblage!$R:$R,criblage!$B:$B,'synthèse 312'!$A27-1,criblage!$C:$C,'synthèse 312'!N$2)</f>
        <v>7.62</v>
      </c>
      <c r="O27" s="248">
        <f>SUMIFS(criblage!$R:$R,criblage!$B:$B,'synthèse 312'!$A27,criblage!$C:$C,'synthèse 312'!O$2)</f>
        <v>6.53</v>
      </c>
      <c r="P27" s="248">
        <f>SUMIFS(criblage!$R:$R,criblage!$B:$B,'synthèse 312'!$A27,criblage!$C:$C,'synthèse 312'!P$2)</f>
        <v>4.9800000000000004</v>
      </c>
      <c r="Q27" s="248">
        <f t="shared" si="2"/>
        <v>19.130000000000003</v>
      </c>
      <c r="R27" s="249">
        <f t="shared" si="7"/>
        <v>661.49253731343276</v>
      </c>
      <c r="S27" s="249">
        <f t="shared" si="3"/>
        <v>664.70270270270271</v>
      </c>
      <c r="T27" s="249">
        <f t="shared" si="4"/>
        <v>645.64705882352939</v>
      </c>
      <c r="U27" s="249">
        <f t="shared" si="5"/>
        <v>657.28076627988821</v>
      </c>
    </row>
    <row r="28" spans="1:21" x14ac:dyDescent="0.25">
      <c r="A28" s="244">
        <v>44951</v>
      </c>
      <c r="B28" s="252">
        <f>SUMIFS(criblage!$P:$P,criblage!$B:$B,'synthèse 312'!A28-1,criblage!$C:$C,'synthèse 312'!B$2)</f>
        <v>0</v>
      </c>
      <c r="C28" s="252">
        <f>SUMIFS(criblage!$P:$P,criblage!$B:$B,'synthèse 312'!$A28,criblage!$C:$C,'synthèse 312'!C$2)</f>
        <v>0</v>
      </c>
      <c r="D28" s="252">
        <f>SUMIFS(criblage!$P:$P,criblage!$B:$B,'synthèse 312'!$A28,criblage!$C:$C,'synthèse 312'!D$2)</f>
        <v>0</v>
      </c>
      <c r="E28" s="252">
        <f t="shared" si="0"/>
        <v>0</v>
      </c>
      <c r="F28" s="254">
        <f>SUMIFS(criblage!$O:$O,criblage!$B:$B,'synthèse 312'!$A28-1,criblage!$C:$C,'synthèse 312'!F$2)</f>
        <v>4801</v>
      </c>
      <c r="G28" s="254">
        <f>SUMIFS(criblage!$O:$O,criblage!$B:$B,'synthèse 312'!$A28,criblage!$C:$C,'synthèse 312'!G$2)</f>
        <v>3064</v>
      </c>
      <c r="H28" s="254">
        <f>SUMIFS(criblage!$O:$O,criblage!$B:$B,'synthèse 312'!$A28,criblage!$C:$C,'synthèse 312'!H$2)</f>
        <v>4102</v>
      </c>
      <c r="I28" s="254">
        <f t="shared" si="6"/>
        <v>11967</v>
      </c>
      <c r="J28" s="258">
        <f>8-SUMIFS('les arrets'!G:G,'les arrets'!B:B,'synthèse 312'!$A28-1,'les arrets'!C:C,'synthèse 312'!J$2)</f>
        <v>5.9333333333333336</v>
      </c>
      <c r="K28" s="258">
        <f>8-SUMIFS('les arrets'!G:G,'les arrets'!B:B,'synthèse 312'!$A28,'les arrets'!C:C,'synthèse 312'!K$2)</f>
        <v>5.0166666666666675</v>
      </c>
      <c r="L28" s="258">
        <f>8-SUMIFS('les arrets'!G:G,'les arrets'!B:B,'synthèse 312'!A28,'les arrets'!C:C,'synthèse 312'!L$2)</f>
        <v>5.7166666666666668</v>
      </c>
      <c r="M28" s="258">
        <f t="shared" si="1"/>
        <v>16.666666666666668</v>
      </c>
      <c r="N28" s="248">
        <f>SUMIFS(criblage!$R:$R,criblage!$B:$B,'synthèse 312'!$A28-1,criblage!$C:$C,'synthèse 312'!N$2)</f>
        <v>6.2</v>
      </c>
      <c r="O28" s="248">
        <f>SUMIFS(criblage!$R:$R,criblage!$B:$B,'synthèse 312'!$A28,criblage!$C:$C,'synthèse 312'!O$2)</f>
        <v>4.76</v>
      </c>
      <c r="P28" s="248">
        <f>SUMIFS(criblage!$R:$R,criblage!$B:$B,'synthèse 312'!$A28,criblage!$C:$C,'synthèse 312'!P$2)</f>
        <v>6.3999999999999995</v>
      </c>
      <c r="Q28" s="248">
        <f t="shared" si="2"/>
        <v>17.36</v>
      </c>
      <c r="R28" s="249">
        <f t="shared" si="7"/>
        <v>809.15730337078651</v>
      </c>
      <c r="S28" s="249">
        <f t="shared" si="3"/>
        <v>610.76411960132884</v>
      </c>
      <c r="T28" s="249">
        <f t="shared" si="4"/>
        <v>717.55102040816325</v>
      </c>
      <c r="U28" s="249">
        <f t="shared" si="5"/>
        <v>712.49081446009279</v>
      </c>
    </row>
    <row r="29" spans="1:21" x14ac:dyDescent="0.25">
      <c r="A29" s="244">
        <v>44952</v>
      </c>
      <c r="B29" s="252">
        <f>SUMIFS(criblage!$P:$P,criblage!$B:$B,'synthèse 312'!A29-1,criblage!$C:$C,'synthèse 312'!B$2)</f>
        <v>0</v>
      </c>
      <c r="C29" s="252">
        <f>SUMIFS(criblage!$P:$P,criblage!$B:$B,'synthèse 312'!$A29,criblage!$C:$C,'synthèse 312'!C$2)</f>
        <v>0</v>
      </c>
      <c r="D29" s="252">
        <f>SUMIFS(criblage!$P:$P,criblage!$B:$B,'synthèse 312'!$A29,criblage!$C:$C,'synthèse 312'!D$2)</f>
        <v>0</v>
      </c>
      <c r="E29" s="252">
        <f t="shared" si="0"/>
        <v>0</v>
      </c>
      <c r="F29" s="254">
        <f>SUMIFS(criblage!$O:$O,criblage!$B:$B,'synthèse 312'!$A29-1,criblage!$C:$C,'synthèse 312'!F$2)</f>
        <v>4509</v>
      </c>
      <c r="G29" s="254">
        <f>SUMIFS(criblage!$O:$O,criblage!$B:$B,'synthèse 312'!$A29,criblage!$C:$C,'synthèse 312'!G$2)</f>
        <v>2943</v>
      </c>
      <c r="H29" s="254">
        <f>SUMIFS(criblage!$O:$O,criblage!$B:$B,'synthèse 312'!$A29,criblage!$C:$C,'synthèse 312'!H$2)</f>
        <v>3524</v>
      </c>
      <c r="I29" s="254">
        <f t="shared" si="6"/>
        <v>10976</v>
      </c>
      <c r="J29" s="258">
        <f>8-SUMIFS('les arrets'!G:G,'les arrets'!B:B,'synthèse 312'!$A29-1,'les arrets'!C:C,'synthèse 312'!J$2)</f>
        <v>5.8833333333333329</v>
      </c>
      <c r="K29" s="258">
        <f>8-SUMIFS('les arrets'!G:G,'les arrets'!B:B,'synthèse 312'!$A29,'les arrets'!C:C,'synthèse 312'!K$2)</f>
        <v>4.2666666666666666</v>
      </c>
      <c r="L29" s="258">
        <f>8-SUMIFS('les arrets'!G:G,'les arrets'!B:B,'synthèse 312'!A29,'les arrets'!C:C,'synthèse 312'!L$2)</f>
        <v>6.083333333333333</v>
      </c>
      <c r="M29" s="258">
        <f t="shared" si="1"/>
        <v>16.233333333333331</v>
      </c>
      <c r="N29" s="248">
        <f>SUMIFS(criblage!$R:$R,criblage!$B:$B,'synthèse 312'!$A29-1,criblage!$C:$C,'synthèse 312'!N$2)</f>
        <v>6.25</v>
      </c>
      <c r="O29" s="248">
        <f>SUMIFS(criblage!$R:$R,criblage!$B:$B,'synthèse 312'!$A29,criblage!$C:$C,'synthèse 312'!O$2)</f>
        <v>4.63</v>
      </c>
      <c r="P29" s="248">
        <f>SUMIFS(criblage!$R:$R,criblage!$B:$B,'synthèse 312'!$A29,criblage!$C:$C,'synthèse 312'!P$2)</f>
        <v>6.25</v>
      </c>
      <c r="Q29" s="248">
        <f t="shared" si="2"/>
        <v>17.13</v>
      </c>
      <c r="R29" s="249">
        <f t="shared" si="7"/>
        <v>766.40226628895186</v>
      </c>
      <c r="S29" s="249">
        <f t="shared" si="3"/>
        <v>689.765625</v>
      </c>
      <c r="T29" s="249">
        <f t="shared" si="4"/>
        <v>579.28767123287673</v>
      </c>
      <c r="U29" s="249">
        <f t="shared" si="5"/>
        <v>678.48518750727624</v>
      </c>
    </row>
    <row r="30" spans="1:21" x14ac:dyDescent="0.25">
      <c r="A30" s="244">
        <v>44953</v>
      </c>
      <c r="B30" s="252">
        <f>SUMIFS(criblage!$P:$P,criblage!$B:$B,'synthèse 312'!A30-1,criblage!$C:$C,'synthèse 312'!B$2)</f>
        <v>0</v>
      </c>
      <c r="C30" s="252">
        <f>SUMIFS(criblage!$P:$P,criblage!$B:$B,'synthèse 312'!$A30,criblage!$C:$C,'synthèse 312'!C$2)</f>
        <v>0</v>
      </c>
      <c r="D30" s="252">
        <f>SUMIFS(criblage!$P:$P,criblage!$B:$B,'synthèse 312'!$A30,criblage!$C:$C,'synthèse 312'!D$2)</f>
        <v>0</v>
      </c>
      <c r="E30" s="252">
        <f t="shared" si="0"/>
        <v>0</v>
      </c>
      <c r="F30" s="254">
        <f>SUMIFS(criblage!$O:$O,criblage!$B:$B,'synthèse 312'!$A30-1,criblage!$C:$C,'synthèse 312'!F$2)</f>
        <v>4306</v>
      </c>
      <c r="G30" s="254">
        <f>SUMIFS(criblage!$O:$O,criblage!$B:$B,'synthèse 312'!$A30,criblage!$C:$C,'synthèse 312'!G$2)</f>
        <v>3356</v>
      </c>
      <c r="H30" s="254">
        <f>SUMIFS(criblage!$O:$O,criblage!$B:$B,'synthèse 312'!$A30,criblage!$C:$C,'synthèse 312'!H$2)</f>
        <v>4686</v>
      </c>
      <c r="I30" s="254">
        <f t="shared" si="6"/>
        <v>12348</v>
      </c>
      <c r="J30" s="258">
        <f>8-SUMIFS('les arrets'!G:G,'les arrets'!B:B,'synthèse 312'!$A30-1,'les arrets'!C:C,'synthèse 312'!J$2)</f>
        <v>6.65</v>
      </c>
      <c r="K30" s="258">
        <f>8-SUMIFS('les arrets'!G:G,'les arrets'!B:B,'synthèse 312'!$A30,'les arrets'!C:C,'synthèse 312'!K$2)</f>
        <v>4.95</v>
      </c>
      <c r="L30" s="258">
        <f>8-SUMIFS('les arrets'!G:G,'les arrets'!B:B,'synthèse 312'!A30,'les arrets'!C:C,'synthèse 312'!L$2)</f>
        <v>6.6833333333333336</v>
      </c>
      <c r="M30" s="258">
        <f t="shared" si="1"/>
        <v>18.283333333333335</v>
      </c>
      <c r="N30" s="248">
        <f>SUMIFS(criblage!$R:$R,criblage!$B:$B,'synthèse 312'!$A30-1,criblage!$C:$C,'synthèse 312'!N$2)</f>
        <v>6.82</v>
      </c>
      <c r="O30" s="248">
        <f>SUMIFS(criblage!$R:$R,criblage!$B:$B,'synthèse 312'!$A30,criblage!$C:$C,'synthèse 312'!O$2)</f>
        <v>5.54</v>
      </c>
      <c r="P30" s="248">
        <f>SUMIFS(criblage!$R:$R,criblage!$B:$B,'synthèse 312'!$A30,criblage!$C:$C,'synthèse 312'!P$2)</f>
        <v>7.63</v>
      </c>
      <c r="Q30" s="248">
        <f t="shared" si="2"/>
        <v>19.989999999999998</v>
      </c>
      <c r="R30" s="249">
        <f t="shared" si="7"/>
        <v>647.51879699248116</v>
      </c>
      <c r="S30" s="249">
        <f t="shared" si="3"/>
        <v>677.97979797979792</v>
      </c>
      <c r="T30" s="249">
        <f t="shared" si="4"/>
        <v>701.14713216957603</v>
      </c>
      <c r="U30" s="249">
        <f t="shared" si="5"/>
        <v>675.54857571395166</v>
      </c>
    </row>
    <row r="31" spans="1:21" x14ac:dyDescent="0.25">
      <c r="A31" s="244">
        <v>44954</v>
      </c>
      <c r="B31" s="252">
        <f>SUMIFS(criblage!$P:$P,criblage!$B:$B,'synthèse 312'!A31-1,criblage!$C:$C,'synthèse 312'!B$2)</f>
        <v>0</v>
      </c>
      <c r="C31" s="252">
        <f>SUMIFS(criblage!$P:$P,criblage!$B:$B,'synthèse 312'!$A31,criblage!$C:$C,'synthèse 312'!C$2)</f>
        <v>0</v>
      </c>
      <c r="D31" s="252">
        <f>SUMIFS(criblage!$P:$P,criblage!$B:$B,'synthèse 312'!$A31,criblage!$C:$C,'synthèse 312'!D$2)</f>
        <v>0</v>
      </c>
      <c r="E31" s="252">
        <f t="shared" si="0"/>
        <v>0</v>
      </c>
      <c r="F31" s="254">
        <f>SUMIFS(criblage!$O:$O,criblage!$B:$B,'synthèse 312'!$A31-1,criblage!$C:$C,'synthèse 312'!F$2)</f>
        <v>4153</v>
      </c>
      <c r="G31" s="254">
        <f>SUMIFS(criblage!$O:$O,criblage!$B:$B,'synthèse 312'!$A31,criblage!$C:$C,'synthèse 312'!G$2)</f>
        <v>2307</v>
      </c>
      <c r="H31" s="254">
        <f>SUMIFS(criblage!$O:$O,criblage!$B:$B,'synthèse 312'!$A31,criblage!$C:$C,'synthèse 312'!H$2)</f>
        <v>4004</v>
      </c>
      <c r="I31" s="254">
        <f t="shared" si="6"/>
        <v>10464</v>
      </c>
      <c r="J31" s="258">
        <f>8-SUMIFS('les arrets'!G:G,'les arrets'!B:B,'synthèse 312'!$A31-1,'les arrets'!C:C,'synthèse 312'!J$2)</f>
        <v>6.3833333333333337</v>
      </c>
      <c r="K31" s="258">
        <f>8-SUMIFS('les arrets'!G:G,'les arrets'!B:B,'synthèse 312'!$A31,'les arrets'!C:C,'synthèse 312'!K$2)</f>
        <v>3.583333333333333</v>
      </c>
      <c r="L31" s="258">
        <f>8-SUMIFS('les arrets'!G:G,'les arrets'!B:B,'synthèse 312'!A31,'les arrets'!C:C,'synthèse 312'!L$2)</f>
        <v>6.3333333333333339</v>
      </c>
      <c r="M31" s="258">
        <f t="shared" si="1"/>
        <v>16.3</v>
      </c>
      <c r="N31" s="248">
        <f>SUMIFS(criblage!$R:$R,criblage!$B:$B,'synthèse 312'!$A31-1,criblage!$C:$C,'synthèse 312'!N$2)</f>
        <v>7.21</v>
      </c>
      <c r="O31" s="248">
        <f>SUMIFS(criblage!$R:$R,criblage!$B:$B,'synthèse 312'!$A31,criblage!$C:$C,'synthèse 312'!O$2)</f>
        <v>7.21</v>
      </c>
      <c r="P31" s="248">
        <f>SUMIFS(criblage!$R:$R,criblage!$B:$B,'synthèse 312'!$A31,criblage!$C:$C,'synthèse 312'!P$2)</f>
        <v>7.3</v>
      </c>
      <c r="Q31" s="248">
        <f t="shared" si="2"/>
        <v>21.72</v>
      </c>
      <c r="R31" s="249">
        <f t="shared" si="7"/>
        <v>650.60052219321142</v>
      </c>
      <c r="S31" s="249">
        <f t="shared" si="3"/>
        <v>643.81395348837214</v>
      </c>
      <c r="T31" s="249">
        <f t="shared" si="4"/>
        <v>632.21052631578937</v>
      </c>
      <c r="U31" s="249">
        <f t="shared" si="5"/>
        <v>642.20833399912431</v>
      </c>
    </row>
    <row r="32" spans="1:21" x14ac:dyDescent="0.25">
      <c r="A32" s="244">
        <v>44955</v>
      </c>
      <c r="B32" s="252">
        <f>SUMIFS(criblage!$P:$P,criblage!$B:$B,'synthèse 312'!A32-1,criblage!$C:$C,'synthèse 312'!B$2)</f>
        <v>0</v>
      </c>
      <c r="C32" s="252">
        <f>SUMIFS(criblage!$P:$P,criblage!$B:$B,'synthèse 312'!$A32,criblage!$C:$C,'synthèse 312'!C$2)</f>
        <v>0</v>
      </c>
      <c r="D32" s="252">
        <f>SUMIFS(criblage!$P:$P,criblage!$B:$B,'synthèse 312'!$A32,criblage!$C:$C,'synthèse 312'!D$2)</f>
        <v>0</v>
      </c>
      <c r="E32" s="252">
        <f t="shared" si="0"/>
        <v>0</v>
      </c>
      <c r="F32" s="254">
        <f>SUMIFS(criblage!$O:$O,criblage!$B:$B,'synthèse 312'!$A32-1,criblage!$C:$C,'synthèse 312'!F$2)</f>
        <v>4070</v>
      </c>
      <c r="G32" s="254">
        <f>SUMIFS(criblage!$O:$O,criblage!$B:$B,'synthèse 312'!$A32,criblage!$C:$C,'synthèse 312'!G$2)</f>
        <v>2289</v>
      </c>
      <c r="H32" s="254">
        <f>SUMIFS(criblage!$O:$O,criblage!$B:$B,'synthèse 312'!$A32,criblage!$C:$C,'synthèse 312'!H$2)</f>
        <v>3658</v>
      </c>
      <c r="I32" s="254">
        <f t="shared" si="6"/>
        <v>10017</v>
      </c>
      <c r="J32" s="258">
        <f>8-SUMIFS('les arrets'!G:G,'les arrets'!B:B,'synthèse 312'!$A32-1,'les arrets'!C:C,'synthèse 312'!J$2)</f>
        <v>6.7666666666666666</v>
      </c>
      <c r="K32" s="258">
        <f>8-SUMIFS('les arrets'!G:G,'les arrets'!B:B,'synthèse 312'!$A32,'les arrets'!C:C,'synthèse 312'!K$2)</f>
        <v>4.4166666666666661</v>
      </c>
      <c r="L32" s="258">
        <f>8-SUMIFS('les arrets'!G:G,'les arrets'!B:B,'synthèse 312'!A32,'les arrets'!C:C,'synthèse 312'!L$2)</f>
        <v>6.583333333333333</v>
      </c>
      <c r="M32" s="258">
        <f t="shared" si="1"/>
        <v>17.766666666666666</v>
      </c>
      <c r="N32" s="248">
        <f>SUMIFS(criblage!$R:$R,criblage!$B:$B,'synthèse 312'!$A32-1,criblage!$C:$C,'synthèse 312'!N$2)</f>
        <v>7.43</v>
      </c>
      <c r="O32" s="248">
        <f>SUMIFS(criblage!$R:$R,criblage!$B:$B,'synthèse 312'!$A32,criblage!$C:$C,'synthèse 312'!O$2)</f>
        <v>4.5599999999999996</v>
      </c>
      <c r="P32" s="248">
        <f>SUMIFS(criblage!$R:$R,criblage!$B:$B,'synthèse 312'!$A32,criblage!$C:$C,'synthèse 312'!P$2)</f>
        <v>7.11</v>
      </c>
      <c r="Q32" s="248">
        <f t="shared" si="2"/>
        <v>19.099999999999998</v>
      </c>
      <c r="R32" s="249">
        <f t="shared" si="7"/>
        <v>601.47783251231533</v>
      </c>
      <c r="S32" s="249">
        <f t="shared" si="3"/>
        <v>518.26415094339632</v>
      </c>
      <c r="T32" s="249">
        <f t="shared" si="4"/>
        <v>555.64556962025324</v>
      </c>
      <c r="U32" s="249">
        <f t="shared" si="5"/>
        <v>558.46251769198841</v>
      </c>
    </row>
    <row r="33" spans="1:21" x14ac:dyDescent="0.25">
      <c r="A33" s="244">
        <v>44956</v>
      </c>
      <c r="B33" s="252">
        <f>SUMIFS(criblage!$P:$P,criblage!$B:$B,'synthèse 312'!A33-1,criblage!$C:$C,'synthèse 312'!B$2)</f>
        <v>0</v>
      </c>
      <c r="C33" s="252">
        <f>SUMIFS(criblage!$P:$P,criblage!$B:$B,'synthèse 312'!$A33,criblage!$C:$C,'synthèse 312'!C$2)</f>
        <v>0</v>
      </c>
      <c r="D33" s="252">
        <f>SUMIFS(criblage!$P:$P,criblage!$B:$B,'synthèse 312'!$A33,criblage!$C:$C,'synthèse 312'!D$2)</f>
        <v>0</v>
      </c>
      <c r="E33" s="252">
        <f t="shared" si="0"/>
        <v>0</v>
      </c>
      <c r="F33" s="254">
        <f>SUMIFS(criblage!$O:$O,criblage!$B:$B,'synthèse 312'!$A33-1,criblage!$C:$C,'synthèse 312'!F$2)</f>
        <v>2461</v>
      </c>
      <c r="G33" s="254">
        <f>SUMIFS(criblage!$O:$O,criblage!$B:$B,'synthèse 312'!$A33,criblage!$C:$C,'synthèse 312'!G$2)</f>
        <v>608</v>
      </c>
      <c r="H33" s="254">
        <f>SUMIFS(criblage!$O:$O,criblage!$B:$B,'synthèse 312'!$A33,criblage!$C:$C,'synthèse 312'!H$2)</f>
        <v>0</v>
      </c>
      <c r="I33" s="254">
        <f t="shared" si="6"/>
        <v>3069</v>
      </c>
      <c r="J33" s="258">
        <f>8-SUMIFS('les arrets'!G:G,'les arrets'!B:B,'synthèse 312'!$A33-1,'les arrets'!C:C,'synthèse 312'!J$2)</f>
        <v>6.45</v>
      </c>
      <c r="K33" s="258">
        <f>8-SUMIFS('les arrets'!G:G,'les arrets'!B:B,'synthèse 312'!$A33,'les arrets'!C:C,'synthèse 312'!K$2)</f>
        <v>0.94999999999999929</v>
      </c>
      <c r="L33" s="258">
        <f>8-SUMIFS('les arrets'!G:G,'les arrets'!B:B,'synthèse 312'!A33,'les arrets'!C:C,'synthèse 312'!L$2)</f>
        <v>0</v>
      </c>
      <c r="M33" s="258">
        <f t="shared" si="1"/>
        <v>7.3999999999999995</v>
      </c>
      <c r="N33" s="248">
        <f>SUMIFS(criblage!$R:$R,criblage!$B:$B,'synthèse 312'!$A33-1,criblage!$C:$C,'synthèse 312'!N$2)</f>
        <v>6.8</v>
      </c>
      <c r="O33" s="248">
        <f>SUMIFS(criblage!$R:$R,criblage!$B:$B,'synthèse 312'!$A33,criblage!$C:$C,'synthèse 312'!O$2)</f>
        <v>1.1100000000000001</v>
      </c>
      <c r="P33" s="248">
        <f>SUMIFS(criblage!$R:$R,criblage!$B:$B,'synthèse 312'!$A33,criblage!$C:$C,'synthèse 312'!P$2)</f>
        <v>0</v>
      </c>
      <c r="Q33" s="248">
        <f t="shared" si="2"/>
        <v>7.91</v>
      </c>
      <c r="R33" s="249">
        <f t="shared" si="7"/>
        <v>381.55038759689921</v>
      </c>
      <c r="S33" s="249">
        <f t="shared" si="3"/>
        <v>640.00000000000045</v>
      </c>
      <c r="T33" s="249">
        <f t="shared" si="4"/>
        <v>0</v>
      </c>
      <c r="U33" s="249">
        <f t="shared" si="5"/>
        <v>340.51679586563324</v>
      </c>
    </row>
    <row r="34" spans="1:21" x14ac:dyDescent="0.25">
      <c r="A34" s="244">
        <v>44957</v>
      </c>
      <c r="B34" s="252">
        <f>SUMIFS(criblage!$P:$P,criblage!$B:$B,'synthèse 312'!A34-1,criblage!$C:$C,'synthèse 312'!B$2)</f>
        <v>0</v>
      </c>
      <c r="C34" s="252">
        <f>SUMIFS(criblage!$P:$P,criblage!$B:$B,'synthèse 312'!$A34,criblage!$C:$C,'synthèse 312'!C$2)</f>
        <v>0</v>
      </c>
      <c r="D34" s="252">
        <f>SUMIFS(criblage!$P:$P,criblage!$B:$B,'synthèse 312'!$A34,criblage!$C:$C,'synthèse 312'!D$2)</f>
        <v>0</v>
      </c>
      <c r="E34" s="252">
        <f t="shared" si="0"/>
        <v>0</v>
      </c>
      <c r="F34" s="254">
        <f>SUMIFS(criblage!$O:$O,criblage!$B:$B,'synthèse 312'!$A34-1,criblage!$C:$C,'synthèse 312'!F$2)</f>
        <v>0</v>
      </c>
      <c r="G34" s="254">
        <f>SUMIFS(criblage!$O:$O,criblage!$B:$B,'synthèse 312'!$A34,criblage!$C:$C,'synthèse 312'!G$2)</f>
        <v>0</v>
      </c>
      <c r="H34" s="254">
        <f>SUMIFS(criblage!$O:$O,criblage!$B:$B,'synthèse 312'!$A34,criblage!$C:$C,'synthèse 312'!H$2)</f>
        <v>0</v>
      </c>
      <c r="I34" s="254">
        <f t="shared" si="6"/>
        <v>0</v>
      </c>
      <c r="J34" s="258">
        <f>8-SUMIFS('les arrets'!G:G,'les arrets'!B:B,'synthèse 312'!$A34-1,'les arrets'!C:C,'synthèse 312'!J$2)</f>
        <v>0</v>
      </c>
      <c r="K34" s="258">
        <f>8-SUMIFS('les arrets'!G:G,'les arrets'!B:B,'synthèse 312'!$A34,'les arrets'!C:C,'synthèse 312'!K$2)</f>
        <v>0</v>
      </c>
      <c r="L34" s="258">
        <f>8-SUMIFS('les arrets'!G:G,'les arrets'!B:B,'synthèse 312'!A34,'les arrets'!C:C,'synthèse 312'!L$2)</f>
        <v>8</v>
      </c>
      <c r="M34" s="258">
        <f t="shared" si="1"/>
        <v>8</v>
      </c>
      <c r="N34" s="248">
        <f>SUMIFS(criblage!$R:$R,criblage!$B:$B,'synthèse 312'!$A34-1,criblage!$C:$C,'synthèse 312'!N$2)</f>
        <v>0</v>
      </c>
      <c r="O34" s="248">
        <f>SUMIFS(criblage!$R:$R,criblage!$B:$B,'synthèse 312'!$A34,criblage!$C:$C,'synthèse 312'!O$2)</f>
        <v>0</v>
      </c>
      <c r="P34" s="248">
        <f>SUMIFS(criblage!$R:$R,criblage!$B:$B,'synthèse 312'!$A34,criblage!$C:$C,'synthèse 312'!P$2)</f>
        <v>0</v>
      </c>
      <c r="Q34" s="248">
        <f t="shared" si="2"/>
        <v>0</v>
      </c>
      <c r="R34" s="249" t="e">
        <f t="shared" si="7"/>
        <v>#DIV/0!</v>
      </c>
      <c r="S34" s="249">
        <f t="shared" si="3"/>
        <v>0</v>
      </c>
      <c r="T34" s="249">
        <f t="shared" si="4"/>
        <v>0</v>
      </c>
      <c r="U34" s="249" t="e">
        <f t="shared" si="5"/>
        <v>#DIV/0!</v>
      </c>
    </row>
    <row r="35" spans="1:21" x14ac:dyDescent="0.25">
      <c r="A35" s="244">
        <v>44958</v>
      </c>
      <c r="B35" s="252">
        <f>SUMIFS(criblage!$P:$P,criblage!$B:$B,'synthèse 312'!A35-1,criblage!$C:$C,'synthèse 312'!B$2)</f>
        <v>0</v>
      </c>
      <c r="C35" s="252">
        <f>SUMIFS(criblage!$P:$P,criblage!$B:$B,'synthèse 312'!$A35,criblage!$C:$C,'synthèse 312'!C$2)</f>
        <v>0</v>
      </c>
      <c r="D35" s="252">
        <f>SUMIFS(criblage!$P:$P,criblage!$B:$B,'synthèse 312'!$A35,criblage!$C:$C,'synthèse 312'!D$2)</f>
        <v>0</v>
      </c>
      <c r="E35" s="252">
        <f t="shared" si="0"/>
        <v>0</v>
      </c>
      <c r="F35" s="254">
        <f>SUMIFS(criblage!$O:$O,criblage!$B:$B,'synthèse 312'!$A35-1,criblage!$C:$C,'synthèse 312'!F$2)</f>
        <v>3634</v>
      </c>
      <c r="G35" s="254">
        <f>SUMIFS(criblage!$O:$O,criblage!$B:$B,'synthèse 312'!$A35,criblage!$C:$C,'synthèse 312'!G$2)</f>
        <v>147</v>
      </c>
      <c r="H35" s="254">
        <f>SUMIFS(criblage!$O:$O,criblage!$B:$B,'synthèse 312'!$A35,criblage!$C:$C,'synthèse 312'!H$2)</f>
        <v>0</v>
      </c>
      <c r="I35" s="254">
        <f t="shared" si="6"/>
        <v>3781</v>
      </c>
      <c r="J35" s="258">
        <f>8-SUMIFS('les arrets'!G:G,'les arrets'!B:B,'synthèse 312'!$A35-1,'les arrets'!C:C,'synthèse 312'!J$2)</f>
        <v>6.55</v>
      </c>
      <c r="K35" s="258">
        <f>8-SUMIFS('les arrets'!G:G,'les arrets'!B:B,'synthèse 312'!$A35,'les arrets'!C:C,'synthèse 312'!K$2)</f>
        <v>0</v>
      </c>
      <c r="L35" s="258">
        <f>8-SUMIFS('les arrets'!G:G,'les arrets'!B:B,'synthèse 312'!A35,'les arrets'!C:C,'synthèse 312'!L$2)</f>
        <v>0</v>
      </c>
      <c r="M35" s="258">
        <f t="shared" si="1"/>
        <v>6.55</v>
      </c>
      <c r="N35" s="248">
        <f>SUMIFS(criblage!$R:$R,criblage!$B:$B,'synthèse 312'!$A35-1,criblage!$C:$C,'synthèse 312'!N$2)</f>
        <v>6.5</v>
      </c>
      <c r="O35" s="248">
        <f>SUMIFS(criblage!$R:$R,criblage!$B:$B,'synthèse 312'!$A35,criblage!$C:$C,'synthèse 312'!O$2)</f>
        <v>0.43</v>
      </c>
      <c r="P35" s="248">
        <f>SUMIFS(criblage!$R:$R,criblage!$B:$B,'synthèse 312'!$A35,criblage!$C:$C,'synthèse 312'!P$2)</f>
        <v>0</v>
      </c>
      <c r="Q35" s="248">
        <f t="shared" si="2"/>
        <v>6.93</v>
      </c>
      <c r="R35" s="249">
        <f t="shared" si="7"/>
        <v>554.80916030534354</v>
      </c>
      <c r="S35" s="249">
        <f t="shared" si="3"/>
        <v>0</v>
      </c>
      <c r="T35" s="249">
        <f t="shared" si="4"/>
        <v>0</v>
      </c>
      <c r="U35" s="249">
        <f t="shared" si="5"/>
        <v>184.93638676844785</v>
      </c>
    </row>
    <row r="36" spans="1:21" x14ac:dyDescent="0.25">
      <c r="A36" s="244">
        <v>44959</v>
      </c>
      <c r="B36" s="252">
        <f>SUMIFS(criblage!$P:$P,criblage!$B:$B,'synthèse 312'!A36-1,criblage!$C:$C,'synthèse 312'!B$2)</f>
        <v>0</v>
      </c>
      <c r="C36" s="252">
        <f>SUMIFS(criblage!$P:$P,criblage!$B:$B,'synthèse 312'!$A36,criblage!$C:$C,'synthèse 312'!C$2)</f>
        <v>0</v>
      </c>
      <c r="D36" s="252">
        <f>SUMIFS(criblage!$P:$P,criblage!$B:$B,'synthèse 312'!$A36,criblage!$C:$C,'synthèse 312'!D$2)</f>
        <v>0</v>
      </c>
      <c r="E36" s="252">
        <f t="shared" si="0"/>
        <v>0</v>
      </c>
      <c r="F36" s="254">
        <f>SUMIFS(criblage!$O:$O,criblage!$B:$B,'synthèse 312'!$A36-1,criblage!$C:$C,'synthèse 312'!F$2)</f>
        <v>0</v>
      </c>
      <c r="G36" s="254">
        <f>SUMIFS(criblage!$O:$O,criblage!$B:$B,'synthèse 312'!$A36,criblage!$C:$C,'synthèse 312'!G$2)</f>
        <v>0</v>
      </c>
      <c r="H36" s="254">
        <f>SUMIFS(criblage!$O:$O,criblage!$B:$B,'synthèse 312'!$A36,criblage!$C:$C,'synthèse 312'!H$2)</f>
        <v>0</v>
      </c>
      <c r="I36" s="254">
        <f t="shared" si="6"/>
        <v>0</v>
      </c>
      <c r="J36" s="258">
        <f>8-SUMIFS('les arrets'!G:G,'les arrets'!B:B,'synthèse 312'!$A36-1,'les arrets'!C:C,'synthèse 312'!J$2)</f>
        <v>0</v>
      </c>
      <c r="K36" s="258">
        <f>8-SUMIFS('les arrets'!G:G,'les arrets'!B:B,'synthèse 312'!$A36,'les arrets'!C:C,'synthèse 312'!K$2)</f>
        <v>0</v>
      </c>
      <c r="L36" s="258">
        <f>8-SUMIFS('les arrets'!G:G,'les arrets'!B:B,'synthèse 312'!A36,'les arrets'!C:C,'synthèse 312'!L$2)</f>
        <v>0</v>
      </c>
      <c r="M36" s="258">
        <f t="shared" si="1"/>
        <v>0</v>
      </c>
      <c r="N36" s="248">
        <f>SUMIFS(criblage!$R:$R,criblage!$B:$B,'synthèse 312'!$A36-1,criblage!$C:$C,'synthèse 312'!N$2)</f>
        <v>0</v>
      </c>
      <c r="O36" s="248">
        <f>SUMIFS(criblage!$R:$R,criblage!$B:$B,'synthèse 312'!$A36,criblage!$C:$C,'synthèse 312'!O$2)</f>
        <v>0</v>
      </c>
      <c r="P36" s="248">
        <f>SUMIFS(criblage!$R:$R,criblage!$B:$B,'synthèse 312'!$A36,criblage!$C:$C,'synthèse 312'!P$2)</f>
        <v>0</v>
      </c>
      <c r="Q36" s="248">
        <f t="shared" si="2"/>
        <v>0</v>
      </c>
      <c r="R36" s="249" t="e">
        <f t="shared" si="7"/>
        <v>#DIV/0!</v>
      </c>
      <c r="S36" s="249">
        <f t="shared" si="3"/>
        <v>0</v>
      </c>
      <c r="T36" s="249">
        <f t="shared" si="4"/>
        <v>0</v>
      </c>
      <c r="U36" s="249" t="e">
        <f t="shared" si="5"/>
        <v>#DIV/0!</v>
      </c>
    </row>
    <row r="37" spans="1:21" x14ac:dyDescent="0.25">
      <c r="A37" s="244">
        <v>44960</v>
      </c>
      <c r="B37" s="252">
        <f>SUMIFS(criblage!$P:$P,criblage!$B:$B,'synthèse 312'!A37-1,criblage!$C:$C,'synthèse 312'!B$2)</f>
        <v>0</v>
      </c>
      <c r="C37" s="252">
        <f>SUMIFS(criblage!$P:$P,criblage!$B:$B,'synthèse 312'!$A37,criblage!$C:$C,'synthèse 312'!C$2)</f>
        <v>0</v>
      </c>
      <c r="D37" s="252">
        <f>SUMIFS(criblage!$P:$P,criblage!$B:$B,'synthèse 312'!$A37,criblage!$C:$C,'synthèse 312'!D$2)</f>
        <v>0</v>
      </c>
      <c r="E37" s="252">
        <f t="shared" si="0"/>
        <v>0</v>
      </c>
      <c r="F37" s="254">
        <f>SUMIFS(criblage!$O:$O,criblage!$B:$B,'synthèse 312'!$A37-1,criblage!$C:$C,'synthèse 312'!F$2)</f>
        <v>0</v>
      </c>
      <c r="G37" s="254">
        <f>SUMIFS(criblage!$O:$O,criblage!$B:$B,'synthèse 312'!$A37,criblage!$C:$C,'synthèse 312'!G$2)</f>
        <v>0</v>
      </c>
      <c r="H37" s="254">
        <f>SUMIFS(criblage!$O:$O,criblage!$B:$B,'synthèse 312'!$A37,criblage!$C:$C,'synthèse 312'!H$2)</f>
        <v>0</v>
      </c>
      <c r="I37" s="254">
        <f t="shared" si="6"/>
        <v>0</v>
      </c>
      <c r="J37" s="258">
        <f>8-SUMIFS('les arrets'!G:G,'les arrets'!B:B,'synthèse 312'!$A37-1,'les arrets'!C:C,'synthèse 312'!J$2)</f>
        <v>0</v>
      </c>
      <c r="K37" s="258">
        <f>8-SUMIFS('les arrets'!G:G,'les arrets'!B:B,'synthèse 312'!$A37,'les arrets'!C:C,'synthèse 312'!K$2)</f>
        <v>0</v>
      </c>
      <c r="L37" s="258">
        <f>8-SUMIFS('les arrets'!G:G,'les arrets'!B:B,'synthèse 312'!A37,'les arrets'!C:C,'synthèse 312'!L$2)</f>
        <v>0</v>
      </c>
      <c r="M37" s="258">
        <f t="shared" si="1"/>
        <v>0</v>
      </c>
      <c r="N37" s="248">
        <f>SUMIFS(criblage!$R:$R,criblage!$B:$B,'synthèse 312'!$A37-1,criblage!$C:$C,'synthèse 312'!N$2)</f>
        <v>0</v>
      </c>
      <c r="O37" s="248">
        <f>SUMIFS(criblage!$R:$R,criblage!$B:$B,'synthèse 312'!$A37,criblage!$C:$C,'synthèse 312'!O$2)</f>
        <v>0</v>
      </c>
      <c r="P37" s="248">
        <f>SUMIFS(criblage!$R:$R,criblage!$B:$B,'synthèse 312'!$A37,criblage!$C:$C,'synthèse 312'!P$2)</f>
        <v>0</v>
      </c>
      <c r="Q37" s="248">
        <f t="shared" si="2"/>
        <v>0</v>
      </c>
      <c r="R37" s="249" t="e">
        <f t="shared" si="7"/>
        <v>#DIV/0!</v>
      </c>
      <c r="S37" s="249">
        <f t="shared" si="3"/>
        <v>0</v>
      </c>
      <c r="T37" s="249">
        <f t="shared" si="4"/>
        <v>0</v>
      </c>
      <c r="U37" s="249" t="e">
        <f t="shared" si="5"/>
        <v>#DIV/0!</v>
      </c>
    </row>
    <row r="38" spans="1:21" x14ac:dyDescent="0.25">
      <c r="A38" s="244">
        <v>44961</v>
      </c>
      <c r="B38" s="252">
        <f>SUMIFS(criblage!$P:$P,criblage!$B:$B,'synthèse 312'!A38-1,criblage!$C:$C,'synthèse 312'!B$2)</f>
        <v>0</v>
      </c>
      <c r="C38" s="252">
        <f>SUMIFS(criblage!$P:$P,criblage!$B:$B,'synthèse 312'!$A38,criblage!$C:$C,'synthèse 312'!C$2)</f>
        <v>0</v>
      </c>
      <c r="D38" s="252">
        <f>SUMIFS(criblage!$P:$P,criblage!$B:$B,'synthèse 312'!$A38,criblage!$C:$C,'synthèse 312'!D$2)</f>
        <v>0</v>
      </c>
      <c r="E38" s="252">
        <f t="shared" si="0"/>
        <v>0</v>
      </c>
      <c r="F38" s="254">
        <f>SUMIFS(criblage!$O:$O,criblage!$B:$B,'synthèse 312'!$A38-1,criblage!$C:$C,'synthèse 312'!F$2)</f>
        <v>0</v>
      </c>
      <c r="G38" s="254">
        <f>SUMIFS(criblage!$O:$O,criblage!$B:$B,'synthèse 312'!$A38,criblage!$C:$C,'synthèse 312'!G$2)</f>
        <v>0</v>
      </c>
      <c r="H38" s="254">
        <f>SUMIFS(criblage!$O:$O,criblage!$B:$B,'synthèse 312'!$A38,criblage!$C:$C,'synthèse 312'!H$2)</f>
        <v>0</v>
      </c>
      <c r="I38" s="254">
        <f t="shared" si="6"/>
        <v>0</v>
      </c>
      <c r="J38" s="258">
        <f>8-SUMIFS('les arrets'!G:G,'les arrets'!B:B,'synthèse 312'!$A38-1,'les arrets'!C:C,'synthèse 312'!J$2)</f>
        <v>0</v>
      </c>
      <c r="K38" s="258">
        <f>8-SUMIFS('les arrets'!G:G,'les arrets'!B:B,'synthèse 312'!$A38,'les arrets'!C:C,'synthèse 312'!K$2)</f>
        <v>0</v>
      </c>
      <c r="L38" s="258">
        <f>8-SUMIFS('les arrets'!G:G,'les arrets'!B:B,'synthèse 312'!A38,'les arrets'!C:C,'synthèse 312'!L$2)</f>
        <v>0</v>
      </c>
      <c r="M38" s="258">
        <f t="shared" si="1"/>
        <v>0</v>
      </c>
      <c r="N38" s="248">
        <f>SUMIFS(criblage!$R:$R,criblage!$B:$B,'synthèse 312'!$A38-1,criblage!$C:$C,'synthèse 312'!N$2)</f>
        <v>0</v>
      </c>
      <c r="O38" s="248">
        <f>SUMIFS(criblage!$R:$R,criblage!$B:$B,'synthèse 312'!$A38,criblage!$C:$C,'synthèse 312'!O$2)</f>
        <v>0</v>
      </c>
      <c r="P38" s="248">
        <f>SUMIFS(criblage!$R:$R,criblage!$B:$B,'synthèse 312'!$A38,criblage!$C:$C,'synthèse 312'!P$2)</f>
        <v>0</v>
      </c>
      <c r="Q38" s="248">
        <f t="shared" si="2"/>
        <v>0</v>
      </c>
      <c r="R38" s="249" t="e">
        <f t="shared" si="7"/>
        <v>#DIV/0!</v>
      </c>
      <c r="S38" s="249">
        <f t="shared" si="3"/>
        <v>0</v>
      </c>
      <c r="T38" s="249">
        <f t="shared" si="4"/>
        <v>0</v>
      </c>
      <c r="U38" s="249" t="e">
        <f t="shared" si="5"/>
        <v>#DIV/0!</v>
      </c>
    </row>
    <row r="39" spans="1:21" x14ac:dyDescent="0.25">
      <c r="A39" s="244">
        <v>44962</v>
      </c>
      <c r="B39" s="252">
        <f>SUMIFS(criblage!$P:$P,criblage!$B:$B,'synthèse 312'!A39-1,criblage!$C:$C,'synthèse 312'!B$2)</f>
        <v>0</v>
      </c>
      <c r="C39" s="252">
        <f>SUMIFS(criblage!$P:$P,criblage!$B:$B,'synthèse 312'!$A39,criblage!$C:$C,'synthèse 312'!C$2)</f>
        <v>0</v>
      </c>
      <c r="D39" s="252">
        <f>SUMIFS(criblage!$P:$P,criblage!$B:$B,'synthèse 312'!$A39,criblage!$C:$C,'synthèse 312'!D$2)</f>
        <v>0</v>
      </c>
      <c r="E39" s="252">
        <f t="shared" si="0"/>
        <v>0</v>
      </c>
      <c r="F39" s="254">
        <f>SUMIFS(criblage!$O:$O,criblage!$B:$B,'synthèse 312'!$A39-1,criblage!$C:$C,'synthèse 312'!F$2)</f>
        <v>0</v>
      </c>
      <c r="G39" s="254">
        <f>SUMIFS(criblage!$O:$O,criblage!$B:$B,'synthèse 312'!$A39,criblage!$C:$C,'synthèse 312'!G$2)</f>
        <v>0</v>
      </c>
      <c r="H39" s="254">
        <f>SUMIFS(criblage!$O:$O,criblage!$B:$B,'synthèse 312'!$A39,criblage!$C:$C,'synthèse 312'!H$2)</f>
        <v>0</v>
      </c>
      <c r="I39" s="254">
        <f t="shared" si="6"/>
        <v>0</v>
      </c>
      <c r="J39" s="258">
        <f>8-SUMIFS('les arrets'!G:G,'les arrets'!B:B,'synthèse 312'!$A39-1,'les arrets'!C:C,'synthèse 312'!J$2)</f>
        <v>0</v>
      </c>
      <c r="K39" s="258">
        <f>8-SUMIFS('les arrets'!G:G,'les arrets'!B:B,'synthèse 312'!$A39,'les arrets'!C:C,'synthèse 312'!K$2)</f>
        <v>0</v>
      </c>
      <c r="L39" s="258">
        <f>8-SUMIFS('les arrets'!G:G,'les arrets'!B:B,'synthèse 312'!A39,'les arrets'!C:C,'synthèse 312'!L$2)</f>
        <v>0</v>
      </c>
      <c r="M39" s="258">
        <f t="shared" si="1"/>
        <v>0</v>
      </c>
      <c r="N39" s="248">
        <f>SUMIFS(criblage!$R:$R,criblage!$B:$B,'synthèse 312'!$A39-1,criblage!$C:$C,'synthèse 312'!N$2)</f>
        <v>0</v>
      </c>
      <c r="O39" s="248">
        <f>SUMIFS(criblage!$R:$R,criblage!$B:$B,'synthèse 312'!$A39,criblage!$C:$C,'synthèse 312'!O$2)</f>
        <v>0</v>
      </c>
      <c r="P39" s="248">
        <f>SUMIFS(criblage!$R:$R,criblage!$B:$B,'synthèse 312'!$A39,criblage!$C:$C,'synthèse 312'!P$2)</f>
        <v>0</v>
      </c>
      <c r="Q39" s="248">
        <f t="shared" si="2"/>
        <v>0</v>
      </c>
      <c r="R39" s="249" t="e">
        <f t="shared" si="7"/>
        <v>#DIV/0!</v>
      </c>
      <c r="S39" s="249">
        <f t="shared" si="3"/>
        <v>0</v>
      </c>
      <c r="T39" s="249">
        <f t="shared" si="4"/>
        <v>0</v>
      </c>
      <c r="U39" s="249" t="e">
        <f t="shared" si="5"/>
        <v>#DIV/0!</v>
      </c>
    </row>
    <row r="40" spans="1:21" x14ac:dyDescent="0.25">
      <c r="A40" s="244">
        <v>44963</v>
      </c>
      <c r="B40" s="252">
        <f>SUMIFS(criblage!$P:$P,criblage!$B:$B,'synthèse 312'!A40-1,criblage!$C:$C,'synthèse 312'!B$2)</f>
        <v>0</v>
      </c>
      <c r="C40" s="252">
        <f>SUMIFS(criblage!$P:$P,criblage!$B:$B,'synthèse 312'!$A40,criblage!$C:$C,'synthèse 312'!C$2)</f>
        <v>0</v>
      </c>
      <c r="D40" s="252">
        <f>SUMIFS(criblage!$P:$P,criblage!$B:$B,'synthèse 312'!$A40,criblage!$C:$C,'synthèse 312'!D$2)</f>
        <v>0</v>
      </c>
      <c r="E40" s="252">
        <f t="shared" si="0"/>
        <v>0</v>
      </c>
      <c r="F40" s="254">
        <f>SUMIFS(criblage!$O:$O,criblage!$B:$B,'synthèse 312'!$A40-1,criblage!$C:$C,'synthèse 312'!F$2)</f>
        <v>0</v>
      </c>
      <c r="G40" s="254">
        <f>SUMIFS(criblage!$O:$O,criblage!$B:$B,'synthèse 312'!$A40,criblage!$C:$C,'synthèse 312'!G$2)</f>
        <v>0</v>
      </c>
      <c r="H40" s="254">
        <f>SUMIFS(criblage!$O:$O,criblage!$B:$B,'synthèse 312'!$A40,criblage!$C:$C,'synthèse 312'!H$2)</f>
        <v>0</v>
      </c>
      <c r="I40" s="254">
        <f t="shared" si="6"/>
        <v>0</v>
      </c>
      <c r="J40" s="258">
        <f>8-SUMIFS('les arrets'!G:G,'les arrets'!B:B,'synthèse 312'!$A40-1,'les arrets'!C:C,'synthèse 312'!J$2)</f>
        <v>0</v>
      </c>
      <c r="K40" s="258">
        <f>8-SUMIFS('les arrets'!G:G,'les arrets'!B:B,'synthèse 312'!$A40,'les arrets'!C:C,'synthèse 312'!K$2)</f>
        <v>0</v>
      </c>
      <c r="L40" s="258">
        <f>8-SUMIFS('les arrets'!G:G,'les arrets'!B:B,'synthèse 312'!A40,'les arrets'!C:C,'synthèse 312'!L$2)</f>
        <v>0</v>
      </c>
      <c r="M40" s="258">
        <f t="shared" si="1"/>
        <v>0</v>
      </c>
      <c r="N40" s="248">
        <f>SUMIFS(criblage!$R:$R,criblage!$B:$B,'synthèse 312'!$A40-1,criblage!$C:$C,'synthèse 312'!N$2)</f>
        <v>0</v>
      </c>
      <c r="O40" s="248">
        <f>SUMIFS(criblage!$R:$R,criblage!$B:$B,'synthèse 312'!$A40,criblage!$C:$C,'synthèse 312'!O$2)</f>
        <v>0</v>
      </c>
      <c r="P40" s="248">
        <f>SUMIFS(criblage!$R:$R,criblage!$B:$B,'synthèse 312'!$A40,criblage!$C:$C,'synthèse 312'!P$2)</f>
        <v>0</v>
      </c>
      <c r="Q40" s="248">
        <f t="shared" si="2"/>
        <v>0</v>
      </c>
      <c r="R40" s="249" t="e">
        <f t="shared" si="7"/>
        <v>#DIV/0!</v>
      </c>
      <c r="S40" s="249">
        <f t="shared" si="3"/>
        <v>0</v>
      </c>
      <c r="T40" s="249">
        <f t="shared" si="4"/>
        <v>0</v>
      </c>
      <c r="U40" s="249" t="e">
        <f t="shared" si="5"/>
        <v>#DIV/0!</v>
      </c>
    </row>
    <row r="41" spans="1:21" x14ac:dyDescent="0.25">
      <c r="A41" s="244">
        <v>44964</v>
      </c>
      <c r="B41" s="252">
        <f>SUMIFS(criblage!$P:$P,criblage!$B:$B,'synthèse 312'!A41-1,criblage!$C:$C,'synthèse 312'!B$2)</f>
        <v>0</v>
      </c>
      <c r="C41" s="252">
        <f>SUMIFS(criblage!$P:$P,criblage!$B:$B,'synthèse 312'!$A41,criblage!$C:$C,'synthèse 312'!C$2)</f>
        <v>0</v>
      </c>
      <c r="D41" s="252">
        <f>SUMIFS(criblage!$P:$P,criblage!$B:$B,'synthèse 312'!$A41,criblage!$C:$C,'synthèse 312'!D$2)</f>
        <v>0</v>
      </c>
      <c r="E41" s="252">
        <f t="shared" si="0"/>
        <v>0</v>
      </c>
      <c r="F41" s="254">
        <f>SUMIFS(criblage!$O:$O,criblage!$B:$B,'synthèse 312'!$A41-1,criblage!$C:$C,'synthèse 312'!F$2)</f>
        <v>0</v>
      </c>
      <c r="G41" s="254">
        <f>SUMIFS(criblage!$O:$O,criblage!$B:$B,'synthèse 312'!$A41,criblage!$C:$C,'synthèse 312'!G$2)</f>
        <v>0</v>
      </c>
      <c r="H41" s="254">
        <f>SUMIFS(criblage!$O:$O,criblage!$B:$B,'synthèse 312'!$A41,criblage!$C:$C,'synthèse 312'!H$2)</f>
        <v>0</v>
      </c>
      <c r="I41" s="254">
        <f t="shared" si="6"/>
        <v>0</v>
      </c>
      <c r="J41" s="258">
        <f>8-SUMIFS('les arrets'!G:G,'les arrets'!B:B,'synthèse 312'!$A41-1,'les arrets'!C:C,'synthèse 312'!J$2)</f>
        <v>0</v>
      </c>
      <c r="K41" s="258">
        <f>8-SUMIFS('les arrets'!G:G,'les arrets'!B:B,'synthèse 312'!$A41,'les arrets'!C:C,'synthèse 312'!K$2)</f>
        <v>0</v>
      </c>
      <c r="L41" s="258">
        <f>8-SUMIFS('les arrets'!G:G,'les arrets'!B:B,'synthèse 312'!A41,'les arrets'!C:C,'synthèse 312'!L$2)</f>
        <v>0</v>
      </c>
      <c r="M41" s="258">
        <f t="shared" si="1"/>
        <v>0</v>
      </c>
      <c r="N41" s="248">
        <f>SUMIFS(criblage!$R:$R,criblage!$B:$B,'synthèse 312'!$A41-1,criblage!$C:$C,'synthèse 312'!N$2)</f>
        <v>0</v>
      </c>
      <c r="O41" s="248">
        <f>SUMIFS(criblage!$R:$R,criblage!$B:$B,'synthèse 312'!$A41,criblage!$C:$C,'synthèse 312'!O$2)</f>
        <v>0</v>
      </c>
      <c r="P41" s="248">
        <f>SUMIFS(criblage!$R:$R,criblage!$B:$B,'synthèse 312'!$A41,criblage!$C:$C,'synthèse 312'!P$2)</f>
        <v>0</v>
      </c>
      <c r="Q41" s="248">
        <f t="shared" si="2"/>
        <v>0</v>
      </c>
      <c r="R41" s="249" t="e">
        <f t="shared" si="7"/>
        <v>#DIV/0!</v>
      </c>
      <c r="S41" s="249">
        <f t="shared" si="3"/>
        <v>0</v>
      </c>
      <c r="T41" s="249">
        <f t="shared" si="4"/>
        <v>0</v>
      </c>
      <c r="U41" s="249" t="e">
        <f t="shared" si="5"/>
        <v>#DIV/0!</v>
      </c>
    </row>
    <row r="42" spans="1:21" x14ac:dyDescent="0.25">
      <c r="A42" s="244">
        <v>44965</v>
      </c>
      <c r="B42" s="252">
        <f>SUMIFS(criblage!$P:$P,criblage!$B:$B,'synthèse 312'!A42-1,criblage!$C:$C,'synthèse 312'!B$2)</f>
        <v>0</v>
      </c>
      <c r="C42" s="252">
        <f>SUMIFS(criblage!$P:$P,criblage!$B:$B,'synthèse 312'!$A42,criblage!$C:$C,'synthèse 312'!C$2)</f>
        <v>0</v>
      </c>
      <c r="D42" s="252">
        <f>SUMIFS(criblage!$P:$P,criblage!$B:$B,'synthèse 312'!$A42,criblage!$C:$C,'synthèse 312'!D$2)</f>
        <v>0</v>
      </c>
      <c r="E42" s="252">
        <f t="shared" si="0"/>
        <v>0</v>
      </c>
      <c r="F42" s="254">
        <f>SUMIFS(criblage!$O:$O,criblage!$B:$B,'synthèse 312'!$A42-1,criblage!$C:$C,'synthèse 312'!F$2)</f>
        <v>0</v>
      </c>
      <c r="G42" s="254">
        <f>SUMIFS(criblage!$O:$O,criblage!$B:$B,'synthèse 312'!$A42,criblage!$C:$C,'synthèse 312'!G$2)</f>
        <v>0</v>
      </c>
      <c r="H42" s="254">
        <f>SUMIFS(criblage!$O:$O,criblage!$B:$B,'synthèse 312'!$A42,criblage!$C:$C,'synthèse 312'!H$2)</f>
        <v>0</v>
      </c>
      <c r="I42" s="254">
        <f t="shared" si="6"/>
        <v>0</v>
      </c>
      <c r="J42" s="258">
        <f>8-SUMIFS('les arrets'!G:G,'les arrets'!B:B,'synthèse 312'!$A42-1,'les arrets'!C:C,'synthèse 312'!J$2)</f>
        <v>0</v>
      </c>
      <c r="K42" s="258">
        <f>8-SUMIFS('les arrets'!G:G,'les arrets'!B:B,'synthèse 312'!$A42,'les arrets'!C:C,'synthèse 312'!K$2)</f>
        <v>0</v>
      </c>
      <c r="L42" s="258">
        <f>8-SUMIFS('les arrets'!G:G,'les arrets'!B:B,'synthèse 312'!A42,'les arrets'!C:C,'synthèse 312'!L$2)</f>
        <v>0</v>
      </c>
      <c r="M42" s="258">
        <f t="shared" si="1"/>
        <v>0</v>
      </c>
      <c r="N42" s="248">
        <f>SUMIFS(criblage!$R:$R,criblage!$B:$B,'synthèse 312'!$A42-1,criblage!$C:$C,'synthèse 312'!N$2)</f>
        <v>0</v>
      </c>
      <c r="O42" s="248">
        <f>SUMIFS(criblage!$R:$R,criblage!$B:$B,'synthèse 312'!$A42,criblage!$C:$C,'synthèse 312'!O$2)</f>
        <v>0</v>
      </c>
      <c r="P42" s="248">
        <f>SUMIFS(criblage!$R:$R,criblage!$B:$B,'synthèse 312'!$A42,criblage!$C:$C,'synthèse 312'!P$2)</f>
        <v>0</v>
      </c>
      <c r="Q42" s="248">
        <f t="shared" si="2"/>
        <v>0</v>
      </c>
      <c r="R42" s="249" t="e">
        <f t="shared" si="7"/>
        <v>#DIV/0!</v>
      </c>
      <c r="S42" s="249">
        <f t="shared" si="3"/>
        <v>0</v>
      </c>
      <c r="T42" s="249">
        <f t="shared" si="4"/>
        <v>0</v>
      </c>
      <c r="U42" s="249" t="e">
        <f t="shared" si="5"/>
        <v>#DIV/0!</v>
      </c>
    </row>
    <row r="43" spans="1:21" x14ac:dyDescent="0.25">
      <c r="A43" s="244">
        <v>44966</v>
      </c>
      <c r="B43" s="252">
        <f>SUMIFS(criblage!$P:$P,criblage!$B:$B,'synthèse 312'!A43-1,criblage!$C:$C,'synthèse 312'!B$2)</f>
        <v>0</v>
      </c>
      <c r="C43" s="252">
        <f>SUMIFS(criblage!$P:$P,criblage!$B:$B,'synthèse 312'!$A43,criblage!$C:$C,'synthèse 312'!C$2)</f>
        <v>0</v>
      </c>
      <c r="D43" s="252">
        <f>SUMIFS(criblage!$P:$P,criblage!$B:$B,'synthèse 312'!$A43,criblage!$C:$C,'synthèse 312'!D$2)</f>
        <v>0</v>
      </c>
      <c r="E43" s="252">
        <f t="shared" si="0"/>
        <v>0</v>
      </c>
      <c r="F43" s="254">
        <f>SUMIFS(criblage!$O:$O,criblage!$B:$B,'synthèse 312'!$A43-1,criblage!$C:$C,'synthèse 312'!F$2)</f>
        <v>0</v>
      </c>
      <c r="G43" s="254">
        <f>SUMIFS(criblage!$O:$O,criblage!$B:$B,'synthèse 312'!$A43,criblage!$C:$C,'synthèse 312'!G$2)</f>
        <v>0</v>
      </c>
      <c r="H43" s="254">
        <f>SUMIFS(criblage!$O:$O,criblage!$B:$B,'synthèse 312'!$A43,criblage!$C:$C,'synthèse 312'!H$2)</f>
        <v>2565</v>
      </c>
      <c r="I43" s="254">
        <f t="shared" si="6"/>
        <v>2565</v>
      </c>
      <c r="J43" s="258">
        <f>8-SUMIFS('les arrets'!G:G,'les arrets'!B:B,'synthèse 312'!$A43-1,'les arrets'!C:C,'synthèse 312'!J$2)</f>
        <v>0</v>
      </c>
      <c r="K43" s="258">
        <f>8-SUMIFS('les arrets'!G:G,'les arrets'!B:B,'synthèse 312'!$A43,'les arrets'!C:C,'synthèse 312'!K$2)</f>
        <v>0</v>
      </c>
      <c r="L43" s="258">
        <f>8-SUMIFS('les arrets'!G:G,'les arrets'!B:B,'synthèse 312'!A43,'les arrets'!C:C,'synthèse 312'!L$2)</f>
        <v>4.666666666666667</v>
      </c>
      <c r="M43" s="258">
        <f t="shared" si="1"/>
        <v>4.666666666666667</v>
      </c>
      <c r="N43" s="248">
        <f>SUMIFS(criblage!$R:$R,criblage!$B:$B,'synthèse 312'!$A43-1,criblage!$C:$C,'synthèse 312'!N$2)</f>
        <v>0</v>
      </c>
      <c r="O43" s="248">
        <f>SUMIFS(criblage!$R:$R,criblage!$B:$B,'synthèse 312'!$A43,criblage!$C:$C,'synthèse 312'!O$2)</f>
        <v>0</v>
      </c>
      <c r="P43" s="248">
        <f>SUMIFS(criblage!$R:$R,criblage!$B:$B,'synthèse 312'!$A43,criblage!$C:$C,'synthèse 312'!P$2)</f>
        <v>6.55</v>
      </c>
      <c r="Q43" s="248">
        <f t="shared" si="2"/>
        <v>6.55</v>
      </c>
      <c r="R43" s="249" t="e">
        <f t="shared" si="7"/>
        <v>#DIV/0!</v>
      </c>
      <c r="S43" s="249">
        <f t="shared" si="3"/>
        <v>0</v>
      </c>
      <c r="T43" s="249">
        <f t="shared" si="4"/>
        <v>549.64285714285711</v>
      </c>
      <c r="U43" s="249" t="e">
        <f t="shared" si="5"/>
        <v>#DIV/0!</v>
      </c>
    </row>
    <row r="44" spans="1:21" x14ac:dyDescent="0.25">
      <c r="A44" s="244">
        <v>44967</v>
      </c>
      <c r="B44" s="252">
        <f>SUMIFS(criblage!$P:$P,criblage!$B:$B,'synthèse 312'!A44-1,criblage!$C:$C,'synthèse 312'!B$2)</f>
        <v>0</v>
      </c>
      <c r="C44" s="252">
        <f>SUMIFS(criblage!$P:$P,criblage!$B:$B,'synthèse 312'!$A44,criblage!$C:$C,'synthèse 312'!C$2)</f>
        <v>0</v>
      </c>
      <c r="D44" s="252">
        <f>SUMIFS(criblage!$P:$P,criblage!$B:$B,'synthèse 312'!$A44,criblage!$C:$C,'synthèse 312'!D$2)</f>
        <v>0</v>
      </c>
      <c r="E44" s="252">
        <f t="shared" si="0"/>
        <v>0</v>
      </c>
      <c r="F44" s="254">
        <f>SUMIFS(criblage!$O:$O,criblage!$B:$B,'synthèse 312'!$A44-1,criblage!$C:$C,'synthèse 312'!F$2)</f>
        <v>3262</v>
      </c>
      <c r="G44" s="254">
        <f>SUMIFS(criblage!$O:$O,criblage!$B:$B,'synthèse 312'!$A44,criblage!$C:$C,'synthèse 312'!G$2)</f>
        <v>1895</v>
      </c>
      <c r="H44" s="254">
        <f>SUMIFS(criblage!$O:$O,criblage!$B:$B,'synthèse 312'!$A44,criblage!$C:$C,'synthèse 312'!H$2)</f>
        <v>4543</v>
      </c>
      <c r="I44" s="254">
        <f t="shared" si="6"/>
        <v>9700</v>
      </c>
      <c r="J44" s="258">
        <f>8-SUMIFS('les arrets'!G:G,'les arrets'!B:B,'synthèse 312'!$A44-1,'les arrets'!C:C,'synthèse 312'!J$2)</f>
        <v>4.6333333333333329</v>
      </c>
      <c r="K44" s="258">
        <f>8-SUMIFS('les arrets'!G:G,'les arrets'!B:B,'synthèse 312'!$A44,'les arrets'!C:C,'synthèse 312'!K$2)</f>
        <v>3.6333333333333337</v>
      </c>
      <c r="L44" s="258">
        <f>8-SUMIFS('les arrets'!G:G,'les arrets'!B:B,'synthèse 312'!A44,'les arrets'!C:C,'synthèse 312'!L$2)</f>
        <v>6.6166666666666671</v>
      </c>
      <c r="M44" s="258">
        <f t="shared" si="1"/>
        <v>14.883333333333333</v>
      </c>
      <c r="N44" s="248">
        <f>SUMIFS(criblage!$R:$R,criblage!$B:$B,'synthèse 312'!$A44-1,criblage!$C:$C,'synthèse 312'!N$2)</f>
        <v>7.37</v>
      </c>
      <c r="O44" s="248">
        <f>SUMIFS(criblage!$R:$R,criblage!$B:$B,'synthèse 312'!$A44,criblage!$C:$C,'synthèse 312'!O$2)</f>
        <v>4.76</v>
      </c>
      <c r="P44" s="248">
        <f>SUMIFS(criblage!$R:$R,criblage!$B:$B,'synthèse 312'!$A44,criblage!$C:$C,'synthèse 312'!P$2)</f>
        <v>6.8000000000000007</v>
      </c>
      <c r="Q44" s="248">
        <f t="shared" si="2"/>
        <v>18.93</v>
      </c>
      <c r="R44" s="249">
        <f t="shared" si="7"/>
        <v>704.02877697841734</v>
      </c>
      <c r="S44" s="249">
        <f t="shared" si="3"/>
        <v>521.55963302752286</v>
      </c>
      <c r="T44" s="249">
        <f t="shared" si="4"/>
        <v>686.59949622166243</v>
      </c>
      <c r="U44" s="249">
        <f t="shared" si="5"/>
        <v>637.39596874253414</v>
      </c>
    </row>
    <row r="45" spans="1:21" x14ac:dyDescent="0.25">
      <c r="A45" s="244">
        <v>44968</v>
      </c>
      <c r="B45" s="252">
        <f>SUMIFS(criblage!$P:$P,criblage!$B:$B,'synthèse 312'!A45-1,criblage!$C:$C,'synthèse 312'!B$2)</f>
        <v>0</v>
      </c>
      <c r="C45" s="252">
        <f>SUMIFS(criblage!$P:$P,criblage!$B:$B,'synthèse 312'!$A45,criblage!$C:$C,'synthèse 312'!C$2)</f>
        <v>0</v>
      </c>
      <c r="D45" s="252">
        <f>SUMIFS(criblage!$P:$P,criblage!$B:$B,'synthèse 312'!$A45,criblage!$C:$C,'synthèse 312'!D$2)</f>
        <v>0</v>
      </c>
      <c r="E45" s="252">
        <f t="shared" si="0"/>
        <v>0</v>
      </c>
      <c r="F45" s="254">
        <f>SUMIFS(criblage!$O:$O,criblage!$B:$B,'synthèse 312'!$A45-1,criblage!$C:$C,'synthèse 312'!F$2)</f>
        <v>3047</v>
      </c>
      <c r="G45" s="254">
        <f>SUMIFS(criblage!$O:$O,criblage!$B:$B,'synthèse 312'!$A45,criblage!$C:$C,'synthèse 312'!G$2)</f>
        <v>3009</v>
      </c>
      <c r="H45" s="254">
        <f>SUMIFS(criblage!$O:$O,criblage!$B:$B,'synthèse 312'!$A45,criblage!$C:$C,'synthèse 312'!H$2)</f>
        <v>4890</v>
      </c>
      <c r="I45" s="254">
        <f t="shared" si="6"/>
        <v>10946</v>
      </c>
      <c r="J45" s="258">
        <f>8-SUMIFS('les arrets'!G:G,'les arrets'!B:B,'synthèse 312'!$A45-1,'les arrets'!C:C,'synthèse 312'!J$2)</f>
        <v>4.916666666666667</v>
      </c>
      <c r="K45" s="258">
        <f>8-SUMIFS('les arrets'!G:G,'les arrets'!B:B,'synthèse 312'!$A45,'les arrets'!C:C,'synthèse 312'!K$2)</f>
        <v>3.8</v>
      </c>
      <c r="L45" s="258">
        <f>8-SUMIFS('les arrets'!G:G,'les arrets'!B:B,'synthèse 312'!A45,'les arrets'!C:C,'synthèse 312'!L$2)</f>
        <v>7.1</v>
      </c>
      <c r="M45" s="258">
        <f t="shared" si="1"/>
        <v>15.816666666666666</v>
      </c>
      <c r="N45" s="248">
        <f>SUMIFS(criblage!$R:$R,criblage!$B:$B,'synthèse 312'!$A45-1,criblage!$C:$C,'synthèse 312'!N$2)</f>
        <v>5.0500000000000007</v>
      </c>
      <c r="O45" s="248">
        <f>SUMIFS(criblage!$R:$R,criblage!$B:$B,'synthèse 312'!$A45,criblage!$C:$C,'synthèse 312'!O$2)</f>
        <v>4.87</v>
      </c>
      <c r="P45" s="248">
        <f>SUMIFS(criblage!$R:$R,criblage!$B:$B,'synthèse 312'!$A45,criblage!$C:$C,'synthèse 312'!P$2)</f>
        <v>7.75</v>
      </c>
      <c r="Q45" s="248">
        <f t="shared" si="2"/>
        <v>17.670000000000002</v>
      </c>
      <c r="R45" s="249">
        <f t="shared" si="7"/>
        <v>619.72881355932202</v>
      </c>
      <c r="S45" s="249">
        <f t="shared" si="3"/>
        <v>791.84210526315792</v>
      </c>
      <c r="T45" s="249">
        <f t="shared" si="4"/>
        <v>688.73239436619724</v>
      </c>
      <c r="U45" s="249">
        <f t="shared" si="5"/>
        <v>700.10110439622576</v>
      </c>
    </row>
    <row r="46" spans="1:21" x14ac:dyDescent="0.25">
      <c r="A46" s="244">
        <v>44969</v>
      </c>
      <c r="B46" s="252">
        <f>SUMIFS(criblage!$P:$P,criblage!$B:$B,'synthèse 312'!A46-1,criblage!$C:$C,'synthèse 312'!B$2)</f>
        <v>0</v>
      </c>
      <c r="C46" s="252">
        <f>SUMIFS(criblage!$P:$P,criblage!$B:$B,'synthèse 312'!$A46,criblage!$C:$C,'synthèse 312'!C$2)</f>
        <v>0</v>
      </c>
      <c r="D46" s="252">
        <f>SUMIFS(criblage!$P:$P,criblage!$B:$B,'synthèse 312'!$A46,criblage!$C:$C,'synthèse 312'!D$2)</f>
        <v>0</v>
      </c>
      <c r="E46" s="252">
        <f t="shared" si="0"/>
        <v>0</v>
      </c>
      <c r="F46" s="254">
        <f>SUMIFS(criblage!$O:$O,criblage!$B:$B,'synthèse 312'!$A46-1,criblage!$C:$C,'synthèse 312'!F$2)</f>
        <v>3814</v>
      </c>
      <c r="G46" s="254">
        <f>SUMIFS(criblage!$O:$O,criblage!$B:$B,'synthèse 312'!$A46,criblage!$C:$C,'synthèse 312'!G$2)</f>
        <v>3805</v>
      </c>
      <c r="H46" s="254">
        <f>SUMIFS(criblage!$O:$O,criblage!$B:$B,'synthèse 312'!$A46,criblage!$C:$C,'synthèse 312'!H$2)</f>
        <v>4546</v>
      </c>
      <c r="I46" s="254">
        <f t="shared" si="6"/>
        <v>12165</v>
      </c>
      <c r="J46" s="258">
        <f>8-SUMIFS('les arrets'!G:G,'les arrets'!B:B,'synthèse 312'!$A46-1,'les arrets'!C:C,'synthèse 312'!J$2)</f>
        <v>6.0833333333333339</v>
      </c>
      <c r="K46" s="258">
        <f>8-SUMIFS('les arrets'!G:G,'les arrets'!B:B,'synthèse 312'!$A46,'les arrets'!C:C,'synthèse 312'!K$2)</f>
        <v>6.2166666666666668</v>
      </c>
      <c r="L46" s="258">
        <f>8-SUMIFS('les arrets'!G:G,'les arrets'!B:B,'synthèse 312'!A46,'les arrets'!C:C,'synthèse 312'!L$2)</f>
        <v>7.1333333333333329</v>
      </c>
      <c r="M46" s="258">
        <f t="shared" si="1"/>
        <v>19.433333333333334</v>
      </c>
      <c r="N46" s="248">
        <f>SUMIFS(criblage!$R:$R,criblage!$B:$B,'synthèse 312'!$A46-1,criblage!$C:$C,'synthèse 312'!N$2)</f>
        <v>6.71</v>
      </c>
      <c r="O46" s="248">
        <f>SUMIFS(criblage!$R:$R,criblage!$B:$B,'synthèse 312'!$A46,criblage!$C:$C,'synthèse 312'!O$2)</f>
        <v>6.47</v>
      </c>
      <c r="P46" s="248">
        <f>SUMIFS(criblage!$R:$R,criblage!$B:$B,'synthèse 312'!$A46,criblage!$C:$C,'synthèse 312'!P$2)</f>
        <v>7.35</v>
      </c>
      <c r="Q46" s="248">
        <f t="shared" si="2"/>
        <v>20.53</v>
      </c>
      <c r="R46" s="249">
        <f t="shared" si="7"/>
        <v>626.95890410958896</v>
      </c>
      <c r="S46" s="249">
        <f t="shared" si="3"/>
        <v>612.06434316353887</v>
      </c>
      <c r="T46" s="249">
        <f t="shared" si="4"/>
        <v>637.28971962616822</v>
      </c>
      <c r="U46" s="249">
        <f t="shared" si="5"/>
        <v>625.43765563309864</v>
      </c>
    </row>
    <row r="47" spans="1:21" x14ac:dyDescent="0.25">
      <c r="A47" s="244">
        <v>44970</v>
      </c>
      <c r="B47" s="252">
        <f>SUMIFS(criblage!$P:$P,criblage!$B:$B,'synthèse 312'!A47-1,criblage!$C:$C,'synthèse 312'!B$2)</f>
        <v>0</v>
      </c>
      <c r="C47" s="252">
        <f>SUMIFS(criblage!$P:$P,criblage!$B:$B,'synthèse 312'!$A47,criblage!$C:$C,'synthèse 312'!C$2)</f>
        <v>0</v>
      </c>
      <c r="D47" s="252">
        <f>SUMIFS(criblage!$P:$P,criblage!$B:$B,'synthèse 312'!$A47,criblage!$C:$C,'synthèse 312'!D$2)</f>
        <v>0</v>
      </c>
      <c r="E47" s="252">
        <f t="shared" si="0"/>
        <v>0</v>
      </c>
      <c r="F47" s="254">
        <f>SUMIFS(criblage!$O:$O,criblage!$B:$B,'synthèse 312'!$A47-1,criblage!$C:$C,'synthèse 312'!F$2)</f>
        <v>5681</v>
      </c>
      <c r="G47" s="254">
        <f>SUMIFS(criblage!$O:$O,criblage!$B:$B,'synthèse 312'!$A47,criblage!$C:$C,'synthèse 312'!G$2)</f>
        <v>4634</v>
      </c>
      <c r="H47" s="254">
        <f>SUMIFS(criblage!$O:$O,criblage!$B:$B,'synthèse 312'!$A47,criblage!$C:$C,'synthèse 312'!H$2)</f>
        <v>2100</v>
      </c>
      <c r="I47" s="254">
        <f t="shared" si="6"/>
        <v>12415</v>
      </c>
      <c r="J47" s="258">
        <f>8-SUMIFS('les arrets'!G:G,'les arrets'!B:B,'synthèse 312'!$A47-1,'les arrets'!C:C,'synthèse 312'!J$2)</f>
        <v>7.25</v>
      </c>
      <c r="K47" s="258">
        <f>8-SUMIFS('les arrets'!G:G,'les arrets'!B:B,'synthèse 312'!$A47,'les arrets'!C:C,'synthèse 312'!K$2)</f>
        <v>5.6166666666666671</v>
      </c>
      <c r="L47" s="258">
        <f>8-SUMIFS('les arrets'!G:G,'les arrets'!B:B,'synthèse 312'!A47,'les arrets'!C:C,'synthèse 312'!L$2)</f>
        <v>3.1500000000000004</v>
      </c>
      <c r="M47" s="258">
        <f t="shared" si="1"/>
        <v>16.016666666666666</v>
      </c>
      <c r="N47" s="248">
        <f>SUMIFS(criblage!$R:$R,criblage!$B:$B,'synthèse 312'!$A47-1,criblage!$C:$C,'synthèse 312'!N$2)</f>
        <v>7.16</v>
      </c>
      <c r="O47" s="248">
        <f>SUMIFS(criblage!$R:$R,criblage!$B:$B,'synthèse 312'!$A47,criblage!$C:$C,'synthèse 312'!O$2)</f>
        <v>5.68</v>
      </c>
      <c r="P47" s="248">
        <f>SUMIFS(criblage!$R:$R,criblage!$B:$B,'synthèse 312'!$A47,criblage!$C:$C,'synthèse 312'!P$2)</f>
        <v>3.48</v>
      </c>
      <c r="Q47" s="248">
        <f t="shared" si="2"/>
        <v>16.32</v>
      </c>
      <c r="R47" s="249">
        <f t="shared" si="7"/>
        <v>783.58620689655174</v>
      </c>
      <c r="S47" s="249">
        <f t="shared" si="3"/>
        <v>825.04451038575655</v>
      </c>
      <c r="T47" s="249">
        <f t="shared" si="4"/>
        <v>666.66666666666663</v>
      </c>
      <c r="U47" s="249">
        <f t="shared" si="5"/>
        <v>758.43246131632498</v>
      </c>
    </row>
    <row r="48" spans="1:21" x14ac:dyDescent="0.25">
      <c r="A48" s="244">
        <v>44971</v>
      </c>
      <c r="B48" s="252">
        <f>SUMIFS(criblage!$P:$P,criblage!$B:$B,'synthèse 312'!A48-1,criblage!$C:$C,'synthèse 312'!B$2)</f>
        <v>0</v>
      </c>
      <c r="C48" s="252">
        <f>SUMIFS(criblage!$P:$P,criblage!$B:$B,'synthèse 312'!$A48,criblage!$C:$C,'synthèse 312'!C$2)</f>
        <v>0</v>
      </c>
      <c r="D48" s="252">
        <f>SUMIFS(criblage!$P:$P,criblage!$B:$B,'synthèse 312'!$A48,criblage!$C:$C,'synthèse 312'!D$2)</f>
        <v>0</v>
      </c>
      <c r="E48" s="252">
        <f t="shared" si="0"/>
        <v>0</v>
      </c>
      <c r="F48" s="254">
        <f>SUMIFS(criblage!$O:$O,criblage!$B:$B,'synthèse 312'!$A48-1,criblage!$C:$C,'synthèse 312'!F$2)</f>
        <v>5747</v>
      </c>
      <c r="G48" s="254">
        <f>SUMIFS(criblage!$O:$O,criblage!$B:$B,'synthèse 312'!$A48,criblage!$C:$C,'synthèse 312'!G$2)</f>
        <v>523</v>
      </c>
      <c r="H48" s="254">
        <f>SUMIFS(criblage!$O:$O,criblage!$B:$B,'synthèse 312'!$A48,criblage!$C:$C,'synthèse 312'!H$2)</f>
        <v>0</v>
      </c>
      <c r="I48" s="254">
        <f t="shared" si="6"/>
        <v>6270</v>
      </c>
      <c r="J48" s="258">
        <f>8-SUMIFS('les arrets'!G:G,'les arrets'!B:B,'synthèse 312'!$A48-1,'les arrets'!C:C,'synthèse 312'!J$2)</f>
        <v>6.75</v>
      </c>
      <c r="K48" s="258">
        <f>8-SUMIFS('les arrets'!G:G,'les arrets'!B:B,'synthèse 312'!$A48,'les arrets'!C:C,'synthèse 312'!K$2)</f>
        <v>0.53333333333333321</v>
      </c>
      <c r="L48" s="258">
        <f>8-SUMIFS('les arrets'!G:G,'les arrets'!B:B,'synthèse 312'!A48,'les arrets'!C:C,'synthèse 312'!L$2)</f>
        <v>0</v>
      </c>
      <c r="M48" s="258">
        <f t="shared" si="1"/>
        <v>7.2833333333333332</v>
      </c>
      <c r="N48" s="248">
        <f>SUMIFS(criblage!$R:$R,criblage!$B:$B,'synthèse 312'!$A48-1,criblage!$C:$C,'synthèse 312'!N$2)</f>
        <v>6.83</v>
      </c>
      <c r="O48" s="248">
        <f>SUMIFS(criblage!$R:$R,criblage!$B:$B,'synthèse 312'!$A48,criblage!$C:$C,'synthèse 312'!O$2)</f>
        <v>0.59</v>
      </c>
      <c r="P48" s="248">
        <f>SUMIFS(criblage!$R:$R,criblage!$B:$B,'synthèse 312'!$A48,criblage!$C:$C,'synthèse 312'!P$2)</f>
        <v>0</v>
      </c>
      <c r="Q48" s="248">
        <f t="shared" si="2"/>
        <v>7.42</v>
      </c>
      <c r="R48" s="249">
        <f t="shared" si="7"/>
        <v>851.40740740740739</v>
      </c>
      <c r="S48" s="249">
        <f t="shared" si="3"/>
        <v>980.62500000000023</v>
      </c>
      <c r="T48" s="249">
        <f t="shared" si="4"/>
        <v>0</v>
      </c>
      <c r="U48" s="249">
        <f t="shared" si="5"/>
        <v>610.67746913580254</v>
      </c>
    </row>
    <row r="49" spans="1:21" x14ac:dyDescent="0.25">
      <c r="A49" s="244">
        <v>44972</v>
      </c>
      <c r="B49" s="252">
        <f>SUMIFS(criblage!$P:$P,criblage!$B:$B,'synthèse 312'!A49-1,criblage!$C:$C,'synthèse 312'!B$2)</f>
        <v>0</v>
      </c>
      <c r="C49" s="252">
        <f>SUMIFS(criblage!$P:$P,criblage!$B:$B,'synthèse 312'!$A49,criblage!$C:$C,'synthèse 312'!C$2)</f>
        <v>0</v>
      </c>
      <c r="D49" s="252">
        <f>SUMIFS(criblage!$P:$P,criblage!$B:$B,'synthèse 312'!$A49,criblage!$C:$C,'synthèse 312'!D$2)</f>
        <v>0</v>
      </c>
      <c r="E49" s="252">
        <f t="shared" si="0"/>
        <v>0</v>
      </c>
      <c r="F49" s="254">
        <f>SUMIFS(criblage!$O:$O,criblage!$B:$B,'synthèse 312'!$A49-1,criblage!$C:$C,'synthèse 312'!F$2)</f>
        <v>0</v>
      </c>
      <c r="G49" s="254">
        <f>SUMIFS(criblage!$O:$O,criblage!$B:$B,'synthèse 312'!$A49,criblage!$C:$C,'synthèse 312'!G$2)</f>
        <v>0</v>
      </c>
      <c r="H49" s="254">
        <f>SUMIFS(criblage!$O:$O,criblage!$B:$B,'synthèse 312'!$A49,criblage!$C:$C,'synthèse 312'!H$2)</f>
        <v>0</v>
      </c>
      <c r="I49" s="254">
        <f t="shared" si="6"/>
        <v>0</v>
      </c>
      <c r="J49" s="258">
        <f>8-SUMIFS('les arrets'!G:G,'les arrets'!B:B,'synthèse 312'!$A49-1,'les arrets'!C:C,'synthèse 312'!J$2)</f>
        <v>0</v>
      </c>
      <c r="K49" s="258">
        <f>8-SUMIFS('les arrets'!G:G,'les arrets'!B:B,'synthèse 312'!$A49,'les arrets'!C:C,'synthèse 312'!K$2)</f>
        <v>0</v>
      </c>
      <c r="L49" s="258">
        <f>8-SUMIFS('les arrets'!G:G,'les arrets'!B:B,'synthèse 312'!A49,'les arrets'!C:C,'synthèse 312'!L$2)</f>
        <v>0</v>
      </c>
      <c r="M49" s="258">
        <f t="shared" si="1"/>
        <v>0</v>
      </c>
      <c r="N49" s="248">
        <f>SUMIFS(criblage!$R:$R,criblage!$B:$B,'synthèse 312'!$A49-1,criblage!$C:$C,'synthèse 312'!N$2)</f>
        <v>0</v>
      </c>
      <c r="O49" s="248">
        <f>SUMIFS(criblage!$R:$R,criblage!$B:$B,'synthèse 312'!$A49,criblage!$C:$C,'synthèse 312'!O$2)</f>
        <v>0</v>
      </c>
      <c r="P49" s="248">
        <f>SUMIFS(criblage!$R:$R,criblage!$B:$B,'synthèse 312'!$A49,criblage!$C:$C,'synthèse 312'!P$2)</f>
        <v>0</v>
      </c>
      <c r="Q49" s="248">
        <f t="shared" si="2"/>
        <v>0</v>
      </c>
      <c r="R49" s="249" t="e">
        <f t="shared" si="7"/>
        <v>#DIV/0!</v>
      </c>
      <c r="S49" s="249">
        <f t="shared" si="3"/>
        <v>0</v>
      </c>
      <c r="T49" s="249">
        <f t="shared" si="4"/>
        <v>0</v>
      </c>
      <c r="U49" s="249" t="e">
        <f t="shared" si="5"/>
        <v>#DIV/0!</v>
      </c>
    </row>
    <row r="50" spans="1:21" x14ac:dyDescent="0.25">
      <c r="A50" s="244">
        <v>44973</v>
      </c>
      <c r="B50" s="252">
        <f>SUMIFS(criblage!$P:$P,criblage!$B:$B,'synthèse 312'!A50-1,criblage!$C:$C,'synthèse 312'!B$2)</f>
        <v>0</v>
      </c>
      <c r="C50" s="252">
        <f>SUMIFS(criblage!$P:$P,criblage!$B:$B,'synthèse 312'!$A50,criblage!$C:$C,'synthèse 312'!C$2)</f>
        <v>0</v>
      </c>
      <c r="D50" s="252">
        <f>SUMIFS(criblage!$P:$P,criblage!$B:$B,'synthèse 312'!$A50,criblage!$C:$C,'synthèse 312'!D$2)</f>
        <v>0</v>
      </c>
      <c r="E50" s="252">
        <f t="shared" si="0"/>
        <v>0</v>
      </c>
      <c r="F50" s="254">
        <f>SUMIFS(criblage!$O:$O,criblage!$B:$B,'synthèse 312'!$A50-1,criblage!$C:$C,'synthèse 312'!F$2)</f>
        <v>0</v>
      </c>
      <c r="G50" s="254">
        <f>SUMIFS(criblage!$O:$O,criblage!$B:$B,'synthèse 312'!$A50,criblage!$C:$C,'synthèse 312'!G$2)</f>
        <v>0</v>
      </c>
      <c r="H50" s="254">
        <f>SUMIFS(criblage!$O:$O,criblage!$B:$B,'synthèse 312'!$A50,criblage!$C:$C,'synthèse 312'!H$2)</f>
        <v>0</v>
      </c>
      <c r="I50" s="254">
        <f t="shared" si="6"/>
        <v>0</v>
      </c>
      <c r="J50" s="258">
        <f>8-SUMIFS('les arrets'!G:G,'les arrets'!B:B,'synthèse 312'!$A50-1,'les arrets'!C:C,'synthèse 312'!J$2)</f>
        <v>0</v>
      </c>
      <c r="K50" s="258">
        <f>8-SUMIFS('les arrets'!G:G,'les arrets'!B:B,'synthèse 312'!$A50,'les arrets'!C:C,'synthèse 312'!K$2)</f>
        <v>0</v>
      </c>
      <c r="L50" s="258">
        <f>8-SUMIFS('les arrets'!G:G,'les arrets'!B:B,'synthèse 312'!A50,'les arrets'!C:C,'synthèse 312'!L$2)</f>
        <v>0</v>
      </c>
      <c r="M50" s="258">
        <f t="shared" si="1"/>
        <v>0</v>
      </c>
      <c r="N50" s="248">
        <f>SUMIFS(criblage!$R:$R,criblage!$B:$B,'synthèse 312'!$A50-1,criblage!$C:$C,'synthèse 312'!N$2)</f>
        <v>0</v>
      </c>
      <c r="O50" s="248">
        <f>SUMIFS(criblage!$R:$R,criblage!$B:$B,'synthèse 312'!$A50,criblage!$C:$C,'synthèse 312'!O$2)</f>
        <v>0</v>
      </c>
      <c r="P50" s="248">
        <f>SUMIFS(criblage!$R:$R,criblage!$B:$B,'synthèse 312'!$A50,criblage!$C:$C,'synthèse 312'!P$2)</f>
        <v>0</v>
      </c>
      <c r="Q50" s="248">
        <f t="shared" si="2"/>
        <v>0</v>
      </c>
      <c r="R50" s="249" t="e">
        <f t="shared" si="7"/>
        <v>#DIV/0!</v>
      </c>
      <c r="S50" s="249">
        <f t="shared" si="3"/>
        <v>0</v>
      </c>
      <c r="T50" s="249">
        <f t="shared" si="4"/>
        <v>0</v>
      </c>
      <c r="U50" s="249" t="e">
        <f t="shared" si="5"/>
        <v>#DIV/0!</v>
      </c>
    </row>
    <row r="51" spans="1:21" x14ac:dyDescent="0.25">
      <c r="A51" s="244">
        <v>44974</v>
      </c>
      <c r="B51" s="252">
        <f>SUMIFS(criblage!$P:$P,criblage!$B:$B,'synthèse 312'!A51-1,criblage!$C:$C,'synthèse 312'!B$2)</f>
        <v>0</v>
      </c>
      <c r="C51" s="252">
        <f>SUMIFS(criblage!$P:$P,criblage!$B:$B,'synthèse 312'!$A51,criblage!$C:$C,'synthèse 312'!C$2)</f>
        <v>0</v>
      </c>
      <c r="D51" s="252">
        <f>SUMIFS(criblage!$P:$P,criblage!$B:$B,'synthèse 312'!$A51,criblage!$C:$C,'synthèse 312'!D$2)</f>
        <v>0</v>
      </c>
      <c r="E51" s="252">
        <f t="shared" si="0"/>
        <v>0</v>
      </c>
      <c r="F51" s="254">
        <f>SUMIFS(criblage!$O:$O,criblage!$B:$B,'synthèse 312'!$A51-1,criblage!$C:$C,'synthèse 312'!F$2)</f>
        <v>0</v>
      </c>
      <c r="G51" s="254">
        <f>SUMIFS(criblage!$O:$O,criblage!$B:$B,'synthèse 312'!$A51,criblage!$C:$C,'synthèse 312'!G$2)</f>
        <v>2960</v>
      </c>
      <c r="H51" s="254">
        <f>SUMIFS(criblage!$O:$O,criblage!$B:$B,'synthèse 312'!$A51,criblage!$C:$C,'synthèse 312'!H$2)</f>
        <v>5361</v>
      </c>
      <c r="I51" s="254">
        <f t="shared" si="6"/>
        <v>8321</v>
      </c>
      <c r="J51" s="258">
        <f>8-SUMIFS('les arrets'!G:G,'les arrets'!B:B,'synthèse 312'!$A51-1,'les arrets'!C:C,'synthèse 312'!J$2)</f>
        <v>0</v>
      </c>
      <c r="K51" s="258">
        <f>8-SUMIFS('les arrets'!G:G,'les arrets'!B:B,'synthèse 312'!$A51,'les arrets'!C:C,'synthèse 312'!K$2)</f>
        <v>4.6833333333333336</v>
      </c>
      <c r="L51" s="258">
        <f>8-SUMIFS('les arrets'!G:G,'les arrets'!B:B,'synthèse 312'!A51,'les arrets'!C:C,'synthèse 312'!L$2)</f>
        <v>6.9666666666666668</v>
      </c>
      <c r="M51" s="258">
        <f t="shared" si="1"/>
        <v>11.65</v>
      </c>
      <c r="N51" s="248">
        <f>SUMIFS(criblage!$R:$R,criblage!$B:$B,'synthèse 312'!$A51-1,criblage!$C:$C,'synthèse 312'!N$2)</f>
        <v>0</v>
      </c>
      <c r="O51" s="248">
        <f>SUMIFS(criblage!$R:$R,criblage!$B:$B,'synthèse 312'!$A51,criblage!$C:$C,'synthèse 312'!O$2)</f>
        <v>4.1899999999999995</v>
      </c>
      <c r="P51" s="248">
        <f>SUMIFS(criblage!$R:$R,criblage!$B:$B,'synthèse 312'!$A51,criblage!$C:$C,'synthèse 312'!P$2)</f>
        <v>6.83</v>
      </c>
      <c r="Q51" s="248">
        <f t="shared" si="2"/>
        <v>11.02</v>
      </c>
      <c r="R51" s="249" t="e">
        <f t="shared" si="7"/>
        <v>#DIV/0!</v>
      </c>
      <c r="S51" s="249">
        <f t="shared" si="3"/>
        <v>632.0284697508896</v>
      </c>
      <c r="T51" s="249">
        <f t="shared" si="4"/>
        <v>769.52153110047846</v>
      </c>
      <c r="U51" s="249" t="e">
        <f t="shared" si="5"/>
        <v>#DIV/0!</v>
      </c>
    </row>
    <row r="52" spans="1:21" x14ac:dyDescent="0.25">
      <c r="A52" s="244">
        <v>44975</v>
      </c>
      <c r="B52" s="252">
        <f>SUMIFS(criblage!$P:$P,criblage!$B:$B,'synthèse 312'!A52-1,criblage!$C:$C,'synthèse 312'!B$2)</f>
        <v>0</v>
      </c>
      <c r="C52" s="252">
        <f>SUMIFS(criblage!$P:$P,criblage!$B:$B,'synthèse 312'!$A52,criblage!$C:$C,'synthèse 312'!C$2)</f>
        <v>0</v>
      </c>
      <c r="D52" s="252">
        <f>SUMIFS(criblage!$P:$P,criblage!$B:$B,'synthèse 312'!$A52,criblage!$C:$C,'synthèse 312'!D$2)</f>
        <v>0</v>
      </c>
      <c r="E52" s="252">
        <f t="shared" si="0"/>
        <v>0</v>
      </c>
      <c r="F52" s="254">
        <f>SUMIFS(criblage!$O:$O,criblage!$B:$B,'synthèse 312'!$A52-1,criblage!$C:$C,'synthèse 312'!F$2)</f>
        <v>3800</v>
      </c>
      <c r="G52" s="254">
        <f>SUMIFS(criblage!$O:$O,criblage!$B:$B,'synthèse 312'!$A52,criblage!$C:$C,'synthèse 312'!G$2)</f>
        <v>3378</v>
      </c>
      <c r="H52" s="254">
        <f>SUMIFS(criblage!$O:$O,criblage!$B:$B,'synthèse 312'!$A52,criblage!$C:$C,'synthèse 312'!H$2)</f>
        <v>3002</v>
      </c>
      <c r="I52" s="254">
        <f t="shared" si="6"/>
        <v>10180</v>
      </c>
      <c r="J52" s="258">
        <f>8-SUMIFS('les arrets'!G:G,'les arrets'!B:B,'synthèse 312'!$A52-1,'les arrets'!C:C,'synthèse 312'!J$2)</f>
        <v>6.0666666666666664</v>
      </c>
      <c r="K52" s="258">
        <f>8-SUMIFS('les arrets'!G:G,'les arrets'!B:B,'synthèse 312'!$A52,'les arrets'!C:C,'synthèse 312'!K$2)</f>
        <v>5.6999999999999993</v>
      </c>
      <c r="L52" s="258">
        <f>8-SUMIFS('les arrets'!G:G,'les arrets'!B:B,'synthèse 312'!A52,'les arrets'!C:C,'synthèse 312'!L$2)</f>
        <v>4.083333333333333</v>
      </c>
      <c r="M52" s="258">
        <f t="shared" si="1"/>
        <v>15.849999999999998</v>
      </c>
      <c r="N52" s="248">
        <f>SUMIFS(criblage!$R:$R,criblage!$B:$B,'synthèse 312'!$A52-1,criblage!$C:$C,'synthèse 312'!N$2)</f>
        <v>5.3</v>
      </c>
      <c r="O52" s="248">
        <f>SUMIFS(criblage!$R:$R,criblage!$B:$B,'synthèse 312'!$A52,criblage!$C:$C,'synthèse 312'!O$2)</f>
        <v>5.73</v>
      </c>
      <c r="P52" s="248">
        <f>SUMIFS(criblage!$R:$R,criblage!$B:$B,'synthèse 312'!$A52,criblage!$C:$C,'synthèse 312'!P$2)</f>
        <v>4.1900000000000004</v>
      </c>
      <c r="Q52" s="248">
        <f t="shared" si="2"/>
        <v>15.220000000000002</v>
      </c>
      <c r="R52" s="249">
        <f t="shared" si="7"/>
        <v>626.37362637362639</v>
      </c>
      <c r="S52" s="249">
        <f t="shared" si="3"/>
        <v>592.63157894736844</v>
      </c>
      <c r="T52" s="249">
        <f t="shared" si="4"/>
        <v>735.18367346938783</v>
      </c>
      <c r="U52" s="249">
        <f t="shared" si="5"/>
        <v>651.39629293012752</v>
      </c>
    </row>
    <row r="53" spans="1:21" x14ac:dyDescent="0.25">
      <c r="A53" s="244">
        <v>44976</v>
      </c>
      <c r="B53" s="252">
        <f>SUMIFS(criblage!$P:$P,criblage!$B:$B,'synthèse 312'!A53-1,criblage!$C:$C,'synthèse 312'!B$2)</f>
        <v>0</v>
      </c>
      <c r="C53" s="252">
        <f>SUMIFS(criblage!$P:$P,criblage!$B:$B,'synthèse 312'!$A53,criblage!$C:$C,'synthèse 312'!C$2)</f>
        <v>0</v>
      </c>
      <c r="D53" s="252">
        <f>SUMIFS(criblage!$P:$P,criblage!$B:$B,'synthèse 312'!$A53,criblage!$C:$C,'synthèse 312'!D$2)</f>
        <v>0</v>
      </c>
      <c r="E53" s="252">
        <f t="shared" si="0"/>
        <v>0</v>
      </c>
      <c r="F53" s="254">
        <f>SUMIFS(criblage!$O:$O,criblage!$B:$B,'synthèse 312'!$A53-1,criblage!$C:$C,'synthèse 312'!F$2)</f>
        <v>0</v>
      </c>
      <c r="G53" s="254">
        <f>SUMIFS(criblage!$O:$O,criblage!$B:$B,'synthèse 312'!$A53,criblage!$C:$C,'synthèse 312'!G$2)</f>
        <v>2450</v>
      </c>
      <c r="H53" s="254">
        <f>SUMIFS(criblage!$O:$O,criblage!$B:$B,'synthèse 312'!$A53,criblage!$C:$C,'synthèse 312'!H$2)</f>
        <v>3736</v>
      </c>
      <c r="I53" s="254">
        <f t="shared" si="6"/>
        <v>6186</v>
      </c>
      <c r="J53" s="258">
        <f>8-SUMIFS('les arrets'!G:G,'les arrets'!B:B,'synthèse 312'!$A53-1,'les arrets'!C:C,'synthèse 312'!J$2)</f>
        <v>0</v>
      </c>
      <c r="K53" s="258">
        <f>8-SUMIFS('les arrets'!G:G,'les arrets'!B:B,'synthèse 312'!$A53,'les arrets'!C:C,'synthèse 312'!K$2)</f>
        <v>3.75</v>
      </c>
      <c r="L53" s="258">
        <f>8-SUMIFS('les arrets'!G:G,'les arrets'!B:B,'synthèse 312'!A53,'les arrets'!C:C,'synthèse 312'!L$2)</f>
        <v>5.2333333333333334</v>
      </c>
      <c r="M53" s="258">
        <f t="shared" si="1"/>
        <v>8.9833333333333343</v>
      </c>
      <c r="N53" s="248">
        <f>SUMIFS(criblage!$R:$R,criblage!$B:$B,'synthèse 312'!$A53-1,criblage!$C:$C,'synthèse 312'!N$2)</f>
        <v>0</v>
      </c>
      <c r="O53" s="248">
        <f>SUMIFS(criblage!$R:$R,criblage!$B:$B,'synthèse 312'!$A53,criblage!$C:$C,'synthèse 312'!O$2)</f>
        <v>4.07</v>
      </c>
      <c r="P53" s="248">
        <f>SUMIFS(criblage!$R:$R,criblage!$B:$B,'synthèse 312'!$A53,criblage!$C:$C,'synthèse 312'!P$2)</f>
        <v>5.71</v>
      </c>
      <c r="Q53" s="248">
        <f t="shared" si="2"/>
        <v>9.7800000000000011</v>
      </c>
      <c r="R53" s="249" t="e">
        <f t="shared" si="7"/>
        <v>#DIV/0!</v>
      </c>
      <c r="S53" s="249">
        <f t="shared" si="3"/>
        <v>653.33333333333337</v>
      </c>
      <c r="T53" s="249">
        <f t="shared" si="4"/>
        <v>713.8853503184713</v>
      </c>
      <c r="U53" s="249" t="e">
        <f t="shared" si="5"/>
        <v>#DIV/0!</v>
      </c>
    </row>
    <row r="54" spans="1:21" x14ac:dyDescent="0.25">
      <c r="A54" s="244">
        <v>44977</v>
      </c>
      <c r="B54" s="252">
        <f>SUMIFS(criblage!$P:$P,criblage!$B:$B,'synthèse 312'!A54-1,criblage!$C:$C,'synthèse 312'!B$2)</f>
        <v>0</v>
      </c>
      <c r="C54" s="252">
        <f>SUMIFS(criblage!$P:$P,criblage!$B:$B,'synthèse 312'!$A54,criblage!$C:$C,'synthèse 312'!C$2)</f>
        <v>0</v>
      </c>
      <c r="D54" s="252">
        <f>SUMIFS(criblage!$P:$P,criblage!$B:$B,'synthèse 312'!$A54,criblage!$C:$C,'synthèse 312'!D$2)</f>
        <v>0</v>
      </c>
      <c r="E54" s="252">
        <f t="shared" si="0"/>
        <v>0</v>
      </c>
      <c r="F54" s="254">
        <f>SUMIFS(criblage!$O:$O,criblage!$B:$B,'synthèse 312'!$A54-1,criblage!$C:$C,'synthèse 312'!F$2)</f>
        <v>4022</v>
      </c>
      <c r="G54" s="254">
        <f>SUMIFS(criblage!$O:$O,criblage!$B:$B,'synthèse 312'!$A54,criblage!$C:$C,'synthèse 312'!G$2)</f>
        <v>868</v>
      </c>
      <c r="H54" s="254">
        <f>SUMIFS(criblage!$O:$O,criblage!$B:$B,'synthèse 312'!$A54,criblage!$C:$C,'synthèse 312'!H$2)</f>
        <v>1752</v>
      </c>
      <c r="I54" s="254">
        <f t="shared" si="6"/>
        <v>6642</v>
      </c>
      <c r="J54" s="258">
        <f>8-SUMIFS('les arrets'!G:G,'les arrets'!B:B,'synthèse 312'!$A54-1,'les arrets'!C:C,'synthèse 312'!J$2)</f>
        <v>5.6</v>
      </c>
      <c r="K54" s="258">
        <f>8-SUMIFS('les arrets'!G:G,'les arrets'!B:B,'synthèse 312'!$A54,'les arrets'!C:C,'synthèse 312'!K$2)</f>
        <v>1.4166666666666661</v>
      </c>
      <c r="L54" s="258">
        <f>8-SUMIFS('les arrets'!G:G,'les arrets'!B:B,'synthèse 312'!A54,'les arrets'!C:C,'synthèse 312'!L$2)</f>
        <v>5.0833333333333339</v>
      </c>
      <c r="M54" s="258">
        <f t="shared" si="1"/>
        <v>12.1</v>
      </c>
      <c r="N54" s="248">
        <f>SUMIFS(criblage!$R:$R,criblage!$B:$B,'synthèse 312'!$A54-1,criblage!$C:$C,'synthèse 312'!N$2)</f>
        <v>6.47</v>
      </c>
      <c r="O54" s="248">
        <f>SUMIFS(criblage!$R:$R,criblage!$B:$B,'synthèse 312'!$A54,criblage!$C:$C,'synthèse 312'!O$2)</f>
        <v>1.66</v>
      </c>
      <c r="P54" s="248">
        <f>SUMIFS(criblage!$R:$R,criblage!$B:$B,'synthèse 312'!$A54,criblage!$C:$C,'synthèse 312'!P$2)</f>
        <v>5.01</v>
      </c>
      <c r="Q54" s="248">
        <f t="shared" si="2"/>
        <v>13.139999999999999</v>
      </c>
      <c r="R54" s="249">
        <f t="shared" si="7"/>
        <v>718.21428571428578</v>
      </c>
      <c r="S54" s="249">
        <f t="shared" si="3"/>
        <v>612.70588235294144</v>
      </c>
      <c r="T54" s="249">
        <f t="shared" si="4"/>
        <v>344.65573770491801</v>
      </c>
      <c r="U54" s="249">
        <f t="shared" si="5"/>
        <v>558.52530192404845</v>
      </c>
    </row>
    <row r="55" spans="1:21" x14ac:dyDescent="0.25">
      <c r="A55" s="244">
        <v>44978</v>
      </c>
      <c r="B55" s="252">
        <f>SUMIFS(criblage!$P:$P,criblage!$B:$B,'synthèse 312'!A55-1,criblage!$C:$C,'synthèse 312'!B$2)</f>
        <v>0</v>
      </c>
      <c r="C55" s="252">
        <f>SUMIFS(criblage!$P:$P,criblage!$B:$B,'synthèse 312'!$A55,criblage!$C:$C,'synthèse 312'!C$2)</f>
        <v>0</v>
      </c>
      <c r="D55" s="252">
        <f>SUMIFS(criblage!$P:$P,criblage!$B:$B,'synthèse 312'!$A55,criblage!$C:$C,'synthèse 312'!D$2)</f>
        <v>0</v>
      </c>
      <c r="E55" s="252">
        <f t="shared" si="0"/>
        <v>0</v>
      </c>
      <c r="F55" s="254">
        <f>SUMIFS(criblage!$O:$O,criblage!$B:$B,'synthèse 312'!$A55-1,criblage!$C:$C,'synthèse 312'!F$2)</f>
        <v>0</v>
      </c>
      <c r="G55" s="254">
        <f>SUMIFS(criblage!$O:$O,criblage!$B:$B,'synthèse 312'!$A55,criblage!$C:$C,'synthèse 312'!G$2)</f>
        <v>1681</v>
      </c>
      <c r="H55" s="254">
        <f>SUMIFS(criblage!$O:$O,criblage!$B:$B,'synthèse 312'!$A55,criblage!$C:$C,'synthèse 312'!H$2)</f>
        <v>3417</v>
      </c>
      <c r="I55" s="254">
        <f t="shared" si="6"/>
        <v>5098</v>
      </c>
      <c r="J55" s="258">
        <f>8-SUMIFS('les arrets'!G:G,'les arrets'!B:B,'synthèse 312'!$A55-1,'les arrets'!C:C,'synthèse 312'!J$2)</f>
        <v>0</v>
      </c>
      <c r="K55" s="258">
        <f>8-SUMIFS('les arrets'!G:G,'les arrets'!B:B,'synthèse 312'!$A55,'les arrets'!C:C,'synthèse 312'!K$2)</f>
        <v>3.6333333333333337</v>
      </c>
      <c r="L55" s="258">
        <f>8-SUMIFS('les arrets'!G:G,'les arrets'!B:B,'synthèse 312'!A55,'les arrets'!C:C,'synthèse 312'!L$2)</f>
        <v>6.3333333333333339</v>
      </c>
      <c r="M55" s="258">
        <f t="shared" si="1"/>
        <v>9.9666666666666686</v>
      </c>
      <c r="N55" s="248">
        <f>SUMIFS(criblage!$R:$R,criblage!$B:$B,'synthèse 312'!$A55-1,criblage!$C:$C,'synthèse 312'!N$2)</f>
        <v>0</v>
      </c>
      <c r="O55" s="248">
        <f>SUMIFS(criblage!$R:$R,criblage!$B:$B,'synthèse 312'!$A55,criblage!$C:$C,'synthèse 312'!O$2)</f>
        <v>3.31</v>
      </c>
      <c r="P55" s="248">
        <f>SUMIFS(criblage!$R:$R,criblage!$B:$B,'synthèse 312'!$A55,criblage!$C:$C,'synthèse 312'!P$2)</f>
        <v>6.64</v>
      </c>
      <c r="Q55" s="248">
        <f t="shared" si="2"/>
        <v>9.9499999999999993</v>
      </c>
      <c r="R55" s="249" t="e">
        <f t="shared" si="7"/>
        <v>#DIV/0!</v>
      </c>
      <c r="S55" s="249">
        <f t="shared" si="3"/>
        <v>462.66055045871553</v>
      </c>
      <c r="T55" s="249">
        <f t="shared" si="4"/>
        <v>539.52631578947364</v>
      </c>
      <c r="U55" s="249" t="e">
        <f t="shared" si="5"/>
        <v>#DIV/0!</v>
      </c>
    </row>
    <row r="56" spans="1:21" x14ac:dyDescent="0.25">
      <c r="A56" s="244">
        <v>44979</v>
      </c>
      <c r="B56" s="252">
        <f>SUMIFS(criblage!$P:$P,criblage!$B:$B,'synthèse 312'!A56-1,criblage!$C:$C,'synthèse 312'!B$2)</f>
        <v>0</v>
      </c>
      <c r="C56" s="252">
        <f>SUMIFS(criblage!$P:$P,criblage!$B:$B,'synthèse 312'!$A56,criblage!$C:$C,'synthèse 312'!C$2)</f>
        <v>0</v>
      </c>
      <c r="D56" s="252">
        <f>SUMIFS(criblage!$P:$P,criblage!$B:$B,'synthèse 312'!$A56,criblage!$C:$C,'synthèse 312'!D$2)</f>
        <v>0</v>
      </c>
      <c r="E56" s="252">
        <f t="shared" si="0"/>
        <v>0</v>
      </c>
      <c r="F56" s="254">
        <f>SUMIFS(criblage!$O:$O,criblage!$B:$B,'synthèse 312'!$A56-1,criblage!$C:$C,'synthèse 312'!F$2)</f>
        <v>4275</v>
      </c>
      <c r="G56" s="254">
        <f>SUMIFS(criblage!$O:$O,criblage!$B:$B,'synthèse 312'!$A56,criblage!$C:$C,'synthèse 312'!G$2)</f>
        <v>1437</v>
      </c>
      <c r="H56" s="254">
        <f>SUMIFS(criblage!$O:$O,criblage!$B:$B,'synthèse 312'!$A56,criblage!$C:$C,'synthèse 312'!H$2)</f>
        <v>3670</v>
      </c>
      <c r="I56" s="254">
        <f t="shared" si="6"/>
        <v>9382</v>
      </c>
      <c r="J56" s="258">
        <f>8-SUMIFS('les arrets'!G:G,'les arrets'!B:B,'synthèse 312'!$A56-1,'les arrets'!C:C,'synthèse 312'!J$2)</f>
        <v>6.7666666666666666</v>
      </c>
      <c r="K56" s="258">
        <f>8-SUMIFS('les arrets'!G:G,'les arrets'!B:B,'synthèse 312'!$A56,'les arrets'!C:C,'synthèse 312'!K$2)</f>
        <v>2</v>
      </c>
      <c r="L56" s="258">
        <f>8-SUMIFS('les arrets'!G:G,'les arrets'!B:B,'synthèse 312'!A56,'les arrets'!C:C,'synthèse 312'!L$2)</f>
        <v>6.15</v>
      </c>
      <c r="M56" s="258">
        <f t="shared" si="1"/>
        <v>14.916666666666666</v>
      </c>
      <c r="N56" s="248">
        <f>SUMIFS(criblage!$R:$R,criblage!$B:$B,'synthèse 312'!$A56-1,criblage!$C:$C,'synthèse 312'!N$2)</f>
        <v>6.82</v>
      </c>
      <c r="O56" s="248">
        <f>SUMIFS(criblage!$R:$R,criblage!$B:$B,'synthèse 312'!$A56,criblage!$C:$C,'synthèse 312'!O$2)</f>
        <v>2.13</v>
      </c>
      <c r="P56" s="248">
        <f>SUMIFS(criblage!$R:$R,criblage!$B:$B,'synthèse 312'!$A56,criblage!$C:$C,'synthèse 312'!P$2)</f>
        <v>6.27</v>
      </c>
      <c r="Q56" s="248">
        <f t="shared" si="2"/>
        <v>15.219999999999999</v>
      </c>
      <c r="R56" s="249">
        <f t="shared" si="7"/>
        <v>631.77339901477831</v>
      </c>
      <c r="S56" s="249">
        <f t="shared" si="3"/>
        <v>718.5</v>
      </c>
      <c r="T56" s="249">
        <f t="shared" si="4"/>
        <v>596.7479674796748</v>
      </c>
      <c r="U56" s="249">
        <f t="shared" si="5"/>
        <v>649.0071221648177</v>
      </c>
    </row>
    <row r="57" spans="1:21" x14ac:dyDescent="0.25">
      <c r="A57" s="244">
        <v>44980</v>
      </c>
      <c r="B57" s="252">
        <f>SUMIFS(criblage!$P:$P,criblage!$B:$B,'synthèse 312'!A57-1,criblage!$C:$C,'synthèse 312'!B$2)</f>
        <v>0</v>
      </c>
      <c r="C57" s="252">
        <f>SUMIFS(criblage!$P:$P,criblage!$B:$B,'synthèse 312'!$A57,criblage!$C:$C,'synthèse 312'!C$2)</f>
        <v>0</v>
      </c>
      <c r="D57" s="252">
        <f>SUMIFS(criblage!$P:$P,criblage!$B:$B,'synthèse 312'!$A57,criblage!$C:$C,'synthèse 312'!D$2)</f>
        <v>0</v>
      </c>
      <c r="E57" s="252">
        <f t="shared" si="0"/>
        <v>0</v>
      </c>
      <c r="F57" s="254">
        <f>SUMIFS(criblage!$O:$O,criblage!$B:$B,'synthèse 312'!$A57-1,criblage!$C:$C,'synthèse 312'!F$2)</f>
        <v>4503</v>
      </c>
      <c r="G57" s="254">
        <f>SUMIFS(criblage!$O:$O,criblage!$B:$B,'synthèse 312'!$A57,criblage!$C:$C,'synthèse 312'!G$2)</f>
        <v>1507</v>
      </c>
      <c r="H57" s="254">
        <f>SUMIFS(criblage!$O:$O,criblage!$B:$B,'synthèse 312'!$A57,criblage!$C:$C,'synthèse 312'!H$2)</f>
        <v>4182</v>
      </c>
      <c r="I57" s="254">
        <f t="shared" si="6"/>
        <v>10192</v>
      </c>
      <c r="J57" s="258">
        <f>8-SUMIFS('les arrets'!G:G,'les arrets'!B:B,'synthèse 312'!$A57-1,'les arrets'!C:C,'synthèse 312'!J$2)</f>
        <v>6.7166666666666668</v>
      </c>
      <c r="K57" s="258">
        <f>8-SUMIFS('les arrets'!G:G,'les arrets'!B:B,'synthèse 312'!$A57,'les arrets'!C:C,'synthèse 312'!K$2)</f>
        <v>2.1333333333333337</v>
      </c>
      <c r="L57" s="258">
        <f>8-SUMIFS('les arrets'!G:G,'les arrets'!B:B,'synthèse 312'!A57,'les arrets'!C:C,'synthèse 312'!L$2)</f>
        <v>7.1833333333333336</v>
      </c>
      <c r="M57" s="258">
        <f t="shared" si="1"/>
        <v>16.033333333333335</v>
      </c>
      <c r="N57" s="248">
        <f>SUMIFS(criblage!$R:$R,criblage!$B:$B,'synthèse 312'!$A57-1,criblage!$C:$C,'synthèse 312'!N$2)</f>
        <v>6.74</v>
      </c>
      <c r="O57" s="248">
        <f>SUMIFS(criblage!$R:$R,criblage!$B:$B,'synthèse 312'!$A57,criblage!$C:$C,'synthèse 312'!O$2)</f>
        <v>2.4900000000000002</v>
      </c>
      <c r="P57" s="248">
        <f>SUMIFS(criblage!$R:$R,criblage!$B:$B,'synthèse 312'!$A57,criblage!$C:$C,'synthèse 312'!P$2)</f>
        <v>6.92</v>
      </c>
      <c r="Q57" s="248">
        <f t="shared" si="2"/>
        <v>16.149999999999999</v>
      </c>
      <c r="R57" s="249">
        <f t="shared" si="7"/>
        <v>670.42183622828782</v>
      </c>
      <c r="S57" s="249">
        <f t="shared" si="3"/>
        <v>706.40624999999989</v>
      </c>
      <c r="T57" s="249">
        <f t="shared" si="4"/>
        <v>582.18097447795822</v>
      </c>
      <c r="U57" s="249">
        <f t="shared" si="5"/>
        <v>653.00302023541531</v>
      </c>
    </row>
    <row r="58" spans="1:21" x14ac:dyDescent="0.25">
      <c r="A58" s="244">
        <v>44981</v>
      </c>
      <c r="B58" s="252">
        <f>SUMIFS(criblage!$P:$P,criblage!$B:$B,'synthèse 312'!A58-1,criblage!$C:$C,'synthèse 312'!B$2)</f>
        <v>0</v>
      </c>
      <c r="C58" s="252">
        <f>SUMIFS(criblage!$P:$P,criblage!$B:$B,'synthèse 312'!$A58,criblage!$C:$C,'synthèse 312'!C$2)</f>
        <v>0</v>
      </c>
      <c r="D58" s="252">
        <f>SUMIFS(criblage!$P:$P,criblage!$B:$B,'synthèse 312'!$A58,criblage!$C:$C,'synthèse 312'!D$2)</f>
        <v>0</v>
      </c>
      <c r="E58" s="252">
        <f t="shared" si="0"/>
        <v>0</v>
      </c>
      <c r="F58" s="254">
        <f>SUMIFS(criblage!$O:$O,criblage!$B:$B,'synthèse 312'!$A58-1,criblage!$C:$C,'synthèse 312'!F$2)</f>
        <v>0</v>
      </c>
      <c r="G58" s="254">
        <f>SUMIFS(criblage!$O:$O,criblage!$B:$B,'synthèse 312'!$A58,criblage!$C:$C,'synthèse 312'!G$2)</f>
        <v>2917</v>
      </c>
      <c r="H58" s="254">
        <f>SUMIFS(criblage!$O:$O,criblage!$B:$B,'synthèse 312'!$A58,criblage!$C:$C,'synthèse 312'!H$2)</f>
        <v>3350</v>
      </c>
      <c r="I58" s="254">
        <f t="shared" si="6"/>
        <v>6267</v>
      </c>
      <c r="J58" s="258">
        <f>8-SUMIFS('les arrets'!G:G,'les arrets'!B:B,'synthèse 312'!$A58-1,'les arrets'!C:C,'synthèse 312'!J$2)</f>
        <v>0</v>
      </c>
      <c r="K58" s="258">
        <f>8-SUMIFS('les arrets'!G:G,'les arrets'!B:B,'synthèse 312'!$A58,'les arrets'!C:C,'synthèse 312'!K$2)</f>
        <v>4.25</v>
      </c>
      <c r="L58" s="258">
        <f>8-SUMIFS('les arrets'!G:G,'les arrets'!B:B,'synthèse 312'!A58,'les arrets'!C:C,'synthèse 312'!L$2)</f>
        <v>6.6833333333333336</v>
      </c>
      <c r="M58" s="258">
        <f t="shared" si="1"/>
        <v>10.933333333333334</v>
      </c>
      <c r="N58" s="248">
        <f>SUMIFS(criblage!$R:$R,criblage!$B:$B,'synthèse 312'!$A58-1,criblage!$C:$C,'synthèse 312'!N$2)</f>
        <v>0</v>
      </c>
      <c r="O58" s="248">
        <f>SUMIFS(criblage!$R:$R,criblage!$B:$B,'synthèse 312'!$A58,criblage!$C:$C,'synthèse 312'!O$2)</f>
        <v>5.53</v>
      </c>
      <c r="P58" s="248">
        <f>SUMIFS(criblage!$R:$R,criblage!$B:$B,'synthèse 312'!$A58,criblage!$C:$C,'synthèse 312'!P$2)</f>
        <v>6.34</v>
      </c>
      <c r="Q58" s="248">
        <f t="shared" si="2"/>
        <v>11.870000000000001</v>
      </c>
      <c r="R58" s="249" t="e">
        <f t="shared" si="7"/>
        <v>#DIV/0!</v>
      </c>
      <c r="S58" s="249">
        <f t="shared" si="3"/>
        <v>686.35294117647061</v>
      </c>
      <c r="T58" s="249">
        <f t="shared" si="4"/>
        <v>501.24688279301745</v>
      </c>
      <c r="U58" s="249" t="e">
        <f t="shared" si="5"/>
        <v>#DIV/0!</v>
      </c>
    </row>
    <row r="59" spans="1:21" x14ac:dyDescent="0.25">
      <c r="A59" s="244">
        <v>44982</v>
      </c>
      <c r="B59" s="252">
        <f>SUMIFS(criblage!$P:$P,criblage!$B:$B,'synthèse 312'!A59-1,criblage!$C:$C,'synthèse 312'!B$2)</f>
        <v>0</v>
      </c>
      <c r="C59" s="252">
        <f>SUMIFS(criblage!$P:$P,criblage!$B:$B,'synthèse 312'!$A59,criblage!$C:$C,'synthèse 312'!C$2)</f>
        <v>0</v>
      </c>
      <c r="D59" s="252">
        <f>SUMIFS(criblage!$P:$P,criblage!$B:$B,'synthèse 312'!$A59,criblage!$C:$C,'synthèse 312'!D$2)</f>
        <v>0</v>
      </c>
      <c r="E59" s="252">
        <f t="shared" si="0"/>
        <v>0</v>
      </c>
      <c r="F59" s="254">
        <f>SUMIFS(criblage!$O:$O,criblage!$B:$B,'synthèse 312'!$A59-1,criblage!$C:$C,'synthèse 312'!F$2)</f>
        <v>4649</v>
      </c>
      <c r="G59" s="254">
        <f>SUMIFS(criblage!$O:$O,criblage!$B:$B,'synthèse 312'!$A59,criblage!$C:$C,'synthèse 312'!G$2)</f>
        <v>2081</v>
      </c>
      <c r="H59" s="254">
        <f>SUMIFS(criblage!$O:$O,criblage!$B:$B,'synthèse 312'!$A59,criblage!$C:$C,'synthèse 312'!H$2)</f>
        <v>4758</v>
      </c>
      <c r="I59" s="254">
        <f t="shared" si="6"/>
        <v>11488</v>
      </c>
      <c r="J59" s="258">
        <f>8-SUMIFS('les arrets'!G:G,'les arrets'!B:B,'synthèse 312'!$A59-1,'les arrets'!C:C,'synthèse 312'!J$2)</f>
        <v>6.4666666666666668</v>
      </c>
      <c r="K59" s="258">
        <f>8-SUMIFS('les arrets'!G:G,'les arrets'!B:B,'synthèse 312'!$A59,'les arrets'!C:C,'synthèse 312'!K$2)</f>
        <v>2.416666666666667</v>
      </c>
      <c r="L59" s="258">
        <f>8-SUMIFS('les arrets'!G:G,'les arrets'!B:B,'synthèse 312'!A59,'les arrets'!C:C,'synthèse 312'!L$2)</f>
        <v>7.0333333333333332</v>
      </c>
      <c r="M59" s="258">
        <f t="shared" si="1"/>
        <v>15.916666666666666</v>
      </c>
      <c r="N59" s="248">
        <f>SUMIFS(criblage!$R:$R,criblage!$B:$B,'synthèse 312'!$A59-1,criblage!$C:$C,'synthèse 312'!N$2)</f>
        <v>6.34</v>
      </c>
      <c r="O59" s="248">
        <f>SUMIFS(criblage!$R:$R,criblage!$B:$B,'synthèse 312'!$A59,criblage!$C:$C,'synthèse 312'!O$2)</f>
        <v>2.65</v>
      </c>
      <c r="P59" s="248">
        <f>SUMIFS(criblage!$R:$R,criblage!$B:$B,'synthèse 312'!$A59,criblage!$C:$C,'synthèse 312'!P$2)</f>
        <v>7.12</v>
      </c>
      <c r="Q59" s="248">
        <f t="shared" si="2"/>
        <v>16.11</v>
      </c>
      <c r="R59" s="249">
        <f t="shared" si="7"/>
        <v>718.91752577319585</v>
      </c>
      <c r="S59" s="249">
        <f t="shared" si="3"/>
        <v>861.10344827586198</v>
      </c>
      <c r="T59" s="249">
        <f t="shared" si="4"/>
        <v>676.49289099526072</v>
      </c>
      <c r="U59" s="249">
        <f t="shared" si="5"/>
        <v>752.17128834810626</v>
      </c>
    </row>
    <row r="60" spans="1:21" x14ac:dyDescent="0.25">
      <c r="A60" s="244">
        <v>44983</v>
      </c>
      <c r="B60" s="252">
        <f>SUMIFS(criblage!$P:$P,criblage!$B:$B,'synthèse 312'!A60-1,criblage!$C:$C,'synthèse 312'!B$2)</f>
        <v>0</v>
      </c>
      <c r="C60" s="252">
        <f>SUMIFS(criblage!$P:$P,criblage!$B:$B,'synthèse 312'!$A60,criblage!$C:$C,'synthèse 312'!C$2)</f>
        <v>0</v>
      </c>
      <c r="D60" s="252">
        <f>SUMIFS(criblage!$P:$P,criblage!$B:$B,'synthèse 312'!$A60,criblage!$C:$C,'synthèse 312'!D$2)</f>
        <v>0</v>
      </c>
      <c r="E60" s="252">
        <f t="shared" si="0"/>
        <v>0</v>
      </c>
      <c r="F60" s="254">
        <f>SUMIFS(criblage!$O:$O,criblage!$B:$B,'synthèse 312'!$A60-1,criblage!$C:$C,'synthèse 312'!F$2)</f>
        <v>4251</v>
      </c>
      <c r="G60" s="254">
        <f>SUMIFS(criblage!$O:$O,criblage!$B:$B,'synthèse 312'!$A60,criblage!$C:$C,'synthèse 312'!G$2)</f>
        <v>71</v>
      </c>
      <c r="H60" s="254">
        <f>SUMIFS(criblage!$O:$O,criblage!$B:$B,'synthèse 312'!$A60,criblage!$C:$C,'synthèse 312'!H$2)</f>
        <v>2180</v>
      </c>
      <c r="I60" s="254">
        <f t="shared" si="6"/>
        <v>6502</v>
      </c>
      <c r="J60" s="258">
        <f>8-SUMIFS('les arrets'!G:G,'les arrets'!B:B,'synthèse 312'!$A60-1,'les arrets'!C:C,'synthèse 312'!J$2)</f>
        <v>6.9</v>
      </c>
      <c r="K60" s="258">
        <f>8-SUMIFS('les arrets'!G:G,'les arrets'!B:B,'synthèse 312'!$A60,'les arrets'!C:C,'synthèse 312'!K$2)</f>
        <v>1.083333333333333</v>
      </c>
      <c r="L60" s="258">
        <f>8-SUMIFS('les arrets'!G:G,'les arrets'!B:B,'synthèse 312'!A60,'les arrets'!C:C,'synthèse 312'!L$2)</f>
        <v>5.4333333333333336</v>
      </c>
      <c r="M60" s="258">
        <f t="shared" si="1"/>
        <v>13.416666666666668</v>
      </c>
      <c r="N60" s="248">
        <f>SUMIFS(criblage!$R:$R,criblage!$B:$B,'synthèse 312'!$A60-1,criblage!$C:$C,'synthèse 312'!N$2)</f>
        <v>6.88</v>
      </c>
      <c r="O60" s="248">
        <f>SUMIFS(criblage!$R:$R,criblage!$B:$B,'synthèse 312'!$A60,criblage!$C:$C,'synthèse 312'!O$2)</f>
        <v>0.51</v>
      </c>
      <c r="P60" s="248">
        <f>SUMIFS(criblage!$R:$R,criblage!$B:$B,'synthèse 312'!$A60,criblage!$C:$C,'synthèse 312'!P$2)</f>
        <v>5.43</v>
      </c>
      <c r="Q60" s="248">
        <f t="shared" si="2"/>
        <v>12.82</v>
      </c>
      <c r="R60" s="249">
        <f t="shared" si="7"/>
        <v>616.08695652173913</v>
      </c>
      <c r="S60" s="249">
        <f t="shared" si="3"/>
        <v>65.538461538461561</v>
      </c>
      <c r="T60" s="249">
        <f t="shared" si="4"/>
        <v>401.22699386503064</v>
      </c>
      <c r="U60" s="249">
        <f t="shared" si="5"/>
        <v>360.95080397507712</v>
      </c>
    </row>
    <row r="61" spans="1:21" x14ac:dyDescent="0.25">
      <c r="A61" s="244">
        <v>44984</v>
      </c>
      <c r="B61" s="252">
        <f>SUMIFS(criblage!$P:$P,criblage!$B:$B,'synthèse 312'!A61-1,criblage!$C:$C,'synthèse 312'!B$2)</f>
        <v>0</v>
      </c>
      <c r="C61" s="252">
        <f>SUMIFS(criblage!$P:$P,criblage!$B:$B,'synthèse 312'!$A61,criblage!$C:$C,'synthèse 312'!C$2)</f>
        <v>0</v>
      </c>
      <c r="D61" s="252">
        <f>SUMIFS(criblage!$P:$P,criblage!$B:$B,'synthèse 312'!$A61,criblage!$C:$C,'synthèse 312'!D$2)</f>
        <v>0</v>
      </c>
      <c r="E61" s="252">
        <f t="shared" si="0"/>
        <v>0</v>
      </c>
      <c r="F61" s="254">
        <f>SUMIFS(criblage!$O:$O,criblage!$B:$B,'synthèse 312'!$A61-1,criblage!$C:$C,'synthèse 312'!F$2)</f>
        <v>3091</v>
      </c>
      <c r="G61" s="254">
        <f>SUMIFS(criblage!$O:$O,criblage!$B:$B,'synthèse 312'!$A61,criblage!$C:$C,'synthèse 312'!G$2)</f>
        <v>2525</v>
      </c>
      <c r="H61" s="254">
        <f>SUMIFS(criblage!$O:$O,criblage!$B:$B,'synthèse 312'!$A61,criblage!$C:$C,'synthèse 312'!H$2)</f>
        <v>3074</v>
      </c>
      <c r="I61" s="254">
        <f t="shared" si="6"/>
        <v>8690</v>
      </c>
      <c r="J61" s="258">
        <f>8-SUMIFS('les arrets'!G:G,'les arrets'!B:B,'synthèse 312'!$A61-1,'les arrets'!C:C,'synthèse 312'!J$2)</f>
        <v>6.35</v>
      </c>
      <c r="K61" s="258">
        <f>8-SUMIFS('les arrets'!G:G,'les arrets'!B:B,'synthèse 312'!$A61,'les arrets'!C:C,'synthèse 312'!K$2)</f>
        <v>4.4000000000000004</v>
      </c>
      <c r="L61" s="258">
        <f>8-SUMIFS('les arrets'!G:G,'les arrets'!B:B,'synthèse 312'!A61,'les arrets'!C:C,'synthèse 312'!L$2)</f>
        <v>6.4833333333333334</v>
      </c>
      <c r="M61" s="258">
        <f t="shared" si="1"/>
        <v>17.233333333333334</v>
      </c>
      <c r="N61" s="248">
        <f>SUMIFS(criblage!$R:$R,criblage!$B:$B,'synthèse 312'!$A61-1,criblage!$C:$C,'synthèse 312'!N$2)</f>
        <v>5.32</v>
      </c>
      <c r="O61" s="248">
        <f>SUMIFS(criblage!$R:$R,criblage!$B:$B,'synthèse 312'!$A61,criblage!$C:$C,'synthèse 312'!O$2)</f>
        <v>4.38</v>
      </c>
      <c r="P61" s="248">
        <f>SUMIFS(criblage!$R:$R,criblage!$B:$B,'synthèse 312'!$A61,criblage!$C:$C,'synthèse 312'!P$2)</f>
        <v>6.22</v>
      </c>
      <c r="Q61" s="248">
        <f t="shared" si="2"/>
        <v>15.919999999999998</v>
      </c>
      <c r="R61" s="249">
        <f t="shared" si="7"/>
        <v>486.77165354330714</v>
      </c>
      <c r="S61" s="249">
        <f t="shared" si="3"/>
        <v>573.86363636363637</v>
      </c>
      <c r="T61" s="249">
        <f t="shared" si="4"/>
        <v>474.13881748071981</v>
      </c>
      <c r="U61" s="249">
        <f t="shared" si="5"/>
        <v>511.59136912922105</v>
      </c>
    </row>
    <row r="62" spans="1:21" x14ac:dyDescent="0.25">
      <c r="A62" s="244">
        <v>44985</v>
      </c>
      <c r="B62" s="252">
        <f>SUMIFS(criblage!$P:$P,criblage!$B:$B,'synthèse 312'!A62-1,criblage!$C:$C,'synthèse 312'!B$2)</f>
        <v>0</v>
      </c>
      <c r="C62" s="252">
        <f>SUMIFS(criblage!$P:$P,criblage!$B:$B,'synthèse 312'!$A62,criblage!$C:$C,'synthèse 312'!C$2)</f>
        <v>0</v>
      </c>
      <c r="D62" s="252">
        <f>SUMIFS(criblage!$P:$P,criblage!$B:$B,'synthèse 312'!$A62,criblage!$C:$C,'synthèse 312'!D$2)</f>
        <v>0</v>
      </c>
      <c r="E62" s="252">
        <f t="shared" si="0"/>
        <v>0</v>
      </c>
      <c r="F62" s="254">
        <f>SUMIFS(criblage!$O:$O,criblage!$B:$B,'synthèse 312'!$A62-1,criblage!$C:$C,'synthèse 312'!F$2)</f>
        <v>2955</v>
      </c>
      <c r="G62" s="254">
        <f>SUMIFS(criblage!$O:$O,criblage!$B:$B,'synthèse 312'!$A62,criblage!$C:$C,'synthèse 312'!G$2)</f>
        <v>611</v>
      </c>
      <c r="H62" s="254">
        <f>SUMIFS(criblage!$O:$O,criblage!$B:$B,'synthèse 312'!$A62,criblage!$C:$C,'synthèse 312'!H$2)</f>
        <v>2198</v>
      </c>
      <c r="I62" s="254">
        <f t="shared" si="6"/>
        <v>5764</v>
      </c>
      <c r="J62" s="258">
        <f>8-SUMIFS('les arrets'!G:G,'les arrets'!B:B,'synthèse 312'!$A62-1,'les arrets'!C:C,'synthèse 312'!J$2)</f>
        <v>5.25</v>
      </c>
      <c r="K62" s="258">
        <f>8-SUMIFS('les arrets'!G:G,'les arrets'!B:B,'synthèse 312'!$A62,'les arrets'!C:C,'synthèse 312'!K$2)</f>
        <v>1.416666666666667</v>
      </c>
      <c r="L62" s="258">
        <f>8-SUMIFS('les arrets'!G:G,'les arrets'!B:B,'synthèse 312'!A62,'les arrets'!C:C,'synthèse 312'!L$2)</f>
        <v>5.0999999999999996</v>
      </c>
      <c r="M62" s="258">
        <f t="shared" si="1"/>
        <v>11.766666666666666</v>
      </c>
      <c r="N62" s="248">
        <f>SUMIFS(criblage!$R:$R,criblage!$B:$B,'synthèse 312'!$A62-1,criblage!$C:$C,'synthèse 312'!N$2)</f>
        <v>5.25</v>
      </c>
      <c r="O62" s="248">
        <f>SUMIFS(criblage!$R:$R,criblage!$B:$B,'synthèse 312'!$A62,criblage!$C:$C,'synthèse 312'!O$2)</f>
        <v>1.4</v>
      </c>
      <c r="P62" s="248">
        <f>SUMIFS(criblage!$R:$R,criblage!$B:$B,'synthèse 312'!$A62,criblage!$C:$C,'synthèse 312'!P$2)</f>
        <v>5.09</v>
      </c>
      <c r="Q62" s="248">
        <f t="shared" si="2"/>
        <v>11.74</v>
      </c>
      <c r="R62" s="249">
        <f t="shared" si="7"/>
        <v>562.85714285714289</v>
      </c>
      <c r="S62" s="249">
        <f t="shared" si="3"/>
        <v>431.29411764705873</v>
      </c>
      <c r="T62" s="249">
        <f t="shared" si="4"/>
        <v>430.98039215686276</v>
      </c>
      <c r="U62" s="249">
        <f t="shared" si="5"/>
        <v>475.04388422035481</v>
      </c>
    </row>
    <row r="63" spans="1:21" x14ac:dyDescent="0.25">
      <c r="A63" s="244">
        <v>44986</v>
      </c>
      <c r="B63" s="252">
        <f>SUMIFS(criblage!$P:$P,criblage!$B:$B,'synthèse 312'!A63-1,criblage!$C:$C,'synthèse 312'!B$2)</f>
        <v>0</v>
      </c>
      <c r="C63" s="252">
        <f>SUMIFS(criblage!$P:$P,criblage!$B:$B,'synthèse 312'!$A63,criblage!$C:$C,'synthèse 312'!C$2)</f>
        <v>0</v>
      </c>
      <c r="D63" s="252">
        <f>SUMIFS(criblage!$P:$P,criblage!$B:$B,'synthèse 312'!$A63,criblage!$C:$C,'synthèse 312'!D$2)</f>
        <v>0</v>
      </c>
      <c r="E63" s="252">
        <f t="shared" si="0"/>
        <v>0</v>
      </c>
      <c r="F63" s="254">
        <f>SUMIFS(criblage!$O:$O,criblage!$B:$B,'synthèse 312'!$A63-1,criblage!$C:$C,'synthèse 312'!F$2)</f>
        <v>3283</v>
      </c>
      <c r="G63" s="254">
        <f>SUMIFS(criblage!$O:$O,criblage!$B:$B,'synthèse 312'!$A63,criblage!$C:$C,'synthèse 312'!G$2)</f>
        <v>0</v>
      </c>
      <c r="H63" s="254">
        <f>SUMIFS(criblage!$O:$O,criblage!$B:$B,'synthèse 312'!$A63,criblage!$C:$C,'synthèse 312'!H$2)</f>
        <v>3040</v>
      </c>
      <c r="I63" s="254">
        <f t="shared" si="6"/>
        <v>6323</v>
      </c>
      <c r="J63" s="258">
        <f>8-SUMIFS('les arrets'!G:G,'les arrets'!B:B,'synthèse 312'!$A63-1,'les arrets'!C:C,'synthèse 312'!J$2)</f>
        <v>6.833333333333333</v>
      </c>
      <c r="K63" s="258">
        <f>8-SUMIFS('les arrets'!G:G,'les arrets'!B:B,'synthèse 312'!$A63,'les arrets'!C:C,'synthèse 312'!K$2)</f>
        <v>0</v>
      </c>
      <c r="L63" s="258">
        <f>8-SUMIFS('les arrets'!G:G,'les arrets'!B:B,'synthèse 312'!A63,'les arrets'!C:C,'synthèse 312'!L$2)</f>
        <v>6</v>
      </c>
      <c r="M63" s="258">
        <f t="shared" si="1"/>
        <v>12.833333333333332</v>
      </c>
      <c r="N63" s="248">
        <f>SUMIFS(criblage!$R:$R,criblage!$B:$B,'synthèse 312'!$A63-1,criblage!$C:$C,'synthèse 312'!N$2)</f>
        <v>6.91</v>
      </c>
      <c r="O63" s="248">
        <f>SUMIFS(criblage!$R:$R,criblage!$B:$B,'synthèse 312'!$A63,criblage!$C:$C,'synthèse 312'!O$2)</f>
        <v>0</v>
      </c>
      <c r="P63" s="248">
        <f>SUMIFS(criblage!$R:$R,criblage!$B:$B,'synthèse 312'!$A63,criblage!$C:$C,'synthèse 312'!P$2)</f>
        <v>5.68</v>
      </c>
      <c r="Q63" s="248">
        <f t="shared" si="2"/>
        <v>12.59</v>
      </c>
      <c r="R63" s="249">
        <f t="shared" si="7"/>
        <v>480.4390243902439</v>
      </c>
      <c r="S63" s="249">
        <f t="shared" si="3"/>
        <v>0</v>
      </c>
      <c r="T63" s="249">
        <f t="shared" si="4"/>
        <v>506.66666666666669</v>
      </c>
      <c r="U63" s="249">
        <f t="shared" si="5"/>
        <v>329.03523035230353</v>
      </c>
    </row>
    <row r="64" spans="1:21" x14ac:dyDescent="0.25">
      <c r="A64" s="244">
        <v>44987</v>
      </c>
      <c r="B64" s="252">
        <f>SUMIFS(criblage!$P:$P,criblage!$B:$B,'synthèse 312'!A64-1,criblage!$C:$C,'synthèse 312'!B$2)</f>
        <v>0</v>
      </c>
      <c r="C64" s="252">
        <f>SUMIFS(criblage!$P:$P,criblage!$B:$B,'synthèse 312'!$A64,criblage!$C:$C,'synthèse 312'!C$2)</f>
        <v>0</v>
      </c>
      <c r="D64" s="252">
        <f>SUMIFS(criblage!$P:$P,criblage!$B:$B,'synthèse 312'!$A64,criblage!$C:$C,'synthèse 312'!D$2)</f>
        <v>0</v>
      </c>
      <c r="E64" s="252">
        <f t="shared" si="0"/>
        <v>0</v>
      </c>
      <c r="F64" s="254">
        <f>SUMIFS(criblage!$O:$O,criblage!$B:$B,'synthèse 312'!$A64-1,criblage!$C:$C,'synthèse 312'!F$2)</f>
        <v>3604</v>
      </c>
      <c r="G64" s="254">
        <f>SUMIFS(criblage!$O:$O,criblage!$B:$B,'synthèse 312'!$A64,criblage!$C:$C,'synthèse 312'!G$2)</f>
        <v>2556</v>
      </c>
      <c r="H64" s="254">
        <f>SUMIFS(criblage!$O:$O,criblage!$B:$B,'synthèse 312'!$A64,criblage!$C:$C,'synthèse 312'!H$2)</f>
        <v>3730</v>
      </c>
      <c r="I64" s="254">
        <f t="shared" si="6"/>
        <v>9890</v>
      </c>
      <c r="J64" s="258">
        <f>8-SUMIFS('les arrets'!G:G,'les arrets'!B:B,'synthèse 312'!$A64-1,'les arrets'!C:C,'synthèse 312'!J$2)</f>
        <v>6.416666666666667</v>
      </c>
      <c r="K64" s="258">
        <f>8-SUMIFS('les arrets'!G:G,'les arrets'!B:B,'synthèse 312'!$A64,'les arrets'!C:C,'synthèse 312'!K$2)</f>
        <v>4.7333333333333334</v>
      </c>
      <c r="L64" s="258">
        <f>8-SUMIFS('les arrets'!G:G,'les arrets'!B:B,'synthèse 312'!A64,'les arrets'!C:C,'synthèse 312'!L$2)</f>
        <v>4.8666666666666671</v>
      </c>
      <c r="M64" s="258">
        <f t="shared" si="1"/>
        <v>16.016666666666666</v>
      </c>
      <c r="N64" s="248">
        <f>SUMIFS(criblage!$R:$R,criblage!$B:$B,'synthèse 312'!$A64-1,criblage!$C:$C,'synthèse 312'!N$2)</f>
        <v>6.82</v>
      </c>
      <c r="O64" s="248">
        <f>SUMIFS(criblage!$R:$R,criblage!$B:$B,'synthèse 312'!$A64,criblage!$C:$C,'synthèse 312'!O$2)</f>
        <v>4.47</v>
      </c>
      <c r="P64" s="248">
        <f>SUMIFS(criblage!$R:$R,criblage!$B:$B,'synthèse 312'!$A64,criblage!$C:$C,'synthèse 312'!P$2)</f>
        <v>4.13</v>
      </c>
      <c r="Q64" s="248">
        <f t="shared" si="2"/>
        <v>15.419999999999998</v>
      </c>
      <c r="R64" s="249">
        <f t="shared" si="7"/>
        <v>561.66233766233768</v>
      </c>
      <c r="S64" s="249">
        <f t="shared" si="3"/>
        <v>540</v>
      </c>
      <c r="T64" s="249">
        <f t="shared" si="4"/>
        <v>766.43835616438344</v>
      </c>
      <c r="U64" s="249">
        <f t="shared" si="5"/>
        <v>622.70023127557363</v>
      </c>
    </row>
    <row r="65" spans="1:21" x14ac:dyDescent="0.25">
      <c r="A65" s="244">
        <v>44988</v>
      </c>
      <c r="B65" s="252">
        <f>SUMIFS(criblage!$P:$P,criblage!$B:$B,'synthèse 312'!A65-1,criblage!$C:$C,'synthèse 312'!B$2)</f>
        <v>0</v>
      </c>
      <c r="C65" s="252">
        <f>SUMIFS(criblage!$P:$P,criblage!$B:$B,'synthèse 312'!$A65,criblage!$C:$C,'synthèse 312'!C$2)</f>
        <v>0</v>
      </c>
      <c r="D65" s="252">
        <f>SUMIFS(criblage!$P:$P,criblage!$B:$B,'synthèse 312'!$A65,criblage!$C:$C,'synthèse 312'!D$2)</f>
        <v>0</v>
      </c>
      <c r="E65" s="252">
        <f t="shared" si="0"/>
        <v>0</v>
      </c>
      <c r="F65" s="254">
        <f>SUMIFS(criblage!$O:$O,criblage!$B:$B,'synthèse 312'!$A65-1,criblage!$C:$C,'synthèse 312'!F$2)</f>
        <v>0</v>
      </c>
      <c r="G65" s="254">
        <f>SUMIFS(criblage!$O:$O,criblage!$B:$B,'synthèse 312'!$A65,criblage!$C:$C,'synthèse 312'!G$2)</f>
        <v>0</v>
      </c>
      <c r="H65" s="254">
        <f>SUMIFS(criblage!$O:$O,criblage!$B:$B,'synthèse 312'!$A65,criblage!$C:$C,'synthèse 312'!H$2)</f>
        <v>0</v>
      </c>
      <c r="I65" s="254">
        <f t="shared" si="6"/>
        <v>0</v>
      </c>
      <c r="J65" s="258">
        <f>8-SUMIFS('les arrets'!G:G,'les arrets'!B:B,'synthèse 312'!$A65-1,'les arrets'!C:C,'synthèse 312'!J$2)</f>
        <v>0</v>
      </c>
      <c r="K65" s="258">
        <f>8-SUMIFS('les arrets'!G:G,'les arrets'!B:B,'synthèse 312'!$A65,'les arrets'!C:C,'synthèse 312'!K$2)</f>
        <v>0</v>
      </c>
      <c r="L65" s="258">
        <f>8-SUMIFS('les arrets'!G:G,'les arrets'!B:B,'synthèse 312'!A65,'les arrets'!C:C,'synthèse 312'!L$2)</f>
        <v>0</v>
      </c>
      <c r="M65" s="258">
        <f t="shared" si="1"/>
        <v>0</v>
      </c>
      <c r="N65" s="248">
        <f>SUMIFS(criblage!$R:$R,criblage!$B:$B,'synthèse 312'!$A65-1,criblage!$C:$C,'synthèse 312'!N$2)</f>
        <v>0</v>
      </c>
      <c r="O65" s="248">
        <f>SUMIFS(criblage!$R:$R,criblage!$B:$B,'synthèse 312'!$A65,criblage!$C:$C,'synthèse 312'!O$2)</f>
        <v>0</v>
      </c>
      <c r="P65" s="248">
        <f>SUMIFS(criblage!$R:$R,criblage!$B:$B,'synthèse 312'!$A65,criblage!$C:$C,'synthèse 312'!P$2)</f>
        <v>0</v>
      </c>
      <c r="Q65" s="248">
        <f t="shared" si="2"/>
        <v>0</v>
      </c>
      <c r="R65" s="249" t="e">
        <f t="shared" si="7"/>
        <v>#DIV/0!</v>
      </c>
      <c r="S65" s="249">
        <f t="shared" si="3"/>
        <v>0</v>
      </c>
      <c r="T65" s="249">
        <f t="shared" si="4"/>
        <v>0</v>
      </c>
      <c r="U65" s="249" t="e">
        <f t="shared" si="5"/>
        <v>#DIV/0!</v>
      </c>
    </row>
    <row r="66" spans="1:21" x14ac:dyDescent="0.25">
      <c r="A66" s="244">
        <v>44989</v>
      </c>
      <c r="B66" s="252">
        <f>SUMIFS(criblage!$P:$P,criblage!$B:$B,'synthèse 312'!A66-1,criblage!$C:$C,'synthèse 312'!B$2)</f>
        <v>0</v>
      </c>
      <c r="C66" s="252">
        <f>SUMIFS(criblage!$P:$P,criblage!$B:$B,'synthèse 312'!$A66,criblage!$C:$C,'synthèse 312'!C$2)</f>
        <v>0</v>
      </c>
      <c r="D66" s="252">
        <f>SUMIFS(criblage!$P:$P,criblage!$B:$B,'synthèse 312'!$A66,criblage!$C:$C,'synthèse 312'!D$2)</f>
        <v>0</v>
      </c>
      <c r="E66" s="252">
        <f t="shared" si="0"/>
        <v>0</v>
      </c>
      <c r="F66" s="254">
        <f>SUMIFS(criblage!$O:$O,criblage!$B:$B,'synthèse 312'!$A66-1,criblage!$C:$C,'synthèse 312'!F$2)</f>
        <v>0</v>
      </c>
      <c r="G66" s="254">
        <f>SUMIFS(criblage!$O:$O,criblage!$B:$B,'synthèse 312'!$A66,criblage!$C:$C,'synthèse 312'!G$2)</f>
        <v>0</v>
      </c>
      <c r="H66" s="254">
        <f>SUMIFS(criblage!$O:$O,criblage!$B:$B,'synthèse 312'!$A66,criblage!$C:$C,'synthèse 312'!H$2)</f>
        <v>0</v>
      </c>
      <c r="I66" s="254">
        <f t="shared" si="6"/>
        <v>0</v>
      </c>
      <c r="J66" s="258">
        <f>8-SUMIFS('les arrets'!G:G,'les arrets'!B:B,'synthèse 312'!$A66-1,'les arrets'!C:C,'synthèse 312'!J$2)</f>
        <v>0</v>
      </c>
      <c r="K66" s="258">
        <f>8-SUMIFS('les arrets'!G:G,'les arrets'!B:B,'synthèse 312'!$A66,'les arrets'!C:C,'synthèse 312'!K$2)</f>
        <v>0</v>
      </c>
      <c r="L66" s="258">
        <f>8-SUMIFS('les arrets'!G:G,'les arrets'!B:B,'synthèse 312'!A66,'les arrets'!C:C,'synthèse 312'!L$2)</f>
        <v>0</v>
      </c>
      <c r="M66" s="258">
        <f t="shared" si="1"/>
        <v>0</v>
      </c>
      <c r="N66" s="248">
        <f>SUMIFS(criblage!$R:$R,criblage!$B:$B,'synthèse 312'!$A66-1,criblage!$C:$C,'synthèse 312'!N$2)</f>
        <v>0</v>
      </c>
      <c r="O66" s="248">
        <f>SUMIFS(criblage!$R:$R,criblage!$B:$B,'synthèse 312'!$A66,criblage!$C:$C,'synthèse 312'!O$2)</f>
        <v>0</v>
      </c>
      <c r="P66" s="248">
        <f>SUMIFS(criblage!$R:$R,criblage!$B:$B,'synthèse 312'!$A66,criblage!$C:$C,'synthèse 312'!P$2)</f>
        <v>0</v>
      </c>
      <c r="Q66" s="248">
        <f t="shared" si="2"/>
        <v>0</v>
      </c>
      <c r="R66" s="249" t="e">
        <f t="shared" si="7"/>
        <v>#DIV/0!</v>
      </c>
      <c r="S66" s="249">
        <f t="shared" si="3"/>
        <v>0</v>
      </c>
      <c r="T66" s="249">
        <f t="shared" si="4"/>
        <v>0</v>
      </c>
      <c r="U66" s="249" t="e">
        <f t="shared" si="5"/>
        <v>#DIV/0!</v>
      </c>
    </row>
    <row r="67" spans="1:21" x14ac:dyDescent="0.25">
      <c r="A67" s="244">
        <v>44990</v>
      </c>
      <c r="B67" s="252">
        <f>SUMIFS(criblage!$P:$P,criblage!$B:$B,'synthèse 312'!A67-1,criblage!$C:$C,'synthèse 312'!B$2)</f>
        <v>0</v>
      </c>
      <c r="C67" s="252">
        <f>SUMIFS(criblage!$P:$P,criblage!$B:$B,'synthèse 312'!$A67,criblage!$C:$C,'synthèse 312'!C$2)</f>
        <v>0</v>
      </c>
      <c r="D67" s="252">
        <f>SUMIFS(criblage!$P:$P,criblage!$B:$B,'synthèse 312'!$A67,criblage!$C:$C,'synthèse 312'!D$2)</f>
        <v>0</v>
      </c>
      <c r="E67" s="252">
        <f t="shared" si="0"/>
        <v>0</v>
      </c>
      <c r="F67" s="254">
        <f>SUMIFS(criblage!$O:$O,criblage!$B:$B,'synthèse 312'!$A67-1,criblage!$C:$C,'synthèse 312'!F$2)</f>
        <v>0</v>
      </c>
      <c r="G67" s="254">
        <f>SUMIFS(criblage!$O:$O,criblage!$B:$B,'synthèse 312'!$A67,criblage!$C:$C,'synthèse 312'!G$2)</f>
        <v>0</v>
      </c>
      <c r="H67" s="254">
        <f>SUMIFS(criblage!$O:$O,criblage!$B:$B,'synthèse 312'!$A67,criblage!$C:$C,'synthèse 312'!H$2)</f>
        <v>0</v>
      </c>
      <c r="I67" s="254">
        <f t="shared" si="6"/>
        <v>0</v>
      </c>
      <c r="J67" s="258">
        <f>8-SUMIFS('les arrets'!G:G,'les arrets'!B:B,'synthèse 312'!$A67-1,'les arrets'!C:C,'synthèse 312'!J$2)</f>
        <v>0</v>
      </c>
      <c r="K67" s="258">
        <f>8-SUMIFS('les arrets'!G:G,'les arrets'!B:B,'synthèse 312'!$A67,'les arrets'!C:C,'synthèse 312'!K$2)</f>
        <v>0</v>
      </c>
      <c r="L67" s="258">
        <f>8-SUMIFS('les arrets'!G:G,'les arrets'!B:B,'synthèse 312'!A67,'les arrets'!C:C,'synthèse 312'!L$2)</f>
        <v>0</v>
      </c>
      <c r="M67" s="258">
        <f t="shared" si="1"/>
        <v>0</v>
      </c>
      <c r="N67" s="248">
        <f>SUMIFS(criblage!$R:$R,criblage!$B:$B,'synthèse 312'!$A67-1,criblage!$C:$C,'synthèse 312'!N$2)</f>
        <v>0</v>
      </c>
      <c r="O67" s="248">
        <f>SUMIFS(criblage!$R:$R,criblage!$B:$B,'synthèse 312'!$A67,criblage!$C:$C,'synthèse 312'!O$2)</f>
        <v>0</v>
      </c>
      <c r="P67" s="248">
        <f>SUMIFS(criblage!$R:$R,criblage!$B:$B,'synthèse 312'!$A67,criblage!$C:$C,'synthèse 312'!P$2)</f>
        <v>0</v>
      </c>
      <c r="Q67" s="248">
        <f t="shared" si="2"/>
        <v>0</v>
      </c>
      <c r="R67" s="249" t="e">
        <f t="shared" si="7"/>
        <v>#DIV/0!</v>
      </c>
      <c r="S67" s="249">
        <f t="shared" si="3"/>
        <v>0</v>
      </c>
      <c r="T67" s="249">
        <f t="shared" si="4"/>
        <v>0</v>
      </c>
      <c r="U67" s="249" t="e">
        <f t="shared" si="5"/>
        <v>#DIV/0!</v>
      </c>
    </row>
    <row r="68" spans="1:21" x14ac:dyDescent="0.25">
      <c r="A68" s="244">
        <v>44991</v>
      </c>
      <c r="B68" s="252">
        <f>SUMIFS(criblage!$P:$P,criblage!$B:$B,'synthèse 312'!A68-1,criblage!$C:$C,'synthèse 312'!B$2)</f>
        <v>0</v>
      </c>
      <c r="C68" s="252">
        <f>SUMIFS(criblage!$P:$P,criblage!$B:$B,'synthèse 312'!$A68,criblage!$C:$C,'synthèse 312'!C$2)</f>
        <v>0</v>
      </c>
      <c r="D68" s="252">
        <f>SUMIFS(criblage!$P:$P,criblage!$B:$B,'synthèse 312'!$A68,criblage!$C:$C,'synthèse 312'!D$2)</f>
        <v>0</v>
      </c>
      <c r="E68" s="252">
        <f t="shared" si="0"/>
        <v>0</v>
      </c>
      <c r="F68" s="254">
        <f>SUMIFS(criblage!$O:$O,criblage!$B:$B,'synthèse 312'!$A68-1,criblage!$C:$C,'synthèse 312'!F$2)</f>
        <v>0</v>
      </c>
      <c r="G68" s="254">
        <f>SUMIFS(criblage!$O:$O,criblage!$B:$B,'synthèse 312'!$A68,criblage!$C:$C,'synthèse 312'!G$2)</f>
        <v>0</v>
      </c>
      <c r="H68" s="254">
        <f>SUMIFS(criblage!$O:$O,criblage!$B:$B,'synthèse 312'!$A68,criblage!$C:$C,'synthèse 312'!H$2)</f>
        <v>0</v>
      </c>
      <c r="I68" s="254">
        <f t="shared" si="6"/>
        <v>0</v>
      </c>
      <c r="J68" s="258">
        <f>8-SUMIFS('les arrets'!G:G,'les arrets'!B:B,'synthèse 312'!$A68-1,'les arrets'!C:C,'synthèse 312'!J$2)</f>
        <v>0</v>
      </c>
      <c r="K68" s="258">
        <f>8-SUMIFS('les arrets'!G:G,'les arrets'!B:B,'synthèse 312'!$A68,'les arrets'!C:C,'synthèse 312'!K$2)</f>
        <v>0</v>
      </c>
      <c r="L68" s="258">
        <f>8-SUMIFS('les arrets'!G:G,'les arrets'!B:B,'synthèse 312'!A68,'les arrets'!C:C,'synthèse 312'!L$2)</f>
        <v>0</v>
      </c>
      <c r="M68" s="258">
        <f t="shared" si="1"/>
        <v>0</v>
      </c>
      <c r="N68" s="248">
        <f>SUMIFS(criblage!$R:$R,criblage!$B:$B,'synthèse 312'!$A68-1,criblage!$C:$C,'synthèse 312'!N$2)</f>
        <v>0</v>
      </c>
      <c r="O68" s="248">
        <f>SUMIFS(criblage!$R:$R,criblage!$B:$B,'synthèse 312'!$A68,criblage!$C:$C,'synthèse 312'!O$2)</f>
        <v>0</v>
      </c>
      <c r="P68" s="248">
        <f>SUMIFS(criblage!$R:$R,criblage!$B:$B,'synthèse 312'!$A68,criblage!$C:$C,'synthèse 312'!P$2)</f>
        <v>0</v>
      </c>
      <c r="Q68" s="248">
        <f t="shared" si="2"/>
        <v>0</v>
      </c>
      <c r="R68" s="249" t="e">
        <f t="shared" si="7"/>
        <v>#DIV/0!</v>
      </c>
      <c r="S68" s="249">
        <f t="shared" si="3"/>
        <v>0</v>
      </c>
      <c r="T68" s="249">
        <f t="shared" si="4"/>
        <v>0</v>
      </c>
      <c r="U68" s="249" t="e">
        <f t="shared" si="5"/>
        <v>#DIV/0!</v>
      </c>
    </row>
    <row r="69" spans="1:21" x14ac:dyDescent="0.25">
      <c r="A69" s="244">
        <v>44992</v>
      </c>
      <c r="B69" s="252">
        <f>SUMIFS(criblage!$P:$P,criblage!$B:$B,'synthèse 312'!A69-1,criblage!$C:$C,'synthèse 312'!B$2)</f>
        <v>0</v>
      </c>
      <c r="C69" s="252">
        <f>SUMIFS(criblage!$P:$P,criblage!$B:$B,'synthèse 312'!$A69,criblage!$C:$C,'synthèse 312'!C$2)</f>
        <v>0</v>
      </c>
      <c r="D69" s="252">
        <f>SUMIFS(criblage!$P:$P,criblage!$B:$B,'synthèse 312'!$A69,criblage!$C:$C,'synthèse 312'!D$2)</f>
        <v>0</v>
      </c>
      <c r="E69" s="252">
        <f t="shared" ref="E69:E132" si="8">SUM(B69+C69+D69)</f>
        <v>0</v>
      </c>
      <c r="F69" s="254">
        <f>SUMIFS(criblage!$O:$O,criblage!$B:$B,'synthèse 312'!$A69-1,criblage!$C:$C,'synthèse 312'!F$2)</f>
        <v>0</v>
      </c>
      <c r="G69" s="254">
        <f>SUMIFS(criblage!$O:$O,criblage!$B:$B,'synthèse 312'!$A69,criblage!$C:$C,'synthèse 312'!G$2)</f>
        <v>0</v>
      </c>
      <c r="H69" s="254">
        <f>SUMIFS(criblage!$O:$O,criblage!$B:$B,'synthèse 312'!$A69,criblage!$C:$C,'synthèse 312'!H$2)</f>
        <v>0</v>
      </c>
      <c r="I69" s="254">
        <f t="shared" ref="I69:I132" si="9">SUM(F69+G69+H69)</f>
        <v>0</v>
      </c>
      <c r="J69" s="258">
        <f>8-SUMIFS('les arrets'!G:G,'les arrets'!B:B,'synthèse 312'!$A69-1,'les arrets'!C:C,'synthèse 312'!J$2)</f>
        <v>0</v>
      </c>
      <c r="K69" s="258">
        <f>8-SUMIFS('les arrets'!G:G,'les arrets'!B:B,'synthèse 312'!$A69,'les arrets'!C:C,'synthèse 312'!K$2)</f>
        <v>0</v>
      </c>
      <c r="L69" s="258">
        <f>8-SUMIFS('les arrets'!G:G,'les arrets'!B:B,'synthèse 312'!A69,'les arrets'!C:C,'synthèse 312'!L$2)</f>
        <v>0</v>
      </c>
      <c r="M69" s="258">
        <f t="shared" ref="M69:M132" si="10">SUM(J69+K69+L69)</f>
        <v>0</v>
      </c>
      <c r="N69" s="248">
        <f>SUMIFS(criblage!$R:$R,criblage!$B:$B,'synthèse 312'!$A69-1,criblage!$C:$C,'synthèse 312'!N$2)</f>
        <v>0</v>
      </c>
      <c r="O69" s="248">
        <f>SUMIFS(criblage!$R:$R,criblage!$B:$B,'synthèse 312'!$A69,criblage!$C:$C,'synthèse 312'!O$2)</f>
        <v>0</v>
      </c>
      <c r="P69" s="248">
        <f>SUMIFS(criblage!$R:$R,criblage!$B:$B,'synthèse 312'!$A69,criblage!$C:$C,'synthèse 312'!P$2)</f>
        <v>0</v>
      </c>
      <c r="Q69" s="248">
        <f t="shared" ref="Q69:Q132" si="11">SUM(N69:P69)</f>
        <v>0</v>
      </c>
      <c r="R69" s="249" t="e">
        <f t="shared" si="7"/>
        <v>#DIV/0!</v>
      </c>
      <c r="S69" s="249">
        <f t="shared" ref="S69:S132" si="12">IFERROR($G69/$K69,0)</f>
        <v>0</v>
      </c>
      <c r="T69" s="249">
        <f t="shared" ref="T69:T132" si="13">IFERROR($H69/$L69,0)</f>
        <v>0</v>
      </c>
      <c r="U69" s="249" t="e">
        <f t="shared" ref="U69:U132" si="14">AVERAGE(R69:T69)</f>
        <v>#DIV/0!</v>
      </c>
    </row>
    <row r="70" spans="1:21" x14ac:dyDescent="0.25">
      <c r="A70" s="244">
        <v>44993</v>
      </c>
      <c r="B70" s="252">
        <f>SUMIFS(criblage!$P:$P,criblage!$B:$B,'synthèse 312'!A70-1,criblage!$C:$C,'synthèse 312'!B$2)</f>
        <v>0</v>
      </c>
      <c r="C70" s="252">
        <f>SUMIFS(criblage!$P:$P,criblage!$B:$B,'synthèse 312'!$A70,criblage!$C:$C,'synthèse 312'!C$2)</f>
        <v>0</v>
      </c>
      <c r="D70" s="252">
        <f>SUMIFS(criblage!$P:$P,criblage!$B:$B,'synthèse 312'!$A70,criblage!$C:$C,'synthèse 312'!D$2)</f>
        <v>0</v>
      </c>
      <c r="E70" s="252">
        <f t="shared" si="8"/>
        <v>0</v>
      </c>
      <c r="F70" s="254">
        <f>SUMIFS(criblage!$O:$O,criblage!$B:$B,'synthèse 312'!$A70-1,criblage!$C:$C,'synthèse 312'!F$2)</f>
        <v>0</v>
      </c>
      <c r="G70" s="254">
        <f>SUMIFS(criblage!$O:$O,criblage!$B:$B,'synthèse 312'!$A70,criblage!$C:$C,'synthèse 312'!G$2)</f>
        <v>0</v>
      </c>
      <c r="H70" s="254">
        <f>SUMIFS(criblage!$O:$O,criblage!$B:$B,'synthèse 312'!$A70,criblage!$C:$C,'synthèse 312'!H$2)</f>
        <v>3731</v>
      </c>
      <c r="I70" s="254">
        <f t="shared" si="9"/>
        <v>3731</v>
      </c>
      <c r="J70" s="258">
        <f>8-SUMIFS('les arrets'!G:G,'les arrets'!B:B,'synthèse 312'!$A70-1,'les arrets'!C:C,'synthèse 312'!J$2)</f>
        <v>0</v>
      </c>
      <c r="K70" s="258">
        <f>8-SUMIFS('les arrets'!G:G,'les arrets'!B:B,'synthèse 312'!$A70,'les arrets'!C:C,'synthèse 312'!K$2)</f>
        <v>0</v>
      </c>
      <c r="L70" s="258">
        <f>8-SUMIFS('les arrets'!G:G,'les arrets'!B:B,'synthèse 312'!A70,'les arrets'!C:C,'synthèse 312'!L$2)</f>
        <v>5.1666666666666661</v>
      </c>
      <c r="M70" s="258">
        <f t="shared" si="10"/>
        <v>5.1666666666666661</v>
      </c>
      <c r="N70" s="248">
        <f>SUMIFS(criblage!$R:$R,criblage!$B:$B,'synthèse 312'!$A70-1,criblage!$C:$C,'synthèse 312'!N$2)</f>
        <v>0</v>
      </c>
      <c r="O70" s="248">
        <f>SUMIFS(criblage!$R:$R,criblage!$B:$B,'synthèse 312'!$A70,criblage!$C:$C,'synthèse 312'!O$2)</f>
        <v>0</v>
      </c>
      <c r="P70" s="248">
        <f>SUMIFS(criblage!$R:$R,criblage!$B:$B,'synthèse 312'!$A70,criblage!$C:$C,'synthèse 312'!P$2)</f>
        <v>5.76</v>
      </c>
      <c r="Q70" s="248">
        <f t="shared" si="11"/>
        <v>5.76</v>
      </c>
      <c r="R70" s="249" t="e">
        <f t="shared" ref="R70:R133" si="15">$F70/$J70</f>
        <v>#DIV/0!</v>
      </c>
      <c r="S70" s="249">
        <f t="shared" si="12"/>
        <v>0</v>
      </c>
      <c r="T70" s="249">
        <f t="shared" si="13"/>
        <v>722.12903225806463</v>
      </c>
      <c r="U70" s="249" t="e">
        <f t="shared" si="14"/>
        <v>#DIV/0!</v>
      </c>
    </row>
    <row r="71" spans="1:21" x14ac:dyDescent="0.25">
      <c r="A71" s="244">
        <v>44994</v>
      </c>
      <c r="B71" s="252">
        <f>SUMIFS(criblage!$P:$P,criblage!$B:$B,'synthèse 312'!A71-1,criblage!$C:$C,'synthèse 312'!B$2)</f>
        <v>0</v>
      </c>
      <c r="C71" s="252">
        <f>SUMIFS(criblage!$P:$P,criblage!$B:$B,'synthèse 312'!$A71,criblage!$C:$C,'synthèse 312'!C$2)</f>
        <v>0</v>
      </c>
      <c r="D71" s="252">
        <f>SUMIFS(criblage!$P:$P,criblage!$B:$B,'synthèse 312'!$A71,criblage!$C:$C,'synthèse 312'!D$2)</f>
        <v>0</v>
      </c>
      <c r="E71" s="252">
        <f t="shared" si="8"/>
        <v>0</v>
      </c>
      <c r="F71" s="254">
        <f>SUMIFS(criblage!$O:$O,criblage!$B:$B,'synthèse 312'!$A71-1,criblage!$C:$C,'synthèse 312'!F$2)</f>
        <v>0</v>
      </c>
      <c r="G71" s="254">
        <f>SUMIFS(criblage!$O:$O,criblage!$B:$B,'synthèse 312'!$A71,criblage!$C:$C,'synthèse 312'!G$2)</f>
        <v>4811</v>
      </c>
      <c r="H71" s="254">
        <f>SUMIFS(criblage!$O:$O,criblage!$B:$B,'synthèse 312'!$A71,criblage!$C:$C,'synthèse 312'!H$2)</f>
        <v>0</v>
      </c>
      <c r="I71" s="254">
        <f t="shared" si="9"/>
        <v>4811</v>
      </c>
      <c r="J71" s="258">
        <f>8-SUMIFS('les arrets'!G:G,'les arrets'!B:B,'synthèse 312'!$A71-1,'les arrets'!C:C,'synthèse 312'!J$2)</f>
        <v>0</v>
      </c>
      <c r="K71" s="258">
        <f>8-SUMIFS('les arrets'!G:G,'les arrets'!B:B,'synthèse 312'!$A71,'les arrets'!C:C,'synthèse 312'!K$2)</f>
        <v>5.6833333333333336</v>
      </c>
      <c r="L71" s="258">
        <f>8-SUMIFS('les arrets'!G:G,'les arrets'!B:B,'synthèse 312'!A71,'les arrets'!C:C,'synthèse 312'!L$2)</f>
        <v>0</v>
      </c>
      <c r="M71" s="258">
        <f t="shared" si="10"/>
        <v>5.6833333333333336</v>
      </c>
      <c r="N71" s="248">
        <f>SUMIFS(criblage!$R:$R,criblage!$B:$B,'synthèse 312'!$A71-1,criblage!$C:$C,'synthèse 312'!N$2)</f>
        <v>0</v>
      </c>
      <c r="O71" s="248">
        <f>SUMIFS(criblage!$R:$R,criblage!$B:$B,'synthèse 312'!$A71,criblage!$C:$C,'synthèse 312'!O$2)</f>
        <v>5.76</v>
      </c>
      <c r="P71" s="248">
        <f>SUMIFS(criblage!$R:$R,criblage!$B:$B,'synthèse 312'!$A71,criblage!$C:$C,'synthèse 312'!P$2)</f>
        <v>0</v>
      </c>
      <c r="Q71" s="248">
        <f t="shared" si="11"/>
        <v>5.76</v>
      </c>
      <c r="R71" s="249" t="e">
        <f t="shared" si="15"/>
        <v>#DIV/0!</v>
      </c>
      <c r="S71" s="249">
        <f t="shared" si="12"/>
        <v>846.51026392961876</v>
      </c>
      <c r="T71" s="249">
        <f t="shared" si="13"/>
        <v>0</v>
      </c>
      <c r="U71" s="249" t="e">
        <f t="shared" si="14"/>
        <v>#DIV/0!</v>
      </c>
    </row>
    <row r="72" spans="1:21" x14ac:dyDescent="0.25">
      <c r="A72" s="244">
        <v>44995</v>
      </c>
      <c r="B72" s="252">
        <f>SUMIFS(criblage!$P:$P,criblage!$B:$B,'synthèse 312'!A72-1,criblage!$C:$C,'synthèse 312'!B$2)</f>
        <v>0</v>
      </c>
      <c r="C72" s="252">
        <f>SUMIFS(criblage!$P:$P,criblage!$B:$B,'synthèse 312'!$A72,criblage!$C:$C,'synthèse 312'!C$2)</f>
        <v>0</v>
      </c>
      <c r="D72" s="252">
        <f>SUMIFS(criblage!$P:$P,criblage!$B:$B,'synthèse 312'!$A72,criblage!$C:$C,'synthèse 312'!D$2)</f>
        <v>0</v>
      </c>
      <c r="E72" s="252">
        <f t="shared" si="8"/>
        <v>0</v>
      </c>
      <c r="F72" s="254">
        <f>SUMIFS(criblage!$O:$O,criblage!$B:$B,'synthèse 312'!$A72-1,criblage!$C:$C,'synthèse 312'!F$2)</f>
        <v>0</v>
      </c>
      <c r="G72" s="254">
        <f>SUMIFS(criblage!$O:$O,criblage!$B:$B,'synthèse 312'!$A72,criblage!$C:$C,'synthèse 312'!G$2)</f>
        <v>0</v>
      </c>
      <c r="H72" s="254">
        <f>SUMIFS(criblage!$O:$O,criblage!$B:$B,'synthèse 312'!$A72,criblage!$C:$C,'synthèse 312'!H$2)</f>
        <v>1182</v>
      </c>
      <c r="I72" s="254">
        <f t="shared" si="9"/>
        <v>1182</v>
      </c>
      <c r="J72" s="258">
        <f>8-SUMIFS('les arrets'!G:G,'les arrets'!B:B,'synthèse 312'!$A72-1,'les arrets'!C:C,'synthèse 312'!J$2)</f>
        <v>0</v>
      </c>
      <c r="K72" s="258">
        <f>8-SUMIFS('les arrets'!G:G,'les arrets'!B:B,'synthèse 312'!$A72,'les arrets'!C:C,'synthèse 312'!K$2)</f>
        <v>0</v>
      </c>
      <c r="L72" s="258">
        <f>8-SUMIFS('les arrets'!G:G,'les arrets'!B:B,'synthèse 312'!A72,'les arrets'!C:C,'synthèse 312'!L$2)</f>
        <v>1.6666666666666661</v>
      </c>
      <c r="M72" s="258">
        <f t="shared" si="10"/>
        <v>1.6666666666666661</v>
      </c>
      <c r="N72" s="248">
        <f>SUMIFS(criblage!$R:$R,criblage!$B:$B,'synthèse 312'!$A72-1,criblage!$C:$C,'synthèse 312'!N$2)</f>
        <v>0</v>
      </c>
      <c r="O72" s="248">
        <f>SUMIFS(criblage!$R:$R,criblage!$B:$B,'synthèse 312'!$A72,criblage!$C:$C,'synthèse 312'!O$2)</f>
        <v>0</v>
      </c>
      <c r="P72" s="248">
        <f>SUMIFS(criblage!$R:$R,criblage!$B:$B,'synthèse 312'!$A72,criblage!$C:$C,'synthèse 312'!P$2)</f>
        <v>1.72</v>
      </c>
      <c r="Q72" s="248">
        <f t="shared" si="11"/>
        <v>1.72</v>
      </c>
      <c r="R72" s="249" t="e">
        <f t="shared" si="15"/>
        <v>#DIV/0!</v>
      </c>
      <c r="S72" s="249">
        <f t="shared" si="12"/>
        <v>0</v>
      </c>
      <c r="T72" s="249">
        <f t="shared" si="13"/>
        <v>709.20000000000027</v>
      </c>
      <c r="U72" s="249" t="e">
        <f t="shared" si="14"/>
        <v>#DIV/0!</v>
      </c>
    </row>
    <row r="73" spans="1:21" x14ac:dyDescent="0.25">
      <c r="A73" s="244">
        <v>44996</v>
      </c>
      <c r="B73" s="252">
        <f>SUMIFS(criblage!$P:$P,criblage!$B:$B,'synthèse 312'!A73-1,criblage!$C:$C,'synthèse 312'!B$2)</f>
        <v>0</v>
      </c>
      <c r="C73" s="252">
        <f>SUMIFS(criblage!$P:$P,criblage!$B:$B,'synthèse 312'!$A73,criblage!$C:$C,'synthèse 312'!C$2)</f>
        <v>0</v>
      </c>
      <c r="D73" s="252">
        <f>SUMIFS(criblage!$P:$P,criblage!$B:$B,'synthèse 312'!$A73,criblage!$C:$C,'synthèse 312'!D$2)</f>
        <v>0</v>
      </c>
      <c r="E73" s="252">
        <f t="shared" si="8"/>
        <v>0</v>
      </c>
      <c r="F73" s="254">
        <f>SUMIFS(criblage!$O:$O,criblage!$B:$B,'synthèse 312'!$A73-1,criblage!$C:$C,'synthèse 312'!F$2)</f>
        <v>0</v>
      </c>
      <c r="G73" s="254">
        <f>SUMIFS(criblage!$O:$O,criblage!$B:$B,'synthèse 312'!$A73,criblage!$C:$C,'synthèse 312'!G$2)</f>
        <v>4134</v>
      </c>
      <c r="H73" s="254">
        <f>SUMIFS(criblage!$O:$O,criblage!$B:$B,'synthèse 312'!$A73,criblage!$C:$C,'synthèse 312'!H$2)</f>
        <v>4146</v>
      </c>
      <c r="I73" s="254">
        <f t="shared" si="9"/>
        <v>8280</v>
      </c>
      <c r="J73" s="258">
        <f>8-SUMIFS('les arrets'!G:G,'les arrets'!B:B,'synthèse 312'!$A73-1,'les arrets'!C:C,'synthèse 312'!J$2)</f>
        <v>0</v>
      </c>
      <c r="K73" s="258">
        <f>8-SUMIFS('les arrets'!G:G,'les arrets'!B:B,'synthèse 312'!$A73,'les arrets'!C:C,'synthèse 312'!K$2)</f>
        <v>5.2166666666666668</v>
      </c>
      <c r="L73" s="258">
        <f>8-SUMIFS('les arrets'!G:G,'les arrets'!B:B,'synthèse 312'!A73,'les arrets'!C:C,'synthèse 312'!L$2)</f>
        <v>5.0500000000000007</v>
      </c>
      <c r="M73" s="258">
        <f t="shared" si="10"/>
        <v>10.266666666666667</v>
      </c>
      <c r="N73" s="248">
        <f>SUMIFS(criblage!$R:$R,criblage!$B:$B,'synthèse 312'!$A73-1,criblage!$C:$C,'synthèse 312'!N$2)</f>
        <v>0</v>
      </c>
      <c r="O73" s="248">
        <f>SUMIFS(criblage!$R:$R,criblage!$B:$B,'synthèse 312'!$A73,criblage!$C:$C,'synthèse 312'!O$2)</f>
        <v>5.44</v>
      </c>
      <c r="P73" s="248">
        <f>SUMIFS(criblage!$R:$R,criblage!$B:$B,'synthèse 312'!$A73,criblage!$C:$C,'synthèse 312'!P$2)</f>
        <v>5.4</v>
      </c>
      <c r="Q73" s="248">
        <f t="shared" si="11"/>
        <v>10.84</v>
      </c>
      <c r="R73" s="249" t="e">
        <f t="shared" si="15"/>
        <v>#DIV/0!</v>
      </c>
      <c r="S73" s="249">
        <f t="shared" si="12"/>
        <v>792.46006389776358</v>
      </c>
      <c r="T73" s="249">
        <f t="shared" si="13"/>
        <v>820.99009900990086</v>
      </c>
      <c r="U73" s="249" t="e">
        <f t="shared" si="14"/>
        <v>#DIV/0!</v>
      </c>
    </row>
    <row r="74" spans="1:21" x14ac:dyDescent="0.25">
      <c r="A74" s="244">
        <v>44997</v>
      </c>
      <c r="B74" s="252">
        <f>SUMIFS(criblage!$P:$P,criblage!$B:$B,'synthèse 312'!A74-1,criblage!$C:$C,'synthèse 312'!B$2)</f>
        <v>0</v>
      </c>
      <c r="C74" s="252">
        <f>SUMIFS(criblage!$P:$P,criblage!$B:$B,'synthèse 312'!$A74,criblage!$C:$C,'synthèse 312'!C$2)</f>
        <v>0</v>
      </c>
      <c r="D74" s="252">
        <f>SUMIFS(criblage!$P:$P,criblage!$B:$B,'synthèse 312'!$A74,criblage!$C:$C,'synthèse 312'!D$2)</f>
        <v>0</v>
      </c>
      <c r="E74" s="252">
        <f t="shared" si="8"/>
        <v>0</v>
      </c>
      <c r="F74" s="254">
        <f>SUMIFS(criblage!$O:$O,criblage!$B:$B,'synthèse 312'!$A74-1,criblage!$C:$C,'synthèse 312'!F$2)</f>
        <v>0</v>
      </c>
      <c r="G74" s="254">
        <f>SUMIFS(criblage!$O:$O,criblage!$B:$B,'synthèse 312'!$A74,criblage!$C:$C,'synthèse 312'!G$2)</f>
        <v>0</v>
      </c>
      <c r="H74" s="254">
        <f>SUMIFS(criblage!$O:$O,criblage!$B:$B,'synthèse 312'!$A74,criblage!$C:$C,'synthèse 312'!H$2)</f>
        <v>0</v>
      </c>
      <c r="I74" s="254">
        <f t="shared" si="9"/>
        <v>0</v>
      </c>
      <c r="J74" s="258">
        <f>8-SUMIFS('les arrets'!G:G,'les arrets'!B:B,'synthèse 312'!$A74-1,'les arrets'!C:C,'synthèse 312'!J$2)</f>
        <v>0</v>
      </c>
      <c r="K74" s="258">
        <f>8-SUMIFS('les arrets'!G:G,'les arrets'!B:B,'synthèse 312'!$A74,'les arrets'!C:C,'synthèse 312'!K$2)</f>
        <v>0</v>
      </c>
      <c r="L74" s="258">
        <f>8-SUMIFS('les arrets'!G:G,'les arrets'!B:B,'synthèse 312'!A74,'les arrets'!C:C,'synthèse 312'!L$2)</f>
        <v>0</v>
      </c>
      <c r="M74" s="258">
        <f t="shared" si="10"/>
        <v>0</v>
      </c>
      <c r="N74" s="248">
        <f>SUMIFS(criblage!$R:$R,criblage!$B:$B,'synthèse 312'!$A74-1,criblage!$C:$C,'synthèse 312'!N$2)</f>
        <v>0</v>
      </c>
      <c r="O74" s="248">
        <f>SUMIFS(criblage!$R:$R,criblage!$B:$B,'synthèse 312'!$A74,criblage!$C:$C,'synthèse 312'!O$2)</f>
        <v>0</v>
      </c>
      <c r="P74" s="248">
        <f>SUMIFS(criblage!$R:$R,criblage!$B:$B,'synthèse 312'!$A74,criblage!$C:$C,'synthèse 312'!P$2)</f>
        <v>0</v>
      </c>
      <c r="Q74" s="248">
        <f t="shared" si="11"/>
        <v>0</v>
      </c>
      <c r="R74" s="249" t="e">
        <f t="shared" si="15"/>
        <v>#DIV/0!</v>
      </c>
      <c r="S74" s="249">
        <f t="shared" si="12"/>
        <v>0</v>
      </c>
      <c r="T74" s="249">
        <f t="shared" si="13"/>
        <v>0</v>
      </c>
      <c r="U74" s="249" t="e">
        <f t="shared" si="14"/>
        <v>#DIV/0!</v>
      </c>
    </row>
    <row r="75" spans="1:21" x14ac:dyDescent="0.25">
      <c r="A75" s="244">
        <v>44998</v>
      </c>
      <c r="B75" s="252">
        <f>SUMIFS(criblage!$P:$P,criblage!$B:$B,'synthèse 312'!A75-1,criblage!$C:$C,'synthèse 312'!B$2)</f>
        <v>0</v>
      </c>
      <c r="C75" s="252">
        <f>SUMIFS(criblage!$P:$P,criblage!$B:$B,'synthèse 312'!$A75,criblage!$C:$C,'synthèse 312'!C$2)</f>
        <v>0</v>
      </c>
      <c r="D75" s="252">
        <f>SUMIFS(criblage!$P:$P,criblage!$B:$B,'synthèse 312'!$A75,criblage!$C:$C,'synthèse 312'!D$2)</f>
        <v>0</v>
      </c>
      <c r="E75" s="252">
        <f t="shared" si="8"/>
        <v>0</v>
      </c>
      <c r="F75" s="254">
        <f>SUMIFS(criblage!$O:$O,criblage!$B:$B,'synthèse 312'!$A75-1,criblage!$C:$C,'synthèse 312'!F$2)</f>
        <v>0</v>
      </c>
      <c r="G75" s="254">
        <f>SUMIFS(criblage!$O:$O,criblage!$B:$B,'synthèse 312'!$A75,criblage!$C:$C,'synthèse 312'!G$2)</f>
        <v>0</v>
      </c>
      <c r="H75" s="254">
        <f>SUMIFS(criblage!$O:$O,criblage!$B:$B,'synthèse 312'!$A75,criblage!$C:$C,'synthèse 312'!H$2)</f>
        <v>2369</v>
      </c>
      <c r="I75" s="254">
        <f t="shared" si="9"/>
        <v>2369</v>
      </c>
      <c r="J75" s="258">
        <f>8-SUMIFS('les arrets'!G:G,'les arrets'!B:B,'synthèse 312'!$A75-1,'les arrets'!C:C,'synthèse 312'!J$2)</f>
        <v>0</v>
      </c>
      <c r="K75" s="258">
        <f>8-SUMIFS('les arrets'!G:G,'les arrets'!B:B,'synthèse 312'!$A75,'les arrets'!C:C,'synthèse 312'!K$2)</f>
        <v>0</v>
      </c>
      <c r="L75" s="258">
        <f>8-SUMIFS('les arrets'!G:G,'les arrets'!B:B,'synthèse 312'!A75,'les arrets'!C:C,'synthèse 312'!L$2)</f>
        <v>4.3</v>
      </c>
      <c r="M75" s="258">
        <f t="shared" si="10"/>
        <v>4.3</v>
      </c>
      <c r="N75" s="248">
        <f>SUMIFS(criblage!$R:$R,criblage!$B:$B,'synthèse 312'!$A75-1,criblage!$C:$C,'synthèse 312'!N$2)</f>
        <v>0</v>
      </c>
      <c r="O75" s="248">
        <f>SUMIFS(criblage!$R:$R,criblage!$B:$B,'synthèse 312'!$A75,criblage!$C:$C,'synthèse 312'!O$2)</f>
        <v>0</v>
      </c>
      <c r="P75" s="248">
        <f>SUMIFS(criblage!$R:$R,criblage!$B:$B,'synthèse 312'!$A75,criblage!$C:$C,'synthèse 312'!P$2)</f>
        <v>4.24</v>
      </c>
      <c r="Q75" s="248">
        <f t="shared" si="11"/>
        <v>4.24</v>
      </c>
      <c r="R75" s="249" t="e">
        <f t="shared" si="15"/>
        <v>#DIV/0!</v>
      </c>
      <c r="S75" s="249">
        <f t="shared" si="12"/>
        <v>0</v>
      </c>
      <c r="T75" s="249">
        <f t="shared" si="13"/>
        <v>550.93023255813955</v>
      </c>
      <c r="U75" s="249" t="e">
        <f t="shared" si="14"/>
        <v>#DIV/0!</v>
      </c>
    </row>
    <row r="76" spans="1:21" x14ac:dyDescent="0.25">
      <c r="A76" s="244">
        <v>44999</v>
      </c>
      <c r="B76" s="252">
        <f>SUMIFS(criblage!$P:$P,criblage!$B:$B,'synthèse 312'!A76-1,criblage!$C:$C,'synthèse 312'!B$2)</f>
        <v>0</v>
      </c>
      <c r="C76" s="252">
        <f>SUMIFS(criblage!$P:$P,criblage!$B:$B,'synthèse 312'!$A76,criblage!$C:$C,'synthèse 312'!C$2)</f>
        <v>0</v>
      </c>
      <c r="D76" s="252">
        <f>SUMIFS(criblage!$P:$P,criblage!$B:$B,'synthèse 312'!$A76,criblage!$C:$C,'synthèse 312'!D$2)</f>
        <v>0</v>
      </c>
      <c r="E76" s="252">
        <f t="shared" si="8"/>
        <v>0</v>
      </c>
      <c r="F76" s="254">
        <f>SUMIFS(criblage!$O:$O,criblage!$B:$B,'synthèse 312'!$A76-1,criblage!$C:$C,'synthèse 312'!F$2)</f>
        <v>0</v>
      </c>
      <c r="G76" s="254">
        <f>SUMIFS(criblage!$O:$O,criblage!$B:$B,'synthèse 312'!$A76,criblage!$C:$C,'synthèse 312'!G$2)</f>
        <v>2274</v>
      </c>
      <c r="H76" s="254">
        <f>SUMIFS(criblage!$O:$O,criblage!$B:$B,'synthèse 312'!$A76,criblage!$C:$C,'synthèse 312'!H$2)</f>
        <v>3176</v>
      </c>
      <c r="I76" s="254">
        <f t="shared" si="9"/>
        <v>5450</v>
      </c>
      <c r="J76" s="258">
        <f>8-SUMIFS('les arrets'!G:G,'les arrets'!B:B,'synthèse 312'!$A76-1,'les arrets'!C:C,'synthèse 312'!J$2)</f>
        <v>8</v>
      </c>
      <c r="K76" s="258">
        <f>8-SUMIFS('les arrets'!G:G,'les arrets'!B:B,'synthèse 312'!$A76,'les arrets'!C:C,'synthèse 312'!K$2)</f>
        <v>3.3666666666666663</v>
      </c>
      <c r="L76" s="258">
        <f>8-SUMIFS('les arrets'!G:G,'les arrets'!B:B,'synthèse 312'!A76,'les arrets'!C:C,'synthèse 312'!L$2)</f>
        <v>5.0500000000000007</v>
      </c>
      <c r="M76" s="258">
        <f t="shared" si="10"/>
        <v>16.416666666666668</v>
      </c>
      <c r="N76" s="248">
        <f>SUMIFS(criblage!$R:$R,criblage!$B:$B,'synthèse 312'!$A76-1,criblage!$C:$C,'synthèse 312'!N$2)</f>
        <v>0</v>
      </c>
      <c r="O76" s="248">
        <f>SUMIFS(criblage!$R:$R,criblage!$B:$B,'synthèse 312'!$A76,criblage!$C:$C,'synthèse 312'!O$2)</f>
        <v>3.51</v>
      </c>
      <c r="P76" s="248">
        <f>SUMIFS(criblage!$R:$R,criblage!$B:$B,'synthèse 312'!$A76,criblage!$C:$C,'synthèse 312'!P$2)</f>
        <v>5.05</v>
      </c>
      <c r="Q76" s="248">
        <f t="shared" si="11"/>
        <v>8.5599999999999987</v>
      </c>
      <c r="R76" s="249">
        <f t="shared" si="15"/>
        <v>0</v>
      </c>
      <c r="S76" s="249">
        <f t="shared" si="12"/>
        <v>675.44554455445552</v>
      </c>
      <c r="T76" s="249">
        <f t="shared" si="13"/>
        <v>628.91089108910887</v>
      </c>
      <c r="U76" s="249">
        <f t="shared" si="14"/>
        <v>434.78547854785484</v>
      </c>
    </row>
    <row r="77" spans="1:21" x14ac:dyDescent="0.25">
      <c r="A77" s="244">
        <v>45000</v>
      </c>
      <c r="B77" s="252">
        <f>SUMIFS(criblage!$P:$P,criblage!$B:$B,'synthèse 312'!A77-1,criblage!$C:$C,'synthèse 312'!B$2)</f>
        <v>0</v>
      </c>
      <c r="C77" s="252">
        <f>SUMIFS(criblage!$P:$P,criblage!$B:$B,'synthèse 312'!$A77,criblage!$C:$C,'synthèse 312'!C$2)</f>
        <v>0</v>
      </c>
      <c r="D77" s="252">
        <f>SUMIFS(criblage!$P:$P,criblage!$B:$B,'synthèse 312'!$A77,criblage!$C:$C,'synthèse 312'!D$2)</f>
        <v>0</v>
      </c>
      <c r="E77" s="252">
        <f t="shared" si="8"/>
        <v>0</v>
      </c>
      <c r="F77" s="254">
        <f>SUMIFS(criblage!$O:$O,criblage!$B:$B,'synthèse 312'!$A77-1,criblage!$C:$C,'synthèse 312'!F$2)</f>
        <v>0</v>
      </c>
      <c r="G77" s="254">
        <f>SUMIFS(criblage!$O:$O,criblage!$B:$B,'synthèse 312'!$A77,criblage!$C:$C,'synthèse 312'!G$2)</f>
        <v>2255</v>
      </c>
      <c r="H77" s="254">
        <f>SUMIFS(criblage!$O:$O,criblage!$B:$B,'synthèse 312'!$A77,criblage!$C:$C,'synthèse 312'!H$2)</f>
        <v>2400</v>
      </c>
      <c r="I77" s="254">
        <f t="shared" si="9"/>
        <v>4655</v>
      </c>
      <c r="J77" s="258">
        <f>8-SUMIFS('les arrets'!G:G,'les arrets'!B:B,'synthèse 312'!$A77-1,'les arrets'!C:C,'synthèse 312'!J$2)</f>
        <v>0</v>
      </c>
      <c r="K77" s="258">
        <f>8-SUMIFS('les arrets'!G:G,'les arrets'!B:B,'synthèse 312'!$A77,'les arrets'!C:C,'synthèse 312'!K$2)</f>
        <v>3.1500000000000004</v>
      </c>
      <c r="L77" s="258">
        <f>8-SUMIFS('les arrets'!G:G,'les arrets'!B:B,'synthèse 312'!A77,'les arrets'!C:C,'synthèse 312'!L$2)</f>
        <v>5.166666666666667</v>
      </c>
      <c r="M77" s="258">
        <f t="shared" si="10"/>
        <v>8.3166666666666664</v>
      </c>
      <c r="N77" s="248">
        <f>SUMIFS(criblage!$R:$R,criblage!$B:$B,'synthèse 312'!$A77-1,criblage!$C:$C,'synthèse 312'!N$2)</f>
        <v>0</v>
      </c>
      <c r="O77" s="248">
        <f>SUMIFS(criblage!$R:$R,criblage!$B:$B,'synthèse 312'!$A77,criblage!$C:$C,'synthèse 312'!O$2)</f>
        <v>3.32</v>
      </c>
      <c r="P77" s="248">
        <f>SUMIFS(criblage!$R:$R,criblage!$B:$B,'synthèse 312'!$A77,criblage!$C:$C,'synthèse 312'!P$2)</f>
        <v>164</v>
      </c>
      <c r="Q77" s="248">
        <f t="shared" si="11"/>
        <v>167.32</v>
      </c>
      <c r="R77" s="249" t="e">
        <f t="shared" si="15"/>
        <v>#DIV/0!</v>
      </c>
      <c r="S77" s="249">
        <f t="shared" si="12"/>
        <v>715.87301587301579</v>
      </c>
      <c r="T77" s="249">
        <f t="shared" si="13"/>
        <v>464.51612903225805</v>
      </c>
      <c r="U77" s="249" t="e">
        <f t="shared" si="14"/>
        <v>#DIV/0!</v>
      </c>
    </row>
    <row r="78" spans="1:21" x14ac:dyDescent="0.25">
      <c r="A78" s="244">
        <v>45001</v>
      </c>
      <c r="B78" s="252">
        <f>SUMIFS(criblage!$P:$P,criblage!$B:$B,'synthèse 312'!A78-1,criblage!$C:$C,'synthèse 312'!B$2)</f>
        <v>0</v>
      </c>
      <c r="C78" s="252">
        <f>SUMIFS(criblage!$P:$P,criblage!$B:$B,'synthèse 312'!$A78,criblage!$C:$C,'synthèse 312'!C$2)</f>
        <v>0</v>
      </c>
      <c r="D78" s="252">
        <f>SUMIFS(criblage!$P:$P,criblage!$B:$B,'synthèse 312'!$A78,criblage!$C:$C,'synthèse 312'!D$2)</f>
        <v>0</v>
      </c>
      <c r="E78" s="252">
        <f t="shared" si="8"/>
        <v>0</v>
      </c>
      <c r="F78" s="254">
        <f>SUMIFS(criblage!$O:$O,criblage!$B:$B,'synthèse 312'!$A78-1,criblage!$C:$C,'synthèse 312'!F$2)</f>
        <v>2059</v>
      </c>
      <c r="G78" s="254">
        <f>SUMIFS(criblage!$O:$O,criblage!$B:$B,'synthèse 312'!$A78,criblage!$C:$C,'synthèse 312'!G$2)</f>
        <v>1216</v>
      </c>
      <c r="H78" s="254">
        <f>SUMIFS(criblage!$O:$O,criblage!$B:$B,'synthèse 312'!$A78,criblage!$C:$C,'synthèse 312'!H$2)</f>
        <v>2920</v>
      </c>
      <c r="I78" s="254">
        <f t="shared" si="9"/>
        <v>6195</v>
      </c>
      <c r="J78" s="258">
        <f>8-SUMIFS('les arrets'!G:G,'les arrets'!B:B,'synthèse 312'!$A78-1,'les arrets'!C:C,'synthèse 312'!J$2)</f>
        <v>4.5166666666666666</v>
      </c>
      <c r="K78" s="258">
        <f>8-SUMIFS('les arrets'!G:G,'les arrets'!B:B,'synthèse 312'!$A78,'les arrets'!C:C,'synthèse 312'!K$2)</f>
        <v>2.083333333333333</v>
      </c>
      <c r="L78" s="258">
        <f>8-SUMIFS('les arrets'!G:G,'les arrets'!B:B,'synthèse 312'!A78,'les arrets'!C:C,'synthèse 312'!L$2)</f>
        <v>5.4166666666666661</v>
      </c>
      <c r="M78" s="258">
        <f t="shared" si="10"/>
        <v>12.016666666666666</v>
      </c>
      <c r="N78" s="248">
        <f>SUMIFS(criblage!$R:$R,criblage!$B:$B,'synthèse 312'!$A78-1,criblage!$C:$C,'synthèse 312'!N$2)</f>
        <v>4.96</v>
      </c>
      <c r="O78" s="248">
        <f>SUMIFS(criblage!$R:$R,criblage!$B:$B,'synthèse 312'!$A78,criblage!$C:$C,'synthèse 312'!O$2)</f>
        <v>2.2000000000000002</v>
      </c>
      <c r="P78" s="248">
        <f>SUMIFS(criblage!$R:$R,criblage!$B:$B,'synthèse 312'!$A78,criblage!$C:$C,'synthèse 312'!P$2)</f>
        <v>5.89</v>
      </c>
      <c r="Q78" s="248">
        <f t="shared" si="11"/>
        <v>13.05</v>
      </c>
      <c r="R78" s="249">
        <f t="shared" si="15"/>
        <v>455.86715867158671</v>
      </c>
      <c r="S78" s="249">
        <f t="shared" si="12"/>
        <v>583.68000000000006</v>
      </c>
      <c r="T78" s="249">
        <f t="shared" si="13"/>
        <v>539.07692307692309</v>
      </c>
      <c r="U78" s="249">
        <f t="shared" si="14"/>
        <v>526.20802724950329</v>
      </c>
    </row>
    <row r="79" spans="1:21" x14ac:dyDescent="0.25">
      <c r="A79" s="244">
        <v>45002</v>
      </c>
      <c r="B79" s="252">
        <f>SUMIFS(criblage!$P:$P,criblage!$B:$B,'synthèse 312'!A79-1,criblage!$C:$C,'synthèse 312'!B$2)</f>
        <v>0</v>
      </c>
      <c r="C79" s="252">
        <f>SUMIFS(criblage!$P:$P,criblage!$B:$B,'synthèse 312'!$A79,criblage!$C:$C,'synthèse 312'!C$2)</f>
        <v>0</v>
      </c>
      <c r="D79" s="252">
        <f>SUMIFS(criblage!$P:$P,criblage!$B:$B,'synthèse 312'!$A79,criblage!$C:$C,'synthèse 312'!D$2)</f>
        <v>0</v>
      </c>
      <c r="E79" s="252">
        <f t="shared" si="8"/>
        <v>0</v>
      </c>
      <c r="F79" s="254">
        <f>SUMIFS(criblage!$O:$O,criblage!$B:$B,'synthèse 312'!$A79-1,criblage!$C:$C,'synthèse 312'!F$2)</f>
        <v>3555</v>
      </c>
      <c r="G79" s="254">
        <f>SUMIFS(criblage!$O:$O,criblage!$B:$B,'synthèse 312'!$A79,criblage!$C:$C,'synthèse 312'!G$2)</f>
        <v>3034</v>
      </c>
      <c r="H79" s="254">
        <f>SUMIFS(criblage!$O:$O,criblage!$B:$B,'synthèse 312'!$A79,criblage!$C:$C,'synthèse 312'!H$2)</f>
        <v>2998</v>
      </c>
      <c r="I79" s="254">
        <f t="shared" si="9"/>
        <v>9587</v>
      </c>
      <c r="J79" s="258">
        <f>8-SUMIFS('les arrets'!G:G,'les arrets'!B:B,'synthèse 312'!$A79-1,'les arrets'!C:C,'synthèse 312'!J$2)</f>
        <v>5.9833333333333334</v>
      </c>
      <c r="K79" s="258">
        <f>8-SUMIFS('les arrets'!G:G,'les arrets'!B:B,'synthèse 312'!$A79,'les arrets'!C:C,'synthèse 312'!K$2)</f>
        <v>4.2</v>
      </c>
      <c r="L79" s="258">
        <f>8-SUMIFS('les arrets'!G:G,'les arrets'!B:B,'synthèse 312'!A79,'les arrets'!C:C,'synthèse 312'!L$2)</f>
        <v>6.25</v>
      </c>
      <c r="M79" s="258">
        <f t="shared" si="10"/>
        <v>16.433333333333334</v>
      </c>
      <c r="N79" s="248">
        <f>SUMIFS(criblage!$R:$R,criblage!$B:$B,'synthèse 312'!$A79-1,criblage!$C:$C,'synthèse 312'!N$2)</f>
        <v>6.29</v>
      </c>
      <c r="O79" s="248">
        <f>SUMIFS(criblage!$R:$R,criblage!$B:$B,'synthèse 312'!$A79,criblage!$C:$C,'synthèse 312'!O$2)</f>
        <v>0</v>
      </c>
      <c r="P79" s="248">
        <f>SUMIFS(criblage!$R:$R,criblage!$B:$B,'synthèse 312'!$A79,criblage!$C:$C,'synthèse 312'!P$2)</f>
        <v>6.68</v>
      </c>
      <c r="Q79" s="248">
        <f t="shared" si="11"/>
        <v>12.969999999999999</v>
      </c>
      <c r="R79" s="249">
        <f t="shared" si="15"/>
        <v>594.15041782729804</v>
      </c>
      <c r="S79" s="249">
        <f t="shared" si="12"/>
        <v>722.38095238095229</v>
      </c>
      <c r="T79" s="249">
        <f t="shared" si="13"/>
        <v>479.68</v>
      </c>
      <c r="U79" s="249">
        <f t="shared" si="14"/>
        <v>598.73712340275017</v>
      </c>
    </row>
    <row r="80" spans="1:21" x14ac:dyDescent="0.25">
      <c r="A80" s="244">
        <v>45003</v>
      </c>
      <c r="B80" s="252">
        <f>SUMIFS(criblage!$P:$P,criblage!$B:$B,'synthèse 312'!A80-1,criblage!$C:$C,'synthèse 312'!B$2)</f>
        <v>0</v>
      </c>
      <c r="C80" s="252">
        <f>SUMIFS(criblage!$P:$P,criblage!$B:$B,'synthèse 312'!$A80,criblage!$C:$C,'synthèse 312'!C$2)</f>
        <v>0</v>
      </c>
      <c r="D80" s="252">
        <f>SUMIFS(criblage!$P:$P,criblage!$B:$B,'synthèse 312'!$A80,criblage!$C:$C,'synthèse 312'!D$2)</f>
        <v>0</v>
      </c>
      <c r="E80" s="252">
        <f t="shared" si="8"/>
        <v>0</v>
      </c>
      <c r="F80" s="254">
        <f>SUMIFS(criblage!$O:$O,criblage!$B:$B,'synthèse 312'!$A80-1,criblage!$C:$C,'synthèse 312'!F$2)</f>
        <v>5078</v>
      </c>
      <c r="G80" s="254">
        <f>SUMIFS(criblage!$O:$O,criblage!$B:$B,'synthèse 312'!$A80,criblage!$C:$C,'synthèse 312'!G$2)</f>
        <v>1387</v>
      </c>
      <c r="H80" s="254">
        <f>SUMIFS(criblage!$O:$O,criblage!$B:$B,'synthèse 312'!$A80,criblage!$C:$C,'synthèse 312'!H$2)</f>
        <v>5223</v>
      </c>
      <c r="I80" s="254">
        <f t="shared" si="9"/>
        <v>11688</v>
      </c>
      <c r="J80" s="258">
        <f>8-SUMIFS('les arrets'!G:G,'les arrets'!B:B,'synthèse 312'!$A80-1,'les arrets'!C:C,'synthèse 312'!J$2)</f>
        <v>6.7166666666666668</v>
      </c>
      <c r="K80" s="258">
        <f>8-SUMIFS('les arrets'!G:G,'les arrets'!B:B,'synthèse 312'!$A80,'les arrets'!C:C,'synthèse 312'!K$2)</f>
        <v>2.4333333333333336</v>
      </c>
      <c r="L80" s="258">
        <f>8-SUMIFS('les arrets'!G:G,'les arrets'!B:B,'synthèse 312'!A80,'les arrets'!C:C,'synthèse 312'!L$2)</f>
        <v>7.6333333333333337</v>
      </c>
      <c r="M80" s="258">
        <f t="shared" si="10"/>
        <v>16.783333333333335</v>
      </c>
      <c r="N80" s="248">
        <f>SUMIFS(criblage!$R:$R,criblage!$B:$B,'synthèse 312'!$A80-1,criblage!$C:$C,'synthèse 312'!N$2)</f>
        <v>6.83</v>
      </c>
      <c r="O80" s="248">
        <f>SUMIFS(criblage!$R:$R,criblage!$B:$B,'synthèse 312'!$A80,criblage!$C:$C,'synthèse 312'!O$2)</f>
        <v>2.27</v>
      </c>
      <c r="P80" s="248">
        <f>SUMIFS(criblage!$R:$R,criblage!$B:$B,'synthèse 312'!$A80,criblage!$C:$C,'synthèse 312'!P$2)</f>
        <v>7.74</v>
      </c>
      <c r="Q80" s="248">
        <f t="shared" si="11"/>
        <v>16.84</v>
      </c>
      <c r="R80" s="249">
        <f t="shared" si="15"/>
        <v>756.02977667493792</v>
      </c>
      <c r="S80" s="249">
        <f t="shared" si="12"/>
        <v>570</v>
      </c>
      <c r="T80" s="249">
        <f t="shared" si="13"/>
        <v>684.23580786026196</v>
      </c>
      <c r="U80" s="249">
        <f t="shared" si="14"/>
        <v>670.0885281784</v>
      </c>
    </row>
    <row r="81" spans="1:21" x14ac:dyDescent="0.25">
      <c r="A81" s="244">
        <v>45004</v>
      </c>
      <c r="B81" s="252">
        <f>SUMIFS(criblage!$P:$P,criblage!$B:$B,'synthèse 312'!A81-1,criblage!$C:$C,'synthèse 312'!B$2)</f>
        <v>0</v>
      </c>
      <c r="C81" s="252">
        <f>SUMIFS(criblage!$P:$P,criblage!$B:$B,'synthèse 312'!$A81,criblage!$C:$C,'synthèse 312'!C$2)</f>
        <v>0</v>
      </c>
      <c r="D81" s="252">
        <f>SUMIFS(criblage!$P:$P,criblage!$B:$B,'synthèse 312'!$A81,criblage!$C:$C,'synthèse 312'!D$2)</f>
        <v>0</v>
      </c>
      <c r="E81" s="252">
        <f t="shared" si="8"/>
        <v>0</v>
      </c>
      <c r="F81" s="254">
        <f>SUMIFS(criblage!$O:$O,criblage!$B:$B,'synthèse 312'!$A81-1,criblage!$C:$C,'synthèse 312'!F$2)</f>
        <v>3389</v>
      </c>
      <c r="G81" s="254">
        <f>SUMIFS(criblage!$O:$O,criblage!$B:$B,'synthèse 312'!$A81,criblage!$C:$C,'synthèse 312'!G$2)</f>
        <v>4632</v>
      </c>
      <c r="H81" s="254">
        <f>SUMIFS(criblage!$O:$O,criblage!$B:$B,'synthèse 312'!$A81,criblage!$C:$C,'synthèse 312'!H$2)</f>
        <v>4075</v>
      </c>
      <c r="I81" s="254">
        <f t="shared" si="9"/>
        <v>12096</v>
      </c>
      <c r="J81" s="258">
        <f>8-SUMIFS('les arrets'!G:G,'les arrets'!B:B,'synthèse 312'!$A81-1,'les arrets'!C:C,'synthèse 312'!J$2)</f>
        <v>6.1</v>
      </c>
      <c r="K81" s="258">
        <f>8-SUMIFS('les arrets'!G:G,'les arrets'!B:B,'synthèse 312'!$A81,'les arrets'!C:C,'synthèse 312'!K$2)</f>
        <v>6.6833333333333336</v>
      </c>
      <c r="L81" s="258">
        <f>8-SUMIFS('les arrets'!G:G,'les arrets'!B:B,'synthèse 312'!A81,'les arrets'!C:C,'synthèse 312'!L$2)</f>
        <v>6.1166666666666671</v>
      </c>
      <c r="M81" s="258">
        <f t="shared" si="10"/>
        <v>18.899999999999999</v>
      </c>
      <c r="N81" s="248">
        <f>SUMIFS(criblage!$R:$R,criblage!$B:$B,'synthèse 312'!$A81-1,criblage!$C:$C,'synthèse 312'!N$2)</f>
        <v>7.15</v>
      </c>
      <c r="O81" s="248">
        <f>SUMIFS(criblage!$R:$R,criblage!$B:$B,'synthèse 312'!$A81,criblage!$C:$C,'synthèse 312'!O$2)</f>
        <v>6.53</v>
      </c>
      <c r="P81" s="248">
        <f>SUMIFS(criblage!$R:$R,criblage!$B:$B,'synthèse 312'!$A81,criblage!$C:$C,'synthèse 312'!P$2)</f>
        <v>6.68</v>
      </c>
      <c r="Q81" s="248">
        <f t="shared" si="11"/>
        <v>20.36</v>
      </c>
      <c r="R81" s="249">
        <f t="shared" si="15"/>
        <v>555.57377049180332</v>
      </c>
      <c r="S81" s="249">
        <f t="shared" si="12"/>
        <v>693.06733167082291</v>
      </c>
      <c r="T81" s="249">
        <f t="shared" si="13"/>
        <v>666.21253405994548</v>
      </c>
      <c r="U81" s="249">
        <f t="shared" si="14"/>
        <v>638.28454540752398</v>
      </c>
    </row>
    <row r="82" spans="1:21" x14ac:dyDescent="0.25">
      <c r="A82" s="244">
        <v>45005</v>
      </c>
      <c r="B82" s="252">
        <f>SUMIFS(criblage!$P:$P,criblage!$B:$B,'synthèse 312'!A82-1,criblage!$C:$C,'synthèse 312'!B$2)</f>
        <v>0</v>
      </c>
      <c r="C82" s="252">
        <f>SUMIFS(criblage!$P:$P,criblage!$B:$B,'synthèse 312'!$A82,criblage!$C:$C,'synthèse 312'!C$2)</f>
        <v>0</v>
      </c>
      <c r="D82" s="252">
        <f>SUMIFS(criblage!$P:$P,criblage!$B:$B,'synthèse 312'!$A82,criblage!$C:$C,'synthèse 312'!D$2)</f>
        <v>0</v>
      </c>
      <c r="E82" s="252">
        <f t="shared" si="8"/>
        <v>0</v>
      </c>
      <c r="F82" s="254">
        <f>SUMIFS(criblage!$O:$O,criblage!$B:$B,'synthèse 312'!$A82-1,criblage!$C:$C,'synthèse 312'!F$2)</f>
        <v>3324</v>
      </c>
      <c r="G82" s="254">
        <f>SUMIFS(criblage!$O:$O,criblage!$B:$B,'synthèse 312'!$A82,criblage!$C:$C,'synthèse 312'!G$2)</f>
        <v>3359</v>
      </c>
      <c r="H82" s="254">
        <f>SUMIFS(criblage!$O:$O,criblage!$B:$B,'synthèse 312'!$A82,criblage!$C:$C,'synthèse 312'!H$2)</f>
        <v>3953</v>
      </c>
      <c r="I82" s="254">
        <f t="shared" si="9"/>
        <v>10636</v>
      </c>
      <c r="J82" s="258">
        <f>8-SUMIFS('les arrets'!G:G,'les arrets'!B:B,'synthèse 312'!$A82-1,'les arrets'!C:C,'synthèse 312'!J$2)</f>
        <v>6.833333333333333</v>
      </c>
      <c r="K82" s="258">
        <f>8-SUMIFS('les arrets'!G:G,'les arrets'!B:B,'synthèse 312'!$A82,'les arrets'!C:C,'synthèse 312'!K$2)</f>
        <v>5.2166666666666668</v>
      </c>
      <c r="L82" s="258">
        <f>8-SUMIFS('les arrets'!G:G,'les arrets'!B:B,'synthèse 312'!A82,'les arrets'!C:C,'synthèse 312'!L$2)</f>
        <v>6.8666666666666671</v>
      </c>
      <c r="M82" s="258">
        <f t="shared" si="10"/>
        <v>18.916666666666668</v>
      </c>
      <c r="N82" s="248">
        <f>SUMIFS(criblage!$R:$R,criblage!$B:$B,'synthèse 312'!$A82-1,criblage!$C:$C,'synthèse 312'!N$2)</f>
        <v>6.89</v>
      </c>
      <c r="O82" s="248">
        <f>SUMIFS(criblage!$R:$R,criblage!$B:$B,'synthèse 312'!$A82,criblage!$C:$C,'synthèse 312'!O$2)</f>
        <v>5.9</v>
      </c>
      <c r="P82" s="248">
        <f>SUMIFS(criblage!$R:$R,criblage!$B:$B,'synthèse 312'!$A82,criblage!$C:$C,'synthèse 312'!P$2)</f>
        <v>6.5299999999999994</v>
      </c>
      <c r="Q82" s="248">
        <f t="shared" si="11"/>
        <v>19.32</v>
      </c>
      <c r="R82" s="249">
        <f t="shared" si="15"/>
        <v>486.4390243902439</v>
      </c>
      <c r="S82" s="249">
        <f t="shared" si="12"/>
        <v>643.89776357827475</v>
      </c>
      <c r="T82" s="249">
        <f t="shared" si="13"/>
        <v>575.67961165048541</v>
      </c>
      <c r="U82" s="249">
        <f t="shared" si="14"/>
        <v>568.67213320633471</v>
      </c>
    </row>
    <row r="83" spans="1:21" x14ac:dyDescent="0.25">
      <c r="A83" s="244">
        <v>45006</v>
      </c>
      <c r="B83" s="252">
        <f>SUMIFS(criblage!$P:$P,criblage!$B:$B,'synthèse 312'!A83-1,criblage!$C:$C,'synthèse 312'!B$2)</f>
        <v>0</v>
      </c>
      <c r="C83" s="252">
        <f>SUMIFS(criblage!$P:$P,criblage!$B:$B,'synthèse 312'!$A83,criblage!$C:$C,'synthèse 312'!C$2)</f>
        <v>0</v>
      </c>
      <c r="D83" s="252">
        <f>SUMIFS(criblage!$P:$P,criblage!$B:$B,'synthèse 312'!$A83,criblage!$C:$C,'synthèse 312'!D$2)</f>
        <v>0</v>
      </c>
      <c r="E83" s="252">
        <f t="shared" si="8"/>
        <v>0</v>
      </c>
      <c r="F83" s="254">
        <f>SUMIFS(criblage!$O:$O,criblage!$B:$B,'synthèse 312'!$A83-1,criblage!$C:$C,'synthèse 312'!F$2)</f>
        <v>3858</v>
      </c>
      <c r="G83" s="254">
        <f>SUMIFS(criblage!$O:$O,criblage!$B:$B,'synthèse 312'!$A83,criblage!$C:$C,'synthèse 312'!G$2)</f>
        <v>3129</v>
      </c>
      <c r="H83" s="254">
        <f>SUMIFS(criblage!$O:$O,criblage!$B:$B,'synthèse 312'!$A83,criblage!$C:$C,'synthèse 312'!H$2)</f>
        <v>4185</v>
      </c>
      <c r="I83" s="254">
        <f t="shared" si="9"/>
        <v>11172</v>
      </c>
      <c r="J83" s="258">
        <f>8-SUMIFS('les arrets'!G:G,'les arrets'!B:B,'synthèse 312'!$A83-1,'les arrets'!C:C,'synthèse 312'!J$2)</f>
        <v>5.833333333333333</v>
      </c>
      <c r="K83" s="258">
        <f>8-SUMIFS('les arrets'!G:G,'les arrets'!B:B,'synthèse 312'!$A83,'les arrets'!C:C,'synthèse 312'!K$2)</f>
        <v>5.0999999999999996</v>
      </c>
      <c r="L83" s="258">
        <f>8-SUMIFS('les arrets'!G:G,'les arrets'!B:B,'synthèse 312'!A83,'les arrets'!C:C,'synthèse 312'!L$2)</f>
        <v>6.8833333333333329</v>
      </c>
      <c r="M83" s="258">
        <f t="shared" si="10"/>
        <v>17.816666666666666</v>
      </c>
      <c r="N83" s="248">
        <f>SUMIFS(criblage!$R:$R,criblage!$B:$B,'synthèse 312'!$A83-1,criblage!$C:$C,'synthèse 312'!N$2)</f>
        <v>7.56</v>
      </c>
      <c r="O83" s="248">
        <f>SUMIFS(criblage!$R:$R,criblage!$B:$B,'synthèse 312'!$A83,criblage!$C:$C,'synthèse 312'!O$2)</f>
        <v>5.85</v>
      </c>
      <c r="P83" s="248">
        <f>SUMIFS(criblage!$R:$R,criblage!$B:$B,'synthèse 312'!$A83,criblage!$C:$C,'synthèse 312'!P$2)</f>
        <v>6.65</v>
      </c>
      <c r="Q83" s="248">
        <f t="shared" si="11"/>
        <v>20.060000000000002</v>
      </c>
      <c r="R83" s="249">
        <f t="shared" si="15"/>
        <v>661.37142857142862</v>
      </c>
      <c r="S83" s="249">
        <f t="shared" si="12"/>
        <v>613.52941176470597</v>
      </c>
      <c r="T83" s="249">
        <f t="shared" si="13"/>
        <v>607.99031476997584</v>
      </c>
      <c r="U83" s="249">
        <f t="shared" si="14"/>
        <v>627.63038503537007</v>
      </c>
    </row>
    <row r="84" spans="1:21" x14ac:dyDescent="0.25">
      <c r="A84" s="244">
        <v>45007</v>
      </c>
      <c r="B84" s="252">
        <f>SUMIFS(criblage!$P:$P,criblage!$B:$B,'synthèse 312'!A84-1,criblage!$C:$C,'synthèse 312'!B$2)</f>
        <v>0</v>
      </c>
      <c r="C84" s="252">
        <f>SUMIFS(criblage!$P:$P,criblage!$B:$B,'synthèse 312'!$A84,criblage!$C:$C,'synthèse 312'!C$2)</f>
        <v>0</v>
      </c>
      <c r="D84" s="252">
        <f>SUMIFS(criblage!$P:$P,criblage!$B:$B,'synthèse 312'!$A84,criblage!$C:$C,'synthèse 312'!D$2)</f>
        <v>0</v>
      </c>
      <c r="E84" s="252">
        <f t="shared" si="8"/>
        <v>0</v>
      </c>
      <c r="F84" s="254">
        <f>SUMIFS(criblage!$O:$O,criblage!$B:$B,'synthèse 312'!$A84-1,criblage!$C:$C,'synthèse 312'!F$2)</f>
        <v>1513</v>
      </c>
      <c r="G84" s="254">
        <f>SUMIFS(criblage!$O:$O,criblage!$B:$B,'synthèse 312'!$A84,criblage!$C:$C,'synthèse 312'!G$2)</f>
        <v>2345</v>
      </c>
      <c r="H84" s="254">
        <f>SUMIFS(criblage!$O:$O,criblage!$B:$B,'synthèse 312'!$A84,criblage!$C:$C,'synthèse 312'!H$2)</f>
        <v>3090</v>
      </c>
      <c r="I84" s="254">
        <f t="shared" si="9"/>
        <v>6948</v>
      </c>
      <c r="J84" s="258">
        <f>8-SUMIFS('les arrets'!G:G,'les arrets'!B:B,'synthèse 312'!$A84-1,'les arrets'!C:C,'synthèse 312'!J$2)</f>
        <v>3.5</v>
      </c>
      <c r="K84" s="258">
        <f>8-SUMIFS('les arrets'!G:G,'les arrets'!B:B,'synthèse 312'!$A84,'les arrets'!C:C,'synthèse 312'!K$2)</f>
        <v>3.9000000000000004</v>
      </c>
      <c r="L84" s="258">
        <f>8-SUMIFS('les arrets'!G:G,'les arrets'!B:B,'synthèse 312'!A84,'les arrets'!C:C,'synthèse 312'!L$2)</f>
        <v>5.45</v>
      </c>
      <c r="M84" s="258">
        <f t="shared" si="10"/>
        <v>12.850000000000001</v>
      </c>
      <c r="N84" s="248">
        <f>SUMIFS(criblage!$R:$R,criblage!$B:$B,'synthèse 312'!$A84-1,criblage!$C:$C,'synthèse 312'!N$2)</f>
        <v>3.56</v>
      </c>
      <c r="O84" s="248">
        <f>SUMIFS(criblage!$R:$R,criblage!$B:$B,'synthèse 312'!$A84,criblage!$C:$C,'synthèse 312'!O$2)</f>
        <v>5.01</v>
      </c>
      <c r="P84" s="248">
        <f>SUMIFS(criblage!$R:$R,criblage!$B:$B,'synthèse 312'!$A84,criblage!$C:$C,'synthèse 312'!P$2)</f>
        <v>5.39</v>
      </c>
      <c r="Q84" s="248">
        <f t="shared" si="11"/>
        <v>13.96</v>
      </c>
      <c r="R84" s="249">
        <f t="shared" si="15"/>
        <v>432.28571428571428</v>
      </c>
      <c r="S84" s="249">
        <f t="shared" si="12"/>
        <v>601.28205128205127</v>
      </c>
      <c r="T84" s="249">
        <f t="shared" si="13"/>
        <v>566.97247706422013</v>
      </c>
      <c r="U84" s="249">
        <f t="shared" si="14"/>
        <v>533.51341421066184</v>
      </c>
    </row>
    <row r="85" spans="1:21" x14ac:dyDescent="0.25">
      <c r="A85" s="244">
        <v>45008</v>
      </c>
      <c r="B85" s="252">
        <f>SUMIFS(criblage!$P:$P,criblage!$B:$B,'synthèse 312'!A85-1,criblage!$C:$C,'synthèse 312'!B$2)</f>
        <v>0</v>
      </c>
      <c r="C85" s="252">
        <f>SUMIFS(criblage!$P:$P,criblage!$B:$B,'synthèse 312'!$A85,criblage!$C:$C,'synthèse 312'!C$2)</f>
        <v>0</v>
      </c>
      <c r="D85" s="252">
        <f>SUMIFS(criblage!$P:$P,criblage!$B:$B,'synthèse 312'!$A85,criblage!$C:$C,'synthèse 312'!D$2)</f>
        <v>0</v>
      </c>
      <c r="E85" s="252">
        <f t="shared" si="8"/>
        <v>0</v>
      </c>
      <c r="F85" s="254">
        <f>SUMIFS(criblage!$O:$O,criblage!$B:$B,'synthèse 312'!$A85-1,criblage!$C:$C,'synthèse 312'!F$2)</f>
        <v>3989</v>
      </c>
      <c r="G85" s="254">
        <f>SUMIFS(criblage!$O:$O,criblage!$B:$B,'synthèse 312'!$A85,criblage!$C:$C,'synthèse 312'!G$2)</f>
        <v>1456</v>
      </c>
      <c r="H85" s="254">
        <f>SUMIFS(criblage!$O:$O,criblage!$B:$B,'synthèse 312'!$A85,criblage!$C:$C,'synthèse 312'!H$2)</f>
        <v>1714</v>
      </c>
      <c r="I85" s="254">
        <f t="shared" si="9"/>
        <v>7159</v>
      </c>
      <c r="J85" s="258">
        <f>8-SUMIFS('les arrets'!G:G,'les arrets'!B:B,'synthèse 312'!$A85-1,'les arrets'!C:C,'synthèse 312'!J$2)</f>
        <v>6.8333333333333339</v>
      </c>
      <c r="K85" s="258">
        <f>8-SUMIFS('les arrets'!G:G,'les arrets'!B:B,'synthèse 312'!$A85,'les arrets'!C:C,'synthèse 312'!K$2)</f>
        <v>2.6500000000000004</v>
      </c>
      <c r="L85" s="258">
        <f>8-SUMIFS('les arrets'!G:G,'les arrets'!B:B,'synthèse 312'!A85,'les arrets'!C:C,'synthèse 312'!L$2)</f>
        <v>3.7666666666666666</v>
      </c>
      <c r="M85" s="258">
        <f t="shared" si="10"/>
        <v>13.25</v>
      </c>
      <c r="N85" s="248">
        <f>SUMIFS(criblage!$R:$R,criblage!$B:$B,'synthèse 312'!$A85-1,criblage!$C:$C,'synthèse 312'!N$2)</f>
        <v>6.93</v>
      </c>
      <c r="O85" s="248">
        <f>SUMIFS(criblage!$R:$R,criblage!$B:$B,'synthèse 312'!$A85,criblage!$C:$C,'synthèse 312'!O$2)</f>
        <v>2.88</v>
      </c>
      <c r="P85" s="248">
        <f>SUMIFS(criblage!$R:$R,criblage!$B:$B,'synthèse 312'!$A85,criblage!$C:$C,'synthèse 312'!P$2)</f>
        <v>4</v>
      </c>
      <c r="Q85" s="248">
        <f t="shared" si="11"/>
        <v>13.809999999999999</v>
      </c>
      <c r="R85" s="249">
        <f t="shared" si="15"/>
        <v>583.7560975609756</v>
      </c>
      <c r="S85" s="249">
        <f t="shared" si="12"/>
        <v>549.43396226415086</v>
      </c>
      <c r="T85" s="249">
        <f t="shared" si="13"/>
        <v>455.04424778761063</v>
      </c>
      <c r="U85" s="249">
        <f t="shared" si="14"/>
        <v>529.41143587091233</v>
      </c>
    </row>
    <row r="86" spans="1:21" x14ac:dyDescent="0.25">
      <c r="A86" s="244">
        <v>45009</v>
      </c>
      <c r="B86" s="252">
        <f>SUMIFS(criblage!$P:$P,criblage!$B:$B,'synthèse 312'!A86-1,criblage!$C:$C,'synthèse 312'!B$2)</f>
        <v>0</v>
      </c>
      <c r="C86" s="252">
        <f>SUMIFS(criblage!$P:$P,criblage!$B:$B,'synthèse 312'!$A86,criblage!$C:$C,'synthèse 312'!C$2)</f>
        <v>0</v>
      </c>
      <c r="D86" s="252">
        <f>SUMIFS(criblage!$P:$P,criblage!$B:$B,'synthèse 312'!$A86,criblage!$C:$C,'synthèse 312'!D$2)</f>
        <v>0</v>
      </c>
      <c r="E86" s="252">
        <f t="shared" si="8"/>
        <v>0</v>
      </c>
      <c r="F86" s="254">
        <f>SUMIFS(criblage!$O:$O,criblage!$B:$B,'synthèse 312'!$A86-1,criblage!$C:$C,'synthèse 312'!F$2)</f>
        <v>2910</v>
      </c>
      <c r="G86" s="254">
        <f>SUMIFS(criblage!$O:$O,criblage!$B:$B,'synthèse 312'!$A86,criblage!$C:$C,'synthèse 312'!G$2)</f>
        <v>1299</v>
      </c>
      <c r="H86" s="254">
        <f>SUMIFS(criblage!$O:$O,criblage!$B:$B,'synthèse 312'!$A86,criblage!$C:$C,'synthèse 312'!H$2)</f>
        <v>0</v>
      </c>
      <c r="I86" s="254">
        <f t="shared" si="9"/>
        <v>4209</v>
      </c>
      <c r="J86" s="258">
        <f>8-SUMIFS('les arrets'!G:G,'les arrets'!B:B,'synthèse 312'!$A86-1,'les arrets'!C:C,'synthèse 312'!J$2)</f>
        <v>7.166666666666667</v>
      </c>
      <c r="K86" s="258">
        <f>8-SUMIFS('les arrets'!G:G,'les arrets'!B:B,'synthèse 312'!$A86,'les arrets'!C:C,'synthèse 312'!K$2)</f>
        <v>3.3</v>
      </c>
      <c r="L86" s="258">
        <f>8-SUMIFS('les arrets'!G:G,'les arrets'!B:B,'synthèse 312'!A86,'les arrets'!C:C,'synthèse 312'!L$2)</f>
        <v>0</v>
      </c>
      <c r="M86" s="258">
        <f t="shared" si="10"/>
        <v>10.466666666666667</v>
      </c>
      <c r="N86" s="248">
        <f>SUMIFS(criblage!$R:$R,criblage!$B:$B,'synthèse 312'!$A86-1,criblage!$C:$C,'synthèse 312'!N$2)</f>
        <v>7.63</v>
      </c>
      <c r="O86" s="248">
        <f>SUMIFS(criblage!$R:$R,criblage!$B:$B,'synthèse 312'!$A86,criblage!$C:$C,'synthèse 312'!O$2)</f>
        <v>3.36</v>
      </c>
      <c r="P86" s="248">
        <f>SUMIFS(criblage!$R:$R,criblage!$B:$B,'synthèse 312'!$A86,criblage!$C:$C,'synthèse 312'!P$2)</f>
        <v>0</v>
      </c>
      <c r="Q86" s="248">
        <f t="shared" si="11"/>
        <v>10.99</v>
      </c>
      <c r="R86" s="249">
        <f t="shared" si="15"/>
        <v>406.04651162790697</v>
      </c>
      <c r="S86" s="249">
        <f t="shared" si="12"/>
        <v>393.63636363636368</v>
      </c>
      <c r="T86" s="249">
        <f t="shared" si="13"/>
        <v>0</v>
      </c>
      <c r="U86" s="249">
        <f t="shared" si="14"/>
        <v>266.56095842142355</v>
      </c>
    </row>
    <row r="87" spans="1:21" x14ac:dyDescent="0.25">
      <c r="A87" s="244">
        <v>45010</v>
      </c>
      <c r="B87" s="252">
        <f>SUMIFS(criblage!$P:$P,criblage!$B:$B,'synthèse 312'!A87-1,criblage!$C:$C,'synthèse 312'!B$2)</f>
        <v>0</v>
      </c>
      <c r="C87" s="252">
        <f>SUMIFS(criblage!$P:$P,criblage!$B:$B,'synthèse 312'!$A87,criblage!$C:$C,'synthèse 312'!C$2)</f>
        <v>0</v>
      </c>
      <c r="D87" s="252">
        <f>SUMIFS(criblage!$P:$P,criblage!$B:$B,'synthèse 312'!$A87,criblage!$C:$C,'synthèse 312'!D$2)</f>
        <v>0</v>
      </c>
      <c r="E87" s="252">
        <f t="shared" si="8"/>
        <v>0</v>
      </c>
      <c r="F87" s="254">
        <f>SUMIFS(criblage!$O:$O,criblage!$B:$B,'synthèse 312'!$A87-1,criblage!$C:$C,'synthèse 312'!F$2)</f>
        <v>817</v>
      </c>
      <c r="G87" s="254">
        <f>SUMIFS(criblage!$O:$O,criblage!$B:$B,'synthèse 312'!$A87,criblage!$C:$C,'synthèse 312'!G$2)</f>
        <v>0</v>
      </c>
      <c r="H87" s="254">
        <f>SUMIFS(criblage!$O:$O,criblage!$B:$B,'synthèse 312'!$A87,criblage!$C:$C,'synthèse 312'!H$2)</f>
        <v>0</v>
      </c>
      <c r="I87" s="254">
        <f t="shared" si="9"/>
        <v>817</v>
      </c>
      <c r="J87" s="258">
        <f>8-SUMIFS('les arrets'!G:G,'les arrets'!B:B,'synthèse 312'!$A87-1,'les arrets'!C:C,'synthèse 312'!J$2)</f>
        <v>1.75</v>
      </c>
      <c r="K87" s="258">
        <f>8-SUMIFS('les arrets'!G:G,'les arrets'!B:B,'synthèse 312'!$A87,'les arrets'!C:C,'synthèse 312'!K$2)</f>
        <v>0</v>
      </c>
      <c r="L87" s="258">
        <f>8-SUMIFS('les arrets'!G:G,'les arrets'!B:B,'synthèse 312'!A87,'les arrets'!C:C,'synthèse 312'!L$2)</f>
        <v>0</v>
      </c>
      <c r="M87" s="258">
        <f t="shared" si="10"/>
        <v>1.75</v>
      </c>
      <c r="N87" s="248">
        <f>SUMIFS(criblage!$R:$R,criblage!$B:$B,'synthèse 312'!$A87-1,criblage!$C:$C,'synthèse 312'!N$2)</f>
        <v>1.84</v>
      </c>
      <c r="O87" s="248">
        <f>SUMIFS(criblage!$R:$R,criblage!$B:$B,'synthèse 312'!$A87,criblage!$C:$C,'synthèse 312'!O$2)</f>
        <v>0</v>
      </c>
      <c r="P87" s="248">
        <f>SUMIFS(criblage!$R:$R,criblage!$B:$B,'synthèse 312'!$A87,criblage!$C:$C,'synthèse 312'!P$2)</f>
        <v>0</v>
      </c>
      <c r="Q87" s="248">
        <f t="shared" si="11"/>
        <v>1.84</v>
      </c>
      <c r="R87" s="249">
        <f t="shared" si="15"/>
        <v>466.85714285714283</v>
      </c>
      <c r="S87" s="249">
        <f t="shared" si="12"/>
        <v>0</v>
      </c>
      <c r="T87" s="249">
        <f t="shared" si="13"/>
        <v>0</v>
      </c>
      <c r="U87" s="249">
        <f t="shared" si="14"/>
        <v>155.61904761904762</v>
      </c>
    </row>
    <row r="88" spans="1:21" x14ac:dyDescent="0.25">
      <c r="A88" s="244">
        <v>45011</v>
      </c>
      <c r="B88" s="252">
        <f>SUMIFS(criblage!$P:$P,criblage!$B:$B,'synthèse 312'!A88-1,criblage!$C:$C,'synthèse 312'!B$2)</f>
        <v>0</v>
      </c>
      <c r="C88" s="252">
        <f>SUMIFS(criblage!$P:$P,criblage!$B:$B,'synthèse 312'!$A88,criblage!$C:$C,'synthèse 312'!C$2)</f>
        <v>0</v>
      </c>
      <c r="D88" s="252">
        <f>SUMIFS(criblage!$P:$P,criblage!$B:$B,'synthèse 312'!$A88,criblage!$C:$C,'synthèse 312'!D$2)</f>
        <v>0</v>
      </c>
      <c r="E88" s="252">
        <f t="shared" si="8"/>
        <v>0</v>
      </c>
      <c r="F88" s="254">
        <f>SUMIFS(criblage!$O:$O,criblage!$B:$B,'synthèse 312'!$A88-1,criblage!$C:$C,'synthèse 312'!F$2)</f>
        <v>0</v>
      </c>
      <c r="G88" s="254">
        <f>SUMIFS(criblage!$O:$O,criblage!$B:$B,'synthèse 312'!$A88,criblage!$C:$C,'synthèse 312'!G$2)</f>
        <v>0</v>
      </c>
      <c r="H88" s="254">
        <f>SUMIFS(criblage!$O:$O,criblage!$B:$B,'synthèse 312'!$A88,criblage!$C:$C,'synthèse 312'!H$2)</f>
        <v>0</v>
      </c>
      <c r="I88" s="254">
        <f t="shared" si="9"/>
        <v>0</v>
      </c>
      <c r="J88" s="258">
        <f>8-SUMIFS('les arrets'!G:G,'les arrets'!B:B,'synthèse 312'!$A88-1,'les arrets'!C:C,'synthèse 312'!J$2)</f>
        <v>0</v>
      </c>
      <c r="K88" s="258">
        <f>8-SUMIFS('les arrets'!G:G,'les arrets'!B:B,'synthèse 312'!$A88,'les arrets'!C:C,'synthèse 312'!K$2)</f>
        <v>0</v>
      </c>
      <c r="L88" s="258">
        <f>8-SUMIFS('les arrets'!G:G,'les arrets'!B:B,'synthèse 312'!A88,'les arrets'!C:C,'synthèse 312'!L$2)</f>
        <v>0</v>
      </c>
      <c r="M88" s="258">
        <f t="shared" si="10"/>
        <v>0</v>
      </c>
      <c r="N88" s="248">
        <f>SUMIFS(criblage!$R:$R,criblage!$B:$B,'synthèse 312'!$A88-1,criblage!$C:$C,'synthèse 312'!N$2)</f>
        <v>0</v>
      </c>
      <c r="O88" s="248">
        <f>SUMIFS(criblage!$R:$R,criblage!$B:$B,'synthèse 312'!$A88,criblage!$C:$C,'synthèse 312'!O$2)</f>
        <v>0</v>
      </c>
      <c r="P88" s="248">
        <f>SUMIFS(criblage!$R:$R,criblage!$B:$B,'synthèse 312'!$A88,criblage!$C:$C,'synthèse 312'!P$2)</f>
        <v>0</v>
      </c>
      <c r="Q88" s="248">
        <f t="shared" si="11"/>
        <v>0</v>
      </c>
      <c r="R88" s="249" t="e">
        <f t="shared" si="15"/>
        <v>#DIV/0!</v>
      </c>
      <c r="S88" s="249">
        <f t="shared" si="12"/>
        <v>0</v>
      </c>
      <c r="T88" s="249">
        <f t="shared" si="13"/>
        <v>0</v>
      </c>
      <c r="U88" s="249" t="e">
        <f t="shared" si="14"/>
        <v>#DIV/0!</v>
      </c>
    </row>
    <row r="89" spans="1:21" x14ac:dyDescent="0.25">
      <c r="A89" s="244">
        <v>45012</v>
      </c>
      <c r="B89" s="252">
        <f>SUMIFS(criblage!$P:$P,criblage!$B:$B,'synthèse 312'!A89-1,criblage!$C:$C,'synthèse 312'!B$2)</f>
        <v>0</v>
      </c>
      <c r="C89" s="252">
        <f>SUMIFS(criblage!$P:$P,criblage!$B:$B,'synthèse 312'!$A89,criblage!$C:$C,'synthèse 312'!C$2)</f>
        <v>0</v>
      </c>
      <c r="D89" s="252">
        <f>SUMIFS(criblage!$P:$P,criblage!$B:$B,'synthèse 312'!$A89,criblage!$C:$C,'synthèse 312'!D$2)</f>
        <v>0</v>
      </c>
      <c r="E89" s="252">
        <f t="shared" si="8"/>
        <v>0</v>
      </c>
      <c r="F89" s="254">
        <f>SUMIFS(criblage!$O:$O,criblage!$B:$B,'synthèse 312'!$A89-1,criblage!$C:$C,'synthèse 312'!F$2)</f>
        <v>0</v>
      </c>
      <c r="G89" s="254">
        <f>SUMIFS(criblage!$O:$O,criblage!$B:$B,'synthèse 312'!$A89,criblage!$C:$C,'synthèse 312'!G$2)</f>
        <v>1026</v>
      </c>
      <c r="H89" s="254">
        <f>SUMIFS(criblage!$O:$O,criblage!$B:$B,'synthèse 312'!$A89,criblage!$C:$C,'synthèse 312'!H$2)</f>
        <v>1003</v>
      </c>
      <c r="I89" s="254">
        <f t="shared" si="9"/>
        <v>2029</v>
      </c>
      <c r="J89" s="258">
        <f>8-SUMIFS('les arrets'!G:G,'les arrets'!B:B,'synthèse 312'!$A89-1,'les arrets'!C:C,'synthèse 312'!J$2)</f>
        <v>0</v>
      </c>
      <c r="K89" s="258">
        <f>8-SUMIFS('les arrets'!G:G,'les arrets'!B:B,'synthèse 312'!$A89,'les arrets'!C:C,'synthèse 312'!K$2)</f>
        <v>4.5833333333333339</v>
      </c>
      <c r="L89" s="258">
        <f>8-SUMIFS('les arrets'!G:G,'les arrets'!B:B,'synthèse 312'!A89,'les arrets'!C:C,'synthèse 312'!L$2)</f>
        <v>1.6333333333333337</v>
      </c>
      <c r="M89" s="258">
        <f t="shared" si="10"/>
        <v>6.2166666666666677</v>
      </c>
      <c r="N89" s="248">
        <f>SUMIFS(criblage!$R:$R,criblage!$B:$B,'synthèse 312'!$A89-1,criblage!$C:$C,'synthèse 312'!N$2)</f>
        <v>0</v>
      </c>
      <c r="O89" s="248">
        <f>SUMIFS(criblage!$R:$R,criblage!$B:$B,'synthèse 312'!$A89,criblage!$C:$C,'synthèse 312'!O$2)</f>
        <v>3.74</v>
      </c>
      <c r="P89" s="248">
        <f>SUMIFS(criblage!$R:$R,criblage!$B:$B,'synthèse 312'!$A89,criblage!$C:$C,'synthèse 312'!P$2)</f>
        <v>1.74</v>
      </c>
      <c r="Q89" s="248">
        <f t="shared" si="11"/>
        <v>5.48</v>
      </c>
      <c r="R89" s="249" t="e">
        <f t="shared" si="15"/>
        <v>#DIV/0!</v>
      </c>
      <c r="S89" s="249">
        <f t="shared" si="12"/>
        <v>223.85454545454542</v>
      </c>
      <c r="T89" s="249">
        <f t="shared" si="13"/>
        <v>614.08163265306109</v>
      </c>
      <c r="U89" s="249" t="e">
        <f t="shared" si="14"/>
        <v>#DIV/0!</v>
      </c>
    </row>
    <row r="90" spans="1:21" x14ac:dyDescent="0.25">
      <c r="A90" s="244">
        <v>45013</v>
      </c>
      <c r="B90" s="252">
        <f>SUMIFS(criblage!$P:$P,criblage!$B:$B,'synthèse 312'!A90-1,criblage!$C:$C,'synthèse 312'!B$2)</f>
        <v>0</v>
      </c>
      <c r="C90" s="252">
        <f>SUMIFS(criblage!$P:$P,criblage!$B:$B,'synthèse 312'!$A90,criblage!$C:$C,'synthèse 312'!C$2)</f>
        <v>0</v>
      </c>
      <c r="D90" s="252">
        <f>SUMIFS(criblage!$P:$P,criblage!$B:$B,'synthèse 312'!$A90,criblage!$C:$C,'synthèse 312'!D$2)</f>
        <v>0</v>
      </c>
      <c r="E90" s="252">
        <f t="shared" si="8"/>
        <v>0</v>
      </c>
      <c r="F90" s="254">
        <f>SUMIFS(criblage!$O:$O,criblage!$B:$B,'synthèse 312'!$A90-1,criblage!$C:$C,'synthèse 312'!F$2)</f>
        <v>2661</v>
      </c>
      <c r="G90" s="254">
        <f>SUMIFS(criblage!$O:$O,criblage!$B:$B,'synthèse 312'!$A90,criblage!$C:$C,'synthèse 312'!G$2)</f>
        <v>3012</v>
      </c>
      <c r="H90" s="254">
        <f>SUMIFS(criblage!$O:$O,criblage!$B:$B,'synthèse 312'!$A90,criblage!$C:$C,'synthèse 312'!H$2)</f>
        <v>1096</v>
      </c>
      <c r="I90" s="254">
        <f t="shared" si="9"/>
        <v>6769</v>
      </c>
      <c r="J90" s="258">
        <f>8-SUMIFS('les arrets'!G:G,'les arrets'!B:B,'synthèse 312'!$A90-1,'les arrets'!C:C,'synthèse 312'!J$2)</f>
        <v>5.7833333333333332</v>
      </c>
      <c r="K90" s="258">
        <f>8-SUMIFS('les arrets'!G:G,'les arrets'!B:B,'synthèse 312'!$A90,'les arrets'!C:C,'synthèse 312'!K$2)</f>
        <v>5.8333333333333339</v>
      </c>
      <c r="L90" s="258">
        <f>8-SUMIFS('les arrets'!G:G,'les arrets'!B:B,'synthèse 312'!A90,'les arrets'!C:C,'synthèse 312'!L$2)</f>
        <v>2.25</v>
      </c>
      <c r="M90" s="258">
        <f t="shared" si="10"/>
        <v>13.866666666666667</v>
      </c>
      <c r="N90" s="248">
        <f>SUMIFS(criblage!$R:$R,criblage!$B:$B,'synthèse 312'!$A90-1,criblage!$C:$C,'synthèse 312'!N$2)</f>
        <v>6.17</v>
      </c>
      <c r="O90" s="248">
        <f>SUMIFS(criblage!$R:$R,criblage!$B:$B,'synthèse 312'!$A90,criblage!$C:$C,'synthèse 312'!O$2)</f>
        <v>5.5699999999999994</v>
      </c>
      <c r="P90" s="248">
        <f>SUMIFS(criblage!$R:$R,criblage!$B:$B,'synthèse 312'!$A90,criblage!$C:$C,'synthèse 312'!P$2)</f>
        <v>2.4700000000000002</v>
      </c>
      <c r="Q90" s="248">
        <f t="shared" si="11"/>
        <v>14.209999999999999</v>
      </c>
      <c r="R90" s="249">
        <f t="shared" si="15"/>
        <v>460.11527377521617</v>
      </c>
      <c r="S90" s="249">
        <f t="shared" si="12"/>
        <v>516.34285714285704</v>
      </c>
      <c r="T90" s="249">
        <f t="shared" si="13"/>
        <v>487.11111111111109</v>
      </c>
      <c r="U90" s="249">
        <f t="shared" si="14"/>
        <v>487.8564140097281</v>
      </c>
    </row>
    <row r="91" spans="1:21" x14ac:dyDescent="0.25">
      <c r="A91" s="244">
        <v>45014</v>
      </c>
      <c r="B91" s="252">
        <f>SUMIFS(criblage!$P:$P,criblage!$B:$B,'synthèse 312'!A91-1,criblage!$C:$C,'synthèse 312'!B$2)</f>
        <v>0</v>
      </c>
      <c r="C91" s="252">
        <f>SUMIFS(criblage!$P:$P,criblage!$B:$B,'synthèse 312'!$A91,criblage!$C:$C,'synthèse 312'!C$2)</f>
        <v>0</v>
      </c>
      <c r="D91" s="252">
        <f>SUMIFS(criblage!$P:$P,criblage!$B:$B,'synthèse 312'!$A91,criblage!$C:$C,'synthèse 312'!D$2)</f>
        <v>0</v>
      </c>
      <c r="E91" s="252">
        <f t="shared" si="8"/>
        <v>0</v>
      </c>
      <c r="F91" s="254">
        <f>SUMIFS(criblage!$O:$O,criblage!$B:$B,'synthèse 312'!$A91-1,criblage!$C:$C,'synthèse 312'!F$2)</f>
        <v>3059</v>
      </c>
      <c r="G91" s="254">
        <f>SUMIFS(criblage!$O:$O,criblage!$B:$B,'synthèse 312'!$A91,criblage!$C:$C,'synthèse 312'!G$2)</f>
        <v>957</v>
      </c>
      <c r="H91" s="254">
        <f>SUMIFS(criblage!$O:$O,criblage!$B:$B,'synthèse 312'!$A91,criblage!$C:$C,'synthèse 312'!H$2)</f>
        <v>3136</v>
      </c>
      <c r="I91" s="254">
        <f t="shared" si="9"/>
        <v>7152</v>
      </c>
      <c r="J91" s="258">
        <f>8-SUMIFS('les arrets'!G:G,'les arrets'!B:B,'synthèse 312'!$A91-1,'les arrets'!C:C,'synthèse 312'!J$2)</f>
        <v>7</v>
      </c>
      <c r="K91" s="258">
        <f>8-SUMIFS('les arrets'!G:G,'les arrets'!B:B,'synthèse 312'!$A91,'les arrets'!C:C,'synthèse 312'!K$2)</f>
        <v>2</v>
      </c>
      <c r="L91" s="258">
        <f>8-SUMIFS('les arrets'!G:G,'les arrets'!B:B,'synthèse 312'!A91,'les arrets'!C:C,'synthèse 312'!L$2)</f>
        <v>4.5</v>
      </c>
      <c r="M91" s="258">
        <f t="shared" si="10"/>
        <v>13.5</v>
      </c>
      <c r="N91" s="248">
        <f>SUMIFS(criblage!$R:$R,criblage!$B:$B,'synthèse 312'!$A91-1,criblage!$C:$C,'synthèse 312'!N$2)</f>
        <v>6.72</v>
      </c>
      <c r="O91" s="248">
        <f>SUMIFS(criblage!$R:$R,criblage!$B:$B,'synthèse 312'!$A91,criblage!$C:$C,'synthèse 312'!O$2)</f>
        <v>1.95</v>
      </c>
      <c r="P91" s="248">
        <f>SUMIFS(criblage!$R:$R,criblage!$B:$B,'synthèse 312'!$A91,criblage!$C:$C,'synthèse 312'!P$2)</f>
        <v>4.4000000000000004</v>
      </c>
      <c r="Q91" s="248">
        <f t="shared" si="11"/>
        <v>13.07</v>
      </c>
      <c r="R91" s="249">
        <f t="shared" si="15"/>
        <v>437</v>
      </c>
      <c r="S91" s="249">
        <f t="shared" si="12"/>
        <v>478.5</v>
      </c>
      <c r="T91" s="249">
        <f t="shared" si="13"/>
        <v>696.88888888888891</v>
      </c>
      <c r="U91" s="249">
        <f t="shared" si="14"/>
        <v>537.46296296296293</v>
      </c>
    </row>
    <row r="92" spans="1:21" x14ac:dyDescent="0.25">
      <c r="A92" s="244">
        <v>45015</v>
      </c>
      <c r="B92" s="252">
        <f>SUMIFS(criblage!$P:$P,criblage!$B:$B,'synthèse 312'!A92-1,criblage!$C:$C,'synthèse 312'!B$2)</f>
        <v>0</v>
      </c>
      <c r="C92" s="252">
        <f>SUMIFS(criblage!$P:$P,criblage!$B:$B,'synthèse 312'!$A92,criblage!$C:$C,'synthèse 312'!C$2)</f>
        <v>0</v>
      </c>
      <c r="D92" s="252">
        <f>SUMIFS(criblage!$P:$P,criblage!$B:$B,'synthèse 312'!$A92,criblage!$C:$C,'synthèse 312'!D$2)</f>
        <v>0</v>
      </c>
      <c r="E92" s="252">
        <f t="shared" si="8"/>
        <v>0</v>
      </c>
      <c r="F92" s="254">
        <f>SUMIFS(criblage!$O:$O,criblage!$B:$B,'synthèse 312'!$A92-1,criblage!$C:$C,'synthèse 312'!F$2)</f>
        <v>2977</v>
      </c>
      <c r="G92" s="254">
        <f>SUMIFS(criblage!$O:$O,criblage!$B:$B,'synthèse 312'!$A92,criblage!$C:$C,'synthèse 312'!G$2)</f>
        <v>0</v>
      </c>
      <c r="H92" s="254">
        <f>SUMIFS(criblage!$O:$O,criblage!$B:$B,'synthèse 312'!$A92,criblage!$C:$C,'synthèse 312'!H$2)</f>
        <v>2152</v>
      </c>
      <c r="I92" s="254">
        <f t="shared" si="9"/>
        <v>5129</v>
      </c>
      <c r="J92" s="258">
        <f>8-SUMIFS('les arrets'!G:G,'les arrets'!B:B,'synthèse 312'!$A92-1,'les arrets'!C:C,'synthèse 312'!J$2)</f>
        <v>6.8</v>
      </c>
      <c r="K92" s="258">
        <f>8-SUMIFS('les arrets'!G:G,'les arrets'!B:B,'synthèse 312'!$A92,'les arrets'!C:C,'synthèse 312'!K$2)</f>
        <v>0</v>
      </c>
      <c r="L92" s="258">
        <f>8-SUMIFS('les arrets'!G:G,'les arrets'!B:B,'synthèse 312'!A92,'les arrets'!C:C,'synthèse 312'!L$2)</f>
        <v>3.5000000000000009</v>
      </c>
      <c r="M92" s="258">
        <f t="shared" si="10"/>
        <v>10.3</v>
      </c>
      <c r="N92" s="248">
        <f>SUMIFS(criblage!$R:$R,criblage!$B:$B,'synthèse 312'!$A92-1,criblage!$C:$C,'synthèse 312'!N$2)</f>
        <v>6.91</v>
      </c>
      <c r="O92" s="248">
        <f>SUMIFS(criblage!$R:$R,criblage!$B:$B,'synthèse 312'!$A92,criblage!$C:$C,'synthèse 312'!O$2)</f>
        <v>0</v>
      </c>
      <c r="P92" s="248">
        <f>SUMIFS(criblage!$R:$R,criblage!$B:$B,'synthèse 312'!$A92,criblage!$C:$C,'synthèse 312'!P$2)</f>
        <v>4</v>
      </c>
      <c r="Q92" s="248">
        <f t="shared" si="11"/>
        <v>10.91</v>
      </c>
      <c r="R92" s="249">
        <f t="shared" si="15"/>
        <v>437.79411764705884</v>
      </c>
      <c r="S92" s="249">
        <f t="shared" si="12"/>
        <v>0</v>
      </c>
      <c r="T92" s="249">
        <f t="shared" si="13"/>
        <v>614.85714285714266</v>
      </c>
      <c r="U92" s="249">
        <f t="shared" si="14"/>
        <v>350.88375350140046</v>
      </c>
    </row>
    <row r="93" spans="1:21" x14ac:dyDescent="0.25">
      <c r="A93" s="244">
        <v>45016</v>
      </c>
      <c r="B93" s="252">
        <f>SUMIFS(criblage!$P:$P,criblage!$B:$B,'synthèse 312'!A93-1,criblage!$C:$C,'synthèse 312'!B$2)</f>
        <v>0</v>
      </c>
      <c r="C93" s="252">
        <f>SUMIFS(criblage!$P:$P,criblage!$B:$B,'synthèse 312'!$A93,criblage!$C:$C,'synthèse 312'!C$2)</f>
        <v>0</v>
      </c>
      <c r="D93" s="252">
        <f>SUMIFS(criblage!$P:$P,criblage!$B:$B,'synthèse 312'!$A93,criblage!$C:$C,'synthèse 312'!D$2)</f>
        <v>0</v>
      </c>
      <c r="E93" s="252">
        <f t="shared" si="8"/>
        <v>0</v>
      </c>
      <c r="F93" s="254">
        <f>SUMIFS(criblage!$O:$O,criblage!$B:$B,'synthèse 312'!$A93-1,criblage!$C:$C,'synthèse 312'!F$2)</f>
        <v>2915</v>
      </c>
      <c r="G93" s="254">
        <f>SUMIFS(criblage!$O:$O,criblage!$B:$B,'synthèse 312'!$A93,criblage!$C:$C,'synthèse 312'!G$2)</f>
        <v>2170</v>
      </c>
      <c r="H93" s="254">
        <f>SUMIFS(criblage!$O:$O,criblage!$B:$B,'synthèse 312'!$A93,criblage!$C:$C,'synthèse 312'!H$2)</f>
        <v>3781</v>
      </c>
      <c r="I93" s="254">
        <f t="shared" si="9"/>
        <v>8866</v>
      </c>
      <c r="J93" s="258">
        <f>8-SUMIFS('les arrets'!G:G,'les arrets'!B:B,'synthèse 312'!$A93-1,'les arrets'!C:C,'synthèse 312'!J$2)</f>
        <v>7.2333333333333334</v>
      </c>
      <c r="K93" s="258">
        <f>8-SUMIFS('les arrets'!G:G,'les arrets'!B:B,'synthèse 312'!$A93,'les arrets'!C:C,'synthèse 312'!K$2)</f>
        <v>5.6999999999999993</v>
      </c>
      <c r="L93" s="258">
        <f>8-SUMIFS('les arrets'!G:G,'les arrets'!B:B,'synthèse 312'!A93,'les arrets'!C:C,'synthèse 312'!L$2)</f>
        <v>4.9166666666666661</v>
      </c>
      <c r="M93" s="258">
        <f t="shared" si="10"/>
        <v>17.850000000000001</v>
      </c>
      <c r="N93" s="248">
        <f>SUMIFS(criblage!$R:$R,criblage!$B:$B,'synthèse 312'!$A93-1,criblage!$C:$C,'synthèse 312'!N$2)</f>
        <v>7.28</v>
      </c>
      <c r="O93" s="248">
        <f>SUMIFS(criblage!$R:$R,criblage!$B:$B,'synthèse 312'!$A93,criblage!$C:$C,'synthèse 312'!O$2)</f>
        <v>5.26</v>
      </c>
      <c r="P93" s="248">
        <f>SUMIFS(criblage!$R:$R,criblage!$B:$B,'synthèse 312'!$A93,criblage!$C:$C,'synthèse 312'!P$2)</f>
        <v>5.31</v>
      </c>
      <c r="Q93" s="248">
        <f t="shared" si="11"/>
        <v>17.849999999999998</v>
      </c>
      <c r="R93" s="249">
        <f t="shared" si="15"/>
        <v>402.9953917050691</v>
      </c>
      <c r="S93" s="249">
        <f t="shared" si="12"/>
        <v>380.70175438596493</v>
      </c>
      <c r="T93" s="249">
        <f t="shared" si="13"/>
        <v>769.01694915254245</v>
      </c>
      <c r="U93" s="249">
        <f t="shared" si="14"/>
        <v>517.5713650811922</v>
      </c>
    </row>
    <row r="94" spans="1:21" x14ac:dyDescent="0.25">
      <c r="A94" s="244">
        <v>45017</v>
      </c>
      <c r="B94" s="252">
        <f>SUMIFS(criblage!$P:$P,criblage!$B:$B,'synthèse 312'!A94-1,criblage!$C:$C,'synthèse 312'!B$2)</f>
        <v>0</v>
      </c>
      <c r="C94" s="252">
        <f>SUMIFS(criblage!$P:$P,criblage!$B:$B,'synthèse 312'!$A94,criblage!$C:$C,'synthèse 312'!C$2)</f>
        <v>0</v>
      </c>
      <c r="D94" s="252">
        <f>SUMIFS(criblage!$P:$P,criblage!$B:$B,'synthèse 312'!$A94,criblage!$C:$C,'synthèse 312'!D$2)</f>
        <v>0</v>
      </c>
      <c r="E94" s="252">
        <f t="shared" si="8"/>
        <v>0</v>
      </c>
      <c r="F94" s="254">
        <f>SUMIFS(criblage!$O:$O,criblage!$B:$B,'synthèse 312'!$A94-1,criblage!$C:$C,'synthèse 312'!F$2)</f>
        <v>3911</v>
      </c>
      <c r="G94" s="254">
        <f>SUMIFS(criblage!$O:$O,criblage!$B:$B,'synthèse 312'!$A94,criblage!$C:$C,'synthèse 312'!G$2)</f>
        <v>5176</v>
      </c>
      <c r="H94" s="254">
        <f>SUMIFS(criblage!$O:$O,criblage!$B:$B,'synthèse 312'!$A94,criblage!$C:$C,'synthèse 312'!H$2)</f>
        <v>2941</v>
      </c>
      <c r="I94" s="254">
        <f t="shared" si="9"/>
        <v>12028</v>
      </c>
      <c r="J94" s="258">
        <f>8-SUMIFS('les arrets'!G:G,'les arrets'!B:B,'synthèse 312'!$A94-1,'les arrets'!C:C,'synthèse 312'!J$2)</f>
        <v>6.1833333333333336</v>
      </c>
      <c r="K94" s="258">
        <f>8-SUMIFS('les arrets'!G:G,'les arrets'!B:B,'synthèse 312'!$A94,'les arrets'!C:C,'synthèse 312'!K$2)</f>
        <v>7.1</v>
      </c>
      <c r="L94" s="258">
        <f>8-SUMIFS('les arrets'!G:G,'les arrets'!B:B,'synthèse 312'!A94,'les arrets'!C:C,'synthèse 312'!L$2)</f>
        <v>4.9166666666666661</v>
      </c>
      <c r="M94" s="258">
        <f t="shared" si="10"/>
        <v>18.2</v>
      </c>
      <c r="N94" s="248">
        <f>SUMIFS(criblage!$R:$R,criblage!$B:$B,'synthèse 312'!$A94-1,criblage!$C:$C,'synthèse 312'!N$2)</f>
        <v>6.75</v>
      </c>
      <c r="O94" s="248">
        <f>SUMIFS(criblage!$R:$R,criblage!$B:$B,'synthèse 312'!$A94,criblage!$C:$C,'synthèse 312'!O$2)</f>
        <v>7.42</v>
      </c>
      <c r="P94" s="248">
        <f>SUMIFS(criblage!$R:$R,criblage!$B:$B,'synthèse 312'!$A94,criblage!$C:$C,'synthèse 312'!P$2)</f>
        <v>5.74</v>
      </c>
      <c r="Q94" s="248">
        <f t="shared" si="11"/>
        <v>19.91</v>
      </c>
      <c r="R94" s="249">
        <f t="shared" si="15"/>
        <v>632.50673854447439</v>
      </c>
      <c r="S94" s="249">
        <f t="shared" si="12"/>
        <v>729.0140845070423</v>
      </c>
      <c r="T94" s="249">
        <f t="shared" si="13"/>
        <v>598.16949152542384</v>
      </c>
      <c r="U94" s="249">
        <f t="shared" si="14"/>
        <v>653.23010485898021</v>
      </c>
    </row>
    <row r="95" spans="1:21" x14ac:dyDescent="0.25">
      <c r="A95" s="244">
        <v>45018</v>
      </c>
      <c r="B95" s="252">
        <f>SUMIFS(criblage!$P:$P,criblage!$B:$B,'synthèse 312'!A95-1,criblage!$C:$C,'synthèse 312'!B$2)</f>
        <v>0</v>
      </c>
      <c r="C95" s="252">
        <f>SUMIFS(criblage!$P:$P,criblage!$B:$B,'synthèse 312'!$A95,criblage!$C:$C,'synthèse 312'!C$2)</f>
        <v>0</v>
      </c>
      <c r="D95" s="252">
        <f>SUMIFS(criblage!$P:$P,criblage!$B:$B,'synthèse 312'!$A95,criblage!$C:$C,'synthèse 312'!D$2)</f>
        <v>0</v>
      </c>
      <c r="E95" s="252">
        <f t="shared" si="8"/>
        <v>0</v>
      </c>
      <c r="F95" s="254">
        <f>SUMIFS(criblage!$O:$O,criblage!$B:$B,'synthèse 312'!$A95-1,criblage!$C:$C,'synthèse 312'!F$2)</f>
        <v>3632</v>
      </c>
      <c r="G95" s="254">
        <f>SUMIFS(criblage!$O:$O,criblage!$B:$B,'synthèse 312'!$A95,criblage!$C:$C,'synthèse 312'!G$2)</f>
        <v>4489</v>
      </c>
      <c r="H95" s="254">
        <f>SUMIFS(criblage!$O:$O,criblage!$B:$B,'synthèse 312'!$A95,criblage!$C:$C,'synthèse 312'!H$2)</f>
        <v>3534</v>
      </c>
      <c r="I95" s="254">
        <f t="shared" si="9"/>
        <v>11655</v>
      </c>
      <c r="J95" s="258">
        <f>8-SUMIFS('les arrets'!G:G,'les arrets'!B:B,'synthèse 312'!$A95-1,'les arrets'!C:C,'synthèse 312'!J$2)</f>
        <v>6.083333333333333</v>
      </c>
      <c r="K95" s="258">
        <f>8-SUMIFS('les arrets'!G:G,'les arrets'!B:B,'synthèse 312'!$A95,'les arrets'!C:C,'synthèse 312'!K$2)</f>
        <v>6.666666666666667</v>
      </c>
      <c r="L95" s="258">
        <f>8-SUMIFS('les arrets'!G:G,'les arrets'!B:B,'synthèse 312'!A95,'les arrets'!C:C,'synthèse 312'!L$2)</f>
        <v>4.8333333333333339</v>
      </c>
      <c r="M95" s="258">
        <f t="shared" si="10"/>
        <v>17.583333333333336</v>
      </c>
      <c r="N95" s="248">
        <f>SUMIFS(criblage!$R:$R,criblage!$B:$B,'synthèse 312'!$A95-1,criblage!$C:$C,'synthèse 312'!N$2)</f>
        <v>6.8800000000000008</v>
      </c>
      <c r="O95" s="248">
        <f>SUMIFS(criblage!$R:$R,criblage!$B:$B,'synthèse 312'!$A95,criblage!$C:$C,'synthèse 312'!O$2)</f>
        <v>7.2600000000000007</v>
      </c>
      <c r="P95" s="248">
        <f>SUMIFS(criblage!$R:$R,criblage!$B:$B,'synthèse 312'!$A95,criblage!$C:$C,'synthèse 312'!P$2)</f>
        <v>6.48</v>
      </c>
      <c r="Q95" s="248">
        <f t="shared" si="11"/>
        <v>20.62</v>
      </c>
      <c r="R95" s="249">
        <f t="shared" si="15"/>
        <v>597.04109589041104</v>
      </c>
      <c r="S95" s="249">
        <f t="shared" si="12"/>
        <v>673.35</v>
      </c>
      <c r="T95" s="249">
        <f t="shared" si="13"/>
        <v>731.17241379310337</v>
      </c>
      <c r="U95" s="249">
        <f t="shared" si="14"/>
        <v>667.18783656117148</v>
      </c>
    </row>
    <row r="96" spans="1:21" x14ac:dyDescent="0.25">
      <c r="A96" s="244">
        <v>45019</v>
      </c>
      <c r="B96" s="252">
        <f>SUMIFS(criblage!$P:$P,criblage!$B:$B,'synthèse 312'!A96-1,criblage!$C:$C,'synthèse 312'!B$2)</f>
        <v>0</v>
      </c>
      <c r="C96" s="252">
        <f>SUMIFS(criblage!$P:$P,criblage!$B:$B,'synthèse 312'!$A96,criblage!$C:$C,'synthèse 312'!C$2)</f>
        <v>0</v>
      </c>
      <c r="D96" s="252">
        <f>SUMIFS(criblage!$P:$P,criblage!$B:$B,'synthèse 312'!$A96,criblage!$C:$C,'synthèse 312'!D$2)</f>
        <v>0</v>
      </c>
      <c r="E96" s="252">
        <f t="shared" si="8"/>
        <v>0</v>
      </c>
      <c r="F96" s="254">
        <f>SUMIFS(criblage!$O:$O,criblage!$B:$B,'synthèse 312'!$A96-1,criblage!$C:$C,'synthèse 312'!F$2)</f>
        <v>3718</v>
      </c>
      <c r="G96" s="254">
        <f>SUMIFS(criblage!$O:$O,criblage!$B:$B,'synthèse 312'!$A96,criblage!$C:$C,'synthèse 312'!G$2)</f>
        <v>2146</v>
      </c>
      <c r="H96" s="254">
        <f>SUMIFS(criblage!$O:$O,criblage!$B:$B,'synthèse 312'!$A96,criblage!$C:$C,'synthèse 312'!H$2)</f>
        <v>2975</v>
      </c>
      <c r="I96" s="254">
        <f t="shared" si="9"/>
        <v>8839</v>
      </c>
      <c r="J96" s="258">
        <f>8-SUMIFS('les arrets'!G:G,'les arrets'!B:B,'synthèse 312'!$A96-1,'les arrets'!C:C,'synthèse 312'!J$2)</f>
        <v>6.1166666666666671</v>
      </c>
      <c r="K96" s="258">
        <f>8-SUMIFS('les arrets'!G:G,'les arrets'!B:B,'synthèse 312'!$A96,'les arrets'!C:C,'synthèse 312'!K$2)</f>
        <v>2.8666666666666671</v>
      </c>
      <c r="L96" s="258">
        <f>8-SUMIFS('les arrets'!G:G,'les arrets'!B:B,'synthèse 312'!A96,'les arrets'!C:C,'synthèse 312'!L$2)</f>
        <v>4.6166666666666671</v>
      </c>
      <c r="M96" s="258">
        <f t="shared" si="10"/>
        <v>13.600000000000001</v>
      </c>
      <c r="N96" s="248">
        <f>SUMIFS(criblage!$R:$R,criblage!$B:$B,'synthèse 312'!$A96-1,criblage!$C:$C,'synthèse 312'!N$2)</f>
        <v>7.23</v>
      </c>
      <c r="O96" s="248">
        <f>SUMIFS(criblage!$R:$R,criblage!$B:$B,'synthèse 312'!$A96,criblage!$C:$C,'synthèse 312'!O$2)</f>
        <v>3.87</v>
      </c>
      <c r="P96" s="248">
        <f>SUMIFS(criblage!$R:$R,criblage!$B:$B,'synthèse 312'!$A96,criblage!$C:$C,'synthèse 312'!P$2)</f>
        <v>5.04</v>
      </c>
      <c r="Q96" s="248">
        <f t="shared" si="11"/>
        <v>16.14</v>
      </c>
      <c r="R96" s="249">
        <f t="shared" si="15"/>
        <v>607.8474114441417</v>
      </c>
      <c r="S96" s="249">
        <f t="shared" si="12"/>
        <v>748.60465116279056</v>
      </c>
      <c r="T96" s="249">
        <f t="shared" si="13"/>
        <v>644.40433212996379</v>
      </c>
      <c r="U96" s="249">
        <f t="shared" si="14"/>
        <v>666.95213157896535</v>
      </c>
    </row>
    <row r="97" spans="1:21" x14ac:dyDescent="0.25">
      <c r="A97" s="244">
        <v>45020</v>
      </c>
      <c r="B97" s="252">
        <f>SUMIFS(criblage!$P:$P,criblage!$B:$B,'synthèse 312'!A97-1,criblage!$C:$C,'synthèse 312'!B$2)</f>
        <v>0</v>
      </c>
      <c r="C97" s="252">
        <f>SUMIFS(criblage!$P:$P,criblage!$B:$B,'synthèse 312'!$A97,criblage!$C:$C,'synthèse 312'!C$2)</f>
        <v>0</v>
      </c>
      <c r="D97" s="252">
        <f>SUMIFS(criblage!$P:$P,criblage!$B:$B,'synthèse 312'!$A97,criblage!$C:$C,'synthèse 312'!D$2)</f>
        <v>0</v>
      </c>
      <c r="E97" s="252">
        <f t="shared" si="8"/>
        <v>0</v>
      </c>
      <c r="F97" s="254">
        <f>SUMIFS(criblage!$O:$O,criblage!$B:$B,'synthèse 312'!$A97-1,criblage!$C:$C,'synthèse 312'!F$2)</f>
        <v>3588</v>
      </c>
      <c r="G97" s="254">
        <f>SUMIFS(criblage!$O:$O,criblage!$B:$B,'synthèse 312'!$A97,criblage!$C:$C,'synthèse 312'!G$2)</f>
        <v>4760</v>
      </c>
      <c r="H97" s="254">
        <f>SUMIFS(criblage!$O:$O,criblage!$B:$B,'synthèse 312'!$A97,criblage!$C:$C,'synthèse 312'!H$2)</f>
        <v>2592</v>
      </c>
      <c r="I97" s="254">
        <f t="shared" si="9"/>
        <v>10940</v>
      </c>
      <c r="J97" s="258">
        <f>8-SUMIFS('les arrets'!G:G,'les arrets'!B:B,'synthèse 312'!$A97-1,'les arrets'!C:C,'synthèse 312'!J$2)</f>
        <v>5.5333333333333332</v>
      </c>
      <c r="K97" s="258">
        <f>8-SUMIFS('les arrets'!G:G,'les arrets'!B:B,'synthèse 312'!$A97,'les arrets'!C:C,'synthèse 312'!K$2)</f>
        <v>6.8166666666666664</v>
      </c>
      <c r="L97" s="258">
        <f>8-SUMIFS('les arrets'!G:G,'les arrets'!B:B,'synthèse 312'!A97,'les arrets'!C:C,'synthèse 312'!L$2)</f>
        <v>4.5999999999999996</v>
      </c>
      <c r="M97" s="258">
        <f t="shared" si="10"/>
        <v>16.95</v>
      </c>
      <c r="N97" s="248">
        <f>SUMIFS(criblage!$R:$R,criblage!$B:$B,'synthèse 312'!$A97-1,criblage!$C:$C,'synthèse 312'!N$2)</f>
        <v>5.9</v>
      </c>
      <c r="O97" s="248">
        <f>SUMIFS(criblage!$R:$R,criblage!$B:$B,'synthèse 312'!$A97,criblage!$C:$C,'synthèse 312'!O$2)</f>
        <v>6.81</v>
      </c>
      <c r="P97" s="248">
        <f>SUMIFS(criblage!$R:$R,criblage!$B:$B,'synthèse 312'!$A97,criblage!$C:$C,'synthèse 312'!P$2)</f>
        <v>5.45</v>
      </c>
      <c r="Q97" s="248">
        <f t="shared" si="11"/>
        <v>18.16</v>
      </c>
      <c r="R97" s="249">
        <f t="shared" si="15"/>
        <v>648.43373493975901</v>
      </c>
      <c r="S97" s="249">
        <f t="shared" si="12"/>
        <v>698.28850855745725</v>
      </c>
      <c r="T97" s="249">
        <f t="shared" si="13"/>
        <v>563.47826086956525</v>
      </c>
      <c r="U97" s="249">
        <f t="shared" si="14"/>
        <v>636.73350145559391</v>
      </c>
    </row>
    <row r="98" spans="1:21" x14ac:dyDescent="0.25">
      <c r="A98" s="244">
        <v>45021</v>
      </c>
      <c r="B98" s="252">
        <f>SUMIFS(criblage!$P:$P,criblage!$B:$B,'synthèse 312'!A98-1,criblage!$C:$C,'synthèse 312'!B$2)</f>
        <v>0</v>
      </c>
      <c r="C98" s="252">
        <f>SUMIFS(criblage!$P:$P,criblage!$B:$B,'synthèse 312'!$A98,criblage!$C:$C,'synthèse 312'!C$2)</f>
        <v>0</v>
      </c>
      <c r="D98" s="252">
        <f>SUMIFS(criblage!$P:$P,criblage!$B:$B,'synthèse 312'!$A98,criblage!$C:$C,'synthèse 312'!D$2)</f>
        <v>0</v>
      </c>
      <c r="E98" s="252">
        <f t="shared" si="8"/>
        <v>0</v>
      </c>
      <c r="F98" s="254">
        <f>SUMIFS(criblage!$O:$O,criblage!$B:$B,'synthèse 312'!$A98-1,criblage!$C:$C,'synthèse 312'!F$2)</f>
        <v>3624</v>
      </c>
      <c r="G98" s="254">
        <f>SUMIFS(criblage!$O:$O,criblage!$B:$B,'synthèse 312'!$A98,criblage!$C:$C,'synthèse 312'!G$2)</f>
        <v>518</v>
      </c>
      <c r="H98" s="254">
        <f>SUMIFS(criblage!$O:$O,criblage!$B:$B,'synthèse 312'!$A98,criblage!$C:$C,'synthèse 312'!H$2)</f>
        <v>3619</v>
      </c>
      <c r="I98" s="254">
        <f t="shared" si="9"/>
        <v>7761</v>
      </c>
      <c r="J98" s="258">
        <f>8-SUMIFS('les arrets'!G:G,'les arrets'!B:B,'synthèse 312'!$A98-1,'les arrets'!C:C,'synthèse 312'!J$2)</f>
        <v>6</v>
      </c>
      <c r="K98" s="258">
        <f>8-SUMIFS('les arrets'!G:G,'les arrets'!B:B,'synthèse 312'!$A98,'les arrets'!C:C,'synthèse 312'!K$2)</f>
        <v>1</v>
      </c>
      <c r="L98" s="258">
        <f>8-SUMIFS('les arrets'!G:G,'les arrets'!B:B,'synthèse 312'!A98,'les arrets'!C:C,'synthèse 312'!L$2)</f>
        <v>5.85</v>
      </c>
      <c r="M98" s="258">
        <f t="shared" si="10"/>
        <v>12.85</v>
      </c>
      <c r="N98" s="248">
        <f>SUMIFS(criblage!$R:$R,criblage!$B:$B,'synthèse 312'!$A98-1,criblage!$C:$C,'synthèse 312'!N$2)</f>
        <v>6.62</v>
      </c>
      <c r="O98" s="248">
        <f>SUMIFS(criblage!$R:$R,criblage!$B:$B,'synthèse 312'!$A98,criblage!$C:$C,'synthèse 312'!O$2)</f>
        <v>0.95</v>
      </c>
      <c r="P98" s="248">
        <f>SUMIFS(criblage!$R:$R,criblage!$B:$B,'synthèse 312'!$A98,criblage!$C:$C,'synthèse 312'!P$2)</f>
        <v>1.8</v>
      </c>
      <c r="Q98" s="248">
        <f t="shared" si="11"/>
        <v>9.370000000000001</v>
      </c>
      <c r="R98" s="249">
        <f t="shared" si="15"/>
        <v>604</v>
      </c>
      <c r="S98" s="249">
        <f t="shared" si="12"/>
        <v>518</v>
      </c>
      <c r="T98" s="249">
        <f t="shared" si="13"/>
        <v>618.63247863247864</v>
      </c>
      <c r="U98" s="249">
        <f t="shared" si="14"/>
        <v>580.21082621082621</v>
      </c>
    </row>
    <row r="99" spans="1:21" x14ac:dyDescent="0.25">
      <c r="A99" s="244">
        <v>45022</v>
      </c>
      <c r="B99" s="252">
        <f>SUMIFS(criblage!$P:$P,criblage!$B:$B,'synthèse 312'!A99-1,criblage!$C:$C,'synthèse 312'!B$2)</f>
        <v>0</v>
      </c>
      <c r="C99" s="252">
        <f>SUMIFS(criblage!$P:$P,criblage!$B:$B,'synthèse 312'!$A99,criblage!$C:$C,'synthèse 312'!C$2)</f>
        <v>0</v>
      </c>
      <c r="D99" s="252">
        <f>SUMIFS(criblage!$P:$P,criblage!$B:$B,'synthèse 312'!$A99,criblage!$C:$C,'synthèse 312'!D$2)</f>
        <v>0</v>
      </c>
      <c r="E99" s="252">
        <f t="shared" si="8"/>
        <v>0</v>
      </c>
      <c r="F99" s="254">
        <f>SUMIFS(criblage!$O:$O,criblage!$B:$B,'synthèse 312'!$A99-1,criblage!$C:$C,'synthèse 312'!F$2)</f>
        <v>3924</v>
      </c>
      <c r="G99" s="254">
        <f>SUMIFS(criblage!$O:$O,criblage!$B:$B,'synthèse 312'!$A99,criblage!$C:$C,'synthèse 312'!G$2)</f>
        <v>2814</v>
      </c>
      <c r="H99" s="254">
        <f>SUMIFS(criblage!$O:$O,criblage!$B:$B,'synthèse 312'!$A99,criblage!$C:$C,'synthèse 312'!H$2)</f>
        <v>2421</v>
      </c>
      <c r="I99" s="254">
        <f t="shared" si="9"/>
        <v>9159</v>
      </c>
      <c r="J99" s="258">
        <f>8-SUMIFS('les arrets'!G:G,'les arrets'!B:B,'synthèse 312'!$A99-1,'les arrets'!C:C,'synthèse 312'!J$2)</f>
        <v>5.95</v>
      </c>
      <c r="K99" s="258">
        <f>8-SUMIFS('les arrets'!G:G,'les arrets'!B:B,'synthèse 312'!$A99,'les arrets'!C:C,'synthèse 312'!K$2)</f>
        <v>5.45</v>
      </c>
      <c r="L99" s="258">
        <f>8-SUMIFS('les arrets'!G:G,'les arrets'!B:B,'synthèse 312'!A99,'les arrets'!C:C,'synthèse 312'!L$2)</f>
        <v>4.5</v>
      </c>
      <c r="M99" s="258">
        <f t="shared" si="10"/>
        <v>15.9</v>
      </c>
      <c r="N99" s="248">
        <f>SUMIFS(criblage!$R:$R,criblage!$B:$B,'synthèse 312'!$A99-1,criblage!$C:$C,'synthèse 312'!N$2)</f>
        <v>9.1999999999999993</v>
      </c>
      <c r="O99" s="248">
        <f>SUMIFS(criblage!$R:$R,criblage!$B:$B,'synthèse 312'!$A99,criblage!$C:$C,'synthèse 312'!O$2)</f>
        <v>5.78</v>
      </c>
      <c r="P99" s="248">
        <f>SUMIFS(criblage!$R:$R,criblage!$B:$B,'synthèse 312'!$A99,criblage!$C:$C,'synthèse 312'!P$2)</f>
        <v>5.25</v>
      </c>
      <c r="Q99" s="248">
        <f t="shared" si="11"/>
        <v>20.23</v>
      </c>
      <c r="R99" s="249">
        <f t="shared" si="15"/>
        <v>659.49579831932772</v>
      </c>
      <c r="S99" s="249">
        <f t="shared" si="12"/>
        <v>516.33027522935777</v>
      </c>
      <c r="T99" s="249">
        <f t="shared" si="13"/>
        <v>538</v>
      </c>
      <c r="U99" s="249">
        <f t="shared" si="14"/>
        <v>571.27535784956183</v>
      </c>
    </row>
    <row r="100" spans="1:21" x14ac:dyDescent="0.25">
      <c r="A100" s="244">
        <v>45023</v>
      </c>
      <c r="B100" s="252">
        <f>SUMIFS(criblage!$P:$P,criblage!$B:$B,'synthèse 312'!A100-1,criblage!$C:$C,'synthèse 312'!B$2)</f>
        <v>0</v>
      </c>
      <c r="C100" s="252">
        <f>SUMIFS(criblage!$P:$P,criblage!$B:$B,'synthèse 312'!$A100,criblage!$C:$C,'synthèse 312'!C$2)</f>
        <v>0</v>
      </c>
      <c r="D100" s="252">
        <f>SUMIFS(criblage!$P:$P,criblage!$B:$B,'synthèse 312'!$A100,criblage!$C:$C,'synthèse 312'!D$2)</f>
        <v>0</v>
      </c>
      <c r="E100" s="252">
        <f t="shared" si="8"/>
        <v>0</v>
      </c>
      <c r="F100" s="254">
        <f>SUMIFS(criblage!$O:$O,criblage!$B:$B,'synthèse 312'!$A100-1,criblage!$C:$C,'synthèse 312'!F$2)</f>
        <v>3466</v>
      </c>
      <c r="G100" s="254">
        <f>SUMIFS(criblage!$O:$O,criblage!$B:$B,'synthèse 312'!$A100,criblage!$C:$C,'synthèse 312'!G$2)</f>
        <v>1935</v>
      </c>
      <c r="H100" s="254">
        <f>SUMIFS(criblage!$O:$O,criblage!$B:$B,'synthèse 312'!$A100,criblage!$C:$C,'synthèse 312'!H$2)</f>
        <v>3031</v>
      </c>
      <c r="I100" s="254">
        <f t="shared" si="9"/>
        <v>8432</v>
      </c>
      <c r="J100" s="258">
        <f>8-SUMIFS('les arrets'!G:G,'les arrets'!B:B,'synthèse 312'!$A100-1,'les arrets'!C:C,'synthèse 312'!J$2)</f>
        <v>5.7666666666666666</v>
      </c>
      <c r="K100" s="258">
        <f>8-SUMIFS('les arrets'!G:G,'les arrets'!B:B,'synthèse 312'!$A100,'les arrets'!C:C,'synthèse 312'!K$2)</f>
        <v>3.4499999999999993</v>
      </c>
      <c r="L100" s="258">
        <f>8-SUMIFS('les arrets'!G:G,'les arrets'!B:B,'synthèse 312'!A100,'les arrets'!C:C,'synthèse 312'!L$2)</f>
        <v>4.666666666666667</v>
      </c>
      <c r="M100" s="258">
        <f t="shared" si="10"/>
        <v>13.883333333333333</v>
      </c>
      <c r="N100" s="248">
        <f>SUMIFS(criblage!$R:$R,criblage!$B:$B,'synthèse 312'!$A100-1,criblage!$C:$C,'synthèse 312'!N$2)</f>
        <v>6.09</v>
      </c>
      <c r="O100" s="248">
        <f>SUMIFS(criblage!$R:$R,criblage!$B:$B,'synthèse 312'!$A100,criblage!$C:$C,'synthèse 312'!O$2)</f>
        <v>3.4</v>
      </c>
      <c r="P100" s="248">
        <f>SUMIFS(criblage!$R:$R,criblage!$B:$B,'synthèse 312'!$A100,criblage!$C:$C,'synthèse 312'!P$2)</f>
        <v>7.15</v>
      </c>
      <c r="Q100" s="248">
        <f t="shared" si="11"/>
        <v>16.64</v>
      </c>
      <c r="R100" s="249">
        <f t="shared" si="15"/>
        <v>601.04046242774564</v>
      </c>
      <c r="S100" s="249">
        <f t="shared" si="12"/>
        <v>560.86956521739137</v>
      </c>
      <c r="T100" s="249">
        <f t="shared" si="13"/>
        <v>649.5</v>
      </c>
      <c r="U100" s="249">
        <f t="shared" si="14"/>
        <v>603.80334254837896</v>
      </c>
    </row>
    <row r="101" spans="1:21" x14ac:dyDescent="0.25">
      <c r="A101" s="244">
        <v>45024</v>
      </c>
      <c r="B101" s="252">
        <f>SUMIFS(criblage!$P:$P,criblage!$B:$B,'synthèse 312'!A101-1,criblage!$C:$C,'synthèse 312'!B$2)</f>
        <v>0</v>
      </c>
      <c r="C101" s="252">
        <f>SUMIFS(criblage!$P:$P,criblage!$B:$B,'synthèse 312'!$A101,criblage!$C:$C,'synthèse 312'!C$2)</f>
        <v>0</v>
      </c>
      <c r="D101" s="252">
        <f>SUMIFS(criblage!$P:$P,criblage!$B:$B,'synthèse 312'!$A101,criblage!$C:$C,'synthèse 312'!D$2)</f>
        <v>0</v>
      </c>
      <c r="E101" s="252">
        <f t="shared" si="8"/>
        <v>0</v>
      </c>
      <c r="F101" s="254">
        <f>SUMIFS(criblage!$O:$O,criblage!$B:$B,'synthèse 312'!$A101-1,criblage!$C:$C,'synthèse 312'!F$2)</f>
        <v>3770</v>
      </c>
      <c r="G101" s="254">
        <f>SUMIFS(criblage!$O:$O,criblage!$B:$B,'synthèse 312'!$A101,criblage!$C:$C,'synthèse 312'!G$2)</f>
        <v>5143</v>
      </c>
      <c r="H101" s="254">
        <f>SUMIFS(criblage!$O:$O,criblage!$B:$B,'synthèse 312'!$A101,criblage!$C:$C,'synthèse 312'!H$2)</f>
        <v>1042</v>
      </c>
      <c r="I101" s="254">
        <f t="shared" si="9"/>
        <v>9955</v>
      </c>
      <c r="J101" s="258">
        <f>8-SUMIFS('les arrets'!G:G,'les arrets'!B:B,'synthèse 312'!$A101-1,'les arrets'!C:C,'synthèse 312'!J$2)</f>
        <v>6.2</v>
      </c>
      <c r="K101" s="258">
        <f>8-SUMIFS('les arrets'!G:G,'les arrets'!B:B,'synthèse 312'!$A101,'les arrets'!C:C,'synthèse 312'!K$2)</f>
        <v>6.916666666666667</v>
      </c>
      <c r="L101" s="258">
        <f>8-SUMIFS('les arrets'!G:G,'les arrets'!B:B,'synthèse 312'!A101,'les arrets'!C:C,'synthèse 312'!L$2)</f>
        <v>1.3666666666666671</v>
      </c>
      <c r="M101" s="258">
        <f t="shared" si="10"/>
        <v>14.483333333333334</v>
      </c>
      <c r="N101" s="248">
        <f>SUMIFS(criblage!$R:$R,criblage!$B:$B,'synthèse 312'!$A101-1,criblage!$C:$C,'synthèse 312'!N$2)</f>
        <v>6.26</v>
      </c>
      <c r="O101" s="248">
        <f>SUMIFS(criblage!$R:$R,criblage!$B:$B,'synthèse 312'!$A101,criblage!$C:$C,'synthèse 312'!O$2)</f>
        <v>7.48</v>
      </c>
      <c r="P101" s="248">
        <f>SUMIFS(criblage!$R:$R,criblage!$B:$B,'synthèse 312'!$A101,criblage!$C:$C,'synthèse 312'!P$2)</f>
        <v>0</v>
      </c>
      <c r="Q101" s="248">
        <f t="shared" si="11"/>
        <v>13.74</v>
      </c>
      <c r="R101" s="249">
        <f t="shared" si="15"/>
        <v>608.0645161290322</v>
      </c>
      <c r="S101" s="249">
        <f t="shared" si="12"/>
        <v>743.56626506024088</v>
      </c>
      <c r="T101" s="249">
        <f t="shared" si="13"/>
        <v>762.43902439024362</v>
      </c>
      <c r="U101" s="249">
        <f t="shared" si="14"/>
        <v>704.68993519317212</v>
      </c>
    </row>
    <row r="102" spans="1:21" x14ac:dyDescent="0.25">
      <c r="A102" s="244">
        <v>45025</v>
      </c>
      <c r="B102" s="252">
        <f>SUMIFS(criblage!$P:$P,criblage!$B:$B,'synthèse 312'!A102-1,criblage!$C:$C,'synthèse 312'!B$2)</f>
        <v>0</v>
      </c>
      <c r="C102" s="252">
        <f>SUMIFS(criblage!$P:$P,criblage!$B:$B,'synthèse 312'!$A102,criblage!$C:$C,'synthèse 312'!C$2)</f>
        <v>0</v>
      </c>
      <c r="D102" s="252">
        <f>SUMIFS(criblage!$P:$P,criblage!$B:$B,'synthèse 312'!$A102,criblage!$C:$C,'synthèse 312'!D$2)</f>
        <v>0</v>
      </c>
      <c r="E102" s="252">
        <f t="shared" si="8"/>
        <v>0</v>
      </c>
      <c r="F102" s="254">
        <f>SUMIFS(criblage!$O:$O,criblage!$B:$B,'synthèse 312'!$A102-1,criblage!$C:$C,'synthèse 312'!F$2)</f>
        <v>3600</v>
      </c>
      <c r="G102" s="254">
        <f>SUMIFS(criblage!$O:$O,criblage!$B:$B,'synthèse 312'!$A102,criblage!$C:$C,'synthèse 312'!G$2)</f>
        <v>4271</v>
      </c>
      <c r="H102" s="254">
        <f>SUMIFS(criblage!$O:$O,criblage!$B:$B,'synthèse 312'!$A102,criblage!$C:$C,'synthèse 312'!H$2)</f>
        <v>3347</v>
      </c>
      <c r="I102" s="254">
        <f t="shared" si="9"/>
        <v>11218</v>
      </c>
      <c r="J102" s="258">
        <f>8-SUMIFS('les arrets'!G:G,'les arrets'!B:B,'synthèse 312'!$A102-1,'les arrets'!C:C,'synthèse 312'!J$2)</f>
        <v>6.3166666666666664</v>
      </c>
      <c r="K102" s="258">
        <f>8-SUMIFS('les arrets'!G:G,'les arrets'!B:B,'synthèse 312'!$A102,'les arrets'!C:C,'synthèse 312'!K$2)</f>
        <v>6.0833333333333339</v>
      </c>
      <c r="L102" s="258">
        <f>8-SUMIFS('les arrets'!G:G,'les arrets'!B:B,'synthèse 312'!A102,'les arrets'!C:C,'synthèse 312'!L$2)</f>
        <v>4.6666666666666661</v>
      </c>
      <c r="M102" s="258">
        <f t="shared" si="10"/>
        <v>17.066666666666666</v>
      </c>
      <c r="N102" s="248">
        <f>SUMIFS(criblage!$R:$R,criblage!$B:$B,'synthèse 312'!$A102-1,criblage!$C:$C,'synthèse 312'!N$2)</f>
        <v>5.23</v>
      </c>
      <c r="O102" s="248">
        <f>SUMIFS(criblage!$R:$R,criblage!$B:$B,'synthèse 312'!$A102,criblage!$C:$C,'synthèse 312'!O$2)</f>
        <v>7.3900000000000006</v>
      </c>
      <c r="P102" s="248">
        <f>SUMIFS(criblage!$R:$R,criblage!$B:$B,'synthèse 312'!$A102,criblage!$C:$C,'synthèse 312'!P$2)</f>
        <v>6.81</v>
      </c>
      <c r="Q102" s="248">
        <f t="shared" si="11"/>
        <v>19.43</v>
      </c>
      <c r="R102" s="249">
        <f t="shared" si="15"/>
        <v>569.92084432717684</v>
      </c>
      <c r="S102" s="249">
        <f t="shared" si="12"/>
        <v>702.08219178082186</v>
      </c>
      <c r="T102" s="249">
        <f t="shared" si="13"/>
        <v>717.21428571428578</v>
      </c>
      <c r="U102" s="249">
        <f t="shared" si="14"/>
        <v>663.07244060742812</v>
      </c>
    </row>
    <row r="103" spans="1:21" x14ac:dyDescent="0.25">
      <c r="A103" s="244">
        <v>45026</v>
      </c>
      <c r="B103" s="252">
        <f>SUMIFS(criblage!$P:$P,criblage!$B:$B,'synthèse 312'!A103-1,criblage!$C:$C,'synthèse 312'!B$2)</f>
        <v>0</v>
      </c>
      <c r="C103" s="252">
        <f>SUMIFS(criblage!$P:$P,criblage!$B:$B,'synthèse 312'!$A103,criblage!$C:$C,'synthèse 312'!C$2)</f>
        <v>0</v>
      </c>
      <c r="D103" s="252">
        <f>SUMIFS(criblage!$P:$P,criblage!$B:$B,'synthèse 312'!$A103,criblage!$C:$C,'synthèse 312'!D$2)</f>
        <v>0</v>
      </c>
      <c r="E103" s="252">
        <f t="shared" si="8"/>
        <v>0</v>
      </c>
      <c r="F103" s="254">
        <f>SUMIFS(criblage!$O:$O,criblage!$B:$B,'synthèse 312'!$A103-1,criblage!$C:$C,'synthèse 312'!F$2)</f>
        <v>4177</v>
      </c>
      <c r="G103" s="254">
        <f>SUMIFS(criblage!$O:$O,criblage!$B:$B,'synthèse 312'!$A103,criblage!$C:$C,'synthèse 312'!G$2)</f>
        <v>1336</v>
      </c>
      <c r="H103" s="254">
        <f>SUMIFS(criblage!$O:$O,criblage!$B:$B,'synthèse 312'!$A103,criblage!$C:$C,'synthèse 312'!H$2)</f>
        <v>4050</v>
      </c>
      <c r="I103" s="254">
        <f t="shared" si="9"/>
        <v>9563</v>
      </c>
      <c r="J103" s="258">
        <f>8-SUMIFS('les arrets'!G:G,'les arrets'!B:B,'synthèse 312'!$A103-1,'les arrets'!C:C,'synthèse 312'!J$2)</f>
        <v>6.2166666666666668</v>
      </c>
      <c r="K103" s="258">
        <f>8-SUMIFS('les arrets'!G:G,'les arrets'!B:B,'synthèse 312'!$A103,'les arrets'!C:C,'synthèse 312'!K$2)</f>
        <v>2.1833333333333336</v>
      </c>
      <c r="L103" s="258">
        <f>8-SUMIFS('les arrets'!G:G,'les arrets'!B:B,'synthèse 312'!A103,'les arrets'!C:C,'synthèse 312'!L$2)</f>
        <v>5.0500000000000007</v>
      </c>
      <c r="M103" s="258">
        <f t="shared" si="10"/>
        <v>13.450000000000001</v>
      </c>
      <c r="N103" s="248">
        <f>SUMIFS(criblage!$R:$R,criblage!$B:$B,'synthèse 312'!$A103-1,criblage!$C:$C,'synthèse 312'!N$2)</f>
        <v>6.47</v>
      </c>
      <c r="O103" s="248">
        <f>SUMIFS(criblage!$R:$R,criblage!$B:$B,'synthèse 312'!$A103,criblage!$C:$C,'synthèse 312'!O$2)</f>
        <v>2.23</v>
      </c>
      <c r="P103" s="248">
        <f>SUMIFS(criblage!$R:$R,criblage!$B:$B,'synthèse 312'!$A103,criblage!$C:$C,'synthèse 312'!P$2)</f>
        <v>5.0699999999999994</v>
      </c>
      <c r="Q103" s="248">
        <f t="shared" si="11"/>
        <v>13.77</v>
      </c>
      <c r="R103" s="249">
        <f t="shared" si="15"/>
        <v>671.90348525469165</v>
      </c>
      <c r="S103" s="249">
        <f t="shared" si="12"/>
        <v>611.90839694656484</v>
      </c>
      <c r="T103" s="249">
        <f t="shared" si="13"/>
        <v>801.98019801980183</v>
      </c>
      <c r="U103" s="249">
        <f t="shared" si="14"/>
        <v>695.26402674035273</v>
      </c>
    </row>
    <row r="104" spans="1:21" x14ac:dyDescent="0.25">
      <c r="A104" s="244">
        <v>45027</v>
      </c>
      <c r="B104" s="252">
        <f>SUMIFS(criblage!$P:$P,criblage!$B:$B,'synthèse 312'!A104-1,criblage!$C:$C,'synthèse 312'!B$2)</f>
        <v>0</v>
      </c>
      <c r="C104" s="252">
        <f>SUMIFS(criblage!$P:$P,criblage!$B:$B,'synthèse 312'!$A104,criblage!$C:$C,'synthèse 312'!C$2)</f>
        <v>0</v>
      </c>
      <c r="D104" s="252">
        <f>SUMIFS(criblage!$P:$P,criblage!$B:$B,'synthèse 312'!$A104,criblage!$C:$C,'synthèse 312'!D$2)</f>
        <v>0</v>
      </c>
      <c r="E104" s="252">
        <f t="shared" si="8"/>
        <v>0</v>
      </c>
      <c r="F104" s="254">
        <f>SUMIFS(criblage!$O:$O,criblage!$B:$B,'synthèse 312'!$A104-1,criblage!$C:$C,'synthèse 312'!F$2)</f>
        <v>5564</v>
      </c>
      <c r="G104" s="254">
        <f>SUMIFS(criblage!$O:$O,criblage!$B:$B,'synthèse 312'!$A104,criblage!$C:$C,'synthèse 312'!G$2)</f>
        <v>4173</v>
      </c>
      <c r="H104" s="254">
        <f>SUMIFS(criblage!$O:$O,criblage!$B:$B,'synthèse 312'!$A104,criblage!$C:$C,'synthèse 312'!H$2)</f>
        <v>4359</v>
      </c>
      <c r="I104" s="254">
        <f t="shared" si="9"/>
        <v>14096</v>
      </c>
      <c r="J104" s="258">
        <f>8-SUMIFS('les arrets'!G:G,'les arrets'!B:B,'synthèse 312'!$A104-1,'les arrets'!C:C,'synthèse 312'!J$2)</f>
        <v>7.166666666666667</v>
      </c>
      <c r="K104" s="258">
        <f>8-SUMIFS('les arrets'!G:G,'les arrets'!B:B,'synthèse 312'!$A104,'les arrets'!C:C,'synthèse 312'!K$2)</f>
        <v>6.1</v>
      </c>
      <c r="L104" s="258">
        <f>8-SUMIFS('les arrets'!G:G,'les arrets'!B:B,'synthèse 312'!A104,'les arrets'!C:C,'synthèse 312'!L$2)</f>
        <v>5.2666666666666675</v>
      </c>
      <c r="M104" s="258">
        <f t="shared" si="10"/>
        <v>18.533333333333331</v>
      </c>
      <c r="N104" s="248">
        <f>SUMIFS(criblage!$R:$R,criblage!$B:$B,'synthèse 312'!$A104-1,criblage!$C:$C,'synthèse 312'!N$2)</f>
        <v>7.44</v>
      </c>
      <c r="O104" s="248">
        <f>SUMIFS(criblage!$R:$R,criblage!$B:$B,'synthèse 312'!$A104,criblage!$C:$C,'synthèse 312'!O$2)</f>
        <v>6.25</v>
      </c>
      <c r="P104" s="248">
        <f>SUMIFS(criblage!$R:$R,criblage!$B:$B,'synthèse 312'!$A104,criblage!$C:$C,'synthèse 312'!P$2)</f>
        <v>5.69</v>
      </c>
      <c r="Q104" s="248">
        <f t="shared" si="11"/>
        <v>19.380000000000003</v>
      </c>
      <c r="R104" s="249">
        <f t="shared" si="15"/>
        <v>776.37209302325573</v>
      </c>
      <c r="S104" s="249">
        <f t="shared" si="12"/>
        <v>684.09836065573779</v>
      </c>
      <c r="T104" s="249">
        <f t="shared" si="13"/>
        <v>827.65822784810109</v>
      </c>
      <c r="U104" s="249">
        <f t="shared" si="14"/>
        <v>762.70956050903158</v>
      </c>
    </row>
    <row r="105" spans="1:21" x14ac:dyDescent="0.25">
      <c r="A105" s="244">
        <v>45028</v>
      </c>
      <c r="B105" s="252">
        <f>SUMIFS(criblage!$P:$P,criblage!$B:$B,'synthèse 312'!A105-1,criblage!$C:$C,'synthèse 312'!B$2)</f>
        <v>0</v>
      </c>
      <c r="C105" s="252">
        <f>SUMIFS(criblage!$P:$P,criblage!$B:$B,'synthèse 312'!$A105,criblage!$C:$C,'synthèse 312'!C$2)</f>
        <v>0</v>
      </c>
      <c r="D105" s="252">
        <f>SUMIFS(criblage!$P:$P,criblage!$B:$B,'synthèse 312'!$A105,criblage!$C:$C,'synthèse 312'!D$2)</f>
        <v>0</v>
      </c>
      <c r="E105" s="252">
        <f t="shared" si="8"/>
        <v>0</v>
      </c>
      <c r="F105" s="254">
        <f>SUMIFS(criblage!$O:$O,criblage!$B:$B,'synthèse 312'!$A105-1,criblage!$C:$C,'synthèse 312'!F$2)</f>
        <v>5250</v>
      </c>
      <c r="G105" s="254">
        <f>SUMIFS(criblage!$O:$O,criblage!$B:$B,'synthèse 312'!$A105,criblage!$C:$C,'synthèse 312'!G$2)</f>
        <v>4139</v>
      </c>
      <c r="H105" s="254">
        <f>SUMIFS(criblage!$O:$O,criblage!$B:$B,'synthèse 312'!$A105,criblage!$C:$C,'synthèse 312'!H$2)</f>
        <v>4419</v>
      </c>
      <c r="I105" s="254">
        <f t="shared" si="9"/>
        <v>13808</v>
      </c>
      <c r="J105" s="258">
        <f>8-SUMIFS('les arrets'!G:G,'les arrets'!B:B,'synthèse 312'!$A105-1,'les arrets'!C:C,'synthèse 312'!J$2)</f>
        <v>6.75</v>
      </c>
      <c r="K105" s="258">
        <f>8-SUMIFS('les arrets'!G:G,'les arrets'!B:B,'synthèse 312'!$A105,'les arrets'!C:C,'synthèse 312'!K$2)</f>
        <v>6.6333333333333337</v>
      </c>
      <c r="L105" s="258">
        <f>8-SUMIFS('les arrets'!G:G,'les arrets'!B:B,'synthèse 312'!A105,'les arrets'!C:C,'synthèse 312'!L$2)</f>
        <v>5.0666666666666664</v>
      </c>
      <c r="M105" s="258">
        <f t="shared" si="10"/>
        <v>18.45</v>
      </c>
      <c r="N105" s="248">
        <f>SUMIFS(criblage!$R:$R,criblage!$B:$B,'synthèse 312'!$A105-1,criblage!$C:$C,'synthèse 312'!N$2)</f>
        <v>7.2200000000000006</v>
      </c>
      <c r="O105" s="248">
        <f>SUMIFS(criblage!$R:$R,criblage!$B:$B,'synthèse 312'!$A105,criblage!$C:$C,'synthèse 312'!O$2)</f>
        <v>5.69</v>
      </c>
      <c r="P105" s="248">
        <f>SUMIFS(criblage!$R:$R,criblage!$B:$B,'synthèse 312'!$A105,criblage!$C:$C,'synthèse 312'!P$2)</f>
        <v>5.53</v>
      </c>
      <c r="Q105" s="248">
        <f t="shared" si="11"/>
        <v>18.440000000000001</v>
      </c>
      <c r="R105" s="249">
        <f t="shared" si="15"/>
        <v>777.77777777777783</v>
      </c>
      <c r="S105" s="249">
        <f t="shared" si="12"/>
        <v>623.96984924623109</v>
      </c>
      <c r="T105" s="249">
        <f t="shared" si="13"/>
        <v>872.17105263157896</v>
      </c>
      <c r="U105" s="249">
        <f t="shared" si="14"/>
        <v>757.97289321852929</v>
      </c>
    </row>
    <row r="106" spans="1:21" x14ac:dyDescent="0.25">
      <c r="A106" s="244">
        <v>45029</v>
      </c>
      <c r="B106" s="252">
        <f>SUMIFS(criblage!$P:$P,criblage!$B:$B,'synthèse 312'!A106-1,criblage!$C:$C,'synthèse 312'!B$2)</f>
        <v>0</v>
      </c>
      <c r="C106" s="252">
        <f>SUMIFS(criblage!$P:$P,criblage!$B:$B,'synthèse 312'!$A106,criblage!$C:$C,'synthèse 312'!C$2)</f>
        <v>0</v>
      </c>
      <c r="D106" s="252">
        <f>SUMIFS(criblage!$P:$P,criblage!$B:$B,'synthèse 312'!$A106,criblage!$C:$C,'synthèse 312'!D$2)</f>
        <v>0</v>
      </c>
      <c r="E106" s="252">
        <f t="shared" si="8"/>
        <v>0</v>
      </c>
      <c r="F106" s="254">
        <f>SUMIFS(criblage!$O:$O,criblage!$B:$B,'synthèse 312'!$A106-1,criblage!$C:$C,'synthèse 312'!F$2)</f>
        <v>5271</v>
      </c>
      <c r="G106" s="254">
        <f>SUMIFS(criblage!$O:$O,criblage!$B:$B,'synthèse 312'!$A106,criblage!$C:$C,'synthèse 312'!G$2)</f>
        <v>2277</v>
      </c>
      <c r="H106" s="254">
        <f>SUMIFS(criblage!$O:$O,criblage!$B:$B,'synthèse 312'!$A106,criblage!$C:$C,'synthèse 312'!H$2)</f>
        <v>3307</v>
      </c>
      <c r="I106" s="254">
        <f t="shared" si="9"/>
        <v>10855</v>
      </c>
      <c r="J106" s="258">
        <f>8-SUMIFS('les arrets'!G:G,'les arrets'!B:B,'synthèse 312'!$A106-1,'les arrets'!C:C,'synthèse 312'!J$2)</f>
        <v>7.25</v>
      </c>
      <c r="K106" s="258">
        <f>8-SUMIFS('les arrets'!G:G,'les arrets'!B:B,'synthèse 312'!$A106,'les arrets'!C:C,'synthèse 312'!K$2)</f>
        <v>3.416666666666667</v>
      </c>
      <c r="L106" s="258">
        <f>8-SUMIFS('les arrets'!G:G,'les arrets'!B:B,'synthèse 312'!A106,'les arrets'!C:C,'synthèse 312'!L$2)</f>
        <v>4.4666666666666668</v>
      </c>
      <c r="M106" s="258">
        <f t="shared" si="10"/>
        <v>15.133333333333335</v>
      </c>
      <c r="N106" s="248">
        <f>SUMIFS(criblage!$R:$R,criblage!$B:$B,'synthèse 312'!$A106-1,criblage!$C:$C,'synthèse 312'!N$2)</f>
        <v>7.26</v>
      </c>
      <c r="O106" s="248">
        <f>SUMIFS(criblage!$R:$R,criblage!$B:$B,'synthèse 312'!$A106,criblage!$C:$C,'synthèse 312'!O$2)</f>
        <v>3.25</v>
      </c>
      <c r="P106" s="248">
        <f>SUMIFS(criblage!$R:$R,criblage!$B:$B,'synthèse 312'!$A106,criblage!$C:$C,'synthèse 312'!P$2)</f>
        <v>5.07</v>
      </c>
      <c r="Q106" s="248">
        <f t="shared" si="11"/>
        <v>15.58</v>
      </c>
      <c r="R106" s="249">
        <f t="shared" si="15"/>
        <v>727.0344827586207</v>
      </c>
      <c r="S106" s="249">
        <f t="shared" si="12"/>
        <v>666.43902439024384</v>
      </c>
      <c r="T106" s="249">
        <f t="shared" si="13"/>
        <v>740.37313432835822</v>
      </c>
      <c r="U106" s="249">
        <f t="shared" si="14"/>
        <v>711.282213825741</v>
      </c>
    </row>
    <row r="107" spans="1:21" x14ac:dyDescent="0.25">
      <c r="A107" s="244">
        <v>45030</v>
      </c>
      <c r="B107" s="252">
        <f>SUMIFS(criblage!$P:$P,criblage!$B:$B,'synthèse 312'!A107-1,criblage!$C:$C,'synthèse 312'!B$2)</f>
        <v>0</v>
      </c>
      <c r="C107" s="252">
        <f>SUMIFS(criblage!$P:$P,criblage!$B:$B,'synthèse 312'!$A107,criblage!$C:$C,'synthèse 312'!C$2)</f>
        <v>0</v>
      </c>
      <c r="D107" s="252">
        <f>SUMIFS(criblage!$P:$P,criblage!$B:$B,'synthèse 312'!$A107,criblage!$C:$C,'synthèse 312'!D$2)</f>
        <v>0</v>
      </c>
      <c r="E107" s="252">
        <f t="shared" si="8"/>
        <v>0</v>
      </c>
      <c r="F107" s="254">
        <f>SUMIFS(criblage!$O:$O,criblage!$B:$B,'synthèse 312'!$A107-1,criblage!$C:$C,'synthèse 312'!F$2)</f>
        <v>4602</v>
      </c>
      <c r="G107" s="254">
        <f>SUMIFS(criblage!$O:$O,criblage!$B:$B,'synthèse 312'!$A107,criblage!$C:$C,'synthèse 312'!G$2)</f>
        <v>0</v>
      </c>
      <c r="H107" s="254">
        <f>SUMIFS(criblage!$O:$O,criblage!$B:$B,'synthèse 312'!$A107,criblage!$C:$C,'synthèse 312'!H$2)</f>
        <v>2682</v>
      </c>
      <c r="I107" s="254">
        <f t="shared" si="9"/>
        <v>7284</v>
      </c>
      <c r="J107" s="258">
        <f>8-SUMIFS('les arrets'!G:G,'les arrets'!B:B,'synthèse 312'!$A107-1,'les arrets'!C:C,'synthèse 312'!J$2)</f>
        <v>6.833333333333333</v>
      </c>
      <c r="K107" s="258">
        <f>8-SUMIFS('les arrets'!G:G,'les arrets'!B:B,'synthèse 312'!$A107,'les arrets'!C:C,'synthèse 312'!K$2)</f>
        <v>0</v>
      </c>
      <c r="L107" s="258">
        <f>8-SUMIFS('les arrets'!G:G,'les arrets'!B:B,'synthèse 312'!A107,'les arrets'!C:C,'synthèse 312'!L$2)</f>
        <v>3.8</v>
      </c>
      <c r="M107" s="258">
        <f t="shared" si="10"/>
        <v>10.633333333333333</v>
      </c>
      <c r="N107" s="248">
        <f>SUMIFS(criblage!$R:$R,criblage!$B:$B,'synthèse 312'!$A107-1,criblage!$C:$C,'synthèse 312'!N$2)</f>
        <v>7.61</v>
      </c>
      <c r="O107" s="248">
        <f>SUMIFS(criblage!$R:$R,criblage!$B:$B,'synthèse 312'!$A107,criblage!$C:$C,'synthèse 312'!O$2)</f>
        <v>0</v>
      </c>
      <c r="P107" s="248">
        <f>SUMIFS(criblage!$R:$R,criblage!$B:$B,'synthèse 312'!$A107,criblage!$C:$C,'synthèse 312'!P$2)</f>
        <v>4.46</v>
      </c>
      <c r="Q107" s="248">
        <f t="shared" si="11"/>
        <v>12.07</v>
      </c>
      <c r="R107" s="249">
        <f t="shared" si="15"/>
        <v>673.46341463414637</v>
      </c>
      <c r="S107" s="249">
        <f t="shared" si="12"/>
        <v>0</v>
      </c>
      <c r="T107" s="249">
        <f t="shared" si="13"/>
        <v>705.78947368421052</v>
      </c>
      <c r="U107" s="249">
        <f t="shared" si="14"/>
        <v>459.75096277278561</v>
      </c>
    </row>
    <row r="108" spans="1:21" x14ac:dyDescent="0.25">
      <c r="A108" s="244">
        <v>45031</v>
      </c>
      <c r="B108" s="252">
        <f>SUMIFS(criblage!$P:$P,criblage!$B:$B,'synthèse 312'!A108-1,criblage!$C:$C,'synthèse 312'!B$2)</f>
        <v>0</v>
      </c>
      <c r="C108" s="252">
        <f>SUMIFS(criblage!$P:$P,criblage!$B:$B,'synthèse 312'!$A108,criblage!$C:$C,'synthèse 312'!C$2)</f>
        <v>0</v>
      </c>
      <c r="D108" s="252">
        <f>SUMIFS(criblage!$P:$P,criblage!$B:$B,'synthèse 312'!$A108,criblage!$C:$C,'synthèse 312'!D$2)</f>
        <v>0</v>
      </c>
      <c r="E108" s="252">
        <f t="shared" si="8"/>
        <v>0</v>
      </c>
      <c r="F108" s="254">
        <f>SUMIFS(criblage!$O:$O,criblage!$B:$B,'synthèse 312'!$A108-1,criblage!$C:$C,'synthèse 312'!F$2)</f>
        <v>5137</v>
      </c>
      <c r="G108" s="254">
        <f>SUMIFS(criblage!$O:$O,criblage!$B:$B,'synthèse 312'!$A108,criblage!$C:$C,'synthèse 312'!G$2)</f>
        <v>4870</v>
      </c>
      <c r="H108" s="254">
        <f>SUMIFS(criblage!$O:$O,criblage!$B:$B,'synthèse 312'!$A108,criblage!$C:$C,'synthèse 312'!H$2)</f>
        <v>2742</v>
      </c>
      <c r="I108" s="254">
        <f t="shared" si="9"/>
        <v>12749</v>
      </c>
      <c r="J108" s="258">
        <f>8-SUMIFS('les arrets'!G:G,'les arrets'!B:B,'synthèse 312'!$A108-1,'les arrets'!C:C,'synthèse 312'!J$2)</f>
        <v>6.9333333333333336</v>
      </c>
      <c r="K108" s="258">
        <f>8-SUMIFS('les arrets'!G:G,'les arrets'!B:B,'synthèse 312'!$A108,'les arrets'!C:C,'synthèse 312'!K$2)</f>
        <v>6.85</v>
      </c>
      <c r="L108" s="258">
        <f>8-SUMIFS('les arrets'!G:G,'les arrets'!B:B,'synthèse 312'!A108,'les arrets'!C:C,'synthèse 312'!L$2)</f>
        <v>4.2666666666666666</v>
      </c>
      <c r="M108" s="258">
        <f t="shared" si="10"/>
        <v>18.05</v>
      </c>
      <c r="N108" s="248">
        <f>SUMIFS(criblage!$R:$R,criblage!$B:$B,'synthèse 312'!$A108-1,criblage!$C:$C,'synthèse 312'!N$2)</f>
        <v>7.29</v>
      </c>
      <c r="O108" s="248">
        <f>SUMIFS(criblage!$R:$R,criblage!$B:$B,'synthèse 312'!$A108,criblage!$C:$C,'synthèse 312'!O$2)</f>
        <v>6.69</v>
      </c>
      <c r="P108" s="248">
        <f>SUMIFS(criblage!$R:$R,criblage!$B:$B,'synthèse 312'!$A108,criblage!$C:$C,'synthèse 312'!P$2)</f>
        <v>4.07</v>
      </c>
      <c r="Q108" s="248">
        <f t="shared" si="11"/>
        <v>18.05</v>
      </c>
      <c r="R108" s="249">
        <f t="shared" si="15"/>
        <v>740.91346153846155</v>
      </c>
      <c r="S108" s="249">
        <f t="shared" si="12"/>
        <v>710.94890510948903</v>
      </c>
      <c r="T108" s="249">
        <f t="shared" si="13"/>
        <v>642.65625</v>
      </c>
      <c r="U108" s="249">
        <f t="shared" si="14"/>
        <v>698.1728722159836</v>
      </c>
    </row>
    <row r="109" spans="1:21" x14ac:dyDescent="0.25">
      <c r="A109" s="244">
        <v>45032</v>
      </c>
      <c r="B109" s="252">
        <f>SUMIFS(criblage!$P:$P,criblage!$B:$B,'synthèse 312'!A109-1,criblage!$C:$C,'synthèse 312'!B$2)</f>
        <v>0</v>
      </c>
      <c r="C109" s="252">
        <f>SUMIFS(criblage!$P:$P,criblage!$B:$B,'synthèse 312'!$A109,criblage!$C:$C,'synthèse 312'!C$2)</f>
        <v>0</v>
      </c>
      <c r="D109" s="252">
        <f>SUMIFS(criblage!$P:$P,criblage!$B:$B,'synthèse 312'!$A109,criblage!$C:$C,'synthèse 312'!D$2)</f>
        <v>0</v>
      </c>
      <c r="E109" s="252">
        <f t="shared" si="8"/>
        <v>0</v>
      </c>
      <c r="F109" s="254">
        <f>SUMIFS(criblage!$O:$O,criblage!$B:$B,'synthèse 312'!$A109-1,criblage!$C:$C,'synthèse 312'!F$2)</f>
        <v>4476</v>
      </c>
      <c r="G109" s="254">
        <f>SUMIFS(criblage!$O:$O,criblage!$B:$B,'synthèse 312'!$A109,criblage!$C:$C,'synthèse 312'!G$2)</f>
        <v>3971</v>
      </c>
      <c r="H109" s="254">
        <f>SUMIFS(criblage!$O:$O,criblage!$B:$B,'synthèse 312'!$A109,criblage!$C:$C,'synthèse 312'!H$2)</f>
        <v>1701</v>
      </c>
      <c r="I109" s="254">
        <f t="shared" si="9"/>
        <v>10148</v>
      </c>
      <c r="J109" s="258">
        <f>8-SUMIFS('les arrets'!G:G,'les arrets'!B:B,'synthèse 312'!$A109-1,'les arrets'!C:C,'synthèse 312'!J$2)</f>
        <v>5.74</v>
      </c>
      <c r="K109" s="258">
        <f>8-SUMIFS('les arrets'!G:G,'les arrets'!B:B,'synthèse 312'!$A109,'les arrets'!C:C,'synthèse 312'!K$2)</f>
        <v>5.9333333333333336</v>
      </c>
      <c r="L109" s="258">
        <f>8-SUMIFS('les arrets'!G:G,'les arrets'!B:B,'synthèse 312'!A109,'les arrets'!C:C,'synthèse 312'!L$2)</f>
        <v>4.25</v>
      </c>
      <c r="M109" s="258">
        <f t="shared" si="10"/>
        <v>15.923333333333334</v>
      </c>
      <c r="N109" s="248">
        <f>SUMIFS(criblage!$R:$R,criblage!$B:$B,'synthèse 312'!$A109-1,criblage!$C:$C,'synthèse 312'!N$2)</f>
        <v>6.5</v>
      </c>
      <c r="O109" s="248">
        <f>SUMIFS(criblage!$R:$R,criblage!$B:$B,'synthèse 312'!$A109,criblage!$C:$C,'synthèse 312'!O$2)</f>
        <v>6.2799999999999994</v>
      </c>
      <c r="P109" s="248">
        <f>SUMIFS(criblage!$R:$R,criblage!$B:$B,'synthèse 312'!$A109,criblage!$C:$C,'synthèse 312'!P$2)</f>
        <v>4.3499999999999996</v>
      </c>
      <c r="Q109" s="248">
        <f t="shared" si="11"/>
        <v>17.13</v>
      </c>
      <c r="R109" s="249">
        <f t="shared" si="15"/>
        <v>779.79094076655053</v>
      </c>
      <c r="S109" s="249">
        <f t="shared" si="12"/>
        <v>669.2696629213483</v>
      </c>
      <c r="T109" s="249">
        <f t="shared" si="13"/>
        <v>400.23529411764707</v>
      </c>
      <c r="U109" s="249">
        <f t="shared" si="14"/>
        <v>616.43196593518201</v>
      </c>
    </row>
    <row r="110" spans="1:21" x14ac:dyDescent="0.25">
      <c r="A110" s="244">
        <v>45033</v>
      </c>
      <c r="B110" s="252">
        <f>SUMIFS(criblage!$P:$P,criblage!$B:$B,'synthèse 312'!A110-1,criblage!$C:$C,'synthèse 312'!B$2)</f>
        <v>0</v>
      </c>
      <c r="C110" s="252">
        <f>SUMIFS(criblage!$P:$P,criblage!$B:$B,'synthèse 312'!$A110,criblage!$C:$C,'synthèse 312'!C$2)</f>
        <v>0</v>
      </c>
      <c r="D110" s="252">
        <f>SUMIFS(criblage!$P:$P,criblage!$B:$B,'synthèse 312'!$A110,criblage!$C:$C,'synthèse 312'!D$2)</f>
        <v>0</v>
      </c>
      <c r="E110" s="252">
        <f t="shared" si="8"/>
        <v>0</v>
      </c>
      <c r="F110" s="254">
        <f>SUMIFS(criblage!$O:$O,criblage!$B:$B,'synthèse 312'!$A110-1,criblage!$C:$C,'synthèse 312'!F$2)</f>
        <v>4602</v>
      </c>
      <c r="G110" s="254">
        <f>SUMIFS(criblage!$O:$O,criblage!$B:$B,'synthèse 312'!$A110,criblage!$C:$C,'synthèse 312'!G$2)</f>
        <v>0</v>
      </c>
      <c r="H110" s="254">
        <f>SUMIFS(criblage!$O:$O,criblage!$B:$B,'synthèse 312'!$A110,criblage!$C:$C,'synthèse 312'!H$2)</f>
        <v>18</v>
      </c>
      <c r="I110" s="254">
        <f t="shared" si="9"/>
        <v>4620</v>
      </c>
      <c r="J110" s="258">
        <f>8-SUMIFS('les arrets'!G:G,'les arrets'!B:B,'synthèse 312'!$A110-1,'les arrets'!C:C,'synthèse 312'!J$2)</f>
        <v>7.416666666666667</v>
      </c>
      <c r="K110" s="258">
        <f>8-SUMIFS('les arrets'!G:G,'les arrets'!B:B,'synthèse 312'!$A110,'les arrets'!C:C,'synthèse 312'!K$2)</f>
        <v>0</v>
      </c>
      <c r="L110" s="258">
        <f>8-SUMIFS('les arrets'!G:G,'les arrets'!B:B,'synthèse 312'!A110,'les arrets'!C:C,'synthèse 312'!L$2)</f>
        <v>0.41666666666666696</v>
      </c>
      <c r="M110" s="258">
        <f t="shared" si="10"/>
        <v>7.8333333333333339</v>
      </c>
      <c r="N110" s="248">
        <f>SUMIFS(criblage!$R:$R,criblage!$B:$B,'synthèse 312'!$A110-1,criblage!$C:$C,'synthèse 312'!N$2)</f>
        <v>7.43</v>
      </c>
      <c r="O110" s="248">
        <f>SUMIFS(criblage!$R:$R,criblage!$B:$B,'synthèse 312'!$A110,criblage!$C:$C,'synthèse 312'!O$2)</f>
        <v>0</v>
      </c>
      <c r="P110" s="248">
        <f>SUMIFS(criblage!$R:$R,criblage!$B:$B,'synthèse 312'!$A110,criblage!$C:$C,'synthèse 312'!P$2)</f>
        <v>0.47</v>
      </c>
      <c r="Q110" s="248">
        <f t="shared" si="11"/>
        <v>7.8999999999999995</v>
      </c>
      <c r="R110" s="249">
        <f t="shared" si="15"/>
        <v>620.49438202247188</v>
      </c>
      <c r="S110" s="249">
        <f t="shared" si="12"/>
        <v>0</v>
      </c>
      <c r="T110" s="249">
        <f t="shared" si="13"/>
        <v>43.199999999999967</v>
      </c>
      <c r="U110" s="249">
        <f t="shared" si="14"/>
        <v>221.23146067415726</v>
      </c>
    </row>
    <row r="111" spans="1:21" x14ac:dyDescent="0.25">
      <c r="A111" s="244">
        <v>45034</v>
      </c>
      <c r="B111" s="252">
        <f>SUMIFS(criblage!$P:$P,criblage!$B:$B,'synthèse 312'!A111-1,criblage!$C:$C,'synthèse 312'!B$2)</f>
        <v>0</v>
      </c>
      <c r="C111" s="252">
        <f>SUMIFS(criblage!$P:$P,criblage!$B:$B,'synthèse 312'!$A111,criblage!$C:$C,'synthèse 312'!C$2)</f>
        <v>0</v>
      </c>
      <c r="D111" s="252">
        <f>SUMIFS(criblage!$P:$P,criblage!$B:$B,'synthèse 312'!$A111,criblage!$C:$C,'synthèse 312'!D$2)</f>
        <v>0</v>
      </c>
      <c r="E111" s="252">
        <f t="shared" si="8"/>
        <v>0</v>
      </c>
      <c r="F111" s="254">
        <f>SUMIFS(criblage!$O:$O,criblage!$B:$B,'synthèse 312'!$A111-1,criblage!$C:$C,'synthèse 312'!F$2)</f>
        <v>4381</v>
      </c>
      <c r="G111" s="254">
        <f>SUMIFS(criblage!$O:$O,criblage!$B:$B,'synthèse 312'!$A111,criblage!$C:$C,'synthèse 312'!G$2)</f>
        <v>2711</v>
      </c>
      <c r="H111" s="254">
        <f>SUMIFS(criblage!$O:$O,criblage!$B:$B,'synthèse 312'!$A111,criblage!$C:$C,'synthèse 312'!H$2)</f>
        <v>4125</v>
      </c>
      <c r="I111" s="254">
        <f t="shared" si="9"/>
        <v>11217</v>
      </c>
      <c r="J111" s="258">
        <f>8-SUMIFS('les arrets'!G:G,'les arrets'!B:B,'synthèse 312'!$A111-1,'les arrets'!C:C,'synthèse 312'!J$2)</f>
        <v>6.4833333333333334</v>
      </c>
      <c r="K111" s="258">
        <f>8-SUMIFS('les arrets'!G:G,'les arrets'!B:B,'synthèse 312'!$A111,'les arrets'!C:C,'synthèse 312'!K$2)</f>
        <v>4.1333333333333329</v>
      </c>
      <c r="L111" s="258">
        <f>8-SUMIFS('les arrets'!G:G,'les arrets'!B:B,'synthèse 312'!A111,'les arrets'!C:C,'synthèse 312'!L$2)</f>
        <v>4.75</v>
      </c>
      <c r="M111" s="258">
        <f t="shared" si="10"/>
        <v>15.366666666666667</v>
      </c>
      <c r="N111" s="248">
        <f>SUMIFS(criblage!$R:$R,criblage!$B:$B,'synthèse 312'!$A111-1,criblage!$C:$C,'synthèse 312'!N$2)</f>
        <v>7.74</v>
      </c>
      <c r="O111" s="248">
        <f>SUMIFS(criblage!$R:$R,criblage!$B:$B,'synthèse 312'!$A111,criblage!$C:$C,'synthèse 312'!O$2)</f>
        <v>4.0199999999999996</v>
      </c>
      <c r="P111" s="248">
        <f>SUMIFS(criblage!$R:$R,criblage!$B:$B,'synthèse 312'!$A111,criblage!$C:$C,'synthèse 312'!P$2)</f>
        <v>5.5</v>
      </c>
      <c r="Q111" s="248">
        <f t="shared" si="11"/>
        <v>17.259999999999998</v>
      </c>
      <c r="R111" s="249">
        <f t="shared" si="15"/>
        <v>675.73264781491002</v>
      </c>
      <c r="S111" s="249">
        <f t="shared" si="12"/>
        <v>655.88709677419365</v>
      </c>
      <c r="T111" s="249">
        <f t="shared" si="13"/>
        <v>868.42105263157896</v>
      </c>
      <c r="U111" s="249">
        <f t="shared" si="14"/>
        <v>733.34693240689421</v>
      </c>
    </row>
    <row r="112" spans="1:21" x14ac:dyDescent="0.25">
      <c r="A112" s="244">
        <v>45035</v>
      </c>
      <c r="B112" s="252">
        <f>SUMIFS(criblage!$P:$P,criblage!$B:$B,'synthèse 312'!A112-1,criblage!$C:$C,'synthèse 312'!B$2)</f>
        <v>0</v>
      </c>
      <c r="C112" s="252">
        <f>SUMIFS(criblage!$P:$P,criblage!$B:$B,'synthèse 312'!$A112,criblage!$C:$C,'synthèse 312'!C$2)</f>
        <v>0</v>
      </c>
      <c r="D112" s="252">
        <f>SUMIFS(criblage!$P:$P,criblage!$B:$B,'synthèse 312'!$A112,criblage!$C:$C,'synthèse 312'!D$2)</f>
        <v>0</v>
      </c>
      <c r="E112" s="252">
        <f t="shared" si="8"/>
        <v>0</v>
      </c>
      <c r="F112" s="254">
        <f>SUMIFS(criblage!$O:$O,criblage!$B:$B,'synthèse 312'!$A112-1,criblage!$C:$C,'synthèse 312'!F$2)</f>
        <v>4800</v>
      </c>
      <c r="G112" s="254">
        <f>SUMIFS(criblage!$O:$O,criblage!$B:$B,'synthèse 312'!$A112,criblage!$C:$C,'synthèse 312'!G$2)</f>
        <v>3686</v>
      </c>
      <c r="H112" s="254">
        <f>SUMIFS(criblage!$O:$O,criblage!$B:$B,'synthèse 312'!$A112,criblage!$C:$C,'synthèse 312'!H$2)</f>
        <v>3690</v>
      </c>
      <c r="I112" s="254">
        <f t="shared" si="9"/>
        <v>12176</v>
      </c>
      <c r="J112" s="258">
        <f>8-SUMIFS('les arrets'!G:G,'les arrets'!B:B,'synthèse 312'!$A112-1,'les arrets'!C:C,'synthèse 312'!J$2)</f>
        <v>6.1166666666666671</v>
      </c>
      <c r="K112" s="258">
        <f>8-SUMIFS('les arrets'!G:G,'les arrets'!B:B,'synthèse 312'!$A112,'les arrets'!C:C,'synthèse 312'!K$2)</f>
        <v>5.4333333333333336</v>
      </c>
      <c r="L112" s="258">
        <f>8-SUMIFS('les arrets'!G:G,'les arrets'!B:B,'synthèse 312'!A112,'les arrets'!C:C,'synthèse 312'!L$2)</f>
        <v>5.5833333333333339</v>
      </c>
      <c r="M112" s="258">
        <f t="shared" si="10"/>
        <v>17.133333333333333</v>
      </c>
      <c r="N112" s="248">
        <f>SUMIFS(criblage!$R:$R,criblage!$B:$B,'synthèse 312'!$A112-1,criblage!$C:$C,'synthèse 312'!N$2)</f>
        <v>6.6</v>
      </c>
      <c r="O112" s="248">
        <f>SUMIFS(criblage!$R:$R,criblage!$B:$B,'synthèse 312'!$A112,criblage!$C:$C,'synthèse 312'!O$2)</f>
        <v>5.05</v>
      </c>
      <c r="P112" s="248">
        <f>SUMIFS(criblage!$R:$R,criblage!$B:$B,'synthèse 312'!$A112,criblage!$C:$C,'synthèse 312'!P$2)</f>
        <v>5.9799999999999995</v>
      </c>
      <c r="Q112" s="248">
        <f t="shared" si="11"/>
        <v>17.63</v>
      </c>
      <c r="R112" s="249">
        <f t="shared" si="15"/>
        <v>784.74114441416884</v>
      </c>
      <c r="S112" s="249">
        <f t="shared" si="12"/>
        <v>678.40490797546011</v>
      </c>
      <c r="T112" s="249">
        <f t="shared" si="13"/>
        <v>660.89552238805959</v>
      </c>
      <c r="U112" s="249">
        <f t="shared" si="14"/>
        <v>708.01385825922955</v>
      </c>
    </row>
    <row r="113" spans="1:21" x14ac:dyDescent="0.25">
      <c r="A113" s="244">
        <v>45036</v>
      </c>
      <c r="B113" s="252">
        <f>SUMIFS(criblage!$P:$P,criblage!$B:$B,'synthèse 312'!A113-1,criblage!$C:$C,'synthèse 312'!B$2)</f>
        <v>0</v>
      </c>
      <c r="C113" s="252">
        <f>SUMIFS(criblage!$P:$P,criblage!$B:$B,'synthèse 312'!$A113,criblage!$C:$C,'synthèse 312'!C$2)</f>
        <v>0</v>
      </c>
      <c r="D113" s="252">
        <f>SUMIFS(criblage!$P:$P,criblage!$B:$B,'synthèse 312'!$A113,criblage!$C:$C,'synthèse 312'!D$2)</f>
        <v>0</v>
      </c>
      <c r="E113" s="252">
        <f t="shared" si="8"/>
        <v>0</v>
      </c>
      <c r="F113" s="254">
        <f>SUMIFS(criblage!$O:$O,criblage!$B:$B,'synthèse 312'!$A113-1,criblage!$C:$C,'synthèse 312'!F$2)</f>
        <v>2648</v>
      </c>
      <c r="G113" s="254">
        <f>SUMIFS(criblage!$O:$O,criblage!$B:$B,'synthèse 312'!$A113,criblage!$C:$C,'synthèse 312'!G$2)</f>
        <v>490</v>
      </c>
      <c r="H113" s="254">
        <f>SUMIFS(criblage!$O:$O,criblage!$B:$B,'synthèse 312'!$A113,criblage!$C:$C,'synthèse 312'!H$2)</f>
        <v>0</v>
      </c>
      <c r="I113" s="254">
        <f t="shared" si="9"/>
        <v>3138</v>
      </c>
      <c r="J113" s="258">
        <f>8-SUMIFS('les arrets'!G:G,'les arrets'!B:B,'synthèse 312'!$A113-1,'les arrets'!C:C,'synthèse 312'!J$2)</f>
        <v>6.4833333333333334</v>
      </c>
      <c r="K113" s="258">
        <f>8-SUMIFS('les arrets'!G:G,'les arrets'!B:B,'synthèse 312'!$A113,'les arrets'!C:C,'synthèse 312'!K$2)</f>
        <v>1.0833333333333339</v>
      </c>
      <c r="L113" s="258">
        <f>8-SUMIFS('les arrets'!G:G,'les arrets'!B:B,'synthèse 312'!A113,'les arrets'!C:C,'synthèse 312'!L$2)</f>
        <v>0</v>
      </c>
      <c r="M113" s="258">
        <f t="shared" si="10"/>
        <v>7.5666666666666673</v>
      </c>
      <c r="N113" s="248">
        <f>SUMIFS(criblage!$R:$R,criblage!$B:$B,'synthèse 312'!$A113-1,criblage!$C:$C,'synthèse 312'!N$2)</f>
        <v>6.5</v>
      </c>
      <c r="O113" s="248">
        <f>SUMIFS(criblage!$R:$R,criblage!$B:$B,'synthèse 312'!$A113,criblage!$C:$C,'synthèse 312'!O$2)</f>
        <v>1.56</v>
      </c>
      <c r="P113" s="248">
        <f>SUMIFS(criblage!$R:$R,criblage!$B:$B,'synthèse 312'!$A113,criblage!$C:$C,'synthèse 312'!P$2)</f>
        <v>0</v>
      </c>
      <c r="Q113" s="248">
        <f t="shared" si="11"/>
        <v>8.06</v>
      </c>
      <c r="R113" s="249">
        <f t="shared" si="15"/>
        <v>408.43187660668377</v>
      </c>
      <c r="S113" s="249">
        <f t="shared" si="12"/>
        <v>452.30769230769204</v>
      </c>
      <c r="T113" s="249">
        <f t="shared" si="13"/>
        <v>0</v>
      </c>
      <c r="U113" s="249">
        <f t="shared" si="14"/>
        <v>286.91318963812529</v>
      </c>
    </row>
    <row r="114" spans="1:21" x14ac:dyDescent="0.25">
      <c r="A114" s="244">
        <v>45037</v>
      </c>
      <c r="B114" s="252">
        <f>SUMIFS(criblage!$P:$P,criblage!$B:$B,'synthèse 312'!A114-1,criblage!$C:$C,'synthèse 312'!B$2)</f>
        <v>0</v>
      </c>
      <c r="C114" s="252">
        <f>SUMIFS(criblage!$P:$P,criblage!$B:$B,'synthèse 312'!$A114,criblage!$C:$C,'synthèse 312'!C$2)</f>
        <v>0</v>
      </c>
      <c r="D114" s="252">
        <f>SUMIFS(criblage!$P:$P,criblage!$B:$B,'synthèse 312'!$A114,criblage!$C:$C,'synthèse 312'!D$2)</f>
        <v>0</v>
      </c>
      <c r="E114" s="252">
        <f t="shared" si="8"/>
        <v>0</v>
      </c>
      <c r="F114" s="254">
        <f>SUMIFS(criblage!$O:$O,criblage!$B:$B,'synthèse 312'!$A114-1,criblage!$C:$C,'synthèse 312'!F$2)</f>
        <v>0</v>
      </c>
      <c r="G114" s="254">
        <f>SUMIFS(criblage!$O:$O,criblage!$B:$B,'synthèse 312'!$A114,criblage!$C:$C,'synthèse 312'!G$2)</f>
        <v>0</v>
      </c>
      <c r="H114" s="254">
        <f>SUMIFS(criblage!$O:$O,criblage!$B:$B,'synthèse 312'!$A114,criblage!$C:$C,'synthèse 312'!H$2)</f>
        <v>0</v>
      </c>
      <c r="I114" s="254">
        <f t="shared" si="9"/>
        <v>0</v>
      </c>
      <c r="J114" s="258">
        <f>8-SUMIFS('les arrets'!G:G,'les arrets'!B:B,'synthèse 312'!$A114-1,'les arrets'!C:C,'synthèse 312'!J$2)</f>
        <v>0</v>
      </c>
      <c r="K114" s="258">
        <f>8-SUMIFS('les arrets'!G:G,'les arrets'!B:B,'synthèse 312'!$A114,'les arrets'!C:C,'synthèse 312'!K$2)</f>
        <v>0</v>
      </c>
      <c r="L114" s="258">
        <f>8-SUMIFS('les arrets'!G:G,'les arrets'!B:B,'synthèse 312'!A114,'les arrets'!C:C,'synthèse 312'!L$2)</f>
        <v>0</v>
      </c>
      <c r="M114" s="258">
        <f t="shared" si="10"/>
        <v>0</v>
      </c>
      <c r="N114" s="248">
        <f>SUMIFS(criblage!$R:$R,criblage!$B:$B,'synthèse 312'!$A114-1,criblage!$C:$C,'synthèse 312'!N$2)</f>
        <v>0</v>
      </c>
      <c r="O114" s="248">
        <f>SUMIFS(criblage!$R:$R,criblage!$B:$B,'synthèse 312'!$A114,criblage!$C:$C,'synthèse 312'!O$2)</f>
        <v>0</v>
      </c>
      <c r="P114" s="248">
        <f>SUMIFS(criblage!$R:$R,criblage!$B:$B,'synthèse 312'!$A114,criblage!$C:$C,'synthèse 312'!P$2)</f>
        <v>0</v>
      </c>
      <c r="Q114" s="248">
        <f t="shared" si="11"/>
        <v>0</v>
      </c>
      <c r="R114" s="249" t="e">
        <f t="shared" si="15"/>
        <v>#DIV/0!</v>
      </c>
      <c r="S114" s="249">
        <f t="shared" si="12"/>
        <v>0</v>
      </c>
      <c r="T114" s="249">
        <f t="shared" si="13"/>
        <v>0</v>
      </c>
      <c r="U114" s="249" t="e">
        <f t="shared" si="14"/>
        <v>#DIV/0!</v>
      </c>
    </row>
    <row r="115" spans="1:21" x14ac:dyDescent="0.25">
      <c r="A115" s="244">
        <v>45038</v>
      </c>
      <c r="B115" s="252">
        <f>SUMIFS(criblage!$P:$P,criblage!$B:$B,'synthèse 312'!A115-1,criblage!$C:$C,'synthèse 312'!B$2)</f>
        <v>0</v>
      </c>
      <c r="C115" s="252">
        <f>SUMIFS(criblage!$P:$P,criblage!$B:$B,'synthèse 312'!$A115,criblage!$C:$C,'synthèse 312'!C$2)</f>
        <v>0</v>
      </c>
      <c r="D115" s="252">
        <f>SUMIFS(criblage!$P:$P,criblage!$B:$B,'synthèse 312'!$A115,criblage!$C:$C,'synthèse 312'!D$2)</f>
        <v>0</v>
      </c>
      <c r="E115" s="252">
        <f t="shared" si="8"/>
        <v>0</v>
      </c>
      <c r="F115" s="254">
        <f>SUMIFS(criblage!$O:$O,criblage!$B:$B,'synthèse 312'!$A115-1,criblage!$C:$C,'synthèse 312'!F$2)</f>
        <v>0</v>
      </c>
      <c r="G115" s="254">
        <f>SUMIFS(criblage!$O:$O,criblage!$B:$B,'synthèse 312'!$A115,criblage!$C:$C,'synthèse 312'!G$2)</f>
        <v>0</v>
      </c>
      <c r="H115" s="254">
        <f>SUMIFS(criblage!$O:$O,criblage!$B:$B,'synthèse 312'!$A115,criblage!$C:$C,'synthèse 312'!H$2)</f>
        <v>0</v>
      </c>
      <c r="I115" s="254">
        <f t="shared" si="9"/>
        <v>0</v>
      </c>
      <c r="J115" s="258">
        <f>8-SUMIFS('les arrets'!G:G,'les arrets'!B:B,'synthèse 312'!$A115-1,'les arrets'!C:C,'synthèse 312'!J$2)</f>
        <v>0</v>
      </c>
      <c r="K115" s="258">
        <f>8-SUMIFS('les arrets'!G:G,'les arrets'!B:B,'synthèse 312'!$A115,'les arrets'!C:C,'synthèse 312'!K$2)</f>
        <v>0</v>
      </c>
      <c r="L115" s="258">
        <f>8-SUMIFS('les arrets'!G:G,'les arrets'!B:B,'synthèse 312'!A115,'les arrets'!C:C,'synthèse 312'!L$2)</f>
        <v>0</v>
      </c>
      <c r="M115" s="258">
        <f t="shared" si="10"/>
        <v>0</v>
      </c>
      <c r="N115" s="248">
        <f>SUMIFS(criblage!$R:$R,criblage!$B:$B,'synthèse 312'!$A115-1,criblage!$C:$C,'synthèse 312'!N$2)</f>
        <v>0</v>
      </c>
      <c r="O115" s="248">
        <f>SUMIFS(criblage!$R:$R,criblage!$B:$B,'synthèse 312'!$A115,criblage!$C:$C,'synthèse 312'!O$2)</f>
        <v>0</v>
      </c>
      <c r="P115" s="248">
        <f>SUMIFS(criblage!$R:$R,criblage!$B:$B,'synthèse 312'!$A115,criblage!$C:$C,'synthèse 312'!P$2)</f>
        <v>0</v>
      </c>
      <c r="Q115" s="248">
        <f t="shared" si="11"/>
        <v>0</v>
      </c>
      <c r="R115" s="249" t="e">
        <f t="shared" si="15"/>
        <v>#DIV/0!</v>
      </c>
      <c r="S115" s="249">
        <f t="shared" si="12"/>
        <v>0</v>
      </c>
      <c r="T115" s="249">
        <f t="shared" si="13"/>
        <v>0</v>
      </c>
      <c r="U115" s="249" t="e">
        <f t="shared" si="14"/>
        <v>#DIV/0!</v>
      </c>
    </row>
    <row r="116" spans="1:21" x14ac:dyDescent="0.25">
      <c r="A116" s="244">
        <v>45039</v>
      </c>
      <c r="B116" s="252">
        <f>SUMIFS(criblage!$P:$P,criblage!$B:$B,'synthèse 312'!A116-1,criblage!$C:$C,'synthèse 312'!B$2)</f>
        <v>0</v>
      </c>
      <c r="C116" s="252">
        <f>SUMIFS(criblage!$P:$P,criblage!$B:$B,'synthèse 312'!$A116,criblage!$C:$C,'synthèse 312'!C$2)</f>
        <v>0</v>
      </c>
      <c r="D116" s="252">
        <f>SUMIFS(criblage!$P:$P,criblage!$B:$B,'synthèse 312'!$A116,criblage!$C:$C,'synthèse 312'!D$2)</f>
        <v>0</v>
      </c>
      <c r="E116" s="252">
        <f t="shared" si="8"/>
        <v>0</v>
      </c>
      <c r="F116" s="254">
        <f>SUMIFS(criblage!$O:$O,criblage!$B:$B,'synthèse 312'!$A116-1,criblage!$C:$C,'synthèse 312'!F$2)</f>
        <v>0</v>
      </c>
      <c r="G116" s="254">
        <f>SUMIFS(criblage!$O:$O,criblage!$B:$B,'synthèse 312'!$A116,criblage!$C:$C,'synthèse 312'!G$2)</f>
        <v>0</v>
      </c>
      <c r="H116" s="254">
        <f>SUMIFS(criblage!$O:$O,criblage!$B:$B,'synthèse 312'!$A116,criblage!$C:$C,'synthèse 312'!H$2)</f>
        <v>0</v>
      </c>
      <c r="I116" s="254">
        <f t="shared" si="9"/>
        <v>0</v>
      </c>
      <c r="J116" s="258">
        <f>8-SUMIFS('les arrets'!G:G,'les arrets'!B:B,'synthèse 312'!$A116-1,'les arrets'!C:C,'synthèse 312'!J$2)</f>
        <v>0</v>
      </c>
      <c r="K116" s="258">
        <f>8-SUMIFS('les arrets'!G:G,'les arrets'!B:B,'synthèse 312'!$A116,'les arrets'!C:C,'synthèse 312'!K$2)</f>
        <v>0</v>
      </c>
      <c r="L116" s="258">
        <f>8-SUMIFS('les arrets'!G:G,'les arrets'!B:B,'synthèse 312'!A116,'les arrets'!C:C,'synthèse 312'!L$2)</f>
        <v>0</v>
      </c>
      <c r="M116" s="258">
        <f t="shared" si="10"/>
        <v>0</v>
      </c>
      <c r="N116" s="248">
        <f>SUMIFS(criblage!$R:$R,criblage!$B:$B,'synthèse 312'!$A116-1,criblage!$C:$C,'synthèse 312'!N$2)</f>
        <v>0</v>
      </c>
      <c r="O116" s="248">
        <f>SUMIFS(criblage!$R:$R,criblage!$B:$B,'synthèse 312'!$A116,criblage!$C:$C,'synthèse 312'!O$2)</f>
        <v>0</v>
      </c>
      <c r="P116" s="248">
        <f>SUMIFS(criblage!$R:$R,criblage!$B:$B,'synthèse 312'!$A116,criblage!$C:$C,'synthèse 312'!P$2)</f>
        <v>0</v>
      </c>
      <c r="Q116" s="248">
        <f t="shared" si="11"/>
        <v>0</v>
      </c>
      <c r="R116" s="249" t="e">
        <f t="shared" si="15"/>
        <v>#DIV/0!</v>
      </c>
      <c r="S116" s="249">
        <f t="shared" si="12"/>
        <v>0</v>
      </c>
      <c r="T116" s="249">
        <f t="shared" si="13"/>
        <v>0</v>
      </c>
      <c r="U116" s="249" t="e">
        <f t="shared" si="14"/>
        <v>#DIV/0!</v>
      </c>
    </row>
    <row r="117" spans="1:21" x14ac:dyDescent="0.25">
      <c r="A117" s="244">
        <v>45040</v>
      </c>
      <c r="B117" s="252">
        <f>SUMIFS(criblage!$P:$P,criblage!$B:$B,'synthèse 312'!A117-1,criblage!$C:$C,'synthèse 312'!B$2)</f>
        <v>0</v>
      </c>
      <c r="C117" s="252">
        <f>SUMIFS(criblage!$P:$P,criblage!$B:$B,'synthèse 312'!$A117,criblage!$C:$C,'synthèse 312'!C$2)</f>
        <v>0</v>
      </c>
      <c r="D117" s="252">
        <f>SUMIFS(criblage!$P:$P,criblage!$B:$B,'synthèse 312'!$A117,criblage!$C:$C,'synthèse 312'!D$2)</f>
        <v>0</v>
      </c>
      <c r="E117" s="252">
        <f t="shared" si="8"/>
        <v>0</v>
      </c>
      <c r="F117" s="254">
        <f>SUMIFS(criblage!$O:$O,criblage!$B:$B,'synthèse 312'!$A117-1,criblage!$C:$C,'synthèse 312'!F$2)</f>
        <v>0</v>
      </c>
      <c r="G117" s="254">
        <f>SUMIFS(criblage!$O:$O,criblage!$B:$B,'synthèse 312'!$A117,criblage!$C:$C,'synthèse 312'!G$2)</f>
        <v>0</v>
      </c>
      <c r="H117" s="254">
        <f>SUMIFS(criblage!$O:$O,criblage!$B:$B,'synthèse 312'!$A117,criblage!$C:$C,'synthèse 312'!H$2)</f>
        <v>0</v>
      </c>
      <c r="I117" s="254">
        <f t="shared" si="9"/>
        <v>0</v>
      </c>
      <c r="J117" s="258">
        <f>8-SUMIFS('les arrets'!G:G,'les arrets'!B:B,'synthèse 312'!$A117-1,'les arrets'!C:C,'synthèse 312'!J$2)</f>
        <v>0</v>
      </c>
      <c r="K117" s="258">
        <f>8-SUMIFS('les arrets'!G:G,'les arrets'!B:B,'synthèse 312'!$A117,'les arrets'!C:C,'synthèse 312'!K$2)</f>
        <v>0</v>
      </c>
      <c r="L117" s="258">
        <f>8-SUMIFS('les arrets'!G:G,'les arrets'!B:B,'synthèse 312'!A117,'les arrets'!C:C,'synthèse 312'!L$2)</f>
        <v>0</v>
      </c>
      <c r="M117" s="258">
        <f t="shared" si="10"/>
        <v>0</v>
      </c>
      <c r="N117" s="248">
        <f>SUMIFS(criblage!$R:$R,criblage!$B:$B,'synthèse 312'!$A117-1,criblage!$C:$C,'synthèse 312'!N$2)</f>
        <v>0</v>
      </c>
      <c r="O117" s="248">
        <f>SUMIFS(criblage!$R:$R,criblage!$B:$B,'synthèse 312'!$A117,criblage!$C:$C,'synthèse 312'!O$2)</f>
        <v>0</v>
      </c>
      <c r="P117" s="248">
        <f>SUMIFS(criblage!$R:$R,criblage!$B:$B,'synthèse 312'!$A117,criblage!$C:$C,'synthèse 312'!P$2)</f>
        <v>0</v>
      </c>
      <c r="Q117" s="248">
        <f t="shared" si="11"/>
        <v>0</v>
      </c>
      <c r="R117" s="249" t="e">
        <f t="shared" si="15"/>
        <v>#DIV/0!</v>
      </c>
      <c r="S117" s="249">
        <f t="shared" si="12"/>
        <v>0</v>
      </c>
      <c r="T117" s="249">
        <f t="shared" si="13"/>
        <v>0</v>
      </c>
      <c r="U117" s="249" t="e">
        <f t="shared" si="14"/>
        <v>#DIV/0!</v>
      </c>
    </row>
    <row r="118" spans="1:21" x14ac:dyDescent="0.25">
      <c r="A118" s="244">
        <v>45041</v>
      </c>
      <c r="B118" s="252">
        <f>SUMIFS(criblage!$P:$P,criblage!$B:$B,'synthèse 312'!A118-1,criblage!$C:$C,'synthèse 312'!B$2)</f>
        <v>0</v>
      </c>
      <c r="C118" s="252">
        <f>SUMIFS(criblage!$P:$P,criblage!$B:$B,'synthèse 312'!$A118,criblage!$C:$C,'synthèse 312'!C$2)</f>
        <v>0</v>
      </c>
      <c r="D118" s="252">
        <f>SUMIFS(criblage!$P:$P,criblage!$B:$B,'synthèse 312'!$A118,criblage!$C:$C,'synthèse 312'!D$2)</f>
        <v>0</v>
      </c>
      <c r="E118" s="252">
        <f t="shared" si="8"/>
        <v>0</v>
      </c>
      <c r="F118" s="254">
        <f>SUMIFS(criblage!$O:$O,criblage!$B:$B,'synthèse 312'!$A118-1,criblage!$C:$C,'synthèse 312'!F$2)</f>
        <v>0</v>
      </c>
      <c r="G118" s="254">
        <f>SUMIFS(criblage!$O:$O,criblage!$B:$B,'synthèse 312'!$A118,criblage!$C:$C,'synthèse 312'!G$2)</f>
        <v>0</v>
      </c>
      <c r="H118" s="254">
        <f>SUMIFS(criblage!$O:$O,criblage!$B:$B,'synthèse 312'!$A118,criblage!$C:$C,'synthèse 312'!H$2)</f>
        <v>0</v>
      </c>
      <c r="I118" s="254">
        <f t="shared" si="9"/>
        <v>0</v>
      </c>
      <c r="J118" s="258">
        <f>8-SUMIFS('les arrets'!G:G,'les arrets'!B:B,'synthèse 312'!$A118-1,'les arrets'!C:C,'synthèse 312'!J$2)</f>
        <v>0</v>
      </c>
      <c r="K118" s="258">
        <f>8-SUMIFS('les arrets'!G:G,'les arrets'!B:B,'synthèse 312'!$A118,'les arrets'!C:C,'synthèse 312'!K$2)</f>
        <v>0</v>
      </c>
      <c r="L118" s="258">
        <f>8-SUMIFS('les arrets'!G:G,'les arrets'!B:B,'synthèse 312'!A118,'les arrets'!C:C,'synthèse 312'!L$2)</f>
        <v>0</v>
      </c>
      <c r="M118" s="258">
        <f t="shared" si="10"/>
        <v>0</v>
      </c>
      <c r="N118" s="248">
        <f>SUMIFS(criblage!$R:$R,criblage!$B:$B,'synthèse 312'!$A118-1,criblage!$C:$C,'synthèse 312'!N$2)</f>
        <v>0</v>
      </c>
      <c r="O118" s="248">
        <f>SUMIFS(criblage!$R:$R,criblage!$B:$B,'synthèse 312'!$A118,criblage!$C:$C,'synthèse 312'!O$2)</f>
        <v>0</v>
      </c>
      <c r="P118" s="248">
        <f>SUMIFS(criblage!$R:$R,criblage!$B:$B,'synthèse 312'!$A118,criblage!$C:$C,'synthèse 312'!P$2)</f>
        <v>0</v>
      </c>
      <c r="Q118" s="248">
        <f t="shared" si="11"/>
        <v>0</v>
      </c>
      <c r="R118" s="249" t="e">
        <f t="shared" si="15"/>
        <v>#DIV/0!</v>
      </c>
      <c r="S118" s="249">
        <f t="shared" si="12"/>
        <v>0</v>
      </c>
      <c r="T118" s="249">
        <f t="shared" si="13"/>
        <v>0</v>
      </c>
      <c r="U118" s="249" t="e">
        <f t="shared" si="14"/>
        <v>#DIV/0!</v>
      </c>
    </row>
    <row r="119" spans="1:21" x14ac:dyDescent="0.25">
      <c r="A119" s="244">
        <v>45042</v>
      </c>
      <c r="B119" s="252">
        <f>SUMIFS(criblage!$P:$P,criblage!$B:$B,'synthèse 312'!A119-1,criblage!$C:$C,'synthèse 312'!B$2)</f>
        <v>0</v>
      </c>
      <c r="C119" s="252">
        <f>SUMIFS(criblage!$P:$P,criblage!$B:$B,'synthèse 312'!$A119,criblage!$C:$C,'synthèse 312'!C$2)</f>
        <v>0</v>
      </c>
      <c r="D119" s="252">
        <f>SUMIFS(criblage!$P:$P,criblage!$B:$B,'synthèse 312'!$A119,criblage!$C:$C,'synthèse 312'!D$2)</f>
        <v>0</v>
      </c>
      <c r="E119" s="252">
        <f t="shared" si="8"/>
        <v>0</v>
      </c>
      <c r="F119" s="254">
        <f>SUMIFS(criblage!$O:$O,criblage!$B:$B,'synthèse 312'!$A119-1,criblage!$C:$C,'synthèse 312'!F$2)</f>
        <v>0</v>
      </c>
      <c r="G119" s="254">
        <f>SUMIFS(criblage!$O:$O,criblage!$B:$B,'synthèse 312'!$A119,criblage!$C:$C,'synthèse 312'!G$2)</f>
        <v>3315</v>
      </c>
      <c r="H119" s="254">
        <f>SUMIFS(criblage!$O:$O,criblage!$B:$B,'synthèse 312'!$A119,criblage!$C:$C,'synthèse 312'!H$2)</f>
        <v>4767</v>
      </c>
      <c r="I119" s="254">
        <f t="shared" si="9"/>
        <v>8082</v>
      </c>
      <c r="J119" s="258">
        <f>8-SUMIFS('les arrets'!G:G,'les arrets'!B:B,'synthèse 312'!$A119-1,'les arrets'!C:C,'synthèse 312'!J$2)</f>
        <v>0</v>
      </c>
      <c r="K119" s="258">
        <f>8-SUMIFS('les arrets'!G:G,'les arrets'!B:B,'synthèse 312'!$A119,'les arrets'!C:C,'synthèse 312'!K$2)</f>
        <v>5.5</v>
      </c>
      <c r="L119" s="258">
        <f>8-SUMIFS('les arrets'!G:G,'les arrets'!B:B,'synthèse 312'!A119,'les arrets'!C:C,'synthèse 312'!L$2)</f>
        <v>6.75</v>
      </c>
      <c r="M119" s="258">
        <f t="shared" si="10"/>
        <v>12.25</v>
      </c>
      <c r="N119" s="248">
        <f>SUMIFS(criblage!$R:$R,criblage!$B:$B,'synthèse 312'!$A119-1,criblage!$C:$C,'synthèse 312'!N$2)</f>
        <v>0</v>
      </c>
      <c r="O119" s="248">
        <f>SUMIFS(criblage!$R:$R,criblage!$B:$B,'synthèse 312'!$A119,criblage!$C:$C,'synthèse 312'!O$2)</f>
        <v>5.26</v>
      </c>
      <c r="P119" s="248">
        <f>SUMIFS(criblage!$R:$R,criblage!$B:$B,'synthèse 312'!$A119,criblage!$C:$C,'synthèse 312'!P$2)</f>
        <v>6.86</v>
      </c>
      <c r="Q119" s="248">
        <f t="shared" si="11"/>
        <v>12.120000000000001</v>
      </c>
      <c r="R119" s="249" t="e">
        <f t="shared" si="15"/>
        <v>#DIV/0!</v>
      </c>
      <c r="S119" s="249">
        <f t="shared" si="12"/>
        <v>602.72727272727275</v>
      </c>
      <c r="T119" s="249">
        <f t="shared" si="13"/>
        <v>706.22222222222217</v>
      </c>
      <c r="U119" s="249" t="e">
        <f t="shared" si="14"/>
        <v>#DIV/0!</v>
      </c>
    </row>
    <row r="120" spans="1:21" x14ac:dyDescent="0.25">
      <c r="A120" s="244">
        <v>45043</v>
      </c>
      <c r="B120" s="252">
        <f>SUMIFS(criblage!$P:$P,criblage!$B:$B,'synthèse 312'!A120-1,criblage!$C:$C,'synthèse 312'!B$2)</f>
        <v>0</v>
      </c>
      <c r="C120" s="252">
        <f>SUMIFS(criblage!$P:$P,criblage!$B:$B,'synthèse 312'!$A120,criblage!$C:$C,'synthèse 312'!C$2)</f>
        <v>0</v>
      </c>
      <c r="D120" s="252">
        <f>SUMIFS(criblage!$P:$P,criblage!$B:$B,'synthèse 312'!$A120,criblage!$C:$C,'synthèse 312'!D$2)</f>
        <v>0</v>
      </c>
      <c r="E120" s="252">
        <f t="shared" si="8"/>
        <v>0</v>
      </c>
      <c r="F120" s="254">
        <f>SUMIFS(criblage!$O:$O,criblage!$B:$B,'synthèse 312'!$A120-1,criblage!$C:$C,'synthèse 312'!F$2)</f>
        <v>4617</v>
      </c>
      <c r="G120" s="254">
        <f>SUMIFS(criblage!$O:$O,criblage!$B:$B,'synthèse 312'!$A120,criblage!$C:$C,'synthèse 312'!G$2)</f>
        <v>2746</v>
      </c>
      <c r="H120" s="254">
        <f>SUMIFS(criblage!$O:$O,criblage!$B:$B,'synthèse 312'!$A120,criblage!$C:$C,'synthèse 312'!H$2)</f>
        <v>3532</v>
      </c>
      <c r="I120" s="254">
        <f t="shared" si="9"/>
        <v>10895</v>
      </c>
      <c r="J120" s="258">
        <f>8-SUMIFS('les arrets'!G:G,'les arrets'!B:B,'synthèse 312'!$A120-1,'les arrets'!C:C,'synthèse 312'!J$2)</f>
        <v>6.6166666666666671</v>
      </c>
      <c r="K120" s="258">
        <f>8-SUMIFS('les arrets'!G:G,'les arrets'!B:B,'synthèse 312'!$A120,'les arrets'!C:C,'synthèse 312'!K$2)</f>
        <v>3.8333333333333339</v>
      </c>
      <c r="L120" s="258">
        <f>8-SUMIFS('les arrets'!G:G,'les arrets'!B:B,'synthèse 312'!A120,'les arrets'!C:C,'synthèse 312'!L$2)</f>
        <v>5.65</v>
      </c>
      <c r="M120" s="258">
        <f t="shared" si="10"/>
        <v>16.100000000000001</v>
      </c>
      <c r="N120" s="248">
        <f>SUMIFS(criblage!$R:$R,criblage!$B:$B,'synthèse 312'!$A120-1,criblage!$C:$C,'synthèse 312'!N$2)</f>
        <v>7.29</v>
      </c>
      <c r="O120" s="248">
        <f>SUMIFS(criblage!$R:$R,criblage!$B:$B,'synthèse 312'!$A120,criblage!$C:$C,'synthèse 312'!O$2)</f>
        <v>3.6999999999999997</v>
      </c>
      <c r="P120" s="248">
        <f>SUMIFS(criblage!$R:$R,criblage!$B:$B,'synthèse 312'!$A120,criblage!$C:$C,'synthèse 312'!P$2)</f>
        <v>6.13</v>
      </c>
      <c r="Q120" s="248">
        <f t="shared" si="11"/>
        <v>17.12</v>
      </c>
      <c r="R120" s="249">
        <f t="shared" si="15"/>
        <v>697.78337531486136</v>
      </c>
      <c r="S120" s="249">
        <f t="shared" si="12"/>
        <v>716.34782608695639</v>
      </c>
      <c r="T120" s="249">
        <f t="shared" si="13"/>
        <v>625.13274336283177</v>
      </c>
      <c r="U120" s="249">
        <f t="shared" si="14"/>
        <v>679.75464825488314</v>
      </c>
    </row>
    <row r="121" spans="1:21" x14ac:dyDescent="0.25">
      <c r="A121" s="244">
        <v>45044</v>
      </c>
      <c r="B121" s="252">
        <f>SUMIFS(criblage!$P:$P,criblage!$B:$B,'synthèse 312'!A121-1,criblage!$C:$C,'synthèse 312'!B$2)</f>
        <v>0</v>
      </c>
      <c r="C121" s="252">
        <f>SUMIFS(criblage!$P:$P,criblage!$B:$B,'synthèse 312'!$A121,criblage!$C:$C,'synthèse 312'!C$2)</f>
        <v>0</v>
      </c>
      <c r="D121" s="252">
        <f>SUMIFS(criblage!$P:$P,criblage!$B:$B,'synthèse 312'!$A121,criblage!$C:$C,'synthèse 312'!D$2)</f>
        <v>0</v>
      </c>
      <c r="E121" s="252">
        <f t="shared" si="8"/>
        <v>0</v>
      </c>
      <c r="F121" s="254">
        <f>SUMIFS(criblage!$O:$O,criblage!$B:$B,'synthèse 312'!$A121-1,criblage!$C:$C,'synthèse 312'!F$2)</f>
        <v>0</v>
      </c>
      <c r="G121" s="254">
        <f>SUMIFS(criblage!$O:$O,criblage!$B:$B,'synthèse 312'!$A121,criblage!$C:$C,'synthèse 312'!G$2)</f>
        <v>0</v>
      </c>
      <c r="H121" s="254">
        <f>SUMIFS(criblage!$O:$O,criblage!$B:$B,'synthèse 312'!$A121,criblage!$C:$C,'synthèse 312'!H$2)</f>
        <v>0</v>
      </c>
      <c r="I121" s="254">
        <f t="shared" si="9"/>
        <v>0</v>
      </c>
      <c r="J121" s="258">
        <f>8-SUMIFS('les arrets'!G:G,'les arrets'!B:B,'synthèse 312'!$A121-1,'les arrets'!C:C,'synthèse 312'!J$2)</f>
        <v>0</v>
      </c>
      <c r="K121" s="258">
        <f>8-SUMIFS('les arrets'!G:G,'les arrets'!B:B,'synthèse 312'!$A121,'les arrets'!C:C,'synthèse 312'!K$2)</f>
        <v>0</v>
      </c>
      <c r="L121" s="258">
        <f>8-SUMIFS('les arrets'!G:G,'les arrets'!B:B,'synthèse 312'!A121,'les arrets'!C:C,'synthèse 312'!L$2)</f>
        <v>0</v>
      </c>
      <c r="M121" s="258">
        <f t="shared" si="10"/>
        <v>0</v>
      </c>
      <c r="N121" s="248">
        <f>SUMIFS(criblage!$R:$R,criblage!$B:$B,'synthèse 312'!$A121-1,criblage!$C:$C,'synthèse 312'!N$2)</f>
        <v>0</v>
      </c>
      <c r="O121" s="248">
        <f>SUMIFS(criblage!$R:$R,criblage!$B:$B,'synthèse 312'!$A121,criblage!$C:$C,'synthèse 312'!O$2)</f>
        <v>0</v>
      </c>
      <c r="P121" s="248">
        <f>SUMIFS(criblage!$R:$R,criblage!$B:$B,'synthèse 312'!$A121,criblage!$C:$C,'synthèse 312'!P$2)</f>
        <v>0</v>
      </c>
      <c r="Q121" s="248">
        <f t="shared" si="11"/>
        <v>0</v>
      </c>
      <c r="R121" s="249" t="e">
        <f t="shared" si="15"/>
        <v>#DIV/0!</v>
      </c>
      <c r="S121" s="249">
        <f t="shared" si="12"/>
        <v>0</v>
      </c>
      <c r="T121" s="249">
        <f t="shared" si="13"/>
        <v>0</v>
      </c>
      <c r="U121" s="249" t="e">
        <f t="shared" si="14"/>
        <v>#DIV/0!</v>
      </c>
    </row>
    <row r="122" spans="1:21" x14ac:dyDescent="0.25">
      <c r="A122" s="244">
        <v>45045</v>
      </c>
      <c r="B122" s="252">
        <f>SUMIFS(criblage!$P:$P,criblage!$B:$B,'synthèse 312'!A122-1,criblage!$C:$C,'synthèse 312'!B$2)</f>
        <v>0</v>
      </c>
      <c r="C122" s="252">
        <f>SUMIFS(criblage!$P:$P,criblage!$B:$B,'synthèse 312'!$A122,criblage!$C:$C,'synthèse 312'!C$2)</f>
        <v>0</v>
      </c>
      <c r="D122" s="252">
        <f>SUMIFS(criblage!$P:$P,criblage!$B:$B,'synthèse 312'!$A122,criblage!$C:$C,'synthèse 312'!D$2)</f>
        <v>0</v>
      </c>
      <c r="E122" s="252">
        <f t="shared" si="8"/>
        <v>0</v>
      </c>
      <c r="F122" s="254">
        <f>SUMIFS(criblage!$O:$O,criblage!$B:$B,'synthèse 312'!$A122-1,criblage!$C:$C,'synthèse 312'!F$2)</f>
        <v>0</v>
      </c>
      <c r="G122" s="254">
        <f>SUMIFS(criblage!$O:$O,criblage!$B:$B,'synthèse 312'!$A122,criblage!$C:$C,'synthèse 312'!G$2)</f>
        <v>0</v>
      </c>
      <c r="H122" s="254">
        <f>SUMIFS(criblage!$O:$O,criblage!$B:$B,'synthèse 312'!$A122,criblage!$C:$C,'synthèse 312'!H$2)</f>
        <v>0</v>
      </c>
      <c r="I122" s="254">
        <f t="shared" si="9"/>
        <v>0</v>
      </c>
      <c r="J122" s="258">
        <f>8-SUMIFS('les arrets'!G:G,'les arrets'!B:B,'synthèse 312'!$A122-1,'les arrets'!C:C,'synthèse 312'!J$2)</f>
        <v>0</v>
      </c>
      <c r="K122" s="258">
        <f>8-SUMIFS('les arrets'!G:G,'les arrets'!B:B,'synthèse 312'!$A122,'les arrets'!C:C,'synthèse 312'!K$2)</f>
        <v>0</v>
      </c>
      <c r="L122" s="258">
        <f>8-SUMIFS('les arrets'!G:G,'les arrets'!B:B,'synthèse 312'!A122,'les arrets'!C:C,'synthèse 312'!L$2)</f>
        <v>-8</v>
      </c>
      <c r="M122" s="258">
        <f t="shared" si="10"/>
        <v>-8</v>
      </c>
      <c r="N122" s="248">
        <f>SUMIFS(criblage!$R:$R,criblage!$B:$B,'synthèse 312'!$A122-1,criblage!$C:$C,'synthèse 312'!N$2)</f>
        <v>0</v>
      </c>
      <c r="O122" s="248">
        <f>SUMIFS(criblage!$R:$R,criblage!$B:$B,'synthèse 312'!$A122,criblage!$C:$C,'synthèse 312'!O$2)</f>
        <v>0</v>
      </c>
      <c r="P122" s="248">
        <f>SUMIFS(criblage!$R:$R,criblage!$B:$B,'synthèse 312'!$A122,criblage!$C:$C,'synthèse 312'!P$2)</f>
        <v>0</v>
      </c>
      <c r="Q122" s="248">
        <f t="shared" si="11"/>
        <v>0</v>
      </c>
      <c r="R122" s="249" t="e">
        <f t="shared" si="15"/>
        <v>#DIV/0!</v>
      </c>
      <c r="S122" s="249">
        <f t="shared" si="12"/>
        <v>0</v>
      </c>
      <c r="T122" s="249">
        <f t="shared" si="13"/>
        <v>0</v>
      </c>
      <c r="U122" s="249" t="e">
        <f t="shared" si="14"/>
        <v>#DIV/0!</v>
      </c>
    </row>
    <row r="123" spans="1:21" x14ac:dyDescent="0.25">
      <c r="A123" s="244">
        <v>45046</v>
      </c>
      <c r="B123" s="252">
        <f>SUMIFS(criblage!$P:$P,criblage!$B:$B,'synthèse 312'!A123-1,criblage!$C:$C,'synthèse 312'!B$2)</f>
        <v>0</v>
      </c>
      <c r="C123" s="252">
        <f>SUMIFS(criblage!$P:$P,criblage!$B:$B,'synthèse 312'!$A123,criblage!$C:$C,'synthèse 312'!C$2)</f>
        <v>0</v>
      </c>
      <c r="D123" s="252">
        <f>SUMIFS(criblage!$P:$P,criblage!$B:$B,'synthèse 312'!$A123,criblage!$C:$C,'synthèse 312'!D$2)</f>
        <v>0</v>
      </c>
      <c r="E123" s="252">
        <f t="shared" si="8"/>
        <v>0</v>
      </c>
      <c r="F123" s="254">
        <f>SUMIFS(criblage!$O:$O,criblage!$B:$B,'synthèse 312'!$A123-1,criblage!$C:$C,'synthèse 312'!F$2)</f>
        <v>0</v>
      </c>
      <c r="G123" s="254">
        <f>SUMIFS(criblage!$O:$O,criblage!$B:$B,'synthèse 312'!$A123,criblage!$C:$C,'synthèse 312'!G$2)</f>
        <v>0</v>
      </c>
      <c r="H123" s="254">
        <f>SUMIFS(criblage!$O:$O,criblage!$B:$B,'synthèse 312'!$A123,criblage!$C:$C,'synthèse 312'!H$2)</f>
        <v>0</v>
      </c>
      <c r="I123" s="254">
        <f t="shared" si="9"/>
        <v>0</v>
      </c>
      <c r="J123" s="258">
        <f>8-SUMIFS('les arrets'!G:G,'les arrets'!B:B,'synthèse 312'!$A123-1,'les arrets'!C:C,'synthèse 312'!J$2)</f>
        <v>0</v>
      </c>
      <c r="K123" s="258">
        <f>8-SUMIFS('les arrets'!G:G,'les arrets'!B:B,'synthèse 312'!$A123,'les arrets'!C:C,'synthèse 312'!K$2)</f>
        <v>0</v>
      </c>
      <c r="L123" s="258">
        <f>8-SUMIFS('les arrets'!G:G,'les arrets'!B:B,'synthèse 312'!A123,'les arrets'!C:C,'synthèse 312'!L$2)</f>
        <v>8</v>
      </c>
      <c r="M123" s="258">
        <f t="shared" si="10"/>
        <v>8</v>
      </c>
      <c r="N123" s="248">
        <f>SUMIFS(criblage!$R:$R,criblage!$B:$B,'synthèse 312'!$A123-1,criblage!$C:$C,'synthèse 312'!N$2)</f>
        <v>0</v>
      </c>
      <c r="O123" s="248">
        <f>SUMIFS(criblage!$R:$R,criblage!$B:$B,'synthèse 312'!$A123,criblage!$C:$C,'synthèse 312'!O$2)</f>
        <v>0</v>
      </c>
      <c r="P123" s="248">
        <f>SUMIFS(criblage!$R:$R,criblage!$B:$B,'synthèse 312'!$A123,criblage!$C:$C,'synthèse 312'!P$2)</f>
        <v>0</v>
      </c>
      <c r="Q123" s="248">
        <f t="shared" si="11"/>
        <v>0</v>
      </c>
      <c r="R123" s="249" t="e">
        <f t="shared" si="15"/>
        <v>#DIV/0!</v>
      </c>
      <c r="S123" s="249">
        <f t="shared" si="12"/>
        <v>0</v>
      </c>
      <c r="T123" s="249">
        <f t="shared" si="13"/>
        <v>0</v>
      </c>
      <c r="U123" s="249" t="e">
        <f t="shared" si="14"/>
        <v>#DIV/0!</v>
      </c>
    </row>
    <row r="124" spans="1:21" x14ac:dyDescent="0.25">
      <c r="A124" s="244">
        <v>45047</v>
      </c>
      <c r="B124" s="252">
        <f>SUMIFS(criblage!$P:$P,criblage!$B:$B,'synthèse 312'!A124-1,criblage!$C:$C,'synthèse 312'!B$2)</f>
        <v>0</v>
      </c>
      <c r="C124" s="252">
        <f>SUMIFS(criblage!$P:$P,criblage!$B:$B,'synthèse 312'!$A124,criblage!$C:$C,'synthèse 312'!C$2)</f>
        <v>0</v>
      </c>
      <c r="D124" s="252">
        <f>SUMIFS(criblage!$P:$P,criblage!$B:$B,'synthèse 312'!$A124,criblage!$C:$C,'synthèse 312'!D$2)</f>
        <v>0</v>
      </c>
      <c r="E124" s="252">
        <f t="shared" si="8"/>
        <v>0</v>
      </c>
      <c r="F124" s="254">
        <f>SUMIFS(criblage!$O:$O,criblage!$B:$B,'synthèse 312'!$A124-1,criblage!$C:$C,'synthèse 312'!F$2)</f>
        <v>0</v>
      </c>
      <c r="G124" s="254">
        <f>SUMIFS(criblage!$O:$O,criblage!$B:$B,'synthèse 312'!$A124,criblage!$C:$C,'synthèse 312'!G$2)</f>
        <v>0</v>
      </c>
      <c r="H124" s="254">
        <f>SUMIFS(criblage!$O:$O,criblage!$B:$B,'synthèse 312'!$A124,criblage!$C:$C,'synthèse 312'!H$2)</f>
        <v>0</v>
      </c>
      <c r="I124" s="254">
        <f t="shared" si="9"/>
        <v>0</v>
      </c>
      <c r="J124" s="258">
        <f>8-SUMIFS('les arrets'!G:G,'les arrets'!B:B,'synthèse 312'!$A124-1,'les arrets'!C:C,'synthèse 312'!J$2)</f>
        <v>0</v>
      </c>
      <c r="K124" s="258">
        <f>8-SUMIFS('les arrets'!G:G,'les arrets'!B:B,'synthèse 312'!$A124,'les arrets'!C:C,'synthèse 312'!K$2)</f>
        <v>0</v>
      </c>
      <c r="L124" s="258">
        <f>8-SUMIFS('les arrets'!G:G,'les arrets'!B:B,'synthèse 312'!A124,'les arrets'!C:C,'synthèse 312'!L$2)</f>
        <v>0</v>
      </c>
      <c r="M124" s="258">
        <f t="shared" si="10"/>
        <v>0</v>
      </c>
      <c r="N124" s="248">
        <f>SUMIFS(criblage!$R:$R,criblage!$B:$B,'synthèse 312'!$A124-1,criblage!$C:$C,'synthèse 312'!N$2)</f>
        <v>0</v>
      </c>
      <c r="O124" s="248">
        <f>SUMIFS(criblage!$R:$R,criblage!$B:$B,'synthèse 312'!$A124,criblage!$C:$C,'synthèse 312'!O$2)</f>
        <v>0</v>
      </c>
      <c r="P124" s="248">
        <f>SUMIFS(criblage!$R:$R,criblage!$B:$B,'synthèse 312'!$A124,criblage!$C:$C,'synthèse 312'!P$2)</f>
        <v>0</v>
      </c>
      <c r="Q124" s="248">
        <f t="shared" si="11"/>
        <v>0</v>
      </c>
      <c r="R124" s="249" t="e">
        <f t="shared" si="15"/>
        <v>#DIV/0!</v>
      </c>
      <c r="S124" s="249">
        <f t="shared" si="12"/>
        <v>0</v>
      </c>
      <c r="T124" s="249">
        <f t="shared" si="13"/>
        <v>0</v>
      </c>
      <c r="U124" s="249" t="e">
        <f t="shared" si="14"/>
        <v>#DIV/0!</v>
      </c>
    </row>
    <row r="125" spans="1:21" x14ac:dyDescent="0.25">
      <c r="A125" s="244">
        <v>45048</v>
      </c>
      <c r="B125" s="252">
        <f>SUMIFS(criblage!$P:$P,criblage!$B:$B,'synthèse 312'!A125-1,criblage!$C:$C,'synthèse 312'!B$2)</f>
        <v>0</v>
      </c>
      <c r="C125" s="252">
        <f>SUMIFS(criblage!$P:$P,criblage!$B:$B,'synthèse 312'!$A125,criblage!$C:$C,'synthèse 312'!C$2)</f>
        <v>0</v>
      </c>
      <c r="D125" s="252">
        <f>SUMIFS(criblage!$P:$P,criblage!$B:$B,'synthèse 312'!$A125,criblage!$C:$C,'synthèse 312'!D$2)</f>
        <v>0</v>
      </c>
      <c r="E125" s="252">
        <f t="shared" si="8"/>
        <v>0</v>
      </c>
      <c r="F125" s="254">
        <f>SUMIFS(criblage!$O:$O,criblage!$B:$B,'synthèse 312'!$A125-1,criblage!$C:$C,'synthèse 312'!F$2)</f>
        <v>0</v>
      </c>
      <c r="G125" s="254">
        <f>SUMIFS(criblage!$O:$O,criblage!$B:$B,'synthèse 312'!$A125,criblage!$C:$C,'synthèse 312'!G$2)</f>
        <v>4125</v>
      </c>
      <c r="H125" s="254">
        <f>SUMIFS(criblage!$O:$O,criblage!$B:$B,'synthèse 312'!$A125,criblage!$C:$C,'synthèse 312'!H$2)</f>
        <v>5628</v>
      </c>
      <c r="I125" s="254">
        <f t="shared" si="9"/>
        <v>9753</v>
      </c>
      <c r="J125" s="258">
        <f>8-SUMIFS('les arrets'!G:G,'les arrets'!B:B,'synthèse 312'!$A125-1,'les arrets'!C:C,'synthèse 312'!J$2)</f>
        <v>0</v>
      </c>
      <c r="K125" s="258">
        <f>8-SUMIFS('les arrets'!G:G,'les arrets'!B:B,'synthèse 312'!$A125,'les arrets'!C:C,'synthèse 312'!K$2)</f>
        <v>5.5166666666666675</v>
      </c>
      <c r="L125" s="258">
        <f>8-SUMIFS('les arrets'!G:G,'les arrets'!B:B,'synthèse 312'!A125,'les arrets'!C:C,'synthèse 312'!L$2)</f>
        <v>6.95</v>
      </c>
      <c r="M125" s="258">
        <f t="shared" si="10"/>
        <v>12.466666666666669</v>
      </c>
      <c r="N125" s="248">
        <f>SUMIFS(criblage!$R:$R,criblage!$B:$B,'synthèse 312'!$A125-1,criblage!$C:$C,'synthèse 312'!N$2)</f>
        <v>0</v>
      </c>
      <c r="O125" s="248">
        <f>SUMIFS(criblage!$R:$R,criblage!$B:$B,'synthèse 312'!$A125,criblage!$C:$C,'synthèse 312'!O$2)</f>
        <v>5.54</v>
      </c>
      <c r="P125" s="248">
        <f>SUMIFS(criblage!$R:$R,criblage!$B:$B,'synthèse 312'!$A125,criblage!$C:$C,'synthèse 312'!P$2)</f>
        <v>6.88</v>
      </c>
      <c r="Q125" s="248">
        <f t="shared" si="11"/>
        <v>12.42</v>
      </c>
      <c r="R125" s="249" t="e">
        <f t="shared" si="15"/>
        <v>#DIV/0!</v>
      </c>
      <c r="S125" s="249">
        <f t="shared" si="12"/>
        <v>747.73413897280955</v>
      </c>
      <c r="T125" s="249">
        <f t="shared" si="13"/>
        <v>809.78417266187046</v>
      </c>
      <c r="U125" s="249" t="e">
        <f t="shared" si="14"/>
        <v>#DIV/0!</v>
      </c>
    </row>
    <row r="126" spans="1:21" x14ac:dyDescent="0.25">
      <c r="A126" s="244">
        <v>45049</v>
      </c>
      <c r="B126" s="252">
        <f>SUMIFS(criblage!$P:$P,criblage!$B:$B,'synthèse 312'!A126-1,criblage!$C:$C,'synthèse 312'!B$2)</f>
        <v>0</v>
      </c>
      <c r="C126" s="252">
        <f>SUMIFS(criblage!$P:$P,criblage!$B:$B,'synthèse 312'!$A126,criblage!$C:$C,'synthèse 312'!C$2)</f>
        <v>0</v>
      </c>
      <c r="D126" s="252">
        <f>SUMIFS(criblage!$P:$P,criblage!$B:$B,'synthèse 312'!$A126,criblage!$C:$C,'synthèse 312'!D$2)</f>
        <v>0</v>
      </c>
      <c r="E126" s="252">
        <f t="shared" si="8"/>
        <v>0</v>
      </c>
      <c r="F126" s="254">
        <f>SUMIFS(criblage!$O:$O,criblage!$B:$B,'synthèse 312'!$A126-1,criblage!$C:$C,'synthèse 312'!F$2)</f>
        <v>4583</v>
      </c>
      <c r="G126" s="254">
        <f>SUMIFS(criblage!$O:$O,criblage!$B:$B,'synthèse 312'!$A126,criblage!$C:$C,'synthèse 312'!G$2)</f>
        <v>4438</v>
      </c>
      <c r="H126" s="254">
        <f>SUMIFS(criblage!$O:$O,criblage!$B:$B,'synthèse 312'!$A126,criblage!$C:$C,'synthèse 312'!H$2)</f>
        <v>0</v>
      </c>
      <c r="I126" s="254">
        <f t="shared" si="9"/>
        <v>9021</v>
      </c>
      <c r="J126" s="258">
        <f>8-SUMIFS('les arrets'!G:G,'les arrets'!B:B,'synthèse 312'!$A126-1,'les arrets'!C:C,'synthèse 312'!J$2)</f>
        <v>5.6833333333333336</v>
      </c>
      <c r="K126" s="258">
        <f>8-SUMIFS('les arrets'!G:G,'les arrets'!B:B,'synthèse 312'!$A126,'les arrets'!C:C,'synthèse 312'!K$2)</f>
        <v>6.083333333333333</v>
      </c>
      <c r="L126" s="258">
        <f>8-SUMIFS('les arrets'!G:G,'les arrets'!B:B,'synthèse 312'!A126,'les arrets'!C:C,'synthèse 312'!L$2)</f>
        <v>0</v>
      </c>
      <c r="M126" s="258">
        <f t="shared" si="10"/>
        <v>11.766666666666666</v>
      </c>
      <c r="N126" s="248">
        <f>SUMIFS(criblage!$R:$R,criblage!$B:$B,'synthèse 312'!$A126-1,criblage!$C:$C,'synthèse 312'!N$2)</f>
        <v>5.7899999999999991</v>
      </c>
      <c r="O126" s="248">
        <f>SUMIFS(criblage!$R:$R,criblage!$B:$B,'synthèse 312'!$A126,criblage!$C:$C,'synthèse 312'!O$2)</f>
        <v>5.93</v>
      </c>
      <c r="P126" s="248">
        <f>SUMIFS(criblage!$R:$R,criblage!$B:$B,'synthèse 312'!$A126,criblage!$C:$C,'synthèse 312'!P$2)</f>
        <v>0</v>
      </c>
      <c r="Q126" s="248">
        <f t="shared" si="11"/>
        <v>11.719999999999999</v>
      </c>
      <c r="R126" s="249">
        <f t="shared" si="15"/>
        <v>806.39296187683283</v>
      </c>
      <c r="S126" s="249">
        <f t="shared" si="12"/>
        <v>729.53424657534254</v>
      </c>
      <c r="T126" s="249">
        <f t="shared" si="13"/>
        <v>0</v>
      </c>
      <c r="U126" s="249">
        <f t="shared" si="14"/>
        <v>511.97573615072514</v>
      </c>
    </row>
    <row r="127" spans="1:21" x14ac:dyDescent="0.25">
      <c r="A127" s="244">
        <v>45050</v>
      </c>
      <c r="B127" s="252">
        <f>SUMIFS(criblage!$P:$P,criblage!$B:$B,'synthèse 312'!A127-1,criblage!$C:$C,'synthèse 312'!B$2)</f>
        <v>0</v>
      </c>
      <c r="C127" s="252">
        <f>SUMIFS(criblage!$P:$P,criblage!$B:$B,'synthèse 312'!$A127,criblage!$C:$C,'synthèse 312'!C$2)</f>
        <v>0</v>
      </c>
      <c r="D127" s="252">
        <f>SUMIFS(criblage!$P:$P,criblage!$B:$B,'synthèse 312'!$A127,criblage!$C:$C,'synthèse 312'!D$2)</f>
        <v>0</v>
      </c>
      <c r="E127" s="252">
        <f t="shared" si="8"/>
        <v>0</v>
      </c>
      <c r="F127" s="254">
        <f>SUMIFS(criblage!$O:$O,criblage!$B:$B,'synthèse 312'!$A127-1,criblage!$C:$C,'synthèse 312'!F$2)</f>
        <v>0</v>
      </c>
      <c r="G127" s="254">
        <f>SUMIFS(criblage!$O:$O,criblage!$B:$B,'synthèse 312'!$A127,criblage!$C:$C,'synthèse 312'!G$2)</f>
        <v>0</v>
      </c>
      <c r="H127" s="254">
        <f>SUMIFS(criblage!$O:$O,criblage!$B:$B,'synthèse 312'!$A127,criblage!$C:$C,'synthèse 312'!H$2)</f>
        <v>0</v>
      </c>
      <c r="I127" s="254">
        <f t="shared" si="9"/>
        <v>0</v>
      </c>
      <c r="J127" s="258">
        <f>8-SUMIFS('les arrets'!G:G,'les arrets'!B:B,'synthèse 312'!$A127-1,'les arrets'!C:C,'synthèse 312'!J$2)</f>
        <v>0</v>
      </c>
      <c r="K127" s="258">
        <f>8-SUMIFS('les arrets'!G:G,'les arrets'!B:B,'synthèse 312'!$A127,'les arrets'!C:C,'synthèse 312'!K$2)</f>
        <v>0</v>
      </c>
      <c r="L127" s="258">
        <f>8-SUMIFS('les arrets'!G:G,'les arrets'!B:B,'synthèse 312'!A127,'les arrets'!C:C,'synthèse 312'!L$2)</f>
        <v>0</v>
      </c>
      <c r="M127" s="258">
        <f t="shared" si="10"/>
        <v>0</v>
      </c>
      <c r="N127" s="248">
        <f>SUMIFS(criblage!$R:$R,criblage!$B:$B,'synthèse 312'!$A127-1,criblage!$C:$C,'synthèse 312'!N$2)</f>
        <v>0</v>
      </c>
      <c r="O127" s="248">
        <f>SUMIFS(criblage!$R:$R,criblage!$B:$B,'synthèse 312'!$A127,criblage!$C:$C,'synthèse 312'!O$2)</f>
        <v>0</v>
      </c>
      <c r="P127" s="248">
        <f>SUMIFS(criblage!$R:$R,criblage!$B:$B,'synthèse 312'!$A127,criblage!$C:$C,'synthèse 312'!P$2)</f>
        <v>0</v>
      </c>
      <c r="Q127" s="248">
        <f t="shared" si="11"/>
        <v>0</v>
      </c>
      <c r="R127" s="249" t="e">
        <f t="shared" si="15"/>
        <v>#DIV/0!</v>
      </c>
      <c r="S127" s="249">
        <f t="shared" si="12"/>
        <v>0</v>
      </c>
      <c r="T127" s="249">
        <f t="shared" si="13"/>
        <v>0</v>
      </c>
      <c r="U127" s="249" t="e">
        <f t="shared" si="14"/>
        <v>#DIV/0!</v>
      </c>
    </row>
    <row r="128" spans="1:21" x14ac:dyDescent="0.25">
      <c r="A128" s="244">
        <v>45051</v>
      </c>
      <c r="B128" s="252">
        <f>SUMIFS(criblage!$P:$P,criblage!$B:$B,'synthèse 312'!A128-1,criblage!$C:$C,'synthèse 312'!B$2)</f>
        <v>0</v>
      </c>
      <c r="C128" s="252">
        <f>SUMIFS(criblage!$P:$P,criblage!$B:$B,'synthèse 312'!$A128,criblage!$C:$C,'synthèse 312'!C$2)</f>
        <v>0</v>
      </c>
      <c r="D128" s="252">
        <f>SUMIFS(criblage!$P:$P,criblage!$B:$B,'synthèse 312'!$A128,criblage!$C:$C,'synthèse 312'!D$2)</f>
        <v>0</v>
      </c>
      <c r="E128" s="252">
        <f t="shared" si="8"/>
        <v>0</v>
      </c>
      <c r="F128" s="254">
        <f>SUMIFS(criblage!$O:$O,criblage!$B:$B,'synthèse 312'!$A128-1,criblage!$C:$C,'synthèse 312'!F$2)</f>
        <v>6033</v>
      </c>
      <c r="G128" s="254">
        <f>SUMIFS(criblage!$O:$O,criblage!$B:$B,'synthèse 312'!$A128,criblage!$C:$C,'synthèse 312'!G$2)</f>
        <v>3610</v>
      </c>
      <c r="H128" s="254">
        <f>SUMIFS(criblage!$O:$O,criblage!$B:$B,'synthèse 312'!$A128,criblage!$C:$C,'synthèse 312'!H$2)</f>
        <v>1449</v>
      </c>
      <c r="I128" s="254">
        <f t="shared" si="9"/>
        <v>11092</v>
      </c>
      <c r="J128" s="258">
        <f>8-SUMIFS('les arrets'!G:G,'les arrets'!B:B,'synthèse 312'!$A128-1,'les arrets'!C:C,'synthèse 312'!J$2)</f>
        <v>7.25</v>
      </c>
      <c r="K128" s="258">
        <f>8-SUMIFS('les arrets'!G:G,'les arrets'!B:B,'synthèse 312'!$A128,'les arrets'!C:C,'synthèse 312'!K$2)</f>
        <v>5.5833333333333339</v>
      </c>
      <c r="L128" s="258">
        <f>8-SUMIFS('les arrets'!G:G,'les arrets'!B:B,'synthèse 312'!A128,'les arrets'!C:C,'synthèse 312'!L$2)</f>
        <v>2.4333333333333336</v>
      </c>
      <c r="M128" s="258">
        <f t="shared" si="10"/>
        <v>15.266666666666667</v>
      </c>
      <c r="N128" s="248">
        <f>SUMIFS(criblage!$R:$R,criblage!$B:$B,'synthèse 312'!$A128-1,criblage!$C:$C,'synthèse 312'!N$2)</f>
        <v>7.48</v>
      </c>
      <c r="O128" s="248">
        <f>SUMIFS(criblage!$R:$R,criblage!$B:$B,'synthèse 312'!$A128,criblage!$C:$C,'synthèse 312'!O$2)</f>
        <v>5.63</v>
      </c>
      <c r="P128" s="248">
        <f>SUMIFS(criblage!$R:$R,criblage!$B:$B,'synthèse 312'!$A128,criblage!$C:$C,'synthèse 312'!P$2)</f>
        <v>2.48</v>
      </c>
      <c r="Q128" s="248">
        <f t="shared" si="11"/>
        <v>15.59</v>
      </c>
      <c r="R128" s="249">
        <f t="shared" si="15"/>
        <v>832.13793103448279</v>
      </c>
      <c r="S128" s="249">
        <f t="shared" si="12"/>
        <v>646.56716417910445</v>
      </c>
      <c r="T128" s="249">
        <f t="shared" si="13"/>
        <v>595.47945205479448</v>
      </c>
      <c r="U128" s="249">
        <f t="shared" si="14"/>
        <v>691.39484908946054</v>
      </c>
    </row>
    <row r="129" spans="1:21" x14ac:dyDescent="0.25">
      <c r="A129" s="244">
        <v>45052</v>
      </c>
      <c r="B129" s="252">
        <f>SUMIFS(criblage!$P:$P,criblage!$B:$B,'synthèse 312'!A129-1,criblage!$C:$C,'synthèse 312'!B$2)</f>
        <v>0</v>
      </c>
      <c r="C129" s="252">
        <f>SUMIFS(criblage!$P:$P,criblage!$B:$B,'synthèse 312'!$A129,criblage!$C:$C,'synthèse 312'!C$2)</f>
        <v>0</v>
      </c>
      <c r="D129" s="252">
        <f>SUMIFS(criblage!$P:$P,criblage!$B:$B,'synthèse 312'!$A129,criblage!$C:$C,'synthèse 312'!D$2)</f>
        <v>0</v>
      </c>
      <c r="E129" s="252">
        <f t="shared" si="8"/>
        <v>0</v>
      </c>
      <c r="F129" s="254">
        <f>SUMIFS(criblage!$O:$O,criblage!$B:$B,'synthèse 312'!$A129-1,criblage!$C:$C,'synthèse 312'!F$2)</f>
        <v>3627</v>
      </c>
      <c r="G129" s="254">
        <f>SUMIFS(criblage!$O:$O,criblage!$B:$B,'synthèse 312'!$A129,criblage!$C:$C,'synthèse 312'!G$2)</f>
        <v>1477</v>
      </c>
      <c r="H129" s="254">
        <f>SUMIFS(criblage!$O:$O,criblage!$B:$B,'synthèse 312'!$A129,criblage!$C:$C,'synthèse 312'!H$2)</f>
        <v>0</v>
      </c>
      <c r="I129" s="254">
        <f t="shared" si="9"/>
        <v>5104</v>
      </c>
      <c r="J129" s="258">
        <f>8-SUMIFS('les arrets'!G:G,'les arrets'!B:B,'synthèse 312'!$A129-1,'les arrets'!C:C,'synthèse 312'!J$2)</f>
        <v>6.166666666666667</v>
      </c>
      <c r="K129" s="258">
        <f>8-SUMIFS('les arrets'!G:G,'les arrets'!B:B,'synthèse 312'!$A129,'les arrets'!C:C,'synthèse 312'!K$2)</f>
        <v>2.416666666666667</v>
      </c>
      <c r="L129" s="258">
        <f>8-SUMIFS('les arrets'!G:G,'les arrets'!B:B,'synthèse 312'!A129,'les arrets'!C:C,'synthèse 312'!L$2)</f>
        <v>0</v>
      </c>
      <c r="M129" s="258">
        <f t="shared" si="10"/>
        <v>8.5833333333333339</v>
      </c>
      <c r="N129" s="248">
        <f>SUMIFS(criblage!$R:$R,criblage!$B:$B,'synthèse 312'!$A129-1,criblage!$C:$C,'synthèse 312'!N$2)</f>
        <v>4.87</v>
      </c>
      <c r="O129" s="248">
        <f>SUMIFS(criblage!$R:$R,criblage!$B:$B,'synthèse 312'!$A129,criblage!$C:$C,'synthèse 312'!O$2)</f>
        <v>2.93</v>
      </c>
      <c r="P129" s="248">
        <f>SUMIFS(criblage!$R:$R,criblage!$B:$B,'synthèse 312'!$A129,criblage!$C:$C,'synthèse 312'!P$2)</f>
        <v>0</v>
      </c>
      <c r="Q129" s="248">
        <f t="shared" si="11"/>
        <v>7.8000000000000007</v>
      </c>
      <c r="R129" s="249">
        <f t="shared" si="15"/>
        <v>588.16216216216219</v>
      </c>
      <c r="S129" s="249">
        <f t="shared" si="12"/>
        <v>611.17241379310337</v>
      </c>
      <c r="T129" s="249">
        <f t="shared" si="13"/>
        <v>0</v>
      </c>
      <c r="U129" s="249">
        <f t="shared" si="14"/>
        <v>399.77819198508854</v>
      </c>
    </row>
    <row r="130" spans="1:21" x14ac:dyDescent="0.25">
      <c r="A130" s="244">
        <v>45053</v>
      </c>
      <c r="B130" s="252">
        <f>SUMIFS(criblage!$P:$P,criblage!$B:$B,'synthèse 312'!A130-1,criblage!$C:$C,'synthèse 312'!B$2)</f>
        <v>0</v>
      </c>
      <c r="C130" s="252">
        <f>SUMIFS(criblage!$P:$P,criblage!$B:$B,'synthèse 312'!$A130,criblage!$C:$C,'synthèse 312'!C$2)</f>
        <v>0</v>
      </c>
      <c r="D130" s="252">
        <f>SUMIFS(criblage!$P:$P,criblage!$B:$B,'synthèse 312'!$A130,criblage!$C:$C,'synthèse 312'!D$2)</f>
        <v>0</v>
      </c>
      <c r="E130" s="252">
        <f t="shared" si="8"/>
        <v>0</v>
      </c>
      <c r="F130" s="254">
        <f>SUMIFS(criblage!$O:$O,criblage!$B:$B,'synthèse 312'!$A130-1,criblage!$C:$C,'synthèse 312'!F$2)</f>
        <v>0</v>
      </c>
      <c r="G130" s="254">
        <f>SUMIFS(criblage!$O:$O,criblage!$B:$B,'synthèse 312'!$A130,criblage!$C:$C,'synthèse 312'!G$2)</f>
        <v>0</v>
      </c>
      <c r="H130" s="254">
        <f>SUMIFS(criblage!$O:$O,criblage!$B:$B,'synthèse 312'!$A130,criblage!$C:$C,'synthèse 312'!H$2)</f>
        <v>0</v>
      </c>
      <c r="I130" s="254">
        <f t="shared" si="9"/>
        <v>0</v>
      </c>
      <c r="J130" s="258">
        <f>8-SUMIFS('les arrets'!G:G,'les arrets'!B:B,'synthèse 312'!$A130-1,'les arrets'!C:C,'synthèse 312'!J$2)</f>
        <v>0</v>
      </c>
      <c r="K130" s="258">
        <f>8-SUMIFS('les arrets'!G:G,'les arrets'!B:B,'synthèse 312'!$A130,'les arrets'!C:C,'synthèse 312'!K$2)</f>
        <v>0</v>
      </c>
      <c r="L130" s="258">
        <f>8-SUMIFS('les arrets'!G:G,'les arrets'!B:B,'synthèse 312'!A130,'les arrets'!C:C,'synthèse 312'!L$2)</f>
        <v>0</v>
      </c>
      <c r="M130" s="258">
        <f t="shared" si="10"/>
        <v>0</v>
      </c>
      <c r="N130" s="248">
        <f>SUMIFS(criblage!$R:$R,criblage!$B:$B,'synthèse 312'!$A130-1,criblage!$C:$C,'synthèse 312'!N$2)</f>
        <v>0</v>
      </c>
      <c r="O130" s="248">
        <f>SUMIFS(criblage!$R:$R,criblage!$B:$B,'synthèse 312'!$A130,criblage!$C:$C,'synthèse 312'!O$2)</f>
        <v>0</v>
      </c>
      <c r="P130" s="248">
        <f>SUMIFS(criblage!$R:$R,criblage!$B:$B,'synthèse 312'!$A130,criblage!$C:$C,'synthèse 312'!P$2)</f>
        <v>0</v>
      </c>
      <c r="Q130" s="248">
        <f t="shared" si="11"/>
        <v>0</v>
      </c>
      <c r="R130" s="249" t="e">
        <f t="shared" si="15"/>
        <v>#DIV/0!</v>
      </c>
      <c r="S130" s="249">
        <f t="shared" si="12"/>
        <v>0</v>
      </c>
      <c r="T130" s="249">
        <f t="shared" si="13"/>
        <v>0</v>
      </c>
      <c r="U130" s="249" t="e">
        <f t="shared" si="14"/>
        <v>#DIV/0!</v>
      </c>
    </row>
    <row r="131" spans="1:21" x14ac:dyDescent="0.25">
      <c r="A131" s="244">
        <v>45054</v>
      </c>
      <c r="B131" s="252">
        <f>SUMIFS(criblage!$P:$P,criblage!$B:$B,'synthèse 312'!A131-1,criblage!$C:$C,'synthèse 312'!B$2)</f>
        <v>0</v>
      </c>
      <c r="C131" s="252">
        <f>SUMIFS(criblage!$P:$P,criblage!$B:$B,'synthèse 312'!$A131,criblage!$C:$C,'synthèse 312'!C$2)</f>
        <v>0</v>
      </c>
      <c r="D131" s="252">
        <f>SUMIFS(criblage!$P:$P,criblage!$B:$B,'synthèse 312'!$A131,criblage!$C:$C,'synthèse 312'!D$2)</f>
        <v>0</v>
      </c>
      <c r="E131" s="252">
        <f t="shared" si="8"/>
        <v>0</v>
      </c>
      <c r="F131" s="254">
        <f>SUMIFS(criblage!$O:$O,criblage!$B:$B,'synthèse 312'!$A131-1,criblage!$C:$C,'synthèse 312'!F$2)</f>
        <v>0</v>
      </c>
      <c r="G131" s="254">
        <f>SUMIFS(criblage!$O:$O,criblage!$B:$B,'synthèse 312'!$A131,criblage!$C:$C,'synthèse 312'!G$2)</f>
        <v>3019</v>
      </c>
      <c r="H131" s="254">
        <f>SUMIFS(criblage!$O:$O,criblage!$B:$B,'synthèse 312'!$A131,criblage!$C:$C,'synthèse 312'!H$2)</f>
        <v>3544</v>
      </c>
      <c r="I131" s="254">
        <f t="shared" si="9"/>
        <v>6563</v>
      </c>
      <c r="J131" s="258">
        <f>8-SUMIFS('les arrets'!G:G,'les arrets'!B:B,'synthèse 312'!$A131-1,'les arrets'!C:C,'synthèse 312'!J$2)</f>
        <v>0</v>
      </c>
      <c r="K131" s="258">
        <f>8-SUMIFS('les arrets'!G:G,'les arrets'!B:B,'synthèse 312'!$A131,'les arrets'!C:C,'synthèse 312'!K$2)</f>
        <v>5.7166666666666668</v>
      </c>
      <c r="L131" s="258">
        <f>8-SUMIFS('les arrets'!G:G,'les arrets'!B:B,'synthèse 312'!A131,'les arrets'!C:C,'synthèse 312'!L$2)</f>
        <v>7</v>
      </c>
      <c r="M131" s="258">
        <f t="shared" si="10"/>
        <v>12.716666666666667</v>
      </c>
      <c r="N131" s="248">
        <f>SUMIFS(criblage!$R:$R,criblage!$B:$B,'synthèse 312'!$A131-1,criblage!$C:$C,'synthèse 312'!N$2)</f>
        <v>0</v>
      </c>
      <c r="O131" s="248">
        <f>SUMIFS(criblage!$R:$R,criblage!$B:$B,'synthèse 312'!$A131,criblage!$C:$C,'synthèse 312'!O$2)</f>
        <v>5.79</v>
      </c>
      <c r="P131" s="248">
        <f>SUMIFS(criblage!$R:$R,criblage!$B:$B,'synthèse 312'!$A131,criblage!$C:$C,'synthèse 312'!P$2)</f>
        <v>7.01</v>
      </c>
      <c r="Q131" s="248">
        <f t="shared" si="11"/>
        <v>12.8</v>
      </c>
      <c r="R131" s="249" t="e">
        <f t="shared" si="15"/>
        <v>#DIV/0!</v>
      </c>
      <c r="S131" s="249">
        <f t="shared" si="12"/>
        <v>528.1049562682216</v>
      </c>
      <c r="T131" s="249">
        <f t="shared" si="13"/>
        <v>506.28571428571428</v>
      </c>
      <c r="U131" s="249" t="e">
        <f t="shared" si="14"/>
        <v>#DIV/0!</v>
      </c>
    </row>
    <row r="132" spans="1:21" x14ac:dyDescent="0.25">
      <c r="A132" s="244">
        <v>45055</v>
      </c>
      <c r="B132" s="252">
        <f>SUMIFS(criblage!$P:$P,criblage!$B:$B,'synthèse 312'!A132-1,criblage!$C:$C,'synthèse 312'!B$2)</f>
        <v>0</v>
      </c>
      <c r="C132" s="252">
        <f>SUMIFS(criblage!$P:$P,criblage!$B:$B,'synthèse 312'!$A132,criblage!$C:$C,'synthèse 312'!C$2)</f>
        <v>0</v>
      </c>
      <c r="D132" s="252">
        <f>SUMIFS(criblage!$P:$P,criblage!$B:$B,'synthèse 312'!$A132,criblage!$C:$C,'synthèse 312'!D$2)</f>
        <v>0</v>
      </c>
      <c r="E132" s="252">
        <f t="shared" si="8"/>
        <v>0</v>
      </c>
      <c r="F132" s="254">
        <f>SUMIFS(criblage!$O:$O,criblage!$B:$B,'synthèse 312'!$A132-1,criblage!$C:$C,'synthèse 312'!F$2)</f>
        <v>4437</v>
      </c>
      <c r="G132" s="254">
        <f>SUMIFS(criblage!$O:$O,criblage!$B:$B,'synthèse 312'!$A132,criblage!$C:$C,'synthèse 312'!G$2)</f>
        <v>4142</v>
      </c>
      <c r="H132" s="254">
        <f>SUMIFS(criblage!$O:$O,criblage!$B:$B,'synthèse 312'!$A132,criblage!$C:$C,'synthèse 312'!H$2)</f>
        <v>1829</v>
      </c>
      <c r="I132" s="254">
        <f t="shared" si="9"/>
        <v>10408</v>
      </c>
      <c r="J132" s="258">
        <f>8-SUMIFS('les arrets'!G:G,'les arrets'!B:B,'synthèse 312'!$A132-1,'les arrets'!C:C,'synthèse 312'!J$2)</f>
        <v>7.333333333333333</v>
      </c>
      <c r="K132" s="258">
        <f>8-SUMIFS('les arrets'!G:G,'les arrets'!B:B,'synthèse 312'!$A132,'les arrets'!C:C,'synthèse 312'!K$2)</f>
        <v>5.7833333333333332</v>
      </c>
      <c r="L132" s="258">
        <f>8-SUMIFS('les arrets'!G:G,'les arrets'!B:B,'synthèse 312'!A132,'les arrets'!C:C,'synthèse 312'!L$2)</f>
        <v>2.0999999999999996</v>
      </c>
      <c r="M132" s="258">
        <f t="shared" si="10"/>
        <v>15.216666666666667</v>
      </c>
      <c r="N132" s="248">
        <f>SUMIFS(criblage!$R:$R,criblage!$B:$B,'synthèse 312'!$A132-1,criblage!$C:$C,'synthèse 312'!N$2)</f>
        <v>7.37</v>
      </c>
      <c r="O132" s="248">
        <f>SUMIFS(criblage!$R:$R,criblage!$B:$B,'synthèse 312'!$A132,criblage!$C:$C,'synthèse 312'!O$2)</f>
        <v>6.1000000000000005</v>
      </c>
      <c r="P132" s="248">
        <f>SUMIFS(criblage!$R:$R,criblage!$B:$B,'synthèse 312'!$A132,criblage!$C:$C,'synthèse 312'!P$2)</f>
        <v>2.27</v>
      </c>
      <c r="Q132" s="248">
        <f t="shared" si="11"/>
        <v>15.74</v>
      </c>
      <c r="R132" s="249">
        <f t="shared" si="15"/>
        <v>605.04545454545462</v>
      </c>
      <c r="S132" s="249">
        <f t="shared" si="12"/>
        <v>716.19596541786746</v>
      </c>
      <c r="T132" s="249">
        <f t="shared" si="13"/>
        <v>870.95238095238108</v>
      </c>
      <c r="U132" s="249">
        <f t="shared" si="14"/>
        <v>730.73126697190116</v>
      </c>
    </row>
    <row r="133" spans="1:21" x14ac:dyDescent="0.25">
      <c r="A133" s="244">
        <v>45056</v>
      </c>
      <c r="B133" s="252">
        <f>SUMIFS(criblage!$P:$P,criblage!$B:$B,'synthèse 312'!A133-1,criblage!$C:$C,'synthèse 312'!B$2)</f>
        <v>0</v>
      </c>
      <c r="C133" s="252">
        <f>SUMIFS(criblage!$P:$P,criblage!$B:$B,'synthèse 312'!$A133,criblage!$C:$C,'synthèse 312'!C$2)</f>
        <v>0</v>
      </c>
      <c r="D133" s="252">
        <f>SUMIFS(criblage!$P:$P,criblage!$B:$B,'synthèse 312'!$A133,criblage!$C:$C,'synthèse 312'!D$2)</f>
        <v>0</v>
      </c>
      <c r="E133" s="252">
        <f t="shared" ref="E133:E196" si="16">SUM(B133+C133+D133)</f>
        <v>0</v>
      </c>
      <c r="F133" s="254">
        <f>SUMIFS(criblage!$O:$O,criblage!$B:$B,'synthèse 312'!$A133-1,criblage!$C:$C,'synthèse 312'!F$2)</f>
        <v>4957</v>
      </c>
      <c r="G133" s="254">
        <f>SUMIFS(criblage!$O:$O,criblage!$B:$B,'synthèse 312'!$A133,criblage!$C:$C,'synthèse 312'!G$2)</f>
        <v>0</v>
      </c>
      <c r="H133" s="254">
        <f>SUMIFS(criblage!$O:$O,criblage!$B:$B,'synthèse 312'!$A133,criblage!$C:$C,'synthèse 312'!H$2)</f>
        <v>0</v>
      </c>
      <c r="I133" s="254">
        <f t="shared" ref="I133:I196" si="17">SUM(F133+G133+H133)</f>
        <v>4957</v>
      </c>
      <c r="J133" s="258">
        <f>8-SUMIFS('les arrets'!G:G,'les arrets'!B:B,'synthèse 312'!$A133-1,'les arrets'!C:C,'synthèse 312'!J$2)</f>
        <v>7.0333333333333332</v>
      </c>
      <c r="K133" s="258">
        <f>8-SUMIFS('les arrets'!G:G,'les arrets'!B:B,'synthèse 312'!$A133,'les arrets'!C:C,'synthèse 312'!K$2)</f>
        <v>0</v>
      </c>
      <c r="L133" s="258">
        <f>8-SUMIFS('les arrets'!G:G,'les arrets'!B:B,'synthèse 312'!A133,'les arrets'!C:C,'synthèse 312'!L$2)</f>
        <v>0</v>
      </c>
      <c r="M133" s="258">
        <f t="shared" ref="M133:M196" si="18">SUM(J133+K133+L133)</f>
        <v>7.0333333333333332</v>
      </c>
      <c r="N133" s="248">
        <f>SUMIFS(criblage!$R:$R,criblage!$B:$B,'synthèse 312'!$A133-1,criblage!$C:$C,'synthèse 312'!N$2)</f>
        <v>7.32</v>
      </c>
      <c r="O133" s="248">
        <f>SUMIFS(criblage!$R:$R,criblage!$B:$B,'synthèse 312'!$A133,criblage!$C:$C,'synthèse 312'!O$2)</f>
        <v>0</v>
      </c>
      <c r="P133" s="248">
        <f>SUMIFS(criblage!$R:$R,criblage!$B:$B,'synthèse 312'!$A133,criblage!$C:$C,'synthèse 312'!P$2)</f>
        <v>0</v>
      </c>
      <c r="Q133" s="248">
        <f t="shared" ref="Q133:Q196" si="19">SUM(N133:P133)</f>
        <v>7.32</v>
      </c>
      <c r="R133" s="249">
        <f t="shared" si="15"/>
        <v>704.78672985781986</v>
      </c>
      <c r="S133" s="249">
        <f t="shared" ref="S133:S196" si="20">IFERROR($G133/$K133,0)</f>
        <v>0</v>
      </c>
      <c r="T133" s="249">
        <f t="shared" ref="T133:T196" si="21">IFERROR($H133/$L133,0)</f>
        <v>0</v>
      </c>
      <c r="U133" s="249">
        <f t="shared" ref="U133:U196" si="22">AVERAGE(R133:T133)</f>
        <v>234.92890995260663</v>
      </c>
    </row>
    <row r="134" spans="1:21" x14ac:dyDescent="0.25">
      <c r="A134" s="244">
        <v>45057</v>
      </c>
      <c r="B134" s="252">
        <f>SUMIFS(criblage!$P:$P,criblage!$B:$B,'synthèse 312'!A134-1,criblage!$C:$C,'synthèse 312'!B$2)</f>
        <v>0</v>
      </c>
      <c r="C134" s="252">
        <f>SUMIFS(criblage!$P:$P,criblage!$B:$B,'synthèse 312'!$A134,criblage!$C:$C,'synthèse 312'!C$2)</f>
        <v>0</v>
      </c>
      <c r="D134" s="252">
        <f>SUMIFS(criblage!$P:$P,criblage!$B:$B,'synthèse 312'!$A134,criblage!$C:$C,'synthèse 312'!D$2)</f>
        <v>0</v>
      </c>
      <c r="E134" s="252">
        <f t="shared" si="16"/>
        <v>0</v>
      </c>
      <c r="F134" s="254">
        <f>SUMIFS(criblage!$O:$O,criblage!$B:$B,'synthèse 312'!$A134-1,criblage!$C:$C,'synthèse 312'!F$2)</f>
        <v>0</v>
      </c>
      <c r="G134" s="254">
        <f>SUMIFS(criblage!$O:$O,criblage!$B:$B,'synthèse 312'!$A134,criblage!$C:$C,'synthèse 312'!G$2)</f>
        <v>0</v>
      </c>
      <c r="H134" s="254">
        <f>SUMIFS(criblage!$O:$O,criblage!$B:$B,'synthèse 312'!$A134,criblage!$C:$C,'synthèse 312'!H$2)</f>
        <v>0</v>
      </c>
      <c r="I134" s="254">
        <f t="shared" si="17"/>
        <v>0</v>
      </c>
      <c r="J134" s="258">
        <f>8-SUMIFS('les arrets'!G:G,'les arrets'!B:B,'synthèse 312'!$A134-1,'les arrets'!C:C,'synthèse 312'!J$2)</f>
        <v>0</v>
      </c>
      <c r="K134" s="258">
        <f>8-SUMIFS('les arrets'!G:G,'les arrets'!B:B,'synthèse 312'!$A134,'les arrets'!C:C,'synthèse 312'!K$2)</f>
        <v>0</v>
      </c>
      <c r="L134" s="258">
        <f>8-SUMIFS('les arrets'!G:G,'les arrets'!B:B,'synthèse 312'!A134,'les arrets'!C:C,'synthèse 312'!L$2)</f>
        <v>0</v>
      </c>
      <c r="M134" s="258">
        <f t="shared" si="18"/>
        <v>0</v>
      </c>
      <c r="N134" s="248">
        <f>SUMIFS(criblage!$R:$R,criblage!$B:$B,'synthèse 312'!$A134-1,criblage!$C:$C,'synthèse 312'!N$2)</f>
        <v>0</v>
      </c>
      <c r="O134" s="248">
        <f>SUMIFS(criblage!$R:$R,criblage!$B:$B,'synthèse 312'!$A134,criblage!$C:$C,'synthèse 312'!O$2)</f>
        <v>0</v>
      </c>
      <c r="P134" s="248">
        <f>SUMIFS(criblage!$R:$R,criblage!$B:$B,'synthèse 312'!$A134,criblage!$C:$C,'synthèse 312'!P$2)</f>
        <v>0</v>
      </c>
      <c r="Q134" s="248">
        <f t="shared" si="19"/>
        <v>0</v>
      </c>
      <c r="R134" s="249" t="e">
        <f t="shared" ref="R134:R197" si="23">$F134/$J134</f>
        <v>#DIV/0!</v>
      </c>
      <c r="S134" s="249">
        <f t="shared" si="20"/>
        <v>0</v>
      </c>
      <c r="T134" s="249">
        <f t="shared" si="21"/>
        <v>0</v>
      </c>
      <c r="U134" s="249" t="e">
        <f t="shared" si="22"/>
        <v>#DIV/0!</v>
      </c>
    </row>
    <row r="135" spans="1:21" x14ac:dyDescent="0.25">
      <c r="A135" s="244">
        <v>45058</v>
      </c>
      <c r="B135" s="252">
        <f>SUMIFS(criblage!$P:$P,criblage!$B:$B,'synthèse 312'!A135-1,criblage!$C:$C,'synthèse 312'!B$2)</f>
        <v>0</v>
      </c>
      <c r="C135" s="252">
        <f>SUMIFS(criblage!$P:$P,criblage!$B:$B,'synthèse 312'!$A135,criblage!$C:$C,'synthèse 312'!C$2)</f>
        <v>0</v>
      </c>
      <c r="D135" s="252">
        <f>SUMIFS(criblage!$P:$P,criblage!$B:$B,'synthèse 312'!$A135,criblage!$C:$C,'synthèse 312'!D$2)</f>
        <v>0</v>
      </c>
      <c r="E135" s="252">
        <f t="shared" si="16"/>
        <v>0</v>
      </c>
      <c r="F135" s="254">
        <f>SUMIFS(criblage!$O:$O,criblage!$B:$B,'synthèse 312'!$A135-1,criblage!$C:$C,'synthèse 312'!F$2)</f>
        <v>0</v>
      </c>
      <c r="G135" s="254">
        <f>SUMIFS(criblage!$O:$O,criblage!$B:$B,'synthèse 312'!$A135,criblage!$C:$C,'synthèse 312'!G$2)</f>
        <v>0</v>
      </c>
      <c r="H135" s="254">
        <f>SUMIFS(criblage!$O:$O,criblage!$B:$B,'synthèse 312'!$A135,criblage!$C:$C,'synthèse 312'!H$2)</f>
        <v>0</v>
      </c>
      <c r="I135" s="254">
        <f t="shared" si="17"/>
        <v>0</v>
      </c>
      <c r="J135" s="258">
        <f>8-SUMIFS('les arrets'!G:G,'les arrets'!B:B,'synthèse 312'!$A135-1,'les arrets'!C:C,'synthèse 312'!J$2)</f>
        <v>0</v>
      </c>
      <c r="K135" s="258">
        <f>8-SUMIFS('les arrets'!G:G,'les arrets'!B:B,'synthèse 312'!$A135,'les arrets'!C:C,'synthèse 312'!K$2)</f>
        <v>0</v>
      </c>
      <c r="L135" s="258">
        <f>8-SUMIFS('les arrets'!G:G,'les arrets'!B:B,'synthèse 312'!A135,'les arrets'!C:C,'synthèse 312'!L$2)</f>
        <v>0</v>
      </c>
      <c r="M135" s="258">
        <f t="shared" si="18"/>
        <v>0</v>
      </c>
      <c r="N135" s="248">
        <f>SUMIFS(criblage!$R:$R,criblage!$B:$B,'synthèse 312'!$A135-1,criblage!$C:$C,'synthèse 312'!N$2)</f>
        <v>0</v>
      </c>
      <c r="O135" s="248">
        <f>SUMIFS(criblage!$R:$R,criblage!$B:$B,'synthèse 312'!$A135,criblage!$C:$C,'synthèse 312'!O$2)</f>
        <v>0</v>
      </c>
      <c r="P135" s="248">
        <f>SUMIFS(criblage!$R:$R,criblage!$B:$B,'synthèse 312'!$A135,criblage!$C:$C,'synthèse 312'!P$2)</f>
        <v>0</v>
      </c>
      <c r="Q135" s="248">
        <f t="shared" si="19"/>
        <v>0</v>
      </c>
      <c r="R135" s="249" t="e">
        <f t="shared" si="23"/>
        <v>#DIV/0!</v>
      </c>
      <c r="S135" s="249">
        <f t="shared" si="20"/>
        <v>0</v>
      </c>
      <c r="T135" s="249">
        <f t="shared" si="21"/>
        <v>0</v>
      </c>
      <c r="U135" s="249" t="e">
        <f t="shared" si="22"/>
        <v>#DIV/0!</v>
      </c>
    </row>
    <row r="136" spans="1:21" x14ac:dyDescent="0.25">
      <c r="A136" s="244">
        <v>45059</v>
      </c>
      <c r="B136" s="252">
        <f>SUMIFS(criblage!$P:$P,criblage!$B:$B,'synthèse 312'!A136-1,criblage!$C:$C,'synthèse 312'!B$2)</f>
        <v>0</v>
      </c>
      <c r="C136" s="252">
        <f>SUMIFS(criblage!$P:$P,criblage!$B:$B,'synthèse 312'!$A136,criblage!$C:$C,'synthèse 312'!C$2)</f>
        <v>0</v>
      </c>
      <c r="D136" s="252">
        <f>SUMIFS(criblage!$P:$P,criblage!$B:$B,'synthèse 312'!$A136,criblage!$C:$C,'synthèse 312'!D$2)</f>
        <v>0</v>
      </c>
      <c r="E136" s="252">
        <f t="shared" si="16"/>
        <v>0</v>
      </c>
      <c r="F136" s="254">
        <f>SUMIFS(criblage!$O:$O,criblage!$B:$B,'synthèse 312'!$A136-1,criblage!$C:$C,'synthèse 312'!F$2)</f>
        <v>0</v>
      </c>
      <c r="G136" s="254">
        <f>SUMIFS(criblage!$O:$O,criblage!$B:$B,'synthèse 312'!$A136,criblage!$C:$C,'synthèse 312'!G$2)</f>
        <v>0</v>
      </c>
      <c r="H136" s="254">
        <f>SUMIFS(criblage!$O:$O,criblage!$B:$B,'synthèse 312'!$A136,criblage!$C:$C,'synthèse 312'!H$2)</f>
        <v>0</v>
      </c>
      <c r="I136" s="254">
        <f t="shared" si="17"/>
        <v>0</v>
      </c>
      <c r="J136" s="258">
        <f>8-SUMIFS('les arrets'!G:G,'les arrets'!B:B,'synthèse 312'!$A136-1,'les arrets'!C:C,'synthèse 312'!J$2)</f>
        <v>0</v>
      </c>
      <c r="K136" s="258">
        <f>8-SUMIFS('les arrets'!G:G,'les arrets'!B:B,'synthèse 312'!$A136,'les arrets'!C:C,'synthèse 312'!K$2)</f>
        <v>0</v>
      </c>
      <c r="L136" s="258">
        <f>8-SUMIFS('les arrets'!G:G,'les arrets'!B:B,'synthèse 312'!A136,'les arrets'!C:C,'synthèse 312'!L$2)</f>
        <v>0</v>
      </c>
      <c r="M136" s="258">
        <f t="shared" si="18"/>
        <v>0</v>
      </c>
      <c r="N136" s="248">
        <f>SUMIFS(criblage!$R:$R,criblage!$B:$B,'synthèse 312'!$A136-1,criblage!$C:$C,'synthèse 312'!N$2)</f>
        <v>0</v>
      </c>
      <c r="O136" s="248">
        <f>SUMIFS(criblage!$R:$R,criblage!$B:$B,'synthèse 312'!$A136,criblage!$C:$C,'synthèse 312'!O$2)</f>
        <v>0</v>
      </c>
      <c r="P136" s="248">
        <f>SUMIFS(criblage!$R:$R,criblage!$B:$B,'synthèse 312'!$A136,criblage!$C:$C,'synthèse 312'!P$2)</f>
        <v>0</v>
      </c>
      <c r="Q136" s="248">
        <f t="shared" si="19"/>
        <v>0</v>
      </c>
      <c r="R136" s="249" t="e">
        <f t="shared" si="23"/>
        <v>#DIV/0!</v>
      </c>
      <c r="S136" s="249">
        <f t="shared" si="20"/>
        <v>0</v>
      </c>
      <c r="T136" s="249">
        <f t="shared" si="21"/>
        <v>0</v>
      </c>
      <c r="U136" s="249" t="e">
        <f t="shared" si="22"/>
        <v>#DIV/0!</v>
      </c>
    </row>
    <row r="137" spans="1:21" x14ac:dyDescent="0.25">
      <c r="A137" s="244">
        <v>45060</v>
      </c>
      <c r="B137" s="252">
        <f>SUMIFS(criblage!$P:$P,criblage!$B:$B,'synthèse 312'!A137-1,criblage!$C:$C,'synthèse 312'!B$2)</f>
        <v>0</v>
      </c>
      <c r="C137" s="252">
        <f>SUMIFS(criblage!$P:$P,criblage!$B:$B,'synthèse 312'!$A137,criblage!$C:$C,'synthèse 312'!C$2)</f>
        <v>0</v>
      </c>
      <c r="D137" s="252">
        <f>SUMIFS(criblage!$P:$P,criblage!$B:$B,'synthèse 312'!$A137,criblage!$C:$C,'synthèse 312'!D$2)</f>
        <v>0</v>
      </c>
      <c r="E137" s="252">
        <f t="shared" si="16"/>
        <v>0</v>
      </c>
      <c r="F137" s="254">
        <f>SUMIFS(criblage!$O:$O,criblage!$B:$B,'synthèse 312'!$A137-1,criblage!$C:$C,'synthèse 312'!F$2)</f>
        <v>0</v>
      </c>
      <c r="G137" s="254">
        <f>SUMIFS(criblage!$O:$O,criblage!$B:$B,'synthèse 312'!$A137,criblage!$C:$C,'synthèse 312'!G$2)</f>
        <v>0</v>
      </c>
      <c r="H137" s="254">
        <f>SUMIFS(criblage!$O:$O,criblage!$B:$B,'synthèse 312'!$A137,criblage!$C:$C,'synthèse 312'!H$2)</f>
        <v>0</v>
      </c>
      <c r="I137" s="254">
        <f t="shared" si="17"/>
        <v>0</v>
      </c>
      <c r="J137" s="258">
        <f>8-SUMIFS('les arrets'!G:G,'les arrets'!B:B,'synthèse 312'!$A137-1,'les arrets'!C:C,'synthèse 312'!J$2)</f>
        <v>0</v>
      </c>
      <c r="K137" s="258">
        <f>8-SUMIFS('les arrets'!G:G,'les arrets'!B:B,'synthèse 312'!$A137,'les arrets'!C:C,'synthèse 312'!K$2)</f>
        <v>0</v>
      </c>
      <c r="L137" s="258">
        <f>8-SUMIFS('les arrets'!G:G,'les arrets'!B:B,'synthèse 312'!A137,'les arrets'!C:C,'synthèse 312'!L$2)</f>
        <v>0</v>
      </c>
      <c r="M137" s="258">
        <f t="shared" si="18"/>
        <v>0</v>
      </c>
      <c r="N137" s="248">
        <f>SUMIFS(criblage!$R:$R,criblage!$B:$B,'synthèse 312'!$A137-1,criblage!$C:$C,'synthèse 312'!N$2)</f>
        <v>0</v>
      </c>
      <c r="O137" s="248">
        <f>SUMIFS(criblage!$R:$R,criblage!$B:$B,'synthèse 312'!$A137,criblage!$C:$C,'synthèse 312'!O$2)</f>
        <v>0</v>
      </c>
      <c r="P137" s="248">
        <f>SUMIFS(criblage!$R:$R,criblage!$B:$B,'synthèse 312'!$A137,criblage!$C:$C,'synthèse 312'!P$2)</f>
        <v>0</v>
      </c>
      <c r="Q137" s="248">
        <f t="shared" si="19"/>
        <v>0</v>
      </c>
      <c r="R137" s="249" t="e">
        <f t="shared" si="23"/>
        <v>#DIV/0!</v>
      </c>
      <c r="S137" s="249">
        <f t="shared" si="20"/>
        <v>0</v>
      </c>
      <c r="T137" s="249">
        <f t="shared" si="21"/>
        <v>0</v>
      </c>
      <c r="U137" s="249" t="e">
        <f t="shared" si="22"/>
        <v>#DIV/0!</v>
      </c>
    </row>
    <row r="138" spans="1:21" x14ac:dyDescent="0.25">
      <c r="A138" s="244">
        <v>45061</v>
      </c>
      <c r="B138" s="252">
        <f>SUMIFS(criblage!$P:$P,criblage!$B:$B,'synthèse 312'!A138-1,criblage!$C:$C,'synthèse 312'!B$2)</f>
        <v>0</v>
      </c>
      <c r="C138" s="252">
        <f>SUMIFS(criblage!$P:$P,criblage!$B:$B,'synthèse 312'!$A138,criblage!$C:$C,'synthèse 312'!C$2)</f>
        <v>0</v>
      </c>
      <c r="D138" s="252">
        <f>SUMIFS(criblage!$P:$P,criblage!$B:$B,'synthèse 312'!$A138,criblage!$C:$C,'synthèse 312'!D$2)</f>
        <v>0</v>
      </c>
      <c r="E138" s="252">
        <f t="shared" si="16"/>
        <v>0</v>
      </c>
      <c r="F138" s="254">
        <f>SUMIFS(criblage!$O:$O,criblage!$B:$B,'synthèse 312'!$A138-1,criblage!$C:$C,'synthèse 312'!F$2)</f>
        <v>0</v>
      </c>
      <c r="G138" s="254">
        <f>SUMIFS(criblage!$O:$O,criblage!$B:$B,'synthèse 312'!$A138,criblage!$C:$C,'synthèse 312'!G$2)</f>
        <v>4660</v>
      </c>
      <c r="H138" s="254">
        <f>SUMIFS(criblage!$O:$O,criblage!$B:$B,'synthèse 312'!$A138,criblage!$C:$C,'synthèse 312'!H$2)</f>
        <v>1826</v>
      </c>
      <c r="I138" s="254">
        <f t="shared" si="17"/>
        <v>6486</v>
      </c>
      <c r="J138" s="258">
        <f>8-SUMIFS('les arrets'!G:G,'les arrets'!B:B,'synthèse 312'!$A138-1,'les arrets'!C:C,'synthèse 312'!J$2)</f>
        <v>0</v>
      </c>
      <c r="K138" s="258">
        <f>8-SUMIFS('les arrets'!G:G,'les arrets'!B:B,'synthèse 312'!$A138,'les arrets'!C:C,'synthèse 312'!K$2)</f>
        <v>6.916666666666667</v>
      </c>
      <c r="L138" s="258">
        <f>8-SUMIFS('les arrets'!G:G,'les arrets'!B:B,'synthèse 312'!A138,'les arrets'!C:C,'synthèse 312'!L$2)</f>
        <v>2.8</v>
      </c>
      <c r="M138" s="258">
        <f t="shared" si="18"/>
        <v>9.7166666666666668</v>
      </c>
      <c r="N138" s="248">
        <f>SUMIFS(criblage!$R:$R,criblage!$B:$B,'synthèse 312'!$A138-1,criblage!$C:$C,'synthèse 312'!N$2)</f>
        <v>0</v>
      </c>
      <c r="O138" s="248">
        <f>SUMIFS(criblage!$R:$R,criblage!$B:$B,'synthèse 312'!$A138,criblage!$C:$C,'synthèse 312'!O$2)</f>
        <v>6.5</v>
      </c>
      <c r="P138" s="248">
        <f>SUMIFS(criblage!$R:$R,criblage!$B:$B,'synthèse 312'!$A138,criblage!$C:$C,'synthèse 312'!P$2)</f>
        <v>3.46</v>
      </c>
      <c r="Q138" s="248">
        <f t="shared" si="19"/>
        <v>9.9600000000000009</v>
      </c>
      <c r="R138" s="249" t="e">
        <f t="shared" si="23"/>
        <v>#DIV/0!</v>
      </c>
      <c r="S138" s="249">
        <f t="shared" si="20"/>
        <v>673.73493975903614</v>
      </c>
      <c r="T138" s="249">
        <f t="shared" si="21"/>
        <v>652.14285714285722</v>
      </c>
      <c r="U138" s="249" t="e">
        <f t="shared" si="22"/>
        <v>#DIV/0!</v>
      </c>
    </row>
    <row r="139" spans="1:21" x14ac:dyDescent="0.25">
      <c r="A139" s="244">
        <v>45062</v>
      </c>
      <c r="B139" s="252">
        <f>SUMIFS(criblage!$P:$P,criblage!$B:$B,'synthèse 312'!A139-1,criblage!$C:$C,'synthèse 312'!B$2)</f>
        <v>0</v>
      </c>
      <c r="C139" s="252">
        <f>SUMIFS(criblage!$P:$P,criblage!$B:$B,'synthèse 312'!$A139,criblage!$C:$C,'synthèse 312'!C$2)</f>
        <v>0</v>
      </c>
      <c r="D139" s="252">
        <f>SUMIFS(criblage!$P:$P,criblage!$B:$B,'synthèse 312'!$A139,criblage!$C:$C,'synthèse 312'!D$2)</f>
        <v>0</v>
      </c>
      <c r="E139" s="252">
        <f t="shared" si="16"/>
        <v>0</v>
      </c>
      <c r="F139" s="254">
        <f>SUMIFS(criblage!$O:$O,criblage!$B:$B,'synthèse 312'!$A139-1,criblage!$C:$C,'synthèse 312'!F$2)</f>
        <v>0</v>
      </c>
      <c r="G139" s="254">
        <f>SUMIFS(criblage!$O:$O,criblage!$B:$B,'synthèse 312'!$A139,criblage!$C:$C,'synthèse 312'!G$2)</f>
        <v>0</v>
      </c>
      <c r="H139" s="254">
        <f>SUMIFS(criblage!$O:$O,criblage!$B:$B,'synthèse 312'!$A139,criblage!$C:$C,'synthèse 312'!H$2)</f>
        <v>0</v>
      </c>
      <c r="I139" s="254">
        <f t="shared" si="17"/>
        <v>0</v>
      </c>
      <c r="J139" s="258">
        <f>8-SUMIFS('les arrets'!G:G,'les arrets'!B:B,'synthèse 312'!$A139-1,'les arrets'!C:C,'synthèse 312'!J$2)</f>
        <v>0</v>
      </c>
      <c r="K139" s="258">
        <f>8-SUMIFS('les arrets'!G:G,'les arrets'!B:B,'synthèse 312'!$A139,'les arrets'!C:C,'synthèse 312'!K$2)</f>
        <v>0</v>
      </c>
      <c r="L139" s="258">
        <f>8-SUMIFS('les arrets'!G:G,'les arrets'!B:B,'synthèse 312'!A139,'les arrets'!C:C,'synthèse 312'!L$2)</f>
        <v>0</v>
      </c>
      <c r="M139" s="258">
        <f t="shared" si="18"/>
        <v>0</v>
      </c>
      <c r="N139" s="248">
        <f>SUMIFS(criblage!$R:$R,criblage!$B:$B,'synthèse 312'!$A139-1,criblage!$C:$C,'synthèse 312'!N$2)</f>
        <v>0</v>
      </c>
      <c r="O139" s="248">
        <f>SUMIFS(criblage!$R:$R,criblage!$B:$B,'synthèse 312'!$A139,criblage!$C:$C,'synthèse 312'!O$2)</f>
        <v>0</v>
      </c>
      <c r="P139" s="248">
        <f>SUMIFS(criblage!$R:$R,criblage!$B:$B,'synthèse 312'!$A139,criblage!$C:$C,'synthèse 312'!P$2)</f>
        <v>0</v>
      </c>
      <c r="Q139" s="248">
        <f t="shared" si="19"/>
        <v>0</v>
      </c>
      <c r="R139" s="249" t="e">
        <f t="shared" si="23"/>
        <v>#DIV/0!</v>
      </c>
      <c r="S139" s="249">
        <f t="shared" si="20"/>
        <v>0</v>
      </c>
      <c r="T139" s="249">
        <f t="shared" si="21"/>
        <v>0</v>
      </c>
      <c r="U139" s="249" t="e">
        <f t="shared" si="22"/>
        <v>#DIV/0!</v>
      </c>
    </row>
    <row r="140" spans="1:21" x14ac:dyDescent="0.25">
      <c r="A140" s="244">
        <v>45063</v>
      </c>
      <c r="B140" s="252">
        <f>SUMIFS(criblage!$P:$P,criblage!$B:$B,'synthèse 312'!A140-1,criblage!$C:$C,'synthèse 312'!B$2)</f>
        <v>0</v>
      </c>
      <c r="C140" s="252">
        <f>SUMIFS(criblage!$P:$P,criblage!$B:$B,'synthèse 312'!$A140,criblage!$C:$C,'synthèse 312'!C$2)</f>
        <v>0</v>
      </c>
      <c r="D140" s="252">
        <f>SUMIFS(criblage!$P:$P,criblage!$B:$B,'synthèse 312'!$A140,criblage!$C:$C,'synthèse 312'!D$2)</f>
        <v>0</v>
      </c>
      <c r="E140" s="252">
        <f t="shared" si="16"/>
        <v>0</v>
      </c>
      <c r="F140" s="254">
        <f>SUMIFS(criblage!$O:$O,criblage!$B:$B,'synthèse 312'!$A140-1,criblage!$C:$C,'synthèse 312'!F$2)</f>
        <v>0</v>
      </c>
      <c r="G140" s="254">
        <f>SUMIFS(criblage!$O:$O,criblage!$B:$B,'synthèse 312'!$A140,criblage!$C:$C,'synthèse 312'!G$2)</f>
        <v>0</v>
      </c>
      <c r="H140" s="254">
        <f>SUMIFS(criblage!$O:$O,criblage!$B:$B,'synthèse 312'!$A140,criblage!$C:$C,'synthèse 312'!H$2)</f>
        <v>0</v>
      </c>
      <c r="I140" s="254">
        <f t="shared" si="17"/>
        <v>0</v>
      </c>
      <c r="J140" s="258">
        <f>8-SUMIFS('les arrets'!G:G,'les arrets'!B:B,'synthèse 312'!$A140-1,'les arrets'!C:C,'synthèse 312'!J$2)</f>
        <v>0</v>
      </c>
      <c r="K140" s="258">
        <f>8-SUMIFS('les arrets'!G:G,'les arrets'!B:B,'synthèse 312'!$A140,'les arrets'!C:C,'synthèse 312'!K$2)</f>
        <v>0</v>
      </c>
      <c r="L140" s="258">
        <f>8-SUMIFS('les arrets'!G:G,'les arrets'!B:B,'synthèse 312'!A140,'les arrets'!C:C,'synthèse 312'!L$2)</f>
        <v>0</v>
      </c>
      <c r="M140" s="258">
        <f t="shared" si="18"/>
        <v>0</v>
      </c>
      <c r="N140" s="248">
        <f>SUMIFS(criblage!$R:$R,criblage!$B:$B,'synthèse 312'!$A140-1,criblage!$C:$C,'synthèse 312'!N$2)</f>
        <v>0</v>
      </c>
      <c r="O140" s="248">
        <f>SUMIFS(criblage!$R:$R,criblage!$B:$B,'synthèse 312'!$A140,criblage!$C:$C,'synthèse 312'!O$2)</f>
        <v>0</v>
      </c>
      <c r="P140" s="248">
        <f>SUMIFS(criblage!$R:$R,criblage!$B:$B,'synthèse 312'!$A140,criblage!$C:$C,'synthèse 312'!P$2)</f>
        <v>0</v>
      </c>
      <c r="Q140" s="248">
        <f t="shared" si="19"/>
        <v>0</v>
      </c>
      <c r="R140" s="249" t="e">
        <f t="shared" si="23"/>
        <v>#DIV/0!</v>
      </c>
      <c r="S140" s="249">
        <f t="shared" si="20"/>
        <v>0</v>
      </c>
      <c r="T140" s="249">
        <f t="shared" si="21"/>
        <v>0</v>
      </c>
      <c r="U140" s="249" t="e">
        <f t="shared" si="22"/>
        <v>#DIV/0!</v>
      </c>
    </row>
    <row r="141" spans="1:21" x14ac:dyDescent="0.25">
      <c r="A141" s="244">
        <v>45064</v>
      </c>
      <c r="B141" s="252">
        <f>SUMIFS(criblage!$P:$P,criblage!$B:$B,'synthèse 312'!A141-1,criblage!$C:$C,'synthèse 312'!B$2)</f>
        <v>0</v>
      </c>
      <c r="C141" s="252">
        <f>SUMIFS(criblage!$P:$P,criblage!$B:$B,'synthèse 312'!$A141,criblage!$C:$C,'synthèse 312'!C$2)</f>
        <v>0</v>
      </c>
      <c r="D141" s="252">
        <f>SUMIFS(criblage!$P:$P,criblage!$B:$B,'synthèse 312'!$A141,criblage!$C:$C,'synthèse 312'!D$2)</f>
        <v>0</v>
      </c>
      <c r="E141" s="252">
        <f t="shared" si="16"/>
        <v>0</v>
      </c>
      <c r="F141" s="254">
        <f>SUMIFS(criblage!$O:$O,criblage!$B:$B,'synthèse 312'!$A141-1,criblage!$C:$C,'synthèse 312'!F$2)</f>
        <v>0</v>
      </c>
      <c r="G141" s="254">
        <f>SUMIFS(criblage!$O:$O,criblage!$B:$B,'synthèse 312'!$A141,criblage!$C:$C,'synthèse 312'!G$2)</f>
        <v>0</v>
      </c>
      <c r="H141" s="254">
        <f>SUMIFS(criblage!$O:$O,criblage!$B:$B,'synthèse 312'!$A141,criblage!$C:$C,'synthèse 312'!H$2)</f>
        <v>0</v>
      </c>
      <c r="I141" s="254">
        <f t="shared" si="17"/>
        <v>0</v>
      </c>
      <c r="J141" s="258">
        <f>8-SUMIFS('les arrets'!G:G,'les arrets'!B:B,'synthèse 312'!$A141-1,'les arrets'!C:C,'synthèse 312'!J$2)</f>
        <v>0</v>
      </c>
      <c r="K141" s="258">
        <f>8-SUMIFS('les arrets'!G:G,'les arrets'!B:B,'synthèse 312'!$A141,'les arrets'!C:C,'synthèse 312'!K$2)</f>
        <v>0</v>
      </c>
      <c r="L141" s="258">
        <f>8-SUMIFS('les arrets'!G:G,'les arrets'!B:B,'synthèse 312'!A141,'les arrets'!C:C,'synthèse 312'!L$2)</f>
        <v>0</v>
      </c>
      <c r="M141" s="258">
        <f t="shared" si="18"/>
        <v>0</v>
      </c>
      <c r="N141" s="248">
        <f>SUMIFS(criblage!$R:$R,criblage!$B:$B,'synthèse 312'!$A141-1,criblage!$C:$C,'synthèse 312'!N$2)</f>
        <v>0</v>
      </c>
      <c r="O141" s="248">
        <f>SUMIFS(criblage!$R:$R,criblage!$B:$B,'synthèse 312'!$A141,criblage!$C:$C,'synthèse 312'!O$2)</f>
        <v>0</v>
      </c>
      <c r="P141" s="248">
        <f>SUMIFS(criblage!$R:$R,criblage!$B:$B,'synthèse 312'!$A141,criblage!$C:$C,'synthèse 312'!P$2)</f>
        <v>0</v>
      </c>
      <c r="Q141" s="248">
        <f t="shared" si="19"/>
        <v>0</v>
      </c>
      <c r="R141" s="249" t="e">
        <f t="shared" si="23"/>
        <v>#DIV/0!</v>
      </c>
      <c r="S141" s="249">
        <f t="shared" si="20"/>
        <v>0</v>
      </c>
      <c r="T141" s="249">
        <f t="shared" si="21"/>
        <v>0</v>
      </c>
      <c r="U141" s="249" t="e">
        <f t="shared" si="22"/>
        <v>#DIV/0!</v>
      </c>
    </row>
    <row r="142" spans="1:21" x14ac:dyDescent="0.25">
      <c r="A142" s="244">
        <v>45065</v>
      </c>
      <c r="B142" s="252">
        <f>SUMIFS(criblage!$P:$P,criblage!$B:$B,'synthèse 312'!A142-1,criblage!$C:$C,'synthèse 312'!B$2)</f>
        <v>0</v>
      </c>
      <c r="C142" s="252">
        <f>SUMIFS(criblage!$P:$P,criblage!$B:$B,'synthèse 312'!$A142,criblage!$C:$C,'synthèse 312'!C$2)</f>
        <v>0</v>
      </c>
      <c r="D142" s="252">
        <f>SUMIFS(criblage!$P:$P,criblage!$B:$B,'synthèse 312'!$A142,criblage!$C:$C,'synthèse 312'!D$2)</f>
        <v>0</v>
      </c>
      <c r="E142" s="252">
        <f t="shared" si="16"/>
        <v>0</v>
      </c>
      <c r="F142" s="254">
        <f>SUMIFS(criblage!$O:$O,criblage!$B:$B,'synthèse 312'!$A142-1,criblage!$C:$C,'synthèse 312'!F$2)</f>
        <v>3443</v>
      </c>
      <c r="G142" s="254">
        <f>SUMIFS(criblage!$O:$O,criblage!$B:$B,'synthèse 312'!$A142,criblage!$C:$C,'synthèse 312'!G$2)</f>
        <v>5000</v>
      </c>
      <c r="H142" s="254">
        <f>SUMIFS(criblage!$O:$O,criblage!$B:$B,'synthèse 312'!$A142,criblage!$C:$C,'synthèse 312'!H$2)</f>
        <v>4368</v>
      </c>
      <c r="I142" s="254">
        <f t="shared" si="17"/>
        <v>12811</v>
      </c>
      <c r="J142" s="258">
        <f>8-SUMIFS('les arrets'!G:G,'les arrets'!B:B,'synthèse 312'!$A142-1,'les arrets'!C:C,'synthèse 312'!J$2)</f>
        <v>5.35</v>
      </c>
      <c r="K142" s="258">
        <f>8-SUMIFS('les arrets'!G:G,'les arrets'!B:B,'synthèse 312'!$A142,'les arrets'!C:C,'synthèse 312'!K$2)</f>
        <v>6.95</v>
      </c>
      <c r="L142" s="258">
        <f>8-SUMIFS('les arrets'!G:G,'les arrets'!B:B,'synthèse 312'!A142,'les arrets'!C:C,'synthèse 312'!L$2)</f>
        <v>5.6666666666666661</v>
      </c>
      <c r="M142" s="258">
        <f t="shared" si="18"/>
        <v>17.966666666666669</v>
      </c>
      <c r="N142" s="248">
        <f>SUMIFS(criblage!$R:$R,criblage!$B:$B,'synthèse 312'!$A142-1,criblage!$C:$C,'synthèse 312'!N$2)</f>
        <v>5.17</v>
      </c>
      <c r="O142" s="248">
        <f>SUMIFS(criblage!$R:$R,criblage!$B:$B,'synthèse 312'!$A142,criblage!$C:$C,'synthèse 312'!O$2)</f>
        <v>7.16</v>
      </c>
      <c r="P142" s="248">
        <f>SUMIFS(criblage!$R:$R,criblage!$B:$B,'synthèse 312'!$A142,criblage!$C:$C,'synthèse 312'!P$2)</f>
        <v>6.75</v>
      </c>
      <c r="Q142" s="248">
        <f t="shared" si="19"/>
        <v>19.079999999999998</v>
      </c>
      <c r="R142" s="249">
        <f t="shared" si="23"/>
        <v>643.55140186915889</v>
      </c>
      <c r="S142" s="249">
        <f t="shared" si="20"/>
        <v>719.42446043165467</v>
      </c>
      <c r="T142" s="249">
        <f t="shared" si="21"/>
        <v>770.82352941176475</v>
      </c>
      <c r="U142" s="249">
        <f t="shared" si="22"/>
        <v>711.26646390419273</v>
      </c>
    </row>
    <row r="143" spans="1:21" x14ac:dyDescent="0.25">
      <c r="A143" s="244">
        <v>45066</v>
      </c>
      <c r="B143" s="252">
        <f>SUMIFS(criblage!$P:$P,criblage!$B:$B,'synthèse 312'!A143-1,criblage!$C:$C,'synthèse 312'!B$2)</f>
        <v>0</v>
      </c>
      <c r="C143" s="252">
        <f>SUMIFS(criblage!$P:$P,criblage!$B:$B,'synthèse 312'!$A143,criblage!$C:$C,'synthèse 312'!C$2)</f>
        <v>0</v>
      </c>
      <c r="D143" s="252">
        <f>SUMIFS(criblage!$P:$P,criblage!$B:$B,'synthèse 312'!$A143,criblage!$C:$C,'synthèse 312'!D$2)</f>
        <v>0</v>
      </c>
      <c r="E143" s="252">
        <f t="shared" si="16"/>
        <v>0</v>
      </c>
      <c r="F143" s="254">
        <f>SUMIFS(criblage!$O:$O,criblage!$B:$B,'synthèse 312'!$A143-1,criblage!$C:$C,'synthèse 312'!F$2)</f>
        <v>0</v>
      </c>
      <c r="G143" s="254">
        <f>SUMIFS(criblage!$O:$O,criblage!$B:$B,'synthèse 312'!$A143,criblage!$C:$C,'synthèse 312'!G$2)</f>
        <v>0</v>
      </c>
      <c r="H143" s="254">
        <f>SUMIFS(criblage!$O:$O,criblage!$B:$B,'synthèse 312'!$A143,criblage!$C:$C,'synthèse 312'!H$2)</f>
        <v>0</v>
      </c>
      <c r="I143" s="254">
        <f t="shared" si="17"/>
        <v>0</v>
      </c>
      <c r="J143" s="258">
        <f>8-SUMIFS('les arrets'!G:G,'les arrets'!B:B,'synthèse 312'!$A143-1,'les arrets'!C:C,'synthèse 312'!J$2)</f>
        <v>0.31666666666666732</v>
      </c>
      <c r="K143" s="258">
        <f>8-SUMIFS('les arrets'!G:G,'les arrets'!B:B,'synthèse 312'!$A143,'les arrets'!C:C,'synthèse 312'!K$2)</f>
        <v>0</v>
      </c>
      <c r="L143" s="258">
        <f>8-SUMIFS('les arrets'!G:G,'les arrets'!B:B,'synthèse 312'!A143,'les arrets'!C:C,'synthèse 312'!L$2)</f>
        <v>0</v>
      </c>
      <c r="M143" s="258">
        <f t="shared" si="18"/>
        <v>0.31666666666666732</v>
      </c>
      <c r="N143" s="248">
        <f>SUMIFS(criblage!$R:$R,criblage!$B:$B,'synthèse 312'!$A143-1,criblage!$C:$C,'synthèse 312'!N$2)</f>
        <v>0</v>
      </c>
      <c r="O143" s="248">
        <f>SUMIFS(criblage!$R:$R,criblage!$B:$B,'synthèse 312'!$A143,criblage!$C:$C,'synthèse 312'!O$2)</f>
        <v>0</v>
      </c>
      <c r="P143" s="248">
        <f>SUMIFS(criblage!$R:$R,criblage!$B:$B,'synthèse 312'!$A143,criblage!$C:$C,'synthèse 312'!P$2)</f>
        <v>0</v>
      </c>
      <c r="Q143" s="248">
        <f t="shared" si="19"/>
        <v>0</v>
      </c>
      <c r="R143" s="249">
        <f t="shared" si="23"/>
        <v>0</v>
      </c>
      <c r="S143" s="249">
        <f t="shared" si="20"/>
        <v>0</v>
      </c>
      <c r="T143" s="249">
        <f t="shared" si="21"/>
        <v>0</v>
      </c>
      <c r="U143" s="249">
        <f t="shared" si="22"/>
        <v>0</v>
      </c>
    </row>
    <row r="144" spans="1:21" x14ac:dyDescent="0.25">
      <c r="A144" s="244">
        <v>45067</v>
      </c>
      <c r="B144" s="252">
        <f>SUMIFS(criblage!$P:$P,criblage!$B:$B,'synthèse 312'!A144-1,criblage!$C:$C,'synthèse 312'!B$2)</f>
        <v>0</v>
      </c>
      <c r="C144" s="252">
        <f>SUMIFS(criblage!$P:$P,criblage!$B:$B,'synthèse 312'!$A144,criblage!$C:$C,'synthèse 312'!C$2)</f>
        <v>0</v>
      </c>
      <c r="D144" s="252">
        <f>SUMIFS(criblage!$P:$P,criblage!$B:$B,'synthèse 312'!$A144,criblage!$C:$C,'synthèse 312'!D$2)</f>
        <v>0</v>
      </c>
      <c r="E144" s="252">
        <f t="shared" si="16"/>
        <v>0</v>
      </c>
      <c r="F144" s="254">
        <f>SUMIFS(criblage!$O:$O,criblage!$B:$B,'synthèse 312'!$A144-1,criblage!$C:$C,'synthèse 312'!F$2)</f>
        <v>0</v>
      </c>
      <c r="G144" s="254">
        <f>SUMIFS(criblage!$O:$O,criblage!$B:$B,'synthèse 312'!$A144,criblage!$C:$C,'synthèse 312'!G$2)</f>
        <v>0</v>
      </c>
      <c r="H144" s="254">
        <f>SUMIFS(criblage!$O:$O,criblage!$B:$B,'synthèse 312'!$A144,criblage!$C:$C,'synthèse 312'!H$2)</f>
        <v>0</v>
      </c>
      <c r="I144" s="254">
        <f t="shared" si="17"/>
        <v>0</v>
      </c>
      <c r="J144" s="258">
        <f>8-SUMIFS('les arrets'!G:G,'les arrets'!B:B,'synthèse 312'!$A144-1,'les arrets'!C:C,'synthèse 312'!J$2)</f>
        <v>0</v>
      </c>
      <c r="K144" s="258">
        <f>8-SUMIFS('les arrets'!G:G,'les arrets'!B:B,'synthèse 312'!$A144,'les arrets'!C:C,'synthèse 312'!K$2)</f>
        <v>0</v>
      </c>
      <c r="L144" s="258">
        <f>8-SUMIFS('les arrets'!G:G,'les arrets'!B:B,'synthèse 312'!A144,'les arrets'!C:C,'synthèse 312'!L$2)</f>
        <v>0</v>
      </c>
      <c r="M144" s="258">
        <f t="shared" si="18"/>
        <v>0</v>
      </c>
      <c r="N144" s="248">
        <f>SUMIFS(criblage!$R:$R,criblage!$B:$B,'synthèse 312'!$A144-1,criblage!$C:$C,'synthèse 312'!N$2)</f>
        <v>0</v>
      </c>
      <c r="O144" s="248">
        <f>SUMIFS(criblage!$R:$R,criblage!$B:$B,'synthèse 312'!$A144,criblage!$C:$C,'synthèse 312'!O$2)</f>
        <v>0</v>
      </c>
      <c r="P144" s="248">
        <f>SUMIFS(criblage!$R:$R,criblage!$B:$B,'synthèse 312'!$A144,criblage!$C:$C,'synthèse 312'!P$2)</f>
        <v>0</v>
      </c>
      <c r="Q144" s="248">
        <f t="shared" si="19"/>
        <v>0</v>
      </c>
      <c r="R144" s="249" t="e">
        <f t="shared" si="23"/>
        <v>#DIV/0!</v>
      </c>
      <c r="S144" s="249">
        <f t="shared" si="20"/>
        <v>0</v>
      </c>
      <c r="T144" s="249">
        <f t="shared" si="21"/>
        <v>0</v>
      </c>
      <c r="U144" s="249" t="e">
        <f t="shared" si="22"/>
        <v>#DIV/0!</v>
      </c>
    </row>
    <row r="145" spans="1:21" x14ac:dyDescent="0.25">
      <c r="A145" s="244">
        <v>45068</v>
      </c>
      <c r="B145" s="252">
        <f>SUMIFS(criblage!$P:$P,criblage!$B:$B,'synthèse 312'!A145-1,criblage!$C:$C,'synthèse 312'!B$2)</f>
        <v>0</v>
      </c>
      <c r="C145" s="252">
        <f>SUMIFS(criblage!$P:$P,criblage!$B:$B,'synthèse 312'!$A145,criblage!$C:$C,'synthèse 312'!C$2)</f>
        <v>0</v>
      </c>
      <c r="D145" s="252">
        <f>SUMIFS(criblage!$P:$P,criblage!$B:$B,'synthèse 312'!$A145,criblage!$C:$C,'synthèse 312'!D$2)</f>
        <v>0</v>
      </c>
      <c r="E145" s="252">
        <f t="shared" si="16"/>
        <v>0</v>
      </c>
      <c r="F145" s="254">
        <f>SUMIFS(criblage!$O:$O,criblage!$B:$B,'synthèse 312'!$A145-1,criblage!$C:$C,'synthèse 312'!F$2)</f>
        <v>0</v>
      </c>
      <c r="G145" s="254">
        <f>SUMIFS(criblage!$O:$O,criblage!$B:$B,'synthèse 312'!$A145,criblage!$C:$C,'synthèse 312'!G$2)</f>
        <v>696</v>
      </c>
      <c r="H145" s="254">
        <f>SUMIFS(criblage!$O:$O,criblage!$B:$B,'synthèse 312'!$A145,criblage!$C:$C,'synthèse 312'!H$2)</f>
        <v>5909</v>
      </c>
      <c r="I145" s="254">
        <f t="shared" si="17"/>
        <v>6605</v>
      </c>
      <c r="J145" s="258">
        <f>8-SUMIFS('les arrets'!G:G,'les arrets'!B:B,'synthèse 312'!$A145-1,'les arrets'!C:C,'synthèse 312'!J$2)</f>
        <v>0</v>
      </c>
      <c r="K145" s="258">
        <f>8-SUMIFS('les arrets'!G:G,'les arrets'!B:B,'synthèse 312'!$A145,'les arrets'!C:C,'synthèse 312'!K$2)</f>
        <v>0.83333333333333393</v>
      </c>
      <c r="L145" s="258">
        <f>8-SUMIFS('les arrets'!G:G,'les arrets'!B:B,'synthèse 312'!A145,'les arrets'!C:C,'synthèse 312'!L$2)</f>
        <v>6.85</v>
      </c>
      <c r="M145" s="258">
        <f t="shared" si="18"/>
        <v>7.6833333333333336</v>
      </c>
      <c r="N145" s="248">
        <f>SUMIFS(criblage!$R:$R,criblage!$B:$B,'synthèse 312'!$A145-1,criblage!$C:$C,'synthèse 312'!N$2)</f>
        <v>0</v>
      </c>
      <c r="O145" s="248">
        <f>SUMIFS(criblage!$R:$R,criblage!$B:$B,'synthèse 312'!$A145,criblage!$C:$C,'synthèse 312'!O$2)</f>
        <v>0</v>
      </c>
      <c r="P145" s="248">
        <f>SUMIFS(criblage!$R:$R,criblage!$B:$B,'synthèse 312'!$A145,criblage!$C:$C,'synthèse 312'!P$2)</f>
        <v>7.49</v>
      </c>
      <c r="Q145" s="248">
        <f t="shared" si="19"/>
        <v>7.49</v>
      </c>
      <c r="R145" s="249" t="e">
        <f t="shared" si="23"/>
        <v>#DIV/0!</v>
      </c>
      <c r="S145" s="249">
        <f t="shared" si="20"/>
        <v>835.19999999999936</v>
      </c>
      <c r="T145" s="249">
        <f t="shared" si="21"/>
        <v>862.62773722627742</v>
      </c>
      <c r="U145" s="249" t="e">
        <f t="shared" si="22"/>
        <v>#DIV/0!</v>
      </c>
    </row>
    <row r="146" spans="1:21" x14ac:dyDescent="0.25">
      <c r="A146" s="244">
        <v>45069</v>
      </c>
      <c r="B146" s="252">
        <f>SUMIFS(criblage!$P:$P,criblage!$B:$B,'synthèse 312'!A146-1,criblage!$C:$C,'synthèse 312'!B$2)</f>
        <v>0</v>
      </c>
      <c r="C146" s="252">
        <f>SUMIFS(criblage!$P:$P,criblage!$B:$B,'synthèse 312'!$A146,criblage!$C:$C,'synthèse 312'!C$2)</f>
        <v>0</v>
      </c>
      <c r="D146" s="252">
        <f>SUMIFS(criblage!$P:$P,criblage!$B:$B,'synthèse 312'!$A146,criblage!$C:$C,'synthèse 312'!D$2)</f>
        <v>0</v>
      </c>
      <c r="E146" s="252">
        <f t="shared" si="16"/>
        <v>0</v>
      </c>
      <c r="F146" s="254">
        <f>SUMIFS(criblage!$O:$O,criblage!$B:$B,'synthèse 312'!$A146-1,criblage!$C:$C,'synthèse 312'!F$2)</f>
        <v>5457</v>
      </c>
      <c r="G146" s="254">
        <f>SUMIFS(criblage!$O:$O,criblage!$B:$B,'synthèse 312'!$A146,criblage!$C:$C,'synthèse 312'!G$2)</f>
        <v>3127</v>
      </c>
      <c r="H146" s="254">
        <f>SUMIFS(criblage!$O:$O,criblage!$B:$B,'synthèse 312'!$A146,criblage!$C:$C,'synthèse 312'!H$2)</f>
        <v>0</v>
      </c>
      <c r="I146" s="254">
        <f t="shared" si="17"/>
        <v>8584</v>
      </c>
      <c r="J146" s="258">
        <f>8-SUMIFS('les arrets'!G:G,'les arrets'!B:B,'synthèse 312'!$A146-1,'les arrets'!C:C,'synthèse 312'!J$2)</f>
        <v>6.7833333333333332</v>
      </c>
      <c r="K146" s="258">
        <f>8-SUMIFS('les arrets'!G:G,'les arrets'!B:B,'synthèse 312'!$A146,'les arrets'!C:C,'synthèse 312'!K$2)</f>
        <v>3.8833333333333337</v>
      </c>
      <c r="L146" s="258">
        <f>8-SUMIFS('les arrets'!G:G,'les arrets'!B:B,'synthèse 312'!A146,'les arrets'!C:C,'synthèse 312'!L$2)</f>
        <v>0</v>
      </c>
      <c r="M146" s="258">
        <f t="shared" si="18"/>
        <v>10.666666666666668</v>
      </c>
      <c r="N146" s="248">
        <f>SUMIFS(criblage!$R:$R,criblage!$B:$B,'synthèse 312'!$A146-1,criblage!$C:$C,'synthèse 312'!N$2)</f>
        <v>6.26</v>
      </c>
      <c r="O146" s="248">
        <f>SUMIFS(criblage!$R:$R,criblage!$B:$B,'synthèse 312'!$A146,criblage!$C:$C,'synthèse 312'!O$2)</f>
        <v>3.45</v>
      </c>
      <c r="P146" s="248">
        <f>SUMIFS(criblage!$R:$R,criblage!$B:$B,'synthèse 312'!$A146,criblage!$C:$C,'synthèse 312'!P$2)</f>
        <v>0</v>
      </c>
      <c r="Q146" s="248">
        <f t="shared" si="19"/>
        <v>9.7100000000000009</v>
      </c>
      <c r="R146" s="249">
        <f t="shared" si="23"/>
        <v>804.4717444717445</v>
      </c>
      <c r="S146" s="249">
        <f t="shared" si="20"/>
        <v>805.23605150214587</v>
      </c>
      <c r="T146" s="249">
        <f t="shared" si="21"/>
        <v>0</v>
      </c>
      <c r="U146" s="249">
        <f t="shared" si="22"/>
        <v>536.56926532463012</v>
      </c>
    </row>
    <row r="147" spans="1:21" x14ac:dyDescent="0.25">
      <c r="A147" s="244">
        <v>45070</v>
      </c>
      <c r="B147" s="252">
        <f>SUMIFS(criblage!$P:$P,criblage!$B:$B,'synthèse 312'!A147-1,criblage!$C:$C,'synthèse 312'!B$2)</f>
        <v>0</v>
      </c>
      <c r="C147" s="252">
        <f>SUMIFS(criblage!$P:$P,criblage!$B:$B,'synthèse 312'!$A147,criblage!$C:$C,'synthèse 312'!C$2)</f>
        <v>0</v>
      </c>
      <c r="D147" s="252">
        <f>SUMIFS(criblage!$P:$P,criblage!$B:$B,'synthèse 312'!$A147,criblage!$C:$C,'synthèse 312'!D$2)</f>
        <v>0</v>
      </c>
      <c r="E147" s="252">
        <f t="shared" si="16"/>
        <v>0</v>
      </c>
      <c r="F147" s="254">
        <f>SUMIFS(criblage!$O:$O,criblage!$B:$B,'synthèse 312'!$A147-1,criblage!$C:$C,'synthèse 312'!F$2)</f>
        <v>0</v>
      </c>
      <c r="G147" s="254">
        <f>SUMIFS(criblage!$O:$O,criblage!$B:$B,'synthèse 312'!$A147,criblage!$C:$C,'synthèse 312'!G$2)</f>
        <v>0</v>
      </c>
      <c r="H147" s="254">
        <f>SUMIFS(criblage!$O:$O,criblage!$B:$B,'synthèse 312'!$A147,criblage!$C:$C,'synthèse 312'!H$2)</f>
        <v>0</v>
      </c>
      <c r="I147" s="254">
        <f t="shared" si="17"/>
        <v>0</v>
      </c>
      <c r="J147" s="258">
        <f>8-SUMIFS('les arrets'!G:G,'les arrets'!B:B,'synthèse 312'!$A147-1,'les arrets'!C:C,'synthèse 312'!J$2)</f>
        <v>0</v>
      </c>
      <c r="K147" s="258">
        <f>8-SUMIFS('les arrets'!G:G,'les arrets'!B:B,'synthèse 312'!$A147,'les arrets'!C:C,'synthèse 312'!K$2)</f>
        <v>0</v>
      </c>
      <c r="L147" s="258">
        <f>8-SUMIFS('les arrets'!G:G,'les arrets'!B:B,'synthèse 312'!A147,'les arrets'!C:C,'synthèse 312'!L$2)</f>
        <v>3.25</v>
      </c>
      <c r="M147" s="258">
        <f t="shared" si="18"/>
        <v>3.25</v>
      </c>
      <c r="N147" s="248">
        <f>SUMIFS(criblage!$R:$R,criblage!$B:$B,'synthèse 312'!$A147-1,criblage!$C:$C,'synthèse 312'!N$2)</f>
        <v>0</v>
      </c>
      <c r="O147" s="248">
        <f>SUMIFS(criblage!$R:$R,criblage!$B:$B,'synthèse 312'!$A147,criblage!$C:$C,'synthèse 312'!O$2)</f>
        <v>0</v>
      </c>
      <c r="P147" s="248">
        <f>SUMIFS(criblage!$R:$R,criblage!$B:$B,'synthèse 312'!$A147,criblage!$C:$C,'synthèse 312'!P$2)</f>
        <v>3.05</v>
      </c>
      <c r="Q147" s="248">
        <f t="shared" si="19"/>
        <v>3.05</v>
      </c>
      <c r="R147" s="249" t="e">
        <f t="shared" si="23"/>
        <v>#DIV/0!</v>
      </c>
      <c r="S147" s="249">
        <f t="shared" si="20"/>
        <v>0</v>
      </c>
      <c r="T147" s="249">
        <f t="shared" si="21"/>
        <v>0</v>
      </c>
      <c r="U147" s="249" t="e">
        <f t="shared" si="22"/>
        <v>#DIV/0!</v>
      </c>
    </row>
    <row r="148" spans="1:21" x14ac:dyDescent="0.25">
      <c r="A148" s="244">
        <v>45071</v>
      </c>
      <c r="B148" s="252">
        <f>SUMIFS(criblage!$P:$P,criblage!$B:$B,'synthèse 312'!A148-1,criblage!$C:$C,'synthèse 312'!B$2)</f>
        <v>0</v>
      </c>
      <c r="C148" s="252">
        <f>SUMIFS(criblage!$P:$P,criblage!$B:$B,'synthèse 312'!$A148,criblage!$C:$C,'synthèse 312'!C$2)</f>
        <v>0</v>
      </c>
      <c r="D148" s="252">
        <f>SUMIFS(criblage!$P:$P,criblage!$B:$B,'synthèse 312'!$A148,criblage!$C:$C,'synthèse 312'!D$2)</f>
        <v>0</v>
      </c>
      <c r="E148" s="252">
        <f t="shared" si="16"/>
        <v>0</v>
      </c>
      <c r="F148" s="254">
        <f>SUMIFS(criblage!$O:$O,criblage!$B:$B,'synthèse 312'!$A148-1,criblage!$C:$C,'synthèse 312'!F$2)</f>
        <v>3292</v>
      </c>
      <c r="G148" s="254">
        <f>SUMIFS(criblage!$O:$O,criblage!$B:$B,'synthèse 312'!$A148,criblage!$C:$C,'synthèse 312'!G$2)</f>
        <v>4067</v>
      </c>
      <c r="H148" s="254">
        <f>SUMIFS(criblage!$O:$O,criblage!$B:$B,'synthèse 312'!$A148,criblage!$C:$C,'synthèse 312'!H$2)</f>
        <v>4744</v>
      </c>
      <c r="I148" s="254">
        <f t="shared" si="17"/>
        <v>12103</v>
      </c>
      <c r="J148" s="258">
        <f>8-SUMIFS('les arrets'!G:G,'les arrets'!B:B,'synthèse 312'!$A148-1,'les arrets'!C:C,'synthèse 312'!J$2)</f>
        <v>4.75</v>
      </c>
      <c r="K148" s="258">
        <f>8-SUMIFS('les arrets'!G:G,'les arrets'!B:B,'synthèse 312'!$A148,'les arrets'!C:C,'synthèse 312'!K$2)</f>
        <v>5.8666666666666671</v>
      </c>
      <c r="L148" s="258">
        <f>8-SUMIFS('les arrets'!G:G,'les arrets'!B:B,'synthèse 312'!A148,'les arrets'!C:C,'synthèse 312'!L$2)</f>
        <v>7</v>
      </c>
      <c r="M148" s="258">
        <f t="shared" si="18"/>
        <v>17.616666666666667</v>
      </c>
      <c r="N148" s="248">
        <f>SUMIFS(criblage!$R:$R,criblage!$B:$B,'synthèse 312'!$A148-1,criblage!$C:$C,'synthèse 312'!N$2)</f>
        <v>6.12</v>
      </c>
      <c r="O148" s="248">
        <f>SUMIFS(criblage!$R:$R,criblage!$B:$B,'synthèse 312'!$A148,criblage!$C:$C,'synthèse 312'!O$2)</f>
        <v>5.46</v>
      </c>
      <c r="P148" s="248">
        <f>SUMIFS(criblage!$R:$R,criblage!$B:$B,'synthèse 312'!$A148,criblage!$C:$C,'synthèse 312'!P$2)</f>
        <v>6.7999999999999989</v>
      </c>
      <c r="Q148" s="248">
        <f t="shared" si="19"/>
        <v>18.38</v>
      </c>
      <c r="R148" s="249">
        <f t="shared" si="23"/>
        <v>693.0526315789474</v>
      </c>
      <c r="S148" s="249">
        <f t="shared" si="20"/>
        <v>693.23863636363626</v>
      </c>
      <c r="T148" s="249">
        <f t="shared" si="21"/>
        <v>677.71428571428567</v>
      </c>
      <c r="U148" s="249">
        <f t="shared" si="22"/>
        <v>688.0018512189564</v>
      </c>
    </row>
    <row r="149" spans="1:21" x14ac:dyDescent="0.25">
      <c r="A149" s="244">
        <v>45072</v>
      </c>
      <c r="B149" s="252">
        <f>SUMIFS(criblage!$P:$P,criblage!$B:$B,'synthèse 312'!A149-1,criblage!$C:$C,'synthèse 312'!B$2)</f>
        <v>0</v>
      </c>
      <c r="C149" s="252">
        <f>SUMIFS(criblage!$P:$P,criblage!$B:$B,'synthèse 312'!$A149,criblage!$C:$C,'synthèse 312'!C$2)</f>
        <v>0</v>
      </c>
      <c r="D149" s="252">
        <f>SUMIFS(criblage!$P:$P,criblage!$B:$B,'synthèse 312'!$A149,criblage!$C:$C,'synthèse 312'!D$2)</f>
        <v>0</v>
      </c>
      <c r="E149" s="252">
        <f t="shared" si="16"/>
        <v>0</v>
      </c>
      <c r="F149" s="254">
        <f>SUMIFS(criblage!$O:$O,criblage!$B:$B,'synthèse 312'!$A149-1,criblage!$C:$C,'synthèse 312'!F$2)</f>
        <v>830</v>
      </c>
      <c r="G149" s="254">
        <f>SUMIFS(criblage!$O:$O,criblage!$B:$B,'synthèse 312'!$A149,criblage!$C:$C,'synthèse 312'!G$2)</f>
        <v>3551</v>
      </c>
      <c r="H149" s="254">
        <f>SUMIFS(criblage!$O:$O,criblage!$B:$B,'synthèse 312'!$A149,criblage!$C:$C,'synthèse 312'!H$2)</f>
        <v>4033</v>
      </c>
      <c r="I149" s="254">
        <f t="shared" si="17"/>
        <v>8414</v>
      </c>
      <c r="J149" s="258">
        <f>8-SUMIFS('les arrets'!G:G,'les arrets'!B:B,'synthèse 312'!$A149-1,'les arrets'!C:C,'synthèse 312'!J$2)</f>
        <v>1.25</v>
      </c>
      <c r="K149" s="258">
        <f>8-SUMIFS('les arrets'!G:G,'les arrets'!B:B,'synthèse 312'!$A149,'les arrets'!C:C,'synthèse 312'!K$2)</f>
        <v>5.0999999999999996</v>
      </c>
      <c r="L149" s="258">
        <f>8-SUMIFS('les arrets'!G:G,'les arrets'!B:B,'synthèse 312'!A149,'les arrets'!C:C,'synthèse 312'!L$2)</f>
        <v>5.8333333333333339</v>
      </c>
      <c r="M149" s="258">
        <f t="shared" si="18"/>
        <v>12.183333333333334</v>
      </c>
      <c r="N149" s="248">
        <f>SUMIFS(criblage!$R:$R,criblage!$B:$B,'synthèse 312'!$A149-1,criblage!$C:$C,'synthèse 312'!N$2)</f>
        <v>1.49</v>
      </c>
      <c r="O149" s="248">
        <f>SUMIFS(criblage!$R:$R,criblage!$B:$B,'synthèse 312'!$A149,criblage!$C:$C,'synthèse 312'!O$2)</f>
        <v>5.51</v>
      </c>
      <c r="P149" s="248">
        <f>SUMIFS(criblage!$R:$R,criblage!$B:$B,'synthèse 312'!$A149,criblage!$C:$C,'synthèse 312'!P$2)</f>
        <v>6.11</v>
      </c>
      <c r="Q149" s="248">
        <f t="shared" si="19"/>
        <v>13.11</v>
      </c>
      <c r="R149" s="249">
        <f t="shared" si="23"/>
        <v>664</v>
      </c>
      <c r="S149" s="249">
        <f t="shared" si="20"/>
        <v>696.27450980392166</v>
      </c>
      <c r="T149" s="249">
        <f t="shared" si="21"/>
        <v>691.37142857142851</v>
      </c>
      <c r="U149" s="249">
        <f t="shared" si="22"/>
        <v>683.88197945845013</v>
      </c>
    </row>
    <row r="150" spans="1:21" x14ac:dyDescent="0.25">
      <c r="A150" s="244">
        <v>45073</v>
      </c>
      <c r="B150" s="252">
        <f>SUMIFS(criblage!$P:$P,criblage!$B:$B,'synthèse 312'!A150-1,criblage!$C:$C,'synthèse 312'!B$2)</f>
        <v>0</v>
      </c>
      <c r="C150" s="252">
        <f>SUMIFS(criblage!$P:$P,criblage!$B:$B,'synthèse 312'!$A150,criblage!$C:$C,'synthèse 312'!C$2)</f>
        <v>0</v>
      </c>
      <c r="D150" s="252">
        <f>SUMIFS(criblage!$P:$P,criblage!$B:$B,'synthèse 312'!$A150,criblage!$C:$C,'synthèse 312'!D$2)</f>
        <v>0</v>
      </c>
      <c r="E150" s="252">
        <f t="shared" si="16"/>
        <v>0</v>
      </c>
      <c r="F150" s="254">
        <f>SUMIFS(criblage!$O:$O,criblage!$B:$B,'synthèse 312'!$A150-1,criblage!$C:$C,'synthèse 312'!F$2)</f>
        <v>4958</v>
      </c>
      <c r="G150" s="254">
        <f>SUMIFS(criblage!$O:$O,criblage!$B:$B,'synthèse 312'!$A150,criblage!$C:$C,'synthèse 312'!G$2)</f>
        <v>0</v>
      </c>
      <c r="H150" s="254">
        <f>SUMIFS(criblage!$O:$O,criblage!$B:$B,'synthèse 312'!$A150,criblage!$C:$C,'synthèse 312'!H$2)</f>
        <v>0</v>
      </c>
      <c r="I150" s="254">
        <f t="shared" si="17"/>
        <v>4958</v>
      </c>
      <c r="J150" s="258">
        <f>8-SUMIFS('les arrets'!G:G,'les arrets'!B:B,'synthèse 312'!$A150-1,'les arrets'!C:C,'synthèse 312'!J$2)</f>
        <v>6.333333333333333</v>
      </c>
      <c r="K150" s="258">
        <f>8-SUMIFS('les arrets'!G:G,'les arrets'!B:B,'synthèse 312'!$A150,'les arrets'!C:C,'synthèse 312'!K$2)</f>
        <v>0</v>
      </c>
      <c r="L150" s="258">
        <f>8-SUMIFS('les arrets'!G:G,'les arrets'!B:B,'synthèse 312'!A150,'les arrets'!C:C,'synthèse 312'!L$2)</f>
        <v>0</v>
      </c>
      <c r="M150" s="258">
        <f t="shared" si="18"/>
        <v>6.333333333333333</v>
      </c>
      <c r="N150" s="248">
        <f>SUMIFS(criblage!$R:$R,criblage!$B:$B,'synthèse 312'!$A150-1,criblage!$C:$C,'synthèse 312'!N$2)</f>
        <v>11.42</v>
      </c>
      <c r="O150" s="248">
        <f>SUMIFS(criblage!$R:$R,criblage!$B:$B,'synthèse 312'!$A150,criblage!$C:$C,'synthèse 312'!O$2)</f>
        <v>0</v>
      </c>
      <c r="P150" s="248">
        <f>SUMIFS(criblage!$R:$R,criblage!$B:$B,'synthèse 312'!$A150,criblage!$C:$C,'synthèse 312'!P$2)</f>
        <v>0</v>
      </c>
      <c r="Q150" s="248">
        <f t="shared" si="19"/>
        <v>11.42</v>
      </c>
      <c r="R150" s="249">
        <f t="shared" si="23"/>
        <v>782.84210526315792</v>
      </c>
      <c r="S150" s="249">
        <f t="shared" si="20"/>
        <v>0</v>
      </c>
      <c r="T150" s="249">
        <f t="shared" si="21"/>
        <v>0</v>
      </c>
      <c r="U150" s="249">
        <f t="shared" si="22"/>
        <v>260.94736842105266</v>
      </c>
    </row>
    <row r="151" spans="1:21" x14ac:dyDescent="0.25">
      <c r="A151" s="244">
        <v>45074</v>
      </c>
      <c r="B151" s="252">
        <f>SUMIFS(criblage!$P:$P,criblage!$B:$B,'synthèse 312'!A151-1,criblage!$C:$C,'synthèse 312'!B$2)</f>
        <v>0</v>
      </c>
      <c r="C151" s="252">
        <f>SUMIFS(criblage!$P:$P,criblage!$B:$B,'synthèse 312'!$A151,criblage!$C:$C,'synthèse 312'!C$2)</f>
        <v>0</v>
      </c>
      <c r="D151" s="252">
        <f>SUMIFS(criblage!$P:$P,criblage!$B:$B,'synthèse 312'!$A151,criblage!$C:$C,'synthèse 312'!D$2)</f>
        <v>0</v>
      </c>
      <c r="E151" s="252">
        <f t="shared" si="16"/>
        <v>0</v>
      </c>
      <c r="F151" s="254">
        <f>SUMIFS(criblage!$O:$O,criblage!$B:$B,'synthèse 312'!$A151-1,criblage!$C:$C,'synthèse 312'!F$2)</f>
        <v>0</v>
      </c>
      <c r="G151" s="254">
        <f>SUMIFS(criblage!$O:$O,criblage!$B:$B,'synthèse 312'!$A151,criblage!$C:$C,'synthèse 312'!G$2)</f>
        <v>0</v>
      </c>
      <c r="H151" s="254">
        <f>SUMIFS(criblage!$O:$O,criblage!$B:$B,'synthèse 312'!$A151,criblage!$C:$C,'synthèse 312'!H$2)</f>
        <v>0</v>
      </c>
      <c r="I151" s="254">
        <f t="shared" si="17"/>
        <v>0</v>
      </c>
      <c r="J151" s="258">
        <f>8-SUMIFS('les arrets'!G:G,'les arrets'!B:B,'synthèse 312'!$A151-1,'les arrets'!C:C,'synthèse 312'!J$2)</f>
        <v>0</v>
      </c>
      <c r="K151" s="258">
        <f>8-SUMIFS('les arrets'!G:G,'les arrets'!B:B,'synthèse 312'!$A151,'les arrets'!C:C,'synthèse 312'!K$2)</f>
        <v>0</v>
      </c>
      <c r="L151" s="258">
        <f>8-SUMIFS('les arrets'!G:G,'les arrets'!B:B,'synthèse 312'!A151,'les arrets'!C:C,'synthèse 312'!L$2)</f>
        <v>0</v>
      </c>
      <c r="M151" s="258">
        <f t="shared" si="18"/>
        <v>0</v>
      </c>
      <c r="N151" s="248">
        <f>SUMIFS(criblage!$R:$R,criblage!$B:$B,'synthèse 312'!$A151-1,criblage!$C:$C,'synthèse 312'!N$2)</f>
        <v>0</v>
      </c>
      <c r="O151" s="248">
        <f>SUMIFS(criblage!$R:$R,criblage!$B:$B,'synthèse 312'!$A151,criblage!$C:$C,'synthèse 312'!O$2)</f>
        <v>0</v>
      </c>
      <c r="P151" s="248">
        <f>SUMIFS(criblage!$R:$R,criblage!$B:$B,'synthèse 312'!$A151,criblage!$C:$C,'synthèse 312'!P$2)</f>
        <v>0</v>
      </c>
      <c r="Q151" s="248">
        <f t="shared" si="19"/>
        <v>0</v>
      </c>
      <c r="R151" s="249" t="e">
        <f t="shared" si="23"/>
        <v>#DIV/0!</v>
      </c>
      <c r="S151" s="249">
        <f t="shared" si="20"/>
        <v>0</v>
      </c>
      <c r="T151" s="249">
        <f t="shared" si="21"/>
        <v>0</v>
      </c>
      <c r="U151" s="249" t="e">
        <f t="shared" si="22"/>
        <v>#DIV/0!</v>
      </c>
    </row>
    <row r="152" spans="1:21" x14ac:dyDescent="0.25">
      <c r="A152" s="244">
        <v>45075</v>
      </c>
      <c r="B152" s="252">
        <f>SUMIFS(criblage!$P:$P,criblage!$B:$B,'synthèse 312'!A152-1,criblage!$C:$C,'synthèse 312'!B$2)</f>
        <v>0</v>
      </c>
      <c r="C152" s="252">
        <f>SUMIFS(criblage!$P:$P,criblage!$B:$B,'synthèse 312'!$A152,criblage!$C:$C,'synthèse 312'!C$2)</f>
        <v>0</v>
      </c>
      <c r="D152" s="252">
        <f>SUMIFS(criblage!$P:$P,criblage!$B:$B,'synthèse 312'!$A152,criblage!$C:$C,'synthèse 312'!D$2)</f>
        <v>0</v>
      </c>
      <c r="E152" s="252">
        <f t="shared" si="16"/>
        <v>0</v>
      </c>
      <c r="F152" s="254">
        <f>SUMIFS(criblage!$O:$O,criblage!$B:$B,'synthèse 312'!$A152-1,criblage!$C:$C,'synthèse 312'!F$2)</f>
        <v>0</v>
      </c>
      <c r="G152" s="254">
        <f>SUMIFS(criblage!$O:$O,criblage!$B:$B,'synthèse 312'!$A152,criblage!$C:$C,'synthèse 312'!G$2)</f>
        <v>3613</v>
      </c>
      <c r="H152" s="254">
        <f>SUMIFS(criblage!$O:$O,criblage!$B:$B,'synthèse 312'!$A152,criblage!$C:$C,'synthèse 312'!H$2)</f>
        <v>4296</v>
      </c>
      <c r="I152" s="254">
        <f t="shared" si="17"/>
        <v>7909</v>
      </c>
      <c r="J152" s="258">
        <f>8-SUMIFS('les arrets'!G:G,'les arrets'!B:B,'synthèse 312'!$A152-1,'les arrets'!C:C,'synthèse 312'!J$2)</f>
        <v>0</v>
      </c>
      <c r="K152" s="258">
        <f>8-SUMIFS('les arrets'!G:G,'les arrets'!B:B,'synthèse 312'!$A152,'les arrets'!C:C,'synthèse 312'!K$2)</f>
        <v>5</v>
      </c>
      <c r="L152" s="258">
        <f>8-SUMIFS('les arrets'!G:G,'les arrets'!B:B,'synthèse 312'!A152,'les arrets'!C:C,'synthèse 312'!L$2)</f>
        <v>6.416666666666667</v>
      </c>
      <c r="M152" s="258">
        <f t="shared" si="18"/>
        <v>11.416666666666668</v>
      </c>
      <c r="N152" s="248">
        <f>SUMIFS(criblage!$R:$R,criblage!$B:$B,'synthèse 312'!$A152-1,criblage!$C:$C,'synthèse 312'!N$2)</f>
        <v>0</v>
      </c>
      <c r="O152" s="248">
        <f>SUMIFS(criblage!$R:$R,criblage!$B:$B,'synthèse 312'!$A152,criblage!$C:$C,'synthèse 312'!O$2)</f>
        <v>6.1</v>
      </c>
      <c r="P152" s="248">
        <f>SUMIFS(criblage!$R:$R,criblage!$B:$B,'synthèse 312'!$A152,criblage!$C:$C,'synthèse 312'!P$2)</f>
        <v>11.75</v>
      </c>
      <c r="Q152" s="248">
        <f t="shared" si="19"/>
        <v>17.850000000000001</v>
      </c>
      <c r="R152" s="249" t="e">
        <f t="shared" si="23"/>
        <v>#DIV/0!</v>
      </c>
      <c r="S152" s="249">
        <f t="shared" si="20"/>
        <v>722.6</v>
      </c>
      <c r="T152" s="249">
        <f t="shared" si="21"/>
        <v>669.50649350649348</v>
      </c>
      <c r="U152" s="249" t="e">
        <f t="shared" si="22"/>
        <v>#DIV/0!</v>
      </c>
    </row>
    <row r="153" spans="1:21" x14ac:dyDescent="0.25">
      <c r="A153" s="244">
        <v>45076</v>
      </c>
      <c r="B153" s="252">
        <f>SUMIFS(criblage!$P:$P,criblage!$B:$B,'synthèse 312'!A153-1,criblage!$C:$C,'synthèse 312'!B$2)</f>
        <v>0</v>
      </c>
      <c r="C153" s="252">
        <f>SUMIFS(criblage!$P:$P,criblage!$B:$B,'synthèse 312'!$A153,criblage!$C:$C,'synthèse 312'!C$2)</f>
        <v>0</v>
      </c>
      <c r="D153" s="252">
        <f>SUMIFS(criblage!$P:$P,criblage!$B:$B,'synthèse 312'!$A153,criblage!$C:$C,'synthèse 312'!D$2)</f>
        <v>0</v>
      </c>
      <c r="E153" s="252">
        <f t="shared" si="16"/>
        <v>0</v>
      </c>
      <c r="F153" s="254">
        <f>SUMIFS(criblage!$O:$O,criblage!$B:$B,'synthèse 312'!$A153-1,criblage!$C:$C,'synthèse 312'!F$2)</f>
        <v>4240</v>
      </c>
      <c r="G153" s="254">
        <f>SUMIFS(criblage!$O:$O,criblage!$B:$B,'synthèse 312'!$A153,criblage!$C:$C,'synthèse 312'!G$2)</f>
        <v>3153</v>
      </c>
      <c r="H153" s="254">
        <f>SUMIFS(criblage!$O:$O,criblage!$B:$B,'synthèse 312'!$A153,criblage!$C:$C,'synthèse 312'!H$2)</f>
        <v>2173</v>
      </c>
      <c r="I153" s="254">
        <f t="shared" si="17"/>
        <v>9566</v>
      </c>
      <c r="J153" s="258">
        <f>8-SUMIFS('les arrets'!G:G,'les arrets'!B:B,'synthèse 312'!$A153-1,'les arrets'!C:C,'synthèse 312'!J$2)</f>
        <v>5.7666666666666666</v>
      </c>
      <c r="K153" s="258">
        <f>8-SUMIFS('les arrets'!G:G,'les arrets'!B:B,'synthèse 312'!$A153,'les arrets'!C:C,'synthèse 312'!K$2)</f>
        <v>4.4833333333333334</v>
      </c>
      <c r="L153" s="258">
        <f>8-SUMIFS('les arrets'!G:G,'les arrets'!B:B,'synthèse 312'!A153,'les arrets'!C:C,'synthèse 312'!L$2)</f>
        <v>2.666666666666667</v>
      </c>
      <c r="M153" s="258">
        <f t="shared" si="18"/>
        <v>12.916666666666668</v>
      </c>
      <c r="N153" s="248">
        <f>SUMIFS(criblage!$R:$R,criblage!$B:$B,'synthèse 312'!$A153-1,criblage!$C:$C,'synthèse 312'!N$2)</f>
        <v>6.69</v>
      </c>
      <c r="O153" s="248">
        <f>SUMIFS(criblage!$R:$R,criblage!$B:$B,'synthèse 312'!$A153,criblage!$C:$C,'synthèse 312'!O$2)</f>
        <v>4.75</v>
      </c>
      <c r="P153" s="248">
        <f>SUMIFS(criblage!$R:$R,criblage!$B:$B,'synthèse 312'!$A153,criblage!$C:$C,'synthèse 312'!P$2)</f>
        <v>3.09</v>
      </c>
      <c r="Q153" s="248">
        <f t="shared" si="19"/>
        <v>14.530000000000001</v>
      </c>
      <c r="R153" s="249">
        <f t="shared" si="23"/>
        <v>735.26011560693644</v>
      </c>
      <c r="S153" s="249">
        <f t="shared" si="20"/>
        <v>703.27137546468396</v>
      </c>
      <c r="T153" s="249">
        <f t="shared" si="21"/>
        <v>814.87499999999989</v>
      </c>
      <c r="U153" s="249">
        <f t="shared" si="22"/>
        <v>751.13549702387343</v>
      </c>
    </row>
    <row r="154" spans="1:21" x14ac:dyDescent="0.25">
      <c r="A154" s="244">
        <v>45077</v>
      </c>
      <c r="B154" s="252">
        <f>SUMIFS(criblage!$P:$P,criblage!$B:$B,'synthèse 312'!A154-1,criblage!$C:$C,'synthèse 312'!B$2)</f>
        <v>0</v>
      </c>
      <c r="C154" s="252">
        <f>SUMIFS(criblage!$P:$P,criblage!$B:$B,'synthèse 312'!$A154,criblage!$C:$C,'synthèse 312'!C$2)</f>
        <v>0</v>
      </c>
      <c r="D154" s="252">
        <f>SUMIFS(criblage!$P:$P,criblage!$B:$B,'synthèse 312'!$A154,criblage!$C:$C,'synthèse 312'!D$2)</f>
        <v>0</v>
      </c>
      <c r="E154" s="252">
        <f t="shared" si="16"/>
        <v>0</v>
      </c>
      <c r="F154" s="254">
        <f>SUMIFS(criblage!$O:$O,criblage!$B:$B,'synthèse 312'!$A154-1,criblage!$C:$C,'synthèse 312'!F$2)</f>
        <v>5258</v>
      </c>
      <c r="G154" s="254">
        <f>SUMIFS(criblage!$O:$O,criblage!$B:$B,'synthèse 312'!$A154,criblage!$C:$C,'synthèse 312'!G$2)</f>
        <v>5160</v>
      </c>
      <c r="H154" s="254">
        <f>SUMIFS(criblage!$O:$O,criblage!$B:$B,'synthèse 312'!$A154,criblage!$C:$C,'synthèse 312'!H$2)</f>
        <v>5228</v>
      </c>
      <c r="I154" s="254">
        <f t="shared" si="17"/>
        <v>15646</v>
      </c>
      <c r="J154" s="258">
        <f>8-SUMIFS('les arrets'!G:G,'les arrets'!B:B,'synthèse 312'!$A154-1,'les arrets'!C:C,'synthèse 312'!J$2)</f>
        <v>6.2333333333333334</v>
      </c>
      <c r="K154" s="258">
        <f>8-SUMIFS('les arrets'!G:G,'les arrets'!B:B,'synthèse 312'!$A154,'les arrets'!C:C,'synthèse 312'!K$2)</f>
        <v>5.3833333333333329</v>
      </c>
      <c r="L154" s="258">
        <f>8-SUMIFS('les arrets'!G:G,'les arrets'!B:B,'synthèse 312'!A154,'les arrets'!C:C,'synthèse 312'!L$2)</f>
        <v>5.916666666666667</v>
      </c>
      <c r="M154" s="258">
        <f t="shared" si="18"/>
        <v>17.533333333333335</v>
      </c>
      <c r="N154" s="248">
        <f>SUMIFS(criblage!$R:$R,criblage!$B:$B,'synthèse 312'!$A154-1,criblage!$C:$C,'synthèse 312'!N$2)</f>
        <v>7.13</v>
      </c>
      <c r="O154" s="248">
        <f>SUMIFS(criblage!$R:$R,criblage!$B:$B,'synthèse 312'!$A154,criblage!$C:$C,'synthèse 312'!O$2)</f>
        <v>5.47</v>
      </c>
      <c r="P154" s="248">
        <f>SUMIFS(criblage!$R:$R,criblage!$B:$B,'synthèse 312'!$A154,criblage!$C:$C,'synthèse 312'!P$2)</f>
        <v>6.52</v>
      </c>
      <c r="Q154" s="248">
        <f t="shared" si="19"/>
        <v>19.119999999999997</v>
      </c>
      <c r="R154" s="249">
        <f t="shared" si="23"/>
        <v>843.52941176470586</v>
      </c>
      <c r="S154" s="249">
        <f t="shared" si="20"/>
        <v>958.51393188854502</v>
      </c>
      <c r="T154" s="249">
        <f t="shared" si="21"/>
        <v>883.6056338028169</v>
      </c>
      <c r="U154" s="249">
        <f t="shared" si="22"/>
        <v>895.21632581868926</v>
      </c>
    </row>
    <row r="155" spans="1:21" x14ac:dyDescent="0.25">
      <c r="A155" s="244">
        <v>45078</v>
      </c>
      <c r="B155" s="252">
        <f>SUMIFS(criblage!$P:$P,criblage!$B:$B,'synthèse 312'!A155-1,criblage!$C:$C,'synthèse 312'!B$2)</f>
        <v>0</v>
      </c>
      <c r="C155" s="252">
        <f>SUMIFS(criblage!$P:$P,criblage!$B:$B,'synthèse 312'!$A155,criblage!$C:$C,'synthèse 312'!C$2)</f>
        <v>0</v>
      </c>
      <c r="D155" s="252">
        <f>SUMIFS(criblage!$P:$P,criblage!$B:$B,'synthèse 312'!$A155,criblage!$C:$C,'synthèse 312'!D$2)</f>
        <v>0</v>
      </c>
      <c r="E155" s="252">
        <f t="shared" si="16"/>
        <v>0</v>
      </c>
      <c r="F155" s="254">
        <f>SUMIFS(criblage!$O:$O,criblage!$B:$B,'synthèse 312'!$A155-1,criblage!$C:$C,'synthèse 312'!F$2)</f>
        <v>4508</v>
      </c>
      <c r="G155" s="254">
        <f>SUMIFS(criblage!$O:$O,criblage!$B:$B,'synthèse 312'!$A155,criblage!$C:$C,'synthèse 312'!G$2)</f>
        <v>69</v>
      </c>
      <c r="H155" s="254">
        <f>SUMIFS(criblage!$O:$O,criblage!$B:$B,'synthèse 312'!$A155,criblage!$C:$C,'synthèse 312'!H$2)</f>
        <v>0</v>
      </c>
      <c r="I155" s="254">
        <f t="shared" si="17"/>
        <v>4577</v>
      </c>
      <c r="J155" s="258">
        <f>8-SUMIFS('les arrets'!G:G,'les arrets'!B:B,'synthèse 312'!$A155-1,'les arrets'!C:C,'synthèse 312'!J$2)</f>
        <v>5.85</v>
      </c>
      <c r="K155" s="258">
        <f>8-SUMIFS('les arrets'!G:G,'les arrets'!B:B,'synthèse 312'!$A155,'les arrets'!C:C,'synthèse 312'!K$2)</f>
        <v>0</v>
      </c>
      <c r="L155" s="258">
        <f>8-SUMIFS('les arrets'!G:G,'les arrets'!B:B,'synthèse 312'!A155,'les arrets'!C:C,'synthèse 312'!L$2)</f>
        <v>0</v>
      </c>
      <c r="M155" s="258">
        <f t="shared" si="18"/>
        <v>5.85</v>
      </c>
      <c r="N155" s="248">
        <f>SUMIFS(criblage!$R:$R,criblage!$B:$B,'synthèse 312'!$A155-1,criblage!$C:$C,'synthèse 312'!N$2)</f>
        <v>6.98</v>
      </c>
      <c r="O155" s="248">
        <f>SUMIFS(criblage!$R:$R,criblage!$B:$B,'synthèse 312'!$A155,criblage!$C:$C,'synthèse 312'!O$2)</f>
        <v>0.25</v>
      </c>
      <c r="P155" s="248">
        <f>SUMIFS(criblage!$R:$R,criblage!$B:$B,'synthèse 312'!$A155,criblage!$C:$C,'synthèse 312'!P$2)</f>
        <v>0</v>
      </c>
      <c r="Q155" s="248">
        <f t="shared" si="19"/>
        <v>7.23</v>
      </c>
      <c r="R155" s="249">
        <f t="shared" si="23"/>
        <v>770.59829059829065</v>
      </c>
      <c r="S155" s="249">
        <f t="shared" si="20"/>
        <v>0</v>
      </c>
      <c r="T155" s="249">
        <f t="shared" si="21"/>
        <v>0</v>
      </c>
      <c r="U155" s="249">
        <f t="shared" si="22"/>
        <v>256.86609686609688</v>
      </c>
    </row>
    <row r="156" spans="1:21" x14ac:dyDescent="0.25">
      <c r="A156" s="244">
        <v>45079</v>
      </c>
      <c r="B156" s="252">
        <f>SUMIFS(criblage!$P:$P,criblage!$B:$B,'synthèse 312'!A156-1,criblage!$C:$C,'synthèse 312'!B$2)</f>
        <v>0</v>
      </c>
      <c r="C156" s="252">
        <f>SUMIFS(criblage!$P:$P,criblage!$B:$B,'synthèse 312'!$A156,criblage!$C:$C,'synthèse 312'!C$2)</f>
        <v>0</v>
      </c>
      <c r="D156" s="252">
        <f>SUMIFS(criblage!$P:$P,criblage!$B:$B,'synthèse 312'!$A156,criblage!$C:$C,'synthèse 312'!D$2)</f>
        <v>0</v>
      </c>
      <c r="E156" s="252">
        <f t="shared" si="16"/>
        <v>0</v>
      </c>
      <c r="F156" s="254">
        <f>SUMIFS(criblage!$O:$O,criblage!$B:$B,'synthèse 312'!$A156-1,criblage!$C:$C,'synthèse 312'!F$2)</f>
        <v>4186</v>
      </c>
      <c r="G156" s="254">
        <f>SUMIFS(criblage!$O:$O,criblage!$B:$B,'synthèse 312'!$A156,criblage!$C:$C,'synthèse 312'!G$2)</f>
        <v>3846</v>
      </c>
      <c r="H156" s="254">
        <f>SUMIFS(criblage!$O:$O,criblage!$B:$B,'synthèse 312'!$A156,criblage!$C:$C,'synthèse 312'!H$2)</f>
        <v>4575</v>
      </c>
      <c r="I156" s="254">
        <f t="shared" si="17"/>
        <v>12607</v>
      </c>
      <c r="J156" s="258">
        <f>8-SUMIFS('les arrets'!G:G,'les arrets'!B:B,'synthèse 312'!$A156-1,'les arrets'!C:C,'synthèse 312'!J$2)</f>
        <v>5.9333333333333336</v>
      </c>
      <c r="K156" s="258">
        <f>8-SUMIFS('les arrets'!G:G,'les arrets'!B:B,'synthèse 312'!$A156,'les arrets'!C:C,'synthèse 312'!K$2)</f>
        <v>5.75</v>
      </c>
      <c r="L156" s="258">
        <f>8-SUMIFS('les arrets'!G:G,'les arrets'!B:B,'synthèse 312'!A156,'les arrets'!C:C,'synthèse 312'!L$2)</f>
        <v>5.9333333333333336</v>
      </c>
      <c r="M156" s="258">
        <f t="shared" si="18"/>
        <v>17.616666666666667</v>
      </c>
      <c r="N156" s="248">
        <f>SUMIFS(criblage!$R:$R,criblage!$B:$B,'synthèse 312'!$A156-1,criblage!$C:$C,'synthèse 312'!N$2)</f>
        <v>6.09</v>
      </c>
      <c r="O156" s="248">
        <f>SUMIFS(criblage!$R:$R,criblage!$B:$B,'synthèse 312'!$A156,criblage!$C:$C,'synthèse 312'!O$2)</f>
        <v>5.6</v>
      </c>
      <c r="P156" s="248">
        <f>SUMIFS(criblage!$R:$R,criblage!$B:$B,'synthèse 312'!$A156,criblage!$C:$C,'synthèse 312'!P$2)</f>
        <v>6.48</v>
      </c>
      <c r="Q156" s="248">
        <f t="shared" si="19"/>
        <v>18.170000000000002</v>
      </c>
      <c r="R156" s="249">
        <f t="shared" si="23"/>
        <v>705.50561797752812</v>
      </c>
      <c r="S156" s="249">
        <f t="shared" si="20"/>
        <v>668.86956521739125</v>
      </c>
      <c r="T156" s="249">
        <f t="shared" si="21"/>
        <v>771.06741573033707</v>
      </c>
      <c r="U156" s="249">
        <f t="shared" si="22"/>
        <v>715.14753297508548</v>
      </c>
    </row>
    <row r="157" spans="1:21" x14ac:dyDescent="0.25">
      <c r="A157" s="244">
        <v>45080</v>
      </c>
      <c r="B157" s="252">
        <f>SUMIFS(criblage!$P:$P,criblage!$B:$B,'synthèse 312'!A157-1,criblage!$C:$C,'synthèse 312'!B$2)</f>
        <v>0</v>
      </c>
      <c r="C157" s="252">
        <f>SUMIFS(criblage!$P:$P,criblage!$B:$B,'synthèse 312'!$A157,criblage!$C:$C,'synthèse 312'!C$2)</f>
        <v>0</v>
      </c>
      <c r="D157" s="252">
        <f>SUMIFS(criblage!$P:$P,criblage!$B:$B,'synthèse 312'!$A157,criblage!$C:$C,'synthèse 312'!D$2)</f>
        <v>0</v>
      </c>
      <c r="E157" s="252">
        <f t="shared" si="16"/>
        <v>0</v>
      </c>
      <c r="F157" s="254">
        <f>SUMIFS(criblage!$O:$O,criblage!$B:$B,'synthèse 312'!$A157-1,criblage!$C:$C,'synthèse 312'!F$2)</f>
        <v>0</v>
      </c>
      <c r="G157" s="254">
        <f>SUMIFS(criblage!$O:$O,criblage!$B:$B,'synthèse 312'!$A157,criblage!$C:$C,'synthèse 312'!G$2)</f>
        <v>0</v>
      </c>
      <c r="H157" s="254">
        <f>SUMIFS(criblage!$O:$O,criblage!$B:$B,'synthèse 312'!$A157,criblage!$C:$C,'synthèse 312'!H$2)</f>
        <v>0</v>
      </c>
      <c r="I157" s="254">
        <f t="shared" si="17"/>
        <v>0</v>
      </c>
      <c r="J157" s="258">
        <f>8-SUMIFS('les arrets'!G:G,'les arrets'!B:B,'synthèse 312'!$A157-1,'les arrets'!C:C,'synthèse 312'!J$2)</f>
        <v>8</v>
      </c>
      <c r="K157" s="258">
        <f>8-SUMIFS('les arrets'!G:G,'les arrets'!B:B,'synthèse 312'!$A157,'les arrets'!C:C,'synthèse 312'!K$2)</f>
        <v>0</v>
      </c>
      <c r="L157" s="258">
        <f>8-SUMIFS('les arrets'!G:G,'les arrets'!B:B,'synthèse 312'!A157,'les arrets'!C:C,'synthèse 312'!L$2)</f>
        <v>0</v>
      </c>
      <c r="M157" s="258">
        <f t="shared" si="18"/>
        <v>8</v>
      </c>
      <c r="N157" s="248">
        <f>SUMIFS(criblage!$R:$R,criblage!$B:$B,'synthèse 312'!$A157-1,criblage!$C:$C,'synthèse 312'!N$2)</f>
        <v>0</v>
      </c>
      <c r="O157" s="248">
        <f>SUMIFS(criblage!$R:$R,criblage!$B:$B,'synthèse 312'!$A157,criblage!$C:$C,'synthèse 312'!O$2)</f>
        <v>0</v>
      </c>
      <c r="P157" s="248">
        <f>SUMIFS(criblage!$R:$R,criblage!$B:$B,'synthèse 312'!$A157,criblage!$C:$C,'synthèse 312'!P$2)</f>
        <v>0</v>
      </c>
      <c r="Q157" s="248">
        <f t="shared" si="19"/>
        <v>0</v>
      </c>
      <c r="R157" s="249">
        <f t="shared" si="23"/>
        <v>0</v>
      </c>
      <c r="S157" s="249">
        <f t="shared" si="20"/>
        <v>0</v>
      </c>
      <c r="T157" s="249">
        <f t="shared" si="21"/>
        <v>0</v>
      </c>
      <c r="U157" s="249">
        <f t="shared" si="22"/>
        <v>0</v>
      </c>
    </row>
    <row r="158" spans="1:21" x14ac:dyDescent="0.25">
      <c r="A158" s="244">
        <v>45081</v>
      </c>
      <c r="B158" s="252">
        <f>SUMIFS(criblage!$P:$P,criblage!$B:$B,'synthèse 312'!A158-1,criblage!$C:$C,'synthèse 312'!B$2)</f>
        <v>0</v>
      </c>
      <c r="C158" s="252">
        <f>SUMIFS(criblage!$P:$P,criblage!$B:$B,'synthèse 312'!$A158,criblage!$C:$C,'synthèse 312'!C$2)</f>
        <v>0</v>
      </c>
      <c r="D158" s="252">
        <f>SUMIFS(criblage!$P:$P,criblage!$B:$B,'synthèse 312'!$A158,criblage!$C:$C,'synthèse 312'!D$2)</f>
        <v>0</v>
      </c>
      <c r="E158" s="252">
        <f t="shared" si="16"/>
        <v>0</v>
      </c>
      <c r="F158" s="254">
        <f>SUMIFS(criblage!$O:$O,criblage!$B:$B,'synthèse 312'!$A158-1,criblage!$C:$C,'synthèse 312'!F$2)</f>
        <v>0</v>
      </c>
      <c r="G158" s="254">
        <f>SUMIFS(criblage!$O:$O,criblage!$B:$B,'synthèse 312'!$A158,criblage!$C:$C,'synthèse 312'!G$2)</f>
        <v>0</v>
      </c>
      <c r="H158" s="254">
        <f>SUMIFS(criblage!$O:$O,criblage!$B:$B,'synthèse 312'!$A158,criblage!$C:$C,'synthèse 312'!H$2)</f>
        <v>0</v>
      </c>
      <c r="I158" s="254">
        <f t="shared" si="17"/>
        <v>0</v>
      </c>
      <c r="J158" s="258">
        <f>8-SUMIFS('les arrets'!G:G,'les arrets'!B:B,'synthèse 312'!$A158-1,'les arrets'!C:C,'synthèse 312'!J$2)</f>
        <v>8</v>
      </c>
      <c r="K158" s="258">
        <f>8-SUMIFS('les arrets'!G:G,'les arrets'!B:B,'synthèse 312'!$A158,'les arrets'!C:C,'synthèse 312'!K$2)</f>
        <v>0</v>
      </c>
      <c r="L158" s="258">
        <f>8-SUMIFS('les arrets'!G:G,'les arrets'!B:B,'synthèse 312'!A158,'les arrets'!C:C,'synthèse 312'!L$2)</f>
        <v>0</v>
      </c>
      <c r="M158" s="258">
        <f t="shared" si="18"/>
        <v>8</v>
      </c>
      <c r="N158" s="248">
        <f>SUMIFS(criblage!$R:$R,criblage!$B:$B,'synthèse 312'!$A158-1,criblage!$C:$C,'synthèse 312'!N$2)</f>
        <v>0</v>
      </c>
      <c r="O158" s="248">
        <f>SUMIFS(criblage!$R:$R,criblage!$B:$B,'synthèse 312'!$A158,criblage!$C:$C,'synthèse 312'!O$2)</f>
        <v>0</v>
      </c>
      <c r="P158" s="248">
        <f>SUMIFS(criblage!$R:$R,criblage!$B:$B,'synthèse 312'!$A158,criblage!$C:$C,'synthèse 312'!P$2)</f>
        <v>0</v>
      </c>
      <c r="Q158" s="248">
        <f t="shared" si="19"/>
        <v>0</v>
      </c>
      <c r="R158" s="249">
        <f t="shared" si="23"/>
        <v>0</v>
      </c>
      <c r="S158" s="249">
        <f t="shared" si="20"/>
        <v>0</v>
      </c>
      <c r="T158" s="249">
        <f t="shared" si="21"/>
        <v>0</v>
      </c>
      <c r="U158" s="249">
        <f t="shared" si="22"/>
        <v>0</v>
      </c>
    </row>
    <row r="159" spans="1:21" x14ac:dyDescent="0.25">
      <c r="A159" s="244">
        <v>45082</v>
      </c>
      <c r="B159" s="252">
        <f>SUMIFS(criblage!$P:$P,criblage!$B:$B,'synthèse 312'!A159-1,criblage!$C:$C,'synthèse 312'!B$2)</f>
        <v>0</v>
      </c>
      <c r="C159" s="252">
        <f>SUMIFS(criblage!$P:$P,criblage!$B:$B,'synthèse 312'!$A159,criblage!$C:$C,'synthèse 312'!C$2)</f>
        <v>0</v>
      </c>
      <c r="D159" s="252">
        <f>SUMIFS(criblage!$P:$P,criblage!$B:$B,'synthèse 312'!$A159,criblage!$C:$C,'synthèse 312'!D$2)</f>
        <v>0</v>
      </c>
      <c r="E159" s="252">
        <f t="shared" si="16"/>
        <v>0</v>
      </c>
      <c r="F159" s="254">
        <f>SUMIFS(criblage!$O:$O,criblage!$B:$B,'synthèse 312'!$A159-1,criblage!$C:$C,'synthèse 312'!F$2)</f>
        <v>0</v>
      </c>
      <c r="G159" s="254">
        <f>SUMIFS(criblage!$O:$O,criblage!$B:$B,'synthèse 312'!$A159,criblage!$C:$C,'synthèse 312'!G$2)</f>
        <v>0</v>
      </c>
      <c r="H159" s="254">
        <f>SUMIFS(criblage!$O:$O,criblage!$B:$B,'synthèse 312'!$A159,criblage!$C:$C,'synthèse 312'!H$2)</f>
        <v>3906</v>
      </c>
      <c r="I159" s="254">
        <f t="shared" si="17"/>
        <v>3906</v>
      </c>
      <c r="J159" s="258">
        <f>8-SUMIFS('les arrets'!G:G,'les arrets'!B:B,'synthèse 312'!$A159-1,'les arrets'!C:C,'synthèse 312'!J$2)</f>
        <v>8</v>
      </c>
      <c r="K159" s="258">
        <f>8-SUMIFS('les arrets'!G:G,'les arrets'!B:B,'synthèse 312'!$A159,'les arrets'!C:C,'synthèse 312'!K$2)</f>
        <v>0</v>
      </c>
      <c r="L159" s="258">
        <f>8-SUMIFS('les arrets'!G:G,'les arrets'!B:B,'synthèse 312'!A159,'les arrets'!C:C,'synthèse 312'!L$2)</f>
        <v>5.8</v>
      </c>
      <c r="M159" s="258">
        <f t="shared" si="18"/>
        <v>13.8</v>
      </c>
      <c r="N159" s="248">
        <f>SUMIFS(criblage!$R:$R,criblage!$B:$B,'synthèse 312'!$A159-1,criblage!$C:$C,'synthèse 312'!N$2)</f>
        <v>0</v>
      </c>
      <c r="O159" s="248">
        <f>SUMIFS(criblage!$R:$R,criblage!$B:$B,'synthèse 312'!$A159,criblage!$C:$C,'synthèse 312'!O$2)</f>
        <v>0</v>
      </c>
      <c r="P159" s="248">
        <f>SUMIFS(criblage!$R:$R,criblage!$B:$B,'synthèse 312'!$A159,criblage!$C:$C,'synthèse 312'!P$2)</f>
        <v>5.55</v>
      </c>
      <c r="Q159" s="248">
        <f t="shared" si="19"/>
        <v>5.55</v>
      </c>
      <c r="R159" s="249">
        <f t="shared" si="23"/>
        <v>0</v>
      </c>
      <c r="S159" s="249">
        <f t="shared" si="20"/>
        <v>0</v>
      </c>
      <c r="T159" s="249">
        <f t="shared" si="21"/>
        <v>673.44827586206895</v>
      </c>
      <c r="U159" s="249">
        <f t="shared" si="22"/>
        <v>224.48275862068965</v>
      </c>
    </row>
    <row r="160" spans="1:21" x14ac:dyDescent="0.25">
      <c r="A160" s="244">
        <v>45083</v>
      </c>
      <c r="B160" s="252">
        <f>SUMIFS(criblage!$P:$P,criblage!$B:$B,'synthèse 312'!A160-1,criblage!$C:$C,'synthèse 312'!B$2)</f>
        <v>0</v>
      </c>
      <c r="C160" s="252">
        <f>SUMIFS(criblage!$P:$P,criblage!$B:$B,'synthèse 312'!$A160,criblage!$C:$C,'synthèse 312'!C$2)</f>
        <v>0</v>
      </c>
      <c r="D160" s="252">
        <f>SUMIFS(criblage!$P:$P,criblage!$B:$B,'synthèse 312'!$A160,criblage!$C:$C,'synthèse 312'!D$2)</f>
        <v>0</v>
      </c>
      <c r="E160" s="252">
        <f t="shared" si="16"/>
        <v>0</v>
      </c>
      <c r="F160" s="254">
        <f>SUMIFS(criblage!$O:$O,criblage!$B:$B,'synthèse 312'!$A160-1,criblage!$C:$C,'synthèse 312'!F$2)</f>
        <v>5128</v>
      </c>
      <c r="G160" s="254">
        <f>SUMIFS(criblage!$O:$O,criblage!$B:$B,'synthèse 312'!$A160,criblage!$C:$C,'synthèse 312'!G$2)</f>
        <v>2743</v>
      </c>
      <c r="H160" s="254">
        <f>SUMIFS(criblage!$O:$O,criblage!$B:$B,'synthèse 312'!$A160,criblage!$C:$C,'synthèse 312'!H$2)</f>
        <v>4253</v>
      </c>
      <c r="I160" s="254">
        <f t="shared" si="17"/>
        <v>12124</v>
      </c>
      <c r="J160" s="258">
        <f>8-SUMIFS('les arrets'!G:G,'les arrets'!B:B,'synthèse 312'!$A160-1,'les arrets'!C:C,'synthèse 312'!J$2)</f>
        <v>6.95</v>
      </c>
      <c r="K160" s="258">
        <f>8-SUMIFS('les arrets'!G:G,'les arrets'!B:B,'synthèse 312'!$A160,'les arrets'!C:C,'synthèse 312'!K$2)</f>
        <v>5.0666666666666664</v>
      </c>
      <c r="L160" s="258">
        <f>8-SUMIFS('les arrets'!G:G,'les arrets'!B:B,'synthèse 312'!A160,'les arrets'!C:C,'synthèse 312'!L$2)</f>
        <v>6.3333333333333339</v>
      </c>
      <c r="M160" s="258">
        <f t="shared" si="18"/>
        <v>18.350000000000001</v>
      </c>
      <c r="N160" s="248">
        <f>SUMIFS(criblage!$R:$R,criblage!$B:$B,'synthèse 312'!$A160-1,criblage!$C:$C,'synthèse 312'!N$2)</f>
        <v>6.8</v>
      </c>
      <c r="O160" s="248">
        <f>SUMIFS(criblage!$R:$R,criblage!$B:$B,'synthèse 312'!$A160,criblage!$C:$C,'synthèse 312'!O$2)</f>
        <v>5.0600000000000005</v>
      </c>
      <c r="P160" s="248">
        <f>SUMIFS(criblage!$R:$R,criblage!$B:$B,'synthèse 312'!$A160,criblage!$C:$C,'synthèse 312'!P$2)</f>
        <v>6.7100000000000009</v>
      </c>
      <c r="Q160" s="248">
        <f t="shared" si="19"/>
        <v>18.57</v>
      </c>
      <c r="R160" s="249">
        <f t="shared" si="23"/>
        <v>737.84172661870502</v>
      </c>
      <c r="S160" s="249">
        <f t="shared" si="20"/>
        <v>541.38157894736844</v>
      </c>
      <c r="T160" s="249">
        <f t="shared" si="21"/>
        <v>671.52631578947364</v>
      </c>
      <c r="U160" s="249">
        <f t="shared" si="22"/>
        <v>650.24987378518244</v>
      </c>
    </row>
    <row r="161" spans="1:21" x14ac:dyDescent="0.25">
      <c r="A161" s="244">
        <v>45084</v>
      </c>
      <c r="B161" s="252">
        <f>SUMIFS(criblage!$P:$P,criblage!$B:$B,'synthèse 312'!A161-1,criblage!$C:$C,'synthèse 312'!B$2)</f>
        <v>0</v>
      </c>
      <c r="C161" s="252">
        <f>SUMIFS(criblage!$P:$P,criblage!$B:$B,'synthèse 312'!$A161,criblage!$C:$C,'synthèse 312'!C$2)</f>
        <v>0</v>
      </c>
      <c r="D161" s="252">
        <f>SUMIFS(criblage!$P:$P,criblage!$B:$B,'synthèse 312'!$A161,criblage!$C:$C,'synthèse 312'!D$2)</f>
        <v>0</v>
      </c>
      <c r="E161" s="252">
        <f t="shared" si="16"/>
        <v>0</v>
      </c>
      <c r="F161" s="254">
        <f>SUMIFS(criblage!$O:$O,criblage!$B:$B,'synthèse 312'!$A161-1,criblage!$C:$C,'synthèse 312'!F$2)</f>
        <v>3921</v>
      </c>
      <c r="G161" s="254">
        <f>SUMIFS(criblage!$O:$O,criblage!$B:$B,'synthèse 312'!$A161,criblage!$C:$C,'synthèse 312'!G$2)</f>
        <v>0</v>
      </c>
      <c r="H161" s="254">
        <f>SUMIFS(criblage!$O:$O,criblage!$B:$B,'synthèse 312'!$A161,criblage!$C:$C,'synthèse 312'!H$2)</f>
        <v>0</v>
      </c>
      <c r="I161" s="254">
        <f>SUM(F161+G161+H161)</f>
        <v>3921</v>
      </c>
      <c r="J161" s="258">
        <f>8-SUMIFS('les arrets'!G:G,'les arrets'!B:B,'synthèse 312'!$A161-1,'les arrets'!C:C,'synthèse 312'!J$2)</f>
        <v>5.3666666666666663</v>
      </c>
      <c r="K161" s="258">
        <f>8-SUMIFS('les arrets'!G:G,'les arrets'!B:B,'synthèse 312'!$A161,'les arrets'!C:C,'synthèse 312'!K$2)</f>
        <v>0</v>
      </c>
      <c r="L161" s="258">
        <f>8-SUMIFS('les arrets'!G:G,'les arrets'!B:B,'synthèse 312'!A161,'les arrets'!C:C,'synthèse 312'!L$2)</f>
        <v>0</v>
      </c>
      <c r="M161" s="258">
        <f t="shared" si="18"/>
        <v>5.3666666666666663</v>
      </c>
      <c r="N161" s="248">
        <f>SUMIFS(criblage!$R:$R,criblage!$B:$B,'synthèse 312'!$A161-1,criblage!$C:$C,'synthèse 312'!N$2)</f>
        <v>5.51</v>
      </c>
      <c r="O161" s="248">
        <f>SUMIFS(criblage!$R:$R,criblage!$B:$B,'synthèse 312'!$A161,criblage!$C:$C,'synthèse 312'!O$2)</f>
        <v>0</v>
      </c>
      <c r="P161" s="248">
        <f>SUMIFS(criblage!$R:$R,criblage!$B:$B,'synthèse 312'!$A161,criblage!$C:$C,'synthèse 312'!P$2)</f>
        <v>0</v>
      </c>
      <c r="Q161" s="248">
        <f t="shared" si="19"/>
        <v>5.51</v>
      </c>
      <c r="R161" s="249">
        <f t="shared" si="23"/>
        <v>730.62111801242247</v>
      </c>
      <c r="S161" s="249">
        <f t="shared" si="20"/>
        <v>0</v>
      </c>
      <c r="T161" s="249">
        <f t="shared" si="21"/>
        <v>0</v>
      </c>
      <c r="U161" s="249">
        <f t="shared" si="22"/>
        <v>243.5403726708075</v>
      </c>
    </row>
    <row r="162" spans="1:21" x14ac:dyDescent="0.25">
      <c r="A162" s="244">
        <v>45085</v>
      </c>
      <c r="B162" s="252">
        <f>SUMIFS(criblage!$P:$P,criblage!$B:$B,'synthèse 312'!A162-1,criblage!$C:$C,'synthèse 312'!B$2)</f>
        <v>0</v>
      </c>
      <c r="C162" s="252">
        <f>SUMIFS(criblage!$P:$P,criblage!$B:$B,'synthèse 312'!$A162,criblage!$C:$C,'synthèse 312'!C$2)</f>
        <v>0</v>
      </c>
      <c r="D162" s="252">
        <f>SUMIFS(criblage!$P:$P,criblage!$B:$B,'synthèse 312'!$A162,criblage!$C:$C,'synthèse 312'!D$2)</f>
        <v>0</v>
      </c>
      <c r="E162" s="252">
        <f t="shared" si="16"/>
        <v>0</v>
      </c>
      <c r="F162" s="254">
        <f>SUMIFS(criblage!$O:$O,criblage!$B:$B,'synthèse 312'!$A162-1,criblage!$C:$C,'synthèse 312'!F$2)</f>
        <v>0</v>
      </c>
      <c r="G162" s="254">
        <f>SUMIFS(criblage!$O:$O,criblage!$B:$B,'synthèse 312'!$A162,criblage!$C:$C,'synthèse 312'!G$2)</f>
        <v>2484</v>
      </c>
      <c r="H162" s="254">
        <f>SUMIFS(criblage!$O:$O,criblage!$B:$B,'synthèse 312'!$A162,criblage!$C:$C,'synthèse 312'!H$2)</f>
        <v>4425</v>
      </c>
      <c r="I162" s="254">
        <f>SUM(F162+G162+H162)</f>
        <v>6909</v>
      </c>
      <c r="J162" s="258">
        <f>8-SUMIFS('les arrets'!G:G,'les arrets'!B:B,'synthèse 312'!$A162-1,'les arrets'!C:C,'synthèse 312'!J$2)</f>
        <v>8</v>
      </c>
      <c r="K162" s="258">
        <f>8-SUMIFS('les arrets'!G:G,'les arrets'!B:B,'synthèse 312'!$A162,'les arrets'!C:C,'synthèse 312'!K$2)</f>
        <v>3</v>
      </c>
      <c r="L162" s="258">
        <f>8-SUMIFS('les arrets'!G:G,'les arrets'!B:B,'synthèse 312'!A162,'les arrets'!C:C,'synthèse 312'!L$2)</f>
        <v>6.6166666666666671</v>
      </c>
      <c r="M162" s="258">
        <f t="shared" si="18"/>
        <v>17.616666666666667</v>
      </c>
      <c r="N162" s="248">
        <f>SUMIFS(criblage!$R:$R,criblage!$B:$B,'synthèse 312'!$A162-1,criblage!$C:$C,'synthèse 312'!N$2)</f>
        <v>0</v>
      </c>
      <c r="O162" s="248">
        <f>SUMIFS(criblage!$R:$R,criblage!$B:$B,'synthèse 312'!$A162,criblage!$C:$C,'synthèse 312'!O$2)</f>
        <v>3.14</v>
      </c>
      <c r="P162" s="248">
        <f>SUMIFS(criblage!$R:$R,criblage!$B:$B,'synthèse 312'!$A162,criblage!$C:$C,'synthèse 312'!P$2)</f>
        <v>6.53</v>
      </c>
      <c r="Q162" s="248">
        <f t="shared" si="19"/>
        <v>9.67</v>
      </c>
      <c r="R162" s="249">
        <f t="shared" si="23"/>
        <v>0</v>
      </c>
      <c r="S162" s="249">
        <f t="shared" si="20"/>
        <v>828</v>
      </c>
      <c r="T162" s="249">
        <f t="shared" si="21"/>
        <v>668.76574307304782</v>
      </c>
      <c r="U162" s="249">
        <f t="shared" si="22"/>
        <v>498.92191435768262</v>
      </c>
    </row>
    <row r="163" spans="1:21" x14ac:dyDescent="0.25">
      <c r="A163" s="244">
        <v>45086</v>
      </c>
      <c r="B163" s="252">
        <f>SUMIFS(criblage!$P:$P,criblage!$B:$B,'synthèse 312'!A163-1,criblage!$C:$C,'synthèse 312'!B$2)</f>
        <v>0</v>
      </c>
      <c r="C163" s="252">
        <f>SUMIFS(criblage!$P:$P,criblage!$B:$B,'synthèse 312'!$A163,criblage!$C:$C,'synthèse 312'!C$2)</f>
        <v>0</v>
      </c>
      <c r="D163" s="252">
        <f>SUMIFS(criblage!$P:$P,criblage!$B:$B,'synthèse 312'!$A163,criblage!$C:$C,'synthèse 312'!D$2)</f>
        <v>0</v>
      </c>
      <c r="E163" s="252">
        <f t="shared" si="16"/>
        <v>0</v>
      </c>
      <c r="F163" s="254">
        <f>SUMIFS(criblage!$O:$O,criblage!$B:$B,'synthèse 312'!$A163-1,criblage!$C:$C,'synthèse 312'!F$2)</f>
        <v>5062</v>
      </c>
      <c r="G163" s="254">
        <f>SUMIFS(criblage!$O:$O,criblage!$B:$B,'synthèse 312'!$A163,criblage!$C:$C,'synthèse 312'!G$2)</f>
        <v>3940</v>
      </c>
      <c r="H163" s="254">
        <f>SUMIFS(criblage!$O:$O,criblage!$B:$B,'synthèse 312'!$A163,criblage!$C:$C,'synthèse 312'!H$2)</f>
        <v>4984</v>
      </c>
      <c r="I163" s="254">
        <f t="shared" si="17"/>
        <v>13986</v>
      </c>
      <c r="J163" s="258">
        <f>8-SUMIFS('les arrets'!G:G,'les arrets'!B:B,'synthèse 312'!$A163-1,'les arrets'!C:C,'synthèse 312'!J$2)</f>
        <v>6.3666666666666671</v>
      </c>
      <c r="K163" s="258">
        <f>8-SUMIFS('les arrets'!G:G,'les arrets'!B:B,'synthèse 312'!$A163,'les arrets'!C:C,'synthèse 312'!K$2)</f>
        <v>5.0666666666666664</v>
      </c>
      <c r="L163" s="258">
        <f>8-SUMIFS('les arrets'!G:G,'les arrets'!B:B,'synthèse 312'!A163,'les arrets'!C:C,'synthèse 312'!L$2)</f>
        <v>6.7666666666666666</v>
      </c>
      <c r="M163" s="258">
        <f t="shared" si="18"/>
        <v>18.2</v>
      </c>
      <c r="N163" s="248">
        <f>SUMIFS(criblage!$R:$R,criblage!$B:$B,'synthèse 312'!$A163-1,criblage!$C:$C,'synthèse 312'!N$2)</f>
        <v>6.5</v>
      </c>
      <c r="O163" s="248">
        <f>SUMIFS(criblage!$R:$R,criblage!$B:$B,'synthèse 312'!$A163,criblage!$C:$C,'synthèse 312'!O$2)</f>
        <v>5.57</v>
      </c>
      <c r="P163" s="248">
        <f>SUMIFS(criblage!$R:$R,criblage!$B:$B,'synthèse 312'!$A163,criblage!$C:$C,'synthèse 312'!P$2)</f>
        <v>6.84</v>
      </c>
      <c r="Q163" s="248">
        <f t="shared" si="19"/>
        <v>18.91</v>
      </c>
      <c r="R163" s="249">
        <f t="shared" si="23"/>
        <v>795.0785340314136</v>
      </c>
      <c r="S163" s="249">
        <f t="shared" si="20"/>
        <v>777.63157894736844</v>
      </c>
      <c r="T163" s="249">
        <f t="shared" si="21"/>
        <v>736.55172413793105</v>
      </c>
      <c r="U163" s="249">
        <f t="shared" si="22"/>
        <v>769.75394570557103</v>
      </c>
    </row>
    <row r="164" spans="1:21" x14ac:dyDescent="0.25">
      <c r="A164" s="244">
        <v>45087</v>
      </c>
      <c r="B164" s="252">
        <f>SUMIFS(criblage!$P:$P,criblage!$B:$B,'synthèse 312'!A164-1,criblage!$C:$C,'synthèse 312'!B$2)</f>
        <v>0</v>
      </c>
      <c r="C164" s="252">
        <f>SUMIFS(criblage!$P:$P,criblage!$B:$B,'synthèse 312'!$A164,criblage!$C:$C,'synthèse 312'!C$2)</f>
        <v>0</v>
      </c>
      <c r="D164" s="252">
        <f>SUMIFS(criblage!$P:$P,criblage!$B:$B,'synthèse 312'!$A164,criblage!$C:$C,'synthèse 312'!D$2)</f>
        <v>0</v>
      </c>
      <c r="E164" s="252">
        <f t="shared" si="16"/>
        <v>0</v>
      </c>
      <c r="F164" s="254">
        <f>SUMIFS(criblage!$O:$O,criblage!$B:$B,'synthèse 312'!$A164-1,criblage!$C:$C,'synthèse 312'!F$2)</f>
        <v>4757</v>
      </c>
      <c r="G164" s="254">
        <f>SUMIFS(criblage!$O:$O,criblage!$B:$B,'synthèse 312'!$A164,criblage!$C:$C,'synthèse 312'!G$2)</f>
        <v>215</v>
      </c>
      <c r="H164" s="254">
        <f>SUMIFS(criblage!$O:$O,criblage!$B:$B,'synthèse 312'!$A164,criblage!$C:$C,'synthèse 312'!H$2)</f>
        <v>0</v>
      </c>
      <c r="I164" s="254">
        <f t="shared" si="17"/>
        <v>4972</v>
      </c>
      <c r="J164" s="258">
        <f>8-SUMIFS('les arrets'!G:G,'les arrets'!B:B,'synthèse 312'!$A164-1,'les arrets'!C:C,'synthèse 312'!J$2)</f>
        <v>6.3833333333333329</v>
      </c>
      <c r="K164" s="258">
        <f>8-SUMIFS('les arrets'!G:G,'les arrets'!B:B,'synthèse 312'!$A164,'les arrets'!C:C,'synthèse 312'!K$2)</f>
        <v>0</v>
      </c>
      <c r="L164" s="258">
        <f>8-SUMIFS('les arrets'!G:G,'les arrets'!B:B,'synthèse 312'!A164,'les arrets'!C:C,'synthèse 312'!L$2)</f>
        <v>0</v>
      </c>
      <c r="M164" s="258">
        <f t="shared" si="18"/>
        <v>6.3833333333333329</v>
      </c>
      <c r="N164" s="248">
        <f>SUMIFS(criblage!$R:$R,criblage!$B:$B,'synthèse 312'!$A164-1,criblage!$C:$C,'synthèse 312'!N$2)</f>
        <v>6.75</v>
      </c>
      <c r="O164" s="248">
        <f>SUMIFS(criblage!$R:$R,criblage!$B:$B,'synthèse 312'!$A164,criblage!$C:$C,'synthèse 312'!O$2)</f>
        <v>0.48</v>
      </c>
      <c r="P164" s="248">
        <f>SUMIFS(criblage!$R:$R,criblage!$B:$B,'synthèse 312'!$A164,criblage!$C:$C,'synthèse 312'!P$2)</f>
        <v>0</v>
      </c>
      <c r="Q164" s="248">
        <f t="shared" si="19"/>
        <v>7.23</v>
      </c>
      <c r="R164" s="249">
        <f t="shared" si="23"/>
        <v>745.22193211488252</v>
      </c>
      <c r="S164" s="249">
        <f t="shared" si="20"/>
        <v>0</v>
      </c>
      <c r="T164" s="249">
        <f t="shared" si="21"/>
        <v>0</v>
      </c>
      <c r="U164" s="249">
        <f t="shared" si="22"/>
        <v>248.40731070496085</v>
      </c>
    </row>
    <row r="165" spans="1:21" x14ac:dyDescent="0.25">
      <c r="A165" s="244">
        <v>45088</v>
      </c>
      <c r="B165" s="252">
        <f>SUMIFS(criblage!$P:$P,criblage!$B:$B,'synthèse 312'!A165-1,criblage!$C:$C,'synthèse 312'!B$2)</f>
        <v>0</v>
      </c>
      <c r="C165" s="252">
        <f>SUMIFS(criblage!$P:$P,criblage!$B:$B,'synthèse 312'!$A165,criblage!$C:$C,'synthèse 312'!C$2)</f>
        <v>0</v>
      </c>
      <c r="D165" s="252">
        <f>SUMIFS(criblage!$P:$P,criblage!$B:$B,'synthèse 312'!$A165,criblage!$C:$C,'synthèse 312'!D$2)</f>
        <v>0</v>
      </c>
      <c r="E165" s="252">
        <f t="shared" si="16"/>
        <v>0</v>
      </c>
      <c r="F165" s="254">
        <f>SUMIFS(criblage!$O:$O,criblage!$B:$B,'synthèse 312'!$A165-1,criblage!$C:$C,'synthèse 312'!F$2)</f>
        <v>0</v>
      </c>
      <c r="G165" s="254">
        <f>SUMIFS(criblage!$O:$O,criblage!$B:$B,'synthèse 312'!$A165,criblage!$C:$C,'synthèse 312'!G$2)</f>
        <v>0</v>
      </c>
      <c r="H165" s="254">
        <f>SUMIFS(criblage!$O:$O,criblage!$B:$B,'synthèse 312'!$A165,criblage!$C:$C,'synthèse 312'!H$2)</f>
        <v>0</v>
      </c>
      <c r="I165" s="254">
        <f t="shared" si="17"/>
        <v>0</v>
      </c>
      <c r="J165" s="258">
        <f>8-SUMIFS('les arrets'!G:G,'les arrets'!B:B,'synthèse 312'!$A165-1,'les arrets'!C:C,'synthèse 312'!J$2)</f>
        <v>8</v>
      </c>
      <c r="K165" s="258">
        <f>8-SUMIFS('les arrets'!G:G,'les arrets'!B:B,'synthèse 312'!$A165,'les arrets'!C:C,'synthèse 312'!K$2)</f>
        <v>0</v>
      </c>
      <c r="L165" s="258">
        <f>8-SUMIFS('les arrets'!G:G,'les arrets'!B:B,'synthèse 312'!A165,'les arrets'!C:C,'synthèse 312'!L$2)</f>
        <v>0</v>
      </c>
      <c r="M165" s="258">
        <f t="shared" si="18"/>
        <v>8</v>
      </c>
      <c r="N165" s="248">
        <f>SUMIFS(criblage!$R:$R,criblage!$B:$B,'synthèse 312'!$A165-1,criblage!$C:$C,'synthèse 312'!N$2)</f>
        <v>0</v>
      </c>
      <c r="O165" s="248">
        <f>SUMIFS(criblage!$R:$R,criblage!$B:$B,'synthèse 312'!$A165,criblage!$C:$C,'synthèse 312'!O$2)</f>
        <v>0</v>
      </c>
      <c r="P165" s="248">
        <f>SUMIFS(criblage!$R:$R,criblage!$B:$B,'synthèse 312'!$A165,criblage!$C:$C,'synthèse 312'!P$2)</f>
        <v>0</v>
      </c>
      <c r="Q165" s="248">
        <f t="shared" si="19"/>
        <v>0</v>
      </c>
      <c r="R165" s="249">
        <f t="shared" si="23"/>
        <v>0</v>
      </c>
      <c r="S165" s="249">
        <f t="shared" si="20"/>
        <v>0</v>
      </c>
      <c r="T165" s="249">
        <f t="shared" si="21"/>
        <v>0</v>
      </c>
      <c r="U165" s="249">
        <f t="shared" si="22"/>
        <v>0</v>
      </c>
    </row>
    <row r="166" spans="1:21" x14ac:dyDescent="0.25">
      <c r="A166" s="244">
        <v>45089</v>
      </c>
      <c r="B166" s="252">
        <f>SUMIFS(criblage!$P:$P,criblage!$B:$B,'synthèse 312'!A166-1,criblage!$C:$C,'synthèse 312'!B$2)</f>
        <v>0</v>
      </c>
      <c r="C166" s="252">
        <f>SUMIFS(criblage!$P:$P,criblage!$B:$B,'synthèse 312'!$A166,criblage!$C:$C,'synthèse 312'!C$2)</f>
        <v>4400</v>
      </c>
      <c r="D166" s="252">
        <f>SUMIFS(criblage!$P:$P,criblage!$B:$B,'synthèse 312'!$A166,criblage!$C:$C,'synthèse 312'!D$2)</f>
        <v>0</v>
      </c>
      <c r="E166" s="252">
        <f t="shared" si="16"/>
        <v>4400</v>
      </c>
      <c r="F166" s="254">
        <f>SUMIFS(criblage!$O:$O,criblage!$B:$B,'synthèse 312'!$A166-1,criblage!$C:$C,'synthèse 312'!F$2)</f>
        <v>0</v>
      </c>
      <c r="G166" s="254">
        <f>SUMIFS(criblage!$O:$O,criblage!$B:$B,'synthèse 312'!$A166,criblage!$C:$C,'synthèse 312'!G$2)</f>
        <v>0</v>
      </c>
      <c r="H166" s="254">
        <f>SUMIFS(criblage!$O:$O,criblage!$B:$B,'synthèse 312'!$A166,criblage!$C:$C,'synthèse 312'!H$2)</f>
        <v>3193</v>
      </c>
      <c r="I166" s="254">
        <f t="shared" si="17"/>
        <v>3193</v>
      </c>
      <c r="J166" s="258">
        <f>8-SUMIFS('les arrets'!G:G,'les arrets'!B:B,'synthèse 312'!$A166-1,'les arrets'!C:C,'synthèse 312'!J$2)</f>
        <v>8</v>
      </c>
      <c r="K166" s="258">
        <f>8-SUMIFS('les arrets'!G:G,'les arrets'!B:B,'synthèse 312'!$A166,'les arrets'!C:C,'synthèse 312'!K$2)</f>
        <v>5.7833333333333332</v>
      </c>
      <c r="L166" s="258">
        <f>8-SUMIFS('les arrets'!G:G,'les arrets'!B:B,'synthèse 312'!A166,'les arrets'!C:C,'synthèse 312'!L$2)</f>
        <v>4.6166666666666671</v>
      </c>
      <c r="M166" s="258">
        <f t="shared" si="18"/>
        <v>18.399999999999999</v>
      </c>
      <c r="N166" s="248">
        <f>SUMIFS(criblage!$R:$R,criblage!$B:$B,'synthèse 312'!$A166-1,criblage!$C:$C,'synthèse 312'!N$2)</f>
        <v>0</v>
      </c>
      <c r="O166" s="248">
        <f>SUMIFS(criblage!$R:$R,criblage!$B:$B,'synthèse 312'!$A166,criblage!$C:$C,'synthèse 312'!O$2)</f>
        <v>5.52</v>
      </c>
      <c r="P166" s="248">
        <f>SUMIFS(criblage!$R:$R,criblage!$B:$B,'synthèse 312'!$A166,criblage!$C:$C,'synthèse 312'!P$2)</f>
        <v>4.49</v>
      </c>
      <c r="Q166" s="248">
        <f t="shared" si="19"/>
        <v>10.01</v>
      </c>
      <c r="R166" s="249">
        <f t="shared" si="23"/>
        <v>0</v>
      </c>
      <c r="S166" s="249">
        <f t="shared" si="20"/>
        <v>0</v>
      </c>
      <c r="T166" s="249">
        <f t="shared" si="21"/>
        <v>691.62454873646197</v>
      </c>
      <c r="U166" s="249">
        <f t="shared" si="22"/>
        <v>230.54151624548732</v>
      </c>
    </row>
    <row r="167" spans="1:21" x14ac:dyDescent="0.25">
      <c r="A167" s="244">
        <v>45090</v>
      </c>
      <c r="B167" s="252">
        <f>SUMIFS(criblage!$P:$P,criblage!$B:$B,'synthèse 312'!A167-1,criblage!$C:$C,'synthèse 312'!B$2)</f>
        <v>0</v>
      </c>
      <c r="C167" s="252">
        <f>SUMIFS(criblage!$P:$P,criblage!$B:$B,'synthèse 312'!$A167,criblage!$C:$C,'synthèse 312'!C$2)</f>
        <v>0</v>
      </c>
      <c r="D167" s="252">
        <f>SUMIFS(criblage!$P:$P,criblage!$B:$B,'synthèse 312'!$A167,criblage!$C:$C,'synthèse 312'!D$2)</f>
        <v>0</v>
      </c>
      <c r="E167" s="252">
        <f t="shared" si="16"/>
        <v>0</v>
      </c>
      <c r="F167" s="254">
        <f>SUMIFS(criblage!$O:$O,criblage!$B:$B,'synthèse 312'!$A167-1,criblage!$C:$C,'synthèse 312'!F$2)</f>
        <v>2040</v>
      </c>
      <c r="G167" s="254">
        <f>SUMIFS(criblage!$O:$O,criblage!$B:$B,'synthèse 312'!$A167,criblage!$C:$C,'synthèse 312'!G$2)</f>
        <v>63</v>
      </c>
      <c r="H167" s="254">
        <f>SUMIFS(criblage!$O:$O,criblage!$B:$B,'synthèse 312'!$A167,criblage!$C:$C,'synthèse 312'!H$2)</f>
        <v>4037</v>
      </c>
      <c r="I167" s="254">
        <f t="shared" si="17"/>
        <v>6140</v>
      </c>
      <c r="J167" s="258">
        <f>8-SUMIFS('les arrets'!G:G,'les arrets'!B:B,'synthèse 312'!$A167-1,'les arrets'!C:C,'synthèse 312'!J$2)</f>
        <v>2.09</v>
      </c>
      <c r="K167" s="258">
        <f>8-SUMIFS('les arrets'!G:G,'les arrets'!B:B,'synthèse 312'!$A167,'les arrets'!C:C,'synthèse 312'!K$2)</f>
        <v>0</v>
      </c>
      <c r="L167" s="258">
        <f>8-SUMIFS('les arrets'!G:G,'les arrets'!B:B,'synthèse 312'!A167,'les arrets'!C:C,'synthèse 312'!L$2)</f>
        <v>5.3833333333333329</v>
      </c>
      <c r="M167" s="258">
        <f t="shared" si="18"/>
        <v>7.4733333333333327</v>
      </c>
      <c r="N167" s="248">
        <f>SUMIFS(criblage!$R:$R,criblage!$B:$B,'synthèse 312'!$A167-1,criblage!$C:$C,'synthèse 312'!N$2)</f>
        <v>3.05</v>
      </c>
      <c r="O167" s="248">
        <f>SUMIFS(criblage!$R:$R,criblage!$B:$B,'synthèse 312'!$A167,criblage!$C:$C,'synthèse 312'!O$2)</f>
        <v>0.15</v>
      </c>
      <c r="P167" s="248">
        <f>SUMIFS(criblage!$R:$R,criblage!$B:$B,'synthèse 312'!$A167,criblage!$C:$C,'synthèse 312'!P$2)</f>
        <v>5.94</v>
      </c>
      <c r="Q167" s="248">
        <f t="shared" si="19"/>
        <v>9.14</v>
      </c>
      <c r="R167" s="249">
        <f t="shared" si="23"/>
        <v>976.07655502392356</v>
      </c>
      <c r="S167" s="249">
        <f t="shared" si="20"/>
        <v>0</v>
      </c>
      <c r="T167" s="249">
        <f t="shared" si="21"/>
        <v>749.90712074303417</v>
      </c>
      <c r="U167" s="249">
        <f t="shared" si="22"/>
        <v>575.32789192231928</v>
      </c>
    </row>
    <row r="168" spans="1:21" x14ac:dyDescent="0.25">
      <c r="A168" s="244">
        <v>45091</v>
      </c>
      <c r="B168" s="252">
        <f>SUMIFS(criblage!$P:$P,criblage!$B:$B,'synthèse 312'!A168-1,criblage!$C:$C,'synthèse 312'!B$2)</f>
        <v>0</v>
      </c>
      <c r="C168" s="252">
        <f>SUMIFS(criblage!$P:$P,criblage!$B:$B,'synthèse 312'!$A168,criblage!$C:$C,'synthèse 312'!C$2)</f>
        <v>0</v>
      </c>
      <c r="D168" s="252">
        <f>SUMIFS(criblage!$P:$P,criblage!$B:$B,'synthèse 312'!$A168,criblage!$C:$C,'synthèse 312'!D$2)</f>
        <v>0</v>
      </c>
      <c r="E168" s="252">
        <f t="shared" si="16"/>
        <v>0</v>
      </c>
      <c r="F168" s="254">
        <f>SUMIFS(criblage!$O:$O,criblage!$B:$B,'synthèse 312'!$A168-1,criblage!$C:$C,'synthèse 312'!F$2)</f>
        <v>5065</v>
      </c>
      <c r="G168" s="254">
        <f>SUMIFS(criblage!$O:$O,criblage!$B:$B,'synthèse 312'!$A168,criblage!$C:$C,'synthèse 312'!G$2)</f>
        <v>0</v>
      </c>
      <c r="H168" s="254">
        <f>SUMIFS(criblage!$O:$O,criblage!$B:$B,'synthèse 312'!$A168,criblage!$C:$C,'synthèse 312'!H$2)</f>
        <v>3495</v>
      </c>
      <c r="I168" s="254">
        <f t="shared" si="17"/>
        <v>8560</v>
      </c>
      <c r="J168" s="258">
        <f>8-SUMIFS('les arrets'!G:G,'les arrets'!B:B,'synthèse 312'!$A168-1,'les arrets'!C:C,'synthèse 312'!J$2)</f>
        <v>6.6166666666666671</v>
      </c>
      <c r="K168" s="258">
        <f>8-SUMIFS('les arrets'!G:G,'les arrets'!B:B,'synthèse 312'!$A168,'les arrets'!C:C,'synthèse 312'!K$2)</f>
        <v>0</v>
      </c>
      <c r="L168" s="258">
        <f>8-SUMIFS('les arrets'!G:G,'les arrets'!B:B,'synthèse 312'!A168,'les arrets'!C:C,'synthèse 312'!L$2)</f>
        <v>7.5333333333333332</v>
      </c>
      <c r="M168" s="258">
        <f t="shared" si="18"/>
        <v>14.15</v>
      </c>
      <c r="N168" s="248">
        <f>SUMIFS(criblage!$R:$R,criblage!$B:$B,'synthèse 312'!$A168-1,criblage!$C:$C,'synthèse 312'!N$2)</f>
        <v>7.27</v>
      </c>
      <c r="O168" s="248">
        <f>SUMIFS(criblage!$R:$R,criblage!$B:$B,'synthèse 312'!$A168,criblage!$C:$C,'synthèse 312'!O$2)</f>
        <v>0</v>
      </c>
      <c r="P168" s="248">
        <f>SUMIFS(criblage!$R:$R,criblage!$B:$B,'synthèse 312'!$A168,criblage!$C:$C,'synthèse 312'!P$2)</f>
        <v>4.93</v>
      </c>
      <c r="Q168" s="248">
        <f t="shared" si="19"/>
        <v>12.2</v>
      </c>
      <c r="R168" s="249">
        <f t="shared" si="23"/>
        <v>765.49118387909311</v>
      </c>
      <c r="S168" s="249">
        <f t="shared" si="20"/>
        <v>0</v>
      </c>
      <c r="T168" s="249">
        <f t="shared" si="21"/>
        <v>463.93805309734512</v>
      </c>
      <c r="U168" s="249">
        <f t="shared" si="22"/>
        <v>409.80974565881274</v>
      </c>
    </row>
    <row r="169" spans="1:21" x14ac:dyDescent="0.25">
      <c r="A169" s="244">
        <v>45092</v>
      </c>
      <c r="B169" s="252">
        <f>SUMIFS(criblage!$P:$P,criblage!$B:$B,'synthèse 312'!A169-1,criblage!$C:$C,'synthèse 312'!B$2)</f>
        <v>0</v>
      </c>
      <c r="C169" s="252">
        <f>SUMIFS(criblage!$P:$P,criblage!$B:$B,'synthèse 312'!$A169,criblage!$C:$C,'synthèse 312'!C$2)</f>
        <v>0</v>
      </c>
      <c r="D169" s="252">
        <f>SUMIFS(criblage!$P:$P,criblage!$B:$B,'synthèse 312'!$A169,criblage!$C:$C,'synthèse 312'!D$2)</f>
        <v>0</v>
      </c>
      <c r="E169" s="252">
        <f t="shared" si="16"/>
        <v>0</v>
      </c>
      <c r="F169" s="254">
        <f>SUMIFS(criblage!$O:$O,criblage!$B:$B,'synthèse 312'!$A169-1,criblage!$C:$C,'synthèse 312'!F$2)</f>
        <v>4238</v>
      </c>
      <c r="G169" s="254">
        <f>SUMIFS(criblage!$O:$O,criblage!$B:$B,'synthèse 312'!$A169,criblage!$C:$C,'synthèse 312'!G$2)</f>
        <v>4036</v>
      </c>
      <c r="H169" s="254">
        <f>SUMIFS(criblage!$O:$O,criblage!$B:$B,'synthèse 312'!$A169,criblage!$C:$C,'synthèse 312'!H$2)</f>
        <v>5752</v>
      </c>
      <c r="I169" s="254">
        <f t="shared" si="17"/>
        <v>14026</v>
      </c>
      <c r="J169" s="258">
        <f>8-SUMIFS('les arrets'!G:G,'les arrets'!B:B,'synthèse 312'!$A169-1,'les arrets'!C:C,'synthèse 312'!J$2)</f>
        <v>6.0833333333333339</v>
      </c>
      <c r="K169" s="258">
        <f>8-SUMIFS('les arrets'!G:G,'les arrets'!B:B,'synthèse 312'!$A169,'les arrets'!C:C,'synthèse 312'!K$2)</f>
        <v>5.9</v>
      </c>
      <c r="L169" s="258">
        <f>8-SUMIFS('les arrets'!G:G,'les arrets'!B:B,'synthèse 312'!A169,'les arrets'!C:C,'synthèse 312'!L$2)</f>
        <v>6.8</v>
      </c>
      <c r="M169" s="258">
        <f t="shared" si="18"/>
        <v>18.783333333333335</v>
      </c>
      <c r="N169" s="248">
        <f>SUMIFS(criblage!$R:$R,criblage!$B:$B,'synthèse 312'!$A169-1,criblage!$C:$C,'synthèse 312'!N$2)</f>
        <v>7.55</v>
      </c>
      <c r="O169" s="248">
        <f>SUMIFS(criblage!$R:$R,criblage!$B:$B,'synthèse 312'!$A169,criblage!$C:$C,'synthèse 312'!O$2)</f>
        <v>6.67</v>
      </c>
      <c r="P169" s="248">
        <f>SUMIFS(criblage!$R:$R,criblage!$B:$B,'synthèse 312'!$A169,criblage!$C:$C,'synthèse 312'!P$2)</f>
        <v>6.66</v>
      </c>
      <c r="Q169" s="248">
        <f t="shared" si="19"/>
        <v>20.88</v>
      </c>
      <c r="R169" s="249">
        <f t="shared" si="23"/>
        <v>696.65753424657532</v>
      </c>
      <c r="S169" s="249">
        <f t="shared" si="20"/>
        <v>684.06779661016947</v>
      </c>
      <c r="T169" s="249">
        <f t="shared" si="21"/>
        <v>845.88235294117646</v>
      </c>
      <c r="U169" s="249">
        <f t="shared" si="22"/>
        <v>742.20256126597371</v>
      </c>
    </row>
    <row r="170" spans="1:21" x14ac:dyDescent="0.25">
      <c r="A170" s="244">
        <v>45093</v>
      </c>
      <c r="B170" s="252">
        <f>SUMIFS(criblage!$P:$P,criblage!$B:$B,'synthèse 312'!A170-1,criblage!$C:$C,'synthèse 312'!B$2)</f>
        <v>0</v>
      </c>
      <c r="C170" s="252">
        <f>SUMIFS(criblage!$P:$P,criblage!$B:$B,'synthèse 312'!$A170,criblage!$C:$C,'synthèse 312'!C$2)</f>
        <v>0</v>
      </c>
      <c r="D170" s="252">
        <f>SUMIFS(criblage!$P:$P,criblage!$B:$B,'synthèse 312'!$A170,criblage!$C:$C,'synthèse 312'!D$2)</f>
        <v>0</v>
      </c>
      <c r="E170" s="252">
        <f t="shared" si="16"/>
        <v>0</v>
      </c>
      <c r="F170" s="254">
        <f>SUMIFS(criblage!$O:$O,criblage!$B:$B,'synthèse 312'!$A170-1,criblage!$C:$C,'synthèse 312'!F$2)</f>
        <v>3735</v>
      </c>
      <c r="G170" s="254">
        <f>SUMIFS(criblage!$O:$O,criblage!$B:$B,'synthèse 312'!$A170,criblage!$C:$C,'synthèse 312'!G$2)</f>
        <v>4195</v>
      </c>
      <c r="H170" s="254">
        <f>SUMIFS(criblage!$O:$O,criblage!$B:$B,'synthèse 312'!$A170,criblage!$C:$C,'synthèse 312'!H$2)</f>
        <v>5538</v>
      </c>
      <c r="I170" s="254">
        <f t="shared" si="17"/>
        <v>13468</v>
      </c>
      <c r="J170" s="258">
        <f>8-SUMIFS('les arrets'!G:G,'les arrets'!B:B,'synthèse 312'!$A170-1,'les arrets'!C:C,'synthèse 312'!J$2)</f>
        <v>5.6166666666666671</v>
      </c>
      <c r="K170" s="258">
        <f>8-SUMIFS('les arrets'!G:G,'les arrets'!B:B,'synthèse 312'!$A170,'les arrets'!C:C,'synthèse 312'!K$2)</f>
        <v>5.7833333333333332</v>
      </c>
      <c r="L170" s="258">
        <f>8-SUMIFS('les arrets'!G:G,'les arrets'!B:B,'synthèse 312'!A170,'les arrets'!C:C,'synthèse 312'!L$2)</f>
        <v>6.4</v>
      </c>
      <c r="M170" s="258">
        <f t="shared" si="18"/>
        <v>17.8</v>
      </c>
      <c r="N170" s="248">
        <f>SUMIFS(criblage!$R:$R,criblage!$B:$B,'synthèse 312'!$A170-1,criblage!$C:$C,'synthèse 312'!N$2)</f>
        <v>7.1</v>
      </c>
      <c r="O170" s="248">
        <f>SUMIFS(criblage!$R:$R,criblage!$B:$B,'synthèse 312'!$A170,criblage!$C:$C,'synthèse 312'!O$2)</f>
        <v>5.48</v>
      </c>
      <c r="P170" s="248">
        <f>SUMIFS(criblage!$R:$R,criblage!$B:$B,'synthèse 312'!$A170,criblage!$C:$C,'synthèse 312'!P$2)</f>
        <v>6.68</v>
      </c>
      <c r="Q170" s="248">
        <f t="shared" si="19"/>
        <v>19.259999999999998</v>
      </c>
      <c r="R170" s="249">
        <f t="shared" si="23"/>
        <v>664.98516320474766</v>
      </c>
      <c r="S170" s="249">
        <f t="shared" si="20"/>
        <v>725.36023054755049</v>
      </c>
      <c r="T170" s="249">
        <f t="shared" si="21"/>
        <v>865.3125</v>
      </c>
      <c r="U170" s="249">
        <f t="shared" si="22"/>
        <v>751.88596458409938</v>
      </c>
    </row>
    <row r="171" spans="1:21" x14ac:dyDescent="0.25">
      <c r="A171" s="244">
        <v>45094</v>
      </c>
      <c r="B171" s="252">
        <f>SUMIFS(criblage!$P:$P,criblage!$B:$B,'synthèse 312'!A171-1,criblage!$C:$C,'synthèse 312'!B$2)</f>
        <v>0</v>
      </c>
      <c r="C171" s="252">
        <f>SUMIFS(criblage!$P:$P,criblage!$B:$B,'synthèse 312'!$A171,criblage!$C:$C,'synthèse 312'!C$2)</f>
        <v>0</v>
      </c>
      <c r="D171" s="252">
        <f>SUMIFS(criblage!$P:$P,criblage!$B:$B,'synthèse 312'!$A171,criblage!$C:$C,'synthèse 312'!D$2)</f>
        <v>0</v>
      </c>
      <c r="E171" s="252">
        <f t="shared" si="16"/>
        <v>0</v>
      </c>
      <c r="F171" s="254">
        <f>SUMIFS(criblage!$O:$O,criblage!$B:$B,'synthèse 312'!$A171-1,criblage!$C:$C,'synthèse 312'!F$2)</f>
        <v>5364</v>
      </c>
      <c r="G171" s="254">
        <f>SUMIFS(criblage!$O:$O,criblage!$B:$B,'synthèse 312'!$A171,criblage!$C:$C,'synthèse 312'!G$2)</f>
        <v>282</v>
      </c>
      <c r="H171" s="254">
        <f>SUMIFS(criblage!$O:$O,criblage!$B:$B,'synthèse 312'!$A171,criblage!$C:$C,'synthèse 312'!H$2)</f>
        <v>0</v>
      </c>
      <c r="I171" s="254">
        <f t="shared" si="17"/>
        <v>5646</v>
      </c>
      <c r="J171" s="258">
        <f>8-SUMIFS('les arrets'!G:G,'les arrets'!B:B,'synthèse 312'!$A171-1,'les arrets'!C:C,'synthèse 312'!J$2)</f>
        <v>6.1666666666666661</v>
      </c>
      <c r="K171" s="258">
        <f>8-SUMIFS('les arrets'!G:G,'les arrets'!B:B,'synthèse 312'!$A171,'les arrets'!C:C,'synthèse 312'!K$2)</f>
        <v>0.23333333333333339</v>
      </c>
      <c r="L171" s="258">
        <f>8-SUMIFS('les arrets'!G:G,'les arrets'!B:B,'synthèse 312'!A171,'les arrets'!C:C,'synthèse 312'!L$2)</f>
        <v>0</v>
      </c>
      <c r="M171" s="258">
        <f t="shared" si="18"/>
        <v>6.3999999999999995</v>
      </c>
      <c r="N171" s="248">
        <f>SUMIFS(criblage!$R:$R,criblage!$B:$B,'synthèse 312'!$A171-1,criblage!$C:$C,'synthèse 312'!N$2)</f>
        <v>7.1700000000000008</v>
      </c>
      <c r="O171" s="248">
        <f>SUMIFS(criblage!$R:$R,criblage!$B:$B,'synthèse 312'!$A171,criblage!$C:$C,'synthèse 312'!O$2)</f>
        <v>0.5</v>
      </c>
      <c r="P171" s="248">
        <f>SUMIFS(criblage!$R:$R,criblage!$B:$B,'synthèse 312'!$A171,criblage!$C:$C,'synthèse 312'!P$2)</f>
        <v>0</v>
      </c>
      <c r="Q171" s="248">
        <f t="shared" si="19"/>
        <v>7.6700000000000008</v>
      </c>
      <c r="R171" s="249">
        <f t="shared" si="23"/>
        <v>869.83783783783792</v>
      </c>
      <c r="S171" s="249">
        <f t="shared" si="20"/>
        <v>1208.5714285714282</v>
      </c>
      <c r="T171" s="249">
        <f t="shared" si="21"/>
        <v>0</v>
      </c>
      <c r="U171" s="249">
        <f t="shared" si="22"/>
        <v>692.8030888030886</v>
      </c>
    </row>
    <row r="172" spans="1:21" x14ac:dyDescent="0.25">
      <c r="A172" s="244">
        <v>45095</v>
      </c>
      <c r="B172" s="252">
        <f>SUMIFS(criblage!$P:$P,criblage!$B:$B,'synthèse 312'!A172-1,criblage!$C:$C,'synthèse 312'!B$2)</f>
        <v>0</v>
      </c>
      <c r="C172" s="252">
        <f>SUMIFS(criblage!$P:$P,criblage!$B:$B,'synthèse 312'!$A172,criblage!$C:$C,'synthèse 312'!C$2)</f>
        <v>0</v>
      </c>
      <c r="D172" s="252">
        <f>SUMIFS(criblage!$P:$P,criblage!$B:$B,'synthèse 312'!$A172,criblage!$C:$C,'synthèse 312'!D$2)</f>
        <v>0</v>
      </c>
      <c r="E172" s="252">
        <f t="shared" si="16"/>
        <v>0</v>
      </c>
      <c r="F172" s="254">
        <f>SUMIFS(criblage!$O:$O,criblage!$B:$B,'synthèse 312'!$A172-1,criblage!$C:$C,'synthèse 312'!F$2)</f>
        <v>0</v>
      </c>
      <c r="G172" s="254">
        <f>SUMIFS(criblage!$O:$O,criblage!$B:$B,'synthèse 312'!$A172,criblage!$C:$C,'synthèse 312'!G$2)</f>
        <v>0</v>
      </c>
      <c r="H172" s="254">
        <f>SUMIFS(criblage!$O:$O,criblage!$B:$B,'synthèse 312'!$A172,criblage!$C:$C,'synthèse 312'!H$2)</f>
        <v>0</v>
      </c>
      <c r="I172" s="254">
        <f t="shared" si="17"/>
        <v>0</v>
      </c>
      <c r="J172" s="258">
        <f>8-SUMIFS('les arrets'!G:G,'les arrets'!B:B,'synthèse 312'!$A172-1,'les arrets'!C:C,'synthèse 312'!J$2)</f>
        <v>8</v>
      </c>
      <c r="K172" s="258">
        <f>8-SUMIFS('les arrets'!G:G,'les arrets'!B:B,'synthèse 312'!$A172,'les arrets'!C:C,'synthèse 312'!K$2)</f>
        <v>0</v>
      </c>
      <c r="L172" s="258">
        <f>8-SUMIFS('les arrets'!G:G,'les arrets'!B:B,'synthèse 312'!A172,'les arrets'!C:C,'synthèse 312'!L$2)</f>
        <v>0</v>
      </c>
      <c r="M172" s="258">
        <f t="shared" si="18"/>
        <v>8</v>
      </c>
      <c r="N172" s="248">
        <f>SUMIFS(criblage!$R:$R,criblage!$B:$B,'synthèse 312'!$A172-1,criblage!$C:$C,'synthèse 312'!N$2)</f>
        <v>0</v>
      </c>
      <c r="O172" s="248">
        <f>SUMIFS(criblage!$R:$R,criblage!$B:$B,'synthèse 312'!$A172,criblage!$C:$C,'synthèse 312'!O$2)</f>
        <v>0</v>
      </c>
      <c r="P172" s="248">
        <f>SUMIFS(criblage!$R:$R,criblage!$B:$B,'synthèse 312'!$A172,criblage!$C:$C,'synthèse 312'!P$2)</f>
        <v>0</v>
      </c>
      <c r="Q172" s="248">
        <f t="shared" si="19"/>
        <v>0</v>
      </c>
      <c r="R172" s="249">
        <f t="shared" si="23"/>
        <v>0</v>
      </c>
      <c r="S172" s="249">
        <f t="shared" si="20"/>
        <v>0</v>
      </c>
      <c r="T172" s="249">
        <f t="shared" si="21"/>
        <v>0</v>
      </c>
      <c r="U172" s="249">
        <f t="shared" si="22"/>
        <v>0</v>
      </c>
    </row>
    <row r="173" spans="1:21" x14ac:dyDescent="0.25">
      <c r="A173" s="244">
        <v>45096</v>
      </c>
      <c r="B173" s="252">
        <f>SUMIFS(criblage!$P:$P,criblage!$B:$B,'synthèse 312'!A173-1,criblage!$C:$C,'synthèse 312'!B$2)</f>
        <v>0</v>
      </c>
      <c r="C173" s="252">
        <f>SUMIFS(criblage!$P:$P,criblage!$B:$B,'synthèse 312'!$A173,criblage!$C:$C,'synthèse 312'!C$2)</f>
        <v>0</v>
      </c>
      <c r="D173" s="252">
        <f>SUMIFS(criblage!$P:$P,criblage!$B:$B,'synthèse 312'!$A173,criblage!$C:$C,'synthèse 312'!D$2)</f>
        <v>0</v>
      </c>
      <c r="E173" s="252">
        <f t="shared" si="16"/>
        <v>0</v>
      </c>
      <c r="F173" s="254">
        <f>SUMIFS(criblage!$O:$O,criblage!$B:$B,'synthèse 312'!$A173-1,criblage!$C:$C,'synthèse 312'!F$2)</f>
        <v>0</v>
      </c>
      <c r="G173" s="254">
        <f>SUMIFS(criblage!$O:$O,criblage!$B:$B,'synthèse 312'!$A173,criblage!$C:$C,'synthèse 312'!G$2)</f>
        <v>4971</v>
      </c>
      <c r="H173" s="254">
        <f>SUMIFS(criblage!$O:$O,criblage!$B:$B,'synthèse 312'!$A173,criblage!$C:$C,'synthèse 312'!H$2)</f>
        <v>4794</v>
      </c>
      <c r="I173" s="254">
        <f t="shared" si="17"/>
        <v>9765</v>
      </c>
      <c r="J173" s="258">
        <f>8-SUMIFS('les arrets'!G:G,'les arrets'!B:B,'synthèse 312'!$A173-1,'les arrets'!C:C,'synthèse 312'!J$2)</f>
        <v>8</v>
      </c>
      <c r="K173" s="258">
        <f>8-SUMIFS('les arrets'!G:G,'les arrets'!B:B,'synthèse 312'!$A173,'les arrets'!C:C,'synthèse 312'!K$2)</f>
        <v>5.2833333333333332</v>
      </c>
      <c r="L173" s="258">
        <f>8-SUMIFS('les arrets'!G:G,'les arrets'!B:B,'synthèse 312'!A173,'les arrets'!C:C,'synthèse 312'!L$2)</f>
        <v>6.166666666666667</v>
      </c>
      <c r="M173" s="258">
        <f t="shared" si="18"/>
        <v>19.45</v>
      </c>
      <c r="N173" s="248">
        <f>SUMIFS(criblage!$R:$R,criblage!$B:$B,'synthèse 312'!$A173-1,criblage!$C:$C,'synthèse 312'!N$2)</f>
        <v>0</v>
      </c>
      <c r="O173" s="248">
        <f>SUMIFS(criblage!$R:$R,criblage!$B:$B,'synthèse 312'!$A173,criblage!$C:$C,'synthèse 312'!O$2)</f>
        <v>5.67</v>
      </c>
      <c r="P173" s="248">
        <f>SUMIFS(criblage!$R:$R,criblage!$B:$B,'synthèse 312'!$A173,criblage!$C:$C,'synthèse 312'!P$2)</f>
        <v>6.27</v>
      </c>
      <c r="Q173" s="248">
        <f t="shared" si="19"/>
        <v>11.94</v>
      </c>
      <c r="R173" s="249">
        <f t="shared" si="23"/>
        <v>0</v>
      </c>
      <c r="S173" s="249">
        <f t="shared" si="20"/>
        <v>940.88328075709785</v>
      </c>
      <c r="T173" s="249">
        <f t="shared" si="21"/>
        <v>777.40540540540542</v>
      </c>
      <c r="U173" s="249">
        <f t="shared" si="22"/>
        <v>572.76289538750109</v>
      </c>
    </row>
    <row r="174" spans="1:21" x14ac:dyDescent="0.25">
      <c r="A174" s="244">
        <v>45097</v>
      </c>
      <c r="B174" s="252">
        <f>SUMIFS(criblage!$P:$P,criblage!$B:$B,'synthèse 312'!A174-1,criblage!$C:$C,'synthèse 312'!B$2)</f>
        <v>0</v>
      </c>
      <c r="C174" s="252">
        <f>SUMIFS(criblage!$P:$P,criblage!$B:$B,'synthèse 312'!$A174,criblage!$C:$C,'synthèse 312'!C$2)</f>
        <v>0</v>
      </c>
      <c r="D174" s="252">
        <f>SUMIFS(criblage!$P:$P,criblage!$B:$B,'synthèse 312'!$A174,criblage!$C:$C,'synthèse 312'!D$2)</f>
        <v>0</v>
      </c>
      <c r="E174" s="252">
        <f t="shared" si="16"/>
        <v>0</v>
      </c>
      <c r="F174" s="254">
        <f>SUMIFS(criblage!$O:$O,criblage!$B:$B,'synthèse 312'!$A174-1,criblage!$C:$C,'synthèse 312'!F$2)</f>
        <v>4858</v>
      </c>
      <c r="G174" s="254">
        <f>SUMIFS(criblage!$O:$O,criblage!$B:$B,'synthèse 312'!$A174,criblage!$C:$C,'synthèse 312'!G$2)</f>
        <v>2965</v>
      </c>
      <c r="H174" s="254">
        <f>SUMIFS(criblage!$O:$O,criblage!$B:$B,'synthèse 312'!$A174,criblage!$C:$C,'synthèse 312'!H$2)</f>
        <v>3000</v>
      </c>
      <c r="I174" s="254">
        <f t="shared" si="17"/>
        <v>10823</v>
      </c>
      <c r="J174" s="258">
        <f>8-SUMIFS('les arrets'!G:G,'les arrets'!B:B,'synthèse 312'!$A174-1,'les arrets'!C:C,'synthèse 312'!J$2)</f>
        <v>5.95</v>
      </c>
      <c r="K174" s="258">
        <f>8-SUMIFS('les arrets'!G:G,'les arrets'!B:B,'synthèse 312'!$A174,'les arrets'!C:C,'synthèse 312'!K$2)</f>
        <v>4.1666666666666661</v>
      </c>
      <c r="L174" s="258">
        <f>8-SUMIFS('les arrets'!G:G,'les arrets'!B:B,'synthèse 312'!A174,'les arrets'!C:C,'synthèse 312'!L$2)</f>
        <v>5.3333333333333339</v>
      </c>
      <c r="M174" s="258">
        <f t="shared" si="18"/>
        <v>15.450000000000001</v>
      </c>
      <c r="N174" s="248">
        <f>SUMIFS(criblage!$R:$R,criblage!$B:$B,'synthèse 312'!$A174-1,criblage!$C:$C,'synthèse 312'!N$2)</f>
        <v>5.77</v>
      </c>
      <c r="O174" s="248">
        <f>SUMIFS(criblage!$R:$R,criblage!$B:$B,'synthèse 312'!$A174,criblage!$C:$C,'synthèse 312'!O$2)</f>
        <v>4.5999999999999996</v>
      </c>
      <c r="P174" s="248">
        <f>SUMIFS(criblage!$R:$R,criblage!$B:$B,'synthèse 312'!$A174,criblage!$C:$C,'synthèse 312'!P$2)</f>
        <v>5.62</v>
      </c>
      <c r="Q174" s="248">
        <f t="shared" si="19"/>
        <v>15.989999999999998</v>
      </c>
      <c r="R174" s="249">
        <f t="shared" si="23"/>
        <v>816.47058823529414</v>
      </c>
      <c r="S174" s="249">
        <f t="shared" si="20"/>
        <v>711.60000000000014</v>
      </c>
      <c r="T174" s="249">
        <f t="shared" si="21"/>
        <v>562.49999999999989</v>
      </c>
      <c r="U174" s="249">
        <f t="shared" si="22"/>
        <v>696.85686274509806</v>
      </c>
    </row>
    <row r="175" spans="1:21" x14ac:dyDescent="0.25">
      <c r="A175" s="244">
        <v>45098</v>
      </c>
      <c r="B175" s="252">
        <f>SUMIFS(criblage!$P:$P,criblage!$B:$B,'synthèse 312'!A175-1,criblage!$C:$C,'synthèse 312'!B$2)</f>
        <v>0</v>
      </c>
      <c r="C175" s="252">
        <f>SUMIFS(criblage!$P:$P,criblage!$B:$B,'synthèse 312'!$A175,criblage!$C:$C,'synthèse 312'!C$2)</f>
        <v>0</v>
      </c>
      <c r="D175" s="252">
        <f>SUMIFS(criblage!$P:$P,criblage!$B:$B,'synthèse 312'!$A175,criblage!$C:$C,'synthèse 312'!D$2)</f>
        <v>0</v>
      </c>
      <c r="E175" s="252">
        <f t="shared" si="16"/>
        <v>0</v>
      </c>
      <c r="F175" s="254">
        <f>SUMIFS(criblage!$O:$O,criblage!$B:$B,'synthèse 312'!$A175-1,criblage!$C:$C,'synthèse 312'!F$2)</f>
        <v>4418</v>
      </c>
      <c r="G175" s="254">
        <f>SUMIFS(criblage!$O:$O,criblage!$B:$B,'synthèse 312'!$A175,criblage!$C:$C,'synthèse 312'!G$2)</f>
        <v>337</v>
      </c>
      <c r="H175" s="254">
        <f>SUMIFS(criblage!$O:$O,criblage!$B:$B,'synthèse 312'!$A175,criblage!$C:$C,'synthèse 312'!H$2)</f>
        <v>4496</v>
      </c>
      <c r="I175" s="254">
        <f t="shared" si="17"/>
        <v>9251</v>
      </c>
      <c r="J175" s="258">
        <f>8-SUMIFS('les arrets'!G:G,'les arrets'!B:B,'synthèse 312'!$A175-1,'les arrets'!C:C,'synthèse 312'!J$2)</f>
        <v>6.8666666666666671</v>
      </c>
      <c r="K175" s="258">
        <f>8-SUMIFS('les arrets'!G:G,'les arrets'!B:B,'synthèse 312'!$A175,'les arrets'!C:C,'synthèse 312'!K$2)</f>
        <v>0.54999999999999982</v>
      </c>
      <c r="L175" s="258">
        <f>8-SUMIFS('les arrets'!G:G,'les arrets'!B:B,'synthèse 312'!A175,'les arrets'!C:C,'synthèse 312'!L$2)</f>
        <v>5.8333333333333339</v>
      </c>
      <c r="M175" s="258">
        <f t="shared" si="18"/>
        <v>13.25</v>
      </c>
      <c r="N175" s="248">
        <f>SUMIFS(criblage!$R:$R,criblage!$B:$B,'synthèse 312'!$A175-1,criblage!$C:$C,'synthèse 312'!N$2)</f>
        <v>6.99</v>
      </c>
      <c r="O175" s="248">
        <f>SUMIFS(criblage!$R:$R,criblage!$B:$B,'synthèse 312'!$A175,criblage!$C:$C,'synthèse 312'!O$2)</f>
        <v>0.77</v>
      </c>
      <c r="P175" s="248">
        <f>SUMIFS(criblage!$R:$R,criblage!$B:$B,'synthèse 312'!$A175,criblage!$C:$C,'synthèse 312'!P$2)</f>
        <v>6.62</v>
      </c>
      <c r="Q175" s="248">
        <f t="shared" si="19"/>
        <v>14.379999999999999</v>
      </c>
      <c r="R175" s="249">
        <f t="shared" si="23"/>
        <v>643.39805825242718</v>
      </c>
      <c r="S175" s="249">
        <f t="shared" si="20"/>
        <v>612.72727272727298</v>
      </c>
      <c r="T175" s="249">
        <f t="shared" si="21"/>
        <v>770.74285714285702</v>
      </c>
      <c r="U175" s="249">
        <f t="shared" si="22"/>
        <v>675.62272937418572</v>
      </c>
    </row>
    <row r="176" spans="1:21" x14ac:dyDescent="0.25">
      <c r="A176" s="244">
        <v>45099</v>
      </c>
      <c r="B176" s="252">
        <f>SUMIFS(criblage!$P:$P,criblage!$B:$B,'synthèse 312'!A176-1,criblage!$C:$C,'synthèse 312'!B$2)</f>
        <v>0</v>
      </c>
      <c r="C176" s="252">
        <f>SUMIFS(criblage!$P:$P,criblage!$B:$B,'synthèse 312'!$A176,criblage!$C:$C,'synthèse 312'!C$2)</f>
        <v>0</v>
      </c>
      <c r="D176" s="252">
        <f>SUMIFS(criblage!$P:$P,criblage!$B:$B,'synthèse 312'!$A176,criblage!$C:$C,'synthèse 312'!D$2)</f>
        <v>0</v>
      </c>
      <c r="E176" s="252">
        <f t="shared" si="16"/>
        <v>0</v>
      </c>
      <c r="F176" s="254">
        <f>SUMIFS(criblage!$O:$O,criblage!$B:$B,'synthèse 312'!$A176-1,criblage!$C:$C,'synthèse 312'!F$2)</f>
        <v>3519</v>
      </c>
      <c r="G176" s="254">
        <f>SUMIFS(criblage!$O:$O,criblage!$B:$B,'synthèse 312'!$A176,criblage!$C:$C,'synthèse 312'!G$2)</f>
        <v>855</v>
      </c>
      <c r="H176" s="254">
        <f>SUMIFS(criblage!$O:$O,criblage!$B:$B,'synthèse 312'!$A176,criblage!$C:$C,'synthèse 312'!H$2)</f>
        <v>4269</v>
      </c>
      <c r="I176" s="254">
        <f t="shared" si="17"/>
        <v>8643</v>
      </c>
      <c r="J176" s="258">
        <f>8-SUMIFS('les arrets'!G:G,'les arrets'!B:B,'synthèse 312'!$A176-1,'les arrets'!C:C,'synthèse 312'!J$2)</f>
        <v>3.1499999999999995</v>
      </c>
      <c r="K176" s="258">
        <f>8-SUMIFS('les arrets'!G:G,'les arrets'!B:B,'synthèse 312'!$A176,'les arrets'!C:C,'synthèse 312'!K$2)</f>
        <v>2.4000000000000004</v>
      </c>
      <c r="L176" s="258">
        <f>8-SUMIFS('les arrets'!G:G,'les arrets'!B:B,'synthèse 312'!A176,'les arrets'!C:C,'synthèse 312'!L$2)</f>
        <v>6.65</v>
      </c>
      <c r="M176" s="258">
        <f t="shared" si="18"/>
        <v>12.2</v>
      </c>
      <c r="N176" s="248">
        <f>SUMIFS(criblage!$R:$R,criblage!$B:$B,'synthèse 312'!$A176-1,criblage!$C:$C,'synthèse 312'!N$2)</f>
        <v>5.9</v>
      </c>
      <c r="O176" s="248">
        <f>SUMIFS(criblage!$R:$R,criblage!$B:$B,'synthèse 312'!$A176,criblage!$C:$C,'synthèse 312'!O$2)</f>
        <v>2.2400000000000002</v>
      </c>
      <c r="P176" s="248">
        <f>SUMIFS(criblage!$R:$R,criblage!$B:$B,'synthèse 312'!$A176,criblage!$C:$C,'synthèse 312'!P$2)</f>
        <v>6.87</v>
      </c>
      <c r="Q176" s="248">
        <f t="shared" si="19"/>
        <v>15.010000000000002</v>
      </c>
      <c r="R176" s="249">
        <f t="shared" si="23"/>
        <v>1117.1428571428573</v>
      </c>
      <c r="S176" s="249">
        <f t="shared" si="20"/>
        <v>356.24999999999994</v>
      </c>
      <c r="T176" s="249">
        <f t="shared" si="21"/>
        <v>641.95488721804509</v>
      </c>
      <c r="U176" s="249">
        <f t="shared" si="22"/>
        <v>705.11591478696755</v>
      </c>
    </row>
    <row r="177" spans="1:21" x14ac:dyDescent="0.25">
      <c r="A177" s="244">
        <v>45100</v>
      </c>
      <c r="B177" s="252">
        <f>SUMIFS(criblage!$P:$P,criblage!$B:$B,'synthèse 312'!A177-1,criblage!$C:$C,'synthèse 312'!B$2)</f>
        <v>0</v>
      </c>
      <c r="C177" s="252">
        <f>SUMIFS(criblage!$P:$P,criblage!$B:$B,'synthèse 312'!$A177,criblage!$C:$C,'synthèse 312'!C$2)</f>
        <v>0</v>
      </c>
      <c r="D177" s="252">
        <f>SUMIFS(criblage!$P:$P,criblage!$B:$B,'synthèse 312'!$A177,criblage!$C:$C,'synthèse 312'!D$2)</f>
        <v>0</v>
      </c>
      <c r="E177" s="252">
        <f t="shared" si="16"/>
        <v>0</v>
      </c>
      <c r="F177" s="254">
        <f>SUMIFS(criblage!$O:$O,criblage!$B:$B,'synthèse 312'!$A177-1,criblage!$C:$C,'synthèse 312'!F$2)</f>
        <v>1247</v>
      </c>
      <c r="G177" s="254">
        <f>SUMIFS(criblage!$O:$O,criblage!$B:$B,'synthèse 312'!$A177,criblage!$C:$C,'synthèse 312'!G$2)</f>
        <v>1490</v>
      </c>
      <c r="H177" s="254">
        <f>SUMIFS(criblage!$O:$O,criblage!$B:$B,'synthèse 312'!$A177,criblage!$C:$C,'synthèse 312'!H$2)</f>
        <v>3109</v>
      </c>
      <c r="I177" s="254">
        <f t="shared" si="17"/>
        <v>5846</v>
      </c>
      <c r="J177" s="258">
        <f>8-SUMIFS('les arrets'!G:G,'les arrets'!B:B,'synthèse 312'!$A177-1,'les arrets'!C:C,'synthèse 312'!J$2)</f>
        <v>2.1333333333333337</v>
      </c>
      <c r="K177" s="258">
        <f>8-SUMIFS('les arrets'!G:G,'les arrets'!B:B,'synthèse 312'!$A177,'les arrets'!C:C,'synthèse 312'!K$2)</f>
        <v>3.6666666666666661</v>
      </c>
      <c r="L177" s="258">
        <f>8-SUMIFS('les arrets'!G:G,'les arrets'!B:B,'synthèse 312'!A177,'les arrets'!C:C,'synthèse 312'!L$2)</f>
        <v>3.75</v>
      </c>
      <c r="M177" s="258">
        <f t="shared" si="18"/>
        <v>9.5500000000000007</v>
      </c>
      <c r="N177" s="248">
        <f>SUMIFS(criblage!$R:$R,criblage!$B:$B,'synthèse 312'!$A177-1,criblage!$C:$C,'synthèse 312'!N$2)</f>
        <v>2.14</v>
      </c>
      <c r="O177" s="248">
        <f>SUMIFS(criblage!$R:$R,criblage!$B:$B,'synthèse 312'!$A177,criblage!$C:$C,'synthèse 312'!O$2)</f>
        <v>4.0199999999999996</v>
      </c>
      <c r="P177" s="248">
        <f>SUMIFS(criblage!$R:$R,criblage!$B:$B,'synthèse 312'!$A177,criblage!$C:$C,'synthèse 312'!P$2)</f>
        <v>4.2300000000000004</v>
      </c>
      <c r="Q177" s="248">
        <f t="shared" si="19"/>
        <v>10.39</v>
      </c>
      <c r="R177" s="249">
        <f t="shared" si="23"/>
        <v>584.53124999999989</v>
      </c>
      <c r="S177" s="249">
        <f t="shared" si="20"/>
        <v>406.36363636363643</v>
      </c>
      <c r="T177" s="249">
        <f t="shared" si="21"/>
        <v>829.06666666666672</v>
      </c>
      <c r="U177" s="249">
        <f t="shared" si="22"/>
        <v>606.65385101010099</v>
      </c>
    </row>
    <row r="178" spans="1:21" x14ac:dyDescent="0.25">
      <c r="A178" s="244">
        <v>45101</v>
      </c>
      <c r="B178" s="252">
        <f>SUMIFS(criblage!$P:$P,criblage!$B:$B,'synthèse 312'!A178-1,criblage!$C:$C,'synthèse 312'!B$2)</f>
        <v>0</v>
      </c>
      <c r="C178" s="252">
        <f>SUMIFS(criblage!$P:$P,criblage!$B:$B,'synthèse 312'!$A178,criblage!$C:$C,'synthèse 312'!C$2)</f>
        <v>0</v>
      </c>
      <c r="D178" s="252">
        <f>SUMIFS(criblage!$P:$P,criblage!$B:$B,'synthèse 312'!$A178,criblage!$C:$C,'synthèse 312'!D$2)</f>
        <v>0</v>
      </c>
      <c r="E178" s="252">
        <f t="shared" si="16"/>
        <v>0</v>
      </c>
      <c r="F178" s="254">
        <f>SUMIFS(criblage!$O:$O,criblage!$B:$B,'synthèse 312'!$A178-1,criblage!$C:$C,'synthèse 312'!F$2)</f>
        <v>1710</v>
      </c>
      <c r="G178" s="254">
        <f>SUMIFS(criblage!$O:$O,criblage!$B:$B,'synthèse 312'!$A178,criblage!$C:$C,'synthèse 312'!G$2)</f>
        <v>0</v>
      </c>
      <c r="H178" s="254">
        <f>SUMIFS(criblage!$O:$O,criblage!$B:$B,'synthèse 312'!$A178,criblage!$C:$C,'synthèse 312'!H$2)</f>
        <v>0</v>
      </c>
      <c r="I178" s="254">
        <f t="shared" si="17"/>
        <v>1710</v>
      </c>
      <c r="J178" s="258">
        <f>8-SUMIFS('les arrets'!G:G,'les arrets'!B:B,'synthèse 312'!$A178-1,'les arrets'!C:C,'synthèse 312'!J$2)</f>
        <v>2.3499999999999996</v>
      </c>
      <c r="K178" s="258">
        <f>8-SUMIFS('les arrets'!G:G,'les arrets'!B:B,'synthèse 312'!$A178,'les arrets'!C:C,'synthèse 312'!K$2)</f>
        <v>0</v>
      </c>
      <c r="L178" s="258">
        <f>8-SUMIFS('les arrets'!G:G,'les arrets'!B:B,'synthèse 312'!A178,'les arrets'!C:C,'synthèse 312'!L$2)</f>
        <v>0</v>
      </c>
      <c r="M178" s="258">
        <f t="shared" si="18"/>
        <v>2.3499999999999996</v>
      </c>
      <c r="N178" s="248">
        <f>SUMIFS(criblage!$R:$R,criblage!$B:$B,'synthèse 312'!$A178-1,criblage!$C:$C,'synthèse 312'!N$2)</f>
        <v>2.4300000000000002</v>
      </c>
      <c r="O178" s="248">
        <f>SUMIFS(criblage!$R:$R,criblage!$B:$B,'synthèse 312'!$A178,criblage!$C:$C,'synthèse 312'!O$2)</f>
        <v>0</v>
      </c>
      <c r="P178" s="248">
        <f>SUMIFS(criblage!$R:$R,criblage!$B:$B,'synthèse 312'!$A178,criblage!$C:$C,'synthèse 312'!P$2)</f>
        <v>0</v>
      </c>
      <c r="Q178" s="248">
        <f t="shared" si="19"/>
        <v>2.4300000000000002</v>
      </c>
      <c r="R178" s="249">
        <f t="shared" si="23"/>
        <v>727.65957446808522</v>
      </c>
      <c r="S178" s="249">
        <f t="shared" si="20"/>
        <v>0</v>
      </c>
      <c r="T178" s="249">
        <f t="shared" si="21"/>
        <v>0</v>
      </c>
      <c r="U178" s="249">
        <f t="shared" si="22"/>
        <v>242.55319148936175</v>
      </c>
    </row>
    <row r="179" spans="1:21" x14ac:dyDescent="0.25">
      <c r="A179" s="244">
        <v>45102</v>
      </c>
      <c r="B179" s="252">
        <f>SUMIFS(criblage!$P:$P,criblage!$B:$B,'synthèse 312'!A179-1,criblage!$C:$C,'synthèse 312'!B$2)</f>
        <v>0</v>
      </c>
      <c r="C179" s="252">
        <f>SUMIFS(criblage!$P:$P,criblage!$B:$B,'synthèse 312'!$A179,criblage!$C:$C,'synthèse 312'!C$2)</f>
        <v>0</v>
      </c>
      <c r="D179" s="252">
        <f>SUMIFS(criblage!$P:$P,criblage!$B:$B,'synthèse 312'!$A179,criblage!$C:$C,'synthèse 312'!D$2)</f>
        <v>0</v>
      </c>
      <c r="E179" s="252">
        <f t="shared" si="16"/>
        <v>0</v>
      </c>
      <c r="F179" s="254">
        <f>SUMIFS(criblage!$O:$O,criblage!$B:$B,'synthèse 312'!$A179-1,criblage!$C:$C,'synthèse 312'!F$2)</f>
        <v>0</v>
      </c>
      <c r="G179" s="254">
        <f>SUMIFS(criblage!$O:$O,criblage!$B:$B,'synthèse 312'!$A179,criblage!$C:$C,'synthèse 312'!G$2)</f>
        <v>0</v>
      </c>
      <c r="H179" s="254">
        <f>SUMIFS(criblage!$O:$O,criblage!$B:$B,'synthèse 312'!$A179,criblage!$C:$C,'synthèse 312'!H$2)</f>
        <v>0</v>
      </c>
      <c r="I179" s="254">
        <f t="shared" si="17"/>
        <v>0</v>
      </c>
      <c r="J179" s="258">
        <f>8-SUMIFS('les arrets'!G:G,'les arrets'!B:B,'synthèse 312'!$A179-1,'les arrets'!C:C,'synthèse 312'!J$2)</f>
        <v>0</v>
      </c>
      <c r="K179" s="258">
        <f>8-SUMIFS('les arrets'!G:G,'les arrets'!B:B,'synthèse 312'!$A179,'les arrets'!C:C,'synthèse 312'!K$2)</f>
        <v>0</v>
      </c>
      <c r="L179" s="258">
        <f>8-SUMIFS('les arrets'!G:G,'les arrets'!B:B,'synthèse 312'!A179,'les arrets'!C:C,'synthèse 312'!L$2)</f>
        <v>0</v>
      </c>
      <c r="M179" s="258">
        <f t="shared" si="18"/>
        <v>0</v>
      </c>
      <c r="N179" s="248">
        <f>SUMIFS(criblage!$R:$R,criblage!$B:$B,'synthèse 312'!$A179-1,criblage!$C:$C,'synthèse 312'!N$2)</f>
        <v>0</v>
      </c>
      <c r="O179" s="248">
        <f>SUMIFS(criblage!$R:$R,criblage!$B:$B,'synthèse 312'!$A179,criblage!$C:$C,'synthèse 312'!O$2)</f>
        <v>0</v>
      </c>
      <c r="P179" s="248">
        <f>SUMIFS(criblage!$R:$R,criblage!$B:$B,'synthèse 312'!$A179,criblage!$C:$C,'synthèse 312'!P$2)</f>
        <v>0</v>
      </c>
      <c r="Q179" s="248">
        <f t="shared" si="19"/>
        <v>0</v>
      </c>
      <c r="R179" s="249" t="e">
        <f t="shared" si="23"/>
        <v>#DIV/0!</v>
      </c>
      <c r="S179" s="249">
        <f t="shared" si="20"/>
        <v>0</v>
      </c>
      <c r="T179" s="249">
        <f t="shared" si="21"/>
        <v>0</v>
      </c>
      <c r="U179" s="249" t="e">
        <f t="shared" si="22"/>
        <v>#DIV/0!</v>
      </c>
    </row>
    <row r="180" spans="1:21" x14ac:dyDescent="0.25">
      <c r="A180" s="244">
        <v>45103</v>
      </c>
      <c r="B180" s="252">
        <f>SUMIFS(criblage!$P:$P,criblage!$B:$B,'synthèse 312'!A180-1,criblage!$C:$C,'synthèse 312'!B$2)</f>
        <v>0</v>
      </c>
      <c r="C180" s="252">
        <f>SUMIFS(criblage!$P:$P,criblage!$B:$B,'synthèse 312'!$A180,criblage!$C:$C,'synthèse 312'!C$2)</f>
        <v>0</v>
      </c>
      <c r="D180" s="252">
        <f>SUMIFS(criblage!$P:$P,criblage!$B:$B,'synthèse 312'!$A180,criblage!$C:$C,'synthèse 312'!D$2)</f>
        <v>0</v>
      </c>
      <c r="E180" s="252">
        <f t="shared" si="16"/>
        <v>0</v>
      </c>
      <c r="F180" s="254">
        <f>SUMIFS(criblage!$O:$O,criblage!$B:$B,'synthèse 312'!$A180-1,criblage!$C:$C,'synthèse 312'!F$2)</f>
        <v>0</v>
      </c>
      <c r="G180" s="254">
        <f>SUMIFS(criblage!$O:$O,criblage!$B:$B,'synthèse 312'!$A180,criblage!$C:$C,'synthèse 312'!G$2)</f>
        <v>3480</v>
      </c>
      <c r="H180" s="254">
        <f>SUMIFS(criblage!$O:$O,criblage!$B:$B,'synthèse 312'!$A180,criblage!$C:$C,'synthèse 312'!H$2)</f>
        <v>2059</v>
      </c>
      <c r="I180" s="254">
        <f t="shared" si="17"/>
        <v>5539</v>
      </c>
      <c r="J180" s="258">
        <f>8-SUMIFS('les arrets'!G:G,'les arrets'!B:B,'synthèse 312'!$A180-1,'les arrets'!C:C,'synthèse 312'!J$2)</f>
        <v>0</v>
      </c>
      <c r="K180" s="258">
        <f>8-SUMIFS('les arrets'!G:G,'les arrets'!B:B,'synthèse 312'!$A180,'les arrets'!C:C,'synthèse 312'!K$2)</f>
        <v>4.8</v>
      </c>
      <c r="L180" s="258">
        <f>8-SUMIFS('les arrets'!G:G,'les arrets'!B:B,'synthèse 312'!A180,'les arrets'!C:C,'synthèse 312'!L$2)</f>
        <v>3.8666666666666671</v>
      </c>
      <c r="M180" s="258">
        <f t="shared" si="18"/>
        <v>8.6666666666666679</v>
      </c>
      <c r="N180" s="248">
        <f>SUMIFS(criblage!$R:$R,criblage!$B:$B,'synthèse 312'!$A180-1,criblage!$C:$C,'synthèse 312'!N$2)</f>
        <v>0</v>
      </c>
      <c r="O180" s="248">
        <f>SUMIFS(criblage!$R:$R,criblage!$B:$B,'synthèse 312'!$A180,criblage!$C:$C,'synthèse 312'!O$2)</f>
        <v>4.58</v>
      </c>
      <c r="P180" s="248">
        <f>SUMIFS(criblage!$R:$R,criblage!$B:$B,'synthèse 312'!$A180,criblage!$C:$C,'synthèse 312'!P$2)</f>
        <v>3.44</v>
      </c>
      <c r="Q180" s="248">
        <f t="shared" si="19"/>
        <v>8.02</v>
      </c>
      <c r="R180" s="249" t="e">
        <f t="shared" si="23"/>
        <v>#DIV/0!</v>
      </c>
      <c r="S180" s="249">
        <f t="shared" si="20"/>
        <v>725</v>
      </c>
      <c r="T180" s="249">
        <f t="shared" si="21"/>
        <v>532.49999999999989</v>
      </c>
      <c r="U180" s="249" t="e">
        <f t="shared" si="22"/>
        <v>#DIV/0!</v>
      </c>
    </row>
    <row r="181" spans="1:21" x14ac:dyDescent="0.25">
      <c r="A181" s="244">
        <v>45104</v>
      </c>
      <c r="B181" s="252">
        <f>SUMIFS(criblage!$P:$P,criblage!$B:$B,'synthèse 312'!A181-1,criblage!$C:$C,'synthèse 312'!B$2)</f>
        <v>0</v>
      </c>
      <c r="C181" s="252">
        <f>SUMIFS(criblage!$P:$P,criblage!$B:$B,'synthèse 312'!$A181,criblage!$C:$C,'synthèse 312'!C$2)</f>
        <v>0</v>
      </c>
      <c r="D181" s="252">
        <f>SUMIFS(criblage!$P:$P,criblage!$B:$B,'synthèse 312'!$A181,criblage!$C:$C,'synthèse 312'!D$2)</f>
        <v>0</v>
      </c>
      <c r="E181" s="252">
        <f t="shared" si="16"/>
        <v>0</v>
      </c>
      <c r="F181" s="254">
        <f>SUMIFS(criblage!$O:$O,criblage!$B:$B,'synthèse 312'!$A181-1,criblage!$C:$C,'synthèse 312'!F$2)</f>
        <v>2490</v>
      </c>
      <c r="G181" s="254">
        <f>SUMIFS(criblage!$O:$O,criblage!$B:$B,'synthèse 312'!$A181,criblage!$C:$C,'synthèse 312'!G$2)</f>
        <v>4832</v>
      </c>
      <c r="H181" s="254">
        <f>SUMIFS(criblage!$O:$O,criblage!$B:$B,'synthèse 312'!$A181,criblage!$C:$C,'synthèse 312'!H$2)</f>
        <v>1006</v>
      </c>
      <c r="I181" s="254">
        <f t="shared" si="17"/>
        <v>8328</v>
      </c>
      <c r="J181" s="258">
        <f>8-SUMIFS('les arrets'!G:G,'les arrets'!B:B,'synthèse 312'!$A181-1,'les arrets'!C:C,'synthèse 312'!J$2)</f>
        <v>3.45</v>
      </c>
      <c r="K181" s="258">
        <f>8-SUMIFS('les arrets'!G:G,'les arrets'!B:B,'synthèse 312'!$A181,'les arrets'!C:C,'synthèse 312'!K$2)</f>
        <v>5.916666666666667</v>
      </c>
      <c r="L181" s="258">
        <f>8-SUMIFS('les arrets'!G:G,'les arrets'!B:B,'synthèse 312'!A181,'les arrets'!C:C,'synthèse 312'!L$2)</f>
        <v>2</v>
      </c>
      <c r="M181" s="258">
        <f t="shared" si="18"/>
        <v>11.366666666666667</v>
      </c>
      <c r="N181" s="248">
        <f>SUMIFS(criblage!$R:$R,criblage!$B:$B,'synthèse 312'!$A181-1,criblage!$C:$C,'synthèse 312'!N$2)</f>
        <v>3.45</v>
      </c>
      <c r="O181" s="248">
        <f>SUMIFS(criblage!$R:$R,criblage!$B:$B,'synthèse 312'!$A181,criblage!$C:$C,'synthèse 312'!O$2)</f>
        <v>5.87</v>
      </c>
      <c r="P181" s="248">
        <f>SUMIFS(criblage!$R:$R,criblage!$B:$B,'synthèse 312'!$A181,criblage!$C:$C,'synthèse 312'!P$2)</f>
        <v>1.84</v>
      </c>
      <c r="Q181" s="248">
        <f t="shared" si="19"/>
        <v>11.16</v>
      </c>
      <c r="R181" s="249">
        <f t="shared" si="23"/>
        <v>721.73913043478262</v>
      </c>
      <c r="S181" s="249">
        <f t="shared" si="20"/>
        <v>816.67605633802816</v>
      </c>
      <c r="T181" s="249">
        <f t="shared" si="21"/>
        <v>503</v>
      </c>
      <c r="U181" s="249">
        <f t="shared" si="22"/>
        <v>680.47172892427022</v>
      </c>
    </row>
    <row r="182" spans="1:21" x14ac:dyDescent="0.25">
      <c r="A182" s="244">
        <v>45105</v>
      </c>
      <c r="B182" s="252">
        <f>SUMIFS(criblage!$P:$P,criblage!$B:$B,'synthèse 312'!A182-1,criblage!$C:$C,'synthèse 312'!B$2)</f>
        <v>0</v>
      </c>
      <c r="C182" s="252">
        <f>SUMIFS(criblage!$P:$P,criblage!$B:$B,'synthèse 312'!$A182,criblage!$C:$C,'synthèse 312'!C$2)</f>
        <v>0</v>
      </c>
      <c r="D182" s="252">
        <f>SUMIFS(criblage!$P:$P,criblage!$B:$B,'synthèse 312'!$A182,criblage!$C:$C,'synthèse 312'!D$2)</f>
        <v>0</v>
      </c>
      <c r="E182" s="252">
        <f t="shared" si="16"/>
        <v>0</v>
      </c>
      <c r="F182" s="254">
        <f>SUMIFS(criblage!$O:$O,criblage!$B:$B,'synthèse 312'!$A182-1,criblage!$C:$C,'synthèse 312'!F$2)</f>
        <v>3023</v>
      </c>
      <c r="G182" s="254">
        <f>SUMIFS(criblage!$O:$O,criblage!$B:$B,'synthèse 312'!$A182,criblage!$C:$C,'synthèse 312'!G$2)</f>
        <v>0</v>
      </c>
      <c r="H182" s="254">
        <f>SUMIFS(criblage!$O:$O,criblage!$B:$B,'synthèse 312'!$A182,criblage!$C:$C,'synthèse 312'!H$2)</f>
        <v>0</v>
      </c>
      <c r="I182" s="254">
        <f t="shared" si="17"/>
        <v>3023</v>
      </c>
      <c r="J182" s="258">
        <f>8-SUMIFS('les arrets'!G:G,'les arrets'!B:B,'synthèse 312'!$A182-1,'les arrets'!C:C,'synthèse 312'!J$2)</f>
        <v>4.75</v>
      </c>
      <c r="K182" s="258">
        <f>8-SUMIFS('les arrets'!G:G,'les arrets'!B:B,'synthèse 312'!$A182,'les arrets'!C:C,'synthèse 312'!K$2)</f>
        <v>0</v>
      </c>
      <c r="L182" s="258">
        <f>8-SUMIFS('les arrets'!G:G,'les arrets'!B:B,'synthèse 312'!A182,'les arrets'!C:C,'synthèse 312'!L$2)</f>
        <v>0</v>
      </c>
      <c r="M182" s="258">
        <f t="shared" si="18"/>
        <v>4.75</v>
      </c>
      <c r="N182" s="248">
        <f>SUMIFS(criblage!$R:$R,criblage!$B:$B,'synthèse 312'!$A182-1,criblage!$C:$C,'synthèse 312'!N$2)</f>
        <v>6.07</v>
      </c>
      <c r="O182" s="248">
        <f>SUMIFS(criblage!$R:$R,criblage!$B:$B,'synthèse 312'!$A182,criblage!$C:$C,'synthèse 312'!O$2)</f>
        <v>0</v>
      </c>
      <c r="P182" s="248">
        <f>SUMIFS(criblage!$R:$R,criblage!$B:$B,'synthèse 312'!$A182,criblage!$C:$C,'synthèse 312'!P$2)</f>
        <v>0</v>
      </c>
      <c r="Q182" s="248">
        <f t="shared" si="19"/>
        <v>6.07</v>
      </c>
      <c r="R182" s="249">
        <f t="shared" si="23"/>
        <v>636.42105263157896</v>
      </c>
      <c r="S182" s="249">
        <f t="shared" si="20"/>
        <v>0</v>
      </c>
      <c r="T182" s="249">
        <f t="shared" si="21"/>
        <v>0</v>
      </c>
      <c r="U182" s="249">
        <f t="shared" si="22"/>
        <v>212.14035087719299</v>
      </c>
    </row>
    <row r="183" spans="1:21" x14ac:dyDescent="0.25">
      <c r="A183" s="244">
        <v>45106</v>
      </c>
      <c r="B183" s="252">
        <f>SUMIFS(criblage!$P:$P,criblage!$B:$B,'synthèse 312'!A183-1,criblage!$C:$C,'synthèse 312'!B$2)</f>
        <v>0</v>
      </c>
      <c r="C183" s="252">
        <f>SUMIFS(criblage!$P:$P,criblage!$B:$B,'synthèse 312'!$A183,criblage!$C:$C,'synthèse 312'!C$2)</f>
        <v>0</v>
      </c>
      <c r="D183" s="252">
        <f>SUMIFS(criblage!$P:$P,criblage!$B:$B,'synthèse 312'!$A183,criblage!$C:$C,'synthèse 312'!D$2)</f>
        <v>0</v>
      </c>
      <c r="E183" s="252">
        <f t="shared" si="16"/>
        <v>0</v>
      </c>
      <c r="F183" s="254">
        <f>SUMIFS(criblage!$O:$O,criblage!$B:$B,'synthèse 312'!$A183-1,criblage!$C:$C,'synthèse 312'!F$2)</f>
        <v>0</v>
      </c>
      <c r="G183" s="254">
        <f>SUMIFS(criblage!$O:$O,criblage!$B:$B,'synthèse 312'!$A183,criblage!$C:$C,'synthèse 312'!G$2)</f>
        <v>0</v>
      </c>
      <c r="H183" s="254">
        <f>SUMIFS(criblage!$O:$O,criblage!$B:$B,'synthèse 312'!$A183,criblage!$C:$C,'synthèse 312'!H$2)</f>
        <v>0</v>
      </c>
      <c r="I183" s="254">
        <f t="shared" si="17"/>
        <v>0</v>
      </c>
      <c r="J183" s="258">
        <f>8-SUMIFS('les arrets'!G:G,'les arrets'!B:B,'synthèse 312'!$A183-1,'les arrets'!C:C,'synthèse 312'!J$2)</f>
        <v>8</v>
      </c>
      <c r="K183" s="258">
        <f>8-SUMIFS('les arrets'!G:G,'les arrets'!B:B,'synthèse 312'!$A183,'les arrets'!C:C,'synthèse 312'!K$2)</f>
        <v>0</v>
      </c>
      <c r="L183" s="258">
        <f>8-SUMIFS('les arrets'!G:G,'les arrets'!B:B,'synthèse 312'!A183,'les arrets'!C:C,'synthèse 312'!L$2)</f>
        <v>0</v>
      </c>
      <c r="M183" s="258">
        <f t="shared" si="18"/>
        <v>8</v>
      </c>
      <c r="N183" s="248">
        <f>SUMIFS(criblage!$R:$R,criblage!$B:$B,'synthèse 312'!$A183-1,criblage!$C:$C,'synthèse 312'!N$2)</f>
        <v>0</v>
      </c>
      <c r="O183" s="248">
        <f>SUMIFS(criblage!$R:$R,criblage!$B:$B,'synthèse 312'!$A183,criblage!$C:$C,'synthèse 312'!O$2)</f>
        <v>0</v>
      </c>
      <c r="P183" s="248">
        <f>SUMIFS(criblage!$R:$R,criblage!$B:$B,'synthèse 312'!$A183,criblage!$C:$C,'synthèse 312'!P$2)</f>
        <v>0</v>
      </c>
      <c r="Q183" s="248">
        <f t="shared" si="19"/>
        <v>0</v>
      </c>
      <c r="R183" s="249">
        <f t="shared" si="23"/>
        <v>0</v>
      </c>
      <c r="S183" s="249">
        <f t="shared" si="20"/>
        <v>0</v>
      </c>
      <c r="T183" s="249">
        <f t="shared" si="21"/>
        <v>0</v>
      </c>
      <c r="U183" s="249">
        <f t="shared" si="22"/>
        <v>0</v>
      </c>
    </row>
    <row r="184" spans="1:21" x14ac:dyDescent="0.25">
      <c r="A184" s="244">
        <v>45107</v>
      </c>
      <c r="B184" s="252">
        <f>SUMIFS(criblage!$P:$P,criblage!$B:$B,'synthèse 312'!A184-1,criblage!$C:$C,'synthèse 312'!B$2)</f>
        <v>0</v>
      </c>
      <c r="C184" s="252">
        <f>SUMIFS(criblage!$P:$P,criblage!$B:$B,'synthèse 312'!$A184,criblage!$C:$C,'synthèse 312'!C$2)</f>
        <v>0</v>
      </c>
      <c r="D184" s="252">
        <f>SUMIFS(criblage!$P:$P,criblage!$B:$B,'synthèse 312'!$A184,criblage!$C:$C,'synthèse 312'!D$2)</f>
        <v>0</v>
      </c>
      <c r="E184" s="252">
        <f t="shared" si="16"/>
        <v>0</v>
      </c>
      <c r="F184" s="254">
        <f>SUMIFS(criblage!$O:$O,criblage!$B:$B,'synthèse 312'!$A184-1,criblage!$C:$C,'synthèse 312'!F$2)</f>
        <v>0</v>
      </c>
      <c r="G184" s="254">
        <f>SUMIFS(criblage!$O:$O,criblage!$B:$B,'synthèse 312'!$A184,criblage!$C:$C,'synthèse 312'!G$2)</f>
        <v>0</v>
      </c>
      <c r="H184" s="254">
        <f>SUMIFS(criblage!$O:$O,criblage!$B:$B,'synthèse 312'!$A184,criblage!$C:$C,'synthèse 312'!H$2)</f>
        <v>0</v>
      </c>
      <c r="I184" s="254">
        <f t="shared" si="17"/>
        <v>0</v>
      </c>
      <c r="J184" s="258">
        <f>8-SUMIFS('les arrets'!G:G,'les arrets'!B:B,'synthèse 312'!$A184-1,'les arrets'!C:C,'synthèse 312'!J$2)</f>
        <v>8</v>
      </c>
      <c r="K184" s="258">
        <f>8-SUMIFS('les arrets'!G:G,'les arrets'!B:B,'synthèse 312'!$A184,'les arrets'!C:C,'synthèse 312'!K$2)</f>
        <v>0</v>
      </c>
      <c r="L184" s="258">
        <f>8-SUMIFS('les arrets'!G:G,'les arrets'!B:B,'synthèse 312'!A184,'les arrets'!C:C,'synthèse 312'!L$2)</f>
        <v>0</v>
      </c>
      <c r="M184" s="258">
        <f t="shared" si="18"/>
        <v>8</v>
      </c>
      <c r="N184" s="248">
        <f>SUMIFS(criblage!$R:$R,criblage!$B:$B,'synthèse 312'!$A184-1,criblage!$C:$C,'synthèse 312'!N$2)</f>
        <v>0</v>
      </c>
      <c r="O184" s="248">
        <f>SUMIFS(criblage!$R:$R,criblage!$B:$B,'synthèse 312'!$A184,criblage!$C:$C,'synthèse 312'!O$2)</f>
        <v>0</v>
      </c>
      <c r="P184" s="248">
        <f>SUMIFS(criblage!$R:$R,criblage!$B:$B,'synthèse 312'!$A184,criblage!$C:$C,'synthèse 312'!P$2)</f>
        <v>0</v>
      </c>
      <c r="Q184" s="248">
        <f t="shared" si="19"/>
        <v>0</v>
      </c>
      <c r="R184" s="249">
        <f t="shared" si="23"/>
        <v>0</v>
      </c>
      <c r="S184" s="249">
        <f t="shared" si="20"/>
        <v>0</v>
      </c>
      <c r="T184" s="249">
        <f t="shared" si="21"/>
        <v>0</v>
      </c>
      <c r="U184" s="249">
        <f t="shared" si="22"/>
        <v>0</v>
      </c>
    </row>
    <row r="185" spans="1:21" x14ac:dyDescent="0.25">
      <c r="A185" s="244">
        <v>45108</v>
      </c>
      <c r="B185" s="252">
        <f>SUMIFS(criblage!$P:$P,criblage!$B:$B,'synthèse 312'!A185-1,criblage!$C:$C,'synthèse 312'!B$2)</f>
        <v>0</v>
      </c>
      <c r="C185" s="252">
        <f>SUMIFS(criblage!$P:$P,criblage!$B:$B,'synthèse 312'!$A185,criblage!$C:$C,'synthèse 312'!C$2)</f>
        <v>0</v>
      </c>
      <c r="D185" s="252">
        <f>SUMIFS(criblage!$P:$P,criblage!$B:$B,'synthèse 312'!$A185,criblage!$C:$C,'synthèse 312'!D$2)</f>
        <v>0</v>
      </c>
      <c r="E185" s="252">
        <f t="shared" si="16"/>
        <v>0</v>
      </c>
      <c r="F185" s="254">
        <f>SUMIFS(criblage!$O:$O,criblage!$B:$B,'synthèse 312'!$A185-1,criblage!$C:$C,'synthèse 312'!F$2)</f>
        <v>0</v>
      </c>
      <c r="G185" s="254">
        <f>SUMIFS(criblage!$O:$O,criblage!$B:$B,'synthèse 312'!$A185,criblage!$C:$C,'synthèse 312'!G$2)</f>
        <v>0</v>
      </c>
      <c r="H185" s="254">
        <f>SUMIFS(criblage!$O:$O,criblage!$B:$B,'synthèse 312'!$A185,criblage!$C:$C,'synthèse 312'!H$2)</f>
        <v>0</v>
      </c>
      <c r="I185" s="254">
        <f t="shared" si="17"/>
        <v>0</v>
      </c>
      <c r="J185" s="258">
        <f>8-SUMIFS('les arrets'!G:G,'les arrets'!B:B,'synthèse 312'!$A185-1,'les arrets'!C:C,'synthèse 312'!J$2)</f>
        <v>8</v>
      </c>
      <c r="K185" s="258">
        <f>8-SUMIFS('les arrets'!G:G,'les arrets'!B:B,'synthèse 312'!$A185,'les arrets'!C:C,'synthèse 312'!K$2)</f>
        <v>0</v>
      </c>
      <c r="L185" s="258">
        <f>8-SUMIFS('les arrets'!G:G,'les arrets'!B:B,'synthèse 312'!A185,'les arrets'!C:C,'synthèse 312'!L$2)</f>
        <v>0</v>
      </c>
      <c r="M185" s="258">
        <f t="shared" si="18"/>
        <v>8</v>
      </c>
      <c r="N185" s="248">
        <f>SUMIFS(criblage!$R:$R,criblage!$B:$B,'synthèse 312'!$A185-1,criblage!$C:$C,'synthèse 312'!N$2)</f>
        <v>0</v>
      </c>
      <c r="O185" s="248">
        <f>SUMIFS(criblage!$R:$R,criblage!$B:$B,'synthèse 312'!$A185,criblage!$C:$C,'synthèse 312'!O$2)</f>
        <v>0</v>
      </c>
      <c r="P185" s="248">
        <f>SUMIFS(criblage!$R:$R,criblage!$B:$B,'synthèse 312'!$A185,criblage!$C:$C,'synthèse 312'!P$2)</f>
        <v>0</v>
      </c>
      <c r="Q185" s="248">
        <f t="shared" si="19"/>
        <v>0</v>
      </c>
      <c r="R185" s="249">
        <f t="shared" si="23"/>
        <v>0</v>
      </c>
      <c r="S185" s="249">
        <f t="shared" si="20"/>
        <v>0</v>
      </c>
      <c r="T185" s="249">
        <f t="shared" si="21"/>
        <v>0</v>
      </c>
      <c r="U185" s="249">
        <f t="shared" si="22"/>
        <v>0</v>
      </c>
    </row>
    <row r="186" spans="1:21" x14ac:dyDescent="0.25">
      <c r="A186" s="244">
        <v>45109</v>
      </c>
      <c r="B186" s="252">
        <f>SUMIFS(criblage!$P:$P,criblage!$B:$B,'synthèse 312'!A186-1,criblage!$C:$C,'synthèse 312'!B$2)</f>
        <v>0</v>
      </c>
      <c r="C186" s="252">
        <f>SUMIFS(criblage!$P:$P,criblage!$B:$B,'synthèse 312'!$A186,criblage!$C:$C,'synthèse 312'!C$2)</f>
        <v>0</v>
      </c>
      <c r="D186" s="252">
        <f>SUMIFS(criblage!$P:$P,criblage!$B:$B,'synthèse 312'!$A186,criblage!$C:$C,'synthèse 312'!D$2)</f>
        <v>0</v>
      </c>
      <c r="E186" s="252">
        <f t="shared" si="16"/>
        <v>0</v>
      </c>
      <c r="F186" s="254">
        <f>SUMIFS(criblage!$O:$O,criblage!$B:$B,'synthèse 312'!$A186-1,criblage!$C:$C,'synthèse 312'!F$2)</f>
        <v>0</v>
      </c>
      <c r="G186" s="254">
        <f>SUMIFS(criblage!$O:$O,criblage!$B:$B,'synthèse 312'!$A186,criblage!$C:$C,'synthèse 312'!G$2)</f>
        <v>0</v>
      </c>
      <c r="H186" s="254">
        <f>SUMIFS(criblage!$O:$O,criblage!$B:$B,'synthèse 312'!$A186,criblage!$C:$C,'synthèse 312'!H$2)</f>
        <v>0</v>
      </c>
      <c r="I186" s="254">
        <f t="shared" si="17"/>
        <v>0</v>
      </c>
      <c r="J186" s="258">
        <f>8-SUMIFS('les arrets'!G:G,'les arrets'!B:B,'synthèse 312'!$A186-1,'les arrets'!C:C,'synthèse 312'!J$2)</f>
        <v>8</v>
      </c>
      <c r="K186" s="258">
        <f>8-SUMIFS('les arrets'!G:G,'les arrets'!B:B,'synthèse 312'!$A186,'les arrets'!C:C,'synthèse 312'!K$2)</f>
        <v>0</v>
      </c>
      <c r="L186" s="258">
        <f>8-SUMIFS('les arrets'!G:G,'les arrets'!B:B,'synthèse 312'!A186,'les arrets'!C:C,'synthèse 312'!L$2)</f>
        <v>0</v>
      </c>
      <c r="M186" s="258">
        <f t="shared" si="18"/>
        <v>8</v>
      </c>
      <c r="N186" s="248">
        <f>SUMIFS(criblage!$R:$R,criblage!$B:$B,'synthèse 312'!$A186-1,criblage!$C:$C,'synthèse 312'!N$2)</f>
        <v>0</v>
      </c>
      <c r="O186" s="248">
        <f>SUMIFS(criblage!$R:$R,criblage!$B:$B,'synthèse 312'!$A186,criblage!$C:$C,'synthèse 312'!O$2)</f>
        <v>0</v>
      </c>
      <c r="P186" s="248">
        <f>SUMIFS(criblage!$R:$R,criblage!$B:$B,'synthèse 312'!$A186,criblage!$C:$C,'synthèse 312'!P$2)</f>
        <v>0</v>
      </c>
      <c r="Q186" s="248">
        <f t="shared" si="19"/>
        <v>0</v>
      </c>
      <c r="R186" s="249">
        <f t="shared" si="23"/>
        <v>0</v>
      </c>
      <c r="S186" s="249">
        <f t="shared" si="20"/>
        <v>0</v>
      </c>
      <c r="T186" s="249">
        <f t="shared" si="21"/>
        <v>0</v>
      </c>
      <c r="U186" s="249">
        <f t="shared" si="22"/>
        <v>0</v>
      </c>
    </row>
    <row r="187" spans="1:21" x14ac:dyDescent="0.25">
      <c r="A187" s="244">
        <v>45110</v>
      </c>
      <c r="B187" s="252">
        <f>SUMIFS(criblage!$P:$P,criblage!$B:$B,'synthèse 312'!A187-1,criblage!$C:$C,'synthèse 312'!B$2)</f>
        <v>0</v>
      </c>
      <c r="C187" s="252">
        <f>SUMIFS(criblage!$P:$P,criblage!$B:$B,'synthèse 312'!$A187,criblage!$C:$C,'synthèse 312'!C$2)</f>
        <v>0</v>
      </c>
      <c r="D187" s="252">
        <f>SUMIFS(criblage!$P:$P,criblage!$B:$B,'synthèse 312'!$A187,criblage!$C:$C,'synthèse 312'!D$2)</f>
        <v>0</v>
      </c>
      <c r="E187" s="252">
        <f t="shared" si="16"/>
        <v>0</v>
      </c>
      <c r="F187" s="254">
        <f>SUMIFS(criblage!$O:$O,criblage!$B:$B,'synthèse 312'!$A187-1,criblage!$C:$C,'synthèse 312'!F$2)</f>
        <v>0</v>
      </c>
      <c r="G187" s="254">
        <f>SUMIFS(criblage!$O:$O,criblage!$B:$B,'synthèse 312'!$A187,criblage!$C:$C,'synthèse 312'!G$2)</f>
        <v>2178</v>
      </c>
      <c r="H187" s="254">
        <f>SUMIFS(criblage!$O:$O,criblage!$B:$B,'synthèse 312'!$A187,criblage!$C:$C,'synthèse 312'!H$2)</f>
        <v>3324</v>
      </c>
      <c r="I187" s="254">
        <f t="shared" si="17"/>
        <v>5502</v>
      </c>
      <c r="J187" s="258">
        <f>8-SUMIFS('les arrets'!G:G,'les arrets'!B:B,'synthèse 312'!$A187-1,'les arrets'!C:C,'synthèse 312'!J$2)</f>
        <v>8</v>
      </c>
      <c r="K187" s="258">
        <f>8-SUMIFS('les arrets'!G:G,'les arrets'!B:B,'synthèse 312'!$A187,'les arrets'!C:C,'synthèse 312'!K$2)</f>
        <v>2.5</v>
      </c>
      <c r="L187" s="258">
        <f>8-SUMIFS('les arrets'!G:G,'les arrets'!B:B,'synthèse 312'!A187,'les arrets'!C:C,'synthèse 312'!L$2)</f>
        <v>4.0999999999999996</v>
      </c>
      <c r="M187" s="258">
        <f t="shared" si="18"/>
        <v>14.6</v>
      </c>
      <c r="N187" s="248">
        <f>SUMIFS(criblage!$R:$R,criblage!$B:$B,'synthèse 312'!$A187-1,criblage!$C:$C,'synthèse 312'!N$2)</f>
        <v>0</v>
      </c>
      <c r="O187" s="248">
        <f>SUMIFS(criblage!$R:$R,criblage!$B:$B,'synthèse 312'!$A187,criblage!$C:$C,'synthèse 312'!O$2)</f>
        <v>2.5099999999999998</v>
      </c>
      <c r="P187" s="248">
        <f>SUMIFS(criblage!$R:$R,criblage!$B:$B,'synthèse 312'!$A187,criblage!$C:$C,'synthèse 312'!P$2)</f>
        <v>4.2300000000000004</v>
      </c>
      <c r="Q187" s="248">
        <f t="shared" si="19"/>
        <v>6.74</v>
      </c>
      <c r="R187" s="249">
        <f t="shared" si="23"/>
        <v>0</v>
      </c>
      <c r="S187" s="249">
        <f t="shared" si="20"/>
        <v>871.2</v>
      </c>
      <c r="T187" s="249">
        <f t="shared" si="21"/>
        <v>810.73170731707319</v>
      </c>
      <c r="U187" s="249">
        <f t="shared" si="22"/>
        <v>560.64390243902437</v>
      </c>
    </row>
    <row r="188" spans="1:21" x14ac:dyDescent="0.25">
      <c r="A188" s="244">
        <v>45111</v>
      </c>
      <c r="B188" s="252">
        <f>SUMIFS(criblage!$P:$P,criblage!$B:$B,'synthèse 312'!A188-1,criblage!$C:$C,'synthèse 312'!B$2)</f>
        <v>0</v>
      </c>
      <c r="C188" s="252">
        <f>SUMIFS(criblage!$P:$P,criblage!$B:$B,'synthèse 312'!$A188,criblage!$C:$C,'synthèse 312'!C$2)</f>
        <v>0</v>
      </c>
      <c r="D188" s="252">
        <f>SUMIFS(criblage!$P:$P,criblage!$B:$B,'synthèse 312'!$A188,criblage!$C:$C,'synthèse 312'!D$2)</f>
        <v>0</v>
      </c>
      <c r="E188" s="252">
        <f t="shared" si="16"/>
        <v>0</v>
      </c>
      <c r="F188" s="254">
        <f>SUMIFS(criblage!$O:$O,criblage!$B:$B,'synthèse 312'!$A188-1,criblage!$C:$C,'synthèse 312'!F$2)</f>
        <v>3192</v>
      </c>
      <c r="G188" s="254">
        <f>SUMIFS(criblage!$O:$O,criblage!$B:$B,'synthèse 312'!$A188,criblage!$C:$C,'synthèse 312'!G$2)</f>
        <v>3672</v>
      </c>
      <c r="H188" s="254">
        <f>SUMIFS(criblage!$O:$O,criblage!$B:$B,'synthèse 312'!$A188,criblage!$C:$C,'synthèse 312'!H$2)</f>
        <v>4027</v>
      </c>
      <c r="I188" s="254">
        <f t="shared" si="17"/>
        <v>10891</v>
      </c>
      <c r="J188" s="258">
        <f>8-SUMIFS('les arrets'!G:G,'les arrets'!B:B,'synthèse 312'!$A188-1,'les arrets'!C:C,'synthèse 312'!J$2)</f>
        <v>5.5</v>
      </c>
      <c r="K188" s="258">
        <f>8-SUMIFS('les arrets'!G:G,'les arrets'!B:B,'synthèse 312'!$A188,'les arrets'!C:C,'synthèse 312'!K$2)</f>
        <v>5.9</v>
      </c>
      <c r="L188" s="258">
        <f>8-SUMIFS('les arrets'!G:G,'les arrets'!B:B,'synthèse 312'!A188,'les arrets'!C:C,'synthèse 312'!L$2)</f>
        <v>5.9333333333333336</v>
      </c>
      <c r="M188" s="258">
        <f t="shared" si="18"/>
        <v>17.333333333333336</v>
      </c>
      <c r="N188" s="248">
        <f>SUMIFS(criblage!$R:$R,criblage!$B:$B,'synthèse 312'!$A188-1,criblage!$C:$C,'synthèse 312'!N$2)</f>
        <v>6.14</v>
      </c>
      <c r="O188" s="248">
        <f>SUMIFS(criblage!$R:$R,criblage!$B:$B,'synthèse 312'!$A188,criblage!$C:$C,'synthèse 312'!O$2)</f>
        <v>4.2</v>
      </c>
      <c r="P188" s="248">
        <f>SUMIFS(criblage!$R:$R,criblage!$B:$B,'synthèse 312'!$A188,criblage!$C:$C,'synthèse 312'!P$2)</f>
        <v>5.66</v>
      </c>
      <c r="Q188" s="248">
        <f t="shared" si="19"/>
        <v>16</v>
      </c>
      <c r="R188" s="249">
        <f t="shared" si="23"/>
        <v>580.36363636363637</v>
      </c>
      <c r="S188" s="249">
        <f t="shared" si="20"/>
        <v>622.37288135593212</v>
      </c>
      <c r="T188" s="249">
        <f t="shared" si="21"/>
        <v>678.70786516853934</v>
      </c>
      <c r="U188" s="249">
        <f t="shared" si="22"/>
        <v>627.14812762936924</v>
      </c>
    </row>
    <row r="189" spans="1:21" x14ac:dyDescent="0.25">
      <c r="A189" s="244">
        <v>45112</v>
      </c>
      <c r="B189" s="252">
        <f>SUMIFS(criblage!$P:$P,criblage!$B:$B,'synthèse 312'!A189-1,criblage!$C:$C,'synthèse 312'!B$2)</f>
        <v>0</v>
      </c>
      <c r="C189" s="252">
        <f>SUMIFS(criblage!$P:$P,criblage!$B:$B,'synthèse 312'!$A189,criblage!$C:$C,'synthèse 312'!C$2)</f>
        <v>0</v>
      </c>
      <c r="D189" s="252">
        <f>SUMIFS(criblage!$P:$P,criblage!$B:$B,'synthèse 312'!$A189,criblage!$C:$C,'synthèse 312'!D$2)</f>
        <v>0</v>
      </c>
      <c r="E189" s="252">
        <f t="shared" si="16"/>
        <v>0</v>
      </c>
      <c r="F189" s="254">
        <f>SUMIFS(criblage!$O:$O,criblage!$B:$B,'synthèse 312'!$A189-1,criblage!$C:$C,'synthèse 312'!F$2)</f>
        <v>3834</v>
      </c>
      <c r="G189" s="254">
        <f>SUMIFS(criblage!$O:$O,criblage!$B:$B,'synthèse 312'!$A189,criblage!$C:$C,'synthèse 312'!G$2)</f>
        <v>3168</v>
      </c>
      <c r="H189" s="254">
        <f>SUMIFS(criblage!$O:$O,criblage!$B:$B,'synthèse 312'!$A189,criblage!$C:$C,'synthèse 312'!H$2)</f>
        <v>2247</v>
      </c>
      <c r="I189" s="254">
        <f t="shared" si="17"/>
        <v>9249</v>
      </c>
      <c r="J189" s="258">
        <f>8-SUMIFS('les arrets'!G:G,'les arrets'!B:B,'synthèse 312'!$A189-1,'les arrets'!C:C,'synthèse 312'!J$2)</f>
        <v>6.1366666666666667</v>
      </c>
      <c r="K189" s="258">
        <f>8-SUMIFS('les arrets'!G:G,'les arrets'!B:B,'synthèse 312'!$A189,'les arrets'!C:C,'synthèse 312'!K$2)</f>
        <v>4.9166666666666661</v>
      </c>
      <c r="L189" s="258">
        <f>8-SUMIFS('les arrets'!G:G,'les arrets'!B:B,'synthèse 312'!A189,'les arrets'!C:C,'synthèse 312'!L$2)</f>
        <v>3.1166666666666663</v>
      </c>
      <c r="M189" s="258">
        <f t="shared" si="18"/>
        <v>14.169999999999998</v>
      </c>
      <c r="N189" s="248">
        <f>SUMIFS(criblage!$R:$R,criblage!$B:$B,'synthèse 312'!$A189-1,criblage!$C:$C,'synthèse 312'!N$2)</f>
        <v>6.58</v>
      </c>
      <c r="O189" s="248">
        <f>SUMIFS(criblage!$R:$R,criblage!$B:$B,'synthèse 312'!$A189,criblage!$C:$C,'synthèse 312'!O$2)</f>
        <v>5.92</v>
      </c>
      <c r="P189" s="248">
        <f>SUMIFS(criblage!$R:$R,criblage!$B:$B,'synthèse 312'!$A189,criblage!$C:$C,'synthèse 312'!P$2)</f>
        <v>3.06</v>
      </c>
      <c r="Q189" s="248">
        <f t="shared" si="19"/>
        <v>15.56</v>
      </c>
      <c r="R189" s="249">
        <f t="shared" si="23"/>
        <v>624.76914720260731</v>
      </c>
      <c r="S189" s="249">
        <f t="shared" si="20"/>
        <v>644.33898305084756</v>
      </c>
      <c r="T189" s="249">
        <f t="shared" si="21"/>
        <v>720.96256684491993</v>
      </c>
      <c r="U189" s="249">
        <f t="shared" si="22"/>
        <v>663.3568990327916</v>
      </c>
    </row>
    <row r="190" spans="1:21" x14ac:dyDescent="0.25">
      <c r="A190" s="244">
        <v>45113</v>
      </c>
      <c r="B190" s="252">
        <f>SUMIFS(criblage!$P:$P,criblage!$B:$B,'synthèse 312'!A190-1,criblage!$C:$C,'synthèse 312'!B$2)</f>
        <v>0</v>
      </c>
      <c r="C190" s="252">
        <f>SUMIFS(criblage!$P:$P,criblage!$B:$B,'synthèse 312'!$A190,criblage!$C:$C,'synthèse 312'!C$2)</f>
        <v>0</v>
      </c>
      <c r="D190" s="252">
        <f>SUMIFS(criblage!$P:$P,criblage!$B:$B,'synthèse 312'!$A190,criblage!$C:$C,'synthèse 312'!D$2)</f>
        <v>0</v>
      </c>
      <c r="E190" s="252">
        <f t="shared" si="16"/>
        <v>0</v>
      </c>
      <c r="F190" s="254">
        <f>SUMIFS(criblage!$O:$O,criblage!$B:$B,'synthèse 312'!$A190-1,criblage!$C:$C,'synthèse 312'!F$2)</f>
        <v>1840</v>
      </c>
      <c r="G190" s="254">
        <f>SUMIFS(criblage!$O:$O,criblage!$B:$B,'synthèse 312'!$A190,criblage!$C:$C,'synthèse 312'!G$2)</f>
        <v>2276</v>
      </c>
      <c r="H190" s="254">
        <f>SUMIFS(criblage!$O:$O,criblage!$B:$B,'synthèse 312'!$A190,criblage!$C:$C,'synthèse 312'!H$2)</f>
        <v>1824</v>
      </c>
      <c r="I190" s="254">
        <f t="shared" si="17"/>
        <v>5940</v>
      </c>
      <c r="J190" s="258">
        <f>8-SUMIFS('les arrets'!G:G,'les arrets'!B:B,'synthèse 312'!$A190-1,'les arrets'!C:C,'synthèse 312'!J$2)</f>
        <v>2.416666666666667</v>
      </c>
      <c r="K190" s="258">
        <f>8-SUMIFS('les arrets'!G:G,'les arrets'!B:B,'synthèse 312'!$A190,'les arrets'!C:C,'synthèse 312'!K$2)</f>
        <v>3.3000000000000007</v>
      </c>
      <c r="L190" s="258">
        <f>8-SUMIFS('les arrets'!G:G,'les arrets'!B:B,'synthèse 312'!A190,'les arrets'!C:C,'synthèse 312'!L$2)</f>
        <v>2.25</v>
      </c>
      <c r="M190" s="258">
        <f t="shared" si="18"/>
        <v>7.9666666666666677</v>
      </c>
      <c r="N190" s="248">
        <f>SUMIFS(criblage!$R:$R,criblage!$B:$B,'synthèse 312'!$A190-1,criblage!$C:$C,'synthèse 312'!N$2)</f>
        <v>3.06</v>
      </c>
      <c r="O190" s="248">
        <f>SUMIFS(criblage!$R:$R,criblage!$B:$B,'synthèse 312'!$A190,criblage!$C:$C,'synthèse 312'!O$2)</f>
        <v>3.34</v>
      </c>
      <c r="P190" s="248">
        <f>SUMIFS(criblage!$R:$R,criblage!$B:$B,'synthèse 312'!$A190,criblage!$C:$C,'synthèse 312'!P$2)</f>
        <v>2.2799999999999998</v>
      </c>
      <c r="Q190" s="248">
        <f t="shared" si="19"/>
        <v>8.68</v>
      </c>
      <c r="R190" s="249">
        <f t="shared" si="23"/>
        <v>761.37931034482745</v>
      </c>
      <c r="S190" s="249">
        <f t="shared" si="20"/>
        <v>689.69696969696952</v>
      </c>
      <c r="T190" s="249">
        <f t="shared" si="21"/>
        <v>810.66666666666663</v>
      </c>
      <c r="U190" s="249">
        <f t="shared" si="22"/>
        <v>753.91431556948783</v>
      </c>
    </row>
    <row r="191" spans="1:21" x14ac:dyDescent="0.25">
      <c r="A191" s="244">
        <v>45114</v>
      </c>
      <c r="B191" s="252">
        <f>SUMIFS(criblage!$P:$P,criblage!$B:$B,'synthèse 312'!A191-1,criblage!$C:$C,'synthèse 312'!B$2)</f>
        <v>0</v>
      </c>
      <c r="C191" s="252">
        <f>SUMIFS(criblage!$P:$P,criblage!$B:$B,'synthèse 312'!$A191,criblage!$C:$C,'synthèse 312'!C$2)</f>
        <v>0</v>
      </c>
      <c r="D191" s="252">
        <f>SUMIFS(criblage!$P:$P,criblage!$B:$B,'synthèse 312'!$A191,criblage!$C:$C,'synthèse 312'!D$2)</f>
        <v>0</v>
      </c>
      <c r="E191" s="252">
        <f t="shared" si="16"/>
        <v>0</v>
      </c>
      <c r="F191" s="254">
        <f>SUMIFS(criblage!$O:$O,criblage!$B:$B,'synthèse 312'!$A191-1,criblage!$C:$C,'synthèse 312'!F$2)</f>
        <v>4056</v>
      </c>
      <c r="G191" s="254">
        <f>SUMIFS(criblage!$O:$O,criblage!$B:$B,'synthèse 312'!$A191,criblage!$C:$C,'synthèse 312'!G$2)</f>
        <v>0</v>
      </c>
      <c r="H191" s="254">
        <f>SUMIFS(criblage!$O:$O,criblage!$B:$B,'synthèse 312'!$A191,criblage!$C:$C,'synthèse 312'!H$2)</f>
        <v>0</v>
      </c>
      <c r="I191" s="254">
        <f t="shared" si="17"/>
        <v>4056</v>
      </c>
      <c r="J191" s="258">
        <f>8-SUMIFS('les arrets'!G:G,'les arrets'!B:B,'synthèse 312'!$A191-1,'les arrets'!C:C,'synthèse 312'!J$2)</f>
        <v>4.916666666666667</v>
      </c>
      <c r="K191" s="258">
        <f>8-SUMIFS('les arrets'!G:G,'les arrets'!B:B,'synthèse 312'!$A191,'les arrets'!C:C,'synthèse 312'!K$2)</f>
        <v>0</v>
      </c>
      <c r="L191" s="258">
        <f>8-SUMIFS('les arrets'!G:G,'les arrets'!B:B,'synthèse 312'!A191,'les arrets'!C:C,'synthèse 312'!L$2)</f>
        <v>0</v>
      </c>
      <c r="M191" s="258">
        <f t="shared" si="18"/>
        <v>4.916666666666667</v>
      </c>
      <c r="N191" s="248">
        <f>SUMIFS(criblage!$R:$R,criblage!$B:$B,'synthèse 312'!$A191-1,criblage!$C:$C,'synthèse 312'!N$2)</f>
        <v>5.76</v>
      </c>
      <c r="O191" s="248">
        <f>SUMIFS(criblage!$R:$R,criblage!$B:$B,'synthèse 312'!$A191,criblage!$C:$C,'synthèse 312'!O$2)</f>
        <v>0</v>
      </c>
      <c r="P191" s="248">
        <f>SUMIFS(criblage!$R:$R,criblage!$B:$B,'synthèse 312'!$A191,criblage!$C:$C,'synthèse 312'!P$2)</f>
        <v>0</v>
      </c>
      <c r="Q191" s="248">
        <f t="shared" si="19"/>
        <v>5.76</v>
      </c>
      <c r="R191" s="249">
        <f t="shared" si="23"/>
        <v>824.94915254237287</v>
      </c>
      <c r="S191" s="249">
        <f t="shared" si="20"/>
        <v>0</v>
      </c>
      <c r="T191" s="249">
        <f t="shared" si="21"/>
        <v>0</v>
      </c>
      <c r="U191" s="249">
        <f t="shared" si="22"/>
        <v>274.9830508474576</v>
      </c>
    </row>
    <row r="192" spans="1:21" x14ac:dyDescent="0.25">
      <c r="A192" s="244"/>
      <c r="B192" s="252"/>
      <c r="C192" s="252"/>
      <c r="D192" s="252"/>
      <c r="E192" s="252"/>
      <c r="F192" s="254"/>
      <c r="G192" s="254"/>
      <c r="H192" s="254"/>
      <c r="I192" s="254"/>
      <c r="J192" s="258"/>
      <c r="K192" s="258"/>
      <c r="L192" s="258"/>
      <c r="M192" s="258"/>
      <c r="N192" s="248"/>
      <c r="O192" s="248"/>
      <c r="P192" s="248"/>
      <c r="Q192" s="248"/>
      <c r="R192" s="249"/>
      <c r="S192" s="249"/>
      <c r="T192" s="249"/>
      <c r="U192" s="249"/>
    </row>
    <row r="193" spans="1:21" x14ac:dyDescent="0.25">
      <c r="A193" s="244"/>
      <c r="B193" s="252"/>
      <c r="C193" s="252"/>
      <c r="D193" s="252"/>
      <c r="E193" s="252"/>
      <c r="F193" s="254"/>
      <c r="G193" s="254"/>
      <c r="H193" s="254"/>
      <c r="I193" s="254"/>
      <c r="J193" s="258"/>
      <c r="K193" s="258"/>
      <c r="L193" s="258"/>
      <c r="M193" s="258"/>
      <c r="N193" s="248"/>
      <c r="O193" s="248"/>
      <c r="P193" s="248"/>
      <c r="Q193" s="248"/>
      <c r="R193" s="249"/>
      <c r="S193" s="249"/>
      <c r="T193" s="249"/>
      <c r="U193" s="249"/>
    </row>
    <row r="194" spans="1:21" x14ac:dyDescent="0.25">
      <c r="A194" s="244"/>
      <c r="B194" s="252"/>
      <c r="C194" s="252"/>
      <c r="D194" s="252"/>
      <c r="E194" s="252"/>
      <c r="F194" s="254"/>
      <c r="G194" s="254"/>
      <c r="H194" s="254"/>
      <c r="I194" s="254"/>
      <c r="J194" s="258"/>
      <c r="K194" s="258"/>
      <c r="L194" s="258"/>
      <c r="M194" s="258"/>
      <c r="N194" s="248"/>
      <c r="O194" s="248"/>
      <c r="P194" s="248"/>
      <c r="Q194" s="248"/>
      <c r="R194" s="249"/>
      <c r="S194" s="249"/>
      <c r="T194" s="249"/>
      <c r="U194" s="249"/>
    </row>
    <row r="195" spans="1:21" x14ac:dyDescent="0.25">
      <c r="A195" s="244"/>
      <c r="B195" s="252"/>
      <c r="C195" s="252"/>
      <c r="D195" s="252"/>
      <c r="E195" s="252"/>
      <c r="F195" s="254"/>
      <c r="G195" s="254"/>
      <c r="H195" s="254"/>
      <c r="I195" s="254"/>
      <c r="J195" s="258"/>
      <c r="K195" s="258"/>
      <c r="L195" s="258"/>
      <c r="M195" s="258"/>
      <c r="N195" s="248"/>
      <c r="O195" s="248"/>
      <c r="P195" s="248"/>
      <c r="Q195" s="248"/>
      <c r="R195" s="249"/>
      <c r="S195" s="249"/>
      <c r="T195" s="249"/>
      <c r="U195" s="249"/>
    </row>
    <row r="196" spans="1:21" x14ac:dyDescent="0.25">
      <c r="A196" s="244"/>
      <c r="B196" s="252"/>
      <c r="C196" s="252"/>
      <c r="D196" s="252"/>
      <c r="E196" s="252"/>
      <c r="F196" s="254"/>
      <c r="G196" s="254"/>
      <c r="H196" s="254"/>
      <c r="I196" s="254"/>
      <c r="J196" s="258"/>
      <c r="K196" s="258"/>
      <c r="L196" s="258"/>
      <c r="M196" s="258"/>
      <c r="N196" s="248"/>
      <c r="O196" s="248"/>
      <c r="P196" s="248"/>
      <c r="Q196" s="248"/>
      <c r="R196" s="249"/>
      <c r="S196" s="249"/>
      <c r="T196" s="249"/>
      <c r="U196" s="249"/>
    </row>
    <row r="197" spans="1:21" x14ac:dyDescent="0.25">
      <c r="A197" s="244"/>
      <c r="B197" s="252"/>
      <c r="C197" s="252"/>
      <c r="D197" s="252"/>
      <c r="E197" s="252"/>
      <c r="F197" s="254"/>
      <c r="G197" s="254"/>
      <c r="H197" s="254"/>
      <c r="I197" s="254"/>
      <c r="J197" s="258"/>
      <c r="K197" s="258"/>
      <c r="L197" s="258"/>
      <c r="M197" s="258"/>
      <c r="N197" s="248"/>
      <c r="O197" s="248"/>
      <c r="P197" s="248"/>
      <c r="Q197" s="248"/>
      <c r="R197" s="249"/>
      <c r="S197" s="249"/>
      <c r="T197" s="249"/>
      <c r="U197" s="249"/>
    </row>
    <row r="198" spans="1:21" x14ac:dyDescent="0.25">
      <c r="A198" s="244"/>
      <c r="B198" s="252"/>
      <c r="C198" s="252"/>
      <c r="D198" s="252"/>
      <c r="E198" s="252"/>
      <c r="F198" s="254"/>
      <c r="G198" s="254"/>
      <c r="H198" s="254"/>
      <c r="I198" s="254"/>
      <c r="J198" s="258"/>
      <c r="K198" s="258"/>
      <c r="L198" s="258"/>
      <c r="M198" s="258"/>
      <c r="N198" s="248"/>
      <c r="O198" s="248"/>
      <c r="P198" s="248"/>
      <c r="Q198" s="248"/>
      <c r="R198" s="249"/>
      <c r="S198" s="249"/>
      <c r="T198" s="249"/>
      <c r="U198" s="249"/>
    </row>
    <row r="199" spans="1:21" x14ac:dyDescent="0.25">
      <c r="A199" s="244"/>
      <c r="B199" s="252"/>
      <c r="C199" s="252"/>
      <c r="D199" s="252"/>
      <c r="E199" s="252"/>
      <c r="F199" s="254"/>
      <c r="G199" s="254"/>
      <c r="H199" s="254"/>
      <c r="I199" s="254"/>
      <c r="J199" s="258"/>
      <c r="K199" s="258"/>
      <c r="L199" s="258"/>
      <c r="M199" s="258"/>
      <c r="N199" s="248"/>
      <c r="O199" s="248"/>
      <c r="P199" s="248"/>
      <c r="Q199" s="248"/>
      <c r="R199" s="249"/>
      <c r="S199" s="249"/>
      <c r="T199" s="249"/>
      <c r="U199" s="249"/>
    </row>
    <row r="200" spans="1:21" s="247" customFormat="1" x14ac:dyDescent="0.25">
      <c r="A200" s="244"/>
      <c r="B200" s="252"/>
      <c r="C200" s="252"/>
      <c r="D200" s="252"/>
      <c r="E200" s="252"/>
      <c r="F200" s="254"/>
      <c r="G200" s="254"/>
      <c r="H200" s="254"/>
      <c r="I200" s="254"/>
      <c r="J200" s="258"/>
      <c r="K200" s="258"/>
      <c r="L200" s="258"/>
      <c r="M200" s="258"/>
      <c r="N200" s="248"/>
      <c r="O200" s="248"/>
      <c r="P200" s="248"/>
      <c r="Q200" s="248"/>
      <c r="R200" s="249"/>
      <c r="S200" s="249"/>
      <c r="T200" s="249"/>
      <c r="U200" s="249"/>
    </row>
    <row r="201" spans="1:21" x14ac:dyDescent="0.25">
      <c r="A201" s="244"/>
      <c r="B201" s="252"/>
      <c r="C201" s="252"/>
      <c r="D201" s="252"/>
      <c r="E201" s="252"/>
      <c r="F201" s="254"/>
      <c r="G201" s="254"/>
      <c r="H201" s="254"/>
      <c r="I201" s="254"/>
      <c r="J201" s="258"/>
      <c r="K201" s="258"/>
      <c r="L201" s="258"/>
      <c r="M201" s="258"/>
      <c r="N201" s="248"/>
      <c r="O201" s="248"/>
      <c r="P201" s="248"/>
      <c r="Q201" s="248"/>
      <c r="R201" s="249"/>
      <c r="S201" s="249"/>
      <c r="T201" s="249"/>
      <c r="U201" s="249"/>
    </row>
    <row r="202" spans="1:21" x14ac:dyDescent="0.25">
      <c r="A202" s="244"/>
      <c r="B202" s="252"/>
      <c r="C202" s="252"/>
      <c r="D202" s="252"/>
      <c r="E202" s="252"/>
      <c r="F202" s="254"/>
      <c r="G202" s="254"/>
      <c r="H202" s="254"/>
      <c r="I202" s="254"/>
      <c r="J202" s="258"/>
      <c r="K202" s="258"/>
      <c r="L202" s="258"/>
      <c r="M202" s="258"/>
      <c r="N202" s="248"/>
      <c r="O202" s="248"/>
      <c r="P202" s="248"/>
      <c r="Q202" s="248"/>
      <c r="R202" s="249"/>
      <c r="S202" s="249"/>
      <c r="T202" s="249"/>
      <c r="U202" s="249"/>
    </row>
    <row r="203" spans="1:21" x14ac:dyDescent="0.25">
      <c r="A203" s="244"/>
      <c r="B203" s="252"/>
      <c r="C203" s="252"/>
      <c r="D203" s="252"/>
      <c r="E203" s="252"/>
      <c r="F203" s="254"/>
      <c r="G203" s="254"/>
      <c r="H203" s="254"/>
      <c r="I203" s="254"/>
      <c r="J203" s="258"/>
      <c r="K203" s="258"/>
      <c r="L203" s="258"/>
      <c r="M203" s="258"/>
      <c r="N203" s="248"/>
      <c r="O203" s="248"/>
      <c r="P203" s="248"/>
      <c r="Q203" s="248"/>
      <c r="R203" s="249"/>
      <c r="S203" s="249"/>
      <c r="T203" s="249"/>
      <c r="U203" s="249"/>
    </row>
    <row r="204" spans="1:21" x14ac:dyDescent="0.25">
      <c r="A204" s="244"/>
      <c r="B204" s="252"/>
      <c r="C204" s="252"/>
      <c r="D204" s="252"/>
      <c r="E204" s="252"/>
      <c r="F204" s="254"/>
      <c r="G204" s="254"/>
      <c r="H204" s="254"/>
      <c r="I204" s="254"/>
      <c r="J204" s="258"/>
      <c r="K204" s="258"/>
      <c r="L204" s="258"/>
      <c r="M204" s="258"/>
      <c r="N204" s="248"/>
      <c r="O204" s="248"/>
      <c r="P204" s="248"/>
      <c r="Q204" s="248"/>
      <c r="R204" s="249"/>
      <c r="S204" s="249"/>
      <c r="T204" s="249"/>
      <c r="U204" s="249"/>
    </row>
    <row r="205" spans="1:21" s="247" customFormat="1" x14ac:dyDescent="0.25">
      <c r="A205" s="244"/>
      <c r="B205" s="252"/>
      <c r="C205" s="252"/>
      <c r="D205" s="252"/>
      <c r="E205" s="252"/>
      <c r="F205" s="254"/>
      <c r="G205" s="254"/>
      <c r="H205" s="254"/>
      <c r="I205" s="254"/>
      <c r="J205" s="258"/>
      <c r="K205" s="258"/>
      <c r="L205" s="258"/>
      <c r="M205" s="258"/>
      <c r="N205" s="248"/>
      <c r="O205" s="248"/>
      <c r="P205" s="248"/>
      <c r="Q205" s="248"/>
      <c r="R205" s="249"/>
      <c r="S205" s="249"/>
      <c r="T205" s="249"/>
      <c r="U205" s="249"/>
    </row>
    <row r="206" spans="1:21" s="247" customFormat="1" x14ac:dyDescent="0.25">
      <c r="A206" s="244"/>
      <c r="B206" s="252"/>
      <c r="C206" s="252"/>
      <c r="D206" s="252"/>
      <c r="E206" s="252"/>
      <c r="F206" s="254"/>
      <c r="G206" s="254"/>
      <c r="H206" s="254"/>
      <c r="I206" s="254"/>
      <c r="J206" s="258"/>
      <c r="K206" s="258"/>
      <c r="L206" s="258"/>
      <c r="M206" s="258"/>
      <c r="N206" s="248"/>
      <c r="O206" s="248"/>
      <c r="P206" s="248"/>
      <c r="Q206" s="248"/>
      <c r="R206" s="249"/>
      <c r="S206" s="249"/>
      <c r="T206" s="249"/>
      <c r="U206" s="249"/>
    </row>
    <row r="207" spans="1:21" s="247" customFormat="1" x14ac:dyDescent="0.25">
      <c r="A207" s="244"/>
      <c r="B207" s="252"/>
      <c r="C207" s="252"/>
      <c r="D207" s="252"/>
      <c r="E207" s="252"/>
      <c r="F207" s="254"/>
      <c r="G207" s="254"/>
      <c r="H207" s="254"/>
      <c r="I207" s="254"/>
      <c r="J207" s="258"/>
      <c r="K207" s="258"/>
      <c r="L207" s="258"/>
      <c r="M207" s="258"/>
      <c r="N207" s="248"/>
      <c r="O207" s="248"/>
      <c r="P207" s="248"/>
      <c r="Q207" s="248"/>
      <c r="R207" s="249"/>
      <c r="S207" s="249"/>
      <c r="T207" s="249"/>
      <c r="U207" s="249"/>
    </row>
    <row r="208" spans="1:21" s="247" customFormat="1" x14ac:dyDescent="0.25">
      <c r="A208" s="244"/>
      <c r="B208" s="252"/>
      <c r="C208" s="252"/>
      <c r="D208" s="252"/>
      <c r="E208" s="252"/>
      <c r="F208" s="254"/>
      <c r="G208" s="254"/>
      <c r="H208" s="254"/>
      <c r="I208" s="254"/>
      <c r="J208" s="258"/>
      <c r="K208" s="258"/>
      <c r="L208" s="258"/>
      <c r="M208" s="258"/>
      <c r="N208" s="248"/>
      <c r="O208" s="248"/>
      <c r="P208" s="248"/>
      <c r="Q208" s="248"/>
      <c r="R208" s="249"/>
      <c r="S208" s="249"/>
      <c r="T208" s="249"/>
      <c r="U208" s="249"/>
    </row>
    <row r="209" spans="1:21" x14ac:dyDescent="0.25">
      <c r="A209" s="244"/>
      <c r="B209" s="252"/>
      <c r="C209" s="252"/>
      <c r="D209" s="252"/>
      <c r="E209" s="252"/>
      <c r="F209" s="254"/>
      <c r="G209" s="254"/>
      <c r="H209" s="254"/>
      <c r="I209" s="254"/>
      <c r="J209" s="258"/>
      <c r="K209" s="258"/>
      <c r="L209" s="258"/>
      <c r="M209" s="258"/>
      <c r="N209" s="248"/>
      <c r="O209" s="248"/>
      <c r="P209" s="248"/>
      <c r="Q209" s="248"/>
      <c r="R209" s="249"/>
      <c r="S209" s="249"/>
      <c r="T209" s="249"/>
      <c r="U209" s="249"/>
    </row>
    <row r="210" spans="1:21" x14ac:dyDescent="0.25">
      <c r="A210" s="244"/>
      <c r="B210" s="252"/>
      <c r="C210" s="252"/>
      <c r="D210" s="252"/>
      <c r="E210" s="252"/>
      <c r="F210" s="254"/>
      <c r="G210" s="254"/>
      <c r="H210" s="254"/>
      <c r="I210" s="254"/>
      <c r="J210" s="258"/>
      <c r="K210" s="258"/>
      <c r="L210" s="258"/>
      <c r="M210" s="258"/>
      <c r="N210" s="248"/>
      <c r="O210" s="248"/>
      <c r="P210" s="248"/>
      <c r="Q210" s="248"/>
      <c r="R210" s="249"/>
      <c r="S210" s="249"/>
      <c r="T210" s="249"/>
      <c r="U210" s="249"/>
    </row>
    <row r="211" spans="1:21" x14ac:dyDescent="0.25">
      <c r="A211" s="244"/>
      <c r="B211" s="252"/>
      <c r="C211" s="252"/>
      <c r="D211" s="252"/>
      <c r="E211" s="252"/>
      <c r="F211" s="254"/>
      <c r="G211" s="254"/>
      <c r="H211" s="254"/>
      <c r="I211" s="254"/>
      <c r="J211" s="258"/>
      <c r="K211" s="258"/>
      <c r="L211" s="258"/>
      <c r="M211" s="258"/>
      <c r="N211" s="248"/>
      <c r="O211" s="248"/>
      <c r="P211" s="248"/>
      <c r="Q211" s="248"/>
      <c r="R211" s="249"/>
      <c r="S211" s="249"/>
      <c r="T211" s="249"/>
      <c r="U211" s="249"/>
    </row>
    <row r="212" spans="1:21" x14ac:dyDescent="0.25">
      <c r="A212" s="244"/>
      <c r="B212" s="252"/>
      <c r="C212" s="252"/>
      <c r="D212" s="252"/>
      <c r="E212" s="252"/>
      <c r="F212" s="254"/>
      <c r="G212" s="254"/>
      <c r="H212" s="254"/>
      <c r="I212" s="254"/>
      <c r="J212" s="258"/>
      <c r="K212" s="258"/>
      <c r="L212" s="258"/>
      <c r="M212" s="258"/>
      <c r="N212" s="248"/>
      <c r="O212" s="248"/>
      <c r="P212" s="248"/>
      <c r="Q212" s="248"/>
      <c r="R212" s="249"/>
      <c r="S212" s="249"/>
      <c r="T212" s="249"/>
      <c r="U212" s="249"/>
    </row>
    <row r="213" spans="1:21" x14ac:dyDescent="0.25">
      <c r="A213" s="244"/>
      <c r="B213" s="252"/>
      <c r="C213" s="252"/>
      <c r="D213" s="252"/>
      <c r="E213" s="252"/>
      <c r="F213" s="254"/>
      <c r="G213" s="254"/>
      <c r="H213" s="254"/>
      <c r="I213" s="254"/>
      <c r="J213" s="258"/>
      <c r="K213" s="258"/>
      <c r="L213" s="258"/>
      <c r="M213" s="258"/>
      <c r="N213" s="248"/>
      <c r="O213" s="248"/>
      <c r="P213" s="248"/>
      <c r="Q213" s="248"/>
      <c r="R213" s="249"/>
      <c r="S213" s="249"/>
      <c r="T213" s="249"/>
      <c r="U213" s="249"/>
    </row>
    <row r="214" spans="1:21" x14ac:dyDescent="0.25">
      <c r="A214" s="244"/>
      <c r="B214" s="252"/>
      <c r="C214" s="252"/>
      <c r="D214" s="252"/>
      <c r="E214" s="252"/>
      <c r="F214" s="254"/>
      <c r="G214" s="254"/>
      <c r="H214" s="254"/>
      <c r="I214" s="254"/>
      <c r="J214" s="258"/>
      <c r="K214" s="258"/>
      <c r="L214" s="258"/>
      <c r="M214" s="258"/>
      <c r="N214" s="248"/>
      <c r="O214" s="248"/>
      <c r="P214" s="248"/>
      <c r="Q214" s="248"/>
      <c r="R214" s="249"/>
      <c r="S214" s="249"/>
      <c r="T214" s="249"/>
      <c r="U214" s="249"/>
    </row>
    <row r="215" spans="1:21" x14ac:dyDescent="0.25">
      <c r="A215" s="244"/>
      <c r="B215" s="252"/>
      <c r="C215" s="252"/>
      <c r="D215" s="252"/>
      <c r="E215" s="252"/>
      <c r="F215" s="254"/>
      <c r="G215" s="254"/>
      <c r="H215" s="254"/>
      <c r="I215" s="254"/>
      <c r="J215" s="258"/>
      <c r="K215" s="258"/>
      <c r="L215" s="258"/>
      <c r="M215" s="258"/>
      <c r="N215" s="248"/>
      <c r="O215" s="248"/>
      <c r="P215" s="248"/>
      <c r="Q215" s="248"/>
      <c r="R215" s="249"/>
      <c r="S215" s="249"/>
      <c r="T215" s="249"/>
      <c r="U215" s="249"/>
    </row>
    <row r="216" spans="1:21" x14ac:dyDescent="0.25">
      <c r="A216" s="244"/>
      <c r="B216" s="252"/>
      <c r="C216" s="252"/>
      <c r="D216" s="252"/>
      <c r="E216" s="252"/>
      <c r="F216" s="254"/>
      <c r="G216" s="254"/>
      <c r="H216" s="254"/>
      <c r="I216" s="254"/>
      <c r="J216" s="258"/>
      <c r="K216" s="258"/>
      <c r="L216" s="258"/>
      <c r="M216" s="258"/>
      <c r="N216" s="248"/>
      <c r="O216" s="248"/>
      <c r="P216" s="248"/>
      <c r="Q216" s="248"/>
      <c r="R216" s="249"/>
      <c r="S216" s="249"/>
      <c r="T216" s="249"/>
      <c r="U216" s="249"/>
    </row>
    <row r="217" spans="1:21" x14ac:dyDescent="0.25">
      <c r="A217" s="244"/>
      <c r="B217" s="252"/>
      <c r="C217" s="252"/>
      <c r="D217" s="252"/>
      <c r="E217" s="252"/>
      <c r="F217" s="254"/>
      <c r="G217" s="254"/>
      <c r="H217" s="254"/>
      <c r="I217" s="254"/>
      <c r="J217" s="258"/>
      <c r="K217" s="258"/>
      <c r="L217" s="258"/>
      <c r="M217" s="258"/>
      <c r="N217" s="248"/>
      <c r="O217" s="248"/>
      <c r="P217" s="248"/>
      <c r="Q217" s="248"/>
      <c r="R217" s="249"/>
      <c r="S217" s="249"/>
      <c r="T217" s="249"/>
      <c r="U217" s="249"/>
    </row>
    <row r="218" spans="1:21" x14ac:dyDescent="0.25">
      <c r="A218" s="244"/>
      <c r="B218" s="252"/>
      <c r="C218" s="252"/>
      <c r="D218" s="252"/>
      <c r="E218" s="252"/>
      <c r="F218" s="254"/>
      <c r="G218" s="254"/>
      <c r="H218" s="254"/>
      <c r="I218" s="254"/>
      <c r="J218" s="258"/>
      <c r="K218" s="258"/>
      <c r="L218" s="258"/>
      <c r="M218" s="258"/>
      <c r="N218" s="248"/>
      <c r="O218" s="248"/>
      <c r="P218" s="248"/>
      <c r="Q218" s="248"/>
      <c r="R218" s="249"/>
      <c r="S218" s="249"/>
      <c r="T218" s="249"/>
      <c r="U218" s="249"/>
    </row>
    <row r="219" spans="1:21" x14ac:dyDescent="0.25">
      <c r="A219" s="244"/>
      <c r="B219" s="252"/>
      <c r="C219" s="252"/>
      <c r="D219" s="252"/>
      <c r="E219" s="252"/>
      <c r="F219" s="254"/>
      <c r="G219" s="254"/>
      <c r="H219" s="254"/>
      <c r="I219" s="254"/>
      <c r="J219" s="258"/>
      <c r="K219" s="258"/>
      <c r="L219" s="258"/>
      <c r="M219" s="258"/>
      <c r="N219" s="248"/>
      <c r="O219" s="248"/>
      <c r="P219" s="248"/>
      <c r="Q219" s="248"/>
      <c r="R219" s="249"/>
      <c r="S219" s="249"/>
      <c r="T219" s="249"/>
      <c r="U219" s="249"/>
    </row>
    <row r="220" spans="1:21" x14ac:dyDescent="0.25">
      <c r="A220" s="244"/>
      <c r="B220" s="252"/>
      <c r="C220" s="252"/>
      <c r="D220" s="252"/>
      <c r="E220" s="252"/>
      <c r="F220" s="254"/>
      <c r="G220" s="254"/>
      <c r="H220" s="254"/>
      <c r="I220" s="254"/>
      <c r="J220" s="258"/>
      <c r="K220" s="258"/>
      <c r="L220" s="258"/>
      <c r="M220" s="258"/>
      <c r="N220" s="248"/>
      <c r="O220" s="248"/>
      <c r="P220" s="248"/>
      <c r="Q220" s="248"/>
      <c r="R220" s="249"/>
      <c r="S220" s="249"/>
      <c r="T220" s="249"/>
      <c r="U220" s="249"/>
    </row>
    <row r="221" spans="1:21" x14ac:dyDescent="0.25">
      <c r="A221" s="244"/>
      <c r="B221" s="252"/>
      <c r="C221" s="252"/>
      <c r="D221" s="252"/>
      <c r="E221" s="252"/>
      <c r="F221" s="254"/>
      <c r="G221" s="254"/>
      <c r="H221" s="254"/>
      <c r="I221" s="254"/>
      <c r="J221" s="258"/>
      <c r="K221" s="258"/>
      <c r="L221" s="258"/>
      <c r="M221" s="258"/>
      <c r="N221" s="248"/>
      <c r="O221" s="248"/>
      <c r="P221" s="248"/>
      <c r="Q221" s="248"/>
      <c r="R221" s="249"/>
      <c r="S221" s="249"/>
      <c r="T221" s="249"/>
      <c r="U221" s="249"/>
    </row>
    <row r="222" spans="1:21" x14ac:dyDescent="0.25">
      <c r="A222" s="244"/>
      <c r="B222" s="252"/>
      <c r="C222" s="252"/>
      <c r="D222" s="252"/>
      <c r="E222" s="252"/>
      <c r="F222" s="254"/>
      <c r="G222" s="254"/>
      <c r="H222" s="254"/>
      <c r="I222" s="254"/>
      <c r="J222" s="258"/>
      <c r="K222" s="258"/>
      <c r="L222" s="258"/>
      <c r="M222" s="258"/>
      <c r="N222" s="248"/>
      <c r="O222" s="248"/>
      <c r="P222" s="248"/>
      <c r="Q222" s="248"/>
      <c r="R222" s="249"/>
      <c r="S222" s="249"/>
      <c r="T222" s="249"/>
      <c r="U222" s="249"/>
    </row>
    <row r="223" spans="1:21" x14ac:dyDescent="0.25">
      <c r="A223" s="244"/>
      <c r="B223" s="252"/>
      <c r="C223" s="252"/>
      <c r="D223" s="252"/>
      <c r="E223" s="252"/>
      <c r="F223" s="254"/>
      <c r="G223" s="254"/>
      <c r="H223" s="254"/>
      <c r="I223" s="254"/>
      <c r="J223" s="258"/>
      <c r="K223" s="258"/>
      <c r="L223" s="258"/>
      <c r="M223" s="258"/>
      <c r="N223" s="248"/>
      <c r="O223" s="248"/>
      <c r="P223" s="248"/>
      <c r="Q223" s="248"/>
      <c r="R223" s="249"/>
      <c r="S223" s="249"/>
      <c r="T223" s="249"/>
      <c r="U223" s="249"/>
    </row>
    <row r="224" spans="1:21" x14ac:dyDescent="0.25">
      <c r="A224" s="244"/>
      <c r="B224" s="252"/>
      <c r="C224" s="252"/>
      <c r="D224" s="252"/>
      <c r="E224" s="252"/>
      <c r="F224" s="254"/>
      <c r="G224" s="254"/>
      <c r="H224" s="254"/>
      <c r="I224" s="254"/>
      <c r="J224" s="258"/>
      <c r="K224" s="258"/>
      <c r="L224" s="258"/>
      <c r="M224" s="258"/>
      <c r="N224" s="248"/>
      <c r="O224" s="248"/>
      <c r="P224" s="248"/>
      <c r="Q224" s="248"/>
      <c r="R224" s="249"/>
      <c r="S224" s="249"/>
      <c r="T224" s="249"/>
      <c r="U224" s="249"/>
    </row>
    <row r="225" spans="1:21" x14ac:dyDescent="0.25">
      <c r="A225" s="244"/>
      <c r="B225" s="252"/>
      <c r="C225" s="252"/>
      <c r="D225" s="252"/>
      <c r="E225" s="252"/>
      <c r="F225" s="254"/>
      <c r="G225" s="254"/>
      <c r="H225" s="254"/>
      <c r="I225" s="254"/>
      <c r="J225" s="258"/>
      <c r="K225" s="258"/>
      <c r="L225" s="258"/>
      <c r="M225" s="258"/>
      <c r="N225" s="248"/>
      <c r="O225" s="248"/>
      <c r="P225" s="248"/>
      <c r="Q225" s="248"/>
      <c r="R225" s="249"/>
      <c r="S225" s="249"/>
      <c r="T225" s="249"/>
      <c r="U225" s="249"/>
    </row>
    <row r="226" spans="1:21" x14ac:dyDescent="0.25">
      <c r="A226" s="244"/>
      <c r="B226" s="252"/>
      <c r="C226" s="252"/>
      <c r="D226" s="252"/>
      <c r="E226" s="252"/>
      <c r="F226" s="254"/>
      <c r="G226" s="254"/>
      <c r="H226" s="254"/>
      <c r="I226" s="254"/>
      <c r="J226" s="258"/>
      <c r="K226" s="258"/>
      <c r="L226" s="258"/>
      <c r="M226" s="258"/>
      <c r="N226" s="248"/>
      <c r="O226" s="248"/>
      <c r="P226" s="248"/>
      <c r="Q226" s="248"/>
      <c r="R226" s="249"/>
      <c r="S226" s="249"/>
      <c r="T226" s="249"/>
      <c r="U226" s="249"/>
    </row>
    <row r="227" spans="1:21" x14ac:dyDescent="0.25">
      <c r="A227" s="244"/>
      <c r="B227" s="252"/>
      <c r="C227" s="252"/>
      <c r="D227" s="252"/>
      <c r="E227" s="252"/>
      <c r="F227" s="254"/>
      <c r="G227" s="254"/>
      <c r="H227" s="254"/>
      <c r="I227" s="254"/>
      <c r="J227" s="258"/>
      <c r="K227" s="258"/>
      <c r="L227" s="258"/>
      <c r="M227" s="258"/>
      <c r="N227" s="248"/>
      <c r="O227" s="248"/>
      <c r="P227" s="248"/>
      <c r="Q227" s="248"/>
      <c r="R227" s="249"/>
      <c r="S227" s="249"/>
      <c r="T227" s="249"/>
      <c r="U227" s="249"/>
    </row>
    <row r="228" spans="1:21" x14ac:dyDescent="0.25">
      <c r="A228" s="244"/>
      <c r="B228" s="252"/>
      <c r="C228" s="252"/>
      <c r="D228" s="252"/>
      <c r="E228" s="252"/>
      <c r="F228" s="254"/>
      <c r="G228" s="254"/>
      <c r="H228" s="254"/>
      <c r="I228" s="254"/>
      <c r="J228" s="258"/>
      <c r="K228" s="258"/>
      <c r="L228" s="258"/>
      <c r="M228" s="258"/>
      <c r="N228" s="248"/>
      <c r="O228" s="248"/>
      <c r="P228" s="248"/>
      <c r="Q228" s="248"/>
      <c r="R228" s="249"/>
      <c r="S228" s="249"/>
      <c r="T228" s="249"/>
      <c r="U228" s="249"/>
    </row>
    <row r="229" spans="1:21" x14ac:dyDescent="0.25">
      <c r="A229" s="244"/>
      <c r="B229" s="252"/>
      <c r="C229" s="252"/>
      <c r="D229" s="252"/>
      <c r="E229" s="252"/>
      <c r="F229" s="254"/>
      <c r="G229" s="254"/>
      <c r="H229" s="254"/>
      <c r="I229" s="254"/>
      <c r="J229" s="258"/>
      <c r="K229" s="258"/>
      <c r="L229" s="258"/>
      <c r="M229" s="258"/>
      <c r="N229" s="248"/>
      <c r="O229" s="248"/>
      <c r="P229" s="248"/>
      <c r="Q229" s="248"/>
      <c r="R229" s="249"/>
      <c r="S229" s="249"/>
      <c r="T229" s="249"/>
      <c r="U229" s="249"/>
    </row>
    <row r="230" spans="1:21" x14ac:dyDescent="0.25">
      <c r="A230" s="244"/>
      <c r="B230" s="252"/>
      <c r="C230" s="252"/>
      <c r="D230" s="252"/>
      <c r="E230" s="252"/>
      <c r="F230" s="254"/>
      <c r="G230" s="254"/>
      <c r="H230" s="254"/>
      <c r="I230" s="254"/>
      <c r="J230" s="258"/>
      <c r="K230" s="258"/>
      <c r="L230" s="258"/>
      <c r="M230" s="258"/>
      <c r="N230" s="248"/>
      <c r="O230" s="248"/>
      <c r="P230" s="248"/>
      <c r="Q230" s="248"/>
      <c r="R230" s="249"/>
      <c r="S230" s="249"/>
      <c r="T230" s="249"/>
      <c r="U230" s="249"/>
    </row>
    <row r="231" spans="1:21" x14ac:dyDescent="0.25">
      <c r="A231" s="244"/>
      <c r="B231" s="252"/>
      <c r="C231" s="252"/>
      <c r="D231" s="252"/>
      <c r="E231" s="252"/>
      <c r="F231" s="254"/>
      <c r="G231" s="254"/>
      <c r="H231" s="254"/>
      <c r="I231" s="254"/>
      <c r="J231" s="258"/>
      <c r="K231" s="258"/>
      <c r="L231" s="258"/>
      <c r="M231" s="258"/>
      <c r="N231" s="248"/>
      <c r="O231" s="248"/>
      <c r="P231" s="248"/>
      <c r="Q231" s="248"/>
      <c r="R231" s="249"/>
      <c r="S231" s="249"/>
      <c r="T231" s="249"/>
      <c r="U231" s="249"/>
    </row>
    <row r="232" spans="1:21" x14ac:dyDescent="0.25">
      <c r="A232" s="244"/>
      <c r="B232" s="252"/>
      <c r="C232" s="252"/>
      <c r="D232" s="252"/>
      <c r="E232" s="252"/>
      <c r="F232" s="254"/>
      <c r="G232" s="254"/>
      <c r="H232" s="254"/>
      <c r="I232" s="254"/>
      <c r="J232" s="258"/>
      <c r="K232" s="258"/>
      <c r="L232" s="258"/>
      <c r="M232" s="258"/>
      <c r="N232" s="248"/>
      <c r="O232" s="248"/>
      <c r="P232" s="248"/>
      <c r="Q232" s="248"/>
      <c r="R232" s="249"/>
      <c r="S232" s="249"/>
      <c r="T232" s="249"/>
      <c r="U232" s="249"/>
    </row>
    <row r="233" spans="1:21" x14ac:dyDescent="0.25">
      <c r="A233" s="244"/>
      <c r="B233" s="252"/>
      <c r="C233" s="252"/>
      <c r="D233" s="252"/>
      <c r="E233" s="252"/>
      <c r="F233" s="254"/>
      <c r="G233" s="254"/>
      <c r="H233" s="254"/>
      <c r="I233" s="254"/>
      <c r="J233" s="258"/>
      <c r="K233" s="258"/>
      <c r="L233" s="258"/>
      <c r="M233" s="258"/>
      <c r="N233" s="248"/>
      <c r="O233" s="248"/>
      <c r="P233" s="248"/>
      <c r="Q233" s="248"/>
      <c r="R233" s="249"/>
      <c r="S233" s="249"/>
      <c r="T233" s="249"/>
      <c r="U233" s="249"/>
    </row>
    <row r="234" spans="1:21" x14ac:dyDescent="0.25">
      <c r="A234" s="244"/>
      <c r="B234" s="252"/>
      <c r="C234" s="252"/>
      <c r="D234" s="252"/>
      <c r="E234" s="252"/>
      <c r="F234" s="254"/>
      <c r="G234" s="254"/>
      <c r="H234" s="254"/>
      <c r="I234" s="254"/>
      <c r="J234" s="258"/>
      <c r="K234" s="258"/>
      <c r="L234" s="258"/>
      <c r="M234" s="258"/>
      <c r="N234" s="248"/>
      <c r="O234" s="248"/>
      <c r="P234" s="248"/>
      <c r="Q234" s="248"/>
      <c r="R234" s="249"/>
      <c r="S234" s="249"/>
      <c r="T234" s="249"/>
      <c r="U234" s="249"/>
    </row>
    <row r="235" spans="1:21" x14ac:dyDescent="0.25">
      <c r="A235" s="244"/>
      <c r="B235" s="252"/>
      <c r="C235" s="252"/>
      <c r="D235" s="252"/>
      <c r="E235" s="252"/>
      <c r="F235" s="254"/>
      <c r="G235" s="254"/>
      <c r="H235" s="254"/>
      <c r="I235" s="254"/>
      <c r="J235" s="258"/>
      <c r="K235" s="258"/>
      <c r="L235" s="258"/>
      <c r="M235" s="258"/>
      <c r="N235" s="248"/>
      <c r="O235" s="248"/>
      <c r="P235" s="248"/>
      <c r="Q235" s="248"/>
      <c r="R235" s="249"/>
      <c r="S235" s="249"/>
      <c r="T235" s="249"/>
      <c r="U235" s="249"/>
    </row>
    <row r="236" spans="1:21" x14ac:dyDescent="0.25">
      <c r="A236" s="244"/>
      <c r="B236" s="252"/>
      <c r="C236" s="252"/>
      <c r="D236" s="252"/>
      <c r="E236" s="252"/>
      <c r="F236" s="254"/>
      <c r="G236" s="254"/>
      <c r="H236" s="254"/>
      <c r="I236" s="254"/>
      <c r="J236" s="258"/>
      <c r="K236" s="258"/>
      <c r="L236" s="258"/>
      <c r="M236" s="258"/>
      <c r="N236" s="248"/>
      <c r="O236" s="248"/>
      <c r="P236" s="248"/>
      <c r="Q236" s="248"/>
      <c r="R236" s="249"/>
      <c r="S236" s="249"/>
      <c r="T236" s="249"/>
      <c r="U236" s="249"/>
    </row>
    <row r="237" spans="1:21" x14ac:dyDescent="0.25">
      <c r="A237" s="244"/>
      <c r="B237" s="252"/>
      <c r="C237" s="252"/>
      <c r="D237" s="252"/>
      <c r="E237" s="252"/>
      <c r="F237" s="254"/>
      <c r="G237" s="254"/>
      <c r="H237" s="254"/>
      <c r="I237" s="254"/>
      <c r="J237" s="258"/>
      <c r="K237" s="258"/>
      <c r="L237" s="258"/>
      <c r="M237" s="258"/>
      <c r="N237" s="248"/>
      <c r="O237" s="248"/>
      <c r="P237" s="248"/>
      <c r="Q237" s="248"/>
      <c r="R237" s="249"/>
      <c r="S237" s="249"/>
      <c r="T237" s="249"/>
      <c r="U237" s="249"/>
    </row>
    <row r="238" spans="1:21" x14ac:dyDescent="0.25">
      <c r="A238" s="244"/>
      <c r="B238" s="252"/>
      <c r="C238" s="252"/>
      <c r="D238" s="252"/>
      <c r="E238" s="252"/>
      <c r="F238" s="254"/>
      <c r="G238" s="254"/>
      <c r="H238" s="254"/>
      <c r="I238" s="254"/>
      <c r="J238" s="258"/>
      <c r="K238" s="258"/>
      <c r="L238" s="258"/>
      <c r="M238" s="258"/>
      <c r="N238" s="248"/>
      <c r="O238" s="248"/>
      <c r="P238" s="248"/>
      <c r="Q238" s="248"/>
      <c r="R238" s="249"/>
      <c r="S238" s="249"/>
      <c r="T238" s="249"/>
      <c r="U238" s="249"/>
    </row>
    <row r="239" spans="1:21" x14ac:dyDescent="0.25">
      <c r="A239" s="244"/>
      <c r="B239" s="252"/>
      <c r="C239" s="252"/>
      <c r="D239" s="252"/>
      <c r="E239" s="252"/>
      <c r="F239" s="254"/>
      <c r="G239" s="254"/>
      <c r="H239" s="254"/>
      <c r="I239" s="254"/>
      <c r="J239" s="258"/>
      <c r="K239" s="258"/>
      <c r="L239" s="258"/>
      <c r="M239" s="258"/>
      <c r="N239" s="248"/>
      <c r="O239" s="248"/>
      <c r="P239" s="248"/>
      <c r="Q239" s="248"/>
      <c r="R239" s="249"/>
      <c r="S239" s="249"/>
      <c r="T239" s="249"/>
      <c r="U239" s="249"/>
    </row>
    <row r="240" spans="1:21" x14ac:dyDescent="0.25">
      <c r="A240" s="244"/>
      <c r="B240" s="252"/>
      <c r="C240" s="252"/>
      <c r="D240" s="252"/>
      <c r="E240" s="252"/>
      <c r="F240" s="254"/>
      <c r="G240" s="254"/>
      <c r="H240" s="254"/>
      <c r="I240" s="254"/>
      <c r="J240" s="258"/>
      <c r="K240" s="258"/>
      <c r="L240" s="258"/>
      <c r="M240" s="258"/>
      <c r="N240" s="248"/>
      <c r="O240" s="248"/>
      <c r="P240" s="248"/>
      <c r="Q240" s="248"/>
      <c r="R240" s="249"/>
      <c r="S240" s="249"/>
      <c r="T240" s="249"/>
      <c r="U240" s="249"/>
    </row>
    <row r="241" spans="1:21" x14ac:dyDescent="0.25">
      <c r="A241" s="244"/>
      <c r="B241" s="252"/>
      <c r="C241" s="252"/>
      <c r="D241" s="252"/>
      <c r="E241" s="252"/>
      <c r="F241" s="254"/>
      <c r="G241" s="254"/>
      <c r="H241" s="254"/>
      <c r="I241" s="254"/>
      <c r="J241" s="258"/>
      <c r="K241" s="258"/>
      <c r="L241" s="258"/>
      <c r="M241" s="258"/>
      <c r="N241" s="248"/>
      <c r="O241" s="248"/>
      <c r="P241" s="248"/>
      <c r="Q241" s="248"/>
      <c r="R241" s="249"/>
      <c r="S241" s="249"/>
      <c r="T241" s="249"/>
      <c r="U241" s="249"/>
    </row>
    <row r="242" spans="1:21" x14ac:dyDescent="0.25">
      <c r="A242" s="244"/>
      <c r="B242" s="252"/>
      <c r="C242" s="252"/>
      <c r="D242" s="252"/>
      <c r="E242" s="252"/>
      <c r="F242" s="254"/>
      <c r="G242" s="254"/>
      <c r="H242" s="254"/>
      <c r="I242" s="254"/>
      <c r="J242" s="258"/>
      <c r="K242" s="258"/>
      <c r="L242" s="258"/>
      <c r="M242" s="258"/>
      <c r="N242" s="248"/>
      <c r="O242" s="248"/>
      <c r="P242" s="248"/>
      <c r="Q242" s="248"/>
      <c r="R242" s="249"/>
      <c r="S242" s="249"/>
      <c r="T242" s="249"/>
      <c r="U242" s="249"/>
    </row>
    <row r="243" spans="1:21" x14ac:dyDescent="0.25">
      <c r="A243" s="244"/>
      <c r="B243" s="252"/>
      <c r="C243" s="252"/>
      <c r="D243" s="252"/>
      <c r="E243" s="252"/>
      <c r="F243" s="254"/>
      <c r="G243" s="254"/>
      <c r="H243" s="254"/>
      <c r="I243" s="254"/>
      <c r="J243" s="258"/>
      <c r="K243" s="258"/>
      <c r="L243" s="258"/>
      <c r="M243" s="258"/>
      <c r="N243" s="248"/>
      <c r="O243" s="248"/>
      <c r="P243" s="248"/>
      <c r="Q243" s="248"/>
      <c r="R243" s="249"/>
      <c r="S243" s="249"/>
      <c r="T243" s="249"/>
      <c r="U243" s="249"/>
    </row>
    <row r="244" spans="1:21" x14ac:dyDescent="0.25">
      <c r="A244" s="244"/>
      <c r="B244" s="252"/>
      <c r="C244" s="252"/>
      <c r="D244" s="252"/>
      <c r="E244" s="252"/>
      <c r="F244" s="254"/>
      <c r="G244" s="254"/>
      <c r="H244" s="254"/>
      <c r="I244" s="254"/>
      <c r="J244" s="258"/>
      <c r="K244" s="258"/>
      <c r="L244" s="258"/>
      <c r="M244" s="258"/>
      <c r="N244" s="248"/>
      <c r="O244" s="248"/>
      <c r="P244" s="248"/>
      <c r="Q244" s="248"/>
      <c r="R244" s="249"/>
      <c r="S244" s="249"/>
      <c r="T244" s="249"/>
      <c r="U244" s="249"/>
    </row>
    <row r="245" spans="1:21" x14ac:dyDescent="0.25">
      <c r="A245" s="244"/>
      <c r="B245" s="252"/>
      <c r="C245" s="252"/>
      <c r="D245" s="252"/>
      <c r="E245" s="252"/>
      <c r="F245" s="254"/>
      <c r="G245" s="254"/>
      <c r="H245" s="254"/>
      <c r="I245" s="254"/>
      <c r="J245" s="258"/>
      <c r="K245" s="258"/>
      <c r="L245" s="258"/>
      <c r="M245" s="258"/>
      <c r="N245" s="248"/>
      <c r="O245" s="248"/>
      <c r="P245" s="248"/>
      <c r="Q245" s="248"/>
      <c r="R245" s="249"/>
      <c r="S245" s="249"/>
      <c r="T245" s="249"/>
      <c r="U245" s="249"/>
    </row>
    <row r="246" spans="1:21" x14ac:dyDescent="0.25">
      <c r="A246" s="244"/>
      <c r="B246" s="252"/>
      <c r="C246" s="252"/>
      <c r="D246" s="252"/>
      <c r="E246" s="252"/>
      <c r="F246" s="254"/>
      <c r="G246" s="254"/>
      <c r="H246" s="254"/>
      <c r="I246" s="254"/>
      <c r="J246" s="258"/>
      <c r="K246" s="258"/>
      <c r="L246" s="258"/>
      <c r="M246" s="258"/>
      <c r="N246" s="248"/>
      <c r="O246" s="248"/>
      <c r="P246" s="248"/>
      <c r="Q246" s="248"/>
      <c r="R246" s="249"/>
      <c r="S246" s="249"/>
      <c r="T246" s="249"/>
      <c r="U246" s="249"/>
    </row>
    <row r="247" spans="1:21" x14ac:dyDescent="0.25">
      <c r="A247" s="244"/>
      <c r="B247" s="252"/>
      <c r="C247" s="252"/>
      <c r="D247" s="252"/>
      <c r="E247" s="252"/>
      <c r="F247" s="254"/>
      <c r="G247" s="254"/>
      <c r="H247" s="254"/>
      <c r="I247" s="254"/>
      <c r="J247" s="258"/>
      <c r="K247" s="258"/>
      <c r="L247" s="258"/>
      <c r="M247" s="258"/>
      <c r="N247" s="248"/>
      <c r="O247" s="248"/>
      <c r="P247" s="248"/>
      <c r="Q247" s="248"/>
      <c r="R247" s="249"/>
      <c r="S247" s="249"/>
      <c r="T247" s="249"/>
      <c r="U247" s="249"/>
    </row>
    <row r="248" spans="1:21" x14ac:dyDescent="0.25">
      <c r="A248" s="244"/>
      <c r="B248" s="252"/>
      <c r="C248" s="252"/>
      <c r="D248" s="252"/>
      <c r="E248" s="252"/>
      <c r="F248" s="254"/>
      <c r="G248" s="254"/>
      <c r="H248" s="254"/>
      <c r="I248" s="254"/>
      <c r="J248" s="258"/>
      <c r="K248" s="258"/>
      <c r="L248" s="258"/>
      <c r="M248" s="258"/>
      <c r="N248" s="248"/>
      <c r="O248" s="248"/>
      <c r="P248" s="248"/>
      <c r="Q248" s="248"/>
      <c r="R248" s="249"/>
      <c r="S248" s="249"/>
      <c r="T248" s="249"/>
      <c r="U248" s="249"/>
    </row>
    <row r="249" spans="1:21" x14ac:dyDescent="0.25">
      <c r="A249" s="244"/>
      <c r="B249" s="252"/>
      <c r="C249" s="252"/>
      <c r="D249" s="252"/>
      <c r="E249" s="252"/>
      <c r="F249" s="254"/>
      <c r="G249" s="254"/>
      <c r="H249" s="254"/>
      <c r="I249" s="254"/>
      <c r="J249" s="258"/>
      <c r="K249" s="258"/>
      <c r="L249" s="258"/>
      <c r="M249" s="258"/>
      <c r="N249" s="248"/>
      <c r="O249" s="248"/>
      <c r="P249" s="248"/>
      <c r="Q249" s="248"/>
      <c r="R249" s="249"/>
      <c r="S249" s="249"/>
      <c r="T249" s="249"/>
      <c r="U249" s="249"/>
    </row>
    <row r="250" spans="1:21" x14ac:dyDescent="0.25">
      <c r="A250" s="244"/>
      <c r="B250" s="252"/>
      <c r="C250" s="252"/>
      <c r="D250" s="252"/>
      <c r="E250" s="252"/>
      <c r="F250" s="254"/>
      <c r="G250" s="254"/>
      <c r="H250" s="254"/>
      <c r="I250" s="254"/>
      <c r="J250" s="258"/>
      <c r="K250" s="258"/>
      <c r="L250" s="258"/>
      <c r="M250" s="258"/>
      <c r="N250" s="248"/>
      <c r="O250" s="248"/>
      <c r="P250" s="248"/>
      <c r="Q250" s="248"/>
      <c r="R250" s="249"/>
      <c r="S250" s="249"/>
      <c r="T250" s="249"/>
      <c r="U250" s="249"/>
    </row>
    <row r="251" spans="1:21" x14ac:dyDescent="0.25">
      <c r="A251" s="244"/>
      <c r="B251" s="252"/>
      <c r="C251" s="252"/>
      <c r="D251" s="252"/>
      <c r="E251" s="252"/>
      <c r="F251" s="254"/>
      <c r="G251" s="254"/>
      <c r="H251" s="254"/>
      <c r="I251" s="254"/>
      <c r="J251" s="258"/>
      <c r="K251" s="258"/>
      <c r="L251" s="258"/>
      <c r="M251" s="258"/>
      <c r="N251" s="248"/>
      <c r="O251" s="248"/>
      <c r="P251" s="248"/>
      <c r="Q251" s="248"/>
      <c r="R251" s="249"/>
      <c r="S251" s="249"/>
      <c r="T251" s="249"/>
      <c r="U251" s="249"/>
    </row>
    <row r="252" spans="1:21" x14ac:dyDescent="0.25">
      <c r="A252" s="244"/>
      <c r="B252" s="252"/>
      <c r="C252" s="252"/>
      <c r="D252" s="252"/>
      <c r="E252" s="252"/>
      <c r="F252" s="254"/>
      <c r="G252" s="254"/>
      <c r="H252" s="254"/>
      <c r="I252" s="254"/>
      <c r="J252" s="258"/>
      <c r="K252" s="258"/>
      <c r="L252" s="258"/>
      <c r="M252" s="258"/>
      <c r="N252" s="248"/>
      <c r="O252" s="248"/>
      <c r="P252" s="248"/>
      <c r="Q252" s="248"/>
      <c r="R252" s="249"/>
      <c r="S252" s="249"/>
      <c r="T252" s="249"/>
      <c r="U252" s="249"/>
    </row>
    <row r="253" spans="1:21" x14ac:dyDescent="0.25">
      <c r="A253" s="244"/>
      <c r="B253" s="252"/>
      <c r="C253" s="252"/>
      <c r="D253" s="252"/>
      <c r="E253" s="252"/>
      <c r="F253" s="254"/>
      <c r="G253" s="254"/>
      <c r="H253" s="254"/>
      <c r="I253" s="254"/>
      <c r="J253" s="258"/>
      <c r="K253" s="258"/>
      <c r="L253" s="258"/>
      <c r="M253" s="258"/>
      <c r="N253" s="248"/>
      <c r="O253" s="248"/>
      <c r="P253" s="248"/>
      <c r="Q253" s="248"/>
      <c r="R253" s="249"/>
      <c r="S253" s="249"/>
      <c r="T253" s="249"/>
      <c r="U253" s="249"/>
    </row>
    <row r="254" spans="1:21" x14ac:dyDescent="0.25">
      <c r="A254" s="244"/>
      <c r="B254" s="252"/>
      <c r="C254" s="252"/>
      <c r="D254" s="252"/>
      <c r="E254" s="252"/>
      <c r="F254" s="254"/>
      <c r="G254" s="254"/>
      <c r="H254" s="254"/>
      <c r="I254" s="254"/>
      <c r="J254" s="258"/>
      <c r="K254" s="258"/>
      <c r="L254" s="258"/>
      <c r="M254" s="258"/>
      <c r="N254" s="248"/>
      <c r="O254" s="248"/>
      <c r="P254" s="248"/>
      <c r="Q254" s="248"/>
      <c r="R254" s="249"/>
      <c r="S254" s="249"/>
      <c r="T254" s="249"/>
      <c r="U254" s="249"/>
    </row>
    <row r="255" spans="1:21" x14ac:dyDescent="0.25">
      <c r="A255" s="244"/>
      <c r="B255" s="252"/>
      <c r="C255" s="252"/>
      <c r="D255" s="252"/>
      <c r="E255" s="252"/>
      <c r="F255" s="254"/>
      <c r="G255" s="254"/>
      <c r="H255" s="254"/>
      <c r="I255" s="254"/>
      <c r="J255" s="258"/>
      <c r="K255" s="258"/>
      <c r="L255" s="258"/>
      <c r="M255" s="258"/>
      <c r="N255" s="248"/>
      <c r="O255" s="248"/>
      <c r="P255" s="248"/>
      <c r="Q255" s="248"/>
      <c r="R255" s="249"/>
      <c r="S255" s="249"/>
      <c r="T255" s="249"/>
      <c r="U255" s="249"/>
    </row>
    <row r="256" spans="1:21" x14ac:dyDescent="0.25">
      <c r="A256" s="244"/>
      <c r="B256" s="252"/>
      <c r="C256" s="252"/>
      <c r="D256" s="252"/>
      <c r="E256" s="252"/>
      <c r="F256" s="254"/>
      <c r="G256" s="254"/>
      <c r="H256" s="254"/>
      <c r="I256" s="254"/>
      <c r="J256" s="258"/>
      <c r="K256" s="258"/>
      <c r="L256" s="258"/>
      <c r="M256" s="258"/>
      <c r="N256" s="248"/>
      <c r="O256" s="248"/>
      <c r="P256" s="248"/>
      <c r="Q256" s="248"/>
      <c r="R256" s="249"/>
      <c r="S256" s="249"/>
      <c r="T256" s="249"/>
      <c r="U256" s="249"/>
    </row>
    <row r="257" spans="1:21" x14ac:dyDescent="0.25">
      <c r="A257" s="244"/>
      <c r="B257" s="252"/>
      <c r="C257" s="252"/>
      <c r="D257" s="252"/>
      <c r="E257" s="252"/>
      <c r="F257" s="254"/>
      <c r="G257" s="254"/>
      <c r="H257" s="254"/>
      <c r="I257" s="254"/>
      <c r="J257" s="258"/>
      <c r="K257" s="258"/>
      <c r="L257" s="258"/>
      <c r="M257" s="258"/>
      <c r="N257" s="248"/>
      <c r="O257" s="248"/>
      <c r="P257" s="248"/>
      <c r="Q257" s="248"/>
      <c r="R257" s="249"/>
      <c r="S257" s="249"/>
      <c r="T257" s="249"/>
      <c r="U257" s="249"/>
    </row>
    <row r="258" spans="1:21" x14ac:dyDescent="0.25">
      <c r="A258" s="244"/>
      <c r="B258" s="252"/>
      <c r="C258" s="252"/>
      <c r="D258" s="252"/>
      <c r="E258" s="252"/>
      <c r="F258" s="254"/>
      <c r="G258" s="254"/>
      <c r="H258" s="254"/>
      <c r="I258" s="254"/>
      <c r="J258" s="258"/>
      <c r="K258" s="258"/>
      <c r="L258" s="258"/>
      <c r="M258" s="258"/>
      <c r="N258" s="248"/>
      <c r="O258" s="248"/>
      <c r="P258" s="248"/>
      <c r="Q258" s="248"/>
      <c r="R258" s="249"/>
      <c r="S258" s="249"/>
      <c r="T258" s="249"/>
      <c r="U258" s="249"/>
    </row>
    <row r="259" spans="1:21" x14ac:dyDescent="0.25">
      <c r="A259" s="244"/>
      <c r="B259" s="252"/>
      <c r="C259" s="252"/>
      <c r="D259" s="252"/>
      <c r="E259" s="252"/>
      <c r="F259" s="254"/>
      <c r="G259" s="254"/>
      <c r="H259" s="254"/>
      <c r="I259" s="254"/>
      <c r="J259" s="258"/>
      <c r="K259" s="258"/>
      <c r="L259" s="258"/>
      <c r="M259" s="258"/>
      <c r="N259" s="248"/>
      <c r="O259" s="248"/>
      <c r="P259" s="248"/>
      <c r="Q259" s="248"/>
      <c r="R259" s="249"/>
      <c r="S259" s="249"/>
      <c r="T259" s="249"/>
      <c r="U259" s="249"/>
    </row>
    <row r="260" spans="1:21" x14ac:dyDescent="0.25">
      <c r="A260" s="244"/>
      <c r="B260" s="252"/>
      <c r="C260" s="252"/>
      <c r="D260" s="252"/>
      <c r="E260" s="252"/>
      <c r="F260" s="254"/>
      <c r="G260" s="254"/>
      <c r="H260" s="254"/>
      <c r="I260" s="254"/>
      <c r="J260" s="258"/>
      <c r="K260" s="258"/>
      <c r="L260" s="258"/>
      <c r="M260" s="258"/>
      <c r="N260" s="248"/>
      <c r="O260" s="248"/>
      <c r="P260" s="248"/>
      <c r="Q260" s="248"/>
      <c r="R260" s="249"/>
      <c r="S260" s="249"/>
      <c r="T260" s="249"/>
      <c r="U260" s="249"/>
    </row>
    <row r="261" spans="1:21" x14ac:dyDescent="0.25">
      <c r="A261" s="244"/>
      <c r="B261" s="252"/>
      <c r="C261" s="252"/>
      <c r="D261" s="252"/>
      <c r="E261" s="252"/>
      <c r="F261" s="254"/>
      <c r="G261" s="254"/>
      <c r="H261" s="254"/>
      <c r="I261" s="254"/>
      <c r="J261" s="258"/>
      <c r="K261" s="258"/>
      <c r="L261" s="258"/>
      <c r="M261" s="258"/>
      <c r="N261" s="248"/>
      <c r="O261" s="248"/>
      <c r="P261" s="248"/>
      <c r="Q261" s="248"/>
      <c r="R261" s="249"/>
      <c r="S261" s="249"/>
      <c r="T261" s="249"/>
      <c r="U261" s="249"/>
    </row>
    <row r="262" spans="1:21" x14ac:dyDescent="0.25">
      <c r="A262" s="244"/>
      <c r="B262" s="252"/>
      <c r="C262" s="252"/>
      <c r="D262" s="252"/>
      <c r="E262" s="252"/>
      <c r="F262" s="254"/>
      <c r="G262" s="254"/>
      <c r="H262" s="254"/>
      <c r="I262" s="254"/>
      <c r="J262" s="258"/>
      <c r="K262" s="258"/>
      <c r="L262" s="258"/>
      <c r="M262" s="258"/>
      <c r="N262" s="248"/>
      <c r="O262" s="248"/>
      <c r="P262" s="248"/>
      <c r="Q262" s="248"/>
      <c r="R262" s="249"/>
      <c r="S262" s="249"/>
      <c r="T262" s="249"/>
      <c r="U262" s="249"/>
    </row>
    <row r="263" spans="1:21" x14ac:dyDescent="0.25">
      <c r="A263" s="244"/>
      <c r="B263" s="252"/>
      <c r="C263" s="252"/>
      <c r="D263" s="252"/>
      <c r="E263" s="252"/>
      <c r="F263" s="254"/>
      <c r="G263" s="254"/>
      <c r="H263" s="254"/>
      <c r="I263" s="254"/>
      <c r="J263" s="258"/>
      <c r="K263" s="258"/>
      <c r="L263" s="258"/>
      <c r="M263" s="258"/>
      <c r="N263" s="248"/>
      <c r="O263" s="248"/>
      <c r="P263" s="248"/>
      <c r="Q263" s="248"/>
      <c r="R263" s="249"/>
      <c r="S263" s="249"/>
      <c r="T263" s="249"/>
      <c r="U263" s="249"/>
    </row>
    <row r="264" spans="1:21" x14ac:dyDescent="0.25">
      <c r="A264" s="244"/>
      <c r="B264" s="252"/>
      <c r="C264" s="252"/>
      <c r="D264" s="252"/>
      <c r="E264" s="252"/>
      <c r="F264" s="254"/>
      <c r="G264" s="254"/>
      <c r="H264" s="254"/>
      <c r="I264" s="254"/>
      <c r="J264" s="258"/>
      <c r="K264" s="258"/>
      <c r="L264" s="258"/>
      <c r="M264" s="258"/>
      <c r="N264" s="248"/>
      <c r="O264" s="248"/>
      <c r="P264" s="248"/>
      <c r="Q264" s="248"/>
      <c r="R264" s="249"/>
      <c r="S264" s="249"/>
      <c r="T264" s="249"/>
      <c r="U264" s="249"/>
    </row>
    <row r="265" spans="1:21" x14ac:dyDescent="0.25">
      <c r="A265" s="244"/>
      <c r="B265" s="252"/>
      <c r="C265" s="252"/>
      <c r="D265" s="252"/>
      <c r="E265" s="252"/>
      <c r="F265" s="254"/>
      <c r="G265" s="254"/>
      <c r="H265" s="254"/>
      <c r="I265" s="254"/>
      <c r="J265" s="258"/>
      <c r="K265" s="258"/>
      <c r="L265" s="258"/>
      <c r="M265" s="258"/>
      <c r="N265" s="248"/>
      <c r="O265" s="248"/>
      <c r="P265" s="248"/>
      <c r="Q265" s="248"/>
      <c r="R265" s="249"/>
      <c r="S265" s="249"/>
      <c r="T265" s="249"/>
      <c r="U265" s="249"/>
    </row>
    <row r="266" spans="1:21" x14ac:dyDescent="0.25">
      <c r="A266" s="244"/>
      <c r="B266" s="252"/>
      <c r="C266" s="252"/>
      <c r="D266" s="252"/>
      <c r="E266" s="252"/>
      <c r="F266" s="254"/>
      <c r="G266" s="254"/>
      <c r="H266" s="254"/>
      <c r="I266" s="254"/>
      <c r="J266" s="258"/>
      <c r="K266" s="258"/>
      <c r="L266" s="258"/>
      <c r="M266" s="258"/>
      <c r="N266" s="248"/>
      <c r="O266" s="248"/>
      <c r="P266" s="248"/>
      <c r="Q266" s="248"/>
      <c r="R266" s="249"/>
      <c r="S266" s="249"/>
      <c r="T266" s="249"/>
      <c r="U266" s="249"/>
    </row>
    <row r="267" spans="1:21" x14ac:dyDescent="0.25">
      <c r="A267" s="244"/>
      <c r="B267" s="252"/>
      <c r="C267" s="252"/>
      <c r="D267" s="252"/>
      <c r="E267" s="252"/>
      <c r="F267" s="254"/>
      <c r="G267" s="254"/>
      <c r="H267" s="254"/>
      <c r="I267" s="254"/>
      <c r="J267" s="258"/>
      <c r="K267" s="258"/>
      <c r="L267" s="258"/>
      <c r="M267" s="258"/>
      <c r="N267" s="248"/>
      <c r="O267" s="248"/>
      <c r="P267" s="248"/>
      <c r="Q267" s="248"/>
      <c r="R267" s="249"/>
      <c r="S267" s="249"/>
      <c r="T267" s="249"/>
      <c r="U267" s="249"/>
    </row>
    <row r="268" spans="1:21" x14ac:dyDescent="0.25">
      <c r="A268" s="244"/>
      <c r="B268" s="252"/>
      <c r="C268" s="252"/>
      <c r="D268" s="252"/>
      <c r="E268" s="252"/>
      <c r="F268" s="254"/>
      <c r="G268" s="254"/>
      <c r="H268" s="254"/>
      <c r="I268" s="254"/>
      <c r="J268" s="258"/>
      <c r="K268" s="258"/>
      <c r="L268" s="258"/>
      <c r="M268" s="258"/>
      <c r="N268" s="248"/>
      <c r="O268" s="248"/>
      <c r="P268" s="248"/>
      <c r="Q268" s="248"/>
      <c r="R268" s="249"/>
      <c r="S268" s="249"/>
      <c r="T268" s="249"/>
      <c r="U268" s="249"/>
    </row>
    <row r="269" spans="1:21" x14ac:dyDescent="0.25">
      <c r="A269" s="244"/>
      <c r="B269" s="252"/>
      <c r="C269" s="252"/>
      <c r="D269" s="252"/>
      <c r="E269" s="252"/>
      <c r="F269" s="254"/>
      <c r="G269" s="254"/>
      <c r="H269" s="254"/>
      <c r="I269" s="254"/>
      <c r="J269" s="258"/>
      <c r="K269" s="258"/>
      <c r="L269" s="258"/>
      <c r="M269" s="258"/>
      <c r="N269" s="248"/>
      <c r="O269" s="248"/>
      <c r="P269" s="248"/>
      <c r="Q269" s="248"/>
      <c r="R269" s="249"/>
      <c r="S269" s="249"/>
      <c r="T269" s="249"/>
      <c r="U269" s="249"/>
    </row>
    <row r="270" spans="1:21" x14ac:dyDescent="0.25">
      <c r="A270" s="244"/>
      <c r="B270" s="252"/>
      <c r="C270" s="252"/>
      <c r="D270" s="252"/>
      <c r="E270" s="252"/>
      <c r="F270" s="254"/>
      <c r="G270" s="254"/>
      <c r="H270" s="254"/>
      <c r="I270" s="254"/>
      <c r="J270" s="258"/>
      <c r="K270" s="258"/>
      <c r="L270" s="258"/>
      <c r="M270" s="258"/>
      <c r="N270" s="248"/>
      <c r="O270" s="248"/>
      <c r="P270" s="248"/>
      <c r="Q270" s="248"/>
      <c r="R270" s="249"/>
      <c r="S270" s="249"/>
      <c r="T270" s="249"/>
      <c r="U270" s="249"/>
    </row>
    <row r="271" spans="1:21" x14ac:dyDescent="0.25">
      <c r="A271" s="244"/>
      <c r="B271" s="252"/>
      <c r="C271" s="252"/>
      <c r="D271" s="252"/>
      <c r="E271" s="252"/>
      <c r="F271" s="254"/>
      <c r="G271" s="254"/>
      <c r="H271" s="254"/>
      <c r="I271" s="254"/>
      <c r="J271" s="258"/>
      <c r="K271" s="258"/>
      <c r="L271" s="258"/>
      <c r="M271" s="258"/>
      <c r="N271" s="248"/>
      <c r="O271" s="248"/>
      <c r="P271" s="248"/>
      <c r="Q271" s="248"/>
      <c r="R271" s="249"/>
      <c r="S271" s="249"/>
      <c r="T271" s="249"/>
      <c r="U271" s="249"/>
    </row>
    <row r="272" spans="1:21" x14ac:dyDescent="0.25">
      <c r="A272" s="244"/>
      <c r="B272" s="252"/>
      <c r="C272" s="252"/>
      <c r="D272" s="252"/>
      <c r="E272" s="252"/>
      <c r="F272" s="254"/>
      <c r="G272" s="254"/>
      <c r="H272" s="254"/>
      <c r="I272" s="254"/>
      <c r="J272" s="258"/>
      <c r="K272" s="258"/>
      <c r="L272" s="258"/>
      <c r="M272" s="258"/>
      <c r="N272" s="248"/>
      <c r="O272" s="248"/>
      <c r="P272" s="248"/>
      <c r="Q272" s="248"/>
      <c r="R272" s="249"/>
      <c r="S272" s="249"/>
      <c r="T272" s="249"/>
      <c r="U272" s="249"/>
    </row>
    <row r="273" spans="1:21" x14ac:dyDescent="0.25">
      <c r="A273" s="244"/>
      <c r="B273" s="252"/>
      <c r="C273" s="252"/>
      <c r="D273" s="252"/>
      <c r="E273" s="252"/>
      <c r="F273" s="254"/>
      <c r="G273" s="254"/>
      <c r="H273" s="254"/>
      <c r="I273" s="254"/>
      <c r="J273" s="258"/>
      <c r="K273" s="258"/>
      <c r="L273" s="258"/>
      <c r="M273" s="258"/>
      <c r="N273" s="248"/>
      <c r="O273" s="248"/>
      <c r="P273" s="248"/>
      <c r="Q273" s="248"/>
      <c r="R273" s="249"/>
      <c r="S273" s="249"/>
      <c r="T273" s="249"/>
      <c r="U273" s="249"/>
    </row>
    <row r="274" spans="1:21" x14ac:dyDescent="0.25">
      <c r="A274" s="244"/>
      <c r="B274" s="252"/>
      <c r="C274" s="252"/>
      <c r="D274" s="252"/>
      <c r="E274" s="252"/>
      <c r="F274" s="254"/>
      <c r="G274" s="254"/>
      <c r="H274" s="254"/>
      <c r="I274" s="254"/>
      <c r="J274" s="258"/>
      <c r="K274" s="258"/>
      <c r="L274" s="258"/>
      <c r="M274" s="258"/>
      <c r="N274" s="248"/>
      <c r="O274" s="248"/>
      <c r="P274" s="248"/>
      <c r="Q274" s="248"/>
      <c r="R274" s="249"/>
      <c r="S274" s="249"/>
      <c r="T274" s="249"/>
      <c r="U274" s="249"/>
    </row>
    <row r="275" spans="1:21" x14ac:dyDescent="0.25">
      <c r="A275" s="244"/>
      <c r="B275" s="252"/>
      <c r="C275" s="252"/>
      <c r="D275" s="252"/>
      <c r="E275" s="252"/>
      <c r="F275" s="254"/>
      <c r="G275" s="254"/>
      <c r="H275" s="254"/>
      <c r="I275" s="254"/>
      <c r="J275" s="258"/>
      <c r="K275" s="258"/>
      <c r="L275" s="258"/>
      <c r="M275" s="258"/>
      <c r="N275" s="248"/>
      <c r="O275" s="248"/>
      <c r="P275" s="248"/>
      <c r="Q275" s="248"/>
      <c r="R275" s="249"/>
      <c r="S275" s="249"/>
      <c r="T275" s="249"/>
      <c r="U275" s="249"/>
    </row>
    <row r="276" spans="1:21" x14ac:dyDescent="0.25">
      <c r="A276" s="244"/>
      <c r="B276" s="252"/>
      <c r="C276" s="252"/>
      <c r="D276" s="252"/>
      <c r="E276" s="252"/>
      <c r="F276" s="254"/>
      <c r="G276" s="254"/>
      <c r="H276" s="254"/>
      <c r="I276" s="254"/>
      <c r="J276" s="258"/>
      <c r="K276" s="258"/>
      <c r="L276" s="258"/>
      <c r="M276" s="258"/>
      <c r="N276" s="248"/>
      <c r="O276" s="248"/>
      <c r="P276" s="248"/>
      <c r="Q276" s="248"/>
      <c r="R276" s="249"/>
      <c r="S276" s="249"/>
      <c r="T276" s="249"/>
      <c r="U276" s="249"/>
    </row>
    <row r="277" spans="1:21" x14ac:dyDescent="0.25">
      <c r="A277" s="244"/>
      <c r="B277" s="252"/>
      <c r="C277" s="252"/>
      <c r="D277" s="252"/>
      <c r="E277" s="252"/>
      <c r="F277" s="254"/>
      <c r="G277" s="254"/>
      <c r="H277" s="254"/>
      <c r="I277" s="254"/>
      <c r="J277" s="258"/>
      <c r="K277" s="258"/>
      <c r="L277" s="258"/>
      <c r="M277" s="258"/>
      <c r="N277" s="248"/>
      <c r="O277" s="248"/>
      <c r="P277" s="248"/>
      <c r="Q277" s="248"/>
      <c r="R277" s="249"/>
      <c r="S277" s="249"/>
      <c r="T277" s="249"/>
      <c r="U277" s="249"/>
    </row>
    <row r="278" spans="1:21" x14ac:dyDescent="0.25">
      <c r="A278" s="244"/>
      <c r="B278" s="252"/>
      <c r="C278" s="252"/>
      <c r="D278" s="252"/>
      <c r="E278" s="252"/>
      <c r="F278" s="254"/>
      <c r="G278" s="254"/>
      <c r="H278" s="254"/>
      <c r="I278" s="254"/>
      <c r="J278" s="258"/>
      <c r="K278" s="258"/>
      <c r="L278" s="258"/>
      <c r="M278" s="258"/>
      <c r="N278" s="248"/>
      <c r="O278" s="248"/>
      <c r="P278" s="248"/>
      <c r="Q278" s="248"/>
      <c r="R278" s="249"/>
      <c r="S278" s="249"/>
      <c r="T278" s="249"/>
      <c r="U278" s="249"/>
    </row>
    <row r="279" spans="1:21" x14ac:dyDescent="0.25">
      <c r="A279" s="244"/>
      <c r="B279" s="252"/>
      <c r="C279" s="252"/>
      <c r="D279" s="252"/>
      <c r="E279" s="252"/>
      <c r="F279" s="254"/>
      <c r="G279" s="254"/>
      <c r="H279" s="254"/>
      <c r="I279" s="254"/>
      <c r="J279" s="258"/>
      <c r="K279" s="258"/>
      <c r="L279" s="258"/>
      <c r="M279" s="258"/>
      <c r="N279" s="248"/>
      <c r="O279" s="248"/>
      <c r="P279" s="248"/>
      <c r="Q279" s="248"/>
      <c r="R279" s="249"/>
      <c r="S279" s="249"/>
      <c r="T279" s="249"/>
      <c r="U279" s="249"/>
    </row>
    <row r="280" spans="1:21" x14ac:dyDescent="0.25">
      <c r="A280" s="244"/>
      <c r="B280" s="252"/>
      <c r="C280" s="252"/>
      <c r="D280" s="252"/>
      <c r="E280" s="252"/>
      <c r="F280" s="254"/>
      <c r="G280" s="254"/>
      <c r="H280" s="254"/>
      <c r="I280" s="254"/>
      <c r="J280" s="258"/>
      <c r="K280" s="258"/>
      <c r="L280" s="258"/>
      <c r="M280" s="258"/>
      <c r="N280" s="248"/>
      <c r="O280" s="248"/>
      <c r="P280" s="248"/>
      <c r="Q280" s="248"/>
      <c r="R280" s="249"/>
      <c r="S280" s="249"/>
      <c r="T280" s="249"/>
      <c r="U280" s="249"/>
    </row>
    <row r="281" spans="1:21" x14ac:dyDescent="0.25">
      <c r="A281" s="244"/>
      <c r="B281" s="252"/>
      <c r="C281" s="252"/>
      <c r="D281" s="252"/>
      <c r="E281" s="252"/>
      <c r="F281" s="254"/>
      <c r="G281" s="254"/>
      <c r="H281" s="254"/>
      <c r="I281" s="254"/>
      <c r="J281" s="258"/>
      <c r="K281" s="258"/>
      <c r="L281" s="258"/>
      <c r="M281" s="258"/>
      <c r="N281" s="248"/>
      <c r="O281" s="248"/>
      <c r="P281" s="248"/>
      <c r="Q281" s="248"/>
      <c r="R281" s="249"/>
      <c r="S281" s="249"/>
      <c r="T281" s="249"/>
      <c r="U281" s="249"/>
    </row>
    <row r="282" spans="1:21" x14ac:dyDescent="0.25">
      <c r="A282" s="244"/>
      <c r="B282" s="252"/>
      <c r="C282" s="252"/>
      <c r="D282" s="252"/>
      <c r="E282" s="252"/>
      <c r="F282" s="254"/>
      <c r="G282" s="254"/>
      <c r="H282" s="254"/>
      <c r="I282" s="254"/>
      <c r="J282" s="258"/>
      <c r="K282" s="258"/>
      <c r="L282" s="258"/>
      <c r="M282" s="258"/>
      <c r="N282" s="248"/>
      <c r="O282" s="248"/>
      <c r="P282" s="248"/>
      <c r="Q282" s="248"/>
      <c r="R282" s="249"/>
      <c r="S282" s="249"/>
      <c r="T282" s="249"/>
      <c r="U282" s="249"/>
    </row>
    <row r="283" spans="1:21" x14ac:dyDescent="0.25">
      <c r="A283" s="244"/>
      <c r="B283" s="252"/>
      <c r="C283" s="252"/>
      <c r="D283" s="252"/>
      <c r="E283" s="252"/>
      <c r="F283" s="254"/>
      <c r="G283" s="254"/>
      <c r="H283" s="254"/>
      <c r="I283" s="254"/>
      <c r="J283" s="258"/>
      <c r="K283" s="258"/>
      <c r="L283" s="258"/>
      <c r="M283" s="258"/>
      <c r="N283" s="248"/>
      <c r="O283" s="248"/>
      <c r="P283" s="248"/>
      <c r="Q283" s="248"/>
      <c r="R283" s="249"/>
      <c r="S283" s="249"/>
      <c r="T283" s="249"/>
      <c r="U283" s="249"/>
    </row>
    <row r="284" spans="1:21" x14ac:dyDescent="0.25">
      <c r="A284" s="244"/>
      <c r="B284" s="252"/>
      <c r="C284" s="252"/>
      <c r="D284" s="252"/>
      <c r="E284" s="252"/>
      <c r="F284" s="254"/>
      <c r="G284" s="254"/>
      <c r="H284" s="254"/>
      <c r="I284" s="254"/>
      <c r="J284" s="258"/>
      <c r="K284" s="258"/>
      <c r="L284" s="258"/>
      <c r="M284" s="258"/>
      <c r="N284" s="248"/>
      <c r="O284" s="248"/>
      <c r="P284" s="248"/>
      <c r="Q284" s="248"/>
      <c r="R284" s="249"/>
      <c r="S284" s="249"/>
      <c r="T284" s="249"/>
      <c r="U284" s="249"/>
    </row>
    <row r="285" spans="1:21" x14ac:dyDescent="0.25">
      <c r="A285" s="244"/>
      <c r="B285" s="252"/>
      <c r="C285" s="252"/>
      <c r="D285" s="252"/>
      <c r="E285" s="252"/>
      <c r="F285" s="254"/>
      <c r="G285" s="254"/>
      <c r="H285" s="254"/>
      <c r="I285" s="254"/>
      <c r="J285" s="258"/>
      <c r="K285" s="258"/>
      <c r="L285" s="258"/>
      <c r="M285" s="258"/>
      <c r="N285" s="248"/>
      <c r="O285" s="248"/>
      <c r="P285" s="248"/>
      <c r="Q285" s="248"/>
      <c r="R285" s="249"/>
      <c r="S285" s="249"/>
      <c r="T285" s="249"/>
      <c r="U285" s="249"/>
    </row>
    <row r="286" spans="1:21" x14ac:dyDescent="0.25">
      <c r="A286" s="244"/>
      <c r="B286" s="252"/>
      <c r="C286" s="252"/>
      <c r="D286" s="252"/>
      <c r="E286" s="252"/>
      <c r="F286" s="254"/>
      <c r="G286" s="254"/>
      <c r="H286" s="254"/>
      <c r="I286" s="254"/>
      <c r="J286" s="258"/>
      <c r="K286" s="258"/>
      <c r="L286" s="258"/>
      <c r="M286" s="258"/>
      <c r="N286" s="248"/>
      <c r="O286" s="248"/>
      <c r="P286" s="248"/>
      <c r="Q286" s="248"/>
      <c r="R286" s="249"/>
      <c r="S286" s="249"/>
      <c r="T286" s="249"/>
      <c r="U286" s="249"/>
    </row>
    <row r="287" spans="1:21" x14ac:dyDescent="0.25">
      <c r="A287" s="244"/>
      <c r="B287" s="252"/>
      <c r="C287" s="252"/>
      <c r="D287" s="252"/>
      <c r="E287" s="252"/>
      <c r="F287" s="254"/>
      <c r="G287" s="254"/>
      <c r="H287" s="254"/>
      <c r="I287" s="254"/>
      <c r="J287" s="258"/>
      <c r="K287" s="258"/>
      <c r="L287" s="258"/>
      <c r="M287" s="258"/>
      <c r="N287" s="248"/>
      <c r="O287" s="248"/>
      <c r="P287" s="248"/>
      <c r="Q287" s="248"/>
      <c r="R287" s="249"/>
      <c r="S287" s="249"/>
      <c r="T287" s="249"/>
      <c r="U287" s="249"/>
    </row>
    <row r="288" spans="1:21" x14ac:dyDescent="0.25">
      <c r="A288" s="244"/>
      <c r="B288" s="252"/>
      <c r="C288" s="252"/>
      <c r="D288" s="252"/>
      <c r="E288" s="252"/>
      <c r="F288" s="254"/>
      <c r="G288" s="254"/>
      <c r="H288" s="254"/>
      <c r="I288" s="254"/>
      <c r="J288" s="258"/>
      <c r="K288" s="258"/>
      <c r="L288" s="258"/>
      <c r="M288" s="258"/>
      <c r="N288" s="248"/>
      <c r="O288" s="248"/>
      <c r="P288" s="248"/>
      <c r="Q288" s="248"/>
      <c r="R288" s="249"/>
      <c r="S288" s="249"/>
      <c r="T288" s="249"/>
      <c r="U288" s="249"/>
    </row>
    <row r="289" spans="1:21" x14ac:dyDescent="0.25">
      <c r="A289" s="244"/>
      <c r="B289" s="252"/>
      <c r="C289" s="252"/>
      <c r="D289" s="252"/>
      <c r="E289" s="252"/>
      <c r="F289" s="254"/>
      <c r="G289" s="254"/>
      <c r="H289" s="254"/>
      <c r="I289" s="254"/>
      <c r="J289" s="258"/>
      <c r="K289" s="258"/>
      <c r="L289" s="258"/>
      <c r="M289" s="258"/>
      <c r="N289" s="248"/>
      <c r="O289" s="248"/>
      <c r="P289" s="248"/>
      <c r="Q289" s="248"/>
      <c r="R289" s="249"/>
      <c r="S289" s="249"/>
      <c r="T289" s="249"/>
      <c r="U289" s="249"/>
    </row>
    <row r="290" spans="1:21" x14ac:dyDescent="0.25">
      <c r="A290" s="244"/>
      <c r="B290" s="252"/>
      <c r="C290" s="252"/>
      <c r="D290" s="252"/>
      <c r="E290" s="252"/>
      <c r="F290" s="254"/>
      <c r="G290" s="254"/>
      <c r="H290" s="254"/>
      <c r="I290" s="254"/>
      <c r="J290" s="258"/>
      <c r="K290" s="258"/>
      <c r="L290" s="258"/>
      <c r="M290" s="258"/>
      <c r="N290" s="248"/>
      <c r="O290" s="248"/>
      <c r="P290" s="248"/>
      <c r="Q290" s="248"/>
      <c r="R290" s="249"/>
      <c r="S290" s="249"/>
      <c r="T290" s="249"/>
      <c r="U290" s="249"/>
    </row>
    <row r="291" spans="1:21" x14ac:dyDescent="0.25">
      <c r="A291" s="244"/>
      <c r="B291" s="252"/>
      <c r="C291" s="252"/>
      <c r="D291" s="252"/>
      <c r="E291" s="252"/>
      <c r="F291" s="254"/>
      <c r="G291" s="254"/>
      <c r="H291" s="254"/>
      <c r="I291" s="254"/>
      <c r="J291" s="258"/>
      <c r="K291" s="258"/>
      <c r="L291" s="258"/>
      <c r="M291" s="258"/>
      <c r="N291" s="248"/>
      <c r="O291" s="248"/>
      <c r="P291" s="248"/>
      <c r="Q291" s="248"/>
      <c r="R291" s="249"/>
      <c r="S291" s="249"/>
      <c r="T291" s="249"/>
      <c r="U291" s="249"/>
    </row>
    <row r="292" spans="1:21" x14ac:dyDescent="0.25">
      <c r="A292" s="244"/>
      <c r="B292" s="252"/>
      <c r="C292" s="252"/>
      <c r="D292" s="252"/>
      <c r="E292" s="252"/>
      <c r="F292" s="254"/>
      <c r="G292" s="254"/>
      <c r="H292" s="254"/>
      <c r="I292" s="254"/>
      <c r="J292" s="258"/>
      <c r="K292" s="258"/>
      <c r="L292" s="258"/>
      <c r="M292" s="258"/>
      <c r="N292" s="248"/>
      <c r="O292" s="248"/>
      <c r="P292" s="248"/>
      <c r="Q292" s="248"/>
      <c r="R292" s="249"/>
      <c r="S292" s="249"/>
      <c r="T292" s="249"/>
      <c r="U292" s="249"/>
    </row>
    <row r="293" spans="1:21" x14ac:dyDescent="0.25">
      <c r="A293" s="244"/>
      <c r="B293" s="252"/>
      <c r="C293" s="252"/>
      <c r="D293" s="252"/>
      <c r="E293" s="252"/>
      <c r="F293" s="254"/>
      <c r="G293" s="254"/>
      <c r="H293" s="254"/>
      <c r="I293" s="254"/>
      <c r="J293" s="258"/>
      <c r="K293" s="258"/>
      <c r="L293" s="258"/>
      <c r="M293" s="258"/>
      <c r="N293" s="248"/>
      <c r="O293" s="248"/>
      <c r="P293" s="248"/>
      <c r="Q293" s="248"/>
      <c r="R293" s="249"/>
      <c r="S293" s="249"/>
      <c r="T293" s="249"/>
      <c r="U293" s="249"/>
    </row>
    <row r="294" spans="1:21" x14ac:dyDescent="0.25">
      <c r="A294" s="244"/>
      <c r="B294" s="252"/>
      <c r="C294" s="252"/>
      <c r="D294" s="252"/>
      <c r="E294" s="252"/>
      <c r="F294" s="254"/>
      <c r="G294" s="254"/>
      <c r="H294" s="254"/>
      <c r="I294" s="254"/>
      <c r="J294" s="258"/>
      <c r="K294" s="258"/>
      <c r="L294" s="258"/>
      <c r="M294" s="258"/>
      <c r="N294" s="248"/>
      <c r="O294" s="248"/>
      <c r="P294" s="248"/>
      <c r="Q294" s="248"/>
      <c r="R294" s="249"/>
      <c r="S294" s="249"/>
      <c r="T294" s="249"/>
      <c r="U294" s="249"/>
    </row>
    <row r="295" spans="1:21" x14ac:dyDescent="0.25">
      <c r="A295" s="244"/>
      <c r="B295" s="252"/>
      <c r="C295" s="252"/>
      <c r="D295" s="252"/>
      <c r="E295" s="252"/>
      <c r="F295" s="254"/>
      <c r="G295" s="254"/>
      <c r="H295" s="254"/>
      <c r="I295" s="254"/>
      <c r="J295" s="258"/>
      <c r="K295" s="258"/>
      <c r="L295" s="258"/>
      <c r="M295" s="258"/>
      <c r="N295" s="248"/>
      <c r="O295" s="248"/>
      <c r="P295" s="248"/>
      <c r="Q295" s="248"/>
      <c r="R295" s="249"/>
      <c r="S295" s="249"/>
      <c r="T295" s="249"/>
      <c r="U295" s="249"/>
    </row>
    <row r="296" spans="1:21" x14ac:dyDescent="0.25">
      <c r="A296" s="244"/>
      <c r="B296" s="252"/>
      <c r="C296" s="252"/>
      <c r="D296" s="252"/>
      <c r="E296" s="252"/>
      <c r="F296" s="254"/>
      <c r="G296" s="254"/>
      <c r="H296" s="254"/>
      <c r="I296" s="254"/>
      <c r="J296" s="258"/>
      <c r="K296" s="258"/>
      <c r="L296" s="258"/>
      <c r="M296" s="258"/>
      <c r="N296" s="248"/>
      <c r="O296" s="248"/>
      <c r="P296" s="248"/>
      <c r="Q296" s="248"/>
      <c r="R296" s="249"/>
      <c r="S296" s="249"/>
      <c r="T296" s="249"/>
      <c r="U296" s="249"/>
    </row>
    <row r="297" spans="1:21" x14ac:dyDescent="0.25">
      <c r="A297" s="244"/>
      <c r="B297" s="252"/>
      <c r="C297" s="252"/>
      <c r="D297" s="252"/>
      <c r="E297" s="252"/>
      <c r="F297" s="254"/>
      <c r="G297" s="254"/>
      <c r="H297" s="254"/>
      <c r="I297" s="254"/>
      <c r="J297" s="258"/>
      <c r="K297" s="258"/>
      <c r="L297" s="258"/>
      <c r="M297" s="258"/>
      <c r="N297" s="248"/>
      <c r="O297" s="248"/>
      <c r="P297" s="248"/>
      <c r="Q297" s="248"/>
      <c r="R297" s="249"/>
      <c r="S297" s="249"/>
      <c r="T297" s="249"/>
      <c r="U297" s="249"/>
    </row>
    <row r="298" spans="1:21" x14ac:dyDescent="0.25">
      <c r="A298" s="244"/>
      <c r="B298" s="252"/>
      <c r="C298" s="252"/>
      <c r="D298" s="252"/>
      <c r="E298" s="252"/>
      <c r="F298" s="254"/>
      <c r="G298" s="254"/>
      <c r="H298" s="254"/>
      <c r="I298" s="254"/>
      <c r="J298" s="258"/>
      <c r="K298" s="258"/>
      <c r="L298" s="258"/>
      <c r="M298" s="258"/>
      <c r="N298" s="248"/>
      <c r="O298" s="248"/>
      <c r="P298" s="248"/>
      <c r="Q298" s="248"/>
      <c r="R298" s="249"/>
      <c r="S298" s="249"/>
      <c r="T298" s="249"/>
      <c r="U298" s="249"/>
    </row>
    <row r="299" spans="1:21" x14ac:dyDescent="0.25">
      <c r="A299" s="244"/>
      <c r="B299" s="252"/>
      <c r="C299" s="252"/>
      <c r="D299" s="252"/>
      <c r="E299" s="252"/>
      <c r="F299" s="254"/>
      <c r="G299" s="254"/>
      <c r="H299" s="254"/>
      <c r="I299" s="254"/>
      <c r="J299" s="258"/>
      <c r="K299" s="258"/>
      <c r="L299" s="258"/>
      <c r="M299" s="258"/>
      <c r="N299" s="248"/>
      <c r="O299" s="248"/>
      <c r="P299" s="248"/>
      <c r="Q299" s="248"/>
      <c r="R299" s="249"/>
      <c r="S299" s="249"/>
      <c r="T299" s="249"/>
      <c r="U299" s="249"/>
    </row>
    <row r="300" spans="1:21" x14ac:dyDescent="0.25">
      <c r="A300" s="244"/>
      <c r="B300" s="252"/>
      <c r="C300" s="252"/>
      <c r="D300" s="252"/>
      <c r="E300" s="252"/>
      <c r="F300" s="254"/>
      <c r="G300" s="254"/>
      <c r="H300" s="254"/>
      <c r="I300" s="254"/>
      <c r="J300" s="258"/>
      <c r="K300" s="258"/>
      <c r="L300" s="258"/>
      <c r="M300" s="258"/>
      <c r="N300" s="248"/>
      <c r="O300" s="248"/>
      <c r="P300" s="248"/>
      <c r="Q300" s="248"/>
      <c r="R300" s="249"/>
      <c r="S300" s="249"/>
      <c r="T300" s="249"/>
      <c r="U300" s="249"/>
    </row>
    <row r="301" spans="1:21" x14ac:dyDescent="0.25">
      <c r="A301" s="244"/>
      <c r="B301" s="252"/>
      <c r="C301" s="252"/>
      <c r="D301" s="252"/>
      <c r="E301" s="252"/>
      <c r="F301" s="254"/>
      <c r="G301" s="254"/>
      <c r="H301" s="254"/>
      <c r="I301" s="254"/>
      <c r="J301" s="258"/>
      <c r="K301" s="258"/>
      <c r="L301" s="258"/>
      <c r="M301" s="258"/>
      <c r="N301" s="248"/>
      <c r="O301" s="248"/>
      <c r="P301" s="248"/>
      <c r="Q301" s="248"/>
      <c r="R301" s="249"/>
      <c r="S301" s="249"/>
      <c r="T301" s="249"/>
      <c r="U301" s="249"/>
    </row>
    <row r="302" spans="1:21" x14ac:dyDescent="0.25">
      <c r="A302" s="244"/>
      <c r="B302" s="252"/>
      <c r="C302" s="252"/>
      <c r="D302" s="252"/>
      <c r="E302" s="252"/>
      <c r="F302" s="254"/>
      <c r="G302" s="254"/>
      <c r="H302" s="254"/>
      <c r="I302" s="254"/>
      <c r="J302" s="258"/>
      <c r="K302" s="258"/>
      <c r="L302" s="258"/>
      <c r="M302" s="258"/>
      <c r="N302" s="248"/>
      <c r="O302" s="248"/>
      <c r="P302" s="248"/>
      <c r="Q302" s="248"/>
      <c r="R302" s="249"/>
      <c r="S302" s="249"/>
      <c r="T302" s="249"/>
      <c r="U302" s="249"/>
    </row>
    <row r="303" spans="1:21" x14ac:dyDescent="0.25">
      <c r="A303" s="244"/>
      <c r="B303" s="252"/>
      <c r="C303" s="252"/>
      <c r="D303" s="252"/>
      <c r="E303" s="252"/>
      <c r="F303" s="254"/>
      <c r="G303" s="254"/>
      <c r="H303" s="254"/>
      <c r="I303" s="254"/>
      <c r="J303" s="258"/>
      <c r="K303" s="258"/>
      <c r="L303" s="258"/>
      <c r="M303" s="258"/>
      <c r="N303" s="248"/>
      <c r="O303" s="248"/>
      <c r="P303" s="248"/>
      <c r="Q303" s="248"/>
      <c r="R303" s="249"/>
      <c r="S303" s="249"/>
      <c r="T303" s="249"/>
      <c r="U303" s="249"/>
    </row>
    <row r="304" spans="1:21" x14ac:dyDescent="0.25">
      <c r="A304" s="244"/>
      <c r="B304" s="252"/>
      <c r="C304" s="252"/>
      <c r="D304" s="252"/>
      <c r="E304" s="252"/>
      <c r="F304" s="254"/>
      <c r="G304" s="254"/>
      <c r="H304" s="254"/>
      <c r="I304" s="254"/>
      <c r="J304" s="258"/>
      <c r="K304" s="258"/>
      <c r="L304" s="258"/>
      <c r="M304" s="258"/>
      <c r="N304" s="248"/>
      <c r="O304" s="248"/>
      <c r="P304" s="248"/>
      <c r="Q304" s="248"/>
      <c r="R304" s="249"/>
      <c r="S304" s="249"/>
      <c r="T304" s="249"/>
      <c r="U304" s="249"/>
    </row>
    <row r="305" spans="1:21" x14ac:dyDescent="0.25">
      <c r="A305" s="244"/>
      <c r="B305" s="252"/>
      <c r="C305" s="252"/>
      <c r="D305" s="252"/>
      <c r="E305" s="252"/>
      <c r="F305" s="254"/>
      <c r="G305" s="254"/>
      <c r="H305" s="254"/>
      <c r="I305" s="254"/>
      <c r="J305" s="258"/>
      <c r="K305" s="258"/>
      <c r="L305" s="258"/>
      <c r="M305" s="258"/>
      <c r="N305" s="248"/>
      <c r="O305" s="248"/>
      <c r="P305" s="248"/>
      <c r="Q305" s="248"/>
      <c r="R305" s="249"/>
      <c r="S305" s="249"/>
      <c r="T305" s="249"/>
      <c r="U305" s="249"/>
    </row>
    <row r="306" spans="1:21" x14ac:dyDescent="0.25">
      <c r="A306" s="244"/>
      <c r="B306" s="252"/>
      <c r="C306" s="252"/>
      <c r="D306" s="252"/>
      <c r="E306" s="252"/>
      <c r="F306" s="254"/>
      <c r="G306" s="254"/>
      <c r="H306" s="254"/>
      <c r="I306" s="254"/>
      <c r="J306" s="258"/>
      <c r="K306" s="258"/>
      <c r="L306" s="258"/>
      <c r="M306" s="258"/>
      <c r="N306" s="248"/>
      <c r="O306" s="248"/>
      <c r="P306" s="248"/>
      <c r="Q306" s="248"/>
      <c r="R306" s="249"/>
      <c r="S306" s="249"/>
      <c r="T306" s="249"/>
      <c r="U306" s="249"/>
    </row>
    <row r="307" spans="1:21" x14ac:dyDescent="0.25">
      <c r="A307" s="244"/>
      <c r="B307" s="252"/>
      <c r="C307" s="252"/>
      <c r="D307" s="252"/>
      <c r="E307" s="252"/>
      <c r="F307" s="254"/>
      <c r="G307" s="254"/>
      <c r="H307" s="254"/>
      <c r="I307" s="254"/>
      <c r="J307" s="258"/>
      <c r="K307" s="258"/>
      <c r="L307" s="258"/>
      <c r="M307" s="258"/>
      <c r="N307" s="248"/>
      <c r="O307" s="248"/>
      <c r="P307" s="248"/>
      <c r="Q307" s="248"/>
      <c r="R307" s="249"/>
      <c r="S307" s="249"/>
      <c r="T307" s="249"/>
      <c r="U307" s="249"/>
    </row>
    <row r="308" spans="1:21" x14ac:dyDescent="0.25">
      <c r="A308" s="244"/>
      <c r="B308" s="252"/>
      <c r="C308" s="252"/>
      <c r="D308" s="252"/>
      <c r="E308" s="252"/>
      <c r="F308" s="254"/>
      <c r="G308" s="254"/>
      <c r="H308" s="254"/>
      <c r="I308" s="254"/>
      <c r="J308" s="258"/>
      <c r="K308" s="258"/>
      <c r="L308" s="258"/>
      <c r="M308" s="258"/>
      <c r="N308" s="248"/>
      <c r="O308" s="248"/>
      <c r="P308" s="248"/>
      <c r="Q308" s="248"/>
      <c r="R308" s="249"/>
      <c r="S308" s="249"/>
      <c r="T308" s="249"/>
      <c r="U308" s="249"/>
    </row>
    <row r="309" spans="1:21" x14ac:dyDescent="0.25">
      <c r="A309" s="244"/>
      <c r="B309" s="252"/>
      <c r="C309" s="252"/>
      <c r="D309" s="252"/>
      <c r="E309" s="252"/>
      <c r="F309" s="254"/>
      <c r="G309" s="254"/>
      <c r="H309" s="254"/>
      <c r="I309" s="254"/>
      <c r="J309" s="258"/>
      <c r="K309" s="258"/>
      <c r="L309" s="258"/>
      <c r="M309" s="258"/>
      <c r="N309" s="248"/>
      <c r="O309" s="248"/>
      <c r="P309" s="248"/>
      <c r="Q309" s="248"/>
      <c r="R309" s="249"/>
      <c r="S309" s="249"/>
      <c r="T309" s="249"/>
      <c r="U309" s="249"/>
    </row>
    <row r="310" spans="1:21" x14ac:dyDescent="0.25">
      <c r="A310" s="244"/>
      <c r="B310" s="252"/>
      <c r="C310" s="252"/>
      <c r="D310" s="252"/>
      <c r="E310" s="252"/>
      <c r="F310" s="254"/>
      <c r="G310" s="254"/>
      <c r="H310" s="254"/>
      <c r="I310" s="254"/>
      <c r="J310" s="258"/>
      <c r="K310" s="258"/>
      <c r="L310" s="258"/>
      <c r="M310" s="258"/>
      <c r="N310" s="248"/>
      <c r="O310" s="248"/>
      <c r="P310" s="248"/>
      <c r="Q310" s="248"/>
      <c r="R310" s="249"/>
      <c r="S310" s="249"/>
      <c r="T310" s="249"/>
      <c r="U310" s="249"/>
    </row>
    <row r="311" spans="1:21" x14ac:dyDescent="0.25">
      <c r="A311" s="244"/>
      <c r="B311" s="252"/>
      <c r="C311" s="252"/>
      <c r="D311" s="252"/>
      <c r="E311" s="252"/>
      <c r="F311" s="254"/>
      <c r="G311" s="254"/>
      <c r="H311" s="254"/>
      <c r="I311" s="254"/>
      <c r="J311" s="258"/>
      <c r="K311" s="258"/>
      <c r="L311" s="258"/>
      <c r="M311" s="258"/>
      <c r="N311" s="248"/>
      <c r="O311" s="248"/>
      <c r="P311" s="248"/>
      <c r="Q311" s="248"/>
      <c r="R311" s="249"/>
      <c r="S311" s="249"/>
      <c r="T311" s="249"/>
      <c r="U311" s="249"/>
    </row>
    <row r="312" spans="1:21" x14ac:dyDescent="0.25">
      <c r="A312" s="244"/>
      <c r="B312" s="252"/>
      <c r="C312" s="252"/>
      <c r="D312" s="252"/>
      <c r="E312" s="252"/>
      <c r="F312" s="254"/>
      <c r="G312" s="254"/>
      <c r="H312" s="254"/>
      <c r="I312" s="254"/>
      <c r="J312" s="258"/>
      <c r="K312" s="258"/>
      <c r="L312" s="258"/>
      <c r="M312" s="258"/>
      <c r="N312" s="248"/>
      <c r="O312" s="248"/>
      <c r="P312" s="248"/>
      <c r="Q312" s="248"/>
      <c r="R312" s="249"/>
      <c r="S312" s="249"/>
      <c r="T312" s="249"/>
      <c r="U312" s="249"/>
    </row>
    <row r="313" spans="1:21" x14ac:dyDescent="0.25">
      <c r="A313" s="244"/>
      <c r="B313" s="252"/>
      <c r="C313" s="252"/>
      <c r="D313" s="252"/>
      <c r="E313" s="252"/>
      <c r="F313" s="254"/>
      <c r="G313" s="254"/>
      <c r="H313" s="254"/>
      <c r="I313" s="254"/>
      <c r="J313" s="258"/>
      <c r="K313" s="258"/>
      <c r="L313" s="258"/>
      <c r="M313" s="258"/>
      <c r="N313" s="248"/>
      <c r="O313" s="248"/>
      <c r="P313" s="248"/>
      <c r="Q313" s="248"/>
      <c r="R313" s="249"/>
      <c r="S313" s="249"/>
      <c r="T313" s="249"/>
      <c r="U313" s="249"/>
    </row>
    <row r="314" spans="1:21" x14ac:dyDescent="0.25">
      <c r="A314" s="244"/>
      <c r="B314" s="252"/>
      <c r="C314" s="252"/>
      <c r="D314" s="252"/>
      <c r="E314" s="252"/>
      <c r="F314" s="254"/>
      <c r="G314" s="254"/>
      <c r="H314" s="254"/>
      <c r="I314" s="254"/>
      <c r="J314" s="258"/>
      <c r="K314" s="258"/>
      <c r="L314" s="258"/>
      <c r="M314" s="258"/>
      <c r="N314" s="248"/>
      <c r="O314" s="248"/>
      <c r="P314" s="248"/>
      <c r="Q314" s="248"/>
      <c r="R314" s="249"/>
      <c r="S314" s="249"/>
      <c r="T314" s="249"/>
      <c r="U314" s="249"/>
    </row>
    <row r="315" spans="1:21" x14ac:dyDescent="0.25">
      <c r="A315" s="244"/>
      <c r="B315" s="252"/>
      <c r="C315" s="252"/>
      <c r="D315" s="252"/>
      <c r="E315" s="252"/>
      <c r="F315" s="254"/>
      <c r="G315" s="254"/>
      <c r="H315" s="254"/>
      <c r="I315" s="254"/>
      <c r="J315" s="258"/>
      <c r="K315" s="258"/>
      <c r="L315" s="258"/>
      <c r="M315" s="258"/>
      <c r="N315" s="248"/>
      <c r="O315" s="248"/>
      <c r="P315" s="248"/>
      <c r="Q315" s="248"/>
      <c r="R315" s="249"/>
      <c r="S315" s="249"/>
      <c r="T315" s="249"/>
      <c r="U315" s="249"/>
    </row>
    <row r="316" spans="1:21" x14ac:dyDescent="0.25">
      <c r="A316" s="244"/>
      <c r="B316" s="252"/>
      <c r="C316" s="252"/>
      <c r="D316" s="252"/>
      <c r="E316" s="252"/>
      <c r="F316" s="254"/>
      <c r="G316" s="254"/>
      <c r="H316" s="254"/>
      <c r="I316" s="254"/>
      <c r="J316" s="258"/>
      <c r="K316" s="258"/>
      <c r="L316" s="258"/>
      <c r="M316" s="258"/>
      <c r="N316" s="248"/>
      <c r="O316" s="248"/>
      <c r="P316" s="248"/>
      <c r="Q316" s="248"/>
      <c r="R316" s="249"/>
      <c r="S316" s="249"/>
      <c r="T316" s="249"/>
      <c r="U316" s="249"/>
    </row>
    <row r="317" spans="1:21" x14ac:dyDescent="0.25">
      <c r="A317" s="244"/>
      <c r="B317" s="252"/>
      <c r="C317" s="252"/>
      <c r="D317" s="252"/>
      <c r="E317" s="252"/>
      <c r="F317" s="254"/>
      <c r="G317" s="254"/>
      <c r="H317" s="254"/>
      <c r="I317" s="254"/>
      <c r="J317" s="258"/>
      <c r="K317" s="258"/>
      <c r="L317" s="258"/>
      <c r="M317" s="258"/>
      <c r="N317" s="248"/>
      <c r="O317" s="248"/>
      <c r="P317" s="248"/>
      <c r="Q317" s="248"/>
      <c r="R317" s="249"/>
      <c r="S317" s="249"/>
      <c r="T317" s="249"/>
      <c r="U317" s="249"/>
    </row>
    <row r="318" spans="1:21" x14ac:dyDescent="0.25">
      <c r="A318" s="244"/>
      <c r="B318" s="252"/>
      <c r="C318" s="252"/>
      <c r="D318" s="252"/>
      <c r="E318" s="252"/>
      <c r="F318" s="254"/>
      <c r="G318" s="254"/>
      <c r="H318" s="254"/>
      <c r="I318" s="254"/>
      <c r="J318" s="258"/>
      <c r="K318" s="258"/>
      <c r="L318" s="258"/>
      <c r="M318" s="258"/>
      <c r="N318" s="248"/>
      <c r="O318" s="248"/>
      <c r="P318" s="248"/>
      <c r="Q318" s="248"/>
      <c r="R318" s="249"/>
      <c r="S318" s="249"/>
      <c r="T318" s="249"/>
      <c r="U318" s="249"/>
    </row>
    <row r="319" spans="1:21" x14ac:dyDescent="0.25">
      <c r="A319" s="244"/>
      <c r="B319" s="252"/>
      <c r="C319" s="252"/>
      <c r="D319" s="252"/>
      <c r="E319" s="252"/>
      <c r="F319" s="254"/>
      <c r="G319" s="254"/>
      <c r="H319" s="254"/>
      <c r="I319" s="254"/>
      <c r="J319" s="258"/>
      <c r="K319" s="258"/>
      <c r="L319" s="258"/>
      <c r="M319" s="258"/>
      <c r="N319" s="248"/>
      <c r="O319" s="248"/>
      <c r="P319" s="248"/>
      <c r="Q319" s="248"/>
      <c r="R319" s="249"/>
      <c r="S319" s="249"/>
      <c r="T319" s="249"/>
      <c r="U319" s="249"/>
    </row>
    <row r="320" spans="1:21" x14ac:dyDescent="0.25">
      <c r="A320" s="244"/>
      <c r="B320" s="252"/>
      <c r="C320" s="252"/>
      <c r="D320" s="252"/>
      <c r="E320" s="252"/>
      <c r="F320" s="254"/>
      <c r="G320" s="254"/>
      <c r="H320" s="254"/>
      <c r="I320" s="254"/>
      <c r="J320" s="258"/>
      <c r="K320" s="258"/>
      <c r="L320" s="258"/>
      <c r="M320" s="258"/>
      <c r="N320" s="248"/>
      <c r="O320" s="248"/>
      <c r="P320" s="248"/>
      <c r="Q320" s="248"/>
      <c r="R320" s="249"/>
      <c r="S320" s="249"/>
      <c r="T320" s="249"/>
      <c r="U320" s="249"/>
    </row>
    <row r="321" spans="1:21" x14ac:dyDescent="0.25">
      <c r="A321" s="244"/>
      <c r="B321" s="252"/>
      <c r="C321" s="252"/>
      <c r="D321" s="252"/>
      <c r="E321" s="252"/>
      <c r="F321" s="254"/>
      <c r="G321" s="254"/>
      <c r="H321" s="254"/>
      <c r="I321" s="254"/>
      <c r="J321" s="258"/>
      <c r="K321" s="258"/>
      <c r="L321" s="258"/>
      <c r="M321" s="258"/>
      <c r="N321" s="248"/>
      <c r="O321" s="248"/>
      <c r="P321" s="248"/>
      <c r="Q321" s="248"/>
      <c r="R321" s="249"/>
      <c r="S321" s="249"/>
      <c r="T321" s="249"/>
      <c r="U321" s="249"/>
    </row>
    <row r="322" spans="1:21" x14ac:dyDescent="0.25">
      <c r="A322" s="244"/>
      <c r="B322" s="252"/>
      <c r="C322" s="252"/>
      <c r="D322" s="252"/>
      <c r="E322" s="252"/>
      <c r="F322" s="254"/>
      <c r="G322" s="254"/>
      <c r="H322" s="254"/>
      <c r="I322" s="254"/>
      <c r="J322" s="258"/>
      <c r="K322" s="258"/>
      <c r="L322" s="258"/>
      <c r="M322" s="258"/>
      <c r="N322" s="248"/>
      <c r="O322" s="248"/>
      <c r="P322" s="248"/>
      <c r="Q322" s="248"/>
      <c r="R322" s="249"/>
      <c r="S322" s="249"/>
      <c r="T322" s="249"/>
      <c r="U322" s="249"/>
    </row>
    <row r="323" spans="1:21" x14ac:dyDescent="0.25">
      <c r="A323" s="244"/>
      <c r="B323" s="252"/>
      <c r="C323" s="252"/>
      <c r="D323" s="252"/>
      <c r="E323" s="252"/>
      <c r="F323" s="254"/>
      <c r="G323" s="254"/>
      <c r="H323" s="254"/>
      <c r="I323" s="254"/>
      <c r="J323" s="258"/>
      <c r="K323" s="258"/>
      <c r="L323" s="258"/>
      <c r="M323" s="258"/>
      <c r="N323" s="248"/>
      <c r="O323" s="248"/>
      <c r="P323" s="248"/>
      <c r="Q323" s="248"/>
      <c r="R323" s="249"/>
      <c r="S323" s="249"/>
      <c r="T323" s="249"/>
      <c r="U323" s="249"/>
    </row>
    <row r="324" spans="1:21" x14ac:dyDescent="0.25">
      <c r="A324" s="244"/>
      <c r="B324" s="252"/>
      <c r="C324" s="252"/>
      <c r="D324" s="252"/>
      <c r="E324" s="252"/>
      <c r="F324" s="254"/>
      <c r="G324" s="254"/>
      <c r="H324" s="254"/>
      <c r="I324" s="254"/>
      <c r="J324" s="258"/>
      <c r="K324" s="258"/>
      <c r="L324" s="258"/>
      <c r="M324" s="258"/>
      <c r="N324" s="248"/>
      <c r="O324" s="248"/>
      <c r="P324" s="248"/>
      <c r="Q324" s="248"/>
      <c r="R324" s="249"/>
      <c r="S324" s="249"/>
      <c r="T324" s="249"/>
      <c r="U324" s="249"/>
    </row>
    <row r="325" spans="1:21" x14ac:dyDescent="0.25">
      <c r="A325" s="244"/>
      <c r="B325" s="252"/>
      <c r="C325" s="252"/>
      <c r="D325" s="252"/>
      <c r="E325" s="252"/>
      <c r="F325" s="254"/>
      <c r="G325" s="254"/>
      <c r="H325" s="254"/>
      <c r="I325" s="254"/>
      <c r="J325" s="258"/>
      <c r="K325" s="258"/>
      <c r="L325" s="258"/>
      <c r="M325" s="258"/>
      <c r="N325" s="248"/>
      <c r="O325" s="248"/>
      <c r="P325" s="248"/>
      <c r="Q325" s="248"/>
      <c r="R325" s="249"/>
      <c r="S325" s="249"/>
      <c r="T325" s="249"/>
      <c r="U325" s="249"/>
    </row>
    <row r="326" spans="1:21" x14ac:dyDescent="0.25">
      <c r="A326" s="244"/>
      <c r="B326" s="252"/>
      <c r="C326" s="252"/>
      <c r="D326" s="252"/>
      <c r="E326" s="252"/>
      <c r="F326" s="254"/>
      <c r="G326" s="254"/>
      <c r="H326" s="254"/>
      <c r="I326" s="254"/>
      <c r="J326" s="258"/>
      <c r="K326" s="258"/>
      <c r="L326" s="258"/>
      <c r="M326" s="258"/>
      <c r="N326" s="248"/>
      <c r="O326" s="248"/>
      <c r="P326" s="248"/>
      <c r="Q326" s="248"/>
      <c r="R326" s="249"/>
      <c r="S326" s="249"/>
      <c r="T326" s="249"/>
      <c r="U326" s="249"/>
    </row>
    <row r="327" spans="1:21" x14ac:dyDescent="0.25">
      <c r="A327" s="244"/>
      <c r="B327" s="252"/>
      <c r="C327" s="252"/>
      <c r="D327" s="252"/>
      <c r="E327" s="252"/>
      <c r="F327" s="254"/>
      <c r="G327" s="254"/>
      <c r="H327" s="254"/>
      <c r="I327" s="254"/>
      <c r="J327" s="258"/>
      <c r="K327" s="258"/>
      <c r="L327" s="258"/>
      <c r="M327" s="258"/>
      <c r="N327" s="248"/>
      <c r="O327" s="248"/>
      <c r="P327" s="248"/>
      <c r="Q327" s="248"/>
      <c r="R327" s="249"/>
      <c r="S327" s="249"/>
      <c r="T327" s="249"/>
      <c r="U327" s="249"/>
    </row>
    <row r="328" spans="1:21" x14ac:dyDescent="0.25">
      <c r="A328" s="244"/>
      <c r="B328" s="252"/>
      <c r="C328" s="252"/>
      <c r="D328" s="252"/>
      <c r="E328" s="252"/>
      <c r="F328" s="254"/>
      <c r="G328" s="254"/>
      <c r="H328" s="254"/>
      <c r="I328" s="254"/>
      <c r="J328" s="258"/>
      <c r="K328" s="258"/>
      <c r="L328" s="258"/>
      <c r="M328" s="258"/>
      <c r="N328" s="248"/>
      <c r="O328" s="248"/>
      <c r="P328" s="248"/>
      <c r="Q328" s="248"/>
      <c r="R328" s="249"/>
      <c r="S328" s="249"/>
      <c r="T328" s="249"/>
      <c r="U328" s="249"/>
    </row>
    <row r="329" spans="1:21" x14ac:dyDescent="0.25">
      <c r="A329" s="244"/>
      <c r="B329" s="252"/>
      <c r="C329" s="252"/>
      <c r="D329" s="252"/>
      <c r="E329" s="252"/>
      <c r="F329" s="254"/>
      <c r="G329" s="254"/>
      <c r="H329" s="254"/>
      <c r="I329" s="254"/>
      <c r="J329" s="258"/>
      <c r="K329" s="258"/>
      <c r="L329" s="258"/>
      <c r="M329" s="258"/>
      <c r="N329" s="248"/>
      <c r="O329" s="248"/>
      <c r="P329" s="248"/>
      <c r="Q329" s="248"/>
      <c r="R329" s="249"/>
      <c r="S329" s="249"/>
      <c r="T329" s="249"/>
      <c r="U329" s="249"/>
    </row>
    <row r="330" spans="1:21" x14ac:dyDescent="0.25">
      <c r="A330" s="244"/>
      <c r="B330" s="252"/>
      <c r="C330" s="252"/>
      <c r="D330" s="252"/>
      <c r="E330" s="252"/>
      <c r="F330" s="254"/>
      <c r="G330" s="254"/>
      <c r="H330" s="254"/>
      <c r="I330" s="254"/>
      <c r="J330" s="258"/>
      <c r="K330" s="258"/>
      <c r="L330" s="258"/>
      <c r="M330" s="258"/>
      <c r="N330" s="248"/>
      <c r="O330" s="248"/>
      <c r="P330" s="248"/>
      <c r="Q330" s="248"/>
      <c r="R330" s="249"/>
      <c r="S330" s="249"/>
      <c r="T330" s="249"/>
      <c r="U330" s="249"/>
    </row>
    <row r="331" spans="1:21" x14ac:dyDescent="0.25">
      <c r="A331" s="244"/>
      <c r="B331" s="252"/>
      <c r="C331" s="252"/>
      <c r="D331" s="252"/>
      <c r="E331" s="252"/>
      <c r="F331" s="254"/>
      <c r="G331" s="254"/>
      <c r="H331" s="254"/>
      <c r="I331" s="254"/>
      <c r="J331" s="258"/>
      <c r="K331" s="258"/>
      <c r="L331" s="258"/>
      <c r="M331" s="258"/>
      <c r="N331" s="248"/>
      <c r="O331" s="248"/>
      <c r="P331" s="248"/>
      <c r="Q331" s="248"/>
      <c r="R331" s="249"/>
      <c r="S331" s="249"/>
      <c r="T331" s="249"/>
      <c r="U331" s="249"/>
    </row>
    <row r="332" spans="1:21" x14ac:dyDescent="0.25">
      <c r="A332" s="244"/>
      <c r="B332" s="252"/>
      <c r="C332" s="252"/>
      <c r="D332" s="252"/>
      <c r="E332" s="252"/>
      <c r="F332" s="254"/>
      <c r="G332" s="254"/>
      <c r="H332" s="254"/>
      <c r="I332" s="254"/>
      <c r="J332" s="258"/>
      <c r="K332" s="258"/>
      <c r="L332" s="258"/>
      <c r="M332" s="258"/>
      <c r="N332" s="248"/>
      <c r="O332" s="248"/>
      <c r="P332" s="248"/>
      <c r="Q332" s="248"/>
      <c r="R332" s="249"/>
      <c r="S332" s="249"/>
      <c r="T332" s="249"/>
      <c r="U332" s="249"/>
    </row>
    <row r="333" spans="1:21" x14ac:dyDescent="0.25">
      <c r="A333" s="244"/>
      <c r="B333" s="252"/>
      <c r="C333" s="252"/>
      <c r="D333" s="252"/>
      <c r="E333" s="252"/>
      <c r="F333" s="254"/>
      <c r="G333" s="254"/>
      <c r="H333" s="254"/>
      <c r="I333" s="254"/>
      <c r="J333" s="258"/>
      <c r="K333" s="258"/>
      <c r="L333" s="258"/>
      <c r="M333" s="258"/>
      <c r="N333" s="248"/>
      <c r="O333" s="248"/>
      <c r="P333" s="248"/>
      <c r="Q333" s="248"/>
      <c r="R333" s="249"/>
      <c r="S333" s="249"/>
      <c r="T333" s="249"/>
      <c r="U333" s="249"/>
    </row>
    <row r="334" spans="1:21" x14ac:dyDescent="0.25">
      <c r="A334" s="244"/>
      <c r="B334" s="252"/>
      <c r="C334" s="252"/>
      <c r="D334" s="252"/>
      <c r="E334" s="252"/>
      <c r="F334" s="254"/>
      <c r="G334" s="254"/>
      <c r="H334" s="254"/>
      <c r="I334" s="254"/>
      <c r="J334" s="258"/>
      <c r="K334" s="258"/>
      <c r="L334" s="258"/>
      <c r="M334" s="258"/>
      <c r="N334" s="248"/>
      <c r="O334" s="248"/>
      <c r="P334" s="248"/>
      <c r="Q334" s="248"/>
      <c r="R334" s="249"/>
      <c r="S334" s="249"/>
      <c r="T334" s="249"/>
      <c r="U334" s="249"/>
    </row>
    <row r="335" spans="1:21" x14ac:dyDescent="0.25">
      <c r="A335" s="244"/>
      <c r="B335" s="252"/>
      <c r="C335" s="252"/>
      <c r="D335" s="252"/>
      <c r="E335" s="252"/>
      <c r="F335" s="254"/>
      <c r="G335" s="254"/>
      <c r="H335" s="254"/>
      <c r="I335" s="254"/>
      <c r="J335" s="258"/>
      <c r="K335" s="258"/>
      <c r="L335" s="258"/>
      <c r="M335" s="258"/>
      <c r="N335" s="248"/>
      <c r="O335" s="248"/>
      <c r="P335" s="248"/>
      <c r="Q335" s="248"/>
      <c r="R335" s="249"/>
      <c r="S335" s="249"/>
      <c r="T335" s="249"/>
      <c r="U335" s="249"/>
    </row>
    <row r="336" spans="1:21" x14ac:dyDescent="0.25">
      <c r="A336" s="244"/>
      <c r="B336" s="252"/>
      <c r="C336" s="252"/>
      <c r="D336" s="252"/>
      <c r="E336" s="252"/>
      <c r="F336" s="254"/>
      <c r="G336" s="254"/>
      <c r="H336" s="254"/>
      <c r="I336" s="254"/>
      <c r="J336" s="258"/>
      <c r="K336" s="258"/>
      <c r="L336" s="258"/>
      <c r="M336" s="258"/>
      <c r="N336" s="248"/>
      <c r="O336" s="248"/>
      <c r="P336" s="248"/>
      <c r="Q336" s="248"/>
      <c r="R336" s="249"/>
      <c r="S336" s="249"/>
      <c r="T336" s="249"/>
      <c r="U336" s="249"/>
    </row>
    <row r="337" spans="1:21" x14ac:dyDescent="0.25">
      <c r="A337" s="244"/>
      <c r="B337" s="252"/>
      <c r="C337" s="252"/>
      <c r="D337" s="252"/>
      <c r="E337" s="252"/>
      <c r="F337" s="254"/>
      <c r="G337" s="254"/>
      <c r="H337" s="254"/>
      <c r="I337" s="254"/>
      <c r="J337" s="258"/>
      <c r="K337" s="258"/>
      <c r="L337" s="258"/>
      <c r="M337" s="258"/>
      <c r="N337" s="248"/>
      <c r="O337" s="248"/>
      <c r="P337" s="248"/>
      <c r="Q337" s="248"/>
      <c r="R337" s="249"/>
      <c r="S337" s="249"/>
      <c r="T337" s="249"/>
      <c r="U337" s="249"/>
    </row>
    <row r="338" spans="1:21" x14ac:dyDescent="0.25">
      <c r="A338" s="244"/>
      <c r="B338" s="252"/>
      <c r="C338" s="252"/>
      <c r="D338" s="252"/>
      <c r="E338" s="252"/>
      <c r="F338" s="254"/>
      <c r="G338" s="254"/>
      <c r="H338" s="254"/>
      <c r="I338" s="254"/>
      <c r="J338" s="258"/>
      <c r="K338" s="258"/>
      <c r="L338" s="258"/>
      <c r="M338" s="258"/>
      <c r="N338" s="248"/>
      <c r="O338" s="248"/>
      <c r="P338" s="248"/>
      <c r="Q338" s="248"/>
      <c r="R338" s="249"/>
      <c r="S338" s="249"/>
      <c r="T338" s="249"/>
      <c r="U338" s="249"/>
    </row>
    <row r="339" spans="1:21" x14ac:dyDescent="0.25">
      <c r="A339" s="244"/>
      <c r="B339" s="252"/>
      <c r="C339" s="252"/>
      <c r="D339" s="252"/>
      <c r="E339" s="252"/>
      <c r="F339" s="254"/>
      <c r="G339" s="254"/>
      <c r="H339" s="254"/>
      <c r="I339" s="254"/>
      <c r="J339" s="258"/>
      <c r="K339" s="258"/>
      <c r="L339" s="258"/>
      <c r="M339" s="258"/>
      <c r="N339" s="248"/>
      <c r="O339" s="248"/>
      <c r="P339" s="248"/>
      <c r="Q339" s="248"/>
      <c r="R339" s="249"/>
      <c r="S339" s="249"/>
      <c r="T339" s="249"/>
      <c r="U339" s="249"/>
    </row>
    <row r="340" spans="1:21" x14ac:dyDescent="0.25">
      <c r="A340" s="244"/>
      <c r="B340" s="252"/>
      <c r="C340" s="252"/>
      <c r="D340" s="252"/>
      <c r="E340" s="252"/>
      <c r="F340" s="254"/>
      <c r="G340" s="254"/>
      <c r="H340" s="254"/>
      <c r="I340" s="254"/>
      <c r="J340" s="258"/>
      <c r="K340" s="258"/>
      <c r="L340" s="258"/>
      <c r="M340" s="258"/>
      <c r="N340" s="248"/>
      <c r="O340" s="248"/>
      <c r="P340" s="248"/>
      <c r="Q340" s="248"/>
      <c r="R340" s="249"/>
      <c r="S340" s="249"/>
      <c r="T340" s="249"/>
      <c r="U340" s="249"/>
    </row>
    <row r="341" spans="1:21" x14ac:dyDescent="0.25">
      <c r="A341" s="244"/>
      <c r="B341" s="252"/>
      <c r="C341" s="252"/>
      <c r="D341" s="252"/>
      <c r="E341" s="252"/>
      <c r="F341" s="254"/>
      <c r="G341" s="254"/>
      <c r="H341" s="254"/>
      <c r="I341" s="254"/>
      <c r="J341" s="258"/>
      <c r="K341" s="258"/>
      <c r="L341" s="258"/>
      <c r="M341" s="258"/>
      <c r="N341" s="248"/>
      <c r="O341" s="248"/>
      <c r="P341" s="248"/>
      <c r="Q341" s="248"/>
      <c r="R341" s="249"/>
      <c r="S341" s="249"/>
      <c r="T341" s="249"/>
      <c r="U341" s="249"/>
    </row>
    <row r="342" spans="1:21" x14ac:dyDescent="0.25">
      <c r="A342" s="244"/>
      <c r="B342" s="252"/>
      <c r="C342" s="252"/>
      <c r="D342" s="252"/>
      <c r="E342" s="252"/>
      <c r="F342" s="254"/>
      <c r="G342" s="254"/>
      <c r="H342" s="254"/>
      <c r="I342" s="254"/>
      <c r="J342" s="258"/>
      <c r="K342" s="258"/>
      <c r="L342" s="258"/>
      <c r="M342" s="258"/>
      <c r="N342" s="248"/>
      <c r="O342" s="248"/>
      <c r="P342" s="248"/>
      <c r="Q342" s="248"/>
      <c r="R342" s="249"/>
      <c r="S342" s="249"/>
      <c r="T342" s="249"/>
      <c r="U342" s="249"/>
    </row>
    <row r="343" spans="1:21" x14ac:dyDescent="0.25">
      <c r="A343" s="244"/>
      <c r="B343" s="252"/>
      <c r="C343" s="252"/>
      <c r="D343" s="252"/>
      <c r="E343" s="252"/>
      <c r="F343" s="254"/>
      <c r="G343" s="254"/>
      <c r="H343" s="254"/>
      <c r="I343" s="254"/>
      <c r="J343" s="258"/>
      <c r="K343" s="258"/>
      <c r="L343" s="258"/>
      <c r="M343" s="258"/>
      <c r="N343" s="248"/>
      <c r="O343" s="248"/>
      <c r="P343" s="248"/>
      <c r="Q343" s="248"/>
      <c r="R343" s="249"/>
      <c r="S343" s="249"/>
      <c r="T343" s="249"/>
      <c r="U343" s="249"/>
    </row>
    <row r="344" spans="1:21" x14ac:dyDescent="0.25">
      <c r="A344" s="244"/>
      <c r="B344" s="252"/>
      <c r="C344" s="252"/>
      <c r="D344" s="252"/>
      <c r="E344" s="252"/>
      <c r="F344" s="254"/>
      <c r="G344" s="254"/>
      <c r="H344" s="254"/>
      <c r="I344" s="254"/>
      <c r="J344" s="258"/>
      <c r="K344" s="258"/>
      <c r="L344" s="258"/>
      <c r="M344" s="258"/>
      <c r="N344" s="248"/>
      <c r="O344" s="248"/>
      <c r="P344" s="248"/>
      <c r="Q344" s="248"/>
      <c r="R344" s="249"/>
      <c r="S344" s="249"/>
      <c r="T344" s="249"/>
      <c r="U344" s="249"/>
    </row>
    <row r="345" spans="1:21" x14ac:dyDescent="0.25">
      <c r="A345" s="244"/>
      <c r="B345" s="252"/>
      <c r="C345" s="252"/>
      <c r="D345" s="252"/>
      <c r="E345" s="252"/>
      <c r="F345" s="254"/>
      <c r="G345" s="254"/>
      <c r="H345" s="254"/>
      <c r="I345" s="254"/>
      <c r="J345" s="258"/>
      <c r="K345" s="258"/>
      <c r="L345" s="258"/>
      <c r="M345" s="258"/>
      <c r="N345" s="248"/>
      <c r="O345" s="248"/>
      <c r="P345" s="248"/>
      <c r="Q345" s="248"/>
      <c r="R345" s="249"/>
      <c r="S345" s="249"/>
      <c r="T345" s="249"/>
      <c r="U345" s="249"/>
    </row>
    <row r="346" spans="1:21" x14ac:dyDescent="0.25">
      <c r="A346" s="244"/>
      <c r="B346" s="252"/>
      <c r="C346" s="252"/>
      <c r="D346" s="252"/>
      <c r="E346" s="252"/>
      <c r="F346" s="254"/>
      <c r="G346" s="254"/>
      <c r="H346" s="254"/>
      <c r="I346" s="254"/>
      <c r="J346" s="258"/>
      <c r="K346" s="258"/>
      <c r="L346" s="258"/>
      <c r="M346" s="258"/>
      <c r="N346" s="248"/>
      <c r="O346" s="248"/>
      <c r="P346" s="248"/>
      <c r="Q346" s="248"/>
      <c r="R346" s="249"/>
      <c r="S346" s="249"/>
      <c r="T346" s="249"/>
      <c r="U346" s="249"/>
    </row>
    <row r="347" spans="1:21" x14ac:dyDescent="0.25">
      <c r="A347" s="244"/>
      <c r="B347" s="252"/>
      <c r="C347" s="252"/>
      <c r="D347" s="252"/>
      <c r="E347" s="252"/>
      <c r="F347" s="254"/>
      <c r="G347" s="254"/>
      <c r="H347" s="254"/>
      <c r="I347" s="254"/>
      <c r="J347" s="258"/>
      <c r="K347" s="258"/>
      <c r="L347" s="258"/>
      <c r="M347" s="258"/>
      <c r="N347" s="248"/>
      <c r="O347" s="248"/>
      <c r="P347" s="248"/>
      <c r="Q347" s="248"/>
      <c r="R347" s="249"/>
      <c r="S347" s="249"/>
      <c r="T347" s="249"/>
      <c r="U347" s="249"/>
    </row>
    <row r="348" spans="1:21" x14ac:dyDescent="0.25">
      <c r="A348" s="244"/>
      <c r="B348" s="252"/>
      <c r="C348" s="252"/>
      <c r="D348" s="252"/>
      <c r="E348" s="252"/>
      <c r="F348" s="254"/>
      <c r="G348" s="254"/>
      <c r="H348" s="254"/>
      <c r="I348" s="254"/>
      <c r="J348" s="258"/>
      <c r="K348" s="258"/>
      <c r="L348" s="258"/>
      <c r="M348" s="258"/>
      <c r="N348" s="248"/>
      <c r="O348" s="248"/>
      <c r="P348" s="248"/>
      <c r="Q348" s="248"/>
      <c r="R348" s="249"/>
      <c r="S348" s="249"/>
      <c r="T348" s="249"/>
      <c r="U348" s="249"/>
    </row>
    <row r="349" spans="1:21" x14ac:dyDescent="0.25">
      <c r="A349" s="244"/>
      <c r="B349" s="252"/>
      <c r="C349" s="252"/>
      <c r="D349" s="252"/>
      <c r="E349" s="252"/>
      <c r="F349" s="254"/>
      <c r="G349" s="254"/>
      <c r="H349" s="254"/>
      <c r="I349" s="254"/>
      <c r="J349" s="258"/>
      <c r="K349" s="258"/>
      <c r="L349" s="258"/>
      <c r="M349" s="258"/>
      <c r="N349" s="248"/>
      <c r="O349" s="248"/>
      <c r="P349" s="248"/>
      <c r="Q349" s="248"/>
      <c r="R349" s="249"/>
      <c r="S349" s="249"/>
      <c r="T349" s="249"/>
      <c r="U349" s="249"/>
    </row>
    <row r="350" spans="1:21" x14ac:dyDescent="0.25">
      <c r="A350" s="244"/>
      <c r="B350" s="252"/>
      <c r="C350" s="252"/>
      <c r="D350" s="252"/>
      <c r="E350" s="252"/>
      <c r="F350" s="254"/>
      <c r="G350" s="254"/>
      <c r="H350" s="254"/>
      <c r="I350" s="254"/>
      <c r="J350" s="258"/>
      <c r="K350" s="258"/>
      <c r="L350" s="258"/>
      <c r="M350" s="258"/>
      <c r="N350" s="248"/>
      <c r="O350" s="248"/>
      <c r="P350" s="248"/>
      <c r="Q350" s="248"/>
      <c r="R350" s="249"/>
      <c r="S350" s="249"/>
      <c r="T350" s="249"/>
      <c r="U350" s="249"/>
    </row>
    <row r="351" spans="1:21" x14ac:dyDescent="0.25">
      <c r="A351" s="244"/>
      <c r="B351" s="252"/>
      <c r="C351" s="252"/>
      <c r="D351" s="252"/>
      <c r="E351" s="252"/>
      <c r="F351" s="254"/>
      <c r="G351" s="254"/>
      <c r="H351" s="254"/>
      <c r="I351" s="254"/>
      <c r="J351" s="258"/>
      <c r="K351" s="258"/>
      <c r="L351" s="258"/>
      <c r="M351" s="258"/>
      <c r="N351" s="248"/>
      <c r="O351" s="248"/>
      <c r="P351" s="248"/>
      <c r="Q351" s="248"/>
      <c r="R351" s="249"/>
      <c r="S351" s="249"/>
      <c r="T351" s="249"/>
      <c r="U351" s="249"/>
    </row>
    <row r="352" spans="1:21" x14ac:dyDescent="0.25">
      <c r="A352" s="244"/>
      <c r="B352" s="252"/>
      <c r="C352" s="252"/>
      <c r="D352" s="252"/>
      <c r="E352" s="252"/>
      <c r="F352" s="254"/>
      <c r="G352" s="254"/>
      <c r="H352" s="254"/>
      <c r="I352" s="254"/>
      <c r="J352" s="258"/>
      <c r="K352" s="258"/>
      <c r="L352" s="258"/>
      <c r="M352" s="258"/>
      <c r="N352" s="248"/>
      <c r="O352" s="248"/>
      <c r="P352" s="248"/>
      <c r="Q352" s="248"/>
      <c r="R352" s="249"/>
      <c r="S352" s="249"/>
      <c r="T352" s="249"/>
      <c r="U352" s="249"/>
    </row>
    <row r="353" spans="1:21" x14ac:dyDescent="0.25">
      <c r="A353" s="244"/>
      <c r="B353" s="252"/>
      <c r="C353" s="252"/>
      <c r="D353" s="252"/>
      <c r="E353" s="252"/>
      <c r="F353" s="254"/>
      <c r="G353" s="254"/>
      <c r="H353" s="254"/>
      <c r="I353" s="254"/>
      <c r="J353" s="258"/>
      <c r="K353" s="258"/>
      <c r="L353" s="258"/>
      <c r="M353" s="258"/>
      <c r="N353" s="248"/>
      <c r="O353" s="248"/>
      <c r="P353" s="248"/>
      <c r="Q353" s="248"/>
      <c r="R353" s="249"/>
      <c r="S353" s="249"/>
      <c r="T353" s="249"/>
      <c r="U353" s="249"/>
    </row>
    <row r="354" spans="1:21" x14ac:dyDescent="0.25">
      <c r="A354" s="244"/>
      <c r="B354" s="252"/>
      <c r="C354" s="252"/>
      <c r="D354" s="252"/>
      <c r="E354" s="252"/>
      <c r="F354" s="254"/>
      <c r="G354" s="254"/>
      <c r="H354" s="254"/>
      <c r="I354" s="254"/>
      <c r="J354" s="258"/>
      <c r="K354" s="258"/>
      <c r="L354" s="258"/>
      <c r="M354" s="258"/>
      <c r="N354" s="248"/>
      <c r="O354" s="248"/>
      <c r="P354" s="248"/>
      <c r="Q354" s="248"/>
      <c r="R354" s="249"/>
      <c r="S354" s="249"/>
      <c r="T354" s="249"/>
      <c r="U354" s="249"/>
    </row>
    <row r="355" spans="1:21" x14ac:dyDescent="0.25">
      <c r="A355" s="244"/>
      <c r="B355" s="252"/>
      <c r="C355" s="252"/>
      <c r="D355" s="252"/>
      <c r="E355" s="252"/>
      <c r="F355" s="254"/>
      <c r="G355" s="254"/>
      <c r="H355" s="254"/>
      <c r="I355" s="254"/>
      <c r="J355" s="258"/>
      <c r="K355" s="258"/>
      <c r="L355" s="258"/>
      <c r="M355" s="258"/>
      <c r="N355" s="248"/>
      <c r="O355" s="248"/>
      <c r="P355" s="248"/>
      <c r="Q355" s="248"/>
      <c r="R355" s="249"/>
      <c r="S355" s="249"/>
      <c r="T355" s="249"/>
      <c r="U355" s="249"/>
    </row>
    <row r="356" spans="1:21" x14ac:dyDescent="0.25">
      <c r="A356" s="244"/>
      <c r="B356" s="252"/>
      <c r="C356" s="252"/>
      <c r="D356" s="252"/>
      <c r="E356" s="252"/>
      <c r="F356" s="254"/>
      <c r="G356" s="254"/>
      <c r="H356" s="254"/>
      <c r="I356" s="254"/>
      <c r="J356" s="258"/>
      <c r="K356" s="258"/>
      <c r="L356" s="258"/>
      <c r="M356" s="258"/>
      <c r="N356" s="248"/>
      <c r="O356" s="248"/>
      <c r="P356" s="248"/>
      <c r="Q356" s="248"/>
      <c r="R356" s="249"/>
      <c r="S356" s="249"/>
      <c r="T356" s="249"/>
      <c r="U356" s="249"/>
    </row>
    <row r="357" spans="1:21" x14ac:dyDescent="0.25">
      <c r="A357" s="244"/>
      <c r="B357" s="252"/>
      <c r="C357" s="252"/>
      <c r="D357" s="252"/>
      <c r="E357" s="252"/>
      <c r="F357" s="254"/>
      <c r="G357" s="254"/>
      <c r="H357" s="254"/>
      <c r="I357" s="254"/>
      <c r="J357" s="258"/>
      <c r="K357" s="258"/>
      <c r="L357" s="258"/>
      <c r="M357" s="258"/>
      <c r="N357" s="248"/>
      <c r="O357" s="248"/>
      <c r="P357" s="248"/>
      <c r="Q357" s="248"/>
      <c r="R357" s="249"/>
      <c r="S357" s="249"/>
      <c r="T357" s="249"/>
      <c r="U357" s="249"/>
    </row>
    <row r="358" spans="1:21" x14ac:dyDescent="0.25">
      <c r="A358" s="244"/>
      <c r="B358" s="252"/>
      <c r="C358" s="252"/>
      <c r="D358" s="252"/>
      <c r="E358" s="252"/>
      <c r="F358" s="254"/>
      <c r="G358" s="254"/>
      <c r="H358" s="254"/>
      <c r="I358" s="254"/>
      <c r="J358" s="258"/>
      <c r="K358" s="258"/>
      <c r="L358" s="258"/>
      <c r="M358" s="258"/>
      <c r="N358" s="248"/>
      <c r="O358" s="248"/>
      <c r="P358" s="248"/>
      <c r="Q358" s="248"/>
      <c r="R358" s="249"/>
      <c r="S358" s="249"/>
      <c r="T358" s="249"/>
      <c r="U358" s="249"/>
    </row>
    <row r="359" spans="1:21" x14ac:dyDescent="0.25">
      <c r="A359" s="244"/>
      <c r="B359" s="252"/>
      <c r="C359" s="252"/>
      <c r="D359" s="252"/>
      <c r="E359" s="252"/>
      <c r="F359" s="254"/>
      <c r="G359" s="254"/>
      <c r="H359" s="254"/>
      <c r="I359" s="254"/>
      <c r="J359" s="258"/>
      <c r="K359" s="258"/>
      <c r="L359" s="258"/>
      <c r="M359" s="258"/>
      <c r="N359" s="248"/>
      <c r="O359" s="248"/>
      <c r="P359" s="248"/>
      <c r="Q359" s="248"/>
      <c r="R359" s="249"/>
      <c r="S359" s="249"/>
      <c r="T359" s="249"/>
      <c r="U359" s="249"/>
    </row>
    <row r="360" spans="1:21" x14ac:dyDescent="0.25">
      <c r="A360" s="244"/>
      <c r="B360" s="252"/>
      <c r="C360" s="252"/>
      <c r="D360" s="252"/>
      <c r="E360" s="252"/>
      <c r="F360" s="254"/>
      <c r="G360" s="254"/>
      <c r="H360" s="254"/>
      <c r="I360" s="254"/>
      <c r="J360" s="258"/>
      <c r="K360" s="258"/>
      <c r="L360" s="258"/>
      <c r="M360" s="258"/>
      <c r="N360" s="248"/>
      <c r="O360" s="248"/>
      <c r="P360" s="248"/>
      <c r="Q360" s="248"/>
      <c r="R360" s="249"/>
      <c r="S360" s="249"/>
      <c r="T360" s="249"/>
      <c r="U360" s="249"/>
    </row>
    <row r="361" spans="1:21" x14ac:dyDescent="0.25">
      <c r="A361" s="244"/>
      <c r="B361" s="252"/>
      <c r="C361" s="252"/>
      <c r="D361" s="252"/>
      <c r="E361" s="252"/>
      <c r="F361" s="254"/>
      <c r="G361" s="254"/>
      <c r="H361" s="254"/>
      <c r="I361" s="254"/>
      <c r="J361" s="258"/>
      <c r="K361" s="258"/>
      <c r="L361" s="258"/>
      <c r="M361" s="258"/>
      <c r="N361" s="248"/>
      <c r="O361" s="248"/>
      <c r="P361" s="248"/>
      <c r="Q361" s="248"/>
      <c r="R361" s="249"/>
      <c r="S361" s="249"/>
      <c r="T361" s="249"/>
      <c r="U361" s="249"/>
    </row>
    <row r="362" spans="1:21" x14ac:dyDescent="0.25">
      <c r="A362" s="244"/>
      <c r="B362" s="252"/>
      <c r="C362" s="252"/>
      <c r="D362" s="252"/>
      <c r="E362" s="252"/>
      <c r="F362" s="254"/>
      <c r="G362" s="254"/>
      <c r="H362" s="254"/>
      <c r="I362" s="254"/>
      <c r="J362" s="258"/>
      <c r="K362" s="258"/>
      <c r="L362" s="258"/>
      <c r="M362" s="258"/>
      <c r="N362" s="248"/>
      <c r="O362" s="248"/>
      <c r="P362" s="248"/>
      <c r="Q362" s="248"/>
      <c r="R362" s="249"/>
      <c r="S362" s="249"/>
      <c r="T362" s="249"/>
      <c r="U362" s="249"/>
    </row>
    <row r="363" spans="1:21" x14ac:dyDescent="0.25">
      <c r="A363" s="244"/>
      <c r="B363" s="252"/>
      <c r="C363" s="252"/>
      <c r="D363" s="252"/>
      <c r="E363" s="252"/>
      <c r="F363" s="254"/>
      <c r="G363" s="254"/>
      <c r="H363" s="254"/>
      <c r="I363" s="254"/>
      <c r="J363" s="258"/>
      <c r="K363" s="258"/>
      <c r="L363" s="258"/>
      <c r="M363" s="258"/>
      <c r="N363" s="248"/>
      <c r="O363" s="248"/>
      <c r="P363" s="248"/>
      <c r="Q363" s="248"/>
      <c r="R363" s="249"/>
      <c r="S363" s="249"/>
      <c r="T363" s="249"/>
      <c r="U363" s="249"/>
    </row>
    <row r="364" spans="1:21" x14ac:dyDescent="0.25">
      <c r="A364" s="244"/>
      <c r="B364" s="252"/>
      <c r="C364" s="252"/>
      <c r="D364" s="252"/>
      <c r="E364" s="252"/>
      <c r="F364" s="254"/>
      <c r="G364" s="254"/>
      <c r="H364" s="254"/>
      <c r="I364" s="254"/>
      <c r="J364" s="258"/>
      <c r="K364" s="258"/>
      <c r="L364" s="258"/>
      <c r="M364" s="258"/>
      <c r="N364" s="248"/>
      <c r="O364" s="248"/>
      <c r="P364" s="248"/>
      <c r="Q364" s="248"/>
      <c r="R364" s="249"/>
      <c r="S364" s="249"/>
      <c r="T364" s="249"/>
      <c r="U364" s="249"/>
    </row>
    <row r="365" spans="1:21" x14ac:dyDescent="0.25">
      <c r="A365" s="244"/>
      <c r="B365" s="252"/>
      <c r="C365" s="252"/>
      <c r="D365" s="252"/>
      <c r="E365" s="252"/>
      <c r="F365" s="254"/>
      <c r="G365" s="254"/>
      <c r="H365" s="254"/>
      <c r="I365" s="254"/>
      <c r="J365" s="258"/>
      <c r="K365" s="258"/>
      <c r="L365" s="258"/>
      <c r="M365" s="258"/>
      <c r="N365" s="248"/>
      <c r="O365" s="248"/>
      <c r="P365" s="248"/>
      <c r="Q365" s="248"/>
      <c r="R365" s="249"/>
      <c r="S365" s="249"/>
      <c r="T365" s="249"/>
      <c r="U365" s="249"/>
    </row>
    <row r="366" spans="1:21" x14ac:dyDescent="0.25">
      <c r="A366" s="244"/>
      <c r="B366" s="252"/>
      <c r="C366" s="252"/>
      <c r="D366" s="252"/>
      <c r="E366" s="252"/>
      <c r="F366" s="254"/>
      <c r="G366" s="254"/>
      <c r="H366" s="254"/>
      <c r="I366" s="254"/>
      <c r="J366" s="258"/>
      <c r="K366" s="258"/>
      <c r="L366" s="258"/>
      <c r="M366" s="258"/>
      <c r="N366" s="248"/>
      <c r="O366" s="248"/>
      <c r="P366" s="248"/>
      <c r="Q366" s="248"/>
      <c r="R366" s="249"/>
      <c r="S366" s="249"/>
      <c r="T366" s="249"/>
      <c r="U366" s="249"/>
    </row>
    <row r="367" spans="1:21" x14ac:dyDescent="0.25">
      <c r="A367" s="244"/>
      <c r="B367" s="252"/>
      <c r="C367" s="252"/>
      <c r="D367" s="252"/>
      <c r="E367" s="252"/>
      <c r="F367" s="254"/>
      <c r="G367" s="254"/>
      <c r="H367" s="254"/>
      <c r="I367" s="254"/>
      <c r="J367" s="258"/>
      <c r="K367" s="258"/>
      <c r="L367" s="258"/>
      <c r="M367" s="258"/>
      <c r="N367" s="248"/>
      <c r="O367" s="248"/>
      <c r="P367" s="248"/>
      <c r="Q367" s="248"/>
      <c r="R367" s="249"/>
      <c r="S367" s="249"/>
      <c r="T367" s="249"/>
      <c r="U367" s="249"/>
    </row>
    <row r="368" spans="1:21" x14ac:dyDescent="0.25">
      <c r="A368" s="244"/>
      <c r="B368" s="252"/>
      <c r="C368" s="252"/>
      <c r="D368" s="252"/>
      <c r="E368" s="252"/>
      <c r="F368" s="254"/>
      <c r="G368" s="256"/>
      <c r="H368" s="254"/>
      <c r="I368" s="254"/>
      <c r="J368" s="258"/>
      <c r="K368" s="258"/>
      <c r="L368" s="258"/>
      <c r="M368" s="258"/>
      <c r="N368" s="248"/>
      <c r="O368" s="248"/>
      <c r="P368" s="248"/>
      <c r="Q368" s="248"/>
      <c r="R368" s="249"/>
      <c r="S368" s="249"/>
      <c r="T368" s="249"/>
      <c r="U368" s="249"/>
    </row>
    <row r="369" spans="1:21" x14ac:dyDescent="0.25">
      <c r="A369" s="244"/>
      <c r="B369" s="252"/>
      <c r="C369" s="252"/>
      <c r="D369" s="252"/>
      <c r="E369" s="252"/>
      <c r="F369" s="254"/>
      <c r="G369" s="254"/>
      <c r="H369" s="254"/>
      <c r="I369" s="254"/>
      <c r="J369" s="258"/>
      <c r="K369" s="258"/>
      <c r="L369" s="258"/>
      <c r="M369" s="258"/>
      <c r="N369" s="248"/>
      <c r="O369" s="248"/>
      <c r="P369" s="248"/>
      <c r="Q369" s="248"/>
      <c r="R369" s="249"/>
      <c r="S369" s="249"/>
      <c r="T369" s="249"/>
      <c r="U369" s="249"/>
    </row>
    <row r="370" spans="1:21" x14ac:dyDescent="0.25">
      <c r="A370" s="244"/>
      <c r="B370" s="252"/>
      <c r="C370" s="252"/>
      <c r="D370" s="252"/>
      <c r="E370" s="252"/>
      <c r="F370" s="254"/>
      <c r="G370" s="254"/>
      <c r="H370" s="254"/>
      <c r="I370" s="254"/>
      <c r="J370" s="258"/>
      <c r="K370" s="258"/>
      <c r="L370" s="258"/>
      <c r="M370" s="258"/>
      <c r="N370" s="248"/>
      <c r="O370" s="248"/>
      <c r="P370" s="248"/>
      <c r="Q370" s="248"/>
      <c r="R370" s="249"/>
      <c r="S370" s="249"/>
      <c r="T370" s="249"/>
      <c r="U370" s="249"/>
    </row>
  </sheetData>
  <mergeCells count="11">
    <mergeCell ref="U2:U3"/>
    <mergeCell ref="B1:E1"/>
    <mergeCell ref="F1:I1"/>
    <mergeCell ref="J1:M1"/>
    <mergeCell ref="N1:Q1"/>
    <mergeCell ref="R1:U1"/>
    <mergeCell ref="A1:A2"/>
    <mergeCell ref="E2:E3"/>
    <mergeCell ref="I2:I3"/>
    <mergeCell ref="M2:M3"/>
    <mergeCell ref="Q2:Q3"/>
  </mergeCells>
  <conditionalFormatting sqref="B3:D3 F3:H3 J3:L3 N3:P3 R3:T3 B1:U2">
    <cfRule type="cellIs" dxfId="20" priority="2" operator="equal">
      <formula>0</formula>
    </cfRule>
  </conditionalFormatting>
  <conditionalFormatting sqref="B3:D3 F3:H3 J3:L3 N3:P3 R3:T3 B1:U2">
    <cfRule type="cellIs" dxfId="19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nvoi_R0">
                <anchor moveWithCells="1" sizeWithCells="1">
                  <from>
                    <xdr:col>0</xdr:col>
                    <xdr:colOff>47625</xdr:colOff>
                    <xdr:row>0</xdr:row>
                    <xdr:rowOff>57150</xdr:rowOff>
                  </from>
                  <to>
                    <xdr:col>0</xdr:col>
                    <xdr:colOff>923925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A153"/>
  <sheetViews>
    <sheetView showGridLines="0" topLeftCell="A7" zoomScale="40" zoomScaleNormal="40" zoomScalePageLayoutView="40" workbookViewId="0">
      <selection activeCell="D13" sqref="D13"/>
    </sheetView>
  </sheetViews>
  <sheetFormatPr defaultColWidth="11.42578125" defaultRowHeight="15.75" x14ac:dyDescent="0.25"/>
  <cols>
    <col min="1" max="1" width="10.85546875" style="58" customWidth="1"/>
    <col min="2" max="2" width="9" style="58" customWidth="1"/>
    <col min="3" max="3" width="16.28515625" style="58" customWidth="1"/>
    <col min="4" max="4" width="17.85546875" style="58" bestFit="1" customWidth="1"/>
    <col min="5" max="10" width="13.140625" style="58" customWidth="1"/>
    <col min="11" max="11" width="21.42578125" style="58" bestFit="1" customWidth="1"/>
    <col min="12" max="12" width="13" style="58" bestFit="1" customWidth="1"/>
    <col min="13" max="13" width="13.140625" style="58" customWidth="1"/>
    <col min="14" max="14" width="4.5703125" style="58" bestFit="1" customWidth="1"/>
    <col min="15" max="15" width="13.140625" style="58" customWidth="1"/>
    <col min="16" max="16" width="4.5703125" style="58" bestFit="1" customWidth="1"/>
    <col min="17" max="17" width="4.5703125" style="58" customWidth="1"/>
    <col min="18" max="18" width="15" style="58" customWidth="1"/>
    <col min="19" max="19" width="4.5703125" style="58" bestFit="1" customWidth="1"/>
    <col min="20" max="20" width="13.140625" style="58" customWidth="1"/>
    <col min="21" max="21" width="6.5703125" style="58" bestFit="1" customWidth="1"/>
    <col min="22" max="22" width="13.140625" style="58" customWidth="1"/>
    <col min="23" max="23" width="15.5703125" style="58" customWidth="1"/>
    <col min="24" max="24" width="20.140625" style="58" bestFit="1" customWidth="1"/>
    <col min="25" max="25" width="4.5703125" style="58" bestFit="1" customWidth="1"/>
    <col min="26" max="26" width="13.140625" style="58" customWidth="1"/>
    <col min="27" max="27" width="9.28515625" style="58" bestFit="1" customWidth="1"/>
    <col min="28" max="28" width="13.140625" style="58" customWidth="1"/>
    <col min="29" max="29" width="4.5703125" style="58" bestFit="1" customWidth="1"/>
    <col min="30" max="30" width="13.140625" style="58" customWidth="1"/>
    <col min="31" max="31" width="4.5703125" style="58" bestFit="1" customWidth="1"/>
    <col min="32" max="32" width="13.140625" style="58" customWidth="1"/>
    <col min="33" max="33" width="17.7109375" style="58" customWidth="1"/>
    <col min="34" max="35" width="13.140625" style="58" customWidth="1"/>
    <col min="36" max="42" width="13.140625" style="58" hidden="1" customWidth="1"/>
    <col min="43" max="43" width="28" style="58" customWidth="1"/>
    <col min="44" max="44" width="17.140625" style="58" customWidth="1"/>
    <col min="45" max="45" width="16" style="58" bestFit="1" customWidth="1"/>
    <col min="46" max="47" width="12.7109375" style="58" customWidth="1"/>
    <col min="48" max="48" width="22.5703125" style="58" bestFit="1" customWidth="1"/>
    <col min="49" max="49" width="19.85546875" style="58" bestFit="1" customWidth="1"/>
    <col min="50" max="50" width="17.5703125" style="58" customWidth="1"/>
    <col min="51" max="51" width="28.28515625" style="58" bestFit="1" customWidth="1"/>
    <col min="52" max="52" width="16" style="58" bestFit="1" customWidth="1"/>
    <col min="53" max="57" width="12.7109375" style="58" customWidth="1"/>
    <col min="58" max="58" width="18" style="58" bestFit="1" customWidth="1"/>
    <col min="59" max="59" width="16" style="58" bestFit="1" customWidth="1"/>
    <col min="60" max="60" width="12.7109375" style="58" customWidth="1"/>
    <col min="61" max="61" width="10.28515625" style="58" customWidth="1"/>
    <col min="62" max="62" width="22.5703125" style="58" bestFit="1" customWidth="1"/>
    <col min="63" max="63" width="19.85546875" style="58" bestFit="1" customWidth="1"/>
    <col min="64" max="64" width="18.28515625" style="58" bestFit="1" customWidth="1"/>
    <col min="65" max="65" width="29.140625" style="58" bestFit="1" customWidth="1"/>
    <col min="66" max="66" width="15.85546875" style="58" bestFit="1" customWidth="1"/>
    <col min="67" max="71" width="12.7109375" style="58" customWidth="1"/>
    <col min="72" max="72" width="2.5703125" style="58" customWidth="1"/>
    <col min="73" max="73" width="7.7109375" style="58" customWidth="1"/>
    <col min="74" max="74" width="8.28515625" style="58" customWidth="1"/>
    <col min="75" max="75" width="10.85546875" style="58" customWidth="1"/>
    <col min="76" max="16384" width="11.42578125" style="58"/>
  </cols>
  <sheetData>
    <row r="1" spans="1:71" x14ac:dyDescent="0.25"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</row>
    <row r="2" spans="1:71" ht="31.5" customHeight="1" x14ac:dyDescent="0.25">
      <c r="F2" s="474" t="s">
        <v>280</v>
      </c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6"/>
      <c r="AR2" s="136"/>
      <c r="AS2" s="136"/>
      <c r="AT2" s="135"/>
      <c r="AU2" s="135"/>
      <c r="AV2" s="135"/>
      <c r="AW2" s="461" t="s">
        <v>353</v>
      </c>
      <c r="AX2" s="461"/>
      <c r="AY2" s="461"/>
      <c r="AZ2" s="461"/>
      <c r="BA2" s="461"/>
      <c r="BB2" s="461"/>
      <c r="BC2" s="461"/>
      <c r="BD2" s="461"/>
      <c r="BE2" s="461"/>
      <c r="BF2" s="461"/>
      <c r="BG2" s="461"/>
      <c r="BH2" s="461"/>
      <c r="BI2" s="461"/>
      <c r="BJ2" s="461"/>
      <c r="BK2" s="461"/>
      <c r="BL2" s="135"/>
      <c r="BM2" s="135"/>
      <c r="BN2" s="135"/>
      <c r="BO2" s="135"/>
      <c r="BP2" s="135"/>
      <c r="BQ2" s="135"/>
      <c r="BR2" s="136"/>
    </row>
    <row r="3" spans="1:71" ht="31.5" customHeight="1" x14ac:dyDescent="0.25"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6"/>
      <c r="AR3" s="136"/>
      <c r="AS3" s="135"/>
      <c r="AT3" s="135"/>
      <c r="AU3" s="135"/>
      <c r="AV3" s="135"/>
      <c r="AW3" s="461"/>
      <c r="AX3" s="461"/>
      <c r="AY3" s="461"/>
      <c r="AZ3" s="461"/>
      <c r="BA3" s="461"/>
      <c r="BB3" s="461"/>
      <c r="BC3" s="461"/>
      <c r="BD3" s="461"/>
      <c r="BE3" s="461"/>
      <c r="BF3" s="461"/>
      <c r="BG3" s="461"/>
      <c r="BH3" s="461"/>
      <c r="BI3" s="461"/>
      <c r="BJ3" s="461"/>
      <c r="BK3" s="461"/>
      <c r="BL3" s="135"/>
      <c r="BM3" s="135"/>
      <c r="BN3" s="135"/>
      <c r="BO3" s="135"/>
      <c r="BP3" s="135"/>
      <c r="BQ3" s="135"/>
      <c r="BR3" s="136"/>
    </row>
    <row r="4" spans="1:71" ht="31.5" customHeight="1" x14ac:dyDescent="0.25"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4"/>
      <c r="V4" s="474"/>
      <c r="W4" s="474"/>
      <c r="X4" s="135"/>
      <c r="Y4" s="135"/>
      <c r="Z4" s="135"/>
      <c r="AA4" s="135"/>
      <c r="AB4" s="135"/>
      <c r="AC4" s="135"/>
      <c r="AD4" s="135"/>
      <c r="AE4" s="135"/>
      <c r="AF4" s="135"/>
      <c r="AG4" s="135"/>
      <c r="AH4" s="136"/>
      <c r="AR4" s="136"/>
      <c r="AS4" s="135"/>
      <c r="AT4" s="135"/>
      <c r="AU4" s="135"/>
      <c r="AV4" s="135"/>
      <c r="AW4" s="461"/>
      <c r="AX4" s="461"/>
      <c r="AY4" s="461"/>
      <c r="AZ4" s="461"/>
      <c r="BA4" s="461"/>
      <c r="BB4" s="461"/>
      <c r="BC4" s="461"/>
      <c r="BD4" s="461"/>
      <c r="BE4" s="461"/>
      <c r="BF4" s="461"/>
      <c r="BG4" s="461"/>
      <c r="BH4" s="461"/>
      <c r="BI4" s="461"/>
      <c r="BJ4" s="461"/>
      <c r="BK4" s="461"/>
      <c r="BL4" s="135"/>
      <c r="BM4" s="135"/>
      <c r="BN4" s="135"/>
      <c r="BO4" s="135"/>
      <c r="BP4" s="135"/>
      <c r="BQ4" s="135"/>
      <c r="BR4" s="136"/>
    </row>
    <row r="5" spans="1:71" ht="22.5" customHeight="1" x14ac:dyDescent="0.25">
      <c r="F5" s="136"/>
      <c r="G5" s="136"/>
      <c r="H5" s="136"/>
      <c r="I5" s="136"/>
      <c r="J5" s="136"/>
      <c r="K5" s="136"/>
      <c r="L5" s="137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6"/>
      <c r="AG5" s="136"/>
      <c r="AH5" s="136"/>
      <c r="AR5" s="458">
        <v>44769</v>
      </c>
      <c r="AS5" s="458"/>
      <c r="AT5" s="458"/>
      <c r="BF5" s="456">
        <f>AR5+1</f>
        <v>44770</v>
      </c>
      <c r="BG5" s="456"/>
      <c r="BH5" s="456"/>
    </row>
    <row r="6" spans="1:71" ht="24.75" customHeight="1" x14ac:dyDescent="0.25">
      <c r="AR6" s="458"/>
      <c r="AS6" s="458"/>
      <c r="AT6" s="458"/>
      <c r="AY6" s="59"/>
      <c r="AZ6" s="59"/>
      <c r="BA6" s="59"/>
      <c r="BB6" s="59"/>
      <c r="BC6" s="59"/>
      <c r="BD6" s="59"/>
      <c r="BE6" s="59"/>
      <c r="BF6" s="456"/>
      <c r="BG6" s="456"/>
      <c r="BH6" s="456"/>
    </row>
    <row r="7" spans="1:71" ht="31.5" customHeight="1" x14ac:dyDescent="0.25">
      <c r="A7" s="64"/>
      <c r="B7" s="64"/>
      <c r="C7" s="64"/>
      <c r="D7" s="64"/>
      <c r="E7" s="64"/>
      <c r="F7" s="64"/>
      <c r="G7" s="64"/>
      <c r="H7" s="475" t="s">
        <v>281</v>
      </c>
      <c r="I7" s="476"/>
      <c r="J7" s="481" t="s">
        <v>242</v>
      </c>
      <c r="K7" s="482"/>
      <c r="L7" s="470" t="s">
        <v>282</v>
      </c>
      <c r="M7" s="485"/>
      <c r="N7" s="471"/>
      <c r="O7" s="470" t="s">
        <v>283</v>
      </c>
      <c r="P7" s="471"/>
      <c r="Q7" s="470" t="s">
        <v>284</v>
      </c>
      <c r="R7" s="471"/>
      <c r="S7" s="470" t="s">
        <v>285</v>
      </c>
      <c r="T7" s="471"/>
      <c r="U7" s="470" t="s">
        <v>286</v>
      </c>
      <c r="V7" s="471"/>
      <c r="W7" s="470" t="s">
        <v>287</v>
      </c>
      <c r="X7" s="471"/>
      <c r="Y7" s="470" t="s">
        <v>288</v>
      </c>
      <c r="Z7" s="471"/>
      <c r="AA7" s="470" t="s">
        <v>289</v>
      </c>
      <c r="AB7" s="471"/>
      <c r="AC7" s="470" t="s">
        <v>290</v>
      </c>
      <c r="AD7" s="471"/>
      <c r="AR7" s="455" t="s">
        <v>207</v>
      </c>
      <c r="AS7" s="457" t="s">
        <v>309</v>
      </c>
      <c r="AT7" s="457" t="s">
        <v>343</v>
      </c>
      <c r="AU7" s="457"/>
      <c r="AV7" s="453" t="s">
        <v>344</v>
      </c>
      <c r="AW7" s="453" t="s">
        <v>345</v>
      </c>
      <c r="AX7" s="453" t="s">
        <v>346</v>
      </c>
      <c r="AY7" s="453" t="s">
        <v>347</v>
      </c>
      <c r="AZ7" s="453" t="s">
        <v>348</v>
      </c>
      <c r="BA7" s="454" t="s">
        <v>287</v>
      </c>
      <c r="BB7" s="454"/>
      <c r="BC7" s="61"/>
      <c r="BD7" s="61"/>
      <c r="BE7" s="61"/>
      <c r="BF7" s="455" t="s">
        <v>342</v>
      </c>
      <c r="BG7" s="457" t="s">
        <v>309</v>
      </c>
      <c r="BH7" s="457" t="s">
        <v>343</v>
      </c>
      <c r="BI7" s="457"/>
      <c r="BJ7" s="453" t="s">
        <v>344</v>
      </c>
      <c r="BK7" s="453" t="s">
        <v>345</v>
      </c>
      <c r="BL7" s="453" t="s">
        <v>346</v>
      </c>
      <c r="BM7" s="453" t="s">
        <v>347</v>
      </c>
      <c r="BN7" s="453" t="s">
        <v>348</v>
      </c>
      <c r="BO7" s="60"/>
      <c r="BP7" s="60"/>
    </row>
    <row r="8" spans="1:71" ht="43.5" customHeight="1" x14ac:dyDescent="0.25">
      <c r="A8" s="64"/>
      <c r="B8" s="64"/>
      <c r="C8" s="64"/>
      <c r="D8" s="64"/>
      <c r="E8" s="64"/>
      <c r="F8" s="64"/>
      <c r="G8" s="64"/>
      <c r="H8" s="477"/>
      <c r="I8" s="478"/>
      <c r="J8" s="483"/>
      <c r="K8" s="484"/>
      <c r="L8" s="472"/>
      <c r="M8" s="486"/>
      <c r="N8" s="473"/>
      <c r="O8" s="472"/>
      <c r="P8" s="473"/>
      <c r="Q8" s="472"/>
      <c r="R8" s="473"/>
      <c r="S8" s="472"/>
      <c r="T8" s="473"/>
      <c r="U8" s="472"/>
      <c r="V8" s="473"/>
      <c r="W8" s="472"/>
      <c r="X8" s="473"/>
      <c r="Y8" s="472"/>
      <c r="Z8" s="473"/>
      <c r="AA8" s="472"/>
      <c r="AB8" s="473"/>
      <c r="AC8" s="472"/>
      <c r="AD8" s="473"/>
      <c r="AG8" s="200"/>
      <c r="AH8" s="201"/>
      <c r="AR8" s="455"/>
      <c r="AS8" s="457"/>
      <c r="AT8" s="457"/>
      <c r="AU8" s="457"/>
      <c r="AV8" s="453"/>
      <c r="AW8" s="453"/>
      <c r="AX8" s="453"/>
      <c r="AY8" s="453"/>
      <c r="AZ8" s="453"/>
      <c r="BA8" s="454"/>
      <c r="BB8" s="454"/>
      <c r="BF8" s="455"/>
      <c r="BG8" s="457"/>
      <c r="BH8" s="457"/>
      <c r="BI8" s="457"/>
      <c r="BJ8" s="453"/>
      <c r="BK8" s="453"/>
      <c r="BL8" s="453"/>
      <c r="BM8" s="453"/>
      <c r="BN8" s="453"/>
      <c r="BO8" s="60"/>
      <c r="BP8" s="60"/>
    </row>
    <row r="9" spans="1:71" ht="45" customHeight="1" x14ac:dyDescent="0.25">
      <c r="A9" s="106"/>
      <c r="B9" s="106"/>
      <c r="C9" s="64"/>
      <c r="D9" s="64"/>
      <c r="E9" s="64"/>
      <c r="F9" s="64"/>
      <c r="G9" s="64"/>
      <c r="H9" s="477"/>
      <c r="I9" s="478"/>
      <c r="J9" s="496">
        <v>1</v>
      </c>
      <c r="K9" s="497"/>
      <c r="L9" s="506">
        <f>+SUMIFS(criblage!P:P,criblage!B:B,'I FILM'!$C$11,criblage!C:C,'I FILM'!J9)</f>
        <v>0</v>
      </c>
      <c r="M9" s="507"/>
      <c r="N9" s="508"/>
      <c r="O9" s="506">
        <f>+SUMIFS(criblage!O:O,criblage!B:B,'I FILM'!$C$11,criblage!C:C,'I FILM'!J9)</f>
        <v>4554</v>
      </c>
      <c r="P9" s="508"/>
      <c r="Q9" s="533" t="e">
        <f>SUMIFS(#REF!,#REF!,'I FILM'!C11)</f>
        <v>#REF!</v>
      </c>
      <c r="R9" s="534"/>
      <c r="S9" s="506" t="str">
        <f>IFERROR(O9/Q9,"")</f>
        <v/>
      </c>
      <c r="T9" s="508"/>
      <c r="U9" s="492">
        <f>SUMIFS(criblage!R:R,criblage!B:B,'I FILM'!$C$11,criblage!C:C,'I FILM'!J9)</f>
        <v>6.05</v>
      </c>
      <c r="V9" s="493"/>
      <c r="W9" s="524">
        <v>1.26</v>
      </c>
      <c r="X9" s="525"/>
      <c r="Y9" s="563">
        <v>1</v>
      </c>
      <c r="Z9" s="564"/>
      <c r="AA9" s="569">
        <v>0.33</v>
      </c>
      <c r="AB9" s="570"/>
      <c r="AC9" s="492" t="e">
        <f>1-O9/L9</f>
        <v>#DIV/0!</v>
      </c>
      <c r="AD9" s="493"/>
      <c r="AG9" s="62"/>
      <c r="AR9" s="455"/>
      <c r="AS9" s="108">
        <v>7601</v>
      </c>
      <c r="AT9" s="459" t="str">
        <f>IFERROR(VLOOKUP(FX109,chargement!$A:$V,14,FALSE),"")</f>
        <v/>
      </c>
      <c r="AU9" s="459"/>
      <c r="AV9" s="111" t="str">
        <f>IFERROR(VLOOKUP(FX109,chargement!$A:$L,12,FALSE),"N. Programmé")</f>
        <v>N. Programmé</v>
      </c>
      <c r="AW9" s="109" t="str">
        <f>IFERROR(VLOOKUP(FX109,chargement!$A:$P,16,FALSE),"")</f>
        <v/>
      </c>
      <c r="AX9" s="108" t="str">
        <f>IFERROR(VLOOKUP(FX109,chargement!A:I,9,FALSE),"")</f>
        <v/>
      </c>
      <c r="AY9" s="108" t="str">
        <f>IFERROR(VLOOKUP(FX109,chargement!$A:$H,8,FALSE),"")</f>
        <v/>
      </c>
      <c r="AZ9" s="110" t="str">
        <f>IFERROR(VLOOKUP(FX109,chargement!$A:$V,22,FALSE),"")</f>
        <v/>
      </c>
      <c r="BA9" s="454"/>
      <c r="BB9" s="454"/>
      <c r="BF9" s="455"/>
      <c r="BG9" s="108">
        <v>7601</v>
      </c>
      <c r="BH9" s="459" t="str">
        <f>IFERROR(VLOOKUP(FY112,chargement!A:V,14,FALSE),"")</f>
        <v/>
      </c>
      <c r="BI9" s="459"/>
      <c r="BJ9" s="111" t="str">
        <f>IFERROR(VLOOKUP(FY112,chargement!$A:$L,12,FALSE),"N. Programmé")</f>
        <v>N. Programmé</v>
      </c>
      <c r="BK9" s="109" t="str">
        <f>IFERROR(VLOOKUP(FY112,chargement!A:V,16,FALSE),"")</f>
        <v/>
      </c>
      <c r="BL9" s="108" t="str">
        <f>IFERROR(VLOOKUP(FY112,chargement!A:V,9,FALSE),"")</f>
        <v/>
      </c>
      <c r="BM9" s="108" t="str">
        <f>IFERROR(VLOOKUP(FY112,chargement!A:V,8,FALSE),"")</f>
        <v/>
      </c>
      <c r="BN9" s="110" t="str">
        <f>IFERROR(VLOOKUP(FY112,chargement!A:V,22,FALSE),"")</f>
        <v/>
      </c>
    </row>
    <row r="10" spans="1:71" ht="45" customHeight="1" x14ac:dyDescent="0.25">
      <c r="A10" s="64"/>
      <c r="B10" s="64"/>
      <c r="C10" s="64"/>
      <c r="D10" s="64"/>
      <c r="E10" s="64"/>
      <c r="F10" s="64"/>
      <c r="G10" s="64"/>
      <c r="H10" s="477"/>
      <c r="I10" s="478"/>
      <c r="J10" s="498">
        <v>2</v>
      </c>
      <c r="K10" s="499"/>
      <c r="L10" s="509">
        <f>+SUMIFS(criblage!P:P,criblage!B:B,'I FILM'!$C$11,criblage!C:C,'I FILM'!J10)</f>
        <v>0</v>
      </c>
      <c r="M10" s="510"/>
      <c r="N10" s="511"/>
      <c r="O10" s="509">
        <f>+SUMIFS(criblage!O:O,criblage!B:B,'I FILM'!$C$11,criblage!C:C,'I FILM'!J10)</f>
        <v>5301</v>
      </c>
      <c r="P10" s="511"/>
      <c r="Q10" s="535" t="e">
        <f>SUMIFS(#REF!,#REF!,'I FILM'!C11)</f>
        <v>#REF!</v>
      </c>
      <c r="R10" s="536"/>
      <c r="S10" s="542" t="str">
        <f>IFERROR(O10/Q10,"")</f>
        <v/>
      </c>
      <c r="T10" s="543"/>
      <c r="U10" s="494">
        <f>SUMIFS(criblage!R:R,criblage!B:B,'I FILM'!$C$11,criblage!C:C,'I FILM'!J10)</f>
        <v>7.77</v>
      </c>
      <c r="V10" s="495"/>
      <c r="W10" s="526"/>
      <c r="X10" s="527"/>
      <c r="Y10" s="565"/>
      <c r="Z10" s="566"/>
      <c r="AA10" s="571"/>
      <c r="AB10" s="572"/>
      <c r="AC10" s="494" t="e">
        <f>1-O10/L10</f>
        <v>#DIV/0!</v>
      </c>
      <c r="AD10" s="495"/>
      <c r="AG10" s="62"/>
      <c r="AR10" s="455"/>
      <c r="AS10" s="108">
        <v>7609</v>
      </c>
      <c r="AT10" s="459" t="str">
        <f>IFERROR(VLOOKUP(FX110,chargement!$A:$V,14,FALSE),"")</f>
        <v/>
      </c>
      <c r="AU10" s="459"/>
      <c r="AV10" s="111" t="str">
        <f>IFERROR(VLOOKUP(FX110,chargement!$A:$L,12,FALSE),"N. Programmé")</f>
        <v>N. Programmé</v>
      </c>
      <c r="AW10" s="109" t="str">
        <f>IFERROR(VLOOKUP(FX110,chargement!$A:$P,16,FALSE),"")</f>
        <v/>
      </c>
      <c r="AX10" s="108" t="str">
        <f>IFERROR(VLOOKUP(FX110,chargement!A:I,9,FALSE),"")</f>
        <v/>
      </c>
      <c r="AY10" s="108" t="str">
        <f>IFERROR(VLOOKUP(FX110,chargement!$A:$H,8,FALSE),"")</f>
        <v/>
      </c>
      <c r="AZ10" s="110" t="str">
        <f>IFERROR(VLOOKUP(FX110,chargement!$A:$V,22,FALSE),"")</f>
        <v/>
      </c>
      <c r="BA10" s="460">
        <v>0.3</v>
      </c>
      <c r="BB10" s="460"/>
      <c r="BC10" s="62"/>
      <c r="BD10" s="62"/>
      <c r="BF10" s="455"/>
      <c r="BG10" s="108">
        <v>7609</v>
      </c>
      <c r="BH10" s="459" t="str">
        <f>IFERROR(VLOOKUP(FY113,chargement!A:V,14,FALSE),"")</f>
        <v/>
      </c>
      <c r="BI10" s="459"/>
      <c r="BJ10" s="111" t="str">
        <f>IFERROR(VLOOKUP(FY113,chargement!$A:$L,12,FALSE),"N. Programmé")</f>
        <v>N. Programmé</v>
      </c>
      <c r="BK10" s="109" t="str">
        <f>IFERROR(VLOOKUP(FY113,chargement!A:V,16,FALSE),"")</f>
        <v/>
      </c>
      <c r="BL10" s="108" t="str">
        <f>IFERROR(VLOOKUP(FY113,chargement!A:V,9,FALSE),"")</f>
        <v/>
      </c>
      <c r="BM10" s="108" t="str">
        <f>IFERROR(VLOOKUP(FY113,chargement!A:V,8,FALSE),"")</f>
        <v/>
      </c>
      <c r="BN10" s="110" t="str">
        <f>IFERROR(VLOOKUP(FY113,chargement!A:V,22,FALSE),"")</f>
        <v/>
      </c>
    </row>
    <row r="11" spans="1:71" ht="45" customHeight="1" x14ac:dyDescent="0.25">
      <c r="A11" s="64"/>
      <c r="B11" s="64"/>
      <c r="C11" s="556">
        <v>44927</v>
      </c>
      <c r="D11" s="556"/>
      <c r="E11" s="556"/>
      <c r="F11" s="556"/>
      <c r="G11" s="105"/>
      <c r="H11" s="477"/>
      <c r="I11" s="478"/>
      <c r="J11" s="500">
        <v>3</v>
      </c>
      <c r="K11" s="501"/>
      <c r="L11" s="512">
        <f>+SUMIFS(criblage!P:P,criblage!B:B,'I FILM'!$C$11,criblage!C:C,'I FILM'!J11)</f>
        <v>0</v>
      </c>
      <c r="M11" s="513"/>
      <c r="N11" s="514"/>
      <c r="O11" s="512">
        <f>+SUMIFS(criblage!O:O,criblage!B:B,'I FILM'!$C$11,criblage!C:C,'I FILM'!J11)</f>
        <v>5006</v>
      </c>
      <c r="P11" s="514"/>
      <c r="Q11" s="579" t="e">
        <f>SUMIFS(#REF!,#REF!,'I FILM'!C11)</f>
        <v>#REF!</v>
      </c>
      <c r="R11" s="580"/>
      <c r="S11" s="577" t="str">
        <f>IFERROR(O11/Q11,"")</f>
        <v/>
      </c>
      <c r="T11" s="578"/>
      <c r="U11" s="575">
        <f>SUMIFS(criblage!R:R,criblage!B:B,'I FILM'!$C$11,criblage!C:C,'I FILM'!J11)</f>
        <v>6.86</v>
      </c>
      <c r="V11" s="576"/>
      <c r="W11" s="528"/>
      <c r="X11" s="529"/>
      <c r="Y11" s="567"/>
      <c r="Z11" s="568"/>
      <c r="AA11" s="573"/>
      <c r="AB11" s="574"/>
      <c r="AC11" s="575" t="e">
        <f>1-O11/L11</f>
        <v>#DIV/0!</v>
      </c>
      <c r="AD11" s="576"/>
      <c r="AR11" s="455"/>
      <c r="AS11" s="108">
        <v>7607</v>
      </c>
      <c r="AT11" s="459" t="str">
        <f>IFERROR(VLOOKUP(FX111,chargement!$A:$V,14,FALSE),"")</f>
        <v/>
      </c>
      <c r="AU11" s="459"/>
      <c r="AV11" s="111" t="str">
        <f>IFERROR(VLOOKUP(FX111,chargement!$A:$L,12,FALSE),"N. Programmé")</f>
        <v>N. Programmé</v>
      </c>
      <c r="AW11" s="109" t="str">
        <f>IFERROR(VLOOKUP(FX111,chargement!$A:$P,16,FALSE),"")</f>
        <v/>
      </c>
      <c r="AX11" s="108" t="str">
        <f>IFERROR(VLOOKUP(FX111,chargement!A:I,9,FALSE),"")</f>
        <v/>
      </c>
      <c r="AY11" s="108" t="str">
        <f>IFERROR(VLOOKUP(FX111,chargement!$A:$H,8,FALSE),"")</f>
        <v/>
      </c>
      <c r="AZ11" s="110" t="str">
        <f>IFERROR(VLOOKUP(FX111,chargement!$A:$V,22,FALSE),"")</f>
        <v/>
      </c>
      <c r="BA11" s="460"/>
      <c r="BB11" s="460"/>
      <c r="BC11" s="62"/>
      <c r="BD11" s="62"/>
      <c r="BF11" s="455"/>
      <c r="BG11" s="108">
        <v>7607</v>
      </c>
      <c r="BH11" s="459" t="str">
        <f>IFERROR(VLOOKUP(FY114,chargement!A:V,14,FALSE),"")</f>
        <v/>
      </c>
      <c r="BI11" s="459"/>
      <c r="BJ11" s="111" t="str">
        <f>IFERROR(VLOOKUP(FY114,chargement!$A:$L,12,FALSE),"N. Programmé")</f>
        <v>N. Programmé</v>
      </c>
      <c r="BK11" s="109" t="str">
        <f>IFERROR(VLOOKUP(FY114,chargement!A:V,16,FALSE),"")</f>
        <v/>
      </c>
      <c r="BL11" s="108" t="str">
        <f>IFERROR(VLOOKUP(FY114,chargement!A:V,9,FALSE),"")</f>
        <v/>
      </c>
      <c r="BM11" s="108" t="str">
        <f>IFERROR(VLOOKUP(FY114,chargement!A:V,8,FALSE),"")</f>
        <v/>
      </c>
      <c r="BN11" s="110" t="str">
        <f>IFERROR(VLOOKUP(FY114,chargement!A:V,22,FALSE),"")</f>
        <v/>
      </c>
    </row>
    <row r="12" spans="1:71" ht="45" customHeight="1" x14ac:dyDescent="0.25">
      <c r="A12" s="64"/>
      <c r="B12" s="64"/>
      <c r="C12" s="556"/>
      <c r="D12" s="556"/>
      <c r="E12" s="556"/>
      <c r="F12" s="556"/>
      <c r="G12" s="105"/>
      <c r="H12" s="477"/>
      <c r="I12" s="478"/>
      <c r="J12" s="502" t="s">
        <v>291</v>
      </c>
      <c r="K12" s="503"/>
      <c r="L12" s="530">
        <f>SUM(L9:N11)</f>
        <v>0</v>
      </c>
      <c r="M12" s="537"/>
      <c r="N12" s="531"/>
      <c r="O12" s="530">
        <f>SUM(O9:P11)</f>
        <v>14861</v>
      </c>
      <c r="P12" s="531"/>
      <c r="Q12" s="538" t="e">
        <f>SUM(Q9:R11)</f>
        <v>#REF!</v>
      </c>
      <c r="R12" s="539"/>
      <c r="S12" s="530" t="str">
        <f>IFERROR(O12/Q12,"")</f>
        <v/>
      </c>
      <c r="T12" s="531"/>
      <c r="U12" s="538">
        <f>SUM(U9:V11)</f>
        <v>20.68</v>
      </c>
      <c r="V12" s="539"/>
      <c r="W12" s="538"/>
      <c r="X12" s="539"/>
      <c r="Y12" s="462">
        <f>(24-(SUMIFS('les arrets'!G:G,'les arrets'!B:B,'I FILM'!C11:G12,'les arrets'!J:J,"Mecanique")))/24</f>
        <v>1</v>
      </c>
      <c r="Z12" s="463"/>
      <c r="AA12" s="462" t="e">
        <f>(Q9+Q10+Q11)/(24-SUMIFS('les arrets'!G:G,'les arrets'!B:B,'I FILM'!C11:G12,'les arrets'!J:J,"Mecanique")-SUMIFS('les arrets'!G:G,'les arrets'!B:B,'I FILM'!C11:G12,'les arrets'!J:J,"Electrique")-SUMIFS('les arrets'!G:G,'les arrets'!B:B,'I FILM'!C11:G12,'les arrets'!J:J,"Electronique"))</f>
        <v>#REF!</v>
      </c>
      <c r="AB12" s="463"/>
      <c r="AC12" s="462" t="e">
        <f>1-O12/L12</f>
        <v>#DIV/0!</v>
      </c>
      <c r="AD12" s="463"/>
      <c r="AH12" s="63"/>
      <c r="AI12" s="63"/>
      <c r="AJ12" s="63"/>
      <c r="AK12" s="63"/>
      <c r="AL12" s="63"/>
      <c r="AM12" s="63"/>
      <c r="AN12" s="63"/>
      <c r="AO12" s="63"/>
      <c r="AP12" s="63"/>
      <c r="AR12" s="455"/>
      <c r="AS12" s="108">
        <v>7613</v>
      </c>
      <c r="AT12" s="459" t="str">
        <f>IFERROR(VLOOKUP(FX112,chargement!$A:$V,14,FALSE),"")</f>
        <v/>
      </c>
      <c r="AU12" s="459"/>
      <c r="AV12" s="111" t="str">
        <f>IFERROR(VLOOKUP(FX112,chargement!$A:$L,12,FALSE),"N. Programmé")</f>
        <v>N. Programmé</v>
      </c>
      <c r="AW12" s="109" t="str">
        <f>IFERROR(VLOOKUP(FX112,chargement!$A:$P,16,FALSE),"")</f>
        <v/>
      </c>
      <c r="AX12" s="108" t="str">
        <f>IFERROR(VLOOKUP(FX112,chargement!A:I,9,FALSE),"")</f>
        <v/>
      </c>
      <c r="AY12" s="108" t="str">
        <f>IFERROR(VLOOKUP(FX112,chargement!$A:$H,8,FALSE),"")</f>
        <v/>
      </c>
      <c r="AZ12" s="110" t="str">
        <f>IFERROR(VLOOKUP(FX112,chargement!$A:$V,22,FALSE),"")</f>
        <v/>
      </c>
      <c r="BA12" s="460"/>
      <c r="BB12" s="460"/>
      <c r="BC12" s="62"/>
      <c r="BD12" s="62"/>
      <c r="BF12" s="455"/>
      <c r="BG12" s="108">
        <v>7611</v>
      </c>
      <c r="BH12" s="459" t="str">
        <f>IFERROR(VLOOKUP(FY115,chargement!A:V,14,FALSE),"")</f>
        <v/>
      </c>
      <c r="BI12" s="459"/>
      <c r="BJ12" s="111" t="str">
        <f>IFERROR(VLOOKUP(FY115,chargement!$A:$L,12,FALSE),"N. Programmé")</f>
        <v>N. Programmé</v>
      </c>
      <c r="BK12" s="109" t="str">
        <f>IFERROR(VLOOKUP(FY115,chargement!A:V,16,FALSE),"")</f>
        <v/>
      </c>
      <c r="BL12" s="108" t="str">
        <f>IFERROR(VLOOKUP(FY115,chargement!A:V,9,FALSE),"")</f>
        <v/>
      </c>
      <c r="BM12" s="108" t="str">
        <f>IFERROR(VLOOKUP(FY115,chargement!A:V,8,FALSE),"")</f>
        <v/>
      </c>
      <c r="BN12" s="110" t="str">
        <f>IFERROR(VLOOKUP(FY115,chargement!A:V,22,FALSE),"")</f>
        <v/>
      </c>
    </row>
    <row r="13" spans="1:71" ht="45" customHeight="1" x14ac:dyDescent="0.25">
      <c r="A13" s="64"/>
      <c r="B13" s="64"/>
      <c r="C13" s="64"/>
      <c r="D13" s="64"/>
      <c r="E13" s="64"/>
      <c r="F13" s="64"/>
      <c r="G13" s="64"/>
      <c r="H13" s="477"/>
      <c r="I13" s="478"/>
      <c r="J13" s="504" t="s">
        <v>292</v>
      </c>
      <c r="K13" s="505"/>
      <c r="L13" s="490">
        <f>O13*1.15</f>
        <v>25426.499999999996</v>
      </c>
      <c r="M13" s="532"/>
      <c r="N13" s="491"/>
      <c r="O13" s="490">
        <f>Q13*1000</f>
        <v>22110</v>
      </c>
      <c r="P13" s="491"/>
      <c r="Q13" s="540">
        <v>22.11</v>
      </c>
      <c r="R13" s="541"/>
      <c r="S13" s="490">
        <v>1000</v>
      </c>
      <c r="T13" s="491"/>
      <c r="U13" s="540">
        <v>22.11</v>
      </c>
      <c r="V13" s="541"/>
      <c r="W13" s="540" t="s">
        <v>293</v>
      </c>
      <c r="X13" s="541"/>
      <c r="Y13" s="464">
        <v>0.97</v>
      </c>
      <c r="Z13" s="465"/>
      <c r="AA13" s="464">
        <v>0.95</v>
      </c>
      <c r="AB13" s="465"/>
      <c r="AC13" s="468" t="s">
        <v>294</v>
      </c>
      <c r="AD13" s="469"/>
      <c r="AH13" s="64"/>
      <c r="AI13" s="64"/>
      <c r="AJ13" s="64"/>
      <c r="AK13" s="64"/>
      <c r="AL13" s="64"/>
      <c r="AM13" s="64"/>
      <c r="AN13" s="64"/>
      <c r="AO13" s="64"/>
      <c r="AP13" s="64"/>
      <c r="AR13" s="455"/>
      <c r="AS13" s="108">
        <v>7615</v>
      </c>
      <c r="AT13" s="459" t="str">
        <f>IFERROR(VLOOKUP(FX113,chargement!$A:$V,14,FALSE),"")</f>
        <v/>
      </c>
      <c r="AU13" s="459"/>
      <c r="AV13" s="111" t="str">
        <f>IFERROR(VLOOKUP(FX113,chargement!$A:$L,12,FALSE),"N. Programmé")</f>
        <v>N. Programmé</v>
      </c>
      <c r="AW13" s="109" t="str">
        <f>IFERROR(VLOOKUP(FX113,chargement!$A:$P,16,FALSE),"")</f>
        <v/>
      </c>
      <c r="AX13" s="108" t="str">
        <f>IFERROR(VLOOKUP(FX113,chargement!A:I,9,FALSE),"")</f>
        <v/>
      </c>
      <c r="AY13" s="108" t="str">
        <f>IFERROR(VLOOKUP(FX113,chargement!$A:$H,8,FALSE),"")</f>
        <v/>
      </c>
      <c r="AZ13" s="110" t="str">
        <f>IFERROR(VLOOKUP(FX113,chargement!$A:$V,22,FALSE),"")</f>
        <v/>
      </c>
      <c r="BA13" s="62"/>
      <c r="BB13" s="62"/>
      <c r="BC13" s="62"/>
      <c r="BD13" s="62"/>
      <c r="BF13" s="455"/>
      <c r="BG13" s="108">
        <v>7615</v>
      </c>
      <c r="BH13" s="459" t="str">
        <f>IFERROR(VLOOKUP(FY116,chargement!A:V,14,FALSE),"")</f>
        <v/>
      </c>
      <c r="BI13" s="459"/>
      <c r="BJ13" s="111" t="str">
        <f>IFERROR(VLOOKUP(FY116,chargement!$A:$L,12,FALSE),"N. Programmé")</f>
        <v>N. Programmé</v>
      </c>
      <c r="BK13" s="109" t="str">
        <f>IFERROR(VLOOKUP(FY116,chargement!A:V,16,FALSE),"")</f>
        <v/>
      </c>
      <c r="BL13" s="108" t="str">
        <f>IFERROR(VLOOKUP(FY116,chargement!A:V,9,FALSE),"")</f>
        <v/>
      </c>
      <c r="BM13" s="108" t="str">
        <f>IFERROR(VLOOKUP(FY116,chargement!A:V,8,FALSE),"")</f>
        <v/>
      </c>
      <c r="BN13" s="110" t="str">
        <f>IFERROR(VLOOKUP(FY116,chargement!A:V,22,FALSE),"")</f>
        <v/>
      </c>
    </row>
    <row r="14" spans="1:71" ht="45" customHeight="1" x14ac:dyDescent="0.25">
      <c r="A14" s="64"/>
      <c r="B14" s="64"/>
      <c r="C14" s="64"/>
      <c r="D14" s="64"/>
      <c r="E14" s="64"/>
      <c r="F14" s="64"/>
      <c r="G14" s="64"/>
      <c r="H14" s="479"/>
      <c r="I14" s="480"/>
      <c r="J14" s="129" t="s">
        <v>295</v>
      </c>
      <c r="K14" s="130"/>
      <c r="L14" s="487">
        <f>L12/L13</f>
        <v>0</v>
      </c>
      <c r="M14" s="488"/>
      <c r="N14" s="489"/>
      <c r="O14" s="466">
        <f>O12/O13</f>
        <v>0.6721393034825871</v>
      </c>
      <c r="P14" s="467"/>
      <c r="Q14" s="466" t="e">
        <f>Q12/Q13</f>
        <v>#REF!</v>
      </c>
      <c r="R14" s="467"/>
      <c r="S14" s="466" t="str">
        <f>IFERROR(S12/S13,"")</f>
        <v/>
      </c>
      <c r="T14" s="467"/>
      <c r="U14" s="466">
        <f>U12/U13</f>
        <v>0.93532338308457708</v>
      </c>
      <c r="V14" s="467"/>
      <c r="W14" s="131"/>
      <c r="X14" s="132"/>
      <c r="Y14" s="466">
        <f>Y12/Y13</f>
        <v>1.0309278350515465</v>
      </c>
      <c r="Z14" s="467"/>
      <c r="AA14" s="466" t="e">
        <f>AA12/AA13</f>
        <v>#REF!</v>
      </c>
      <c r="AB14" s="467"/>
      <c r="AC14" s="133"/>
      <c r="AD14" s="134"/>
      <c r="AR14" s="455"/>
      <c r="AS14" s="108">
        <v>7619</v>
      </c>
      <c r="AT14" s="459" t="str">
        <f>IFERROR(VLOOKUP(FX114,chargement!$A:$V,14,FALSE),"")</f>
        <v/>
      </c>
      <c r="AU14" s="459"/>
      <c r="AV14" s="111" t="str">
        <f>IFERROR(VLOOKUP(FX114,chargement!$A:$L,12,FALSE),"N. Programmé")</f>
        <v>N. Programmé</v>
      </c>
      <c r="AW14" s="109" t="str">
        <f>IFERROR(VLOOKUP(FX114,chargement!$A:$P,16,FALSE),"")</f>
        <v/>
      </c>
      <c r="AX14" s="108" t="str">
        <f>IFERROR(VLOOKUP(FX114,chargement!A:I,9,FALSE),"")</f>
        <v/>
      </c>
      <c r="AY14" s="108" t="str">
        <f>IFERROR(VLOOKUP(FX114,chargement!$A:$H,8,FALSE),"")</f>
        <v/>
      </c>
      <c r="AZ14" s="110" t="str">
        <f>IFERROR(VLOOKUP(FX114,chargement!$A:$V,22,FALSE),"")</f>
        <v/>
      </c>
      <c r="BA14" s="62"/>
      <c r="BB14" s="62"/>
      <c r="BC14" s="62"/>
      <c r="BD14" s="62"/>
      <c r="BF14" s="455"/>
      <c r="BG14" s="108">
        <v>7619</v>
      </c>
      <c r="BH14" s="459" t="str">
        <f>IFERROR(VLOOKUP(FY117,chargement!A:V,14,FALSE),"")</f>
        <v/>
      </c>
      <c r="BI14" s="459"/>
      <c r="BJ14" s="111" t="str">
        <f>IFERROR(VLOOKUP(FY117,chargement!$A:$L,12,FALSE),"N. Programmé")</f>
        <v>N. Programmé</v>
      </c>
      <c r="BK14" s="109" t="str">
        <f>IFERROR(VLOOKUP(FY117,chargement!A:V,16,FALSE),"")</f>
        <v/>
      </c>
      <c r="BL14" s="108" t="str">
        <f>IFERROR(VLOOKUP(FY117,chargement!A:V,9,FALSE),"")</f>
        <v/>
      </c>
      <c r="BM14" s="108" t="str">
        <f>IFERROR(VLOOKUP(FY117,chargement!A:V,8,FALSE),"")</f>
        <v/>
      </c>
      <c r="BN14" s="110" t="str">
        <f>IFERROR(VLOOKUP(FY117,chargement!A:V,22,FALSE),"")</f>
        <v/>
      </c>
    </row>
    <row r="15" spans="1:71" x14ac:dyDescent="0.25">
      <c r="AR15" s="57">
        <v>3</v>
      </c>
      <c r="AS15" s="57">
        <v>1</v>
      </c>
      <c r="AT15" s="57">
        <v>2</v>
      </c>
      <c r="AU15" s="57">
        <v>3</v>
      </c>
      <c r="AV15" s="57">
        <v>4</v>
      </c>
      <c r="AW15" s="57"/>
      <c r="AX15" s="57"/>
      <c r="AY15" s="57">
        <v>1</v>
      </c>
      <c r="AZ15" s="57">
        <v>1</v>
      </c>
      <c r="BA15" s="57">
        <v>2</v>
      </c>
      <c r="BB15" s="57">
        <v>3</v>
      </c>
      <c r="BC15" s="57">
        <v>4</v>
      </c>
      <c r="BD15" s="57"/>
      <c r="BE15" s="57"/>
      <c r="BF15" s="57">
        <v>2</v>
      </c>
      <c r="BG15" s="57">
        <v>1</v>
      </c>
      <c r="BH15" s="57">
        <v>2</v>
      </c>
      <c r="BI15" s="57">
        <v>3</v>
      </c>
      <c r="BJ15" s="57">
        <v>4</v>
      </c>
      <c r="BK15" s="57"/>
      <c r="BL15" s="57"/>
      <c r="BM15" s="57">
        <v>3</v>
      </c>
      <c r="BN15" s="57">
        <v>1</v>
      </c>
      <c r="BO15" s="57">
        <v>2</v>
      </c>
      <c r="BP15" s="57">
        <v>3</v>
      </c>
      <c r="BQ15" s="57">
        <v>4</v>
      </c>
      <c r="BR15" s="57"/>
      <c r="BS15" s="102"/>
    </row>
    <row r="16" spans="1:71" ht="42" customHeight="1" x14ac:dyDescent="0.25">
      <c r="A16" s="585" t="s">
        <v>242</v>
      </c>
      <c r="B16" s="585"/>
      <c r="C16" s="586" t="s">
        <v>448</v>
      </c>
      <c r="D16" s="586"/>
      <c r="E16" s="586"/>
      <c r="F16" s="586"/>
      <c r="G16" s="586"/>
      <c r="H16" s="586"/>
      <c r="I16" s="586"/>
      <c r="J16" s="586"/>
      <c r="K16" s="586" t="s">
        <v>449</v>
      </c>
      <c r="L16" s="586"/>
      <c r="M16" s="586"/>
      <c r="N16" s="586"/>
      <c r="O16" s="586"/>
      <c r="P16" s="586"/>
      <c r="Q16" s="586"/>
      <c r="R16" s="586"/>
      <c r="S16" s="586"/>
      <c r="T16" s="586"/>
      <c r="U16" s="586"/>
      <c r="V16" s="586"/>
      <c r="W16" s="586" t="s">
        <v>450</v>
      </c>
      <c r="X16" s="586"/>
      <c r="Y16" s="586"/>
      <c r="Z16" s="586"/>
      <c r="AA16" s="586"/>
      <c r="AB16" s="586"/>
      <c r="AC16" s="586"/>
      <c r="AD16" s="586"/>
      <c r="AE16" s="586"/>
      <c r="AF16" s="586"/>
      <c r="AG16" s="586"/>
      <c r="AQ16" s="558" t="s">
        <v>242</v>
      </c>
      <c r="AR16" s="545" t="s">
        <v>349</v>
      </c>
      <c r="AS16" s="546"/>
      <c r="AT16" s="546"/>
      <c r="AU16" s="546"/>
      <c r="AV16" s="546"/>
      <c r="AW16" s="546"/>
      <c r="AX16" s="546"/>
      <c r="AY16" s="583" t="s">
        <v>350</v>
      </c>
      <c r="AZ16" s="583"/>
      <c r="BA16" s="583"/>
      <c r="BB16" s="583"/>
      <c r="BC16" s="583"/>
      <c r="BD16" s="583"/>
      <c r="BE16" s="583"/>
      <c r="BF16" s="582" t="s">
        <v>351</v>
      </c>
      <c r="BG16" s="582"/>
      <c r="BH16" s="582"/>
      <c r="BI16" s="582"/>
      <c r="BJ16" s="582"/>
      <c r="BK16" s="582"/>
      <c r="BL16" s="582"/>
      <c r="BM16" s="582" t="s">
        <v>352</v>
      </c>
      <c r="BN16" s="582"/>
      <c r="BO16" s="582"/>
      <c r="BP16" s="582"/>
      <c r="BQ16" s="582"/>
      <c r="BR16" s="582"/>
      <c r="BS16" s="582"/>
    </row>
    <row r="17" spans="1:77" ht="51" customHeight="1" x14ac:dyDescent="0.25">
      <c r="A17" s="585"/>
      <c r="B17" s="585"/>
      <c r="C17" s="562" t="s">
        <v>296</v>
      </c>
      <c r="D17" s="562"/>
      <c r="E17" s="562"/>
      <c r="F17" s="562"/>
      <c r="G17" s="562"/>
      <c r="H17" s="562"/>
      <c r="I17" s="562"/>
      <c r="J17" s="562"/>
      <c r="K17" s="562" t="s">
        <v>297</v>
      </c>
      <c r="L17" s="562"/>
      <c r="M17" s="562"/>
      <c r="N17" s="562"/>
      <c r="O17" s="562"/>
      <c r="P17" s="562"/>
      <c r="Q17" s="562"/>
      <c r="R17" s="562"/>
      <c r="S17" s="562"/>
      <c r="T17" s="562"/>
      <c r="U17" s="562"/>
      <c r="V17" s="562"/>
      <c r="W17" s="562" t="s">
        <v>298</v>
      </c>
      <c r="X17" s="562"/>
      <c r="Y17" s="562"/>
      <c r="Z17" s="562"/>
      <c r="AA17" s="562"/>
      <c r="AB17" s="562"/>
      <c r="AC17" s="562"/>
      <c r="AD17" s="562"/>
      <c r="AE17" s="562"/>
      <c r="AF17" s="562"/>
      <c r="AG17" s="562"/>
      <c r="AQ17" s="558"/>
      <c r="AR17" s="522" t="s">
        <v>298</v>
      </c>
      <c r="AS17" s="523"/>
      <c r="AT17" s="523"/>
      <c r="AU17" s="523"/>
      <c r="AV17" s="523"/>
      <c r="AW17" s="523"/>
      <c r="AX17" s="523"/>
      <c r="AY17" s="523" t="s">
        <v>296</v>
      </c>
      <c r="AZ17" s="523"/>
      <c r="BA17" s="523"/>
      <c r="BB17" s="523"/>
      <c r="BC17" s="523"/>
      <c r="BD17" s="523"/>
      <c r="BE17" s="523"/>
      <c r="BF17" s="523" t="s">
        <v>297</v>
      </c>
      <c r="BG17" s="523"/>
      <c r="BH17" s="523"/>
      <c r="BI17" s="523"/>
      <c r="BJ17" s="523"/>
      <c r="BK17" s="523"/>
      <c r="BL17" s="523"/>
      <c r="BM17" s="523" t="s">
        <v>298</v>
      </c>
      <c r="BN17" s="523"/>
      <c r="BO17" s="523"/>
      <c r="BP17" s="523"/>
      <c r="BQ17" s="523"/>
      <c r="BR17" s="523"/>
      <c r="BS17" s="523"/>
    </row>
    <row r="18" spans="1:77" ht="45" customHeight="1" x14ac:dyDescent="0.25">
      <c r="A18" s="590" t="s">
        <v>299</v>
      </c>
      <c r="B18" s="590"/>
      <c r="C18" s="562" t="s">
        <v>269</v>
      </c>
      <c r="D18" s="562"/>
      <c r="E18" s="551" t="s">
        <v>271</v>
      </c>
      <c r="F18" s="552"/>
      <c r="G18" s="552"/>
      <c r="H18" s="552"/>
      <c r="I18" s="552"/>
      <c r="J18" s="552"/>
      <c r="K18" s="562" t="s">
        <v>269</v>
      </c>
      <c r="L18" s="562"/>
      <c r="M18" s="551" t="s">
        <v>271</v>
      </c>
      <c r="N18" s="552"/>
      <c r="O18" s="552"/>
      <c r="P18" s="552"/>
      <c r="Q18" s="552"/>
      <c r="R18" s="552"/>
      <c r="S18" s="552"/>
      <c r="T18" s="552"/>
      <c r="U18" s="552"/>
      <c r="V18" s="559"/>
      <c r="W18" s="562" t="s">
        <v>269</v>
      </c>
      <c r="X18" s="562"/>
      <c r="Y18" s="562" t="s">
        <v>271</v>
      </c>
      <c r="Z18" s="562"/>
      <c r="AA18" s="562"/>
      <c r="AB18" s="562"/>
      <c r="AC18" s="562"/>
      <c r="AD18" s="562"/>
      <c r="AE18" s="562"/>
      <c r="AF18" s="562"/>
      <c r="AG18" s="562"/>
      <c r="AQ18" s="557" t="s">
        <v>299</v>
      </c>
      <c r="AR18" s="517" t="s">
        <v>269</v>
      </c>
      <c r="AS18" s="518"/>
      <c r="AT18" s="518" t="s">
        <v>271</v>
      </c>
      <c r="AU18" s="518"/>
      <c r="AV18" s="518"/>
      <c r="AW18" s="518"/>
      <c r="AX18" s="518"/>
      <c r="AY18" s="518" t="s">
        <v>269</v>
      </c>
      <c r="AZ18" s="518"/>
      <c r="BA18" s="518" t="s">
        <v>271</v>
      </c>
      <c r="BB18" s="518"/>
      <c r="BC18" s="518"/>
      <c r="BD18" s="518"/>
      <c r="BE18" s="518"/>
      <c r="BF18" s="518" t="s">
        <v>269</v>
      </c>
      <c r="BG18" s="518"/>
      <c r="BH18" s="518" t="s">
        <v>271</v>
      </c>
      <c r="BI18" s="518"/>
      <c r="BJ18" s="518"/>
      <c r="BK18" s="518"/>
      <c r="BL18" s="518"/>
      <c r="BM18" s="518" t="s">
        <v>269</v>
      </c>
      <c r="BN18" s="518"/>
      <c r="BO18" s="518" t="s">
        <v>271</v>
      </c>
      <c r="BP18" s="518"/>
      <c r="BQ18" s="518"/>
      <c r="BR18" s="518"/>
      <c r="BS18" s="518"/>
    </row>
    <row r="19" spans="1:77" ht="40.5" customHeight="1" x14ac:dyDescent="0.25">
      <c r="A19" s="590"/>
      <c r="B19" s="590"/>
      <c r="C19" s="157" t="s">
        <v>452</v>
      </c>
      <c r="D19" s="157" t="s">
        <v>300</v>
      </c>
      <c r="E19" s="553"/>
      <c r="F19" s="554"/>
      <c r="G19" s="554"/>
      <c r="H19" s="554"/>
      <c r="I19" s="554"/>
      <c r="J19" s="554"/>
      <c r="K19" s="157" t="s">
        <v>452</v>
      </c>
      <c r="L19" s="157" t="s">
        <v>300</v>
      </c>
      <c r="M19" s="553"/>
      <c r="N19" s="554"/>
      <c r="O19" s="554"/>
      <c r="P19" s="554"/>
      <c r="Q19" s="554"/>
      <c r="R19" s="554"/>
      <c r="S19" s="554"/>
      <c r="T19" s="554"/>
      <c r="U19" s="554"/>
      <c r="V19" s="560"/>
      <c r="W19" s="157" t="s">
        <v>452</v>
      </c>
      <c r="X19" s="157" t="s">
        <v>300</v>
      </c>
      <c r="Y19" s="562"/>
      <c r="Z19" s="562"/>
      <c r="AA19" s="562"/>
      <c r="AB19" s="562"/>
      <c r="AC19" s="562"/>
      <c r="AD19" s="562"/>
      <c r="AE19" s="562"/>
      <c r="AF19" s="562"/>
      <c r="AG19" s="562"/>
      <c r="AQ19" s="557"/>
      <c r="AR19" s="160" t="s">
        <v>452</v>
      </c>
      <c r="AS19" s="159" t="s">
        <v>300</v>
      </c>
      <c r="AT19" s="518"/>
      <c r="AU19" s="518"/>
      <c r="AV19" s="518"/>
      <c r="AW19" s="518"/>
      <c r="AX19" s="518"/>
      <c r="AY19" s="159" t="s">
        <v>452</v>
      </c>
      <c r="AZ19" s="159" t="s">
        <v>300</v>
      </c>
      <c r="BA19" s="518"/>
      <c r="BB19" s="518"/>
      <c r="BC19" s="518"/>
      <c r="BD19" s="518"/>
      <c r="BE19" s="518"/>
      <c r="BF19" s="159" t="s">
        <v>452</v>
      </c>
      <c r="BG19" s="159" t="s">
        <v>300</v>
      </c>
      <c r="BH19" s="518"/>
      <c r="BI19" s="518"/>
      <c r="BJ19" s="518"/>
      <c r="BK19" s="518"/>
      <c r="BL19" s="518"/>
      <c r="BM19" s="159" t="s">
        <v>452</v>
      </c>
      <c r="BN19" s="159" t="s">
        <v>300</v>
      </c>
      <c r="BO19" s="518"/>
      <c r="BP19" s="518"/>
      <c r="BQ19" s="518"/>
      <c r="BR19" s="518"/>
      <c r="BS19" s="518"/>
    </row>
    <row r="20" spans="1:77" ht="52.5" customHeight="1" x14ac:dyDescent="0.25">
      <c r="A20" s="590"/>
      <c r="B20" s="590"/>
      <c r="C20" s="119"/>
      <c r="D20" s="143"/>
      <c r="E20" s="547"/>
      <c r="F20" s="548"/>
      <c r="G20" s="548"/>
      <c r="H20" s="548"/>
      <c r="I20" s="548"/>
      <c r="J20" s="548"/>
      <c r="K20" s="119"/>
      <c r="L20" s="143"/>
      <c r="M20" s="547"/>
      <c r="N20" s="548"/>
      <c r="O20" s="548"/>
      <c r="P20" s="548"/>
      <c r="Q20" s="548"/>
      <c r="R20" s="548"/>
      <c r="S20" s="548"/>
      <c r="T20" s="548"/>
      <c r="U20" s="548"/>
      <c r="V20" s="555"/>
      <c r="W20" s="119"/>
      <c r="X20" s="119"/>
      <c r="Y20" s="561"/>
      <c r="Z20" s="561"/>
      <c r="AA20" s="561"/>
      <c r="AB20" s="561"/>
      <c r="AC20" s="561"/>
      <c r="AD20" s="561"/>
      <c r="AE20" s="561"/>
      <c r="AF20" s="561"/>
      <c r="AG20" s="561"/>
      <c r="AQ20" s="557"/>
      <c r="AR20" s="112">
        <f>IFERROR(AS20*60,"")</f>
        <v>0</v>
      </c>
      <c r="AS20" s="103" t="str">
        <f>IFERROR(VLOOKUP(FO115,'arrets Chargement'!$A:$M,8,FALSE),"0")</f>
        <v>0</v>
      </c>
      <c r="AT20" s="65" t="str">
        <f>IFERROR(VLOOKUP(FO115,'arrets Chargement'!$A:$M,12,FALSE),"")</f>
        <v/>
      </c>
      <c r="AU20" s="66"/>
      <c r="AV20" s="66"/>
      <c r="AW20" s="66"/>
      <c r="AX20" s="67"/>
      <c r="AY20" s="68">
        <f>AZ20*60</f>
        <v>0</v>
      </c>
      <c r="AZ20" s="104" t="str">
        <f>IFERROR(VLOOKUP(FO116,'arrets Chargement'!$A:$M,8,FALSE),"0")</f>
        <v>0</v>
      </c>
      <c r="BA20" s="66" t="str">
        <f>IFERROR(VLOOKUP(FO116,'arrets Chargement'!$A:$M,12,FALSE),"")</f>
        <v/>
      </c>
      <c r="BB20" s="66"/>
      <c r="BC20" s="66"/>
      <c r="BD20" s="66"/>
      <c r="BE20" s="67"/>
      <c r="BF20" s="68">
        <f>BG20*60</f>
        <v>0</v>
      </c>
      <c r="BG20" s="104" t="str">
        <f>IFERROR(VLOOKUP(FO$117,'arrets Chargement'!$A:$M,8,FALSE),"0")</f>
        <v>0</v>
      </c>
      <c r="BH20" s="66" t="str">
        <f>IFERROR(VLOOKUP(FO$117,'arrets Chargement'!$A:$M,12,FALSE),"")</f>
        <v/>
      </c>
      <c r="BI20" s="66"/>
      <c r="BJ20" s="66"/>
      <c r="BK20" s="66"/>
      <c r="BL20" s="67"/>
      <c r="BM20" s="68">
        <f>BN20*60</f>
        <v>0</v>
      </c>
      <c r="BN20" s="104" t="str">
        <f>IFERROR(VLOOKUP(FO118,'arrets Chargement'!$A:$M,8,FALSE),"0")</f>
        <v>0</v>
      </c>
      <c r="BO20" s="66" t="str">
        <f>IFERROR(VLOOKUP(FO118,'arrets Chargement'!$A:$M,12,FALSE),"")</f>
        <v/>
      </c>
      <c r="BP20" s="66"/>
      <c r="BQ20" s="66"/>
      <c r="BR20" s="66"/>
      <c r="BS20" s="67"/>
    </row>
    <row r="21" spans="1:77" ht="52.5" customHeight="1" x14ac:dyDescent="0.25">
      <c r="A21" s="590"/>
      <c r="B21" s="590"/>
      <c r="C21" s="119"/>
      <c r="D21" s="144"/>
      <c r="E21" s="547"/>
      <c r="F21" s="548"/>
      <c r="G21" s="548"/>
      <c r="H21" s="548"/>
      <c r="I21" s="548"/>
      <c r="J21" s="548"/>
      <c r="K21" s="119"/>
      <c r="L21" s="143"/>
      <c r="M21" s="547"/>
      <c r="N21" s="548"/>
      <c r="O21" s="548"/>
      <c r="P21" s="548"/>
      <c r="Q21" s="548"/>
      <c r="R21" s="548"/>
      <c r="S21" s="548"/>
      <c r="T21" s="548"/>
      <c r="U21" s="548"/>
      <c r="V21" s="555"/>
      <c r="W21" s="119"/>
      <c r="X21" s="119"/>
      <c r="Y21" s="561"/>
      <c r="Z21" s="561"/>
      <c r="AA21" s="561"/>
      <c r="AB21" s="561"/>
      <c r="AC21" s="561"/>
      <c r="AD21" s="561"/>
      <c r="AE21" s="561"/>
      <c r="AF21" s="561"/>
      <c r="AG21" s="561"/>
      <c r="AQ21" s="557"/>
      <c r="AR21" s="112">
        <f>IFERROR(AS21*60,"")</f>
        <v>0</v>
      </c>
      <c r="AS21" s="103" t="str">
        <f>IFERROR(VLOOKUP(FP116,'arrets Chargement'!$A:$M,8,FALSE),"0")</f>
        <v>0</v>
      </c>
      <c r="AT21" s="65" t="str">
        <f>IFERROR(VLOOKUP(FP115,'arrets Chargement'!$A:$M,12,FALSE),"")</f>
        <v/>
      </c>
      <c r="AU21" s="66"/>
      <c r="AV21" s="66"/>
      <c r="AW21" s="66"/>
      <c r="AX21" s="67"/>
      <c r="AY21" s="68">
        <f>AZ21*60</f>
        <v>0</v>
      </c>
      <c r="AZ21" s="104" t="str">
        <f>IFERROR(VLOOKUP(FP116,'arrets Chargement'!$A:$M,8,FALSE),"0")</f>
        <v>0</v>
      </c>
      <c r="BA21" s="66" t="str">
        <f>IFERROR(VLOOKUP(FP116,'arrets Chargement'!$A:$M,12,FALSE),"")</f>
        <v/>
      </c>
      <c r="BB21" s="66"/>
      <c r="BC21" s="66"/>
      <c r="BD21" s="66"/>
      <c r="BE21" s="67"/>
      <c r="BF21" s="68">
        <f>BG21*60</f>
        <v>0</v>
      </c>
      <c r="BG21" s="104" t="str">
        <f>IFERROR(VLOOKUP(FP$117,'arrets Chargement'!$A:$M,8,FALSE),"0")</f>
        <v>0</v>
      </c>
      <c r="BH21" s="66" t="str">
        <f>IFERROR(VLOOKUP(FP$117,'arrets Chargement'!$A:$M,12,FALSE),"")</f>
        <v/>
      </c>
      <c r="BI21" s="66"/>
      <c r="BJ21" s="66"/>
      <c r="BK21" s="66"/>
      <c r="BL21" s="67"/>
      <c r="BM21" s="68">
        <f>BN21*60</f>
        <v>0</v>
      </c>
      <c r="BN21" s="104" t="str">
        <f>IFERROR(VLOOKUP(FP118,'arrets Chargement'!$A:$M,8,FALSE),"0")</f>
        <v>0</v>
      </c>
      <c r="BO21" s="66" t="str">
        <f>IFERROR(VLOOKUP(FP118,'arrets Chargement'!$A:$M,12,FALSE),"")</f>
        <v/>
      </c>
      <c r="BP21" s="66"/>
      <c r="BQ21" s="66"/>
      <c r="BR21" s="66"/>
      <c r="BS21" s="67"/>
    </row>
    <row r="22" spans="1:77" ht="52.5" customHeight="1" x14ac:dyDescent="0.25">
      <c r="A22" s="590"/>
      <c r="B22" s="590"/>
      <c r="C22" s="119"/>
      <c r="D22" s="143"/>
      <c r="E22" s="547"/>
      <c r="F22" s="548"/>
      <c r="G22" s="548"/>
      <c r="H22" s="548"/>
      <c r="I22" s="548"/>
      <c r="J22" s="548"/>
      <c r="K22" s="119"/>
      <c r="L22" s="143"/>
      <c r="M22" s="547"/>
      <c r="N22" s="548"/>
      <c r="O22" s="548"/>
      <c r="P22" s="548"/>
      <c r="Q22" s="548"/>
      <c r="R22" s="548"/>
      <c r="S22" s="548"/>
      <c r="T22" s="548"/>
      <c r="U22" s="548"/>
      <c r="V22" s="555"/>
      <c r="W22" s="119"/>
      <c r="X22" s="119"/>
      <c r="Y22" s="561">
        <v>3</v>
      </c>
      <c r="Z22" s="561"/>
      <c r="AA22" s="561"/>
      <c r="AB22" s="561"/>
      <c r="AC22" s="561"/>
      <c r="AD22" s="561"/>
      <c r="AE22" s="561"/>
      <c r="AF22" s="561"/>
      <c r="AG22" s="561"/>
      <c r="AQ22" s="557"/>
      <c r="AR22" s="112">
        <f>IFERROR(AS22*60,"")</f>
        <v>0</v>
      </c>
      <c r="AS22" s="103" t="str">
        <f>IFERROR(VLOOKUP(FQ117,'arrets Chargement'!$A:$M,8,FALSE),"0")</f>
        <v>0</v>
      </c>
      <c r="AT22" s="65" t="str">
        <f>IFERROR(VLOOKUP(FQ115,'arrets Chargement'!$A:$M,12,FALSE),"")</f>
        <v/>
      </c>
      <c r="AU22" s="66"/>
      <c r="AV22" s="66"/>
      <c r="AW22" s="66"/>
      <c r="AX22" s="67"/>
      <c r="AY22" s="68">
        <f>AZ22*60</f>
        <v>0</v>
      </c>
      <c r="AZ22" s="104" t="str">
        <f>IFERROR(VLOOKUP(FQ116,'arrets Chargement'!$A:$M,8,FALSE),"0")</f>
        <v>0</v>
      </c>
      <c r="BA22" s="66" t="str">
        <f>IFERROR(VLOOKUP(FQ116,'arrets Chargement'!$A:$M,12,FALSE),"")</f>
        <v/>
      </c>
      <c r="BB22" s="66"/>
      <c r="BC22" s="66"/>
      <c r="BD22" s="66"/>
      <c r="BE22" s="67"/>
      <c r="BF22" s="68">
        <f>BG22*60</f>
        <v>0</v>
      </c>
      <c r="BG22" s="104" t="str">
        <f>IFERROR(VLOOKUP(FQ$117,'arrets Chargement'!$A:$M,8,FALSE),"0")</f>
        <v>0</v>
      </c>
      <c r="BH22" s="66" t="str">
        <f>IFERROR(VLOOKUP(FQ$117,'arrets Chargement'!$A:$M,12,FALSE),"")</f>
        <v/>
      </c>
      <c r="BI22" s="66"/>
      <c r="BJ22" s="66"/>
      <c r="BK22" s="66"/>
      <c r="BL22" s="67"/>
      <c r="BM22" s="68">
        <f>BN22*60</f>
        <v>0</v>
      </c>
      <c r="BN22" s="104" t="str">
        <f>IFERROR(VLOOKUP(FQ118,'arrets Chargement'!$A:$M,8,FALSE),"0")</f>
        <v>0</v>
      </c>
      <c r="BO22" s="66" t="str">
        <f>IFERROR(VLOOKUP(FQ118,'arrets Chargement'!$A:$M,12,FALSE),"")</f>
        <v/>
      </c>
      <c r="BP22" s="66"/>
      <c r="BQ22" s="66"/>
      <c r="BR22" s="66"/>
      <c r="BS22" s="67"/>
    </row>
    <row r="23" spans="1:77" ht="52.5" customHeight="1" x14ac:dyDescent="0.25">
      <c r="A23" s="590"/>
      <c r="B23" s="590"/>
      <c r="C23" s="119"/>
      <c r="D23" s="143"/>
      <c r="E23" s="547"/>
      <c r="F23" s="548"/>
      <c r="G23" s="548"/>
      <c r="H23" s="548"/>
      <c r="I23" s="548"/>
      <c r="J23" s="548"/>
      <c r="K23" s="119"/>
      <c r="L23" s="143"/>
      <c r="M23" s="547"/>
      <c r="N23" s="548"/>
      <c r="O23" s="548"/>
      <c r="P23" s="548"/>
      <c r="Q23" s="548"/>
      <c r="R23" s="548"/>
      <c r="S23" s="548"/>
      <c r="T23" s="548"/>
      <c r="U23" s="548"/>
      <c r="V23" s="555"/>
      <c r="W23" s="119"/>
      <c r="X23" s="119"/>
      <c r="Y23" s="547"/>
      <c r="Z23" s="548"/>
      <c r="AA23" s="548"/>
      <c r="AB23" s="548"/>
      <c r="AC23" s="548"/>
      <c r="AD23" s="548"/>
      <c r="AE23" s="548"/>
      <c r="AF23" s="548"/>
      <c r="AG23" s="555"/>
      <c r="AQ23" s="557"/>
      <c r="AR23" s="112">
        <f>IFERROR(AS23*60,"")</f>
        <v>0</v>
      </c>
      <c r="AS23" s="103" t="str">
        <f>IFERROR(VLOOKUP(FR118,'arrets Chargement'!$A:$M,8,FALSE),"0")</f>
        <v>0</v>
      </c>
      <c r="AT23" s="65" t="str">
        <f>IFERROR(VLOOKUP(FR115,'arrets Chargement'!$A:$M,12,FALSE),"")</f>
        <v/>
      </c>
      <c r="AU23" s="66"/>
      <c r="AV23" s="66"/>
      <c r="AW23" s="66"/>
      <c r="AX23" s="67"/>
      <c r="AY23" s="68">
        <f>AZ23*60</f>
        <v>0</v>
      </c>
      <c r="AZ23" s="104" t="str">
        <f>IFERROR(VLOOKUP(FR116,'arrets Chargement'!$A:$M,8,FALSE),"0")</f>
        <v>0</v>
      </c>
      <c r="BA23" s="66" t="str">
        <f>IFERROR(VLOOKUP(FR116,'arrets Chargement'!$A:$M,12,FALSE),"")</f>
        <v/>
      </c>
      <c r="BB23" s="66"/>
      <c r="BC23" s="66"/>
      <c r="BD23" s="66"/>
      <c r="BE23" s="67"/>
      <c r="BF23" s="68">
        <f>BG23*60</f>
        <v>0</v>
      </c>
      <c r="BG23" s="104" t="str">
        <f>IFERROR(VLOOKUP(FR$117,'arrets Chargement'!$A:$M,8,FALSE),"0")</f>
        <v>0</v>
      </c>
      <c r="BH23" s="66" t="str">
        <f>IFERROR(VLOOKUP(FR$117,'arrets Chargement'!$A:$M,12,FALSE),"")</f>
        <v/>
      </c>
      <c r="BI23" s="66"/>
      <c r="BJ23" s="66"/>
      <c r="BK23" s="66"/>
      <c r="BL23" s="67"/>
      <c r="BM23" s="68">
        <f>BN23*60</f>
        <v>0</v>
      </c>
      <c r="BN23" s="104" t="str">
        <f>IFERROR(VLOOKUP(FR118,'arrets Chargement'!$A:$M,8,FALSE),"0")</f>
        <v>0</v>
      </c>
      <c r="BO23" s="66" t="str">
        <f>IFERROR(VLOOKUP(FR118,'arrets Chargement'!$A:$M,12,FALSE),"")</f>
        <v/>
      </c>
      <c r="BP23" s="66"/>
      <c r="BQ23" s="66"/>
      <c r="BR23" s="66"/>
      <c r="BS23" s="67"/>
    </row>
    <row r="24" spans="1:77" ht="52.5" customHeight="1" x14ac:dyDescent="0.25">
      <c r="A24" s="590"/>
      <c r="B24" s="590"/>
      <c r="C24" s="119"/>
      <c r="D24" s="143"/>
      <c r="E24" s="547"/>
      <c r="F24" s="548"/>
      <c r="G24" s="548"/>
      <c r="H24" s="548"/>
      <c r="I24" s="548"/>
      <c r="J24" s="548"/>
      <c r="K24" s="119"/>
      <c r="L24" s="143"/>
      <c r="M24" s="547"/>
      <c r="N24" s="548"/>
      <c r="O24" s="548"/>
      <c r="P24" s="548"/>
      <c r="Q24" s="548"/>
      <c r="R24" s="548"/>
      <c r="S24" s="548"/>
      <c r="T24" s="548"/>
      <c r="U24" s="548"/>
      <c r="V24" s="555"/>
      <c r="W24" s="119"/>
      <c r="X24" s="119"/>
      <c r="Y24" s="561"/>
      <c r="Z24" s="561"/>
      <c r="AA24" s="561"/>
      <c r="AB24" s="561"/>
      <c r="AC24" s="561"/>
      <c r="AD24" s="561"/>
      <c r="AE24" s="561"/>
      <c r="AF24" s="561"/>
      <c r="AG24" s="561"/>
      <c r="AQ24" s="557"/>
      <c r="AR24" s="112"/>
      <c r="AS24" s="165"/>
      <c r="AT24" s="65"/>
      <c r="AU24" s="66"/>
      <c r="AV24" s="66"/>
      <c r="AW24" s="66"/>
      <c r="AX24" s="67"/>
      <c r="AY24" s="68"/>
      <c r="AZ24" s="165"/>
      <c r="BA24" s="66"/>
      <c r="BB24" s="66"/>
      <c r="BC24" s="66"/>
      <c r="BD24" s="66"/>
      <c r="BE24" s="67"/>
      <c r="BF24" s="68"/>
      <c r="BG24" s="165"/>
      <c r="BH24" s="66"/>
      <c r="BI24" s="66"/>
      <c r="BJ24" s="66"/>
      <c r="BK24" s="66"/>
      <c r="BL24" s="67"/>
      <c r="BM24" s="68"/>
      <c r="BN24" s="165"/>
      <c r="BO24" s="66"/>
      <c r="BP24" s="66"/>
      <c r="BQ24" s="66"/>
      <c r="BR24" s="66"/>
      <c r="BS24" s="67"/>
      <c r="BY24" s="155" t="s">
        <v>488</v>
      </c>
    </row>
    <row r="25" spans="1:77" ht="52.5" customHeight="1" x14ac:dyDescent="0.25">
      <c r="A25" s="590"/>
      <c r="B25" s="590"/>
      <c r="C25" s="119"/>
      <c r="D25" s="143"/>
      <c r="E25" s="547"/>
      <c r="F25" s="548"/>
      <c r="G25" s="548"/>
      <c r="H25" s="548"/>
      <c r="I25" s="548"/>
      <c r="J25" s="548"/>
      <c r="K25" s="119"/>
      <c r="L25" s="143"/>
      <c r="M25" s="547"/>
      <c r="N25" s="548"/>
      <c r="O25" s="548"/>
      <c r="P25" s="548"/>
      <c r="Q25" s="548"/>
      <c r="R25" s="548"/>
      <c r="S25" s="548"/>
      <c r="T25" s="548"/>
      <c r="U25" s="548"/>
      <c r="V25" s="555"/>
      <c r="W25" s="119"/>
      <c r="X25" s="119"/>
      <c r="Y25" s="561"/>
      <c r="Z25" s="561"/>
      <c r="AA25" s="561"/>
      <c r="AB25" s="561"/>
      <c r="AC25" s="561"/>
      <c r="AD25" s="561"/>
      <c r="AE25" s="561"/>
      <c r="AF25" s="561"/>
      <c r="AG25" s="561"/>
      <c r="AQ25" s="557"/>
      <c r="AR25" s="112"/>
      <c r="AS25" s="165"/>
      <c r="AT25" s="65"/>
      <c r="AU25" s="66"/>
      <c r="AV25" s="66"/>
      <c r="AW25" s="66"/>
      <c r="AX25" s="67"/>
      <c r="AY25" s="68"/>
      <c r="AZ25" s="165"/>
      <c r="BA25" s="66"/>
      <c r="BB25" s="66"/>
      <c r="BC25" s="66"/>
      <c r="BD25" s="66"/>
      <c r="BE25" s="67"/>
      <c r="BF25" s="68"/>
      <c r="BG25" s="165"/>
      <c r="BH25" s="66"/>
      <c r="BI25" s="66"/>
      <c r="BJ25" s="66"/>
      <c r="BK25" s="66"/>
      <c r="BL25" s="67"/>
      <c r="BM25" s="68"/>
      <c r="BN25" s="165"/>
      <c r="BO25" s="66"/>
      <c r="BP25" s="66"/>
      <c r="BQ25" s="66"/>
      <c r="BR25" s="66"/>
      <c r="BS25" s="67"/>
    </row>
    <row r="26" spans="1:77" ht="52.5" customHeight="1" x14ac:dyDescent="0.25">
      <c r="A26" s="590"/>
      <c r="B26" s="590"/>
      <c r="C26" s="119"/>
      <c r="D26" s="143"/>
      <c r="E26" s="547"/>
      <c r="F26" s="548"/>
      <c r="G26" s="548"/>
      <c r="H26" s="548"/>
      <c r="I26" s="548"/>
      <c r="J26" s="548"/>
      <c r="K26" s="119"/>
      <c r="L26" s="143"/>
      <c r="M26" s="547"/>
      <c r="N26" s="548"/>
      <c r="O26" s="548"/>
      <c r="P26" s="548"/>
      <c r="Q26" s="548"/>
      <c r="R26" s="548"/>
      <c r="S26" s="548"/>
      <c r="T26" s="548"/>
      <c r="U26" s="548"/>
      <c r="V26" s="555"/>
      <c r="W26" s="119"/>
      <c r="X26" s="119"/>
      <c r="Y26" s="561"/>
      <c r="Z26" s="561"/>
      <c r="AA26" s="561"/>
      <c r="AB26" s="561"/>
      <c r="AC26" s="561"/>
      <c r="AD26" s="561"/>
      <c r="AE26" s="561"/>
      <c r="AF26" s="561"/>
      <c r="AG26" s="561"/>
      <c r="AQ26" s="557"/>
      <c r="AR26" s="113">
        <f>SUM(AR20:AR25)</f>
        <v>0</v>
      </c>
      <c r="AS26" s="166">
        <f>SUM(AS20:AS25)</f>
        <v>0</v>
      </c>
      <c r="AT26" s="544" t="s">
        <v>301</v>
      </c>
      <c r="AU26" s="544"/>
      <c r="AV26" s="544"/>
      <c r="AW26" s="544"/>
      <c r="AX26" s="544"/>
      <c r="AY26" s="113">
        <f>SUM(AY20:AY25)</f>
        <v>0</v>
      </c>
      <c r="AZ26" s="166">
        <f>SUM(AZ20:AZ25)</f>
        <v>0</v>
      </c>
      <c r="BA26" s="544" t="s">
        <v>301</v>
      </c>
      <c r="BB26" s="544"/>
      <c r="BC26" s="544"/>
      <c r="BD26" s="544"/>
      <c r="BE26" s="544"/>
      <c r="BF26" s="113">
        <f>SUM(BF20:BF25)</f>
        <v>0</v>
      </c>
      <c r="BG26" s="166">
        <f>SUM(BG20:BG25)</f>
        <v>0</v>
      </c>
      <c r="BH26" s="544" t="s">
        <v>301</v>
      </c>
      <c r="BI26" s="544"/>
      <c r="BJ26" s="544"/>
      <c r="BK26" s="544"/>
      <c r="BL26" s="544"/>
      <c r="BM26" s="113">
        <f>SUM(BM20:BM25)</f>
        <v>0</v>
      </c>
      <c r="BN26" s="166">
        <f>SUM(BN20:BN25)</f>
        <v>0</v>
      </c>
      <c r="BO26" s="581" t="s">
        <v>301</v>
      </c>
      <c r="BP26" s="581"/>
      <c r="BQ26" s="581"/>
      <c r="BR26" s="581"/>
      <c r="BS26" s="581"/>
    </row>
    <row r="27" spans="1:77" ht="52.5" customHeight="1" x14ac:dyDescent="0.25">
      <c r="A27" s="590"/>
      <c r="B27" s="590"/>
      <c r="C27" s="119" t="str">
        <f>IFERROR(D27*60,"")</f>
        <v/>
      </c>
      <c r="D27" s="143" t="str">
        <f>IFERROR(VLOOKUP(DH92,'les arrets'!$A:$K,7,FALSE),"")</f>
        <v/>
      </c>
      <c r="E27" s="547" t="str">
        <f>IFERROR(VLOOKUP(DH92,'les arrets'!$A:$K,12,FALSE),"")</f>
        <v/>
      </c>
      <c r="F27" s="548"/>
      <c r="G27" s="548"/>
      <c r="H27" s="548"/>
      <c r="I27" s="548"/>
      <c r="J27" s="548"/>
      <c r="K27" s="119" t="str">
        <f>IFERROR(L27*60,"")</f>
        <v/>
      </c>
      <c r="L27" s="143" t="str">
        <f>IFERROR(VLOOKUP(DH93,'les arrets'!$A:$K,7,FALSE),"")</f>
        <v/>
      </c>
      <c r="M27" s="547" t="str">
        <f>IFERROR(VLOOKUP(DH93,'les arrets'!$A:$K,12,FALSE),"")</f>
        <v/>
      </c>
      <c r="N27" s="548"/>
      <c r="O27" s="548"/>
      <c r="P27" s="548"/>
      <c r="Q27" s="548"/>
      <c r="R27" s="548"/>
      <c r="S27" s="548"/>
      <c r="T27" s="548"/>
      <c r="U27" s="548"/>
      <c r="V27" s="555"/>
      <c r="W27" s="119" t="str">
        <f>IFERROR(X27*60,"")</f>
        <v/>
      </c>
      <c r="X27" s="119" t="str">
        <f>IFERROR(VLOOKUP(DH94,'les arrets'!$A:$K,7,FALSE),"")</f>
        <v/>
      </c>
      <c r="Y27" s="561" t="str">
        <f>IFERROR(VLOOKUP(DH94,'les arrets'!$A:$K,12,FALSE),"")</f>
        <v/>
      </c>
      <c r="Z27" s="561"/>
      <c r="AA27" s="561"/>
      <c r="AB27" s="561"/>
      <c r="AC27" s="561"/>
      <c r="AD27" s="561"/>
      <c r="AE27" s="561"/>
      <c r="AF27" s="561"/>
      <c r="AG27" s="561"/>
      <c r="AQ27" s="557"/>
      <c r="AR27" s="114"/>
      <c r="AS27" s="115"/>
      <c r="AT27" s="519" t="s">
        <v>304</v>
      </c>
      <c r="AU27" s="520"/>
      <c r="AV27" s="520"/>
      <c r="AW27" s="520"/>
      <c r="AX27" s="521"/>
      <c r="AY27" s="114"/>
      <c r="AZ27" s="115"/>
      <c r="BA27" s="519" t="s">
        <v>304</v>
      </c>
      <c r="BB27" s="520"/>
      <c r="BC27" s="520"/>
      <c r="BD27" s="520"/>
      <c r="BE27" s="520"/>
      <c r="BF27" s="521"/>
      <c r="BG27" s="115"/>
      <c r="BH27" s="519" t="s">
        <v>304</v>
      </c>
      <c r="BI27" s="520"/>
      <c r="BJ27" s="520"/>
      <c r="BK27" s="520"/>
      <c r="BL27" s="521"/>
      <c r="BM27" s="114"/>
      <c r="BN27" s="115"/>
      <c r="BO27" s="116" t="s">
        <v>304</v>
      </c>
      <c r="BP27" s="117"/>
      <c r="BQ27" s="117"/>
      <c r="BR27" s="117"/>
      <c r="BS27" s="118"/>
    </row>
    <row r="28" spans="1:77" ht="52.5" customHeight="1" x14ac:dyDescent="0.25">
      <c r="A28" s="590"/>
      <c r="B28" s="590"/>
      <c r="C28" s="145">
        <f>SUM(C20:C27)</f>
        <v>0</v>
      </c>
      <c r="D28" s="167">
        <f>SUM(D20:D27)</f>
        <v>0</v>
      </c>
      <c r="E28" s="549" t="s">
        <v>301</v>
      </c>
      <c r="F28" s="550"/>
      <c r="G28" s="550"/>
      <c r="H28" s="550"/>
      <c r="I28" s="550"/>
      <c r="J28" s="550"/>
      <c r="K28" s="120">
        <f>SUM(K20:K27)</f>
        <v>0</v>
      </c>
      <c r="L28" s="167">
        <f>SUM(L20:L27)</f>
        <v>0</v>
      </c>
      <c r="M28" s="549" t="s">
        <v>301</v>
      </c>
      <c r="N28" s="550"/>
      <c r="O28" s="550"/>
      <c r="P28" s="550"/>
      <c r="Q28" s="550"/>
      <c r="R28" s="550"/>
      <c r="S28" s="550"/>
      <c r="T28" s="550"/>
      <c r="U28" s="550"/>
      <c r="V28" s="584"/>
      <c r="W28" s="121">
        <f>SUM(W20:W27)</f>
        <v>0</v>
      </c>
      <c r="X28" s="167">
        <f>SUM(X20:X27)</f>
        <v>0</v>
      </c>
      <c r="Y28" s="588" t="s">
        <v>301</v>
      </c>
      <c r="Z28" s="588"/>
      <c r="AA28" s="588"/>
      <c r="AB28" s="588"/>
      <c r="AC28" s="588"/>
      <c r="AD28" s="588"/>
      <c r="AE28" s="588"/>
      <c r="AF28" s="588"/>
      <c r="AG28" s="588"/>
    </row>
    <row r="29" spans="1:77" ht="52.5" customHeight="1" x14ac:dyDescent="0.25">
      <c r="A29" s="590"/>
      <c r="B29" s="590"/>
      <c r="C29" s="126"/>
      <c r="D29" s="516" t="s">
        <v>302</v>
      </c>
      <c r="E29" s="516"/>
      <c r="F29" s="127">
        <f>8-D28</f>
        <v>8</v>
      </c>
      <c r="G29" s="125" t="s">
        <v>252</v>
      </c>
      <c r="H29" s="128">
        <f>O9</f>
        <v>4554</v>
      </c>
      <c r="I29" s="122" t="s">
        <v>285</v>
      </c>
      <c r="J29" s="124">
        <f>IF(F29=0,"-",H29/F29)</f>
        <v>569.25</v>
      </c>
      <c r="K29" s="126"/>
      <c r="L29" s="516" t="s">
        <v>302</v>
      </c>
      <c r="M29" s="516"/>
      <c r="N29" s="515">
        <f>8-L28</f>
        <v>8</v>
      </c>
      <c r="O29" s="515"/>
      <c r="P29" s="516" t="s">
        <v>252</v>
      </c>
      <c r="Q29" s="516"/>
      <c r="R29" s="587">
        <f>O10</f>
        <v>5301</v>
      </c>
      <c r="S29" s="587"/>
      <c r="T29" s="122" t="s">
        <v>303</v>
      </c>
      <c r="U29" s="589">
        <f>IF(N29=0,"-",R29/N29)</f>
        <v>662.625</v>
      </c>
      <c r="V29" s="589"/>
      <c r="W29" s="123"/>
      <c r="X29" s="516" t="s">
        <v>302</v>
      </c>
      <c r="Y29" s="516"/>
      <c r="Z29" s="515">
        <f>8-X28</f>
        <v>8</v>
      </c>
      <c r="AA29" s="515"/>
      <c r="AB29" s="516" t="s">
        <v>252</v>
      </c>
      <c r="AC29" s="516"/>
      <c r="AD29" s="587">
        <f>O11</f>
        <v>5006</v>
      </c>
      <c r="AE29" s="587"/>
      <c r="AF29" s="122" t="s">
        <v>285</v>
      </c>
      <c r="AG29" s="158">
        <f>IF(Z29=0,"-",AD29/Z29)</f>
        <v>625.75</v>
      </c>
      <c r="AQ29" s="59"/>
      <c r="AR29" s="59"/>
      <c r="AS29" s="59"/>
      <c r="AT29" s="59"/>
      <c r="AU29" s="59"/>
      <c r="AV29" s="59"/>
      <c r="AW29" s="59"/>
      <c r="AX29" s="59"/>
      <c r="AY29" s="59"/>
    </row>
    <row r="30" spans="1:77" ht="52.5" customHeight="1" x14ac:dyDescent="0.25">
      <c r="AQ30" s="59"/>
      <c r="AR30" s="59"/>
      <c r="AS30" s="59"/>
      <c r="AT30" s="59"/>
      <c r="AU30" s="59"/>
      <c r="AV30" s="59"/>
      <c r="AW30" s="59"/>
      <c r="AX30" s="59"/>
      <c r="AY30" s="59"/>
    </row>
    <row r="31" spans="1:77" ht="52.5" customHeight="1" x14ac:dyDescent="0.25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</row>
    <row r="32" spans="1:77" x14ac:dyDescent="0.25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</row>
    <row r="33" spans="1:42" x14ac:dyDescent="0.25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</row>
    <row r="34" spans="1:42" ht="35.25" x14ac:dyDescent="0.25">
      <c r="N34" s="155"/>
    </row>
    <row r="43" spans="1:42" ht="26.25" x14ac:dyDescent="0.25">
      <c r="A43" s="64"/>
      <c r="B43" s="64"/>
    </row>
    <row r="44" spans="1:42" x14ac:dyDescent="0.25">
      <c r="A44" s="57" t="str">
        <f>CONCATENATE($C$11,$DC$91,DD91)</f>
        <v>4492711</v>
      </c>
      <c r="B44" s="57" t="str">
        <f>CONCATENATE($C$11,$DC$91,DE91)</f>
        <v>4492712</v>
      </c>
    </row>
    <row r="45" spans="1:42" x14ac:dyDescent="0.25">
      <c r="A45" s="57" t="str">
        <f>CONCATENATE($C$11,$DN$91,DO91)</f>
        <v>4492721</v>
      </c>
      <c r="B45" s="57" t="str">
        <f>CONCATENATE($C$11,$DN$91,DP91)</f>
        <v>4492722</v>
      </c>
    </row>
    <row r="46" spans="1:42" x14ac:dyDescent="0.25">
      <c r="A46" s="57" t="str">
        <f>CONCATENATE($C$11,$DZ$91,EA91)</f>
        <v>4492731</v>
      </c>
      <c r="B46" s="57" t="str">
        <f>CONCATENATE($C$11,$DZ$91,EB91)</f>
        <v>4492732</v>
      </c>
    </row>
    <row r="76" spans="134:183" x14ac:dyDescent="0.25">
      <c r="ED76" s="161"/>
      <c r="EE76" s="161"/>
      <c r="EF76" s="161"/>
      <c r="EG76" s="161"/>
      <c r="EH76" s="161"/>
      <c r="EI76" s="161"/>
      <c r="EJ76" s="161"/>
      <c r="EK76" s="161"/>
      <c r="EL76" s="161"/>
      <c r="EM76" s="161"/>
      <c r="EN76" s="161"/>
      <c r="EO76" s="161"/>
      <c r="EP76" s="161"/>
      <c r="EQ76" s="161"/>
      <c r="ER76" s="161"/>
      <c r="ES76" s="161"/>
      <c r="ET76" s="161"/>
      <c r="EU76" s="161"/>
      <c r="EV76" s="161"/>
      <c r="EW76" s="161"/>
      <c r="EX76" s="161"/>
      <c r="EY76" s="161"/>
      <c r="EZ76" s="161"/>
      <c r="FA76" s="161"/>
      <c r="FB76" s="161"/>
      <c r="FC76" s="161"/>
      <c r="FD76" s="161"/>
      <c r="FE76" s="161"/>
      <c r="FF76" s="161"/>
      <c r="FG76" s="161"/>
      <c r="FH76" s="161"/>
      <c r="FI76" s="161"/>
      <c r="FJ76" s="161"/>
      <c r="FK76" s="161"/>
      <c r="FL76" s="161"/>
      <c r="FM76" s="161"/>
      <c r="FN76" s="161"/>
      <c r="FO76" s="161"/>
      <c r="FP76" s="161"/>
      <c r="FQ76" s="161"/>
      <c r="FR76" s="161"/>
      <c r="FS76" s="161"/>
      <c r="FT76" s="161"/>
      <c r="FU76" s="161"/>
      <c r="FV76" s="161"/>
      <c r="FW76" s="161"/>
      <c r="FX76" s="161"/>
      <c r="FY76" s="161"/>
      <c r="FZ76" s="161"/>
      <c r="GA76" s="161"/>
    </row>
    <row r="77" spans="134:183" x14ac:dyDescent="0.25">
      <c r="ED77" s="161"/>
      <c r="EE77" s="161"/>
      <c r="EF77" s="161"/>
      <c r="EG77" s="161"/>
      <c r="EH77" s="161"/>
      <c r="EI77" s="161"/>
      <c r="EJ77" s="161"/>
      <c r="EK77" s="161"/>
      <c r="EL77" s="161"/>
      <c r="EM77" s="161"/>
      <c r="EN77" s="161"/>
      <c r="EO77" s="161"/>
      <c r="EP77" s="161"/>
      <c r="EQ77" s="161"/>
      <c r="ER77" s="161"/>
      <c r="ES77" s="161"/>
      <c r="ET77" s="161"/>
      <c r="EU77" s="161"/>
      <c r="EV77" s="161"/>
      <c r="EW77" s="161"/>
      <c r="EX77" s="161"/>
      <c r="EY77" s="161"/>
      <c r="EZ77" s="161"/>
      <c r="FA77" s="161"/>
      <c r="FB77" s="161"/>
      <c r="FC77" s="161"/>
      <c r="FD77" s="161"/>
      <c r="FE77" s="161"/>
      <c r="FF77" s="161"/>
      <c r="FG77" s="161"/>
      <c r="FH77" s="161"/>
      <c r="FI77" s="161"/>
      <c r="FJ77" s="161"/>
      <c r="FK77" s="161"/>
      <c r="FL77" s="161"/>
      <c r="FM77" s="161"/>
      <c r="FN77" s="161"/>
      <c r="FO77" s="161"/>
      <c r="FP77" s="161"/>
      <c r="FQ77" s="161"/>
      <c r="FR77" s="161"/>
      <c r="FS77" s="161"/>
      <c r="FT77" s="161"/>
      <c r="FU77" s="161"/>
      <c r="FV77" s="161"/>
      <c r="FW77" s="161"/>
      <c r="FX77" s="161"/>
      <c r="FY77" s="161"/>
      <c r="FZ77" s="161"/>
      <c r="GA77" s="161"/>
    </row>
    <row r="78" spans="134:183" x14ac:dyDescent="0.25">
      <c r="ED78" s="161"/>
      <c r="EE78" s="161"/>
      <c r="EF78" s="161"/>
      <c r="EG78" s="161"/>
      <c r="EH78" s="161"/>
      <c r="EI78" s="161"/>
      <c r="EJ78" s="161"/>
      <c r="EK78" s="161"/>
      <c r="EL78" s="161"/>
      <c r="EM78" s="161"/>
      <c r="EN78" s="161"/>
      <c r="EO78" s="161"/>
      <c r="EP78" s="161"/>
      <c r="EQ78" s="161"/>
      <c r="ER78" s="161"/>
      <c r="ES78" s="161"/>
      <c r="ET78" s="161"/>
      <c r="EU78" s="161"/>
      <c r="EV78" s="161"/>
      <c r="EW78" s="161"/>
      <c r="EX78" s="161"/>
      <c r="EY78" s="161"/>
      <c r="EZ78" s="161"/>
      <c r="FA78" s="161"/>
      <c r="FB78" s="161"/>
      <c r="FC78" s="161"/>
      <c r="FD78" s="161"/>
      <c r="FE78" s="161"/>
      <c r="FF78" s="161"/>
      <c r="FG78" s="161"/>
      <c r="FH78" s="161"/>
      <c r="FI78" s="161"/>
      <c r="FJ78" s="161"/>
      <c r="FK78" s="161"/>
      <c r="FL78" s="161"/>
      <c r="FM78" s="161"/>
      <c r="FN78" s="161"/>
      <c r="FO78" s="161"/>
      <c r="FP78" s="161"/>
      <c r="FQ78" s="161"/>
      <c r="FR78" s="161"/>
      <c r="FS78" s="161"/>
      <c r="FT78" s="161"/>
      <c r="FU78" s="161"/>
      <c r="FV78" s="161"/>
      <c r="FW78" s="161"/>
      <c r="FX78" s="161"/>
      <c r="FY78" s="161"/>
      <c r="FZ78" s="161"/>
      <c r="GA78" s="161"/>
    </row>
    <row r="79" spans="134:183" x14ac:dyDescent="0.25">
      <c r="ED79" s="161"/>
      <c r="EE79" s="161"/>
      <c r="EF79" s="161"/>
      <c r="EG79" s="161"/>
      <c r="EH79" s="161"/>
      <c r="EI79" s="161"/>
      <c r="EJ79" s="161"/>
      <c r="EK79" s="161"/>
      <c r="EL79" s="161"/>
      <c r="EM79" s="161"/>
      <c r="EN79" s="161"/>
      <c r="EO79" s="161"/>
      <c r="EP79" s="161"/>
      <c r="EQ79" s="161"/>
      <c r="ER79" s="161"/>
      <c r="ES79" s="161"/>
      <c r="ET79" s="161"/>
      <c r="EU79" s="161"/>
      <c r="EV79" s="161"/>
      <c r="EW79" s="161"/>
      <c r="EX79" s="161"/>
      <c r="EY79" s="161"/>
      <c r="EZ79" s="161"/>
      <c r="FA79" s="161"/>
      <c r="FB79" s="161"/>
      <c r="FC79" s="161"/>
      <c r="FD79" s="161"/>
      <c r="FE79" s="161"/>
      <c r="FF79" s="161"/>
      <c r="FG79" s="161"/>
      <c r="FH79" s="161"/>
      <c r="FI79" s="161"/>
      <c r="FJ79" s="161"/>
      <c r="FK79" s="161"/>
      <c r="FL79" s="161"/>
      <c r="FM79" s="161"/>
      <c r="FN79" s="161"/>
      <c r="FO79" s="161"/>
      <c r="FP79" s="161"/>
      <c r="FQ79" s="161"/>
      <c r="FR79" s="161"/>
      <c r="FS79" s="161"/>
      <c r="FT79" s="161"/>
      <c r="FU79" s="161"/>
      <c r="FV79" s="161"/>
      <c r="FW79" s="161"/>
      <c r="FX79" s="161"/>
      <c r="FY79" s="161"/>
      <c r="FZ79" s="161"/>
      <c r="GA79" s="161"/>
    </row>
    <row r="80" spans="134:183" x14ac:dyDescent="0.25">
      <c r="ED80" s="161"/>
      <c r="EE80" s="161"/>
      <c r="EF80" s="161"/>
      <c r="EG80" s="161"/>
      <c r="EH80" s="161"/>
      <c r="EI80" s="161"/>
      <c r="EJ80" s="161"/>
      <c r="EK80" s="161"/>
      <c r="EL80" s="161"/>
      <c r="EM80" s="161"/>
      <c r="EN80" s="161"/>
      <c r="EO80" s="161"/>
      <c r="EP80" s="161"/>
      <c r="EQ80" s="161"/>
      <c r="ER80" s="161"/>
      <c r="ES80" s="161"/>
      <c r="ET80" s="161"/>
      <c r="EU80" s="161"/>
      <c r="EV80" s="161"/>
      <c r="EW80" s="161"/>
      <c r="EX80" s="161"/>
      <c r="EY80" s="161"/>
      <c r="EZ80" s="161"/>
      <c r="FA80" s="161"/>
      <c r="FB80" s="161"/>
      <c r="FC80" s="161"/>
      <c r="FD80" s="161"/>
      <c r="FE80" s="161"/>
      <c r="FF80" s="161"/>
      <c r="FG80" s="161"/>
      <c r="FH80" s="161"/>
      <c r="FI80" s="161"/>
      <c r="FJ80" s="161"/>
      <c r="FK80" s="161"/>
      <c r="FL80" s="161"/>
      <c r="FM80" s="161"/>
      <c r="FN80" s="161"/>
      <c r="FO80" s="161"/>
      <c r="FP80" s="161"/>
      <c r="FQ80" s="161"/>
      <c r="FR80" s="161"/>
      <c r="FS80" s="161"/>
      <c r="FT80" s="161"/>
      <c r="FU80" s="161"/>
      <c r="FV80" s="161"/>
      <c r="FW80" s="161"/>
      <c r="FX80" s="161"/>
      <c r="FY80" s="161"/>
      <c r="FZ80" s="161"/>
      <c r="GA80" s="161"/>
    </row>
    <row r="81" spans="107:183" x14ac:dyDescent="0.25">
      <c r="ED81" s="161"/>
      <c r="EE81" s="161"/>
      <c r="EF81" s="161"/>
      <c r="EG81" s="161"/>
      <c r="EH81" s="161"/>
      <c r="EI81" s="161"/>
      <c r="EJ81" s="161"/>
      <c r="EK81" s="161"/>
      <c r="EL81" s="161"/>
      <c r="EM81" s="161"/>
      <c r="EN81" s="161"/>
      <c r="EO81" s="161"/>
      <c r="EP81" s="161"/>
      <c r="EQ81" s="161"/>
      <c r="ER81" s="161"/>
      <c r="ES81" s="161"/>
      <c r="ET81" s="161"/>
      <c r="EU81" s="161"/>
      <c r="EV81" s="161"/>
      <c r="EW81" s="161"/>
      <c r="EX81" s="161"/>
      <c r="EY81" s="161"/>
      <c r="EZ81" s="161"/>
      <c r="FA81" s="161"/>
      <c r="FB81" s="161"/>
      <c r="FC81" s="161"/>
      <c r="FD81" s="161"/>
      <c r="FE81" s="161"/>
      <c r="FF81" s="161"/>
      <c r="FG81" s="161"/>
      <c r="FH81" s="161"/>
      <c r="FI81" s="161"/>
      <c r="FJ81" s="161"/>
      <c r="FK81" s="161"/>
      <c r="FL81" s="161"/>
      <c r="FM81" s="161"/>
      <c r="FN81" s="161"/>
      <c r="FO81" s="161"/>
      <c r="FP81" s="161"/>
      <c r="FQ81" s="161"/>
      <c r="FR81" s="161"/>
      <c r="FS81" s="161"/>
      <c r="FT81" s="161"/>
      <c r="FU81" s="161"/>
      <c r="FV81" s="161"/>
      <c r="FW81" s="161"/>
      <c r="FX81" s="161"/>
      <c r="FY81" s="161"/>
      <c r="FZ81" s="161"/>
      <c r="GA81" s="161"/>
    </row>
    <row r="82" spans="107:183" x14ac:dyDescent="0.25">
      <c r="ED82" s="161"/>
      <c r="EE82" s="161"/>
      <c r="EF82" s="161"/>
      <c r="EG82" s="161"/>
      <c r="EH82" s="161"/>
      <c r="EI82" s="161"/>
      <c r="EJ82" s="161"/>
      <c r="EK82" s="161"/>
      <c r="EL82" s="161"/>
      <c r="EM82" s="161"/>
      <c r="EN82" s="161"/>
      <c r="EO82" s="161"/>
      <c r="EP82" s="161"/>
      <c r="EQ82" s="161"/>
      <c r="ER82" s="161"/>
      <c r="ES82" s="161"/>
      <c r="ET82" s="161"/>
      <c r="EU82" s="161"/>
      <c r="EV82" s="161"/>
      <c r="EW82" s="161"/>
      <c r="EX82" s="161"/>
      <c r="EY82" s="161"/>
      <c r="EZ82" s="161"/>
      <c r="FA82" s="161"/>
      <c r="FB82" s="161"/>
      <c r="FC82" s="161"/>
      <c r="FD82" s="161"/>
      <c r="FE82" s="161"/>
      <c r="FF82" s="161"/>
      <c r="FG82" s="161"/>
      <c r="FH82" s="161"/>
      <c r="FI82" s="161"/>
      <c r="FJ82" s="161"/>
      <c r="FK82" s="161"/>
      <c r="FL82" s="161"/>
      <c r="FM82" s="161"/>
      <c r="FN82" s="161"/>
      <c r="FO82" s="161"/>
      <c r="FP82" s="161"/>
      <c r="FQ82" s="161"/>
      <c r="FR82" s="161"/>
      <c r="FS82" s="161"/>
      <c r="FT82" s="161"/>
      <c r="FU82" s="161"/>
      <c r="FV82" s="161"/>
      <c r="FW82" s="161"/>
      <c r="FX82" s="161"/>
      <c r="FY82" s="161"/>
      <c r="FZ82" s="161"/>
      <c r="GA82" s="161"/>
    </row>
    <row r="83" spans="107:183" x14ac:dyDescent="0.25">
      <c r="ED83" s="161"/>
      <c r="EE83" s="161"/>
      <c r="EF83" s="161"/>
      <c r="EG83" s="161"/>
      <c r="EH83" s="161"/>
      <c r="EI83" s="161"/>
      <c r="EJ83" s="161"/>
      <c r="EK83" s="161"/>
      <c r="EL83" s="161"/>
      <c r="EM83" s="161"/>
      <c r="EN83" s="161"/>
      <c r="EO83" s="161"/>
      <c r="EP83" s="161"/>
      <c r="EQ83" s="161"/>
      <c r="ER83" s="161"/>
      <c r="ES83" s="161"/>
      <c r="ET83" s="161"/>
      <c r="EU83" s="161"/>
      <c r="EV83" s="161"/>
      <c r="EW83" s="161"/>
      <c r="EX83" s="161"/>
      <c r="EY83" s="161"/>
      <c r="EZ83" s="161"/>
      <c r="FA83" s="161"/>
      <c r="FB83" s="161"/>
      <c r="FC83" s="161"/>
      <c r="FD83" s="161"/>
      <c r="FE83" s="161"/>
      <c r="FF83" s="161"/>
      <c r="FG83" s="161"/>
      <c r="FH83" s="161"/>
      <c r="FI83" s="161"/>
      <c r="FJ83" s="161"/>
      <c r="FK83" s="161"/>
      <c r="FL83" s="161"/>
      <c r="FM83" s="161"/>
      <c r="FN83" s="161"/>
      <c r="FO83" s="161"/>
      <c r="FP83" s="161"/>
      <c r="FQ83" s="161"/>
      <c r="FR83" s="161"/>
      <c r="FS83" s="161"/>
      <c r="FT83" s="161"/>
      <c r="FU83" s="161"/>
      <c r="FV83" s="161"/>
      <c r="FW83" s="161"/>
      <c r="FX83" s="161"/>
      <c r="FY83" s="161"/>
      <c r="FZ83" s="161"/>
      <c r="GA83" s="161"/>
    </row>
    <row r="84" spans="107:183" x14ac:dyDescent="0.25">
      <c r="ED84" s="161"/>
      <c r="EE84" s="161"/>
      <c r="EF84" s="161"/>
      <c r="EG84" s="161"/>
      <c r="EH84" s="161"/>
      <c r="EI84" s="161"/>
      <c r="EJ84" s="161"/>
      <c r="EK84" s="161"/>
      <c r="EL84" s="161"/>
      <c r="EM84" s="161"/>
      <c r="EN84" s="161"/>
      <c r="EO84" s="161"/>
      <c r="EP84" s="161"/>
      <c r="EQ84" s="161"/>
      <c r="ER84" s="161"/>
      <c r="ES84" s="161"/>
      <c r="ET84" s="161"/>
      <c r="EU84" s="161"/>
      <c r="EV84" s="161"/>
      <c r="EW84" s="161"/>
      <c r="EX84" s="161"/>
      <c r="EY84" s="161"/>
      <c r="EZ84" s="161"/>
      <c r="FA84" s="161"/>
      <c r="FB84" s="161"/>
      <c r="FC84" s="161"/>
      <c r="FD84" s="161"/>
      <c r="FE84" s="161"/>
      <c r="FF84" s="161"/>
      <c r="FG84" s="161"/>
      <c r="FH84" s="161"/>
      <c r="FI84" s="161"/>
      <c r="FJ84" s="161"/>
      <c r="FK84" s="161"/>
      <c r="FL84" s="161"/>
      <c r="FM84" s="161"/>
      <c r="FN84" s="161"/>
      <c r="FO84" s="161"/>
      <c r="FP84" s="161"/>
      <c r="FQ84" s="161"/>
      <c r="FR84" s="161"/>
      <c r="FS84" s="161"/>
      <c r="FT84" s="161"/>
      <c r="FU84" s="161"/>
      <c r="FV84" s="161"/>
      <c r="FW84" s="161"/>
      <c r="FX84" s="161"/>
      <c r="FY84" s="161"/>
      <c r="FZ84" s="161"/>
      <c r="GA84" s="161"/>
    </row>
    <row r="85" spans="107:183" x14ac:dyDescent="0.25">
      <c r="ED85" s="161"/>
      <c r="EE85" s="161"/>
      <c r="EF85" s="161"/>
      <c r="EG85" s="161"/>
      <c r="EH85" s="161"/>
      <c r="EI85" s="161"/>
      <c r="EJ85" s="161"/>
      <c r="EK85" s="161"/>
      <c r="EL85" s="161"/>
      <c r="EM85" s="161"/>
      <c r="EN85" s="161"/>
      <c r="EO85" s="161"/>
      <c r="EP85" s="161"/>
      <c r="EQ85" s="161"/>
      <c r="ER85" s="161"/>
      <c r="ES85" s="161"/>
      <c r="ET85" s="161"/>
      <c r="EU85" s="161"/>
      <c r="EV85" s="161"/>
      <c r="EW85" s="161"/>
      <c r="EX85" s="161"/>
      <c r="EY85" s="161"/>
      <c r="EZ85" s="161"/>
      <c r="FA85" s="161"/>
      <c r="FB85" s="161"/>
      <c r="FC85" s="161"/>
      <c r="FD85" s="161"/>
      <c r="FE85" s="161"/>
      <c r="FF85" s="161"/>
      <c r="FG85" s="161"/>
      <c r="FH85" s="161"/>
      <c r="FI85" s="161"/>
      <c r="FJ85" s="161"/>
      <c r="FK85" s="161"/>
      <c r="FL85" s="161"/>
      <c r="FM85" s="161"/>
      <c r="FN85" s="161"/>
      <c r="FO85" s="161"/>
      <c r="FP85" s="161"/>
      <c r="FQ85" s="161"/>
      <c r="FR85" s="161"/>
      <c r="FS85" s="161"/>
      <c r="FT85" s="161"/>
      <c r="FU85" s="161"/>
      <c r="FV85" s="161"/>
      <c r="FW85" s="161"/>
      <c r="FX85" s="161"/>
      <c r="FY85" s="161"/>
      <c r="FZ85" s="161"/>
      <c r="GA85" s="161"/>
    </row>
    <row r="86" spans="107:183" x14ac:dyDescent="0.25">
      <c r="ED86" s="161"/>
      <c r="EE86" s="161"/>
      <c r="EF86" s="161"/>
      <c r="EG86" s="161"/>
      <c r="EH86" s="161"/>
      <c r="EI86" s="161"/>
      <c r="EJ86" s="161"/>
      <c r="EK86" s="161"/>
      <c r="EL86" s="161"/>
      <c r="EM86" s="161"/>
      <c r="EN86" s="161"/>
      <c r="EO86" s="161"/>
      <c r="EP86" s="161"/>
      <c r="EQ86" s="161"/>
      <c r="ER86" s="161"/>
      <c r="ES86" s="161"/>
      <c r="ET86" s="161"/>
      <c r="EU86" s="161"/>
      <c r="EV86" s="161"/>
      <c r="EW86" s="161"/>
      <c r="EX86" s="161"/>
      <c r="EY86" s="161"/>
      <c r="EZ86" s="161"/>
      <c r="FA86" s="161"/>
      <c r="FB86" s="161"/>
      <c r="FC86" s="161"/>
      <c r="FD86" s="161"/>
      <c r="FE86" s="161"/>
      <c r="FF86" s="161"/>
      <c r="FG86" s="161"/>
      <c r="FH86" s="161"/>
      <c r="FI86" s="161"/>
      <c r="FJ86" s="161"/>
      <c r="FK86" s="161"/>
      <c r="FL86" s="161"/>
      <c r="FM86" s="161"/>
      <c r="FN86" s="161"/>
      <c r="FO86" s="161"/>
      <c r="FP86" s="161"/>
      <c r="FQ86" s="161"/>
      <c r="FR86" s="161"/>
      <c r="FS86" s="161"/>
      <c r="FT86" s="161"/>
      <c r="FU86" s="161"/>
      <c r="FV86" s="161"/>
      <c r="FW86" s="161"/>
      <c r="FX86" s="161"/>
      <c r="FY86" s="161"/>
      <c r="FZ86" s="161"/>
      <c r="GA86" s="161"/>
    </row>
    <row r="87" spans="107:183" x14ac:dyDescent="0.25">
      <c r="ED87" s="161"/>
      <c r="EE87" s="161"/>
      <c r="EF87" s="161"/>
      <c r="EG87" s="161"/>
      <c r="EH87" s="161"/>
      <c r="EI87" s="161"/>
      <c r="EJ87" s="161"/>
      <c r="EK87" s="161"/>
      <c r="EL87" s="161"/>
      <c r="EM87" s="161"/>
      <c r="EN87" s="161"/>
      <c r="EO87" s="161"/>
      <c r="EP87" s="161"/>
      <c r="EQ87" s="161"/>
      <c r="ER87" s="161"/>
      <c r="ES87" s="161"/>
      <c r="ET87" s="161"/>
      <c r="EU87" s="161"/>
      <c r="EV87" s="161"/>
      <c r="EW87" s="161"/>
      <c r="EX87" s="161"/>
      <c r="EY87" s="161"/>
      <c r="EZ87" s="161"/>
      <c r="FA87" s="161"/>
      <c r="FB87" s="161"/>
      <c r="FC87" s="161"/>
      <c r="FD87" s="161"/>
      <c r="FE87" s="161"/>
      <c r="FF87" s="161"/>
      <c r="FG87" s="161"/>
      <c r="FH87" s="161"/>
      <c r="FI87" s="161"/>
      <c r="FJ87" s="161"/>
      <c r="FK87" s="161"/>
      <c r="FL87" s="161"/>
      <c r="FM87" s="161"/>
      <c r="FN87" s="161"/>
      <c r="FO87" s="161"/>
      <c r="FP87" s="161"/>
      <c r="FQ87" s="161"/>
      <c r="FR87" s="161"/>
      <c r="FS87" s="161"/>
      <c r="FT87" s="161"/>
      <c r="FU87" s="161"/>
      <c r="FV87" s="161"/>
      <c r="FW87" s="161"/>
      <c r="FX87" s="161"/>
      <c r="FY87" s="161"/>
      <c r="FZ87" s="161"/>
      <c r="GA87" s="161"/>
    </row>
    <row r="88" spans="107:183" x14ac:dyDescent="0.25">
      <c r="ED88" s="161"/>
      <c r="EE88" s="161"/>
      <c r="EF88" s="161"/>
      <c r="EG88" s="161"/>
      <c r="EH88" s="161"/>
      <c r="EI88" s="161"/>
      <c r="EJ88" s="161"/>
      <c r="EK88" s="161"/>
      <c r="EL88" s="161"/>
      <c r="EM88" s="161"/>
      <c r="EN88" s="161"/>
      <c r="EO88" s="161"/>
      <c r="EP88" s="161"/>
      <c r="EQ88" s="161"/>
      <c r="ER88" s="161"/>
      <c r="ES88" s="161"/>
      <c r="ET88" s="161"/>
      <c r="EU88" s="161"/>
      <c r="EV88" s="161"/>
      <c r="EW88" s="161"/>
      <c r="EX88" s="161"/>
      <c r="EY88" s="161"/>
      <c r="EZ88" s="161"/>
      <c r="FA88" s="161"/>
      <c r="FB88" s="161"/>
      <c r="FC88" s="161"/>
      <c r="FD88" s="161"/>
      <c r="FE88" s="161"/>
      <c r="FF88" s="161"/>
      <c r="FG88" s="161"/>
      <c r="FH88" s="161"/>
      <c r="FI88" s="161"/>
      <c r="FJ88" s="161"/>
      <c r="FK88" s="161"/>
      <c r="FL88" s="161"/>
      <c r="FM88" s="161"/>
      <c r="FN88" s="161"/>
      <c r="FO88" s="161"/>
      <c r="FP88" s="161"/>
      <c r="FQ88" s="161"/>
      <c r="FR88" s="161"/>
      <c r="FS88" s="161"/>
      <c r="FT88" s="161"/>
      <c r="FU88" s="161"/>
      <c r="FV88" s="161"/>
      <c r="FW88" s="161"/>
      <c r="FX88" s="161"/>
      <c r="FY88" s="161"/>
      <c r="FZ88" s="161"/>
      <c r="GA88" s="161"/>
    </row>
    <row r="89" spans="107:183" x14ac:dyDescent="0.25">
      <c r="ED89" s="161"/>
      <c r="EE89" s="161"/>
      <c r="EF89" s="161"/>
      <c r="EG89" s="161"/>
      <c r="EH89" s="161"/>
      <c r="EI89" s="161"/>
      <c r="EJ89" s="161"/>
      <c r="EK89" s="161"/>
      <c r="EL89" s="161"/>
      <c r="EM89" s="161"/>
      <c r="EN89" s="161"/>
      <c r="EO89" s="161"/>
      <c r="EP89" s="161"/>
      <c r="EQ89" s="161"/>
      <c r="ER89" s="161"/>
      <c r="ES89" s="161"/>
      <c r="ET89" s="161"/>
      <c r="EU89" s="161"/>
      <c r="EV89" s="161"/>
      <c r="EW89" s="161"/>
      <c r="EX89" s="161"/>
      <c r="EY89" s="161"/>
      <c r="EZ89" s="161"/>
      <c r="FA89" s="161"/>
      <c r="FB89" s="161"/>
      <c r="FC89" s="161"/>
      <c r="FD89" s="161"/>
      <c r="FE89" s="161"/>
      <c r="FF89" s="161"/>
      <c r="FG89" s="161"/>
      <c r="FH89" s="161"/>
      <c r="FI89" s="161"/>
      <c r="FJ89" s="161"/>
      <c r="FK89" s="161"/>
      <c r="FL89" s="161"/>
      <c r="FM89" s="161"/>
      <c r="FN89" s="161"/>
      <c r="FO89" s="161"/>
      <c r="FP89" s="161"/>
      <c r="FQ89" s="161"/>
      <c r="FR89" s="161"/>
      <c r="FS89" s="161"/>
      <c r="FT89" s="161"/>
      <c r="FU89" s="161"/>
      <c r="FV89" s="161"/>
      <c r="FW89" s="161"/>
      <c r="FX89" s="161"/>
      <c r="FY89" s="161"/>
      <c r="FZ89" s="161"/>
      <c r="GA89" s="161"/>
    </row>
    <row r="90" spans="107:183" x14ac:dyDescent="0.25">
      <c r="ED90" s="161"/>
      <c r="EE90" s="161"/>
      <c r="EF90" s="161"/>
      <c r="EG90" s="161"/>
      <c r="EH90" s="161"/>
      <c r="EI90" s="161"/>
      <c r="EJ90" s="161"/>
      <c r="EK90" s="161"/>
      <c r="EL90" s="161"/>
      <c r="EM90" s="161"/>
      <c r="EN90" s="161"/>
      <c r="EO90" s="161"/>
      <c r="EP90" s="161"/>
      <c r="EQ90" s="161"/>
      <c r="ER90" s="161"/>
      <c r="ES90" s="161"/>
      <c r="ET90" s="161"/>
      <c r="EU90" s="161"/>
      <c r="EV90" s="161"/>
      <c r="EW90" s="161"/>
      <c r="EX90" s="161"/>
      <c r="EY90" s="161"/>
      <c r="EZ90" s="161"/>
      <c r="FA90" s="161"/>
      <c r="FB90" s="161"/>
      <c r="FC90" s="161"/>
      <c r="FD90" s="161"/>
      <c r="FE90" s="161"/>
      <c r="FF90" s="161"/>
      <c r="FG90" s="161"/>
      <c r="FH90" s="161"/>
      <c r="FI90" s="161"/>
      <c r="FJ90" s="161"/>
      <c r="FK90" s="161"/>
      <c r="FL90" s="161"/>
      <c r="FM90" s="161"/>
      <c r="FN90" s="161"/>
      <c r="FO90" s="161"/>
      <c r="FP90" s="161"/>
      <c r="FQ90" s="161"/>
      <c r="FR90" s="161"/>
      <c r="FS90" s="161"/>
      <c r="FT90" s="161"/>
      <c r="FU90" s="161"/>
      <c r="FV90" s="161"/>
      <c r="FW90" s="161"/>
      <c r="FX90" s="161"/>
      <c r="FY90" s="161"/>
      <c r="FZ90" s="161"/>
      <c r="GA90" s="161"/>
    </row>
    <row r="91" spans="107:183" ht="26.25" x14ac:dyDescent="0.25">
      <c r="DC91" s="107">
        <v>1</v>
      </c>
      <c r="DD91" s="107">
        <v>1</v>
      </c>
      <c r="DE91" s="107">
        <v>2</v>
      </c>
      <c r="DF91" s="107">
        <v>3</v>
      </c>
      <c r="DG91" s="107">
        <v>4</v>
      </c>
      <c r="DH91" s="107">
        <v>5</v>
      </c>
      <c r="DI91" s="107">
        <v>6</v>
      </c>
      <c r="DJ91" s="107">
        <v>7</v>
      </c>
      <c r="DK91" s="107">
        <v>8</v>
      </c>
      <c r="DL91" s="107">
        <v>9</v>
      </c>
      <c r="DM91" s="107">
        <v>10</v>
      </c>
      <c r="DN91" s="107">
        <v>2</v>
      </c>
      <c r="DO91" s="107">
        <v>1</v>
      </c>
      <c r="DP91" s="107">
        <v>2</v>
      </c>
      <c r="DQ91" s="107">
        <v>3</v>
      </c>
      <c r="DR91" s="107">
        <v>4</v>
      </c>
      <c r="DS91" s="107">
        <v>5</v>
      </c>
      <c r="DT91" s="107">
        <v>6</v>
      </c>
      <c r="DU91" s="107">
        <v>7</v>
      </c>
      <c r="DV91" s="107">
        <v>8</v>
      </c>
      <c r="DW91" s="107">
        <v>9</v>
      </c>
      <c r="DX91" s="107">
        <v>10</v>
      </c>
      <c r="DY91" s="107"/>
      <c r="DZ91" s="107">
        <v>3</v>
      </c>
      <c r="EA91" s="107">
        <v>1</v>
      </c>
      <c r="EB91" s="107">
        <v>2</v>
      </c>
      <c r="EC91" s="107">
        <v>3</v>
      </c>
      <c r="ED91" s="162">
        <v>4</v>
      </c>
      <c r="EE91" s="162">
        <v>5</v>
      </c>
      <c r="EF91" s="162">
        <v>6</v>
      </c>
      <c r="EG91" s="162">
        <v>7</v>
      </c>
      <c r="EH91" s="162">
        <v>8</v>
      </c>
      <c r="EI91" s="162">
        <v>9</v>
      </c>
      <c r="EJ91" s="162">
        <v>10</v>
      </c>
      <c r="EK91" s="162"/>
      <c r="EL91" s="161"/>
      <c r="EM91" s="161"/>
      <c r="EN91" s="161"/>
      <c r="EO91" s="161"/>
      <c r="EP91" s="161"/>
      <c r="EQ91" s="161"/>
      <c r="ER91" s="161"/>
      <c r="ES91" s="161"/>
      <c r="ET91" s="161"/>
      <c r="EU91" s="161"/>
      <c r="EV91" s="161"/>
      <c r="EW91" s="161"/>
      <c r="EX91" s="161"/>
      <c r="EY91" s="161"/>
      <c r="EZ91" s="161"/>
      <c r="FA91" s="161"/>
      <c r="FB91" s="161"/>
      <c r="FC91" s="161"/>
      <c r="FD91" s="161"/>
      <c r="FE91" s="161"/>
      <c r="FF91" s="161"/>
      <c r="FG91" s="161"/>
      <c r="FH91" s="161"/>
      <c r="FI91" s="161"/>
      <c r="FJ91" s="161"/>
      <c r="FK91" s="161"/>
      <c r="FL91" s="161"/>
      <c r="FM91" s="161"/>
      <c r="FN91" s="161"/>
      <c r="FO91" s="161"/>
      <c r="FP91" s="161"/>
      <c r="FQ91" s="161"/>
      <c r="FR91" s="161"/>
      <c r="FS91" s="161"/>
      <c r="FT91" s="161"/>
      <c r="FU91" s="161"/>
      <c r="FV91" s="161"/>
      <c r="FW91" s="161"/>
      <c r="FX91" s="161"/>
      <c r="FY91" s="161"/>
      <c r="FZ91" s="161"/>
      <c r="GA91" s="161"/>
    </row>
    <row r="92" spans="107:183" x14ac:dyDescent="0.25">
      <c r="DC92" s="57" t="str">
        <f t="shared" ref="DC92:DJ92" si="0">CONCATENATE($C$11,$DC$91,DF91)</f>
        <v>4492713</v>
      </c>
      <c r="DD92" s="57" t="str">
        <f t="shared" si="0"/>
        <v>4492714</v>
      </c>
      <c r="DE92" s="57" t="str">
        <f t="shared" si="0"/>
        <v>4492715</v>
      </c>
      <c r="DF92" s="57" t="str">
        <f t="shared" si="0"/>
        <v>4492716</v>
      </c>
      <c r="DG92" s="57" t="str">
        <f t="shared" si="0"/>
        <v>4492717</v>
      </c>
      <c r="DH92" s="57" t="str">
        <f t="shared" si="0"/>
        <v>4492718</v>
      </c>
      <c r="DI92" s="57" t="str">
        <f t="shared" si="0"/>
        <v>4492719</v>
      </c>
      <c r="DJ92" s="57" t="str">
        <f t="shared" si="0"/>
        <v>44927110</v>
      </c>
      <c r="ED92" s="161"/>
      <c r="EE92" s="161"/>
      <c r="EF92" s="161"/>
      <c r="EG92" s="161"/>
      <c r="EH92" s="161"/>
      <c r="EI92" s="161"/>
      <c r="EJ92" s="161"/>
      <c r="EK92" s="161"/>
      <c r="EL92" s="161"/>
      <c r="EM92" s="161"/>
      <c r="EN92" s="161"/>
      <c r="EO92" s="161"/>
      <c r="EP92" s="161"/>
      <c r="EQ92" s="161"/>
      <c r="ER92" s="161"/>
      <c r="ES92" s="161"/>
      <c r="ET92" s="161"/>
      <c r="EU92" s="161"/>
      <c r="EV92" s="161"/>
      <c r="EW92" s="161"/>
      <c r="EX92" s="161"/>
      <c r="EY92" s="161"/>
      <c r="EZ92" s="161"/>
      <c r="FA92" s="161"/>
      <c r="FB92" s="161"/>
      <c r="FC92" s="161"/>
      <c r="FD92" s="161"/>
      <c r="FE92" s="161"/>
      <c r="FF92" s="161"/>
      <c r="FG92" s="161"/>
      <c r="FH92" s="161"/>
      <c r="FI92" s="161"/>
      <c r="FJ92" s="161"/>
      <c r="FK92" s="161"/>
      <c r="FL92" s="161"/>
      <c r="FM92" s="161"/>
      <c r="FN92" s="161"/>
      <c r="FO92" s="161"/>
      <c r="FP92" s="161"/>
      <c r="FQ92" s="161"/>
      <c r="FR92" s="161"/>
      <c r="FS92" s="161"/>
      <c r="FT92" s="161"/>
      <c r="FU92" s="161"/>
      <c r="FV92" s="161"/>
      <c r="FW92" s="161"/>
      <c r="FX92" s="161"/>
      <c r="FY92" s="161"/>
      <c r="FZ92" s="161"/>
      <c r="GA92" s="161"/>
    </row>
    <row r="93" spans="107:183" x14ac:dyDescent="0.25">
      <c r="DC93" s="57" t="str">
        <f t="shared" ref="DC93:DJ93" si="1">CONCATENATE($C$11,$DN$91,DQ91)</f>
        <v>4492723</v>
      </c>
      <c r="DD93" s="57" t="str">
        <f t="shared" si="1"/>
        <v>4492724</v>
      </c>
      <c r="DE93" s="57" t="str">
        <f t="shared" si="1"/>
        <v>4492725</v>
      </c>
      <c r="DF93" s="57" t="str">
        <f t="shared" si="1"/>
        <v>4492726</v>
      </c>
      <c r="DG93" s="57" t="str">
        <f t="shared" si="1"/>
        <v>4492727</v>
      </c>
      <c r="DH93" s="57" t="str">
        <f t="shared" si="1"/>
        <v>4492728</v>
      </c>
      <c r="DI93" s="57" t="str">
        <f t="shared" si="1"/>
        <v>4492729</v>
      </c>
      <c r="DJ93" s="57" t="str">
        <f t="shared" si="1"/>
        <v>44927210</v>
      </c>
      <c r="ED93" s="161"/>
      <c r="EE93" s="161"/>
      <c r="EF93" s="161"/>
      <c r="EG93" s="161"/>
      <c r="EH93" s="161"/>
      <c r="EI93" s="161"/>
      <c r="EJ93" s="161"/>
      <c r="EK93" s="161"/>
      <c r="EL93" s="161"/>
      <c r="EM93" s="161"/>
      <c r="EN93" s="161"/>
      <c r="EO93" s="161"/>
      <c r="EP93" s="161"/>
      <c r="EQ93" s="161"/>
      <c r="ER93" s="161"/>
      <c r="ES93" s="161"/>
      <c r="ET93" s="161"/>
      <c r="EU93" s="161"/>
      <c r="EV93" s="161"/>
      <c r="EW93" s="161"/>
      <c r="EX93" s="161"/>
      <c r="EY93" s="161"/>
      <c r="EZ93" s="161"/>
      <c r="FA93" s="161"/>
      <c r="FB93" s="161"/>
      <c r="FC93" s="161"/>
      <c r="FD93" s="161"/>
      <c r="FE93" s="161"/>
      <c r="FF93" s="161"/>
      <c r="FG93" s="161"/>
      <c r="FH93" s="161"/>
      <c r="FI93" s="161"/>
      <c r="FJ93" s="161"/>
      <c r="FK93" s="161"/>
      <c r="FL93" s="161"/>
      <c r="FM93" s="161"/>
      <c r="FN93" s="161"/>
      <c r="FO93" s="161"/>
      <c r="FP93" s="161"/>
      <c r="FQ93" s="161"/>
      <c r="FR93" s="161"/>
      <c r="FS93" s="161"/>
      <c r="FT93" s="161"/>
      <c r="FU93" s="161"/>
      <c r="FV93" s="161"/>
      <c r="FW93" s="161"/>
      <c r="FX93" s="161"/>
      <c r="FY93" s="161"/>
      <c r="FZ93" s="161"/>
      <c r="GA93" s="161"/>
    </row>
    <row r="94" spans="107:183" x14ac:dyDescent="0.25">
      <c r="DC94" s="57" t="str">
        <f t="shared" ref="DC94:DJ94" si="2">CONCATENATE($C$11,$DZ$91,EC91)</f>
        <v>4492733</v>
      </c>
      <c r="DD94" s="57" t="str">
        <f t="shared" si="2"/>
        <v>4492734</v>
      </c>
      <c r="DE94" s="57" t="str">
        <f t="shared" si="2"/>
        <v>4492735</v>
      </c>
      <c r="DF94" s="57" t="str">
        <f t="shared" si="2"/>
        <v>4492736</v>
      </c>
      <c r="DG94" s="57" t="str">
        <f t="shared" si="2"/>
        <v>4492737</v>
      </c>
      <c r="DH94" s="57" t="str">
        <f t="shared" si="2"/>
        <v>4492738</v>
      </c>
      <c r="DI94" s="57" t="str">
        <f t="shared" si="2"/>
        <v>4492739</v>
      </c>
      <c r="DJ94" s="57" t="str">
        <f t="shared" si="2"/>
        <v>44927310</v>
      </c>
      <c r="ED94" s="161"/>
      <c r="EE94" s="161"/>
      <c r="EF94" s="161"/>
      <c r="EG94" s="161"/>
      <c r="EH94" s="161"/>
      <c r="EI94" s="161"/>
      <c r="EJ94" s="161"/>
      <c r="EK94" s="161"/>
      <c r="EL94" s="161"/>
      <c r="EM94" s="161"/>
      <c r="EN94" s="161"/>
      <c r="EO94" s="161"/>
      <c r="EP94" s="161"/>
      <c r="EQ94" s="161"/>
      <c r="ER94" s="161"/>
      <c r="ES94" s="161"/>
      <c r="ET94" s="161"/>
      <c r="EU94" s="161"/>
      <c r="EV94" s="161"/>
      <c r="EW94" s="161"/>
      <c r="EX94" s="161"/>
      <c r="EY94" s="161"/>
      <c r="EZ94" s="161"/>
      <c r="FA94" s="161"/>
      <c r="FB94" s="161"/>
      <c r="FC94" s="161"/>
      <c r="FD94" s="161"/>
      <c r="FE94" s="161"/>
      <c r="FF94" s="161"/>
      <c r="FG94" s="161"/>
      <c r="FH94" s="161"/>
      <c r="FI94" s="161"/>
      <c r="FJ94" s="161"/>
      <c r="FK94" s="161"/>
      <c r="FL94" s="161"/>
      <c r="FM94" s="161"/>
      <c r="FN94" s="161"/>
      <c r="FO94" s="161"/>
      <c r="FP94" s="161"/>
      <c r="FQ94" s="161"/>
      <c r="FR94" s="161"/>
      <c r="FS94" s="161"/>
      <c r="FT94" s="161"/>
      <c r="FU94" s="161"/>
      <c r="FV94" s="161"/>
      <c r="FW94" s="161"/>
      <c r="FX94" s="161"/>
      <c r="FY94" s="161"/>
      <c r="FZ94" s="161"/>
      <c r="GA94" s="161"/>
    </row>
    <row r="95" spans="107:183" x14ac:dyDescent="0.25">
      <c r="ED95" s="161"/>
      <c r="EE95" s="161"/>
      <c r="EF95" s="161"/>
      <c r="EG95" s="161"/>
      <c r="EH95" s="161"/>
      <c r="EI95" s="161"/>
      <c r="EJ95" s="161"/>
      <c r="EK95" s="161"/>
      <c r="EL95" s="161"/>
      <c r="EM95" s="161"/>
      <c r="EN95" s="161"/>
      <c r="EO95" s="161"/>
      <c r="EP95" s="161"/>
      <c r="EQ95" s="161"/>
      <c r="ER95" s="161"/>
      <c r="ES95" s="161"/>
      <c r="ET95" s="161"/>
      <c r="EU95" s="161"/>
      <c r="EV95" s="161"/>
      <c r="EW95" s="161"/>
      <c r="EX95" s="161"/>
      <c r="EY95" s="161"/>
      <c r="EZ95" s="161"/>
      <c r="FA95" s="161"/>
      <c r="FB95" s="161"/>
      <c r="FC95" s="161"/>
      <c r="FD95" s="161"/>
      <c r="FE95" s="161"/>
      <c r="FF95" s="161"/>
      <c r="FG95" s="161"/>
      <c r="FH95" s="161"/>
      <c r="FI95" s="161"/>
      <c r="FJ95" s="161"/>
      <c r="FK95" s="161"/>
      <c r="FL95" s="161"/>
      <c r="FM95" s="161"/>
      <c r="FN95" s="161"/>
      <c r="FO95" s="161"/>
      <c r="FP95" s="161"/>
      <c r="FQ95" s="161"/>
      <c r="FR95" s="161"/>
      <c r="FS95" s="161"/>
      <c r="FT95" s="161"/>
      <c r="FU95" s="161"/>
      <c r="FV95" s="161"/>
      <c r="FW95" s="161"/>
      <c r="FX95" s="161"/>
      <c r="FY95" s="161"/>
      <c r="FZ95" s="161"/>
      <c r="GA95" s="161"/>
    </row>
    <row r="96" spans="107:183" x14ac:dyDescent="0.25">
      <c r="ED96" s="161"/>
      <c r="EE96" s="161"/>
      <c r="EF96" s="161"/>
      <c r="EG96" s="161"/>
      <c r="EH96" s="161"/>
      <c r="EI96" s="161"/>
      <c r="EJ96" s="161"/>
      <c r="EK96" s="161"/>
      <c r="EL96" s="161"/>
      <c r="EM96" s="161"/>
      <c r="EN96" s="161"/>
      <c r="EO96" s="161"/>
      <c r="EP96" s="161"/>
      <c r="EQ96" s="161"/>
      <c r="ER96" s="161"/>
      <c r="ES96" s="161"/>
      <c r="ET96" s="161"/>
      <c r="EU96" s="161"/>
      <c r="EV96" s="161"/>
      <c r="EW96" s="161"/>
      <c r="EX96" s="161"/>
      <c r="EY96" s="161"/>
      <c r="EZ96" s="161"/>
      <c r="FA96" s="161"/>
      <c r="FB96" s="161"/>
      <c r="FC96" s="161"/>
      <c r="FD96" s="161"/>
      <c r="FE96" s="161"/>
      <c r="FF96" s="161"/>
      <c r="FG96" s="161"/>
      <c r="FH96" s="161"/>
      <c r="FI96" s="161"/>
      <c r="FJ96" s="161"/>
      <c r="FK96" s="161"/>
      <c r="FL96" s="161"/>
      <c r="FM96" s="161"/>
      <c r="FN96" s="161"/>
      <c r="FO96" s="161"/>
      <c r="FP96" s="161"/>
      <c r="FQ96" s="161"/>
      <c r="FR96" s="161"/>
      <c r="FS96" s="161"/>
      <c r="FT96" s="161"/>
      <c r="FU96" s="161"/>
      <c r="FV96" s="161"/>
      <c r="FW96" s="161"/>
      <c r="FX96" s="161"/>
      <c r="FY96" s="161"/>
      <c r="FZ96" s="161"/>
      <c r="GA96" s="161"/>
    </row>
    <row r="97" spans="134:183" x14ac:dyDescent="0.25">
      <c r="ED97" s="161"/>
      <c r="EE97" s="161"/>
      <c r="EF97" s="161"/>
      <c r="EG97" s="161"/>
      <c r="EH97" s="161"/>
      <c r="EI97" s="161"/>
      <c r="EJ97" s="161"/>
      <c r="EK97" s="161"/>
      <c r="EL97" s="161"/>
      <c r="EM97" s="161"/>
      <c r="EN97" s="161"/>
      <c r="EO97" s="161"/>
      <c r="EP97" s="161"/>
      <c r="EQ97" s="161"/>
      <c r="ER97" s="161"/>
      <c r="ES97" s="161"/>
      <c r="ET97" s="161"/>
      <c r="EU97" s="161"/>
      <c r="EV97" s="161"/>
      <c r="EW97" s="161"/>
      <c r="EX97" s="161"/>
      <c r="EY97" s="161"/>
      <c r="EZ97" s="161"/>
      <c r="FA97" s="161"/>
      <c r="FB97" s="161"/>
      <c r="FC97" s="161"/>
      <c r="FD97" s="161"/>
      <c r="FE97" s="161"/>
      <c r="FF97" s="161"/>
      <c r="FG97" s="161"/>
      <c r="FH97" s="161"/>
      <c r="FI97" s="161"/>
      <c r="FJ97" s="161"/>
      <c r="FK97" s="161"/>
      <c r="FL97" s="161"/>
      <c r="FM97" s="161"/>
      <c r="FN97" s="161"/>
      <c r="FO97" s="161"/>
      <c r="FP97" s="161"/>
      <c r="FQ97" s="161"/>
      <c r="FR97" s="161"/>
      <c r="FS97" s="161"/>
      <c r="FT97" s="161"/>
      <c r="FU97" s="161"/>
      <c r="FV97" s="161"/>
      <c r="FW97" s="161"/>
      <c r="FX97" s="161"/>
      <c r="FY97" s="161"/>
      <c r="FZ97" s="161"/>
      <c r="GA97" s="161"/>
    </row>
    <row r="98" spans="134:183" x14ac:dyDescent="0.25">
      <c r="ED98" s="161"/>
      <c r="EE98" s="161"/>
      <c r="EF98" s="161"/>
      <c r="EG98" s="161"/>
      <c r="EH98" s="161"/>
      <c r="EI98" s="161"/>
      <c r="EJ98" s="161"/>
      <c r="EK98" s="161"/>
      <c r="EL98" s="161"/>
      <c r="EM98" s="161"/>
      <c r="EN98" s="161"/>
      <c r="EO98" s="161"/>
      <c r="EP98" s="161"/>
      <c r="EQ98" s="161"/>
      <c r="ER98" s="161"/>
      <c r="ES98" s="161"/>
      <c r="ET98" s="161"/>
      <c r="EU98" s="161"/>
      <c r="EV98" s="161"/>
      <c r="EW98" s="161"/>
      <c r="EX98" s="161"/>
      <c r="EY98" s="161"/>
      <c r="EZ98" s="161"/>
      <c r="FA98" s="161"/>
      <c r="FB98" s="161"/>
      <c r="FC98" s="161"/>
      <c r="FD98" s="161"/>
      <c r="FE98" s="161"/>
      <c r="FF98" s="161"/>
      <c r="FG98" s="161"/>
      <c r="FH98" s="161"/>
      <c r="FI98" s="161"/>
      <c r="FJ98" s="161"/>
      <c r="FK98" s="161"/>
      <c r="FL98" s="161"/>
      <c r="FM98" s="161"/>
      <c r="FN98" s="161"/>
      <c r="FO98" s="161"/>
      <c r="FP98" s="161"/>
      <c r="FQ98" s="161"/>
      <c r="FR98" s="161"/>
      <c r="FS98" s="161"/>
      <c r="FT98" s="161"/>
      <c r="FU98" s="161"/>
      <c r="FV98" s="161"/>
      <c r="FW98" s="161"/>
      <c r="FX98" s="161"/>
      <c r="FY98" s="161"/>
      <c r="FZ98" s="161"/>
      <c r="GA98" s="161"/>
    </row>
    <row r="99" spans="134:183" x14ac:dyDescent="0.25">
      <c r="ED99" s="161"/>
      <c r="EE99" s="161"/>
      <c r="EF99" s="161"/>
      <c r="EG99" s="161"/>
      <c r="EH99" s="161"/>
      <c r="EI99" s="161"/>
      <c r="EJ99" s="161"/>
      <c r="EK99" s="161"/>
      <c r="EL99" s="161"/>
      <c r="EM99" s="161"/>
      <c r="EN99" s="161"/>
      <c r="EO99" s="161"/>
      <c r="EP99" s="161"/>
      <c r="EQ99" s="161"/>
      <c r="ER99" s="161"/>
      <c r="ES99" s="161"/>
      <c r="ET99" s="161"/>
      <c r="EU99" s="161"/>
      <c r="EV99" s="161"/>
      <c r="EW99" s="161"/>
      <c r="EX99" s="161"/>
      <c r="EY99" s="161"/>
      <c r="EZ99" s="161"/>
      <c r="FA99" s="161"/>
      <c r="FB99" s="161"/>
      <c r="FC99" s="161"/>
      <c r="FD99" s="161"/>
      <c r="FE99" s="161"/>
      <c r="FF99" s="161"/>
      <c r="FG99" s="161"/>
      <c r="FH99" s="161"/>
      <c r="FI99" s="161"/>
      <c r="FJ99" s="161"/>
      <c r="FK99" s="161"/>
      <c r="FL99" s="161"/>
      <c r="FM99" s="161"/>
      <c r="FN99" s="161"/>
      <c r="FO99" s="161"/>
      <c r="FP99" s="161"/>
      <c r="FQ99" s="161"/>
      <c r="FR99" s="161"/>
      <c r="FS99" s="161"/>
      <c r="FT99" s="161"/>
      <c r="FU99" s="161"/>
      <c r="FV99" s="161"/>
      <c r="FW99" s="161"/>
      <c r="FX99" s="161"/>
      <c r="FY99" s="161"/>
      <c r="FZ99" s="161"/>
      <c r="GA99" s="161"/>
    </row>
    <row r="100" spans="134:183" x14ac:dyDescent="0.25">
      <c r="ED100" s="161"/>
      <c r="EE100" s="161"/>
      <c r="EF100" s="161"/>
      <c r="EG100" s="161"/>
      <c r="EH100" s="161"/>
      <c r="EI100" s="161"/>
      <c r="EJ100" s="161"/>
      <c r="EK100" s="161"/>
      <c r="EL100" s="161"/>
      <c r="EM100" s="161"/>
      <c r="EN100" s="161"/>
      <c r="EO100" s="161"/>
      <c r="EP100" s="161"/>
      <c r="EQ100" s="161"/>
      <c r="ER100" s="161"/>
      <c r="ES100" s="161"/>
      <c r="ET100" s="161"/>
      <c r="EU100" s="161"/>
      <c r="EV100" s="161"/>
      <c r="EW100" s="161"/>
      <c r="EX100" s="161"/>
      <c r="EY100" s="161"/>
      <c r="EZ100" s="161"/>
      <c r="FA100" s="161"/>
      <c r="FB100" s="161"/>
      <c r="FC100" s="161"/>
      <c r="FD100" s="161"/>
      <c r="FE100" s="161"/>
      <c r="FF100" s="161"/>
      <c r="FG100" s="161"/>
      <c r="FH100" s="161"/>
      <c r="FI100" s="161"/>
      <c r="FJ100" s="161"/>
      <c r="FK100" s="161"/>
      <c r="FL100" s="161"/>
      <c r="FM100" s="161"/>
      <c r="FN100" s="161"/>
      <c r="FO100" s="161"/>
      <c r="FP100" s="161"/>
      <c r="FQ100" s="161"/>
      <c r="FR100" s="161"/>
      <c r="FS100" s="161"/>
      <c r="FT100" s="161"/>
      <c r="FU100" s="161"/>
      <c r="FV100" s="161"/>
      <c r="FW100" s="161"/>
      <c r="FX100" s="161"/>
      <c r="FY100" s="161"/>
      <c r="FZ100" s="161"/>
      <c r="GA100" s="161"/>
    </row>
    <row r="101" spans="134:183" x14ac:dyDescent="0.25">
      <c r="ED101" s="161"/>
      <c r="EE101" s="161"/>
      <c r="EF101" s="161"/>
      <c r="EG101" s="161"/>
      <c r="EH101" s="161"/>
      <c r="EI101" s="161"/>
      <c r="EJ101" s="161"/>
      <c r="EK101" s="161"/>
      <c r="EL101" s="161"/>
      <c r="EM101" s="161"/>
      <c r="EN101" s="161"/>
      <c r="EO101" s="161"/>
      <c r="EP101" s="161"/>
      <c r="EQ101" s="161"/>
      <c r="ER101" s="161"/>
      <c r="ES101" s="161"/>
      <c r="ET101" s="161"/>
      <c r="EU101" s="161"/>
      <c r="EV101" s="161"/>
      <c r="EW101" s="161"/>
      <c r="EX101" s="161"/>
      <c r="EY101" s="161"/>
      <c r="EZ101" s="161"/>
      <c r="FA101" s="161"/>
      <c r="FB101" s="161"/>
      <c r="FC101" s="161"/>
      <c r="FD101" s="161"/>
      <c r="FE101" s="161"/>
      <c r="FF101" s="161"/>
      <c r="FG101" s="161"/>
      <c r="FH101" s="161"/>
      <c r="FI101" s="161"/>
      <c r="FJ101" s="161"/>
      <c r="FK101" s="161"/>
      <c r="FL101" s="161"/>
      <c r="FM101" s="161"/>
      <c r="FN101" s="161"/>
      <c r="FO101" s="161"/>
      <c r="FP101" s="161"/>
      <c r="FQ101" s="161"/>
      <c r="FR101" s="161"/>
      <c r="FS101" s="161"/>
      <c r="FT101" s="161"/>
      <c r="FU101" s="161"/>
      <c r="FV101" s="161"/>
      <c r="FW101" s="161"/>
      <c r="FX101" s="161"/>
      <c r="FY101" s="161"/>
      <c r="FZ101" s="161"/>
      <c r="GA101" s="161"/>
    </row>
    <row r="102" spans="134:183" x14ac:dyDescent="0.25">
      <c r="ED102" s="161"/>
      <c r="EE102" s="161"/>
      <c r="EF102" s="161"/>
      <c r="EG102" s="161"/>
      <c r="EH102" s="161"/>
      <c r="EI102" s="161"/>
      <c r="EJ102" s="161"/>
      <c r="EK102" s="161"/>
      <c r="EL102" s="161"/>
      <c r="EM102" s="161"/>
      <c r="EN102" s="161"/>
      <c r="EO102" s="161"/>
      <c r="EP102" s="161"/>
      <c r="EQ102" s="161"/>
      <c r="ER102" s="161"/>
      <c r="ES102" s="161"/>
      <c r="ET102" s="161"/>
      <c r="EU102" s="161"/>
      <c r="EV102" s="161"/>
      <c r="EW102" s="161"/>
      <c r="EX102" s="161"/>
      <c r="EY102" s="161"/>
      <c r="EZ102" s="161"/>
      <c r="FA102" s="161"/>
      <c r="FB102" s="161"/>
      <c r="FC102" s="161"/>
      <c r="FD102" s="161"/>
      <c r="FE102" s="161"/>
      <c r="FF102" s="161"/>
      <c r="FG102" s="161"/>
      <c r="FH102" s="161"/>
      <c r="FI102" s="161"/>
      <c r="FJ102" s="161"/>
      <c r="FK102" s="161"/>
      <c r="FL102" s="161"/>
      <c r="FM102" s="161"/>
      <c r="FN102" s="161"/>
      <c r="FO102" s="161"/>
      <c r="FP102" s="161"/>
      <c r="FQ102" s="161"/>
      <c r="FR102" s="161"/>
      <c r="FS102" s="161"/>
      <c r="FT102" s="161"/>
      <c r="FU102" s="161"/>
      <c r="FV102" s="161"/>
      <c r="FW102" s="161"/>
      <c r="FX102" s="161"/>
      <c r="FY102" s="161"/>
      <c r="FZ102" s="161"/>
      <c r="GA102" s="161"/>
    </row>
    <row r="103" spans="134:183" x14ac:dyDescent="0.25">
      <c r="ED103" s="161"/>
      <c r="EE103" s="161"/>
      <c r="EF103" s="161"/>
      <c r="EG103" s="161"/>
      <c r="EH103" s="161"/>
      <c r="EI103" s="161"/>
      <c r="EJ103" s="161"/>
      <c r="EK103" s="161"/>
      <c r="EL103" s="161"/>
      <c r="EM103" s="161"/>
      <c r="EN103" s="161"/>
      <c r="EO103" s="161"/>
      <c r="EP103" s="161"/>
      <c r="EQ103" s="161"/>
      <c r="ER103" s="161"/>
      <c r="ES103" s="161"/>
      <c r="ET103" s="161"/>
      <c r="EU103" s="161"/>
      <c r="EV103" s="161"/>
      <c r="EW103" s="161"/>
      <c r="EX103" s="161"/>
      <c r="EY103" s="161"/>
      <c r="EZ103" s="161"/>
      <c r="FA103" s="161"/>
      <c r="FB103" s="161"/>
      <c r="FC103" s="161"/>
      <c r="FD103" s="161"/>
      <c r="FE103" s="161"/>
      <c r="FF103" s="161"/>
      <c r="FG103" s="161"/>
      <c r="FH103" s="161"/>
      <c r="FI103" s="161"/>
      <c r="FJ103" s="161"/>
      <c r="FK103" s="161"/>
      <c r="FL103" s="161"/>
      <c r="FM103" s="161"/>
      <c r="FN103" s="161"/>
      <c r="FO103" s="161"/>
      <c r="FP103" s="161"/>
      <c r="FQ103" s="161"/>
      <c r="FR103" s="161"/>
      <c r="FS103" s="161"/>
      <c r="FT103" s="161"/>
      <c r="FU103" s="161"/>
      <c r="FV103" s="161"/>
      <c r="FW103" s="161"/>
      <c r="FX103" s="161"/>
      <c r="FY103" s="161"/>
      <c r="FZ103" s="161"/>
      <c r="GA103" s="161"/>
    </row>
    <row r="104" spans="134:183" x14ac:dyDescent="0.25">
      <c r="ED104" s="161"/>
      <c r="EE104" s="161"/>
      <c r="EF104" s="161"/>
      <c r="EG104" s="161"/>
      <c r="EH104" s="161"/>
      <c r="EI104" s="161"/>
      <c r="EJ104" s="161"/>
      <c r="EK104" s="161"/>
      <c r="EL104" s="161"/>
      <c r="EM104" s="161"/>
      <c r="EN104" s="161"/>
      <c r="EO104" s="161"/>
      <c r="EP104" s="161"/>
      <c r="EQ104" s="161"/>
      <c r="ER104" s="161"/>
      <c r="ES104" s="161"/>
      <c r="ET104" s="161"/>
      <c r="EU104" s="161"/>
      <c r="EV104" s="161"/>
      <c r="EW104" s="161"/>
      <c r="EX104" s="161"/>
      <c r="EY104" s="161"/>
      <c r="EZ104" s="161"/>
      <c r="FA104" s="161"/>
      <c r="FB104" s="161"/>
      <c r="FC104" s="161"/>
      <c r="FD104" s="161"/>
      <c r="FE104" s="161"/>
      <c r="FF104" s="161"/>
      <c r="FG104" s="161"/>
      <c r="FH104" s="161"/>
      <c r="FI104" s="161"/>
      <c r="FJ104" s="161"/>
      <c r="FK104" s="161"/>
      <c r="FL104" s="161"/>
      <c r="FM104" s="161"/>
      <c r="FN104" s="161"/>
      <c r="FO104" s="161"/>
      <c r="FP104" s="161"/>
      <c r="FQ104" s="161"/>
      <c r="FR104" s="161"/>
      <c r="FS104" s="161"/>
      <c r="FT104" s="161"/>
      <c r="FU104" s="161"/>
      <c r="FV104" s="161"/>
      <c r="FW104" s="161"/>
      <c r="FX104" s="161"/>
      <c r="FY104" s="161"/>
      <c r="FZ104" s="161"/>
      <c r="GA104" s="161"/>
    </row>
    <row r="105" spans="134:183" x14ac:dyDescent="0.25">
      <c r="ED105" s="161"/>
      <c r="EE105" s="161"/>
      <c r="EF105" s="161"/>
      <c r="EG105" s="161"/>
      <c r="EH105" s="161"/>
      <c r="EI105" s="161"/>
      <c r="EJ105" s="161"/>
      <c r="EK105" s="161"/>
      <c r="EL105" s="161"/>
      <c r="EM105" s="161"/>
      <c r="EN105" s="161"/>
      <c r="EO105" s="161"/>
      <c r="EP105" s="161"/>
      <c r="EQ105" s="161"/>
      <c r="ER105" s="161"/>
      <c r="ES105" s="161"/>
      <c r="ET105" s="161"/>
      <c r="EU105" s="161"/>
      <c r="EV105" s="161"/>
      <c r="EW105" s="161"/>
      <c r="EX105" s="161"/>
      <c r="EY105" s="161"/>
      <c r="EZ105" s="161"/>
      <c r="FA105" s="161"/>
      <c r="FB105" s="161"/>
      <c r="FC105" s="161"/>
      <c r="FD105" s="161"/>
      <c r="FE105" s="161"/>
      <c r="FF105" s="161"/>
      <c r="FG105" s="161"/>
      <c r="FH105" s="161"/>
      <c r="FI105" s="161"/>
      <c r="FJ105" s="161"/>
      <c r="FK105" s="161"/>
      <c r="FL105" s="161"/>
      <c r="FM105" s="161"/>
      <c r="FN105" s="161"/>
      <c r="FO105" s="161"/>
      <c r="FP105" s="161"/>
      <c r="FQ105" s="161"/>
      <c r="FR105" s="161"/>
      <c r="FS105" s="161"/>
      <c r="FT105" s="161"/>
      <c r="FU105" s="161"/>
      <c r="FV105" s="161"/>
      <c r="FW105" s="161"/>
      <c r="FX105" s="161"/>
      <c r="FY105" s="161"/>
      <c r="FZ105" s="161"/>
      <c r="GA105" s="161"/>
    </row>
    <row r="106" spans="134:183" x14ac:dyDescent="0.25">
      <c r="ED106" s="161"/>
      <c r="EE106" s="161"/>
      <c r="EF106" s="161"/>
      <c r="EG106" s="161"/>
      <c r="EH106" s="161"/>
      <c r="EI106" s="161"/>
      <c r="EJ106" s="161"/>
      <c r="EK106" s="161"/>
      <c r="EL106" s="161"/>
      <c r="EM106" s="161"/>
      <c r="EN106" s="161"/>
      <c r="EO106" s="161"/>
      <c r="EP106" s="161"/>
      <c r="EQ106" s="161"/>
      <c r="ER106" s="161"/>
      <c r="ES106" s="161"/>
      <c r="ET106" s="161"/>
      <c r="EU106" s="161"/>
      <c r="EV106" s="161"/>
      <c r="EW106" s="161"/>
      <c r="EX106" s="161"/>
      <c r="EY106" s="161"/>
      <c r="EZ106" s="161"/>
      <c r="FA106" s="161"/>
      <c r="FB106" s="161"/>
      <c r="FC106" s="161"/>
      <c r="FD106" s="161"/>
      <c r="FE106" s="161"/>
      <c r="FF106" s="161"/>
      <c r="FG106" s="161"/>
      <c r="FH106" s="161"/>
      <c r="FI106" s="161"/>
      <c r="FJ106" s="161"/>
      <c r="FK106" s="161"/>
      <c r="FL106" s="161"/>
      <c r="FM106" s="161"/>
      <c r="FN106" s="161"/>
      <c r="FO106" s="161"/>
      <c r="FP106" s="161"/>
      <c r="FQ106" s="161"/>
      <c r="FR106" s="161"/>
      <c r="FS106" s="161"/>
      <c r="FT106" s="161"/>
      <c r="FU106" s="161"/>
      <c r="FV106" s="161"/>
      <c r="FW106" s="161"/>
      <c r="FX106" s="161"/>
      <c r="FY106" s="161"/>
      <c r="FZ106" s="161"/>
      <c r="GA106" s="161"/>
    </row>
    <row r="107" spans="134:183" x14ac:dyDescent="0.25">
      <c r="ED107" s="161"/>
      <c r="EE107" s="161"/>
      <c r="EF107" s="161"/>
      <c r="EG107" s="161"/>
      <c r="EH107" s="161"/>
      <c r="EI107" s="161"/>
      <c r="EJ107" s="161"/>
      <c r="EK107" s="161"/>
      <c r="EL107" s="161"/>
      <c r="EM107" s="161"/>
      <c r="EN107" s="161"/>
      <c r="EO107" s="161"/>
      <c r="EP107" s="161"/>
      <c r="EQ107" s="161"/>
      <c r="ER107" s="161"/>
      <c r="ES107" s="161"/>
      <c r="ET107" s="161"/>
      <c r="EU107" s="161"/>
      <c r="EV107" s="161"/>
      <c r="EW107" s="161"/>
      <c r="EX107" s="161"/>
      <c r="EY107" s="161"/>
      <c r="EZ107" s="161"/>
      <c r="FA107" s="161"/>
      <c r="FB107" s="161"/>
      <c r="FC107" s="161"/>
      <c r="FD107" s="161"/>
      <c r="FE107" s="161"/>
      <c r="FF107" s="161"/>
      <c r="FG107" s="161"/>
      <c r="FH107" s="161"/>
      <c r="FI107" s="161"/>
      <c r="FJ107" s="161"/>
      <c r="FK107" s="161"/>
      <c r="FL107" s="161"/>
      <c r="FM107" s="161"/>
      <c r="FN107" s="161"/>
      <c r="FO107" s="161"/>
      <c r="FP107" s="161"/>
      <c r="FQ107" s="161"/>
      <c r="FR107" s="161"/>
      <c r="FS107" s="161"/>
      <c r="FT107" s="161"/>
      <c r="FU107" s="161"/>
      <c r="FV107" s="161"/>
      <c r="FW107" s="161"/>
      <c r="FX107" s="161"/>
      <c r="FY107" s="161"/>
      <c r="FZ107" s="161"/>
      <c r="GA107" s="161"/>
    </row>
    <row r="108" spans="134:183" x14ac:dyDescent="0.25">
      <c r="ED108" s="161"/>
      <c r="EE108" s="161"/>
      <c r="EF108" s="161"/>
      <c r="EG108" s="161"/>
      <c r="EH108" s="161"/>
      <c r="EI108" s="161"/>
      <c r="EJ108" s="161"/>
      <c r="EK108" s="161"/>
      <c r="EL108" s="161"/>
      <c r="EM108" s="161"/>
      <c r="EN108" s="161"/>
      <c r="EO108" s="161"/>
      <c r="EP108" s="161"/>
      <c r="EQ108" s="161"/>
      <c r="ER108" s="161"/>
      <c r="ES108" s="161"/>
      <c r="ET108" s="161"/>
      <c r="EU108" s="161"/>
      <c r="EV108" s="161"/>
      <c r="EW108" s="161"/>
      <c r="EX108" s="161"/>
      <c r="EY108" s="161"/>
      <c r="EZ108" s="161"/>
      <c r="FA108" s="161"/>
      <c r="FB108" s="161"/>
      <c r="FC108" s="161"/>
      <c r="FD108" s="161"/>
      <c r="FE108" s="161"/>
      <c r="FF108" s="161"/>
      <c r="FG108" s="161"/>
      <c r="FH108" s="161"/>
      <c r="FI108" s="161"/>
      <c r="FJ108" s="161"/>
      <c r="FK108" s="161"/>
      <c r="FL108" s="161"/>
      <c r="FM108" s="161"/>
      <c r="FN108" s="161"/>
      <c r="FO108" s="161"/>
      <c r="FP108" s="161"/>
      <c r="FQ108" s="161"/>
      <c r="FR108" s="161"/>
      <c r="FS108" s="161"/>
      <c r="FT108" s="161"/>
      <c r="FU108" s="161"/>
      <c r="FV108" s="161"/>
      <c r="FW108" s="161"/>
      <c r="FX108" s="161"/>
      <c r="FY108" s="161"/>
      <c r="FZ108" s="161"/>
      <c r="GA108" s="161"/>
    </row>
    <row r="109" spans="134:183" ht="22.5" x14ac:dyDescent="0.25">
      <c r="ED109" s="161"/>
      <c r="EE109" s="161"/>
      <c r="EF109" s="161"/>
      <c r="EG109" s="161"/>
      <c r="EH109" s="161"/>
      <c r="EI109" s="161"/>
      <c r="EJ109" s="161"/>
      <c r="EK109" s="161"/>
      <c r="EL109" s="161"/>
      <c r="EM109" s="161"/>
      <c r="EN109" s="161"/>
      <c r="EO109" s="161"/>
      <c r="EP109" s="161"/>
      <c r="EQ109" s="161"/>
      <c r="ER109" s="161"/>
      <c r="ES109" s="161"/>
      <c r="ET109" s="161"/>
      <c r="EU109" s="161"/>
      <c r="EV109" s="161"/>
      <c r="EW109" s="161"/>
      <c r="EX109" s="161"/>
      <c r="EY109" s="161"/>
      <c r="EZ109" s="161"/>
      <c r="FA109" s="161"/>
      <c r="FB109" s="161"/>
      <c r="FC109" s="161"/>
      <c r="FD109" s="161"/>
      <c r="FE109" s="161"/>
      <c r="FF109" s="161"/>
      <c r="FG109" s="161"/>
      <c r="FH109" s="161"/>
      <c r="FI109" s="161"/>
      <c r="FJ109" s="161"/>
      <c r="FK109" s="161"/>
      <c r="FL109" s="161"/>
      <c r="FM109" s="161"/>
      <c r="FN109" s="161"/>
      <c r="FO109" s="161"/>
      <c r="FP109" s="161"/>
      <c r="FQ109" s="161"/>
      <c r="FR109" s="161"/>
      <c r="FS109" s="161"/>
      <c r="FT109" s="161"/>
      <c r="FU109" s="161"/>
      <c r="FV109" s="161"/>
      <c r="FW109" s="161"/>
      <c r="FX109" s="163" t="str">
        <f t="shared" ref="FX109:FX114" si="3">CONCATENATE($AR$5,AS9)</f>
        <v>447697601</v>
      </c>
      <c r="FY109" s="161"/>
      <c r="FZ109" s="161"/>
      <c r="GA109" s="161"/>
    </row>
    <row r="110" spans="134:183" ht="22.5" x14ac:dyDescent="0.25">
      <c r="ED110" s="161"/>
      <c r="EE110" s="161"/>
      <c r="EF110" s="161"/>
      <c r="EG110" s="161"/>
      <c r="EH110" s="161"/>
      <c r="EI110" s="161"/>
      <c r="EJ110" s="161"/>
      <c r="EK110" s="161"/>
      <c r="EL110" s="161"/>
      <c r="EM110" s="161"/>
      <c r="EN110" s="161"/>
      <c r="EO110" s="161"/>
      <c r="EP110" s="161"/>
      <c r="EQ110" s="161"/>
      <c r="ER110" s="161"/>
      <c r="ES110" s="161"/>
      <c r="ET110" s="161"/>
      <c r="EU110" s="161"/>
      <c r="EV110" s="161"/>
      <c r="EW110" s="161"/>
      <c r="EX110" s="161"/>
      <c r="EY110" s="161"/>
      <c r="EZ110" s="161"/>
      <c r="FA110" s="161"/>
      <c r="FB110" s="161"/>
      <c r="FC110" s="161"/>
      <c r="FD110" s="161"/>
      <c r="FE110" s="161"/>
      <c r="FF110" s="161"/>
      <c r="FG110" s="161"/>
      <c r="FH110" s="161"/>
      <c r="FI110" s="161"/>
      <c r="FJ110" s="161"/>
      <c r="FK110" s="161"/>
      <c r="FL110" s="161"/>
      <c r="FM110" s="161"/>
      <c r="FN110" s="161"/>
      <c r="FO110" s="161"/>
      <c r="FP110" s="161"/>
      <c r="FQ110" s="161"/>
      <c r="FR110" s="161"/>
      <c r="FS110" s="161"/>
      <c r="FT110" s="161"/>
      <c r="FU110" s="161"/>
      <c r="FV110" s="161"/>
      <c r="FW110" s="161"/>
      <c r="FX110" s="163" t="str">
        <f t="shared" si="3"/>
        <v>447697609</v>
      </c>
      <c r="FY110" s="161"/>
      <c r="FZ110" s="161"/>
      <c r="GA110" s="161"/>
    </row>
    <row r="111" spans="134:183" ht="22.5" x14ac:dyDescent="0.25">
      <c r="ED111" s="161"/>
      <c r="EE111" s="161"/>
      <c r="EF111" s="161"/>
      <c r="EG111" s="161"/>
      <c r="EH111" s="161"/>
      <c r="EI111" s="161"/>
      <c r="EJ111" s="161"/>
      <c r="EK111" s="161"/>
      <c r="EL111" s="161"/>
      <c r="EM111" s="161"/>
      <c r="EN111" s="161"/>
      <c r="EO111" s="161"/>
      <c r="EP111" s="161"/>
      <c r="EQ111" s="161"/>
      <c r="ER111" s="161"/>
      <c r="ES111" s="161"/>
      <c r="ET111" s="161"/>
      <c r="EU111" s="161"/>
      <c r="EV111" s="161"/>
      <c r="EW111" s="161"/>
      <c r="EX111" s="161"/>
      <c r="EY111" s="161"/>
      <c r="EZ111" s="161"/>
      <c r="FA111" s="161"/>
      <c r="FB111" s="161"/>
      <c r="FC111" s="161"/>
      <c r="FD111" s="161"/>
      <c r="FE111" s="161"/>
      <c r="FF111" s="161"/>
      <c r="FG111" s="161"/>
      <c r="FH111" s="161"/>
      <c r="FI111" s="161"/>
      <c r="FJ111" s="161"/>
      <c r="FK111" s="161"/>
      <c r="FL111" s="161"/>
      <c r="FM111" s="161"/>
      <c r="FN111" s="161"/>
      <c r="FO111" s="161"/>
      <c r="FP111" s="161"/>
      <c r="FQ111" s="161"/>
      <c r="FR111" s="161"/>
      <c r="FS111" s="161"/>
      <c r="FT111" s="161"/>
      <c r="FU111" s="161"/>
      <c r="FV111" s="161"/>
      <c r="FW111" s="161"/>
      <c r="FX111" s="163" t="str">
        <f t="shared" si="3"/>
        <v>447697607</v>
      </c>
      <c r="FY111" s="161"/>
      <c r="FZ111" s="161"/>
      <c r="GA111" s="161"/>
    </row>
    <row r="112" spans="134:183" ht="22.5" x14ac:dyDescent="0.25">
      <c r="ED112" s="161"/>
      <c r="EE112" s="161"/>
      <c r="EF112" s="161"/>
      <c r="EG112" s="161"/>
      <c r="EH112" s="161"/>
      <c r="EI112" s="161"/>
      <c r="EJ112" s="161"/>
      <c r="EK112" s="161"/>
      <c r="EL112" s="161"/>
      <c r="EM112" s="161"/>
      <c r="EN112" s="161"/>
      <c r="EO112" s="161"/>
      <c r="EP112" s="161"/>
      <c r="EQ112" s="161"/>
      <c r="ER112" s="161"/>
      <c r="ES112" s="161"/>
      <c r="ET112" s="161"/>
      <c r="EU112" s="161"/>
      <c r="EV112" s="161"/>
      <c r="EW112" s="161"/>
      <c r="EX112" s="161"/>
      <c r="EY112" s="161"/>
      <c r="EZ112" s="161"/>
      <c r="FA112" s="161"/>
      <c r="FB112" s="161"/>
      <c r="FC112" s="161"/>
      <c r="FD112" s="161"/>
      <c r="FE112" s="161"/>
      <c r="FF112" s="161"/>
      <c r="FG112" s="161"/>
      <c r="FH112" s="161"/>
      <c r="FI112" s="161"/>
      <c r="FJ112" s="161"/>
      <c r="FK112" s="161"/>
      <c r="FL112" s="161"/>
      <c r="FM112" s="161"/>
      <c r="FN112" s="161"/>
      <c r="FO112" s="161"/>
      <c r="FP112" s="161"/>
      <c r="FQ112" s="161"/>
      <c r="FR112" s="161"/>
      <c r="FS112" s="161"/>
      <c r="FT112" s="161"/>
      <c r="FU112" s="161"/>
      <c r="FV112" s="161"/>
      <c r="FW112" s="161"/>
      <c r="FX112" s="163" t="str">
        <f t="shared" si="3"/>
        <v>447697613</v>
      </c>
      <c r="FY112" s="164" t="str">
        <f t="shared" ref="FY112:FY117" si="4">CONCATENATE($BF$5,BG9)</f>
        <v>447707601</v>
      </c>
      <c r="FZ112" s="161"/>
      <c r="GA112" s="161"/>
    </row>
    <row r="113" spans="134:183" ht="22.5" x14ac:dyDescent="0.25">
      <c r="ED113" s="161"/>
      <c r="EE113" s="161"/>
      <c r="EF113" s="161"/>
      <c r="EG113" s="161"/>
      <c r="EH113" s="161"/>
      <c r="EI113" s="161"/>
      <c r="EJ113" s="161"/>
      <c r="EK113" s="161"/>
      <c r="EL113" s="161"/>
      <c r="EM113" s="161"/>
      <c r="EN113" s="161"/>
      <c r="EO113" s="161"/>
      <c r="EP113" s="161"/>
      <c r="EQ113" s="161"/>
      <c r="ER113" s="161"/>
      <c r="ES113" s="161"/>
      <c r="ET113" s="161"/>
      <c r="EU113" s="161"/>
      <c r="EV113" s="161"/>
      <c r="EW113" s="161"/>
      <c r="EX113" s="161"/>
      <c r="EY113" s="161"/>
      <c r="EZ113" s="161"/>
      <c r="FA113" s="161"/>
      <c r="FB113" s="161"/>
      <c r="FC113" s="161"/>
      <c r="FD113" s="161"/>
      <c r="FE113" s="161"/>
      <c r="FF113" s="161"/>
      <c r="FG113" s="161"/>
      <c r="FH113" s="161"/>
      <c r="FI113" s="161"/>
      <c r="FJ113" s="161"/>
      <c r="FK113" s="161"/>
      <c r="FL113" s="161"/>
      <c r="FM113" s="161"/>
      <c r="FN113" s="161"/>
      <c r="FO113" s="161"/>
      <c r="FP113" s="161"/>
      <c r="FQ113" s="161"/>
      <c r="FR113" s="161"/>
      <c r="FS113" s="161"/>
      <c r="FT113" s="161"/>
      <c r="FU113" s="161"/>
      <c r="FV113" s="161"/>
      <c r="FW113" s="161"/>
      <c r="FX113" s="163" t="str">
        <f t="shared" si="3"/>
        <v>447697615</v>
      </c>
      <c r="FY113" s="164" t="str">
        <f t="shared" si="4"/>
        <v>447707609</v>
      </c>
      <c r="FZ113" s="161"/>
      <c r="GA113" s="161"/>
    </row>
    <row r="114" spans="134:183" ht="22.5" x14ac:dyDescent="0.25">
      <c r="ED114" s="161"/>
      <c r="EE114" s="161"/>
      <c r="EF114" s="161"/>
      <c r="EG114" s="161"/>
      <c r="EH114" s="161"/>
      <c r="EI114" s="161"/>
      <c r="EJ114" s="161"/>
      <c r="EK114" s="161"/>
      <c r="EL114" s="161"/>
      <c r="EM114" s="161"/>
      <c r="EN114" s="161"/>
      <c r="EO114" s="161"/>
      <c r="EP114" s="161"/>
      <c r="EQ114" s="161"/>
      <c r="ER114" s="161"/>
      <c r="ES114" s="161"/>
      <c r="ET114" s="161"/>
      <c r="EU114" s="161"/>
      <c r="EV114" s="161"/>
      <c r="EW114" s="161"/>
      <c r="EX114" s="161"/>
      <c r="EY114" s="161"/>
      <c r="EZ114" s="161"/>
      <c r="FA114" s="161"/>
      <c r="FB114" s="161"/>
      <c r="FC114" s="161"/>
      <c r="FD114" s="161"/>
      <c r="FE114" s="161"/>
      <c r="FF114" s="161"/>
      <c r="FG114" s="161"/>
      <c r="FH114" s="161"/>
      <c r="FI114" s="161"/>
      <c r="FJ114" s="161"/>
      <c r="FK114" s="161"/>
      <c r="FL114" s="161"/>
      <c r="FM114" s="161"/>
      <c r="FN114" s="161"/>
      <c r="FO114" s="161"/>
      <c r="FP114" s="161"/>
      <c r="FQ114" s="161"/>
      <c r="FR114" s="161"/>
      <c r="FS114" s="161"/>
      <c r="FT114" s="161"/>
      <c r="FU114" s="161"/>
      <c r="FV114" s="161"/>
      <c r="FW114" s="161"/>
      <c r="FX114" s="163" t="str">
        <f t="shared" si="3"/>
        <v>447697619</v>
      </c>
      <c r="FY114" s="164" t="str">
        <f t="shared" si="4"/>
        <v>447707607</v>
      </c>
      <c r="FZ114" s="161"/>
      <c r="GA114" s="161"/>
    </row>
    <row r="115" spans="134:183" ht="22.5" x14ac:dyDescent="0.25">
      <c r="ED115" s="161"/>
      <c r="EE115" s="161"/>
      <c r="EF115" s="161"/>
      <c r="EG115" s="161"/>
      <c r="EH115" s="161"/>
      <c r="EI115" s="161"/>
      <c r="EJ115" s="161"/>
      <c r="EK115" s="161"/>
      <c r="EL115" s="161"/>
      <c r="EM115" s="161"/>
      <c r="EN115" s="161"/>
      <c r="EO115" s="161"/>
      <c r="EP115" s="161"/>
      <c r="EQ115" s="161"/>
      <c r="ER115" s="161"/>
      <c r="ES115" s="161"/>
      <c r="ET115" s="161"/>
      <c r="EU115" s="161"/>
      <c r="EV115" s="161"/>
      <c r="EW115" s="161"/>
      <c r="EX115" s="161"/>
      <c r="EY115" s="161"/>
      <c r="EZ115" s="161"/>
      <c r="FA115" s="161"/>
      <c r="FB115" s="161"/>
      <c r="FC115" s="161"/>
      <c r="FD115" s="161"/>
      <c r="FE115" s="161"/>
      <c r="FF115" s="161"/>
      <c r="FG115" s="161"/>
      <c r="FH115" s="161"/>
      <c r="FI115" s="161"/>
      <c r="FJ115" s="161"/>
      <c r="FK115" s="161"/>
      <c r="FL115" s="161"/>
      <c r="FM115" s="161"/>
      <c r="FN115" s="161"/>
      <c r="FO115" s="161" t="str">
        <f>CONCATENATE($BF$5,$AR$15,AS15)</f>
        <v>4477031</v>
      </c>
      <c r="FP115" s="161" t="str">
        <f>CONCATENATE($BF$5,$AR$15,AT15)</f>
        <v>4477032</v>
      </c>
      <c r="FQ115" s="161" t="str">
        <f>CONCATENATE($BF$5,$AR$15,AU15)</f>
        <v>4477033</v>
      </c>
      <c r="FR115" s="161" t="str">
        <f>CONCATENATE($BF$5,$AR$15,AV15)</f>
        <v>4477034</v>
      </c>
      <c r="FS115" s="161"/>
      <c r="FT115" s="161"/>
      <c r="FU115" s="161"/>
      <c r="FV115" s="161"/>
      <c r="FW115" s="161"/>
      <c r="FX115" s="161"/>
      <c r="FY115" s="164" t="str">
        <f t="shared" si="4"/>
        <v>447707611</v>
      </c>
      <c r="FZ115" s="161"/>
      <c r="GA115" s="161"/>
    </row>
    <row r="116" spans="134:183" ht="22.5" x14ac:dyDescent="0.25">
      <c r="ED116" s="161"/>
      <c r="EE116" s="161"/>
      <c r="EF116" s="161"/>
      <c r="EG116" s="161"/>
      <c r="EH116" s="161"/>
      <c r="EI116" s="161"/>
      <c r="EJ116" s="161"/>
      <c r="EK116" s="161"/>
      <c r="EL116" s="161"/>
      <c r="EM116" s="161"/>
      <c r="EN116" s="161"/>
      <c r="EO116" s="161"/>
      <c r="EP116" s="161"/>
      <c r="EQ116" s="161"/>
      <c r="ER116" s="161"/>
      <c r="ES116" s="161"/>
      <c r="ET116" s="161"/>
      <c r="EU116" s="161"/>
      <c r="EV116" s="161"/>
      <c r="EW116" s="161"/>
      <c r="EX116" s="161"/>
      <c r="EY116" s="161"/>
      <c r="EZ116" s="161"/>
      <c r="FA116" s="161"/>
      <c r="FB116" s="161"/>
      <c r="FC116" s="161"/>
      <c r="FD116" s="161"/>
      <c r="FE116" s="161"/>
      <c r="FF116" s="161"/>
      <c r="FG116" s="161"/>
      <c r="FH116" s="161"/>
      <c r="FI116" s="161"/>
      <c r="FJ116" s="161"/>
      <c r="FK116" s="161"/>
      <c r="FL116" s="161"/>
      <c r="FM116" s="161"/>
      <c r="FN116" s="161"/>
      <c r="FO116" s="161" t="str">
        <f>CONCATENATE($AR$5,$AY$15,AZ15)</f>
        <v>4476911</v>
      </c>
      <c r="FP116" s="161" t="str">
        <f>CONCATENATE($AR$5,$AY$15,BA15)</f>
        <v>4476912</v>
      </c>
      <c r="FQ116" s="161" t="str">
        <f>CONCATENATE($AR$5,$AY$15,BB15)</f>
        <v>4476913</v>
      </c>
      <c r="FR116" s="161" t="str">
        <f>CONCATENATE($AR$5,$AY$15,BC15)</f>
        <v>4476914</v>
      </c>
      <c r="FS116" s="161"/>
      <c r="FT116" s="161"/>
      <c r="FU116" s="161"/>
      <c r="FV116" s="161"/>
      <c r="FW116" s="161"/>
      <c r="FX116" s="161"/>
      <c r="FY116" s="164" t="str">
        <f t="shared" si="4"/>
        <v>447707615</v>
      </c>
      <c r="FZ116" s="161"/>
      <c r="GA116" s="161"/>
    </row>
    <row r="117" spans="134:183" ht="22.5" x14ac:dyDescent="0.25">
      <c r="ED117" s="161"/>
      <c r="EE117" s="161"/>
      <c r="EF117" s="161"/>
      <c r="EG117" s="161"/>
      <c r="EH117" s="161"/>
      <c r="EI117" s="161"/>
      <c r="EJ117" s="161"/>
      <c r="EK117" s="161"/>
      <c r="EL117" s="161"/>
      <c r="EM117" s="161"/>
      <c r="EN117" s="161"/>
      <c r="EO117" s="161"/>
      <c r="EP117" s="161"/>
      <c r="EQ117" s="161"/>
      <c r="ER117" s="161"/>
      <c r="ES117" s="161"/>
      <c r="ET117" s="161"/>
      <c r="EU117" s="161"/>
      <c r="EV117" s="161"/>
      <c r="EW117" s="161"/>
      <c r="EX117" s="161"/>
      <c r="EY117" s="161"/>
      <c r="EZ117" s="161"/>
      <c r="FA117" s="161"/>
      <c r="FB117" s="161"/>
      <c r="FC117" s="161"/>
      <c r="FD117" s="161"/>
      <c r="FE117" s="161"/>
      <c r="FF117" s="161"/>
      <c r="FG117" s="161"/>
      <c r="FH117" s="161"/>
      <c r="FI117" s="161"/>
      <c r="FJ117" s="161"/>
      <c r="FK117" s="161"/>
      <c r="FL117" s="161"/>
      <c r="FM117" s="161"/>
      <c r="FN117" s="161"/>
      <c r="FO117" s="161" t="str">
        <f>CONCATENATE($AR$5,$BF$15,BG15)</f>
        <v>4476921</v>
      </c>
      <c r="FP117" s="161" t="str">
        <f>CONCATENATE($AR$5,$BF$15,BH15)</f>
        <v>4476922</v>
      </c>
      <c r="FQ117" s="161" t="str">
        <f>CONCATENATE($AR$5,$BF$15,BI15)</f>
        <v>4476923</v>
      </c>
      <c r="FR117" s="161" t="str">
        <f>CONCATENATE($AR$5,$BF$15,BJ15)</f>
        <v>4476924</v>
      </c>
      <c r="FS117" s="161"/>
      <c r="FT117" s="161"/>
      <c r="FU117" s="161"/>
      <c r="FV117" s="161"/>
      <c r="FW117" s="161"/>
      <c r="FX117" s="161"/>
      <c r="FY117" s="164" t="str">
        <f t="shared" si="4"/>
        <v>447707619</v>
      </c>
      <c r="FZ117" s="161"/>
      <c r="GA117" s="161"/>
    </row>
    <row r="118" spans="134:183" x14ac:dyDescent="0.25">
      <c r="ED118" s="161"/>
      <c r="EE118" s="161"/>
      <c r="EF118" s="161"/>
      <c r="EG118" s="161"/>
      <c r="EH118" s="161"/>
      <c r="EI118" s="161"/>
      <c r="EJ118" s="161"/>
      <c r="EK118" s="161"/>
      <c r="EL118" s="161"/>
      <c r="EM118" s="161"/>
      <c r="EN118" s="161"/>
      <c r="EO118" s="161"/>
      <c r="EP118" s="161"/>
      <c r="EQ118" s="161"/>
      <c r="ER118" s="161"/>
      <c r="ES118" s="161"/>
      <c r="ET118" s="161"/>
      <c r="EU118" s="161"/>
      <c r="EV118" s="161"/>
      <c r="EW118" s="161"/>
      <c r="EX118" s="161"/>
      <c r="EY118" s="161"/>
      <c r="EZ118" s="161"/>
      <c r="FA118" s="161"/>
      <c r="FB118" s="161"/>
      <c r="FC118" s="161"/>
      <c r="FD118" s="161"/>
      <c r="FE118" s="161"/>
      <c r="FF118" s="161"/>
      <c r="FG118" s="161"/>
      <c r="FH118" s="161"/>
      <c r="FI118" s="161"/>
      <c r="FJ118" s="161"/>
      <c r="FK118" s="161"/>
      <c r="FL118" s="161"/>
      <c r="FM118" s="161"/>
      <c r="FN118" s="161"/>
      <c r="FO118" s="161" t="str">
        <f>CONCATENATE($AR$5,$BM$15,BN15)</f>
        <v>4476931</v>
      </c>
      <c r="FP118" s="161" t="str">
        <f>CONCATENATE($AR$5,$BM$15,BO15)</f>
        <v>4476932</v>
      </c>
      <c r="FQ118" s="161" t="str">
        <f>CONCATENATE($AR$5,$BM$15,BP15)</f>
        <v>4476933</v>
      </c>
      <c r="FR118" s="161" t="str">
        <f>CONCATENATE($AR$5,$BM$15,BQ15)</f>
        <v>4476934</v>
      </c>
      <c r="FS118" s="161"/>
      <c r="FT118" s="161"/>
      <c r="FU118" s="161"/>
      <c r="FV118" s="161"/>
      <c r="FW118" s="161"/>
      <c r="FX118" s="161"/>
      <c r="FY118" s="161"/>
      <c r="FZ118" s="161"/>
      <c r="GA118" s="161"/>
    </row>
    <row r="119" spans="134:183" x14ac:dyDescent="0.25">
      <c r="ED119" s="161"/>
      <c r="EE119" s="161"/>
      <c r="EF119" s="161"/>
      <c r="EG119" s="161"/>
      <c r="EH119" s="161"/>
      <c r="EI119" s="161"/>
      <c r="EJ119" s="161"/>
      <c r="EK119" s="161"/>
      <c r="EL119" s="161"/>
      <c r="EM119" s="161"/>
      <c r="EN119" s="161"/>
      <c r="EO119" s="161"/>
      <c r="EP119" s="161"/>
      <c r="EQ119" s="161"/>
      <c r="ER119" s="161"/>
      <c r="ES119" s="161"/>
      <c r="ET119" s="161"/>
      <c r="EU119" s="161"/>
      <c r="EV119" s="161"/>
      <c r="EW119" s="161"/>
      <c r="EX119" s="161"/>
      <c r="EY119" s="161"/>
      <c r="EZ119" s="161"/>
      <c r="FA119" s="161"/>
      <c r="FB119" s="161"/>
      <c r="FC119" s="161"/>
      <c r="FD119" s="161"/>
      <c r="FE119" s="161"/>
      <c r="FF119" s="161"/>
      <c r="FG119" s="161"/>
      <c r="FH119" s="161"/>
      <c r="FI119" s="161"/>
      <c r="FJ119" s="161"/>
      <c r="FK119" s="161"/>
      <c r="FL119" s="161"/>
      <c r="FM119" s="161"/>
      <c r="FN119" s="161"/>
      <c r="FO119" s="161"/>
      <c r="FP119" s="161"/>
      <c r="FQ119" s="161"/>
      <c r="FR119" s="161"/>
      <c r="FS119" s="161"/>
      <c r="FT119" s="161"/>
      <c r="FU119" s="161"/>
      <c r="FV119" s="161"/>
      <c r="FW119" s="161"/>
      <c r="FX119" s="161"/>
      <c r="FY119" s="161"/>
      <c r="FZ119" s="161"/>
      <c r="GA119" s="161"/>
    </row>
    <row r="120" spans="134:183" x14ac:dyDescent="0.25">
      <c r="ED120" s="161"/>
      <c r="EE120" s="161"/>
      <c r="EF120" s="161"/>
      <c r="EG120" s="161"/>
      <c r="EH120" s="161"/>
      <c r="EI120" s="161"/>
      <c r="EJ120" s="161"/>
      <c r="EK120" s="161"/>
      <c r="EL120" s="161"/>
      <c r="EM120" s="161"/>
      <c r="EN120" s="161"/>
      <c r="EO120" s="161"/>
      <c r="EP120" s="161"/>
      <c r="EQ120" s="161"/>
      <c r="ER120" s="161"/>
      <c r="ES120" s="161"/>
      <c r="ET120" s="161"/>
      <c r="EU120" s="161"/>
      <c r="EV120" s="161"/>
      <c r="EW120" s="161"/>
      <c r="EX120" s="161"/>
      <c r="EY120" s="161"/>
      <c r="EZ120" s="161"/>
      <c r="FA120" s="161"/>
      <c r="FB120" s="161"/>
      <c r="FC120" s="161"/>
      <c r="FD120" s="161"/>
      <c r="FE120" s="161"/>
      <c r="FF120" s="161"/>
      <c r="FG120" s="161"/>
      <c r="FH120" s="161"/>
      <c r="FI120" s="161"/>
      <c r="FJ120" s="161"/>
      <c r="FK120" s="161"/>
      <c r="FL120" s="161"/>
      <c r="FM120" s="161"/>
      <c r="FN120" s="161"/>
      <c r="FO120" s="161"/>
      <c r="FP120" s="161"/>
      <c r="FQ120" s="161"/>
      <c r="FR120" s="161"/>
      <c r="FS120" s="161"/>
      <c r="FT120" s="161"/>
      <c r="FU120" s="161"/>
      <c r="FV120" s="161"/>
      <c r="FW120" s="161"/>
      <c r="FX120" s="161"/>
      <c r="FY120" s="161"/>
      <c r="FZ120" s="161"/>
      <c r="GA120" s="161"/>
    </row>
    <row r="121" spans="134:183" x14ac:dyDescent="0.25">
      <c r="ED121" s="161"/>
      <c r="EE121" s="161"/>
      <c r="EF121" s="161"/>
      <c r="EG121" s="161"/>
      <c r="EH121" s="161"/>
      <c r="EI121" s="161"/>
      <c r="EJ121" s="161"/>
      <c r="EK121" s="161"/>
      <c r="EL121" s="161"/>
      <c r="EM121" s="161"/>
      <c r="EN121" s="161"/>
      <c r="EO121" s="161"/>
      <c r="EP121" s="161"/>
      <c r="EQ121" s="161"/>
      <c r="ER121" s="161"/>
      <c r="ES121" s="161"/>
      <c r="ET121" s="161"/>
      <c r="EU121" s="161"/>
      <c r="EV121" s="161"/>
      <c r="EW121" s="161"/>
      <c r="EX121" s="161"/>
      <c r="EY121" s="161"/>
      <c r="EZ121" s="161"/>
      <c r="FA121" s="161"/>
      <c r="FB121" s="161"/>
      <c r="FC121" s="161"/>
      <c r="FD121" s="161"/>
      <c r="FE121" s="161"/>
      <c r="FF121" s="161"/>
      <c r="FG121" s="161"/>
      <c r="FH121" s="161"/>
      <c r="FI121" s="161"/>
      <c r="FJ121" s="161"/>
      <c r="FK121" s="161"/>
      <c r="FL121" s="161"/>
      <c r="FM121" s="161"/>
      <c r="FN121" s="161"/>
      <c r="FO121" s="161"/>
      <c r="FP121" s="161"/>
      <c r="FQ121" s="161"/>
      <c r="FR121" s="161"/>
      <c r="FS121" s="161"/>
      <c r="FT121" s="161"/>
      <c r="FU121" s="161"/>
      <c r="FV121" s="161"/>
      <c r="FW121" s="161"/>
      <c r="FX121" s="161"/>
      <c r="FY121" s="161"/>
      <c r="FZ121" s="161"/>
      <c r="GA121" s="161"/>
    </row>
    <row r="122" spans="134:183" x14ac:dyDescent="0.25">
      <c r="ED122" s="161"/>
      <c r="EE122" s="161"/>
      <c r="EF122" s="161"/>
      <c r="EG122" s="161"/>
      <c r="EH122" s="161"/>
      <c r="EI122" s="161"/>
      <c r="EJ122" s="161"/>
      <c r="EK122" s="161"/>
      <c r="EL122" s="161"/>
      <c r="EM122" s="161"/>
      <c r="EN122" s="161"/>
      <c r="EO122" s="161"/>
      <c r="EP122" s="161"/>
      <c r="EQ122" s="161"/>
      <c r="ER122" s="161"/>
      <c r="ES122" s="161"/>
      <c r="ET122" s="161"/>
      <c r="EU122" s="161"/>
      <c r="EV122" s="161"/>
      <c r="EW122" s="161"/>
      <c r="EX122" s="161"/>
      <c r="EY122" s="161"/>
      <c r="EZ122" s="161"/>
      <c r="FA122" s="161"/>
      <c r="FB122" s="161"/>
      <c r="FC122" s="161"/>
      <c r="FD122" s="161"/>
      <c r="FE122" s="161"/>
      <c r="FF122" s="161"/>
      <c r="FG122" s="161"/>
      <c r="FH122" s="161"/>
      <c r="FI122" s="161"/>
      <c r="FJ122" s="161"/>
      <c r="FK122" s="161"/>
      <c r="FL122" s="161"/>
      <c r="FM122" s="161"/>
      <c r="FN122" s="161"/>
      <c r="FO122" s="161"/>
      <c r="FP122" s="161"/>
      <c r="FQ122" s="161"/>
      <c r="FR122" s="161"/>
      <c r="FS122" s="161"/>
      <c r="FT122" s="161"/>
      <c r="FU122" s="161"/>
      <c r="FV122" s="161"/>
      <c r="FW122" s="161"/>
      <c r="FX122" s="161"/>
      <c r="FY122" s="161"/>
      <c r="FZ122" s="161"/>
      <c r="GA122" s="161"/>
    </row>
    <row r="123" spans="134:183" x14ac:dyDescent="0.25">
      <c r="ED123" s="161"/>
      <c r="EE123" s="161"/>
      <c r="EF123" s="161"/>
      <c r="EG123" s="161"/>
      <c r="EH123" s="161"/>
      <c r="EI123" s="161"/>
      <c r="EJ123" s="161"/>
      <c r="EK123" s="161"/>
      <c r="EL123" s="161"/>
      <c r="EM123" s="161"/>
      <c r="EN123" s="161"/>
      <c r="EO123" s="161"/>
      <c r="EP123" s="161"/>
      <c r="EQ123" s="161"/>
      <c r="ER123" s="161"/>
      <c r="ES123" s="161"/>
      <c r="ET123" s="161"/>
      <c r="EU123" s="161"/>
      <c r="EV123" s="161"/>
      <c r="EW123" s="161"/>
      <c r="EX123" s="161"/>
      <c r="EY123" s="161"/>
      <c r="EZ123" s="161"/>
      <c r="FA123" s="161"/>
      <c r="FB123" s="161"/>
      <c r="FC123" s="161"/>
      <c r="FD123" s="161"/>
      <c r="FE123" s="161"/>
      <c r="FF123" s="161"/>
      <c r="FG123" s="161"/>
      <c r="FH123" s="161"/>
      <c r="FI123" s="161"/>
      <c r="FJ123" s="161"/>
      <c r="FK123" s="161"/>
      <c r="FL123" s="161"/>
      <c r="FM123" s="161"/>
      <c r="FN123" s="161"/>
      <c r="FO123" s="161"/>
      <c r="FP123" s="161"/>
      <c r="FQ123" s="161"/>
      <c r="FR123" s="161"/>
      <c r="FS123" s="161"/>
      <c r="FT123" s="161"/>
      <c r="FU123" s="161"/>
      <c r="FV123" s="161"/>
      <c r="FW123" s="161"/>
      <c r="FX123" s="161"/>
      <c r="FY123" s="161"/>
      <c r="FZ123" s="161"/>
      <c r="GA123" s="161"/>
    </row>
    <row r="124" spans="134:183" x14ac:dyDescent="0.25">
      <c r="ED124" s="161"/>
      <c r="EE124" s="161"/>
      <c r="EF124" s="161"/>
      <c r="EG124" s="161"/>
      <c r="EH124" s="161"/>
      <c r="EI124" s="161"/>
      <c r="EJ124" s="161"/>
      <c r="EK124" s="161"/>
      <c r="EL124" s="161"/>
      <c r="EM124" s="161"/>
      <c r="EN124" s="161"/>
      <c r="EO124" s="161"/>
      <c r="EP124" s="161"/>
      <c r="EQ124" s="161"/>
      <c r="ER124" s="161"/>
      <c r="ES124" s="161"/>
      <c r="ET124" s="161"/>
      <c r="EU124" s="161"/>
      <c r="EV124" s="161"/>
      <c r="EW124" s="161"/>
      <c r="EX124" s="161"/>
      <c r="EY124" s="161"/>
      <c r="EZ124" s="161"/>
      <c r="FA124" s="161"/>
      <c r="FB124" s="161"/>
      <c r="FC124" s="161"/>
      <c r="FD124" s="161"/>
      <c r="FE124" s="161"/>
      <c r="FF124" s="161"/>
      <c r="FG124" s="161"/>
      <c r="FH124" s="161"/>
      <c r="FI124" s="161"/>
      <c r="FJ124" s="161"/>
      <c r="FK124" s="161"/>
      <c r="FL124" s="161"/>
      <c r="FM124" s="161"/>
      <c r="FN124" s="161"/>
      <c r="FO124" s="161"/>
      <c r="FP124" s="161"/>
      <c r="FQ124" s="161"/>
      <c r="FR124" s="161"/>
      <c r="FS124" s="161"/>
      <c r="FT124" s="161"/>
      <c r="FU124" s="161"/>
      <c r="FV124" s="161"/>
      <c r="FW124" s="161"/>
      <c r="FX124" s="161"/>
      <c r="FY124" s="161"/>
      <c r="FZ124" s="161"/>
      <c r="GA124" s="161"/>
    </row>
    <row r="125" spans="134:183" x14ac:dyDescent="0.25">
      <c r="ED125" s="161"/>
      <c r="EE125" s="161"/>
      <c r="EF125" s="161"/>
      <c r="EG125" s="161"/>
      <c r="EH125" s="161"/>
      <c r="EI125" s="161"/>
      <c r="EJ125" s="161"/>
      <c r="EK125" s="161"/>
      <c r="EL125" s="161"/>
      <c r="EM125" s="161"/>
      <c r="EN125" s="161"/>
      <c r="EO125" s="161"/>
      <c r="EP125" s="161"/>
      <c r="EQ125" s="161"/>
      <c r="ER125" s="161"/>
      <c r="ES125" s="161"/>
      <c r="ET125" s="161"/>
      <c r="EU125" s="161"/>
      <c r="EV125" s="161"/>
      <c r="EW125" s="161"/>
      <c r="EX125" s="161"/>
      <c r="EY125" s="161"/>
      <c r="EZ125" s="161"/>
      <c r="FA125" s="161"/>
      <c r="FB125" s="161"/>
      <c r="FC125" s="161"/>
      <c r="FD125" s="161"/>
      <c r="FE125" s="161"/>
      <c r="FF125" s="161"/>
      <c r="FG125" s="161"/>
      <c r="FH125" s="161"/>
      <c r="FI125" s="161"/>
      <c r="FJ125" s="161"/>
      <c r="FK125" s="161"/>
      <c r="FL125" s="161"/>
      <c r="FM125" s="161"/>
      <c r="FN125" s="161"/>
      <c r="FO125" s="161"/>
      <c r="FP125" s="161"/>
      <c r="FQ125" s="161"/>
      <c r="FR125" s="161"/>
      <c r="FS125" s="161"/>
      <c r="FT125" s="161"/>
      <c r="FU125" s="161"/>
      <c r="FV125" s="161"/>
      <c r="FW125" s="161"/>
      <c r="FX125" s="161"/>
      <c r="FY125" s="161"/>
      <c r="FZ125" s="161"/>
      <c r="GA125" s="161"/>
    </row>
    <row r="126" spans="134:183" x14ac:dyDescent="0.25">
      <c r="ED126" s="161"/>
      <c r="EE126" s="161"/>
      <c r="EF126" s="161"/>
      <c r="EG126" s="161"/>
      <c r="EH126" s="161"/>
      <c r="EI126" s="161"/>
      <c r="EJ126" s="161"/>
      <c r="EK126" s="161"/>
      <c r="EL126" s="161"/>
      <c r="EM126" s="161"/>
      <c r="EN126" s="161"/>
      <c r="EO126" s="161"/>
      <c r="EP126" s="161"/>
      <c r="EQ126" s="161"/>
      <c r="ER126" s="161"/>
      <c r="ES126" s="161"/>
      <c r="ET126" s="161"/>
      <c r="EU126" s="161"/>
      <c r="EV126" s="161"/>
      <c r="EW126" s="161"/>
      <c r="EX126" s="161"/>
      <c r="EY126" s="161"/>
      <c r="EZ126" s="161"/>
      <c r="FA126" s="161"/>
      <c r="FB126" s="161"/>
      <c r="FC126" s="161"/>
      <c r="FD126" s="161"/>
      <c r="FE126" s="161"/>
      <c r="FF126" s="161"/>
      <c r="FG126" s="161"/>
      <c r="FH126" s="161"/>
      <c r="FI126" s="161"/>
      <c r="FJ126" s="161"/>
      <c r="FK126" s="161"/>
      <c r="FL126" s="161"/>
      <c r="FM126" s="161"/>
      <c r="FN126" s="161"/>
      <c r="FO126" s="161"/>
      <c r="FP126" s="161"/>
      <c r="FQ126" s="161"/>
      <c r="FR126" s="161"/>
      <c r="FS126" s="161"/>
      <c r="FT126" s="161"/>
      <c r="FU126" s="161"/>
      <c r="FV126" s="161"/>
      <c r="FW126" s="161"/>
      <c r="FX126" s="161"/>
      <c r="FY126" s="161"/>
      <c r="FZ126" s="161"/>
      <c r="GA126" s="161"/>
    </row>
    <row r="127" spans="134:183" x14ac:dyDescent="0.25">
      <c r="ED127" s="161"/>
      <c r="EE127" s="161"/>
      <c r="EF127" s="161"/>
      <c r="EG127" s="161"/>
      <c r="EH127" s="161"/>
      <c r="EI127" s="161"/>
      <c r="EJ127" s="161"/>
      <c r="EK127" s="161"/>
      <c r="EL127" s="161"/>
      <c r="EM127" s="161"/>
      <c r="EN127" s="161"/>
      <c r="EO127" s="161"/>
      <c r="EP127" s="161"/>
      <c r="EQ127" s="161"/>
      <c r="ER127" s="161"/>
      <c r="ES127" s="161"/>
      <c r="ET127" s="161"/>
      <c r="EU127" s="161"/>
      <c r="EV127" s="161"/>
      <c r="EW127" s="161"/>
      <c r="EX127" s="161"/>
      <c r="EY127" s="161"/>
      <c r="EZ127" s="161"/>
      <c r="FA127" s="161"/>
      <c r="FB127" s="161"/>
      <c r="FC127" s="161"/>
      <c r="FD127" s="161"/>
      <c r="FE127" s="161"/>
      <c r="FF127" s="161"/>
      <c r="FG127" s="161"/>
      <c r="FH127" s="161"/>
      <c r="FI127" s="161"/>
      <c r="FJ127" s="161"/>
      <c r="FK127" s="161"/>
      <c r="FL127" s="161"/>
      <c r="FM127" s="161"/>
      <c r="FN127" s="161"/>
      <c r="FO127" s="161"/>
      <c r="FP127" s="161"/>
      <c r="FQ127" s="161"/>
      <c r="FR127" s="161"/>
      <c r="FS127" s="161"/>
      <c r="FT127" s="161"/>
      <c r="FU127" s="161"/>
      <c r="FV127" s="161"/>
      <c r="FW127" s="161"/>
      <c r="FX127" s="161"/>
      <c r="FY127" s="161"/>
      <c r="FZ127" s="161"/>
      <c r="GA127" s="161"/>
    </row>
    <row r="128" spans="134:183" x14ac:dyDescent="0.25">
      <c r="ED128" s="161"/>
      <c r="EE128" s="161"/>
      <c r="EF128" s="161"/>
      <c r="EG128" s="161"/>
      <c r="EH128" s="161"/>
      <c r="EI128" s="161"/>
      <c r="EJ128" s="161"/>
      <c r="EK128" s="161"/>
      <c r="EL128" s="161"/>
      <c r="EM128" s="161"/>
      <c r="EN128" s="161"/>
      <c r="EO128" s="161"/>
      <c r="EP128" s="161"/>
      <c r="EQ128" s="161"/>
      <c r="ER128" s="161"/>
      <c r="ES128" s="161"/>
      <c r="ET128" s="161"/>
      <c r="EU128" s="161"/>
      <c r="EV128" s="161"/>
      <c r="EW128" s="161"/>
      <c r="EX128" s="161"/>
      <c r="EY128" s="161"/>
      <c r="EZ128" s="161"/>
      <c r="FA128" s="161"/>
      <c r="FB128" s="161"/>
      <c r="FC128" s="161"/>
      <c r="FD128" s="161"/>
      <c r="FE128" s="161"/>
      <c r="FF128" s="161"/>
      <c r="FG128" s="161"/>
      <c r="FH128" s="161"/>
      <c r="FI128" s="161"/>
      <c r="FJ128" s="161"/>
      <c r="FK128" s="161"/>
      <c r="FL128" s="161"/>
      <c r="FM128" s="161"/>
      <c r="FN128" s="161"/>
      <c r="FO128" s="161"/>
      <c r="FP128" s="161"/>
      <c r="FQ128" s="161"/>
      <c r="FR128" s="161"/>
      <c r="FS128" s="161"/>
      <c r="FT128" s="161"/>
      <c r="FU128" s="161"/>
      <c r="FV128" s="161"/>
      <c r="FW128" s="161"/>
      <c r="FX128" s="161"/>
      <c r="FY128" s="161"/>
      <c r="FZ128" s="161"/>
      <c r="GA128" s="161"/>
    </row>
    <row r="129" spans="134:183" x14ac:dyDescent="0.25">
      <c r="ED129" s="161"/>
      <c r="EE129" s="161"/>
      <c r="EF129" s="161"/>
      <c r="EG129" s="161"/>
      <c r="EH129" s="161"/>
      <c r="EI129" s="161"/>
      <c r="EJ129" s="161"/>
      <c r="EK129" s="161"/>
      <c r="EL129" s="161"/>
      <c r="EM129" s="161"/>
      <c r="EN129" s="161"/>
      <c r="EO129" s="161"/>
      <c r="EP129" s="161"/>
      <c r="EQ129" s="161"/>
      <c r="ER129" s="161"/>
      <c r="ES129" s="161"/>
      <c r="ET129" s="161"/>
      <c r="EU129" s="161"/>
      <c r="EV129" s="161"/>
      <c r="EW129" s="161"/>
      <c r="EX129" s="161"/>
      <c r="EY129" s="161"/>
      <c r="EZ129" s="161"/>
      <c r="FA129" s="161"/>
      <c r="FB129" s="161"/>
      <c r="FC129" s="161"/>
      <c r="FD129" s="161"/>
      <c r="FE129" s="161"/>
      <c r="FF129" s="161"/>
      <c r="FG129" s="161"/>
      <c r="FH129" s="161"/>
      <c r="FI129" s="161"/>
      <c r="FJ129" s="161"/>
      <c r="FK129" s="161"/>
      <c r="FL129" s="161"/>
      <c r="FM129" s="161"/>
      <c r="FN129" s="161"/>
      <c r="FO129" s="161"/>
      <c r="FP129" s="161"/>
      <c r="FQ129" s="161"/>
      <c r="FR129" s="161"/>
      <c r="FS129" s="161"/>
      <c r="FT129" s="161"/>
      <c r="FU129" s="161"/>
      <c r="FV129" s="161"/>
      <c r="FW129" s="161"/>
      <c r="FX129" s="161"/>
      <c r="FY129" s="161"/>
      <c r="FZ129" s="161"/>
      <c r="GA129" s="161"/>
    </row>
    <row r="130" spans="134:183" x14ac:dyDescent="0.25">
      <c r="ED130" s="161"/>
      <c r="EE130" s="161"/>
      <c r="EF130" s="161"/>
      <c r="EG130" s="161"/>
      <c r="EH130" s="161"/>
      <c r="EI130" s="161"/>
      <c r="EJ130" s="161"/>
      <c r="EK130" s="161"/>
      <c r="EL130" s="161"/>
      <c r="EM130" s="161"/>
      <c r="EN130" s="161"/>
      <c r="EO130" s="161"/>
      <c r="EP130" s="161"/>
      <c r="EQ130" s="161"/>
      <c r="ER130" s="161"/>
      <c r="ES130" s="161"/>
      <c r="ET130" s="161"/>
      <c r="EU130" s="161"/>
      <c r="EV130" s="161"/>
      <c r="EW130" s="161"/>
      <c r="EX130" s="161"/>
      <c r="EY130" s="161"/>
      <c r="EZ130" s="161"/>
      <c r="FA130" s="161"/>
      <c r="FB130" s="161"/>
      <c r="FC130" s="161"/>
      <c r="FD130" s="161"/>
      <c r="FE130" s="161"/>
      <c r="FF130" s="161"/>
      <c r="FG130" s="161"/>
      <c r="FH130" s="161"/>
      <c r="FI130" s="161"/>
      <c r="FJ130" s="161"/>
      <c r="FK130" s="161"/>
      <c r="FL130" s="161"/>
      <c r="FM130" s="161"/>
      <c r="FN130" s="161"/>
      <c r="FO130" s="161"/>
      <c r="FP130" s="161"/>
      <c r="FQ130" s="161"/>
      <c r="FR130" s="161"/>
      <c r="FS130" s="161"/>
      <c r="FT130" s="161"/>
      <c r="FU130" s="161"/>
      <c r="FV130" s="161"/>
      <c r="FW130" s="161"/>
      <c r="FX130" s="161"/>
      <c r="FY130" s="161"/>
      <c r="FZ130" s="161"/>
      <c r="GA130" s="161"/>
    </row>
    <row r="131" spans="134:183" x14ac:dyDescent="0.25">
      <c r="ED131" s="161"/>
      <c r="EE131" s="161"/>
      <c r="EF131" s="161"/>
      <c r="EG131" s="161"/>
      <c r="EH131" s="161"/>
      <c r="EI131" s="161"/>
      <c r="EJ131" s="161"/>
      <c r="EK131" s="161"/>
      <c r="EL131" s="161"/>
      <c r="EM131" s="161"/>
      <c r="EN131" s="161"/>
      <c r="EO131" s="161"/>
      <c r="EP131" s="161"/>
      <c r="EQ131" s="161"/>
      <c r="ER131" s="161"/>
      <c r="ES131" s="161"/>
      <c r="ET131" s="161"/>
      <c r="EU131" s="161"/>
      <c r="EV131" s="161"/>
      <c r="EW131" s="161"/>
      <c r="EX131" s="161"/>
      <c r="EY131" s="161"/>
      <c r="EZ131" s="161"/>
      <c r="FA131" s="161"/>
      <c r="FB131" s="161"/>
      <c r="FC131" s="161"/>
      <c r="FD131" s="161"/>
      <c r="FE131" s="161"/>
      <c r="FF131" s="161"/>
      <c r="FG131" s="161"/>
      <c r="FH131" s="161"/>
      <c r="FI131" s="161"/>
      <c r="FJ131" s="161"/>
      <c r="FK131" s="161"/>
      <c r="FL131" s="161"/>
      <c r="FM131" s="161"/>
      <c r="FN131" s="161"/>
      <c r="FO131" s="161"/>
      <c r="FP131" s="161"/>
      <c r="FQ131" s="161"/>
      <c r="FR131" s="161"/>
      <c r="FS131" s="161"/>
      <c r="FT131" s="161"/>
      <c r="FU131" s="161"/>
      <c r="FV131" s="161"/>
      <c r="FW131" s="161"/>
      <c r="FX131" s="161"/>
      <c r="FY131" s="161"/>
      <c r="FZ131" s="161"/>
      <c r="GA131" s="161"/>
    </row>
    <row r="132" spans="134:183" x14ac:dyDescent="0.25">
      <c r="ED132" s="161"/>
      <c r="EE132" s="161"/>
      <c r="EF132" s="161"/>
      <c r="EG132" s="161"/>
      <c r="EH132" s="161"/>
      <c r="EI132" s="161"/>
      <c r="EJ132" s="161"/>
      <c r="EK132" s="161"/>
      <c r="EL132" s="161"/>
      <c r="EM132" s="161"/>
      <c r="EN132" s="161"/>
      <c r="EO132" s="161"/>
      <c r="EP132" s="161"/>
      <c r="EQ132" s="161"/>
      <c r="ER132" s="161"/>
      <c r="ES132" s="161"/>
      <c r="ET132" s="161"/>
      <c r="EU132" s="161"/>
      <c r="EV132" s="161"/>
      <c r="EW132" s="161"/>
      <c r="EX132" s="161"/>
      <c r="EY132" s="161"/>
      <c r="EZ132" s="161"/>
      <c r="FA132" s="161"/>
      <c r="FB132" s="161"/>
      <c r="FC132" s="161"/>
      <c r="FD132" s="161"/>
      <c r="FE132" s="161"/>
      <c r="FF132" s="161"/>
      <c r="FG132" s="161"/>
      <c r="FH132" s="161"/>
      <c r="FI132" s="161"/>
      <c r="FJ132" s="161"/>
      <c r="FK132" s="161"/>
      <c r="FL132" s="161"/>
      <c r="FM132" s="161"/>
      <c r="FN132" s="161"/>
      <c r="FO132" s="161"/>
      <c r="FP132" s="161"/>
      <c r="FQ132" s="161"/>
      <c r="FR132" s="161"/>
      <c r="FS132" s="161"/>
      <c r="FT132" s="161"/>
      <c r="FU132" s="161"/>
      <c r="FV132" s="161"/>
      <c r="FW132" s="161"/>
      <c r="FX132" s="161"/>
      <c r="FY132" s="161"/>
      <c r="FZ132" s="161"/>
      <c r="GA132" s="161"/>
    </row>
    <row r="133" spans="134:183" x14ac:dyDescent="0.25">
      <c r="ED133" s="161"/>
      <c r="EE133" s="161"/>
      <c r="EF133" s="161"/>
      <c r="EG133" s="161"/>
      <c r="EH133" s="161"/>
      <c r="EI133" s="161"/>
      <c r="EJ133" s="161"/>
      <c r="EK133" s="161"/>
      <c r="EL133" s="161"/>
      <c r="EM133" s="161"/>
      <c r="EN133" s="161"/>
      <c r="EO133" s="161"/>
      <c r="EP133" s="161"/>
      <c r="EQ133" s="161"/>
      <c r="ER133" s="161"/>
      <c r="ES133" s="161"/>
      <c r="ET133" s="161"/>
      <c r="EU133" s="161"/>
      <c r="EV133" s="161"/>
      <c r="EW133" s="161"/>
      <c r="EX133" s="161"/>
      <c r="EY133" s="161"/>
      <c r="EZ133" s="161"/>
      <c r="FA133" s="161"/>
      <c r="FB133" s="161"/>
      <c r="FC133" s="161"/>
      <c r="FD133" s="161"/>
      <c r="FE133" s="161"/>
      <c r="FF133" s="161"/>
      <c r="FG133" s="161"/>
      <c r="FH133" s="161"/>
      <c r="FI133" s="161"/>
      <c r="FJ133" s="161"/>
      <c r="FK133" s="161"/>
      <c r="FL133" s="161"/>
      <c r="FM133" s="161"/>
      <c r="FN133" s="161"/>
      <c r="FO133" s="161"/>
      <c r="FP133" s="161"/>
      <c r="FQ133" s="161"/>
      <c r="FR133" s="161"/>
      <c r="FS133" s="161"/>
      <c r="FT133" s="161"/>
      <c r="FU133" s="161"/>
      <c r="FV133" s="161"/>
      <c r="FW133" s="161"/>
      <c r="FX133" s="161"/>
      <c r="FY133" s="161"/>
      <c r="FZ133" s="161"/>
      <c r="GA133" s="161"/>
    </row>
    <row r="134" spans="134:183" x14ac:dyDescent="0.25">
      <c r="ED134" s="161"/>
      <c r="EE134" s="161"/>
      <c r="EF134" s="161"/>
      <c r="EG134" s="161"/>
      <c r="EH134" s="161"/>
      <c r="EI134" s="161"/>
      <c r="EJ134" s="161"/>
      <c r="EK134" s="161"/>
      <c r="EL134" s="161"/>
      <c r="EM134" s="161"/>
      <c r="EN134" s="161"/>
      <c r="EO134" s="161"/>
      <c r="EP134" s="161"/>
      <c r="EQ134" s="161"/>
      <c r="ER134" s="161"/>
      <c r="ES134" s="161"/>
      <c r="ET134" s="161"/>
      <c r="EU134" s="161"/>
      <c r="EV134" s="161"/>
      <c r="EW134" s="161"/>
      <c r="EX134" s="161"/>
      <c r="EY134" s="161"/>
      <c r="EZ134" s="161"/>
      <c r="FA134" s="161"/>
      <c r="FB134" s="161"/>
      <c r="FC134" s="161"/>
      <c r="FD134" s="161"/>
      <c r="FE134" s="161"/>
      <c r="FF134" s="161"/>
      <c r="FG134" s="161"/>
      <c r="FH134" s="161"/>
      <c r="FI134" s="161"/>
      <c r="FJ134" s="161"/>
      <c r="FK134" s="161"/>
      <c r="FL134" s="161"/>
      <c r="FM134" s="161"/>
      <c r="FN134" s="161"/>
      <c r="FO134" s="161"/>
      <c r="FP134" s="161"/>
      <c r="FQ134" s="161"/>
      <c r="FR134" s="161"/>
      <c r="FS134" s="161"/>
      <c r="FT134" s="161"/>
      <c r="FU134" s="161"/>
      <c r="FV134" s="161"/>
      <c r="FW134" s="161"/>
      <c r="FX134" s="161"/>
      <c r="FY134" s="161"/>
      <c r="FZ134" s="161"/>
      <c r="GA134" s="161"/>
    </row>
    <row r="135" spans="134:183" x14ac:dyDescent="0.25">
      <c r="ED135" s="161"/>
      <c r="EE135" s="161"/>
      <c r="EF135" s="161"/>
      <c r="EG135" s="161"/>
      <c r="EH135" s="161"/>
      <c r="EI135" s="161"/>
      <c r="EJ135" s="161"/>
      <c r="EK135" s="161"/>
      <c r="EL135" s="161"/>
      <c r="EM135" s="161"/>
      <c r="EN135" s="161"/>
      <c r="EO135" s="161"/>
      <c r="EP135" s="161"/>
      <c r="EQ135" s="161"/>
      <c r="ER135" s="161"/>
      <c r="ES135" s="161"/>
      <c r="ET135" s="161"/>
      <c r="EU135" s="161"/>
      <c r="EV135" s="161"/>
      <c r="EW135" s="161"/>
      <c r="EX135" s="161"/>
      <c r="EY135" s="161"/>
      <c r="EZ135" s="161"/>
      <c r="FA135" s="161"/>
      <c r="FB135" s="161"/>
      <c r="FC135" s="161"/>
      <c r="FD135" s="161"/>
      <c r="FE135" s="161"/>
      <c r="FF135" s="161"/>
      <c r="FG135" s="161"/>
      <c r="FH135" s="161"/>
      <c r="FI135" s="161"/>
      <c r="FJ135" s="161"/>
      <c r="FK135" s="161"/>
      <c r="FL135" s="161"/>
      <c r="FM135" s="161"/>
      <c r="FN135" s="161"/>
      <c r="FO135" s="161"/>
      <c r="FP135" s="161"/>
      <c r="FQ135" s="161"/>
      <c r="FR135" s="161"/>
      <c r="FS135" s="161"/>
      <c r="FT135" s="161"/>
      <c r="FU135" s="161"/>
      <c r="FV135" s="161"/>
      <c r="FW135" s="161"/>
      <c r="FX135" s="161"/>
      <c r="FY135" s="161"/>
      <c r="FZ135" s="161"/>
      <c r="GA135" s="161"/>
    </row>
    <row r="136" spans="134:183" x14ac:dyDescent="0.25">
      <c r="ED136" s="161"/>
      <c r="EE136" s="161"/>
      <c r="EF136" s="161"/>
      <c r="EG136" s="161"/>
      <c r="EH136" s="161"/>
      <c r="EI136" s="161"/>
      <c r="EJ136" s="161"/>
      <c r="EK136" s="161"/>
      <c r="EL136" s="161"/>
      <c r="EM136" s="161"/>
      <c r="EN136" s="161"/>
      <c r="EO136" s="161"/>
      <c r="EP136" s="161"/>
      <c r="EQ136" s="161"/>
      <c r="ER136" s="161"/>
      <c r="ES136" s="161"/>
      <c r="ET136" s="161"/>
      <c r="EU136" s="161"/>
      <c r="EV136" s="161"/>
      <c r="EW136" s="161"/>
      <c r="EX136" s="161"/>
      <c r="EY136" s="161"/>
      <c r="EZ136" s="161"/>
      <c r="FA136" s="161"/>
      <c r="FB136" s="161"/>
      <c r="FC136" s="161"/>
      <c r="FD136" s="161"/>
      <c r="FE136" s="161"/>
      <c r="FF136" s="161"/>
      <c r="FG136" s="161"/>
      <c r="FH136" s="161"/>
      <c r="FI136" s="161"/>
      <c r="FJ136" s="161"/>
      <c r="FK136" s="161"/>
      <c r="FL136" s="161"/>
      <c r="FM136" s="161"/>
      <c r="FN136" s="161"/>
      <c r="FO136" s="161"/>
      <c r="FP136" s="161"/>
      <c r="FQ136" s="161"/>
      <c r="FR136" s="161"/>
      <c r="FS136" s="161"/>
      <c r="FT136" s="161"/>
      <c r="FU136" s="161"/>
      <c r="FV136" s="161"/>
      <c r="FW136" s="161"/>
      <c r="FX136" s="161"/>
      <c r="FY136" s="161"/>
      <c r="FZ136" s="161"/>
      <c r="GA136" s="161"/>
    </row>
    <row r="137" spans="134:183" x14ac:dyDescent="0.25">
      <c r="ED137" s="161"/>
      <c r="EE137" s="161"/>
      <c r="EF137" s="161"/>
      <c r="EG137" s="161"/>
      <c r="EH137" s="161"/>
      <c r="EI137" s="161"/>
      <c r="EJ137" s="161"/>
      <c r="EK137" s="161"/>
      <c r="EL137" s="161"/>
      <c r="EM137" s="161"/>
      <c r="EN137" s="161"/>
      <c r="EO137" s="161"/>
      <c r="EP137" s="161"/>
      <c r="EQ137" s="161"/>
      <c r="ER137" s="161"/>
      <c r="ES137" s="161"/>
      <c r="ET137" s="161"/>
      <c r="EU137" s="161"/>
      <c r="EV137" s="161"/>
      <c r="EW137" s="161"/>
      <c r="EX137" s="161"/>
      <c r="EY137" s="161"/>
      <c r="EZ137" s="161"/>
      <c r="FA137" s="161"/>
      <c r="FB137" s="161"/>
      <c r="FC137" s="161"/>
      <c r="FD137" s="161"/>
      <c r="FE137" s="161"/>
      <c r="FF137" s="161"/>
      <c r="FG137" s="161"/>
      <c r="FH137" s="161"/>
      <c r="FI137" s="161"/>
      <c r="FJ137" s="161"/>
      <c r="FK137" s="161"/>
      <c r="FL137" s="161"/>
      <c r="FM137" s="161"/>
      <c r="FN137" s="161"/>
      <c r="FO137" s="161"/>
      <c r="FP137" s="161"/>
      <c r="FQ137" s="161"/>
      <c r="FR137" s="161"/>
      <c r="FS137" s="161"/>
      <c r="FT137" s="161"/>
      <c r="FU137" s="161"/>
      <c r="FV137" s="161"/>
      <c r="FW137" s="161"/>
      <c r="FX137" s="161"/>
      <c r="FY137" s="161"/>
      <c r="FZ137" s="161"/>
      <c r="GA137" s="161"/>
    </row>
    <row r="138" spans="134:183" x14ac:dyDescent="0.25">
      <c r="ED138" s="161"/>
      <c r="EE138" s="161"/>
      <c r="EF138" s="161"/>
      <c r="EG138" s="161"/>
      <c r="EH138" s="161"/>
      <c r="EI138" s="161"/>
      <c r="EJ138" s="161"/>
      <c r="EK138" s="161"/>
      <c r="EL138" s="161"/>
      <c r="EM138" s="161"/>
      <c r="EN138" s="161"/>
      <c r="EO138" s="161"/>
      <c r="EP138" s="161"/>
      <c r="EQ138" s="161"/>
      <c r="ER138" s="161"/>
      <c r="ES138" s="161"/>
      <c r="ET138" s="161"/>
      <c r="EU138" s="161"/>
      <c r="EV138" s="161"/>
      <c r="EW138" s="161"/>
      <c r="EX138" s="161"/>
      <c r="EY138" s="161"/>
      <c r="EZ138" s="161"/>
      <c r="FA138" s="161"/>
      <c r="FB138" s="161"/>
      <c r="FC138" s="161"/>
      <c r="FD138" s="161"/>
      <c r="FE138" s="161"/>
      <c r="FF138" s="161"/>
      <c r="FG138" s="161"/>
      <c r="FH138" s="161"/>
      <c r="FI138" s="161"/>
      <c r="FJ138" s="161"/>
      <c r="FK138" s="161"/>
      <c r="FL138" s="161"/>
      <c r="FM138" s="161"/>
      <c r="FN138" s="161"/>
      <c r="FO138" s="161"/>
      <c r="FP138" s="161"/>
      <c r="FQ138" s="161"/>
      <c r="FR138" s="161"/>
      <c r="FS138" s="161"/>
      <c r="FT138" s="161"/>
      <c r="FU138" s="161"/>
      <c r="FV138" s="161"/>
      <c r="FW138" s="161"/>
      <c r="FX138" s="161"/>
      <c r="FY138" s="161"/>
      <c r="FZ138" s="161"/>
      <c r="GA138" s="161"/>
    </row>
    <row r="139" spans="134:183" x14ac:dyDescent="0.25">
      <c r="ED139" s="161"/>
      <c r="EE139" s="161"/>
      <c r="EF139" s="161"/>
      <c r="EG139" s="161"/>
      <c r="EH139" s="161"/>
      <c r="EI139" s="161"/>
      <c r="EJ139" s="161"/>
      <c r="EK139" s="161"/>
      <c r="EL139" s="161"/>
      <c r="EM139" s="161"/>
      <c r="EN139" s="161"/>
      <c r="EO139" s="161"/>
      <c r="EP139" s="161"/>
      <c r="EQ139" s="161"/>
      <c r="ER139" s="161"/>
      <c r="ES139" s="161"/>
      <c r="ET139" s="161"/>
      <c r="EU139" s="161"/>
      <c r="EV139" s="161"/>
      <c r="EW139" s="161"/>
      <c r="EX139" s="161"/>
      <c r="EY139" s="161"/>
      <c r="EZ139" s="161"/>
      <c r="FA139" s="161"/>
      <c r="FB139" s="161"/>
      <c r="FC139" s="161"/>
      <c r="FD139" s="161"/>
      <c r="FE139" s="161"/>
      <c r="FF139" s="161"/>
      <c r="FG139" s="161"/>
      <c r="FH139" s="161"/>
      <c r="FI139" s="161"/>
      <c r="FJ139" s="161"/>
      <c r="FK139" s="161"/>
      <c r="FL139" s="161"/>
      <c r="FM139" s="161"/>
      <c r="FN139" s="161"/>
      <c r="FO139" s="161"/>
      <c r="FP139" s="161"/>
      <c r="FQ139" s="161"/>
      <c r="FR139" s="161"/>
      <c r="FS139" s="161"/>
      <c r="FT139" s="161"/>
      <c r="FU139" s="161"/>
      <c r="FV139" s="161"/>
      <c r="FW139" s="161"/>
      <c r="FX139" s="161"/>
      <c r="FY139" s="161"/>
      <c r="FZ139" s="161"/>
      <c r="GA139" s="161"/>
    </row>
    <row r="140" spans="134:183" x14ac:dyDescent="0.25">
      <c r="ED140" s="161"/>
      <c r="EE140" s="161"/>
      <c r="EF140" s="161"/>
      <c r="EG140" s="161"/>
      <c r="EH140" s="161"/>
      <c r="EI140" s="161"/>
      <c r="EJ140" s="161"/>
      <c r="EK140" s="161"/>
      <c r="EL140" s="161"/>
      <c r="EM140" s="161"/>
      <c r="EN140" s="161"/>
      <c r="EO140" s="161"/>
      <c r="EP140" s="161"/>
      <c r="EQ140" s="161"/>
      <c r="ER140" s="161"/>
      <c r="ES140" s="161"/>
      <c r="ET140" s="161"/>
      <c r="EU140" s="161"/>
      <c r="EV140" s="161"/>
      <c r="EW140" s="161"/>
      <c r="EX140" s="161"/>
      <c r="EY140" s="161"/>
      <c r="EZ140" s="161"/>
      <c r="FA140" s="161"/>
      <c r="FB140" s="161"/>
      <c r="FC140" s="161"/>
      <c r="FD140" s="161"/>
      <c r="FE140" s="161"/>
      <c r="FF140" s="161"/>
      <c r="FG140" s="161"/>
      <c r="FH140" s="161"/>
      <c r="FI140" s="161"/>
      <c r="FJ140" s="161"/>
      <c r="FK140" s="161"/>
      <c r="FL140" s="161"/>
      <c r="FM140" s="161"/>
      <c r="FN140" s="161"/>
      <c r="FO140" s="161"/>
      <c r="FP140" s="161"/>
      <c r="FQ140" s="161"/>
      <c r="FR140" s="161"/>
      <c r="FS140" s="161"/>
      <c r="FT140" s="161"/>
      <c r="FU140" s="161"/>
      <c r="FV140" s="161"/>
      <c r="FW140" s="161"/>
      <c r="FX140" s="161"/>
      <c r="FY140" s="161"/>
      <c r="FZ140" s="161"/>
      <c r="GA140" s="161"/>
    </row>
    <row r="141" spans="134:183" x14ac:dyDescent="0.25">
      <c r="ED141" s="161"/>
      <c r="EE141" s="161"/>
      <c r="EF141" s="161"/>
      <c r="EG141" s="161"/>
      <c r="EH141" s="161"/>
      <c r="EI141" s="161"/>
      <c r="EJ141" s="161"/>
      <c r="EK141" s="161"/>
      <c r="EL141" s="161"/>
      <c r="EM141" s="161"/>
      <c r="EN141" s="161"/>
      <c r="EO141" s="161"/>
      <c r="EP141" s="161"/>
      <c r="EQ141" s="161"/>
      <c r="ER141" s="161"/>
      <c r="ES141" s="161"/>
      <c r="ET141" s="161"/>
      <c r="EU141" s="161"/>
      <c r="EV141" s="161"/>
      <c r="EW141" s="161"/>
      <c r="EX141" s="161"/>
      <c r="EY141" s="161"/>
      <c r="EZ141" s="161"/>
      <c r="FA141" s="161"/>
      <c r="FB141" s="161"/>
      <c r="FC141" s="161"/>
      <c r="FD141" s="161"/>
      <c r="FE141" s="161"/>
      <c r="FF141" s="161"/>
      <c r="FG141" s="161"/>
      <c r="FH141" s="161"/>
      <c r="FI141" s="161"/>
      <c r="FJ141" s="161"/>
      <c r="FK141" s="161"/>
      <c r="FL141" s="161"/>
      <c r="FM141" s="161"/>
      <c r="FN141" s="161"/>
      <c r="FO141" s="161"/>
      <c r="FP141" s="161"/>
      <c r="FQ141" s="161"/>
      <c r="FR141" s="161"/>
      <c r="FS141" s="161"/>
      <c r="FT141" s="161"/>
      <c r="FU141" s="161"/>
      <c r="FV141" s="161"/>
      <c r="FW141" s="161"/>
      <c r="FX141" s="161"/>
      <c r="FY141" s="161"/>
      <c r="FZ141" s="161"/>
      <c r="GA141" s="161"/>
    </row>
    <row r="142" spans="134:183" x14ac:dyDescent="0.25">
      <c r="ED142" s="161"/>
      <c r="EE142" s="161"/>
      <c r="EF142" s="161"/>
      <c r="EG142" s="161"/>
      <c r="EH142" s="161"/>
      <c r="EI142" s="161"/>
      <c r="EJ142" s="161"/>
      <c r="EK142" s="161"/>
      <c r="EL142" s="161"/>
      <c r="EM142" s="161"/>
      <c r="EN142" s="161"/>
      <c r="EO142" s="161"/>
      <c r="EP142" s="161"/>
      <c r="EQ142" s="161"/>
      <c r="ER142" s="161"/>
      <c r="ES142" s="161"/>
      <c r="ET142" s="161"/>
      <c r="EU142" s="161"/>
      <c r="EV142" s="161"/>
      <c r="EW142" s="161"/>
      <c r="EX142" s="161"/>
      <c r="EY142" s="161"/>
      <c r="EZ142" s="161"/>
      <c r="FA142" s="161"/>
      <c r="FB142" s="161"/>
      <c r="FC142" s="161"/>
      <c r="FD142" s="161"/>
      <c r="FE142" s="161"/>
      <c r="FF142" s="161"/>
      <c r="FG142" s="161"/>
      <c r="FH142" s="161"/>
      <c r="FI142" s="161"/>
      <c r="FJ142" s="161"/>
      <c r="FK142" s="161"/>
      <c r="FL142" s="161"/>
      <c r="FM142" s="161"/>
      <c r="FN142" s="161"/>
      <c r="FO142" s="161"/>
      <c r="FP142" s="161"/>
      <c r="FQ142" s="161"/>
      <c r="FR142" s="161"/>
      <c r="FS142" s="161"/>
      <c r="FT142" s="161"/>
      <c r="FU142" s="161"/>
      <c r="FV142" s="161"/>
      <c r="FW142" s="161"/>
      <c r="FX142" s="161"/>
      <c r="FY142" s="161"/>
      <c r="FZ142" s="161"/>
      <c r="GA142" s="161"/>
    </row>
    <row r="143" spans="134:183" x14ac:dyDescent="0.25">
      <c r="ED143" s="161"/>
      <c r="EE143" s="161"/>
      <c r="EF143" s="161"/>
      <c r="EG143" s="161"/>
      <c r="EH143" s="161"/>
      <c r="EI143" s="161"/>
      <c r="EJ143" s="161"/>
      <c r="EK143" s="161"/>
      <c r="EL143" s="161"/>
      <c r="EM143" s="161"/>
      <c r="EN143" s="161"/>
      <c r="EO143" s="161"/>
      <c r="EP143" s="161"/>
      <c r="EQ143" s="161"/>
      <c r="ER143" s="161"/>
      <c r="ES143" s="161"/>
      <c r="ET143" s="161"/>
      <c r="EU143" s="161"/>
      <c r="EV143" s="161"/>
      <c r="EW143" s="161"/>
      <c r="EX143" s="161"/>
      <c r="EY143" s="161"/>
      <c r="EZ143" s="161"/>
      <c r="FA143" s="161"/>
      <c r="FB143" s="161"/>
      <c r="FC143" s="161"/>
      <c r="FD143" s="161"/>
      <c r="FE143" s="161"/>
      <c r="FF143" s="161"/>
      <c r="FG143" s="161"/>
      <c r="FH143" s="161"/>
      <c r="FI143" s="161"/>
      <c r="FJ143" s="161"/>
      <c r="FK143" s="161"/>
      <c r="FL143" s="161"/>
      <c r="FM143" s="161"/>
      <c r="FN143" s="161"/>
      <c r="FO143" s="161"/>
      <c r="FP143" s="161"/>
      <c r="FQ143" s="161"/>
      <c r="FR143" s="161"/>
      <c r="FS143" s="161"/>
      <c r="FT143" s="161"/>
      <c r="FU143" s="161"/>
      <c r="FV143" s="161"/>
      <c r="FW143" s="161"/>
      <c r="FX143" s="161"/>
      <c r="FY143" s="161"/>
      <c r="FZ143" s="161"/>
      <c r="GA143" s="161"/>
    </row>
    <row r="144" spans="134:183" x14ac:dyDescent="0.25">
      <c r="ED144" s="161"/>
      <c r="EE144" s="161"/>
      <c r="EF144" s="161"/>
      <c r="EG144" s="161"/>
      <c r="EH144" s="161"/>
      <c r="EI144" s="161"/>
      <c r="EJ144" s="161"/>
      <c r="EK144" s="161"/>
      <c r="EL144" s="161"/>
      <c r="EM144" s="161"/>
      <c r="EN144" s="161"/>
      <c r="EO144" s="161"/>
      <c r="EP144" s="161"/>
      <c r="EQ144" s="161"/>
      <c r="ER144" s="161"/>
      <c r="ES144" s="161"/>
      <c r="ET144" s="161"/>
      <c r="EU144" s="161"/>
      <c r="EV144" s="161"/>
      <c r="EW144" s="161"/>
      <c r="EX144" s="161"/>
      <c r="EY144" s="161"/>
      <c r="EZ144" s="161"/>
      <c r="FA144" s="161"/>
      <c r="FB144" s="161"/>
      <c r="FC144" s="161"/>
      <c r="FD144" s="161"/>
      <c r="FE144" s="161"/>
      <c r="FF144" s="161"/>
      <c r="FG144" s="161"/>
      <c r="FH144" s="161"/>
      <c r="FI144" s="161"/>
      <c r="FJ144" s="161"/>
      <c r="FK144" s="161"/>
      <c r="FL144" s="161"/>
      <c r="FM144" s="161"/>
      <c r="FN144" s="161"/>
      <c r="FO144" s="161"/>
      <c r="FP144" s="161"/>
      <c r="FQ144" s="161"/>
      <c r="FR144" s="161"/>
      <c r="FS144" s="161"/>
      <c r="FT144" s="161"/>
      <c r="FU144" s="161"/>
      <c r="FV144" s="161"/>
      <c r="FW144" s="161"/>
      <c r="FX144" s="161"/>
      <c r="FY144" s="161"/>
      <c r="FZ144" s="161"/>
      <c r="GA144" s="161"/>
    </row>
    <row r="145" spans="134:183" x14ac:dyDescent="0.25">
      <c r="ED145" s="161"/>
      <c r="EE145" s="161"/>
      <c r="EF145" s="161"/>
      <c r="EG145" s="161"/>
      <c r="EH145" s="161"/>
      <c r="EI145" s="161"/>
      <c r="EJ145" s="161"/>
      <c r="EK145" s="161"/>
      <c r="EL145" s="161"/>
      <c r="EM145" s="161"/>
      <c r="EN145" s="161"/>
      <c r="EO145" s="161"/>
      <c r="EP145" s="161"/>
      <c r="EQ145" s="161"/>
      <c r="ER145" s="161"/>
      <c r="ES145" s="161"/>
      <c r="ET145" s="161"/>
      <c r="EU145" s="161"/>
      <c r="EV145" s="161"/>
      <c r="EW145" s="161"/>
      <c r="EX145" s="161"/>
      <c r="EY145" s="161"/>
      <c r="EZ145" s="161"/>
      <c r="FA145" s="161"/>
      <c r="FB145" s="161"/>
      <c r="FC145" s="161"/>
      <c r="FD145" s="161"/>
      <c r="FE145" s="161"/>
      <c r="FF145" s="161"/>
      <c r="FG145" s="161"/>
      <c r="FH145" s="161"/>
      <c r="FI145" s="161"/>
      <c r="FJ145" s="161"/>
      <c r="FK145" s="161"/>
      <c r="FL145" s="161"/>
      <c r="FM145" s="161"/>
      <c r="FN145" s="161"/>
      <c r="FO145" s="161"/>
      <c r="FP145" s="161"/>
      <c r="FQ145" s="161"/>
      <c r="FR145" s="161"/>
      <c r="FS145" s="161"/>
      <c r="FT145" s="161"/>
      <c r="FU145" s="161"/>
      <c r="FV145" s="161"/>
      <c r="FW145" s="161"/>
      <c r="FX145" s="161"/>
      <c r="FY145" s="161"/>
      <c r="FZ145" s="161"/>
      <c r="GA145" s="161"/>
    </row>
    <row r="146" spans="134:183" x14ac:dyDescent="0.25">
      <c r="ED146" s="161"/>
      <c r="EE146" s="161"/>
      <c r="EF146" s="161"/>
      <c r="EG146" s="161"/>
      <c r="EH146" s="161"/>
      <c r="EI146" s="161"/>
      <c r="EJ146" s="161"/>
      <c r="EK146" s="161"/>
      <c r="EL146" s="161"/>
      <c r="EM146" s="161"/>
      <c r="EN146" s="161"/>
      <c r="EO146" s="161"/>
      <c r="EP146" s="161"/>
      <c r="EQ146" s="161"/>
      <c r="ER146" s="161"/>
      <c r="ES146" s="161"/>
      <c r="ET146" s="161"/>
      <c r="EU146" s="161"/>
      <c r="EV146" s="161"/>
      <c r="EW146" s="161"/>
      <c r="EX146" s="161"/>
      <c r="EY146" s="161"/>
      <c r="EZ146" s="161"/>
      <c r="FA146" s="161"/>
      <c r="FB146" s="161"/>
      <c r="FC146" s="161"/>
      <c r="FD146" s="161"/>
      <c r="FE146" s="161"/>
      <c r="FF146" s="161"/>
      <c r="FG146" s="161"/>
      <c r="FH146" s="161"/>
      <c r="FI146" s="161"/>
      <c r="FJ146" s="161"/>
      <c r="FK146" s="161"/>
      <c r="FL146" s="161"/>
      <c r="FM146" s="161"/>
      <c r="FN146" s="161"/>
      <c r="FO146" s="161"/>
      <c r="FP146" s="161"/>
      <c r="FQ146" s="161"/>
      <c r="FR146" s="161"/>
      <c r="FS146" s="161"/>
      <c r="FT146" s="161"/>
      <c r="FU146" s="161"/>
      <c r="FV146" s="161"/>
      <c r="FW146" s="161"/>
      <c r="FX146" s="161"/>
      <c r="FY146" s="161"/>
      <c r="FZ146" s="161"/>
      <c r="GA146" s="161"/>
    </row>
    <row r="147" spans="134:183" x14ac:dyDescent="0.25">
      <c r="ED147" s="161"/>
      <c r="EE147" s="161"/>
      <c r="EF147" s="161"/>
      <c r="EG147" s="161"/>
      <c r="EH147" s="161"/>
      <c r="EI147" s="161"/>
      <c r="EJ147" s="161"/>
      <c r="EK147" s="161"/>
      <c r="EL147" s="161"/>
      <c r="EM147" s="161"/>
      <c r="EN147" s="161"/>
      <c r="EO147" s="161"/>
      <c r="EP147" s="161"/>
      <c r="EQ147" s="161"/>
      <c r="ER147" s="161"/>
      <c r="ES147" s="161"/>
      <c r="ET147" s="161"/>
      <c r="EU147" s="161"/>
      <c r="EV147" s="161"/>
      <c r="EW147" s="161"/>
      <c r="EX147" s="161"/>
      <c r="EY147" s="161"/>
      <c r="EZ147" s="161"/>
      <c r="FA147" s="161"/>
      <c r="FB147" s="161"/>
      <c r="FC147" s="161"/>
      <c r="FD147" s="161"/>
      <c r="FE147" s="161"/>
      <c r="FF147" s="161"/>
      <c r="FG147" s="161"/>
      <c r="FH147" s="161"/>
      <c r="FI147" s="161"/>
      <c r="FJ147" s="161"/>
      <c r="FK147" s="161"/>
      <c r="FL147" s="161"/>
      <c r="FM147" s="161"/>
      <c r="FN147" s="161"/>
      <c r="FO147" s="161"/>
      <c r="FP147" s="161"/>
      <c r="FQ147" s="161"/>
      <c r="FR147" s="161"/>
      <c r="FS147" s="161"/>
      <c r="FT147" s="161"/>
      <c r="FU147" s="161"/>
      <c r="FV147" s="161"/>
      <c r="FW147" s="161"/>
      <c r="FX147" s="161"/>
      <c r="FY147" s="161"/>
      <c r="FZ147" s="161"/>
      <c r="GA147" s="161"/>
    </row>
    <row r="148" spans="134:183" x14ac:dyDescent="0.25">
      <c r="ED148" s="161"/>
      <c r="EE148" s="161"/>
      <c r="EF148" s="161"/>
      <c r="EG148" s="161"/>
      <c r="EH148" s="161"/>
      <c r="EI148" s="161"/>
      <c r="EJ148" s="161"/>
      <c r="EK148" s="161"/>
      <c r="EL148" s="161"/>
      <c r="EM148" s="161"/>
      <c r="EN148" s="161"/>
      <c r="EO148" s="161"/>
      <c r="EP148" s="161"/>
      <c r="EQ148" s="161"/>
      <c r="ER148" s="161"/>
      <c r="ES148" s="161"/>
      <c r="ET148" s="161"/>
      <c r="EU148" s="161"/>
      <c r="EV148" s="161"/>
      <c r="EW148" s="161"/>
      <c r="EX148" s="161"/>
      <c r="EY148" s="161"/>
      <c r="EZ148" s="161"/>
      <c r="FA148" s="161"/>
      <c r="FB148" s="161"/>
      <c r="FC148" s="161"/>
      <c r="FD148" s="161"/>
      <c r="FE148" s="161"/>
      <c r="FF148" s="161"/>
      <c r="FG148" s="161"/>
      <c r="FH148" s="161"/>
      <c r="FI148" s="161"/>
      <c r="FJ148" s="161"/>
      <c r="FK148" s="161"/>
      <c r="FL148" s="161"/>
      <c r="FM148" s="161"/>
      <c r="FN148" s="161"/>
      <c r="FO148" s="161"/>
      <c r="FP148" s="161"/>
      <c r="FQ148" s="161"/>
      <c r="FR148" s="161"/>
      <c r="FS148" s="161"/>
      <c r="FT148" s="161"/>
      <c r="FU148" s="161"/>
      <c r="FV148" s="161"/>
      <c r="FW148" s="161"/>
      <c r="FX148" s="161"/>
      <c r="FY148" s="161"/>
      <c r="FZ148" s="161"/>
      <c r="GA148" s="161"/>
    </row>
    <row r="149" spans="134:183" x14ac:dyDescent="0.25">
      <c r="ED149" s="161"/>
      <c r="EE149" s="161"/>
      <c r="EF149" s="161"/>
      <c r="EG149" s="161"/>
      <c r="EH149" s="161"/>
      <c r="EI149" s="161"/>
      <c r="EJ149" s="161"/>
      <c r="EK149" s="161"/>
      <c r="EL149" s="161"/>
      <c r="EM149" s="161"/>
      <c r="EN149" s="161"/>
      <c r="EO149" s="161"/>
      <c r="EP149" s="161"/>
      <c r="EQ149" s="161"/>
      <c r="ER149" s="161"/>
      <c r="ES149" s="161"/>
      <c r="ET149" s="161"/>
      <c r="EU149" s="161"/>
      <c r="EV149" s="161"/>
      <c r="EW149" s="161"/>
      <c r="EX149" s="161"/>
      <c r="EY149" s="161"/>
      <c r="EZ149" s="161"/>
      <c r="FA149" s="161"/>
      <c r="FB149" s="161"/>
      <c r="FC149" s="161"/>
      <c r="FD149" s="161"/>
      <c r="FE149" s="161"/>
      <c r="FF149" s="161"/>
      <c r="FG149" s="161"/>
      <c r="FH149" s="161"/>
      <c r="FI149" s="161"/>
      <c r="FJ149" s="161"/>
      <c r="FK149" s="161"/>
      <c r="FL149" s="161"/>
      <c r="FM149" s="161"/>
      <c r="FN149" s="161"/>
      <c r="FO149" s="161"/>
      <c r="FP149" s="161"/>
      <c r="FQ149" s="161"/>
      <c r="FR149" s="161"/>
      <c r="FS149" s="161"/>
      <c r="FT149" s="161"/>
      <c r="FU149" s="161"/>
      <c r="FV149" s="161"/>
      <c r="FW149" s="161"/>
      <c r="FX149" s="161"/>
      <c r="FY149" s="161"/>
      <c r="FZ149" s="161"/>
      <c r="GA149" s="161"/>
    </row>
    <row r="150" spans="134:183" x14ac:dyDescent="0.25">
      <c r="ED150" s="161"/>
      <c r="EE150" s="161"/>
      <c r="EF150" s="161"/>
      <c r="EG150" s="161"/>
      <c r="EH150" s="161"/>
      <c r="EI150" s="161"/>
      <c r="EJ150" s="161"/>
      <c r="EK150" s="161"/>
      <c r="EL150" s="161"/>
      <c r="EM150" s="161"/>
      <c r="EN150" s="161"/>
      <c r="EO150" s="161"/>
      <c r="EP150" s="161"/>
      <c r="EQ150" s="161"/>
      <c r="ER150" s="161"/>
      <c r="ES150" s="161"/>
      <c r="ET150" s="161"/>
      <c r="EU150" s="161"/>
      <c r="EV150" s="161"/>
      <c r="EW150" s="161"/>
      <c r="EX150" s="161"/>
      <c r="EY150" s="161"/>
      <c r="EZ150" s="161"/>
      <c r="FA150" s="161"/>
      <c r="FB150" s="161"/>
      <c r="FC150" s="161"/>
      <c r="FD150" s="161"/>
      <c r="FE150" s="161"/>
      <c r="FF150" s="161"/>
      <c r="FG150" s="161"/>
      <c r="FH150" s="161"/>
      <c r="FI150" s="161"/>
      <c r="FJ150" s="161"/>
      <c r="FK150" s="161"/>
      <c r="FL150" s="161"/>
      <c r="FM150" s="161"/>
      <c r="FN150" s="161"/>
      <c r="FO150" s="161"/>
      <c r="FP150" s="161"/>
      <c r="FQ150" s="161"/>
      <c r="FR150" s="161"/>
      <c r="FS150" s="161"/>
      <c r="FT150" s="161"/>
      <c r="FU150" s="161"/>
      <c r="FV150" s="161"/>
      <c r="FW150" s="161"/>
      <c r="FX150" s="161"/>
      <c r="FY150" s="161"/>
      <c r="FZ150" s="161"/>
      <c r="GA150" s="161"/>
    </row>
    <row r="151" spans="134:183" x14ac:dyDescent="0.25">
      <c r="ED151" s="161"/>
      <c r="EE151" s="161"/>
      <c r="EF151" s="161"/>
      <c r="EG151" s="161"/>
      <c r="EH151" s="161"/>
      <c r="EI151" s="161"/>
      <c r="EJ151" s="161"/>
      <c r="EK151" s="161"/>
      <c r="EL151" s="161"/>
      <c r="EM151" s="161"/>
      <c r="EN151" s="161"/>
      <c r="EO151" s="161"/>
      <c r="EP151" s="161"/>
      <c r="EQ151" s="161"/>
      <c r="ER151" s="161"/>
      <c r="ES151" s="161"/>
      <c r="ET151" s="161"/>
      <c r="EU151" s="161"/>
      <c r="EV151" s="161"/>
      <c r="EW151" s="161"/>
      <c r="EX151" s="161"/>
      <c r="EY151" s="161"/>
      <c r="EZ151" s="161"/>
      <c r="FA151" s="161"/>
      <c r="FB151" s="161"/>
      <c r="FC151" s="161"/>
      <c r="FD151" s="161"/>
      <c r="FE151" s="161"/>
      <c r="FF151" s="161"/>
      <c r="FG151" s="161"/>
      <c r="FH151" s="161"/>
      <c r="FI151" s="161"/>
      <c r="FJ151" s="161"/>
      <c r="FK151" s="161"/>
      <c r="FL151" s="161"/>
      <c r="FM151" s="161"/>
      <c r="FN151" s="161"/>
      <c r="FO151" s="161"/>
      <c r="FP151" s="161"/>
      <c r="FQ151" s="161"/>
      <c r="FR151" s="161"/>
      <c r="FS151" s="161"/>
      <c r="FT151" s="161"/>
      <c r="FU151" s="161"/>
      <c r="FV151" s="161"/>
      <c r="FW151" s="161"/>
      <c r="FX151" s="161"/>
      <c r="FY151" s="161"/>
      <c r="FZ151" s="161"/>
      <c r="GA151" s="161"/>
    </row>
    <row r="152" spans="134:183" x14ac:dyDescent="0.25">
      <c r="ED152" s="161"/>
      <c r="EE152" s="161"/>
      <c r="EF152" s="161"/>
      <c r="EG152" s="161"/>
      <c r="EH152" s="161"/>
      <c r="EI152" s="161"/>
      <c r="EJ152" s="161"/>
      <c r="EK152" s="161"/>
      <c r="EL152" s="161"/>
      <c r="EM152" s="161"/>
      <c r="EN152" s="161"/>
      <c r="EO152" s="161"/>
      <c r="EP152" s="161"/>
      <c r="EQ152" s="161"/>
      <c r="ER152" s="161"/>
      <c r="ES152" s="161"/>
      <c r="ET152" s="161"/>
      <c r="EU152" s="161"/>
      <c r="EV152" s="161"/>
      <c r="EW152" s="161"/>
      <c r="EX152" s="161"/>
      <c r="EY152" s="161"/>
      <c r="EZ152" s="161"/>
      <c r="FA152" s="161"/>
      <c r="FB152" s="161"/>
      <c r="FC152" s="161"/>
      <c r="FD152" s="161"/>
      <c r="FE152" s="161"/>
      <c r="FF152" s="161"/>
      <c r="FG152" s="161"/>
      <c r="FH152" s="161"/>
      <c r="FI152" s="161"/>
      <c r="FJ152" s="161"/>
      <c r="FK152" s="161"/>
      <c r="FL152" s="161"/>
      <c r="FM152" s="161"/>
      <c r="FN152" s="161"/>
      <c r="FO152" s="161"/>
      <c r="FP152" s="161"/>
      <c r="FQ152" s="161"/>
      <c r="FR152" s="161"/>
      <c r="FS152" s="161"/>
      <c r="FT152" s="161"/>
      <c r="FU152" s="161"/>
      <c r="FV152" s="161"/>
      <c r="FW152" s="161"/>
      <c r="FX152" s="161"/>
      <c r="FY152" s="161"/>
      <c r="FZ152" s="161"/>
      <c r="GA152" s="161"/>
    </row>
    <row r="153" spans="134:183" x14ac:dyDescent="0.25">
      <c r="ED153" s="161"/>
      <c r="EE153" s="161"/>
      <c r="EF153" s="161"/>
      <c r="EG153" s="161"/>
      <c r="EH153" s="161"/>
      <c r="EI153" s="161"/>
      <c r="EJ153" s="161"/>
      <c r="EK153" s="161"/>
      <c r="EL153" s="161"/>
      <c r="EM153" s="161"/>
      <c r="EN153" s="161"/>
      <c r="EO153" s="161"/>
      <c r="EP153" s="161"/>
      <c r="EQ153" s="161"/>
      <c r="ER153" s="161"/>
      <c r="ES153" s="161"/>
      <c r="ET153" s="161"/>
      <c r="EU153" s="161"/>
      <c r="EV153" s="161"/>
      <c r="EW153" s="161"/>
      <c r="EX153" s="161"/>
      <c r="EY153" s="161"/>
      <c r="EZ153" s="161"/>
      <c r="FA153" s="161"/>
      <c r="FB153" s="161"/>
      <c r="FC153" s="161"/>
      <c r="FD153" s="161"/>
      <c r="FE153" s="161"/>
      <c r="FF153" s="161"/>
      <c r="FG153" s="161"/>
      <c r="FH153" s="161"/>
      <c r="FI153" s="161"/>
      <c r="FJ153" s="161"/>
      <c r="FK153" s="161"/>
      <c r="FL153" s="161"/>
      <c r="FM153" s="161"/>
      <c r="FN153" s="161"/>
      <c r="FO153" s="161"/>
      <c r="FP153" s="161"/>
      <c r="FQ153" s="161"/>
      <c r="FR153" s="161"/>
      <c r="FS153" s="161"/>
      <c r="FT153" s="161"/>
      <c r="FU153" s="161"/>
      <c r="FV153" s="161"/>
      <c r="FW153" s="161"/>
      <c r="FX153" s="161"/>
      <c r="FY153" s="161"/>
      <c r="FZ153" s="161"/>
      <c r="GA153" s="161"/>
    </row>
  </sheetData>
  <dataConsolidate link="1"/>
  <customSheetViews>
    <customSheetView guid="{3E6EB34F-E2F7-456F-8B3B-5F84BD050AA2}" scale="37" showPageBreaks="1" showGridLines="0" printArea="1" view="pageBreakPreview" topLeftCell="H1">
      <selection activeCell="AB11" sqref="AB11:AC11"/>
      <pageMargins left="0.7" right="0.7" top="0.75" bottom="0.75" header="0.3" footer="0.3"/>
      <pageSetup paperSize="9" scale="13" orientation="portrait" r:id="rId1"/>
    </customSheetView>
    <customSheetView guid="{4F232D79-B707-4527-B1C5-2E1BF2995FFF}" scale="40" showGridLines="0" hiddenColumns="1">
      <selection activeCell="C11" sqref="C11:F12"/>
      <rowBreaks count="1" manualBreakCount="1">
        <brk id="30" max="71" man="1"/>
      </rowBreaks>
      <colBreaks count="2" manualBreakCount="2">
        <brk id="33" max="163" man="1"/>
        <brk id="35" max="169" man="1"/>
      </colBreaks>
      <pageMargins left="0.31496062992125984" right="0.11811023622047245" top="0.35433070866141736" bottom="0.35433070866141736" header="0.31496062992125984" footer="0.31496062992125984"/>
      <printOptions horizontalCentered="1" verticalCentered="1"/>
      <pageSetup paperSize="9" scale="29" orientation="landscape" r:id="rId2"/>
    </customSheetView>
  </customSheetViews>
  <mergeCells count="173">
    <mergeCell ref="Z29:AA29"/>
    <mergeCell ref="M28:V28"/>
    <mergeCell ref="A16:B17"/>
    <mergeCell ref="C16:J16"/>
    <mergeCell ref="K16:V16"/>
    <mergeCell ref="W16:AG16"/>
    <mergeCell ref="C17:J17"/>
    <mergeCell ref="K17:V17"/>
    <mergeCell ref="W17:AG17"/>
    <mergeCell ref="C18:D18"/>
    <mergeCell ref="K18:L18"/>
    <mergeCell ref="AB29:AC29"/>
    <mergeCell ref="AD29:AE29"/>
    <mergeCell ref="Y28:AG28"/>
    <mergeCell ref="P29:Q29"/>
    <mergeCell ref="R29:S29"/>
    <mergeCell ref="U29:V29"/>
    <mergeCell ref="A18:B29"/>
    <mergeCell ref="E21:J21"/>
    <mergeCell ref="E22:J22"/>
    <mergeCell ref="E23:J23"/>
    <mergeCell ref="E24:J24"/>
    <mergeCell ref="E25:J25"/>
    <mergeCell ref="E26:J26"/>
    <mergeCell ref="U11:V11"/>
    <mergeCell ref="U12:V12"/>
    <mergeCell ref="U13:V13"/>
    <mergeCell ref="U14:V14"/>
    <mergeCell ref="L29:M29"/>
    <mergeCell ref="W18:X18"/>
    <mergeCell ref="X29:Y29"/>
    <mergeCell ref="BO18:BS19"/>
    <mergeCell ref="BO26:BS26"/>
    <mergeCell ref="BF18:BG18"/>
    <mergeCell ref="BM18:BN18"/>
    <mergeCell ref="BM16:BS16"/>
    <mergeCell ref="BM17:BS17"/>
    <mergeCell ref="BA18:BE19"/>
    <mergeCell ref="AY18:AZ18"/>
    <mergeCell ref="AY16:BE16"/>
    <mergeCell ref="BA26:BE26"/>
    <mergeCell ref="BH26:BL26"/>
    <mergeCell ref="BH18:BL19"/>
    <mergeCell ref="BF16:BL16"/>
    <mergeCell ref="AY17:BE17"/>
    <mergeCell ref="BF17:BL17"/>
    <mergeCell ref="BA27:BF27"/>
    <mergeCell ref="BH27:BL27"/>
    <mergeCell ref="C11:F12"/>
    <mergeCell ref="AQ18:AQ27"/>
    <mergeCell ref="AQ16:AQ17"/>
    <mergeCell ref="M18:V19"/>
    <mergeCell ref="Y20:AG20"/>
    <mergeCell ref="Y21:AG21"/>
    <mergeCell ref="Y22:AG22"/>
    <mergeCell ref="Y23:AG23"/>
    <mergeCell ref="Y24:AG24"/>
    <mergeCell ref="Y25:AG25"/>
    <mergeCell ref="Y26:AG26"/>
    <mergeCell ref="Y27:AG27"/>
    <mergeCell ref="Y18:AG19"/>
    <mergeCell ref="Y9:Z11"/>
    <mergeCell ref="AA9:AB11"/>
    <mergeCell ref="AC9:AD9"/>
    <mergeCell ref="AC10:AD10"/>
    <mergeCell ref="AC11:AD11"/>
    <mergeCell ref="W13:X13"/>
    <mergeCell ref="S11:T11"/>
    <mergeCell ref="W12:X12"/>
    <mergeCell ref="S12:T12"/>
    <mergeCell ref="Q11:R11"/>
    <mergeCell ref="E20:J20"/>
    <mergeCell ref="E27:J27"/>
    <mergeCell ref="E28:J28"/>
    <mergeCell ref="E18:J19"/>
    <mergeCell ref="M20:V20"/>
    <mergeCell ref="M21:V21"/>
    <mergeCell ref="M22:V22"/>
    <mergeCell ref="M23:V23"/>
    <mergeCell ref="M24:V24"/>
    <mergeCell ref="M25:V25"/>
    <mergeCell ref="M26:V26"/>
    <mergeCell ref="M27:V27"/>
    <mergeCell ref="N29:O29"/>
    <mergeCell ref="D29:E29"/>
    <mergeCell ref="AR18:AS18"/>
    <mergeCell ref="AT27:AX27"/>
    <mergeCell ref="AR17:AX17"/>
    <mergeCell ref="AT18:AX19"/>
    <mergeCell ref="W9:X11"/>
    <mergeCell ref="O9:P9"/>
    <mergeCell ref="O10:P10"/>
    <mergeCell ref="O11:P11"/>
    <mergeCell ref="O12:P12"/>
    <mergeCell ref="L13:N13"/>
    <mergeCell ref="O13:P13"/>
    <mergeCell ref="Q9:R9"/>
    <mergeCell ref="Q10:R10"/>
    <mergeCell ref="L12:N12"/>
    <mergeCell ref="AA13:AB13"/>
    <mergeCell ref="Q12:R12"/>
    <mergeCell ref="Q13:R13"/>
    <mergeCell ref="S9:T9"/>
    <mergeCell ref="AA12:AB12"/>
    <mergeCell ref="S10:T10"/>
    <mergeCell ref="AT26:AX26"/>
    <mergeCell ref="AR16:AX16"/>
    <mergeCell ref="F2:W4"/>
    <mergeCell ref="H7:I14"/>
    <mergeCell ref="J7:K8"/>
    <mergeCell ref="L7:N8"/>
    <mergeCell ref="O7:P8"/>
    <mergeCell ref="Q7:R8"/>
    <mergeCell ref="S7:T8"/>
    <mergeCell ref="U7:V8"/>
    <mergeCell ref="W7:X8"/>
    <mergeCell ref="O14:P14"/>
    <mergeCell ref="L14:N14"/>
    <mergeCell ref="Q14:R14"/>
    <mergeCell ref="S13:T13"/>
    <mergeCell ref="S14:T14"/>
    <mergeCell ref="U9:V9"/>
    <mergeCell ref="U10:V10"/>
    <mergeCell ref="J9:K9"/>
    <mergeCell ref="J10:K10"/>
    <mergeCell ref="J11:K11"/>
    <mergeCell ref="J12:K12"/>
    <mergeCell ref="J13:K13"/>
    <mergeCell ref="L9:N9"/>
    <mergeCell ref="L10:N10"/>
    <mergeCell ref="L11:N11"/>
    <mergeCell ref="AW2:BK4"/>
    <mergeCell ref="Y12:Z12"/>
    <mergeCell ref="Y13:Z13"/>
    <mergeCell ref="Y14:Z14"/>
    <mergeCell ref="AA14:AB14"/>
    <mergeCell ref="AC12:AD12"/>
    <mergeCell ref="AC13:AD13"/>
    <mergeCell ref="BH10:BI10"/>
    <mergeCell ref="BH11:BI11"/>
    <mergeCell ref="BH12:BI12"/>
    <mergeCell ref="BH13:BI13"/>
    <mergeCell ref="BH14:BI14"/>
    <mergeCell ref="AT9:AU9"/>
    <mergeCell ref="AT10:AU10"/>
    <mergeCell ref="AT11:AU11"/>
    <mergeCell ref="AT12:AU12"/>
    <mergeCell ref="AT13:AU13"/>
    <mergeCell ref="AT14:AU14"/>
    <mergeCell ref="Y7:Z8"/>
    <mergeCell ref="AA7:AB8"/>
    <mergeCell ref="AC7:AD8"/>
    <mergeCell ref="BM7:BM8"/>
    <mergeCell ref="BN7:BN8"/>
    <mergeCell ref="BA7:BB9"/>
    <mergeCell ref="AR7:AR14"/>
    <mergeCell ref="BF5:BH6"/>
    <mergeCell ref="BF7:BF14"/>
    <mergeCell ref="BG7:BG8"/>
    <mergeCell ref="BH7:BI8"/>
    <mergeCell ref="BJ7:BJ8"/>
    <mergeCell ref="BK7:BK8"/>
    <mergeCell ref="BL7:BL8"/>
    <mergeCell ref="AR5:AT6"/>
    <mergeCell ref="AS7:AS8"/>
    <mergeCell ref="AT7:AU8"/>
    <mergeCell ref="AV7:AV8"/>
    <mergeCell ref="AW7:AW8"/>
    <mergeCell ref="AX7:AX8"/>
    <mergeCell ref="AY7:AY8"/>
    <mergeCell ref="AZ7:AZ8"/>
    <mergeCell ref="BH9:BI9"/>
    <mergeCell ref="BA10:BB12"/>
  </mergeCells>
  <conditionalFormatting sqref="AW9:AW14 BK9:BK14">
    <cfRule type="cellIs" dxfId="18" priority="2" operator="lessThan">
      <formula>0.96</formula>
    </cfRule>
  </conditionalFormatting>
  <printOptions horizontalCentered="1" verticalCentered="1"/>
  <pageMargins left="0.31496062992125984" right="0.11811023622047245" top="0.35433070866141736" bottom="0.35433070866141736" header="0.31496062992125984" footer="0.31496062992125984"/>
  <pageSetup paperSize="9" scale="29" orientation="landscape" r:id="rId3"/>
  <rowBreaks count="1" manualBreakCount="1">
    <brk id="30" max="71" man="1"/>
  </rowBreaks>
  <colBreaks count="2" manualBreakCount="2">
    <brk id="33" max="163" man="1"/>
    <brk id="35" max="169" man="1"/>
  </colBreaks>
  <ignoredErrors>
    <ignoredError sqref="D27 X27" unlockedFormula="1"/>
  </ignoredError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WEA35"/>
  <sheetViews>
    <sheetView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D13" sqref="D13"/>
    </sheetView>
  </sheetViews>
  <sheetFormatPr defaultColWidth="11.42578125" defaultRowHeight="15" x14ac:dyDescent="0.25"/>
  <cols>
    <col min="1" max="2" width="11.42578125" style="8"/>
    <col min="3" max="3" width="21" style="8" bestFit="1" customWidth="1"/>
    <col min="4" max="4" width="9.5703125" style="8" bestFit="1" customWidth="1"/>
    <col min="5" max="27" width="7.7109375" style="8" customWidth="1"/>
    <col min="28" max="387" width="6.7109375" style="8" customWidth="1"/>
    <col min="388" max="402" width="11.42578125" style="8"/>
    <col min="403" max="442" width="11.42578125" style="70"/>
    <col min="443" max="16384" width="11.42578125" style="8"/>
  </cols>
  <sheetData>
    <row r="2" spans="1:15679" ht="15.75" thickBot="1" x14ac:dyDescent="0.3"/>
    <row r="3" spans="1:15679" ht="16.5" thickBot="1" x14ac:dyDescent="0.3">
      <c r="A3" s="71"/>
      <c r="B3" s="71"/>
      <c r="C3" s="72" t="s">
        <v>363</v>
      </c>
      <c r="D3" s="595" t="s">
        <v>380</v>
      </c>
      <c r="E3" s="596"/>
      <c r="F3" s="596"/>
      <c r="G3" s="596"/>
      <c r="H3" s="596"/>
      <c r="I3" s="596"/>
      <c r="J3" s="597"/>
      <c r="K3" s="73"/>
      <c r="L3" s="595" t="s">
        <v>381</v>
      </c>
      <c r="M3" s="596"/>
      <c r="N3" s="596"/>
      <c r="O3" s="596"/>
      <c r="P3" s="596"/>
      <c r="Q3" s="596"/>
      <c r="R3" s="597"/>
      <c r="S3" s="74"/>
      <c r="T3" s="598" t="s">
        <v>382</v>
      </c>
      <c r="U3" s="599"/>
      <c r="V3" s="599"/>
      <c r="W3" s="599"/>
      <c r="X3" s="599"/>
      <c r="Y3" s="599"/>
      <c r="Z3" s="599"/>
      <c r="AA3" s="599"/>
      <c r="AB3" s="598" t="s">
        <v>383</v>
      </c>
      <c r="AC3" s="599"/>
      <c r="AD3" s="599"/>
      <c r="AE3" s="599"/>
      <c r="AF3" s="599"/>
      <c r="AG3" s="599"/>
      <c r="AH3" s="599"/>
      <c r="AI3" s="599"/>
      <c r="AJ3" s="598" t="s">
        <v>384</v>
      </c>
      <c r="AK3" s="599"/>
      <c r="AL3" s="599"/>
      <c r="AM3" s="599"/>
      <c r="AN3" s="599"/>
      <c r="AO3" s="599"/>
      <c r="AP3" s="599"/>
      <c r="AQ3" s="599"/>
      <c r="AR3" s="598" t="s">
        <v>385</v>
      </c>
      <c r="AS3" s="599"/>
      <c r="AT3" s="599"/>
      <c r="AU3" s="599"/>
      <c r="AV3" s="599"/>
      <c r="AW3" s="599"/>
      <c r="AX3" s="599"/>
      <c r="AY3" s="599"/>
      <c r="AZ3" s="598" t="s">
        <v>386</v>
      </c>
      <c r="BA3" s="599"/>
      <c r="BB3" s="599"/>
      <c r="BC3" s="599"/>
      <c r="BD3" s="599"/>
      <c r="BE3" s="599"/>
      <c r="BF3" s="599"/>
      <c r="BG3" s="599"/>
      <c r="BH3" s="598" t="s">
        <v>387</v>
      </c>
      <c r="BI3" s="599"/>
      <c r="BJ3" s="599"/>
      <c r="BK3" s="599"/>
      <c r="BL3" s="599"/>
      <c r="BM3" s="599"/>
      <c r="BN3" s="599"/>
      <c r="BO3" s="599"/>
      <c r="BP3" s="598" t="s">
        <v>388</v>
      </c>
      <c r="BQ3" s="599"/>
      <c r="BR3" s="599"/>
      <c r="BS3" s="599"/>
      <c r="BT3" s="599"/>
      <c r="BU3" s="599"/>
      <c r="BV3" s="599"/>
      <c r="BW3" s="599"/>
      <c r="BX3" s="598" t="s">
        <v>389</v>
      </c>
      <c r="BY3" s="599"/>
      <c r="BZ3" s="599"/>
      <c r="CA3" s="599"/>
      <c r="CB3" s="599"/>
      <c r="CC3" s="599"/>
      <c r="CD3" s="599"/>
      <c r="CE3" s="599"/>
      <c r="CF3" s="598" t="s">
        <v>390</v>
      </c>
      <c r="CG3" s="599"/>
      <c r="CH3" s="599"/>
      <c r="CI3" s="599"/>
      <c r="CJ3" s="599"/>
      <c r="CK3" s="599"/>
      <c r="CL3" s="599"/>
      <c r="CM3" s="599"/>
      <c r="CN3" s="598" t="s">
        <v>391</v>
      </c>
      <c r="CO3" s="599"/>
      <c r="CP3" s="599"/>
      <c r="CQ3" s="599"/>
      <c r="CR3" s="599"/>
      <c r="CS3" s="599"/>
      <c r="CT3" s="599"/>
      <c r="CU3" s="599"/>
      <c r="CV3" s="598" t="s">
        <v>392</v>
      </c>
      <c r="CW3" s="599"/>
      <c r="CX3" s="599"/>
      <c r="CY3" s="599"/>
      <c r="CZ3" s="599"/>
      <c r="DA3" s="599"/>
      <c r="DB3" s="599"/>
      <c r="DC3" s="599"/>
      <c r="DD3" s="598" t="s">
        <v>393</v>
      </c>
      <c r="DE3" s="599"/>
      <c r="DF3" s="599"/>
      <c r="DG3" s="599"/>
      <c r="DH3" s="599"/>
      <c r="DI3" s="599"/>
      <c r="DJ3" s="599"/>
      <c r="DK3" s="599"/>
      <c r="DL3" s="598" t="s">
        <v>394</v>
      </c>
      <c r="DM3" s="599"/>
      <c r="DN3" s="599"/>
      <c r="DO3" s="599"/>
      <c r="DP3" s="599"/>
      <c r="DQ3" s="599"/>
      <c r="DR3" s="599"/>
      <c r="DS3" s="599"/>
      <c r="DT3" s="598" t="s">
        <v>395</v>
      </c>
      <c r="DU3" s="599"/>
      <c r="DV3" s="599"/>
      <c r="DW3" s="599"/>
      <c r="DX3" s="599"/>
      <c r="DY3" s="599"/>
      <c r="DZ3" s="599"/>
      <c r="EA3" s="599"/>
      <c r="EB3" s="598" t="s">
        <v>396</v>
      </c>
      <c r="EC3" s="599"/>
      <c r="ED3" s="599"/>
      <c r="EE3" s="599"/>
      <c r="EF3" s="599"/>
      <c r="EG3" s="599"/>
      <c r="EH3" s="599"/>
      <c r="EI3" s="599"/>
      <c r="EJ3" s="598" t="s">
        <v>397</v>
      </c>
      <c r="EK3" s="599"/>
      <c r="EL3" s="599"/>
      <c r="EM3" s="599"/>
      <c r="EN3" s="599"/>
      <c r="EO3" s="599"/>
      <c r="EP3" s="599"/>
      <c r="EQ3" s="599"/>
      <c r="ER3" s="598" t="s">
        <v>398</v>
      </c>
      <c r="ES3" s="599"/>
      <c r="ET3" s="599"/>
      <c r="EU3" s="599"/>
      <c r="EV3" s="599"/>
      <c r="EW3" s="599"/>
      <c r="EX3" s="599"/>
      <c r="EY3" s="599"/>
      <c r="EZ3" s="598" t="s">
        <v>399</v>
      </c>
      <c r="FA3" s="599"/>
      <c r="FB3" s="599"/>
      <c r="FC3" s="599"/>
      <c r="FD3" s="599"/>
      <c r="FE3" s="599"/>
      <c r="FF3" s="599"/>
      <c r="FG3" s="599"/>
      <c r="FH3" s="598" t="s">
        <v>400</v>
      </c>
      <c r="FI3" s="599"/>
      <c r="FJ3" s="599"/>
      <c r="FK3" s="599"/>
      <c r="FL3" s="599"/>
      <c r="FM3" s="599"/>
      <c r="FN3" s="599"/>
      <c r="FO3" s="599"/>
      <c r="FP3" s="598" t="s">
        <v>401</v>
      </c>
      <c r="FQ3" s="599"/>
      <c r="FR3" s="599"/>
      <c r="FS3" s="599"/>
      <c r="FT3" s="599"/>
      <c r="FU3" s="599"/>
      <c r="FV3" s="599"/>
      <c r="FW3" s="599"/>
      <c r="FX3" s="598" t="s">
        <v>402</v>
      </c>
      <c r="FY3" s="599"/>
      <c r="FZ3" s="599"/>
      <c r="GA3" s="599"/>
      <c r="GB3" s="599"/>
      <c r="GC3" s="599"/>
      <c r="GD3" s="599"/>
      <c r="GE3" s="599"/>
      <c r="GF3" s="598" t="s">
        <v>403</v>
      </c>
      <c r="GG3" s="599"/>
      <c r="GH3" s="599"/>
      <c r="GI3" s="599"/>
      <c r="GJ3" s="599"/>
      <c r="GK3" s="599"/>
      <c r="GL3" s="599"/>
      <c r="GM3" s="599"/>
      <c r="GN3" s="598" t="s">
        <v>404</v>
      </c>
      <c r="GO3" s="599"/>
      <c r="GP3" s="599"/>
      <c r="GQ3" s="599"/>
      <c r="GR3" s="599"/>
      <c r="GS3" s="599"/>
      <c r="GT3" s="599"/>
      <c r="GU3" s="599"/>
      <c r="GV3" s="598" t="s">
        <v>405</v>
      </c>
      <c r="GW3" s="599"/>
      <c r="GX3" s="599"/>
      <c r="GY3" s="599"/>
      <c r="GZ3" s="599"/>
      <c r="HA3" s="599"/>
      <c r="HB3" s="599"/>
      <c r="HC3" s="599"/>
      <c r="HD3" s="598" t="s">
        <v>406</v>
      </c>
      <c r="HE3" s="599"/>
      <c r="HF3" s="599"/>
      <c r="HG3" s="599"/>
      <c r="HH3" s="599"/>
      <c r="HI3" s="599"/>
      <c r="HJ3" s="599"/>
      <c r="HK3" s="599"/>
      <c r="HL3" s="598" t="s">
        <v>407</v>
      </c>
      <c r="HM3" s="599"/>
      <c r="HN3" s="599"/>
      <c r="HO3" s="599"/>
      <c r="HP3" s="599"/>
      <c r="HQ3" s="599"/>
      <c r="HR3" s="599"/>
      <c r="HS3" s="599"/>
      <c r="HT3" s="598" t="s">
        <v>408</v>
      </c>
      <c r="HU3" s="599"/>
      <c r="HV3" s="599"/>
      <c r="HW3" s="599"/>
      <c r="HX3" s="599"/>
      <c r="HY3" s="599"/>
      <c r="HZ3" s="599"/>
      <c r="IA3" s="599"/>
      <c r="IB3" s="598" t="s">
        <v>409</v>
      </c>
      <c r="IC3" s="599"/>
      <c r="ID3" s="599"/>
      <c r="IE3" s="599"/>
      <c r="IF3" s="599"/>
      <c r="IG3" s="599"/>
      <c r="IH3" s="599"/>
      <c r="II3" s="599"/>
      <c r="IJ3" s="598" t="s">
        <v>410</v>
      </c>
      <c r="IK3" s="599"/>
      <c r="IL3" s="599"/>
      <c r="IM3" s="599"/>
      <c r="IN3" s="599"/>
      <c r="IO3" s="599"/>
      <c r="IP3" s="599"/>
      <c r="IQ3" s="599"/>
      <c r="IR3" s="598" t="s">
        <v>411</v>
      </c>
      <c r="IS3" s="599"/>
      <c r="IT3" s="599"/>
      <c r="IU3" s="599"/>
      <c r="IV3" s="599"/>
      <c r="IW3" s="599"/>
      <c r="IX3" s="599"/>
      <c r="IY3" s="599"/>
      <c r="IZ3" s="598" t="s">
        <v>412</v>
      </c>
      <c r="JA3" s="599"/>
      <c r="JB3" s="599"/>
      <c r="JC3" s="599"/>
      <c r="JD3" s="599"/>
      <c r="JE3" s="599"/>
      <c r="JF3" s="599"/>
      <c r="JG3" s="599"/>
      <c r="JH3" s="598" t="s">
        <v>413</v>
      </c>
      <c r="JI3" s="599"/>
      <c r="JJ3" s="599"/>
      <c r="JK3" s="599"/>
      <c r="JL3" s="599"/>
      <c r="JM3" s="599"/>
      <c r="JN3" s="599"/>
      <c r="JO3" s="599"/>
      <c r="JP3" s="598" t="s">
        <v>414</v>
      </c>
      <c r="JQ3" s="599"/>
      <c r="JR3" s="599"/>
      <c r="JS3" s="599"/>
      <c r="JT3" s="599"/>
      <c r="JU3" s="599"/>
      <c r="JV3" s="599"/>
      <c r="JW3" s="599"/>
      <c r="JX3" s="598" t="s">
        <v>415</v>
      </c>
      <c r="JY3" s="599"/>
      <c r="JZ3" s="599"/>
      <c r="KA3" s="599"/>
      <c r="KB3" s="599"/>
      <c r="KC3" s="599"/>
      <c r="KD3" s="599"/>
      <c r="KE3" s="599"/>
      <c r="KF3" s="598" t="s">
        <v>416</v>
      </c>
      <c r="KG3" s="599"/>
      <c r="KH3" s="599"/>
      <c r="KI3" s="599"/>
      <c r="KJ3" s="599"/>
      <c r="KK3" s="599"/>
      <c r="KL3" s="599"/>
      <c r="KM3" s="599"/>
      <c r="KN3" s="598" t="s">
        <v>417</v>
      </c>
      <c r="KO3" s="599"/>
      <c r="KP3" s="599"/>
      <c r="KQ3" s="599"/>
      <c r="KR3" s="599"/>
      <c r="KS3" s="599"/>
      <c r="KT3" s="599"/>
      <c r="KU3" s="599"/>
      <c r="KV3" s="598" t="s">
        <v>418</v>
      </c>
      <c r="KW3" s="599"/>
      <c r="KX3" s="599"/>
      <c r="KY3" s="599"/>
      <c r="KZ3" s="599"/>
      <c r="LA3" s="599"/>
      <c r="LB3" s="599"/>
      <c r="LC3" s="599"/>
      <c r="LD3" s="598" t="s">
        <v>419</v>
      </c>
      <c r="LE3" s="599"/>
      <c r="LF3" s="599"/>
      <c r="LG3" s="599"/>
      <c r="LH3" s="599"/>
      <c r="LI3" s="599"/>
      <c r="LJ3" s="599"/>
      <c r="LK3" s="599"/>
      <c r="LL3" s="598" t="s">
        <v>420</v>
      </c>
      <c r="LM3" s="599"/>
      <c r="LN3" s="599"/>
      <c r="LO3" s="599"/>
      <c r="LP3" s="599"/>
      <c r="LQ3" s="599"/>
      <c r="LR3" s="599"/>
      <c r="LS3" s="599"/>
      <c r="LT3" s="598" t="s">
        <v>421</v>
      </c>
      <c r="LU3" s="599"/>
      <c r="LV3" s="599"/>
      <c r="LW3" s="599"/>
      <c r="LX3" s="599"/>
      <c r="LY3" s="599"/>
      <c r="LZ3" s="599"/>
      <c r="MA3" s="599"/>
      <c r="MB3" s="598" t="s">
        <v>422</v>
      </c>
      <c r="MC3" s="599"/>
      <c r="MD3" s="599"/>
      <c r="ME3" s="599"/>
      <c r="MF3" s="599"/>
      <c r="MG3" s="599"/>
      <c r="MH3" s="599"/>
      <c r="MI3" s="599"/>
      <c r="MJ3" s="598" t="s">
        <v>423</v>
      </c>
      <c r="MK3" s="599"/>
      <c r="ML3" s="599"/>
      <c r="MM3" s="599"/>
      <c r="MN3" s="599"/>
      <c r="MO3" s="599"/>
      <c r="MP3" s="599"/>
      <c r="MQ3" s="599"/>
      <c r="MR3" s="598" t="s">
        <v>424</v>
      </c>
      <c r="MS3" s="599"/>
      <c r="MT3" s="599"/>
      <c r="MU3" s="599"/>
      <c r="MV3" s="599"/>
      <c r="MW3" s="599"/>
      <c r="MX3" s="599"/>
      <c r="MY3" s="599"/>
      <c r="MZ3" s="598" t="s">
        <v>425</v>
      </c>
      <c r="NA3" s="599"/>
      <c r="NB3" s="599"/>
      <c r="NC3" s="599"/>
      <c r="ND3" s="599"/>
      <c r="NE3" s="599"/>
      <c r="NF3" s="599"/>
      <c r="NG3" s="599"/>
      <c r="NH3" s="598" t="s">
        <v>426</v>
      </c>
      <c r="NI3" s="599"/>
      <c r="NJ3" s="599"/>
      <c r="NK3" s="599"/>
      <c r="NL3" s="599"/>
      <c r="NM3" s="599"/>
      <c r="NN3" s="599"/>
      <c r="NO3" s="599"/>
      <c r="NP3" s="598" t="s">
        <v>427</v>
      </c>
      <c r="NQ3" s="599"/>
      <c r="NR3" s="599"/>
      <c r="NS3" s="599"/>
      <c r="NT3" s="599"/>
      <c r="NU3" s="599"/>
      <c r="NV3" s="599"/>
      <c r="NW3" s="599"/>
    </row>
    <row r="4" spans="1:15679" s="32" customFormat="1" ht="16.5" thickBot="1" x14ac:dyDescent="0.3">
      <c r="A4" s="75"/>
      <c r="B4" s="76" t="s">
        <v>364</v>
      </c>
      <c r="C4" s="77" t="s">
        <v>365</v>
      </c>
      <c r="D4" s="78">
        <v>44925</v>
      </c>
      <c r="E4" s="78">
        <v>44926</v>
      </c>
      <c r="F4" s="78">
        <v>44927</v>
      </c>
      <c r="G4" s="78">
        <v>44928</v>
      </c>
      <c r="H4" s="78">
        <v>44929</v>
      </c>
      <c r="I4" s="78">
        <v>44930</v>
      </c>
      <c r="J4" s="78">
        <v>44931</v>
      </c>
      <c r="K4" s="78" t="s">
        <v>291</v>
      </c>
      <c r="L4" s="78">
        <f>J4+1</f>
        <v>44932</v>
      </c>
      <c r="M4" s="78">
        <f t="shared" ref="M4:Z4" si="0">L4+1</f>
        <v>44933</v>
      </c>
      <c r="N4" s="78">
        <f t="shared" si="0"/>
        <v>44934</v>
      </c>
      <c r="O4" s="78">
        <f t="shared" si="0"/>
        <v>44935</v>
      </c>
      <c r="P4" s="78">
        <f t="shared" si="0"/>
        <v>44936</v>
      </c>
      <c r="Q4" s="78">
        <f t="shared" si="0"/>
        <v>44937</v>
      </c>
      <c r="R4" s="78">
        <f t="shared" si="0"/>
        <v>44938</v>
      </c>
      <c r="S4" s="78" t="s">
        <v>291</v>
      </c>
      <c r="T4" s="78">
        <f>R4+1</f>
        <v>44939</v>
      </c>
      <c r="U4" s="78">
        <f t="shared" si="0"/>
        <v>44940</v>
      </c>
      <c r="V4" s="78">
        <f t="shared" si="0"/>
        <v>44941</v>
      </c>
      <c r="W4" s="78">
        <f t="shared" si="0"/>
        <v>44942</v>
      </c>
      <c r="X4" s="78">
        <f t="shared" si="0"/>
        <v>44943</v>
      </c>
      <c r="Y4" s="78">
        <f t="shared" si="0"/>
        <v>44944</v>
      </c>
      <c r="Z4" s="78">
        <f t="shared" si="0"/>
        <v>44945</v>
      </c>
      <c r="AA4" s="78" t="s">
        <v>291</v>
      </c>
      <c r="AB4" s="78">
        <f>Z4+1</f>
        <v>44946</v>
      </c>
      <c r="AC4" s="78">
        <f t="shared" ref="AC4:AH4" si="1">AB4+1</f>
        <v>44947</v>
      </c>
      <c r="AD4" s="78">
        <f t="shared" si="1"/>
        <v>44948</v>
      </c>
      <c r="AE4" s="78">
        <f t="shared" si="1"/>
        <v>44949</v>
      </c>
      <c r="AF4" s="78">
        <f t="shared" si="1"/>
        <v>44950</v>
      </c>
      <c r="AG4" s="78">
        <f t="shared" si="1"/>
        <v>44951</v>
      </c>
      <c r="AH4" s="78">
        <f t="shared" si="1"/>
        <v>44952</v>
      </c>
      <c r="AI4" s="78" t="s">
        <v>291</v>
      </c>
      <c r="AJ4" s="78">
        <v>43857</v>
      </c>
      <c r="AK4" s="78">
        <f t="shared" ref="AK4:AP4" si="2">AJ4+1</f>
        <v>43858</v>
      </c>
      <c r="AL4" s="78">
        <f t="shared" si="2"/>
        <v>43859</v>
      </c>
      <c r="AM4" s="78">
        <f t="shared" si="2"/>
        <v>43860</v>
      </c>
      <c r="AN4" s="78">
        <f t="shared" si="2"/>
        <v>43861</v>
      </c>
      <c r="AO4" s="78">
        <f t="shared" si="2"/>
        <v>43862</v>
      </c>
      <c r="AP4" s="78">
        <f t="shared" si="2"/>
        <v>43863</v>
      </c>
      <c r="AQ4" s="78" t="s">
        <v>291</v>
      </c>
      <c r="AR4" s="78">
        <v>43864</v>
      </c>
      <c r="AS4" s="78">
        <f t="shared" ref="AS4:AX4" si="3">AR4+1</f>
        <v>43865</v>
      </c>
      <c r="AT4" s="78">
        <f t="shared" si="3"/>
        <v>43866</v>
      </c>
      <c r="AU4" s="78">
        <f t="shared" si="3"/>
        <v>43867</v>
      </c>
      <c r="AV4" s="78">
        <f t="shared" si="3"/>
        <v>43868</v>
      </c>
      <c r="AW4" s="78">
        <f t="shared" si="3"/>
        <v>43869</v>
      </c>
      <c r="AX4" s="78">
        <f t="shared" si="3"/>
        <v>43870</v>
      </c>
      <c r="AY4" s="78" t="s">
        <v>291</v>
      </c>
      <c r="AZ4" s="78">
        <f>AX4+1</f>
        <v>43871</v>
      </c>
      <c r="BA4" s="78">
        <f t="shared" ref="BA4:BF4" si="4">AZ4+1</f>
        <v>43872</v>
      </c>
      <c r="BB4" s="78">
        <f t="shared" si="4"/>
        <v>43873</v>
      </c>
      <c r="BC4" s="78">
        <f t="shared" si="4"/>
        <v>43874</v>
      </c>
      <c r="BD4" s="78">
        <f t="shared" si="4"/>
        <v>43875</v>
      </c>
      <c r="BE4" s="78">
        <f t="shared" si="4"/>
        <v>43876</v>
      </c>
      <c r="BF4" s="78">
        <f t="shared" si="4"/>
        <v>43877</v>
      </c>
      <c r="BG4" s="78" t="s">
        <v>291</v>
      </c>
      <c r="BH4" s="78">
        <f>BF4+1</f>
        <v>43878</v>
      </c>
      <c r="BI4" s="78">
        <f t="shared" ref="BI4:BN4" si="5">BH4+1</f>
        <v>43879</v>
      </c>
      <c r="BJ4" s="78">
        <f t="shared" si="5"/>
        <v>43880</v>
      </c>
      <c r="BK4" s="78">
        <f t="shared" si="5"/>
        <v>43881</v>
      </c>
      <c r="BL4" s="78">
        <f t="shared" si="5"/>
        <v>43882</v>
      </c>
      <c r="BM4" s="78">
        <f t="shared" si="5"/>
        <v>43883</v>
      </c>
      <c r="BN4" s="78">
        <f t="shared" si="5"/>
        <v>43884</v>
      </c>
      <c r="BO4" s="78" t="s">
        <v>291</v>
      </c>
      <c r="BP4" s="78">
        <f>BN4+1</f>
        <v>43885</v>
      </c>
      <c r="BQ4" s="78">
        <f t="shared" ref="BQ4:BV4" si="6">BP4+1</f>
        <v>43886</v>
      </c>
      <c r="BR4" s="78">
        <f t="shared" si="6"/>
        <v>43887</v>
      </c>
      <c r="BS4" s="78">
        <f t="shared" si="6"/>
        <v>43888</v>
      </c>
      <c r="BT4" s="78">
        <f t="shared" si="6"/>
        <v>43889</v>
      </c>
      <c r="BU4" s="78">
        <f t="shared" si="6"/>
        <v>43890</v>
      </c>
      <c r="BV4" s="78">
        <f t="shared" si="6"/>
        <v>43891</v>
      </c>
      <c r="BW4" s="78" t="s">
        <v>291</v>
      </c>
      <c r="BX4" s="78">
        <f>BV4+1</f>
        <v>43892</v>
      </c>
      <c r="BY4" s="78">
        <f t="shared" ref="BY4:CD4" si="7">BX4+1</f>
        <v>43893</v>
      </c>
      <c r="BZ4" s="78">
        <f t="shared" si="7"/>
        <v>43894</v>
      </c>
      <c r="CA4" s="78">
        <f t="shared" si="7"/>
        <v>43895</v>
      </c>
      <c r="CB4" s="78">
        <f t="shared" si="7"/>
        <v>43896</v>
      </c>
      <c r="CC4" s="78">
        <f t="shared" si="7"/>
        <v>43897</v>
      </c>
      <c r="CD4" s="78">
        <f t="shared" si="7"/>
        <v>43898</v>
      </c>
      <c r="CE4" s="78" t="s">
        <v>291</v>
      </c>
      <c r="CF4" s="78">
        <f>CD4+1</f>
        <v>43899</v>
      </c>
      <c r="CG4" s="78">
        <f t="shared" ref="CG4:CL4" si="8">CF4+1</f>
        <v>43900</v>
      </c>
      <c r="CH4" s="78">
        <f t="shared" si="8"/>
        <v>43901</v>
      </c>
      <c r="CI4" s="78">
        <f t="shared" si="8"/>
        <v>43902</v>
      </c>
      <c r="CJ4" s="78">
        <f t="shared" si="8"/>
        <v>43903</v>
      </c>
      <c r="CK4" s="78">
        <f t="shared" si="8"/>
        <v>43904</v>
      </c>
      <c r="CL4" s="78">
        <f t="shared" si="8"/>
        <v>43905</v>
      </c>
      <c r="CM4" s="78" t="s">
        <v>291</v>
      </c>
      <c r="CN4" s="78">
        <f>CL4+1</f>
        <v>43906</v>
      </c>
      <c r="CO4" s="78">
        <f t="shared" ref="CO4:CT4" si="9">CN4+1</f>
        <v>43907</v>
      </c>
      <c r="CP4" s="78">
        <f t="shared" si="9"/>
        <v>43908</v>
      </c>
      <c r="CQ4" s="78">
        <f t="shared" si="9"/>
        <v>43909</v>
      </c>
      <c r="CR4" s="78">
        <f t="shared" si="9"/>
        <v>43910</v>
      </c>
      <c r="CS4" s="78">
        <f t="shared" si="9"/>
        <v>43911</v>
      </c>
      <c r="CT4" s="78">
        <f t="shared" si="9"/>
        <v>43912</v>
      </c>
      <c r="CU4" s="78" t="s">
        <v>291</v>
      </c>
      <c r="CV4" s="78">
        <f>CT4+1</f>
        <v>43913</v>
      </c>
      <c r="CW4" s="78">
        <f t="shared" ref="CW4:DB4" si="10">CV4+1</f>
        <v>43914</v>
      </c>
      <c r="CX4" s="78">
        <f t="shared" si="10"/>
        <v>43915</v>
      </c>
      <c r="CY4" s="78">
        <f t="shared" si="10"/>
        <v>43916</v>
      </c>
      <c r="CZ4" s="78">
        <f t="shared" si="10"/>
        <v>43917</v>
      </c>
      <c r="DA4" s="78">
        <f t="shared" si="10"/>
        <v>43918</v>
      </c>
      <c r="DB4" s="78">
        <f t="shared" si="10"/>
        <v>43919</v>
      </c>
      <c r="DC4" s="78" t="s">
        <v>291</v>
      </c>
      <c r="DD4" s="78">
        <f>DB4+1</f>
        <v>43920</v>
      </c>
      <c r="DE4" s="78">
        <f t="shared" ref="DE4:DJ4" si="11">DD4+1</f>
        <v>43921</v>
      </c>
      <c r="DF4" s="78">
        <f t="shared" si="11"/>
        <v>43922</v>
      </c>
      <c r="DG4" s="78">
        <f t="shared" si="11"/>
        <v>43923</v>
      </c>
      <c r="DH4" s="78">
        <f t="shared" si="11"/>
        <v>43924</v>
      </c>
      <c r="DI4" s="78">
        <f t="shared" si="11"/>
        <v>43925</v>
      </c>
      <c r="DJ4" s="78">
        <f t="shared" si="11"/>
        <v>43926</v>
      </c>
      <c r="DK4" s="78" t="s">
        <v>291</v>
      </c>
      <c r="DL4" s="78">
        <f>DJ4+1</f>
        <v>43927</v>
      </c>
      <c r="DM4" s="78">
        <f t="shared" ref="DM4:DR4" si="12">DL4+1</f>
        <v>43928</v>
      </c>
      <c r="DN4" s="78">
        <f t="shared" si="12"/>
        <v>43929</v>
      </c>
      <c r="DO4" s="78">
        <f t="shared" si="12"/>
        <v>43930</v>
      </c>
      <c r="DP4" s="78">
        <f t="shared" si="12"/>
        <v>43931</v>
      </c>
      <c r="DQ4" s="78">
        <f t="shared" si="12"/>
        <v>43932</v>
      </c>
      <c r="DR4" s="78">
        <f t="shared" si="12"/>
        <v>43933</v>
      </c>
      <c r="DS4" s="78" t="s">
        <v>291</v>
      </c>
      <c r="DT4" s="78">
        <f>DR4+1</f>
        <v>43934</v>
      </c>
      <c r="DU4" s="78">
        <f t="shared" ref="DU4:DZ4" si="13">DT4+1</f>
        <v>43935</v>
      </c>
      <c r="DV4" s="78">
        <f t="shared" si="13"/>
        <v>43936</v>
      </c>
      <c r="DW4" s="78">
        <f t="shared" si="13"/>
        <v>43937</v>
      </c>
      <c r="DX4" s="78">
        <f t="shared" si="13"/>
        <v>43938</v>
      </c>
      <c r="DY4" s="78">
        <f t="shared" si="13"/>
        <v>43939</v>
      </c>
      <c r="DZ4" s="78">
        <f t="shared" si="13"/>
        <v>43940</v>
      </c>
      <c r="EA4" s="78" t="s">
        <v>291</v>
      </c>
      <c r="EB4" s="78">
        <f>DZ4+1</f>
        <v>43941</v>
      </c>
      <c r="EC4" s="78">
        <f t="shared" ref="EC4:EH4" si="14">EB4+1</f>
        <v>43942</v>
      </c>
      <c r="ED4" s="78">
        <f t="shared" si="14"/>
        <v>43943</v>
      </c>
      <c r="EE4" s="78">
        <f t="shared" si="14"/>
        <v>43944</v>
      </c>
      <c r="EF4" s="78">
        <f t="shared" si="14"/>
        <v>43945</v>
      </c>
      <c r="EG4" s="78">
        <f t="shared" si="14"/>
        <v>43946</v>
      </c>
      <c r="EH4" s="78">
        <f t="shared" si="14"/>
        <v>43947</v>
      </c>
      <c r="EI4" s="78" t="s">
        <v>291</v>
      </c>
      <c r="EJ4" s="78">
        <f>EH4+1</f>
        <v>43948</v>
      </c>
      <c r="EK4" s="78">
        <f t="shared" ref="EK4:EP4" si="15">EJ4+1</f>
        <v>43949</v>
      </c>
      <c r="EL4" s="78">
        <f t="shared" si="15"/>
        <v>43950</v>
      </c>
      <c r="EM4" s="78">
        <f t="shared" si="15"/>
        <v>43951</v>
      </c>
      <c r="EN4" s="78">
        <f t="shared" si="15"/>
        <v>43952</v>
      </c>
      <c r="EO4" s="78">
        <f t="shared" si="15"/>
        <v>43953</v>
      </c>
      <c r="EP4" s="78">
        <f t="shared" si="15"/>
        <v>43954</v>
      </c>
      <c r="EQ4" s="78" t="s">
        <v>291</v>
      </c>
      <c r="ER4" s="78">
        <f>EP4+1</f>
        <v>43955</v>
      </c>
      <c r="ES4" s="78">
        <f t="shared" ref="ES4:EX4" si="16">ER4+1</f>
        <v>43956</v>
      </c>
      <c r="ET4" s="78">
        <f t="shared" si="16"/>
        <v>43957</v>
      </c>
      <c r="EU4" s="78">
        <f t="shared" si="16"/>
        <v>43958</v>
      </c>
      <c r="EV4" s="78">
        <f t="shared" si="16"/>
        <v>43959</v>
      </c>
      <c r="EW4" s="78">
        <f t="shared" si="16"/>
        <v>43960</v>
      </c>
      <c r="EX4" s="78">
        <f t="shared" si="16"/>
        <v>43961</v>
      </c>
      <c r="EY4" s="78" t="s">
        <v>291</v>
      </c>
      <c r="EZ4" s="78">
        <f>EX4+1</f>
        <v>43962</v>
      </c>
      <c r="FA4" s="78">
        <f t="shared" ref="FA4:FF4" si="17">EZ4+1</f>
        <v>43963</v>
      </c>
      <c r="FB4" s="78">
        <f t="shared" si="17"/>
        <v>43964</v>
      </c>
      <c r="FC4" s="78">
        <f t="shared" si="17"/>
        <v>43965</v>
      </c>
      <c r="FD4" s="78">
        <f t="shared" si="17"/>
        <v>43966</v>
      </c>
      <c r="FE4" s="78">
        <f t="shared" si="17"/>
        <v>43967</v>
      </c>
      <c r="FF4" s="78">
        <f t="shared" si="17"/>
        <v>43968</v>
      </c>
      <c r="FG4" s="78" t="s">
        <v>291</v>
      </c>
      <c r="FH4" s="78">
        <f>FF4+1</f>
        <v>43969</v>
      </c>
      <c r="FI4" s="78">
        <f t="shared" ref="FI4:FN4" si="18">FH4+1</f>
        <v>43970</v>
      </c>
      <c r="FJ4" s="78">
        <f t="shared" si="18"/>
        <v>43971</v>
      </c>
      <c r="FK4" s="78">
        <f t="shared" si="18"/>
        <v>43972</v>
      </c>
      <c r="FL4" s="78">
        <f t="shared" si="18"/>
        <v>43973</v>
      </c>
      <c r="FM4" s="78">
        <f t="shared" si="18"/>
        <v>43974</v>
      </c>
      <c r="FN4" s="78">
        <f t="shared" si="18"/>
        <v>43975</v>
      </c>
      <c r="FO4" s="78" t="s">
        <v>291</v>
      </c>
      <c r="FP4" s="78">
        <f>FN4+1</f>
        <v>43976</v>
      </c>
      <c r="FQ4" s="78">
        <f t="shared" ref="FQ4:FV4" si="19">FP4+1</f>
        <v>43977</v>
      </c>
      <c r="FR4" s="78">
        <f t="shared" si="19"/>
        <v>43978</v>
      </c>
      <c r="FS4" s="78">
        <f t="shared" si="19"/>
        <v>43979</v>
      </c>
      <c r="FT4" s="78">
        <f t="shared" si="19"/>
        <v>43980</v>
      </c>
      <c r="FU4" s="78">
        <f t="shared" si="19"/>
        <v>43981</v>
      </c>
      <c r="FV4" s="78">
        <f t="shared" si="19"/>
        <v>43982</v>
      </c>
      <c r="FW4" s="78" t="s">
        <v>291</v>
      </c>
      <c r="FX4" s="78">
        <f>FV4+1</f>
        <v>43983</v>
      </c>
      <c r="FY4" s="78">
        <f t="shared" ref="FY4:GD4" si="20">FX4+1</f>
        <v>43984</v>
      </c>
      <c r="FZ4" s="78">
        <f t="shared" si="20"/>
        <v>43985</v>
      </c>
      <c r="GA4" s="78">
        <f t="shared" si="20"/>
        <v>43986</v>
      </c>
      <c r="GB4" s="78">
        <f t="shared" si="20"/>
        <v>43987</v>
      </c>
      <c r="GC4" s="78">
        <f t="shared" si="20"/>
        <v>43988</v>
      </c>
      <c r="GD4" s="78">
        <f t="shared" si="20"/>
        <v>43989</v>
      </c>
      <c r="GE4" s="78" t="s">
        <v>291</v>
      </c>
      <c r="GF4" s="78">
        <f>GD4+1</f>
        <v>43990</v>
      </c>
      <c r="GG4" s="78">
        <f t="shared" ref="GG4:GL4" si="21">GF4+1</f>
        <v>43991</v>
      </c>
      <c r="GH4" s="78">
        <f t="shared" si="21"/>
        <v>43992</v>
      </c>
      <c r="GI4" s="78">
        <f t="shared" si="21"/>
        <v>43993</v>
      </c>
      <c r="GJ4" s="78">
        <f t="shared" si="21"/>
        <v>43994</v>
      </c>
      <c r="GK4" s="78">
        <f t="shared" si="21"/>
        <v>43995</v>
      </c>
      <c r="GL4" s="78">
        <f t="shared" si="21"/>
        <v>43996</v>
      </c>
      <c r="GM4" s="78" t="s">
        <v>291</v>
      </c>
      <c r="GN4" s="78">
        <f>GL4+1</f>
        <v>43997</v>
      </c>
      <c r="GO4" s="78">
        <f t="shared" ref="GO4:GT4" si="22">GN4+1</f>
        <v>43998</v>
      </c>
      <c r="GP4" s="78">
        <f t="shared" si="22"/>
        <v>43999</v>
      </c>
      <c r="GQ4" s="78">
        <f t="shared" si="22"/>
        <v>44000</v>
      </c>
      <c r="GR4" s="78">
        <f t="shared" si="22"/>
        <v>44001</v>
      </c>
      <c r="GS4" s="78">
        <f t="shared" si="22"/>
        <v>44002</v>
      </c>
      <c r="GT4" s="78">
        <f t="shared" si="22"/>
        <v>44003</v>
      </c>
      <c r="GU4" s="78" t="s">
        <v>291</v>
      </c>
      <c r="GV4" s="78">
        <f>GT4+1</f>
        <v>44004</v>
      </c>
      <c r="GW4" s="78">
        <f t="shared" ref="GW4:HB4" si="23">GV4+1</f>
        <v>44005</v>
      </c>
      <c r="GX4" s="78">
        <f t="shared" si="23"/>
        <v>44006</v>
      </c>
      <c r="GY4" s="78">
        <f t="shared" si="23"/>
        <v>44007</v>
      </c>
      <c r="GZ4" s="78">
        <f t="shared" si="23"/>
        <v>44008</v>
      </c>
      <c r="HA4" s="78">
        <f t="shared" si="23"/>
        <v>44009</v>
      </c>
      <c r="HB4" s="78">
        <f t="shared" si="23"/>
        <v>44010</v>
      </c>
      <c r="HC4" s="78" t="s">
        <v>291</v>
      </c>
      <c r="HD4" s="78">
        <f>HB4+1</f>
        <v>44011</v>
      </c>
      <c r="HE4" s="78">
        <f t="shared" ref="HE4:HJ4" si="24">HD4+1</f>
        <v>44012</v>
      </c>
      <c r="HF4" s="78">
        <f t="shared" si="24"/>
        <v>44013</v>
      </c>
      <c r="HG4" s="78">
        <f t="shared" si="24"/>
        <v>44014</v>
      </c>
      <c r="HH4" s="78">
        <f t="shared" si="24"/>
        <v>44015</v>
      </c>
      <c r="HI4" s="78">
        <f t="shared" si="24"/>
        <v>44016</v>
      </c>
      <c r="HJ4" s="78">
        <f t="shared" si="24"/>
        <v>44017</v>
      </c>
      <c r="HK4" s="78" t="s">
        <v>291</v>
      </c>
      <c r="HL4" s="78">
        <f>HJ4+1</f>
        <v>44018</v>
      </c>
      <c r="HM4" s="78">
        <f t="shared" ref="HM4:HR4" si="25">HL4+1</f>
        <v>44019</v>
      </c>
      <c r="HN4" s="78">
        <f t="shared" si="25"/>
        <v>44020</v>
      </c>
      <c r="HO4" s="78">
        <f t="shared" si="25"/>
        <v>44021</v>
      </c>
      <c r="HP4" s="78">
        <f t="shared" si="25"/>
        <v>44022</v>
      </c>
      <c r="HQ4" s="78">
        <f t="shared" si="25"/>
        <v>44023</v>
      </c>
      <c r="HR4" s="78">
        <f t="shared" si="25"/>
        <v>44024</v>
      </c>
      <c r="HS4" s="78" t="s">
        <v>291</v>
      </c>
      <c r="HT4" s="78">
        <f>HR4+1</f>
        <v>44025</v>
      </c>
      <c r="HU4" s="78">
        <f t="shared" ref="HU4:HZ4" si="26">HT4+1</f>
        <v>44026</v>
      </c>
      <c r="HV4" s="78">
        <f t="shared" si="26"/>
        <v>44027</v>
      </c>
      <c r="HW4" s="78">
        <f t="shared" si="26"/>
        <v>44028</v>
      </c>
      <c r="HX4" s="78">
        <f t="shared" si="26"/>
        <v>44029</v>
      </c>
      <c r="HY4" s="78">
        <f t="shared" si="26"/>
        <v>44030</v>
      </c>
      <c r="HZ4" s="78">
        <f t="shared" si="26"/>
        <v>44031</v>
      </c>
      <c r="IA4" s="78" t="s">
        <v>291</v>
      </c>
      <c r="IB4" s="78">
        <f>HZ4+1</f>
        <v>44032</v>
      </c>
      <c r="IC4" s="78">
        <f t="shared" ref="IC4:IH4" si="27">IB4+1</f>
        <v>44033</v>
      </c>
      <c r="ID4" s="78">
        <f t="shared" si="27"/>
        <v>44034</v>
      </c>
      <c r="IE4" s="78">
        <f t="shared" si="27"/>
        <v>44035</v>
      </c>
      <c r="IF4" s="78">
        <f t="shared" si="27"/>
        <v>44036</v>
      </c>
      <c r="IG4" s="78">
        <f t="shared" si="27"/>
        <v>44037</v>
      </c>
      <c r="IH4" s="78">
        <f t="shared" si="27"/>
        <v>44038</v>
      </c>
      <c r="II4" s="78" t="s">
        <v>291</v>
      </c>
      <c r="IJ4" s="78">
        <f>IH4+1</f>
        <v>44039</v>
      </c>
      <c r="IK4" s="78">
        <f t="shared" ref="IK4:IP4" si="28">IJ4+1</f>
        <v>44040</v>
      </c>
      <c r="IL4" s="78">
        <f t="shared" si="28"/>
        <v>44041</v>
      </c>
      <c r="IM4" s="78">
        <f t="shared" si="28"/>
        <v>44042</v>
      </c>
      <c r="IN4" s="78">
        <f t="shared" si="28"/>
        <v>44043</v>
      </c>
      <c r="IO4" s="78">
        <f t="shared" si="28"/>
        <v>44044</v>
      </c>
      <c r="IP4" s="78">
        <f t="shared" si="28"/>
        <v>44045</v>
      </c>
      <c r="IQ4" s="78" t="s">
        <v>291</v>
      </c>
      <c r="IR4" s="78">
        <f>IP4+1</f>
        <v>44046</v>
      </c>
      <c r="IS4" s="78">
        <f t="shared" ref="IS4:IX4" si="29">IR4+1</f>
        <v>44047</v>
      </c>
      <c r="IT4" s="78">
        <f t="shared" si="29"/>
        <v>44048</v>
      </c>
      <c r="IU4" s="78">
        <f t="shared" si="29"/>
        <v>44049</v>
      </c>
      <c r="IV4" s="78">
        <f t="shared" si="29"/>
        <v>44050</v>
      </c>
      <c r="IW4" s="78">
        <f t="shared" si="29"/>
        <v>44051</v>
      </c>
      <c r="IX4" s="78">
        <f t="shared" si="29"/>
        <v>44052</v>
      </c>
      <c r="IY4" s="78" t="s">
        <v>291</v>
      </c>
      <c r="IZ4" s="78">
        <f>IX4+1</f>
        <v>44053</v>
      </c>
      <c r="JA4" s="78">
        <f t="shared" ref="JA4:JF4" si="30">IZ4+1</f>
        <v>44054</v>
      </c>
      <c r="JB4" s="78">
        <f t="shared" si="30"/>
        <v>44055</v>
      </c>
      <c r="JC4" s="78">
        <f t="shared" si="30"/>
        <v>44056</v>
      </c>
      <c r="JD4" s="78">
        <f t="shared" si="30"/>
        <v>44057</v>
      </c>
      <c r="JE4" s="78">
        <f t="shared" si="30"/>
        <v>44058</v>
      </c>
      <c r="JF4" s="78">
        <f t="shared" si="30"/>
        <v>44059</v>
      </c>
      <c r="JG4" s="78" t="s">
        <v>291</v>
      </c>
      <c r="JH4" s="78">
        <f>JF4+1</f>
        <v>44060</v>
      </c>
      <c r="JI4" s="78">
        <f t="shared" ref="JI4:JN4" si="31">JH4+1</f>
        <v>44061</v>
      </c>
      <c r="JJ4" s="78">
        <f t="shared" si="31"/>
        <v>44062</v>
      </c>
      <c r="JK4" s="78">
        <f t="shared" si="31"/>
        <v>44063</v>
      </c>
      <c r="JL4" s="78">
        <f t="shared" si="31"/>
        <v>44064</v>
      </c>
      <c r="JM4" s="78">
        <f t="shared" si="31"/>
        <v>44065</v>
      </c>
      <c r="JN4" s="78">
        <f t="shared" si="31"/>
        <v>44066</v>
      </c>
      <c r="JO4" s="78" t="s">
        <v>291</v>
      </c>
      <c r="JP4" s="78">
        <f>JN4+1</f>
        <v>44067</v>
      </c>
      <c r="JQ4" s="78">
        <f t="shared" ref="JQ4:JV4" si="32">JP4+1</f>
        <v>44068</v>
      </c>
      <c r="JR4" s="78">
        <f t="shared" si="32"/>
        <v>44069</v>
      </c>
      <c r="JS4" s="78">
        <f t="shared" si="32"/>
        <v>44070</v>
      </c>
      <c r="JT4" s="78">
        <f t="shared" si="32"/>
        <v>44071</v>
      </c>
      <c r="JU4" s="78">
        <f t="shared" si="32"/>
        <v>44072</v>
      </c>
      <c r="JV4" s="78">
        <f t="shared" si="32"/>
        <v>44073</v>
      </c>
      <c r="JW4" s="78" t="s">
        <v>291</v>
      </c>
      <c r="JX4" s="78">
        <f>JV4+1</f>
        <v>44074</v>
      </c>
      <c r="JY4" s="78">
        <f t="shared" ref="JY4:KD4" si="33">JX4+1</f>
        <v>44075</v>
      </c>
      <c r="JZ4" s="78">
        <f t="shared" si="33"/>
        <v>44076</v>
      </c>
      <c r="KA4" s="78">
        <f t="shared" si="33"/>
        <v>44077</v>
      </c>
      <c r="KB4" s="78">
        <f t="shared" si="33"/>
        <v>44078</v>
      </c>
      <c r="KC4" s="78">
        <f t="shared" si="33"/>
        <v>44079</v>
      </c>
      <c r="KD4" s="78">
        <f t="shared" si="33"/>
        <v>44080</v>
      </c>
      <c r="KE4" s="78" t="s">
        <v>291</v>
      </c>
      <c r="KF4" s="78">
        <f>KD4+1</f>
        <v>44081</v>
      </c>
      <c r="KG4" s="78">
        <f t="shared" ref="KG4:KL4" si="34">KF4+1</f>
        <v>44082</v>
      </c>
      <c r="KH4" s="78">
        <f t="shared" si="34"/>
        <v>44083</v>
      </c>
      <c r="KI4" s="78">
        <f t="shared" si="34"/>
        <v>44084</v>
      </c>
      <c r="KJ4" s="78">
        <f t="shared" si="34"/>
        <v>44085</v>
      </c>
      <c r="KK4" s="78">
        <f t="shared" si="34"/>
        <v>44086</v>
      </c>
      <c r="KL4" s="78">
        <f t="shared" si="34"/>
        <v>44087</v>
      </c>
      <c r="KM4" s="78" t="s">
        <v>291</v>
      </c>
      <c r="KN4" s="78">
        <f>KL4+1</f>
        <v>44088</v>
      </c>
      <c r="KO4" s="78">
        <f t="shared" ref="KO4:KT4" si="35">KN4+1</f>
        <v>44089</v>
      </c>
      <c r="KP4" s="78">
        <f t="shared" si="35"/>
        <v>44090</v>
      </c>
      <c r="KQ4" s="78">
        <f t="shared" si="35"/>
        <v>44091</v>
      </c>
      <c r="KR4" s="78">
        <f t="shared" si="35"/>
        <v>44092</v>
      </c>
      <c r="KS4" s="78">
        <f t="shared" si="35"/>
        <v>44093</v>
      </c>
      <c r="KT4" s="78">
        <f t="shared" si="35"/>
        <v>44094</v>
      </c>
      <c r="KU4" s="78" t="s">
        <v>291</v>
      </c>
      <c r="KV4" s="78">
        <f>KT4+1</f>
        <v>44095</v>
      </c>
      <c r="KW4" s="78">
        <f t="shared" ref="KW4:LB4" si="36">KV4+1</f>
        <v>44096</v>
      </c>
      <c r="KX4" s="78">
        <f t="shared" si="36"/>
        <v>44097</v>
      </c>
      <c r="KY4" s="78">
        <f t="shared" si="36"/>
        <v>44098</v>
      </c>
      <c r="KZ4" s="78">
        <f t="shared" si="36"/>
        <v>44099</v>
      </c>
      <c r="LA4" s="78">
        <f t="shared" si="36"/>
        <v>44100</v>
      </c>
      <c r="LB4" s="78">
        <f t="shared" si="36"/>
        <v>44101</v>
      </c>
      <c r="LC4" s="78" t="s">
        <v>291</v>
      </c>
      <c r="LD4" s="78">
        <f>LB4+1</f>
        <v>44102</v>
      </c>
      <c r="LE4" s="78">
        <f t="shared" ref="LE4:LJ4" si="37">LD4+1</f>
        <v>44103</v>
      </c>
      <c r="LF4" s="78">
        <f t="shared" si="37"/>
        <v>44104</v>
      </c>
      <c r="LG4" s="78">
        <f t="shared" si="37"/>
        <v>44105</v>
      </c>
      <c r="LH4" s="78">
        <f t="shared" si="37"/>
        <v>44106</v>
      </c>
      <c r="LI4" s="78">
        <f t="shared" si="37"/>
        <v>44107</v>
      </c>
      <c r="LJ4" s="78">
        <f t="shared" si="37"/>
        <v>44108</v>
      </c>
      <c r="LK4" s="78" t="s">
        <v>291</v>
      </c>
      <c r="LL4" s="78">
        <f>LJ4+1</f>
        <v>44109</v>
      </c>
      <c r="LM4" s="78">
        <f t="shared" ref="LM4:LR4" si="38">LL4+1</f>
        <v>44110</v>
      </c>
      <c r="LN4" s="78">
        <f t="shared" si="38"/>
        <v>44111</v>
      </c>
      <c r="LO4" s="78">
        <f t="shared" si="38"/>
        <v>44112</v>
      </c>
      <c r="LP4" s="78">
        <f t="shared" si="38"/>
        <v>44113</v>
      </c>
      <c r="LQ4" s="78">
        <f t="shared" si="38"/>
        <v>44114</v>
      </c>
      <c r="LR4" s="78">
        <f t="shared" si="38"/>
        <v>44115</v>
      </c>
      <c r="LS4" s="78" t="s">
        <v>291</v>
      </c>
      <c r="LT4" s="78">
        <f>LR4+1</f>
        <v>44116</v>
      </c>
      <c r="LU4" s="78">
        <f t="shared" ref="LU4:LZ4" si="39">LT4+1</f>
        <v>44117</v>
      </c>
      <c r="LV4" s="78">
        <f t="shared" si="39"/>
        <v>44118</v>
      </c>
      <c r="LW4" s="78">
        <f t="shared" si="39"/>
        <v>44119</v>
      </c>
      <c r="LX4" s="78">
        <f t="shared" si="39"/>
        <v>44120</v>
      </c>
      <c r="LY4" s="78">
        <f t="shared" si="39"/>
        <v>44121</v>
      </c>
      <c r="LZ4" s="78">
        <f t="shared" si="39"/>
        <v>44122</v>
      </c>
      <c r="MA4" s="78" t="s">
        <v>291</v>
      </c>
      <c r="MB4" s="78">
        <f>LZ4+1</f>
        <v>44123</v>
      </c>
      <c r="MC4" s="78">
        <f t="shared" ref="MC4:MH4" si="40">MB4+1</f>
        <v>44124</v>
      </c>
      <c r="MD4" s="78">
        <f t="shared" si="40"/>
        <v>44125</v>
      </c>
      <c r="ME4" s="78">
        <f t="shared" si="40"/>
        <v>44126</v>
      </c>
      <c r="MF4" s="78">
        <f t="shared" si="40"/>
        <v>44127</v>
      </c>
      <c r="MG4" s="78">
        <f t="shared" si="40"/>
        <v>44128</v>
      </c>
      <c r="MH4" s="78">
        <f t="shared" si="40"/>
        <v>44129</v>
      </c>
      <c r="MI4" s="78" t="s">
        <v>291</v>
      </c>
      <c r="MJ4" s="78">
        <f>MH4+1</f>
        <v>44130</v>
      </c>
      <c r="MK4" s="78">
        <f t="shared" ref="MK4:NV4" si="41">MJ4+1</f>
        <v>44131</v>
      </c>
      <c r="ML4" s="78">
        <f>MK4+1</f>
        <v>44132</v>
      </c>
      <c r="MM4" s="78">
        <f>ML4+1</f>
        <v>44133</v>
      </c>
      <c r="MN4" s="78">
        <f>MM4+1</f>
        <v>44134</v>
      </c>
      <c r="MO4" s="78">
        <f>MN4+1</f>
        <v>44135</v>
      </c>
      <c r="MP4" s="78">
        <f>MO4+1</f>
        <v>44136</v>
      </c>
      <c r="MQ4" s="78" t="s">
        <v>291</v>
      </c>
      <c r="MR4" s="78">
        <f>MP4+1</f>
        <v>44137</v>
      </c>
      <c r="MS4" s="78">
        <f t="shared" si="41"/>
        <v>44138</v>
      </c>
      <c r="MT4" s="78">
        <f t="shared" si="41"/>
        <v>44139</v>
      </c>
      <c r="MU4" s="78">
        <f t="shared" si="41"/>
        <v>44140</v>
      </c>
      <c r="MV4" s="78">
        <f t="shared" si="41"/>
        <v>44141</v>
      </c>
      <c r="MW4" s="78">
        <f t="shared" si="41"/>
        <v>44142</v>
      </c>
      <c r="MX4" s="78">
        <f t="shared" si="41"/>
        <v>44143</v>
      </c>
      <c r="MY4" s="78" t="s">
        <v>291</v>
      </c>
      <c r="MZ4" s="78">
        <f>MX4+1</f>
        <v>44144</v>
      </c>
      <c r="NA4" s="78">
        <f t="shared" si="41"/>
        <v>44145</v>
      </c>
      <c r="NB4" s="78">
        <f t="shared" si="41"/>
        <v>44146</v>
      </c>
      <c r="NC4" s="78">
        <f t="shared" si="41"/>
        <v>44147</v>
      </c>
      <c r="ND4" s="78">
        <f t="shared" si="41"/>
        <v>44148</v>
      </c>
      <c r="NE4" s="78">
        <f t="shared" si="41"/>
        <v>44149</v>
      </c>
      <c r="NF4" s="78">
        <f t="shared" si="41"/>
        <v>44150</v>
      </c>
      <c r="NG4" s="78" t="s">
        <v>291</v>
      </c>
      <c r="NH4" s="78">
        <f>NF4+1</f>
        <v>44151</v>
      </c>
      <c r="NI4" s="78">
        <f t="shared" si="41"/>
        <v>44152</v>
      </c>
      <c r="NJ4" s="78">
        <f t="shared" si="41"/>
        <v>44153</v>
      </c>
      <c r="NK4" s="78">
        <f t="shared" si="41"/>
        <v>44154</v>
      </c>
      <c r="NL4" s="78">
        <f t="shared" si="41"/>
        <v>44155</v>
      </c>
      <c r="NM4" s="78">
        <f t="shared" si="41"/>
        <v>44156</v>
      </c>
      <c r="NN4" s="78">
        <f t="shared" si="41"/>
        <v>44157</v>
      </c>
      <c r="NO4" s="78" t="s">
        <v>291</v>
      </c>
      <c r="NP4" s="78">
        <f>NN4+1</f>
        <v>44158</v>
      </c>
      <c r="NQ4" s="78">
        <f t="shared" si="41"/>
        <v>44159</v>
      </c>
      <c r="NR4" s="78">
        <f t="shared" si="41"/>
        <v>44160</v>
      </c>
      <c r="NS4" s="78">
        <f t="shared" si="41"/>
        <v>44161</v>
      </c>
      <c r="NT4" s="78">
        <f t="shared" si="41"/>
        <v>44162</v>
      </c>
      <c r="NU4" s="78">
        <f t="shared" si="41"/>
        <v>44163</v>
      </c>
      <c r="NV4" s="78">
        <f t="shared" si="41"/>
        <v>44164</v>
      </c>
      <c r="NW4" s="78" t="s">
        <v>291</v>
      </c>
      <c r="OM4" s="79"/>
      <c r="ON4" s="79"/>
      <c r="OO4" s="79"/>
      <c r="OP4" s="79"/>
      <c r="OQ4" s="79"/>
      <c r="OR4" s="79"/>
      <c r="OS4" s="79"/>
      <c r="OT4" s="79"/>
      <c r="OU4" s="79"/>
      <c r="OV4" s="79"/>
      <c r="OW4" s="79"/>
      <c r="OX4" s="79"/>
      <c r="OY4" s="79"/>
      <c r="OZ4" s="79"/>
      <c r="PA4" s="79"/>
      <c r="PB4" s="79"/>
      <c r="PC4" s="79"/>
      <c r="PD4" s="79"/>
      <c r="PE4" s="79"/>
      <c r="PF4" s="79"/>
      <c r="PG4" s="79"/>
      <c r="PH4" s="79"/>
      <c r="PI4" s="79"/>
      <c r="PJ4" s="79"/>
      <c r="PK4" s="79"/>
      <c r="PL4" s="79"/>
      <c r="PM4" s="79"/>
      <c r="PN4" s="79"/>
      <c r="PO4" s="79"/>
      <c r="PP4" s="79"/>
      <c r="PQ4" s="79"/>
      <c r="PR4" s="79"/>
      <c r="PS4" s="79"/>
      <c r="PT4" s="79"/>
      <c r="PU4" s="79"/>
      <c r="PV4" s="79"/>
      <c r="PW4" s="79"/>
      <c r="PX4" s="79"/>
      <c r="PY4" s="79"/>
      <c r="PZ4" s="79"/>
    </row>
    <row r="5" spans="1:15679" ht="15.75" x14ac:dyDescent="0.25">
      <c r="A5" s="592" t="s">
        <v>428</v>
      </c>
      <c r="B5" s="80"/>
      <c r="C5" s="81" t="s">
        <v>366</v>
      </c>
      <c r="D5" s="139" t="str">
        <f>IFERROR(VLOOKUP(D4,#REF!,13,FALSE),"")</f>
        <v/>
      </c>
      <c r="E5" s="139" t="str">
        <f>IFERROR(VLOOKUP(E4,#REF!,13,FALSE),"")</f>
        <v/>
      </c>
      <c r="F5" s="139" t="str">
        <f>IFERROR(VLOOKUP(F4,#REF!,13,FALSE),"")</f>
        <v/>
      </c>
      <c r="G5" s="139" t="str">
        <f>IFERROR(VLOOKUP(G4,#REF!,13,FALSE),"")</f>
        <v/>
      </c>
      <c r="H5" s="139" t="str">
        <f>IFERROR(VLOOKUP(H4,#REF!,13,FALSE),"")</f>
        <v/>
      </c>
      <c r="I5" s="139" t="str">
        <f>IFERROR(VLOOKUP(I4,#REF!,13,FALSE),"")</f>
        <v/>
      </c>
      <c r="J5" s="139" t="str">
        <f>IFERROR(VLOOKUP(J4,#REF!,13,FALSE),"")</f>
        <v/>
      </c>
      <c r="K5" s="139">
        <f>SUM(D5:J5)</f>
        <v>0</v>
      </c>
      <c r="L5" s="139" t="str">
        <f>IFERROR(VLOOKUP(L4,#REF!,13,FALSE),"")</f>
        <v/>
      </c>
      <c r="M5" s="139" t="str">
        <f>IFERROR(VLOOKUP(M4,#REF!,13,FALSE),"")</f>
        <v/>
      </c>
      <c r="N5" s="139" t="str">
        <f>IFERROR(VLOOKUP(N4,#REF!,13,FALSE),"")</f>
        <v/>
      </c>
      <c r="O5" s="139" t="str">
        <f>IFERROR(VLOOKUP(O4,#REF!,13,FALSE),"")</f>
        <v/>
      </c>
      <c r="P5" s="139" t="str">
        <f>IFERROR(VLOOKUP(P4,#REF!,13,FALSE),"")</f>
        <v/>
      </c>
      <c r="Q5" s="139" t="str">
        <f>IFERROR(VLOOKUP(Q4,#REF!,13,FALSE),"")</f>
        <v/>
      </c>
      <c r="R5" s="139" t="str">
        <f>IFERROR(VLOOKUP(R4,#REF!,13,FALSE),"")</f>
        <v/>
      </c>
      <c r="S5" s="139">
        <f>SUM(L5:R5)</f>
        <v>0</v>
      </c>
      <c r="T5" s="139" t="str">
        <f>IFERROR(VLOOKUP(T4,#REF!,13,FALSE),"")</f>
        <v/>
      </c>
      <c r="U5" s="139" t="str">
        <f>IFERROR(VLOOKUP(U4,#REF!,13,FALSE),"")</f>
        <v/>
      </c>
      <c r="V5" s="139" t="str">
        <f>IFERROR(VLOOKUP(V4,#REF!,13,FALSE),"")</f>
        <v/>
      </c>
      <c r="W5" s="139" t="str">
        <f>IFERROR(VLOOKUP(W4,#REF!,13,FALSE),"")</f>
        <v/>
      </c>
      <c r="X5" s="139" t="str">
        <f>IFERROR(VLOOKUP(X4,#REF!,13,FALSE),"")</f>
        <v/>
      </c>
      <c r="Y5" s="139" t="str">
        <f>IFERROR(VLOOKUP(Y4,#REF!,13,FALSE),"")</f>
        <v/>
      </c>
      <c r="Z5" s="139" t="str">
        <f>IFERROR(VLOOKUP(Z4,#REF!,13,FALSE),"")</f>
        <v/>
      </c>
      <c r="AA5" s="139">
        <f>SUM(T5:Z5)</f>
        <v>0</v>
      </c>
      <c r="AB5" s="139" t="str">
        <f>IFERROR(VLOOKUP(AB4,#REF!,13,FALSE),"")</f>
        <v/>
      </c>
      <c r="AC5" s="139" t="str">
        <f>IFERROR(VLOOKUP(AC4,#REF!,13,FALSE),"")</f>
        <v/>
      </c>
      <c r="AD5" s="139" t="str">
        <f>IFERROR(VLOOKUP(AD4,#REF!,13,FALSE),"")</f>
        <v/>
      </c>
      <c r="AE5" s="139" t="str">
        <f>IFERROR(VLOOKUP(AE4,#REF!,13,FALSE),"")</f>
        <v/>
      </c>
      <c r="AF5" s="139" t="str">
        <f>IFERROR(VLOOKUP(AF4,#REF!,13,FALSE),"")</f>
        <v/>
      </c>
      <c r="AG5" s="139" t="str">
        <f>IFERROR(VLOOKUP(AG4,#REF!,13,FALSE),"")</f>
        <v/>
      </c>
      <c r="AH5" s="139" t="str">
        <f>IFERROR(VLOOKUP(AH4,#REF!,13,FALSE),"")</f>
        <v/>
      </c>
      <c r="AI5" s="139">
        <f>SUM(AB5:AH5)</f>
        <v>0</v>
      </c>
      <c r="AJ5" s="139" t="str">
        <f>IFERROR(VLOOKUP(AJ4,#REF!,13,FALSE),"")</f>
        <v/>
      </c>
      <c r="AK5" s="139" t="str">
        <f>IFERROR(VLOOKUP(AK4,#REF!,13,FALSE),"")</f>
        <v/>
      </c>
      <c r="AL5" s="139" t="str">
        <f>IFERROR(VLOOKUP(AL4,#REF!,13,FALSE),"")</f>
        <v/>
      </c>
      <c r="AM5" s="139" t="str">
        <f>IFERROR(VLOOKUP(AM4,#REF!,13,FALSE),"")</f>
        <v/>
      </c>
      <c r="AN5" s="139" t="str">
        <f>IFERROR(VLOOKUP(AN4,#REF!,13,FALSE),"")</f>
        <v/>
      </c>
      <c r="AO5" s="139" t="str">
        <f>IFERROR(VLOOKUP(AO4,#REF!,13,FALSE),"")</f>
        <v/>
      </c>
      <c r="AP5" s="139" t="str">
        <f>IFERROR(VLOOKUP(AP4,#REF!,13,FALSE),"")</f>
        <v/>
      </c>
      <c r="AQ5" s="139">
        <f>SUM(AJ5:AP5)</f>
        <v>0</v>
      </c>
      <c r="AR5" s="139" t="str">
        <f>IFERROR(VLOOKUP(AR4,#REF!,13,FALSE),"")</f>
        <v/>
      </c>
      <c r="AS5" s="139" t="str">
        <f>IFERROR(VLOOKUP(AS4,#REF!,13,FALSE),"")</f>
        <v/>
      </c>
      <c r="AT5" s="139" t="str">
        <f>IFERROR(VLOOKUP(AT4,#REF!,13,FALSE),"")</f>
        <v/>
      </c>
      <c r="AU5" s="139" t="str">
        <f>IFERROR(VLOOKUP(AU4,#REF!,13,FALSE),"")</f>
        <v/>
      </c>
      <c r="AV5" s="139" t="str">
        <f>IFERROR(VLOOKUP(AV4,#REF!,13,FALSE),"")</f>
        <v/>
      </c>
      <c r="AW5" s="139" t="str">
        <f>IFERROR(VLOOKUP(AW4,#REF!,13,FALSE),"")</f>
        <v/>
      </c>
      <c r="AX5" s="139" t="str">
        <f>IFERROR(VLOOKUP(AX4,#REF!,13,FALSE),"")</f>
        <v/>
      </c>
      <c r="AY5" s="139">
        <f>SUM(AR5:AX5)</f>
        <v>0</v>
      </c>
      <c r="AZ5" s="139" t="str">
        <f>IFERROR(VLOOKUP(AZ4,#REF!,13,FALSE),"")</f>
        <v/>
      </c>
      <c r="BA5" s="139" t="str">
        <f>IFERROR(VLOOKUP(BA4,#REF!,13,FALSE),"")</f>
        <v/>
      </c>
      <c r="BB5" s="139" t="str">
        <f>IFERROR(VLOOKUP(BB4,#REF!,13,FALSE),"")</f>
        <v/>
      </c>
      <c r="BC5" s="139" t="str">
        <f>IFERROR(VLOOKUP(BC4,#REF!,13,FALSE),"")</f>
        <v/>
      </c>
      <c r="BD5" s="139" t="str">
        <f>IFERROR(VLOOKUP(BD4,#REF!,13,FALSE),"")</f>
        <v/>
      </c>
      <c r="BE5" s="139" t="str">
        <f>IFERROR(VLOOKUP(BE4,#REF!,13,FALSE),"")</f>
        <v/>
      </c>
      <c r="BF5" s="139" t="str">
        <f>IFERROR(VLOOKUP(BF4,#REF!,13,FALSE),"")</f>
        <v/>
      </c>
      <c r="BG5" s="139">
        <f>SUM(AZ5:BF5)</f>
        <v>0</v>
      </c>
      <c r="BH5" s="139" t="str">
        <f>IFERROR(VLOOKUP(BH4,#REF!,13,FALSE),"")</f>
        <v/>
      </c>
      <c r="BI5" s="139" t="str">
        <f>IFERROR(VLOOKUP(BI4,#REF!,13,FALSE),"")</f>
        <v/>
      </c>
      <c r="BJ5" s="139" t="str">
        <f>IFERROR(VLOOKUP(BJ4,#REF!,13,FALSE),"")</f>
        <v/>
      </c>
      <c r="BK5" s="139" t="str">
        <f>IFERROR(VLOOKUP(BK4,#REF!,13,FALSE),"")</f>
        <v/>
      </c>
      <c r="BL5" s="139" t="str">
        <f>IFERROR(VLOOKUP(BL4,#REF!,13,FALSE),"")</f>
        <v/>
      </c>
      <c r="BM5" s="139" t="str">
        <f>IFERROR(VLOOKUP(BM4,#REF!,13,FALSE),"")</f>
        <v/>
      </c>
      <c r="BN5" s="139" t="str">
        <f>IFERROR(VLOOKUP(BN4,#REF!,13,FALSE),"")</f>
        <v/>
      </c>
      <c r="BO5" s="139">
        <f>SUM(BH5:BN5)</f>
        <v>0</v>
      </c>
      <c r="BP5" s="139" t="str">
        <f>IFERROR(VLOOKUP(BP4,#REF!,13,FALSE),"")</f>
        <v/>
      </c>
      <c r="BQ5" s="139" t="str">
        <f>IFERROR(VLOOKUP(BQ4,#REF!,13,FALSE),"")</f>
        <v/>
      </c>
      <c r="BR5" s="139" t="str">
        <f>IFERROR(VLOOKUP(BR4,#REF!,13,FALSE),"")</f>
        <v/>
      </c>
      <c r="BS5" s="139" t="str">
        <f>IFERROR(VLOOKUP(BS4,#REF!,13,FALSE),"")</f>
        <v/>
      </c>
      <c r="BT5" s="139" t="str">
        <f>IFERROR(VLOOKUP(BT4,#REF!,13,FALSE),"")</f>
        <v/>
      </c>
      <c r="BU5" s="139" t="str">
        <f>IFERROR(VLOOKUP(BU4,#REF!,13,FALSE),"")</f>
        <v/>
      </c>
      <c r="BV5" s="139" t="str">
        <f>IFERROR(VLOOKUP(BV4,#REF!,13,FALSE),"")</f>
        <v/>
      </c>
      <c r="BW5" s="139">
        <f>SUM(BP5:BV5)</f>
        <v>0</v>
      </c>
      <c r="BX5" s="139" t="str">
        <f>IFERROR(VLOOKUP(BX4,#REF!,13,FALSE),"")</f>
        <v/>
      </c>
      <c r="BY5" s="139" t="str">
        <f>IFERROR(VLOOKUP(BY4,#REF!,13,FALSE),"")</f>
        <v/>
      </c>
      <c r="BZ5" s="139" t="str">
        <f>IFERROR(VLOOKUP(BZ4,#REF!,13,FALSE),"")</f>
        <v/>
      </c>
      <c r="CA5" s="139" t="str">
        <f>IFERROR(VLOOKUP(CA4,#REF!,13,FALSE),"")</f>
        <v/>
      </c>
      <c r="CB5" s="139" t="str">
        <f>IFERROR(VLOOKUP(CB4,#REF!,13,FALSE),"")</f>
        <v/>
      </c>
      <c r="CC5" s="139" t="str">
        <f>IFERROR(VLOOKUP(CC4,#REF!,13,FALSE),"")</f>
        <v/>
      </c>
      <c r="CD5" s="139" t="str">
        <f>IFERROR(VLOOKUP(CD4,#REF!,13,FALSE),"")</f>
        <v/>
      </c>
      <c r="CE5" s="139">
        <f>SUM(BX5:CD5)</f>
        <v>0</v>
      </c>
      <c r="CF5" s="139" t="str">
        <f>IFERROR(VLOOKUP(CF4,#REF!,13,FALSE),"")</f>
        <v/>
      </c>
      <c r="CG5" s="139" t="str">
        <f>IFERROR(VLOOKUP(CG4,#REF!,13,FALSE),"")</f>
        <v/>
      </c>
      <c r="CH5" s="139" t="str">
        <f>IFERROR(VLOOKUP(CH4,#REF!,13,FALSE),"")</f>
        <v/>
      </c>
      <c r="CI5" s="139" t="str">
        <f>IFERROR(VLOOKUP(CI4,#REF!,13,FALSE),"")</f>
        <v/>
      </c>
      <c r="CJ5" s="139" t="str">
        <f>IFERROR(VLOOKUP(CJ4,#REF!,13,FALSE),"")</f>
        <v/>
      </c>
      <c r="CK5" s="139" t="str">
        <f>IFERROR(VLOOKUP(CK4,#REF!,13,FALSE),"")</f>
        <v/>
      </c>
      <c r="CL5" s="139" t="str">
        <f>IFERROR(VLOOKUP(CL4,#REF!,13,FALSE),"")</f>
        <v/>
      </c>
      <c r="CM5" s="139">
        <f>SUM(CF5:CL5)</f>
        <v>0</v>
      </c>
      <c r="CN5" s="139" t="str">
        <f>IFERROR(VLOOKUP(CN4,#REF!,13,FALSE),"")</f>
        <v/>
      </c>
      <c r="CO5" s="139" t="str">
        <f>IFERROR(VLOOKUP(CO4,#REF!,13,FALSE),"")</f>
        <v/>
      </c>
      <c r="CP5" s="139" t="str">
        <f>IFERROR(VLOOKUP(CP4,#REF!,13,FALSE),"")</f>
        <v/>
      </c>
      <c r="CQ5" s="139" t="str">
        <f>IFERROR(VLOOKUP(CQ4,#REF!,13,FALSE),"")</f>
        <v/>
      </c>
      <c r="CR5" s="139" t="str">
        <f>IFERROR(VLOOKUP(CR4,#REF!,13,FALSE),"")</f>
        <v/>
      </c>
      <c r="CS5" s="139" t="str">
        <f>IFERROR(VLOOKUP(CS4,#REF!,13,FALSE),"")</f>
        <v/>
      </c>
      <c r="CT5" s="139" t="str">
        <f>IFERROR(VLOOKUP(CT4,#REF!,13,FALSE),"")</f>
        <v/>
      </c>
      <c r="CU5" s="139">
        <f>SUM(CN5:CT5)</f>
        <v>0</v>
      </c>
      <c r="CV5" s="139" t="str">
        <f>IFERROR(VLOOKUP(CV4,#REF!,13,FALSE),"")</f>
        <v/>
      </c>
      <c r="CW5" s="139" t="str">
        <f>IFERROR(VLOOKUP(CW4,#REF!,13,FALSE),"")</f>
        <v/>
      </c>
      <c r="CX5" s="139" t="str">
        <f>IFERROR(VLOOKUP(CX4,#REF!,13,FALSE),"")</f>
        <v/>
      </c>
      <c r="CY5" s="139" t="str">
        <f>IFERROR(VLOOKUP(CY4,#REF!,13,FALSE),"")</f>
        <v/>
      </c>
      <c r="CZ5" s="139" t="str">
        <f>IFERROR(VLOOKUP(CZ4,#REF!,13,FALSE),"")</f>
        <v/>
      </c>
      <c r="DA5" s="139" t="str">
        <f>IFERROR(VLOOKUP(DA4,#REF!,13,FALSE),"")</f>
        <v/>
      </c>
      <c r="DB5" s="139" t="str">
        <f>IFERROR(VLOOKUP(DB4,#REF!,13,FALSE),"")</f>
        <v/>
      </c>
      <c r="DC5" s="139">
        <f>SUM(CV5:DB5)</f>
        <v>0</v>
      </c>
      <c r="DD5" s="139" t="str">
        <f>IFERROR(VLOOKUP(DD4,#REF!,13,FALSE),"")</f>
        <v/>
      </c>
      <c r="DE5" s="139" t="str">
        <f>IFERROR(VLOOKUP(DE4,#REF!,13,FALSE),"")</f>
        <v/>
      </c>
      <c r="DF5" s="139" t="str">
        <f>IFERROR(VLOOKUP(DF4,#REF!,13,FALSE),"")</f>
        <v/>
      </c>
      <c r="DG5" s="139" t="str">
        <f>IFERROR(VLOOKUP(DG4,#REF!,13,FALSE),"")</f>
        <v/>
      </c>
      <c r="DH5" s="139" t="str">
        <f>IFERROR(VLOOKUP(DH4,#REF!,13,FALSE),"")</f>
        <v/>
      </c>
      <c r="DI5" s="139" t="str">
        <f>IFERROR(VLOOKUP(DI4,#REF!,13,FALSE),"")</f>
        <v/>
      </c>
      <c r="DJ5" s="139" t="str">
        <f>IFERROR(VLOOKUP(DJ4,#REF!,13,FALSE),"")</f>
        <v/>
      </c>
      <c r="DK5" s="139">
        <f>SUM(DD5:DJ5)</f>
        <v>0</v>
      </c>
      <c r="DL5" s="139" t="str">
        <f>IFERROR(VLOOKUP(DL4,#REF!,13,FALSE),"")</f>
        <v/>
      </c>
      <c r="DM5" s="139" t="str">
        <f>IFERROR(VLOOKUP(DM4,#REF!,13,FALSE),"")</f>
        <v/>
      </c>
      <c r="DN5" s="139" t="str">
        <f>IFERROR(VLOOKUP(DN4,#REF!,13,FALSE),"")</f>
        <v/>
      </c>
      <c r="DO5" s="139" t="str">
        <f>IFERROR(VLOOKUP(DO4,#REF!,13,FALSE),"")</f>
        <v/>
      </c>
      <c r="DP5" s="139" t="str">
        <f>IFERROR(VLOOKUP(DP4,#REF!,13,FALSE),"")</f>
        <v/>
      </c>
      <c r="DQ5" s="139" t="str">
        <f>IFERROR(VLOOKUP(DQ4,#REF!,13,FALSE),"")</f>
        <v/>
      </c>
      <c r="DR5" s="139" t="str">
        <f>IFERROR(VLOOKUP(DR4,#REF!,13,FALSE),"")</f>
        <v/>
      </c>
      <c r="DS5" s="139">
        <f>SUM(DL5:DR5)</f>
        <v>0</v>
      </c>
      <c r="DT5" s="139" t="str">
        <f>IFERROR(VLOOKUP(DT4,#REF!,13,FALSE),"")</f>
        <v/>
      </c>
      <c r="DU5" s="139" t="str">
        <f>IFERROR(VLOOKUP(DU4,#REF!,13,FALSE),"")</f>
        <v/>
      </c>
      <c r="DV5" s="139" t="str">
        <f>IFERROR(VLOOKUP(DV4,#REF!,13,FALSE),"")</f>
        <v/>
      </c>
      <c r="DW5" s="139" t="str">
        <f>IFERROR(VLOOKUP(DW4,#REF!,13,FALSE),"")</f>
        <v/>
      </c>
      <c r="DX5" s="139" t="str">
        <f>IFERROR(VLOOKUP(DX4,#REF!,13,FALSE),"")</f>
        <v/>
      </c>
      <c r="DY5" s="139" t="str">
        <f>IFERROR(VLOOKUP(DY4,#REF!,13,FALSE),"")</f>
        <v/>
      </c>
      <c r="DZ5" s="139" t="str">
        <f>IFERROR(VLOOKUP(DZ4,#REF!,13,FALSE),"")</f>
        <v/>
      </c>
      <c r="EA5" s="139">
        <f>SUM(DT5:DZ5)</f>
        <v>0</v>
      </c>
      <c r="EB5" s="139" t="str">
        <f>IFERROR(VLOOKUP(EB4,#REF!,13,FALSE),"")</f>
        <v/>
      </c>
      <c r="EC5" s="139" t="str">
        <f>IFERROR(VLOOKUP(EC4,#REF!,13,FALSE),"")</f>
        <v/>
      </c>
      <c r="ED5" s="139" t="str">
        <f>IFERROR(VLOOKUP(ED4,#REF!,13,FALSE),"")</f>
        <v/>
      </c>
      <c r="EE5" s="139" t="str">
        <f>IFERROR(VLOOKUP(EE4,#REF!,13,FALSE),"")</f>
        <v/>
      </c>
      <c r="EF5" s="139" t="str">
        <f>IFERROR(VLOOKUP(EF4,#REF!,13,FALSE),"")</f>
        <v/>
      </c>
      <c r="EG5" s="139" t="str">
        <f>IFERROR(VLOOKUP(EG4,#REF!,13,FALSE),"")</f>
        <v/>
      </c>
      <c r="EH5" s="139" t="str">
        <f>IFERROR(VLOOKUP(EH4,#REF!,13,FALSE),"")</f>
        <v/>
      </c>
      <c r="EI5" s="139">
        <f>SUM(EB5:EH5)</f>
        <v>0</v>
      </c>
      <c r="EJ5" s="139" t="str">
        <f>IFERROR(VLOOKUP(EJ4,#REF!,13,FALSE),"")</f>
        <v/>
      </c>
      <c r="EK5" s="139" t="str">
        <f>IFERROR(VLOOKUP(EK4,#REF!,13,FALSE),"")</f>
        <v/>
      </c>
      <c r="EL5" s="139" t="str">
        <f>IFERROR(VLOOKUP(EL4,#REF!,13,FALSE),"")</f>
        <v/>
      </c>
      <c r="EM5" s="139" t="str">
        <f>IFERROR(VLOOKUP(EM4,#REF!,13,FALSE),"")</f>
        <v/>
      </c>
      <c r="EN5" s="139" t="str">
        <f>IFERROR(VLOOKUP(EN4,#REF!,13,FALSE),"")</f>
        <v/>
      </c>
      <c r="EO5" s="139" t="str">
        <f>IFERROR(VLOOKUP(EO4,#REF!,13,FALSE),"")</f>
        <v/>
      </c>
      <c r="EP5" s="139" t="str">
        <f>IFERROR(VLOOKUP(EP4,#REF!,13,FALSE),"")</f>
        <v/>
      </c>
      <c r="EQ5" s="139">
        <f>SUM(EJ5:EP5)</f>
        <v>0</v>
      </c>
      <c r="ER5" s="139" t="str">
        <f>IFERROR(VLOOKUP(ER4,#REF!,13,FALSE),"")</f>
        <v/>
      </c>
      <c r="ES5" s="139" t="str">
        <f>IFERROR(VLOOKUP(ES4,#REF!,13,FALSE),"")</f>
        <v/>
      </c>
      <c r="ET5" s="139" t="str">
        <f>IFERROR(VLOOKUP(ET4,#REF!,13,FALSE),"")</f>
        <v/>
      </c>
      <c r="EU5" s="139" t="str">
        <f>IFERROR(VLOOKUP(EU4,#REF!,13,FALSE),"")</f>
        <v/>
      </c>
      <c r="EV5" s="139" t="str">
        <f>IFERROR(VLOOKUP(EV4,#REF!,13,FALSE),"")</f>
        <v/>
      </c>
      <c r="EW5" s="139" t="str">
        <f>IFERROR(VLOOKUP(EW4,#REF!,13,FALSE),"")</f>
        <v/>
      </c>
      <c r="EX5" s="139" t="str">
        <f>IFERROR(VLOOKUP(EX4,#REF!,13,FALSE),"")</f>
        <v/>
      </c>
      <c r="EY5" s="139">
        <f>SUM(ER5:EX5)</f>
        <v>0</v>
      </c>
      <c r="EZ5" s="139" t="str">
        <f>IFERROR(VLOOKUP(EZ4,#REF!,13,FALSE),"")</f>
        <v/>
      </c>
      <c r="FA5" s="139" t="str">
        <f>IFERROR(VLOOKUP(FA4,#REF!,13,FALSE),"")</f>
        <v/>
      </c>
      <c r="FB5" s="139" t="str">
        <f>IFERROR(VLOOKUP(FB4,#REF!,13,FALSE),"")</f>
        <v/>
      </c>
      <c r="FC5" s="139" t="str">
        <f>IFERROR(VLOOKUP(FC4,#REF!,13,FALSE),"")</f>
        <v/>
      </c>
      <c r="FD5" s="139" t="str">
        <f>IFERROR(VLOOKUP(FD4,#REF!,13,FALSE),"")</f>
        <v/>
      </c>
      <c r="FE5" s="139" t="str">
        <f>IFERROR(VLOOKUP(FE4,#REF!,13,FALSE),"")</f>
        <v/>
      </c>
      <c r="FF5" s="139" t="str">
        <f>IFERROR(VLOOKUP(FF4,#REF!,13,FALSE),"")</f>
        <v/>
      </c>
      <c r="FG5" s="139">
        <f>SUM(EZ5:FF5)</f>
        <v>0</v>
      </c>
      <c r="FH5" s="139" t="str">
        <f>IFERROR(VLOOKUP(FH4,#REF!,13,FALSE),"")</f>
        <v/>
      </c>
      <c r="FI5" s="139" t="str">
        <f>IFERROR(VLOOKUP(FI4,#REF!,13,FALSE),"")</f>
        <v/>
      </c>
      <c r="FJ5" s="139" t="str">
        <f>IFERROR(VLOOKUP(FJ4,#REF!,13,FALSE),"")</f>
        <v/>
      </c>
      <c r="FK5" s="139" t="str">
        <f>IFERROR(VLOOKUP(FK4,#REF!,13,FALSE),"")</f>
        <v/>
      </c>
      <c r="FL5" s="139" t="str">
        <f>IFERROR(VLOOKUP(FL4,#REF!,13,FALSE),"")</f>
        <v/>
      </c>
      <c r="FM5" s="139" t="str">
        <f>IFERROR(VLOOKUP(FM4,#REF!,13,FALSE),"")</f>
        <v/>
      </c>
      <c r="FN5" s="139" t="str">
        <f>IFERROR(VLOOKUP(FN4,#REF!,13,FALSE),"")</f>
        <v/>
      </c>
      <c r="FO5" s="139">
        <f>SUM(FH5:FN5)</f>
        <v>0</v>
      </c>
      <c r="FP5" s="139" t="str">
        <f>IFERROR(VLOOKUP(FP4,#REF!,13,FALSE),"")</f>
        <v/>
      </c>
      <c r="FQ5" s="139" t="str">
        <f>IFERROR(VLOOKUP(FQ4,#REF!,13,FALSE),"")</f>
        <v/>
      </c>
      <c r="FR5" s="139" t="str">
        <f>IFERROR(VLOOKUP(FR4,#REF!,13,FALSE),"")</f>
        <v/>
      </c>
      <c r="FS5" s="139" t="str">
        <f>IFERROR(VLOOKUP(FS4,#REF!,13,FALSE),"")</f>
        <v/>
      </c>
      <c r="FT5" s="139" t="str">
        <f>IFERROR(VLOOKUP(FT4,#REF!,13,FALSE),"")</f>
        <v/>
      </c>
      <c r="FU5" s="139" t="str">
        <f>IFERROR(VLOOKUP(FU4,#REF!,13,FALSE),"")</f>
        <v/>
      </c>
      <c r="FV5" s="139" t="str">
        <f>IFERROR(VLOOKUP(FV4,#REF!,13,FALSE),"")</f>
        <v/>
      </c>
      <c r="FW5" s="139">
        <f>SUM(FP5:FV5)</f>
        <v>0</v>
      </c>
      <c r="FX5" s="139" t="str">
        <f>IFERROR(VLOOKUP(FX4,#REF!,13,FALSE),"")</f>
        <v/>
      </c>
      <c r="FY5" s="139" t="str">
        <f>IFERROR(VLOOKUP(FY4,#REF!,13,FALSE),"")</f>
        <v/>
      </c>
      <c r="FZ5" s="139" t="str">
        <f>IFERROR(VLOOKUP(FZ4,#REF!,13,FALSE),"")</f>
        <v/>
      </c>
      <c r="GA5" s="139" t="str">
        <f>IFERROR(VLOOKUP(GA4,#REF!,13,FALSE),"")</f>
        <v/>
      </c>
      <c r="GB5" s="139" t="str">
        <f>IFERROR(VLOOKUP(GB4,#REF!,13,FALSE),"")</f>
        <v/>
      </c>
      <c r="GC5" s="139" t="str">
        <f>IFERROR(VLOOKUP(GC4,#REF!,13,FALSE),"")</f>
        <v/>
      </c>
      <c r="GD5" s="139" t="str">
        <f>IFERROR(VLOOKUP(GD4,#REF!,13,FALSE),"")</f>
        <v/>
      </c>
      <c r="GE5" s="139">
        <f>SUM(FX5:GD5)</f>
        <v>0</v>
      </c>
      <c r="GF5" s="139" t="str">
        <f>IFERROR(VLOOKUP(GF4,#REF!,13,FALSE),"")</f>
        <v/>
      </c>
      <c r="GG5" s="139" t="str">
        <f>IFERROR(VLOOKUP(GG4,#REF!,13,FALSE),"")</f>
        <v/>
      </c>
      <c r="GH5" s="139" t="str">
        <f>IFERROR(VLOOKUP(GH4,#REF!,13,FALSE),"")</f>
        <v/>
      </c>
      <c r="GI5" s="139" t="str">
        <f>IFERROR(VLOOKUP(GI4,#REF!,13,FALSE),"")</f>
        <v/>
      </c>
      <c r="GJ5" s="139" t="str">
        <f>IFERROR(VLOOKUP(GJ4,#REF!,13,FALSE),"")</f>
        <v/>
      </c>
      <c r="GK5" s="139" t="str">
        <f>IFERROR(VLOOKUP(GK4,#REF!,13,FALSE),"")</f>
        <v/>
      </c>
      <c r="GL5" s="139" t="str">
        <f>IFERROR(VLOOKUP(GL4,#REF!,13,FALSE),"")</f>
        <v/>
      </c>
      <c r="GM5" s="139">
        <f>SUM(GF5:GL5)</f>
        <v>0</v>
      </c>
      <c r="GN5" s="139" t="str">
        <f>IFERROR(VLOOKUP(GN4,#REF!,13,FALSE),"")</f>
        <v/>
      </c>
      <c r="GO5" s="139" t="str">
        <f>IFERROR(VLOOKUP(GO4,#REF!,13,FALSE),"")</f>
        <v/>
      </c>
      <c r="GP5" s="139" t="str">
        <f>IFERROR(VLOOKUP(GP4,#REF!,13,FALSE),"")</f>
        <v/>
      </c>
      <c r="GQ5" s="139" t="str">
        <f>IFERROR(VLOOKUP(GQ4,#REF!,13,FALSE),"")</f>
        <v/>
      </c>
      <c r="GR5" s="139" t="str">
        <f>IFERROR(VLOOKUP(GR4,#REF!,13,FALSE),"")</f>
        <v/>
      </c>
      <c r="GS5" s="139" t="str">
        <f>IFERROR(VLOOKUP(GS4,#REF!,13,FALSE),"")</f>
        <v/>
      </c>
      <c r="GT5" s="139" t="str">
        <f>IFERROR(VLOOKUP(GT4,#REF!,13,FALSE),"")</f>
        <v/>
      </c>
      <c r="GU5" s="139">
        <f>SUM(GN5:GT5)</f>
        <v>0</v>
      </c>
      <c r="GV5" s="139" t="str">
        <f>IFERROR(VLOOKUP(GV4,#REF!,13,FALSE),"")</f>
        <v/>
      </c>
      <c r="GW5" s="139" t="str">
        <f>IFERROR(VLOOKUP(GW4,#REF!,13,FALSE),"")</f>
        <v/>
      </c>
      <c r="GX5" s="139" t="str">
        <f>IFERROR(VLOOKUP(GX4,#REF!,13,FALSE),"")</f>
        <v/>
      </c>
      <c r="GY5" s="139" t="str">
        <f>IFERROR(VLOOKUP(GY4,#REF!,13,FALSE),"")</f>
        <v/>
      </c>
      <c r="GZ5" s="139" t="str">
        <f>IFERROR(VLOOKUP(GZ4,#REF!,13,FALSE),"")</f>
        <v/>
      </c>
      <c r="HA5" s="139" t="str">
        <f>IFERROR(VLOOKUP(HA4,#REF!,13,FALSE),"")</f>
        <v/>
      </c>
      <c r="HB5" s="139" t="str">
        <f>IFERROR(VLOOKUP(HB4,#REF!,13,FALSE),"")</f>
        <v/>
      </c>
      <c r="HC5" s="139">
        <f>SUM(GV5:HB5)</f>
        <v>0</v>
      </c>
      <c r="HD5" s="139" t="str">
        <f>IFERROR(VLOOKUP(HD4,#REF!,13,FALSE),"")</f>
        <v/>
      </c>
      <c r="HE5" s="139" t="str">
        <f>IFERROR(VLOOKUP(HE4,#REF!,13,FALSE),"")</f>
        <v/>
      </c>
      <c r="HF5" s="139" t="str">
        <f>IFERROR(VLOOKUP(HF4,#REF!,13,FALSE),"")</f>
        <v/>
      </c>
      <c r="HG5" s="139" t="str">
        <f>IFERROR(VLOOKUP(HG4,#REF!,13,FALSE),"")</f>
        <v/>
      </c>
      <c r="HH5" s="139" t="str">
        <f>IFERROR(VLOOKUP(HH4,#REF!,13,FALSE),"")</f>
        <v/>
      </c>
      <c r="HI5" s="139" t="str">
        <f>IFERROR(VLOOKUP(HI4,#REF!,13,FALSE),"")</f>
        <v/>
      </c>
      <c r="HJ5" s="139" t="str">
        <f>IFERROR(VLOOKUP(HJ4,#REF!,13,FALSE),"")</f>
        <v/>
      </c>
      <c r="HK5" s="139">
        <f>SUM(HD5:HJ5)</f>
        <v>0</v>
      </c>
      <c r="HL5" s="139" t="str">
        <f>IFERROR(VLOOKUP(HL4,#REF!,13,FALSE),"")</f>
        <v/>
      </c>
      <c r="HM5" s="139" t="str">
        <f>IFERROR(VLOOKUP(HM4,#REF!,13,FALSE),"")</f>
        <v/>
      </c>
      <c r="HN5" s="139" t="str">
        <f>IFERROR(VLOOKUP(HN4,#REF!,13,FALSE),"")</f>
        <v/>
      </c>
      <c r="HO5" s="139" t="str">
        <f>IFERROR(VLOOKUP(HO4,#REF!,13,FALSE),"")</f>
        <v/>
      </c>
      <c r="HP5" s="139" t="str">
        <f>IFERROR(VLOOKUP(HP4,#REF!,13,FALSE),"")</f>
        <v/>
      </c>
      <c r="HQ5" s="139" t="str">
        <f>IFERROR(VLOOKUP(HQ4,#REF!,13,FALSE),"")</f>
        <v/>
      </c>
      <c r="HR5" s="139" t="str">
        <f>IFERROR(VLOOKUP(HR4,#REF!,13,FALSE),"")</f>
        <v/>
      </c>
      <c r="HS5" s="139">
        <f>SUM(HL5:HR5)</f>
        <v>0</v>
      </c>
      <c r="HT5" s="139" t="str">
        <f>IFERROR(VLOOKUP(HT4,#REF!,13,FALSE),"")</f>
        <v/>
      </c>
      <c r="HU5" s="139" t="str">
        <f>IFERROR(VLOOKUP(HU4,#REF!,13,FALSE),"")</f>
        <v/>
      </c>
      <c r="HV5" s="139" t="str">
        <f>IFERROR(VLOOKUP(HV4,#REF!,13,FALSE),"")</f>
        <v/>
      </c>
      <c r="HW5" s="139" t="str">
        <f>IFERROR(VLOOKUP(HW4,#REF!,13,FALSE),"")</f>
        <v/>
      </c>
      <c r="HX5" s="139" t="str">
        <f>IFERROR(VLOOKUP(HX4,#REF!,13,FALSE),"")</f>
        <v/>
      </c>
      <c r="HY5" s="139" t="str">
        <f>IFERROR(VLOOKUP(HY4,#REF!,13,FALSE),"")</f>
        <v/>
      </c>
      <c r="HZ5" s="139" t="str">
        <f>IFERROR(VLOOKUP(HZ4,#REF!,13,FALSE),"")</f>
        <v/>
      </c>
      <c r="IA5" s="139">
        <f>SUM(HT5:HZ5)</f>
        <v>0</v>
      </c>
      <c r="IB5" s="139" t="str">
        <f>IFERROR(VLOOKUP(IB4,#REF!,13,FALSE),"")</f>
        <v/>
      </c>
      <c r="IC5" s="139" t="str">
        <f>IFERROR(VLOOKUP(IC4,#REF!,13,FALSE),"")</f>
        <v/>
      </c>
      <c r="ID5" s="139" t="str">
        <f>IFERROR(VLOOKUP(ID4,#REF!,13,FALSE),"")</f>
        <v/>
      </c>
      <c r="IE5" s="139" t="str">
        <f>IFERROR(VLOOKUP(IE4,#REF!,13,FALSE),"")</f>
        <v/>
      </c>
      <c r="IF5" s="139" t="str">
        <f>IFERROR(VLOOKUP(IF4,#REF!,13,FALSE),"")</f>
        <v/>
      </c>
      <c r="IG5" s="139" t="str">
        <f>IFERROR(VLOOKUP(IG4,#REF!,13,FALSE),"")</f>
        <v/>
      </c>
      <c r="IH5" s="139" t="str">
        <f>IFERROR(VLOOKUP(IH4,#REF!,13,FALSE),"")</f>
        <v/>
      </c>
      <c r="II5" s="139">
        <f>SUM(IB5:IH5)</f>
        <v>0</v>
      </c>
      <c r="IJ5" s="139" t="str">
        <f>IFERROR(VLOOKUP(IJ4,#REF!,13,FALSE),"")</f>
        <v/>
      </c>
      <c r="IK5" s="139" t="str">
        <f>IFERROR(VLOOKUP(IK4,#REF!,13,FALSE),"")</f>
        <v/>
      </c>
      <c r="IL5" s="139" t="str">
        <f>IFERROR(VLOOKUP(IL4,#REF!,13,FALSE),"")</f>
        <v/>
      </c>
      <c r="IM5" s="139" t="str">
        <f>IFERROR(VLOOKUP(IM4,#REF!,13,FALSE),"")</f>
        <v/>
      </c>
      <c r="IN5" s="139" t="str">
        <f>IFERROR(VLOOKUP(IN4,#REF!,13,FALSE),"")</f>
        <v/>
      </c>
      <c r="IO5" s="139" t="str">
        <f>IFERROR(VLOOKUP(IO4,#REF!,13,FALSE),"")</f>
        <v/>
      </c>
      <c r="IP5" s="139" t="str">
        <f>IFERROR(VLOOKUP(IP4,#REF!,13,FALSE),"")</f>
        <v/>
      </c>
      <c r="IQ5" s="139">
        <f>SUM(IJ5:IP5)</f>
        <v>0</v>
      </c>
      <c r="IR5" s="139" t="str">
        <f>IFERROR(VLOOKUP(IR4,#REF!,13,FALSE),"")</f>
        <v/>
      </c>
      <c r="IS5" s="139" t="str">
        <f>IFERROR(VLOOKUP(IS4,#REF!,13,FALSE),"")</f>
        <v/>
      </c>
      <c r="IT5" s="139" t="str">
        <f>IFERROR(VLOOKUP(IT4,#REF!,13,FALSE),"")</f>
        <v/>
      </c>
      <c r="IU5" s="139" t="str">
        <f>IFERROR(VLOOKUP(IU4,#REF!,13,FALSE),"")</f>
        <v/>
      </c>
      <c r="IV5" s="139" t="str">
        <f>IFERROR(VLOOKUP(IV4,#REF!,13,FALSE),"")</f>
        <v/>
      </c>
      <c r="IW5" s="139" t="str">
        <f>IFERROR(VLOOKUP(IW4,#REF!,13,FALSE),"")</f>
        <v/>
      </c>
      <c r="IX5" s="139" t="str">
        <f>IFERROR(VLOOKUP(IX4,#REF!,13,FALSE),"")</f>
        <v/>
      </c>
      <c r="IY5" s="139">
        <f>SUM(IR5:IX5)</f>
        <v>0</v>
      </c>
      <c r="IZ5" s="139" t="str">
        <f>IFERROR(VLOOKUP(IZ4,#REF!,13,FALSE),"")</f>
        <v/>
      </c>
      <c r="JA5" s="139" t="str">
        <f>IFERROR(VLOOKUP(JA4,#REF!,13,FALSE),"")</f>
        <v/>
      </c>
      <c r="JB5" s="139" t="str">
        <f>IFERROR(VLOOKUP(JB4,#REF!,13,FALSE),"")</f>
        <v/>
      </c>
      <c r="JC5" s="139" t="str">
        <f>IFERROR(VLOOKUP(JC4,#REF!,13,FALSE),"")</f>
        <v/>
      </c>
      <c r="JD5" s="139" t="str">
        <f>IFERROR(VLOOKUP(JD4,#REF!,13,FALSE),"")</f>
        <v/>
      </c>
      <c r="JE5" s="139" t="str">
        <f>IFERROR(VLOOKUP(JE4,#REF!,13,FALSE),"")</f>
        <v/>
      </c>
      <c r="JF5" s="139" t="str">
        <f>IFERROR(VLOOKUP(JF4,#REF!,13,FALSE),"")</f>
        <v/>
      </c>
      <c r="JG5" s="139">
        <f>SUM(IZ5:JF5)</f>
        <v>0</v>
      </c>
      <c r="JH5" s="139" t="str">
        <f>IFERROR(VLOOKUP(JH4,#REF!,13,FALSE),"")</f>
        <v/>
      </c>
      <c r="JI5" s="139" t="str">
        <f>IFERROR(VLOOKUP(JI4,#REF!,13,FALSE),"")</f>
        <v/>
      </c>
      <c r="JJ5" s="139" t="str">
        <f>IFERROR(VLOOKUP(JJ4,#REF!,13,FALSE),"")</f>
        <v/>
      </c>
      <c r="JK5" s="139" t="str">
        <f>IFERROR(VLOOKUP(JK4,#REF!,13,FALSE),"")</f>
        <v/>
      </c>
      <c r="JL5" s="139" t="str">
        <f>IFERROR(VLOOKUP(JL4,#REF!,13,FALSE),"")</f>
        <v/>
      </c>
      <c r="JM5" s="139" t="str">
        <f>IFERROR(VLOOKUP(JM4,#REF!,13,FALSE),"")</f>
        <v/>
      </c>
      <c r="JN5" s="139" t="str">
        <f>IFERROR(VLOOKUP(JN4,#REF!,13,FALSE),"")</f>
        <v/>
      </c>
      <c r="JO5" s="139">
        <f>SUM(JH5:JN5)</f>
        <v>0</v>
      </c>
      <c r="JP5" s="139" t="str">
        <f>IFERROR(VLOOKUP(JP4,#REF!,13,FALSE),"")</f>
        <v/>
      </c>
      <c r="JQ5" s="139" t="str">
        <f>IFERROR(VLOOKUP(JQ4,#REF!,13,FALSE),"")</f>
        <v/>
      </c>
      <c r="JR5" s="139" t="str">
        <f>IFERROR(VLOOKUP(JR4,#REF!,13,FALSE),"")</f>
        <v/>
      </c>
      <c r="JS5" s="139" t="str">
        <f>IFERROR(VLOOKUP(JS4,#REF!,13,FALSE),"")</f>
        <v/>
      </c>
      <c r="JT5" s="139" t="str">
        <f>IFERROR(VLOOKUP(JT4,#REF!,13,FALSE),"")</f>
        <v/>
      </c>
      <c r="JU5" s="139" t="str">
        <f>IFERROR(VLOOKUP(JU4,#REF!,13,FALSE),"")</f>
        <v/>
      </c>
      <c r="JV5" s="139" t="str">
        <f>IFERROR(VLOOKUP(JV4,#REF!,13,FALSE),"")</f>
        <v/>
      </c>
      <c r="JW5" s="139">
        <f>SUM(JP5:JV5)</f>
        <v>0</v>
      </c>
      <c r="JX5" s="139" t="str">
        <f>IFERROR(VLOOKUP(JX4,#REF!,13,FALSE),"")</f>
        <v/>
      </c>
      <c r="JY5" s="139" t="str">
        <f>IFERROR(VLOOKUP(JY4,#REF!,13,FALSE),"")</f>
        <v/>
      </c>
      <c r="JZ5" s="139" t="str">
        <f>IFERROR(VLOOKUP(JZ4,#REF!,13,FALSE),"")</f>
        <v/>
      </c>
      <c r="KA5" s="139" t="str">
        <f>IFERROR(VLOOKUP(KA4,#REF!,13,FALSE),"")</f>
        <v/>
      </c>
      <c r="KB5" s="139" t="str">
        <f>IFERROR(VLOOKUP(KB4,#REF!,13,FALSE),"")</f>
        <v/>
      </c>
      <c r="KC5" s="139" t="str">
        <f>IFERROR(VLOOKUP(KC4,#REF!,13,FALSE),"")</f>
        <v/>
      </c>
      <c r="KD5" s="139" t="str">
        <f>IFERROR(VLOOKUP(KD4,#REF!,13,FALSE),"")</f>
        <v/>
      </c>
      <c r="KE5" s="139">
        <f>SUM(JX5:KD5)</f>
        <v>0</v>
      </c>
      <c r="KF5" s="139" t="str">
        <f>IFERROR(VLOOKUP(KF4,#REF!,13,FALSE),"")</f>
        <v/>
      </c>
      <c r="KG5" s="139" t="str">
        <f>IFERROR(VLOOKUP(KG4,#REF!,13,FALSE),"")</f>
        <v/>
      </c>
      <c r="KH5" s="139" t="str">
        <f>IFERROR(VLOOKUP(KH4,#REF!,13,FALSE),"")</f>
        <v/>
      </c>
      <c r="KI5" s="139" t="str">
        <f>IFERROR(VLOOKUP(KI4,#REF!,13,FALSE),"")</f>
        <v/>
      </c>
      <c r="KJ5" s="139" t="str">
        <f>IFERROR(VLOOKUP(KJ4,#REF!,13,FALSE),"")</f>
        <v/>
      </c>
      <c r="KK5" s="139" t="str">
        <f>IFERROR(VLOOKUP(KK4,#REF!,13,FALSE),"")</f>
        <v/>
      </c>
      <c r="KL5" s="139" t="str">
        <f>IFERROR(VLOOKUP(KL4,#REF!,13,FALSE),"")</f>
        <v/>
      </c>
      <c r="KM5" s="139">
        <f>SUM(KF5:KL5)</f>
        <v>0</v>
      </c>
      <c r="KN5" s="139" t="str">
        <f>IFERROR(VLOOKUP(KN4,#REF!,13,FALSE),"")</f>
        <v/>
      </c>
      <c r="KO5" s="139" t="str">
        <f>IFERROR(VLOOKUP(KO4,#REF!,13,FALSE),"")</f>
        <v/>
      </c>
      <c r="KP5" s="139" t="str">
        <f>IFERROR(VLOOKUP(KP4,#REF!,13,FALSE),"")</f>
        <v/>
      </c>
      <c r="KQ5" s="139" t="str">
        <f>IFERROR(VLOOKUP(KQ4,#REF!,13,FALSE),"")</f>
        <v/>
      </c>
      <c r="KR5" s="139" t="str">
        <f>IFERROR(VLOOKUP(KR4,#REF!,13,FALSE),"")</f>
        <v/>
      </c>
      <c r="KS5" s="139" t="str">
        <f>IFERROR(VLOOKUP(KS4,#REF!,13,FALSE),"")</f>
        <v/>
      </c>
      <c r="KT5" s="139" t="str">
        <f>IFERROR(VLOOKUP(KT4,#REF!,13,FALSE),"")</f>
        <v/>
      </c>
      <c r="KU5" s="139">
        <f>SUM(KN5:KT5)</f>
        <v>0</v>
      </c>
      <c r="KV5" s="139" t="str">
        <f>IFERROR(VLOOKUP(KV4,#REF!,13,FALSE),"")</f>
        <v/>
      </c>
      <c r="KW5" s="139" t="str">
        <f>IFERROR(VLOOKUP(KW4,#REF!,13,FALSE),"")</f>
        <v/>
      </c>
      <c r="KX5" s="139" t="str">
        <f>IFERROR(VLOOKUP(KX4,#REF!,13,FALSE),"")</f>
        <v/>
      </c>
      <c r="KY5" s="139" t="str">
        <f>IFERROR(VLOOKUP(KY4,#REF!,13,FALSE),"")</f>
        <v/>
      </c>
      <c r="KZ5" s="139" t="str">
        <f>IFERROR(VLOOKUP(KZ4,#REF!,13,FALSE),"")</f>
        <v/>
      </c>
      <c r="LA5" s="139" t="str">
        <f>IFERROR(VLOOKUP(LA4,#REF!,13,FALSE),"")</f>
        <v/>
      </c>
      <c r="LB5" s="139" t="str">
        <f>IFERROR(VLOOKUP(LB4,#REF!,13,FALSE),"")</f>
        <v/>
      </c>
      <c r="LC5" s="139">
        <f>SUM(KV5:LB5)</f>
        <v>0</v>
      </c>
      <c r="LD5" s="139" t="str">
        <f>IFERROR(VLOOKUP(LD4,#REF!,13,FALSE),"")</f>
        <v/>
      </c>
      <c r="LE5" s="139" t="str">
        <f>IFERROR(VLOOKUP(LE4,#REF!,13,FALSE),"")</f>
        <v/>
      </c>
      <c r="LF5" s="139" t="str">
        <f>IFERROR(VLOOKUP(LF4,#REF!,13,FALSE),"")</f>
        <v/>
      </c>
      <c r="LG5" s="139" t="str">
        <f>IFERROR(VLOOKUP(LG4,#REF!,13,FALSE),"")</f>
        <v/>
      </c>
      <c r="LH5" s="139" t="str">
        <f>IFERROR(VLOOKUP(LH4,#REF!,13,FALSE),"")</f>
        <v/>
      </c>
      <c r="LI5" s="139" t="str">
        <f>IFERROR(VLOOKUP(LI4,#REF!,13,FALSE),"")</f>
        <v/>
      </c>
      <c r="LJ5" s="139" t="str">
        <f>IFERROR(VLOOKUP(LJ4,#REF!,13,FALSE),"")</f>
        <v/>
      </c>
      <c r="LK5" s="139">
        <f>SUM(LD5:LJ5)</f>
        <v>0</v>
      </c>
      <c r="LL5" s="139" t="str">
        <f>IFERROR(VLOOKUP(LL4,#REF!,13,FALSE),"")</f>
        <v/>
      </c>
      <c r="LM5" s="139" t="str">
        <f>IFERROR(VLOOKUP(LM4,#REF!,13,FALSE),"")</f>
        <v/>
      </c>
      <c r="LN5" s="139" t="str">
        <f>IFERROR(VLOOKUP(LN4,#REF!,13,FALSE),"")</f>
        <v/>
      </c>
      <c r="LO5" s="139" t="str">
        <f>IFERROR(VLOOKUP(LO4,#REF!,13,FALSE),"")</f>
        <v/>
      </c>
      <c r="LP5" s="139" t="str">
        <f>IFERROR(VLOOKUP(LP4,#REF!,13,FALSE),"")</f>
        <v/>
      </c>
      <c r="LQ5" s="139" t="str">
        <f>IFERROR(VLOOKUP(LQ4,#REF!,13,FALSE),"")</f>
        <v/>
      </c>
      <c r="LR5" s="139" t="str">
        <f>IFERROR(VLOOKUP(LR4,#REF!,13,FALSE),"")</f>
        <v/>
      </c>
      <c r="LS5" s="139">
        <f>SUM(LL5:LR5)</f>
        <v>0</v>
      </c>
      <c r="LT5" s="139" t="str">
        <f>IFERROR(VLOOKUP(LT4,#REF!,13,FALSE),"")</f>
        <v/>
      </c>
      <c r="LU5" s="139" t="str">
        <f>IFERROR(VLOOKUP(LU4,#REF!,13,FALSE),"")</f>
        <v/>
      </c>
      <c r="LV5" s="139" t="str">
        <f>IFERROR(VLOOKUP(LV4,#REF!,13,FALSE),"")</f>
        <v/>
      </c>
      <c r="LW5" s="139" t="str">
        <f>IFERROR(VLOOKUP(LW4,#REF!,13,FALSE),"")</f>
        <v/>
      </c>
      <c r="LX5" s="139" t="str">
        <f>IFERROR(VLOOKUP(LX4,#REF!,13,FALSE),"")</f>
        <v/>
      </c>
      <c r="LY5" s="139" t="str">
        <f>IFERROR(VLOOKUP(LY4,#REF!,13,FALSE),"")</f>
        <v/>
      </c>
      <c r="LZ5" s="139" t="str">
        <f>IFERROR(VLOOKUP(LZ4,#REF!,13,FALSE),"")</f>
        <v/>
      </c>
      <c r="MA5" s="139">
        <f>SUM(LT5:LZ5)</f>
        <v>0</v>
      </c>
      <c r="MB5" s="139" t="str">
        <f>IFERROR(VLOOKUP(MB4,#REF!,13,FALSE),"")</f>
        <v/>
      </c>
      <c r="MC5" s="139" t="str">
        <f>IFERROR(VLOOKUP(MC4,#REF!,13,FALSE),"")</f>
        <v/>
      </c>
      <c r="MD5" s="139" t="str">
        <f>IFERROR(VLOOKUP(MD4,#REF!,13,FALSE),"")</f>
        <v/>
      </c>
      <c r="ME5" s="139" t="str">
        <f>IFERROR(VLOOKUP(ME4,#REF!,13,FALSE),"")</f>
        <v/>
      </c>
      <c r="MF5" s="139" t="str">
        <f>IFERROR(VLOOKUP(MF4,#REF!,13,FALSE),"")</f>
        <v/>
      </c>
      <c r="MG5" s="139" t="str">
        <f>IFERROR(VLOOKUP(MG4,#REF!,13,FALSE),"")</f>
        <v/>
      </c>
      <c r="MH5" s="139" t="str">
        <f>IFERROR(VLOOKUP(MH4,#REF!,13,FALSE),"")</f>
        <v/>
      </c>
      <c r="MI5" s="139">
        <f>SUM(MB5:MH5)</f>
        <v>0</v>
      </c>
      <c r="MJ5" s="139" t="str">
        <f>IFERROR(VLOOKUP(MJ4,#REF!,13,FALSE),"")</f>
        <v/>
      </c>
      <c r="MK5" s="139" t="str">
        <f>IFERROR(VLOOKUP(MK4,#REF!,13,FALSE),"")</f>
        <v/>
      </c>
      <c r="ML5" s="139" t="str">
        <f>IFERROR(VLOOKUP(ML4,#REF!,13,FALSE),"")</f>
        <v/>
      </c>
      <c r="MM5" s="139" t="str">
        <f>IFERROR(VLOOKUP(MM4,#REF!,13,FALSE),"")</f>
        <v/>
      </c>
      <c r="MN5" s="139" t="str">
        <f>IFERROR(VLOOKUP(MN4,#REF!,13,FALSE),"")</f>
        <v/>
      </c>
      <c r="MO5" s="139" t="str">
        <f>IFERROR(VLOOKUP(MO4,#REF!,13,FALSE),"")</f>
        <v/>
      </c>
      <c r="MP5" s="139" t="str">
        <f>IFERROR(VLOOKUP(MP4,#REF!,13,FALSE),"")</f>
        <v/>
      </c>
      <c r="MQ5" s="139">
        <f>SUM(MJ5:MP5)</f>
        <v>0</v>
      </c>
      <c r="MR5" s="139" t="str">
        <f>IFERROR(VLOOKUP(MR4,#REF!,13,FALSE),"")</f>
        <v/>
      </c>
      <c r="MS5" s="139" t="str">
        <f>IFERROR(VLOOKUP(MS4,#REF!,13,FALSE),"")</f>
        <v/>
      </c>
      <c r="MT5" s="139" t="str">
        <f>IFERROR(VLOOKUP(MT4,#REF!,13,FALSE),"")</f>
        <v/>
      </c>
      <c r="MU5" s="139" t="str">
        <f>IFERROR(VLOOKUP(MU4,#REF!,13,FALSE),"")</f>
        <v/>
      </c>
      <c r="MV5" s="139" t="str">
        <f>IFERROR(VLOOKUP(MV4,#REF!,13,FALSE),"")</f>
        <v/>
      </c>
      <c r="MW5" s="139" t="str">
        <f>IFERROR(VLOOKUP(MW4,#REF!,13,FALSE),"")</f>
        <v/>
      </c>
      <c r="MX5" s="139" t="str">
        <f>IFERROR(VLOOKUP(MX4,#REF!,13,FALSE),"")</f>
        <v/>
      </c>
      <c r="MY5" s="139">
        <f>SUM(MR5:MX5)</f>
        <v>0</v>
      </c>
      <c r="MZ5" s="139" t="str">
        <f>IFERROR(VLOOKUP(MZ4,#REF!,13,FALSE),"")</f>
        <v/>
      </c>
      <c r="NA5" s="139" t="str">
        <f>IFERROR(VLOOKUP(NA4,#REF!,13,FALSE),"")</f>
        <v/>
      </c>
      <c r="NB5" s="139" t="str">
        <f>IFERROR(VLOOKUP(NB4,#REF!,13,FALSE),"")</f>
        <v/>
      </c>
      <c r="NC5" s="139" t="str">
        <f>IFERROR(VLOOKUP(NC4,#REF!,13,FALSE),"")</f>
        <v/>
      </c>
      <c r="ND5" s="139" t="str">
        <f>IFERROR(VLOOKUP(ND4,#REF!,13,FALSE),"")</f>
        <v/>
      </c>
      <c r="NE5" s="139" t="str">
        <f>IFERROR(VLOOKUP(NE4,#REF!,13,FALSE),"")</f>
        <v/>
      </c>
      <c r="NF5" s="139" t="str">
        <f>IFERROR(VLOOKUP(NF4,#REF!,13,FALSE),"")</f>
        <v/>
      </c>
      <c r="NG5" s="139">
        <f>SUM(MZ5:NF5)</f>
        <v>0</v>
      </c>
      <c r="NH5" s="139" t="str">
        <f>IFERROR(VLOOKUP(NH4,#REF!,13,FALSE),"")</f>
        <v/>
      </c>
      <c r="NI5" s="139" t="str">
        <f>IFERROR(VLOOKUP(NI4,#REF!,13,FALSE),"")</f>
        <v/>
      </c>
      <c r="NJ5" s="139" t="str">
        <f>IFERROR(VLOOKUP(NJ4,#REF!,13,FALSE),"")</f>
        <v/>
      </c>
      <c r="NK5" s="139" t="str">
        <f>IFERROR(VLOOKUP(NK4,#REF!,13,FALSE),"")</f>
        <v/>
      </c>
      <c r="NL5" s="139" t="str">
        <f>IFERROR(VLOOKUP(NL4,#REF!,13,FALSE),"")</f>
        <v/>
      </c>
      <c r="NM5" s="139" t="str">
        <f>IFERROR(VLOOKUP(NM4,#REF!,13,FALSE),"")</f>
        <v/>
      </c>
      <c r="NN5" s="139" t="str">
        <f>IFERROR(VLOOKUP(NN4,#REF!,13,FALSE),"")</f>
        <v/>
      </c>
      <c r="NO5" s="139">
        <f>SUM(NH5:NN5)</f>
        <v>0</v>
      </c>
      <c r="NP5" s="139" t="str">
        <f>IFERROR(VLOOKUP(NP4,#REF!,13,FALSE),"")</f>
        <v/>
      </c>
      <c r="NQ5" s="139" t="str">
        <f>IFERROR(VLOOKUP(NQ4,#REF!,13,FALSE),"")</f>
        <v/>
      </c>
      <c r="NR5" s="139" t="str">
        <f>IFERROR(VLOOKUP(NR4,#REF!,13,FALSE),"")</f>
        <v/>
      </c>
      <c r="NS5" s="139" t="str">
        <f>IFERROR(VLOOKUP(NS4,#REF!,13,FALSE),"")</f>
        <v/>
      </c>
      <c r="NT5" s="139" t="str">
        <f>IFERROR(VLOOKUP(NT4,#REF!,13,FALSE),"")</f>
        <v/>
      </c>
      <c r="NU5" s="139" t="str">
        <f>IFERROR(VLOOKUP(NU4,#REF!,13,FALSE),"")</f>
        <v/>
      </c>
      <c r="NV5" s="139" t="str">
        <f>IFERROR(VLOOKUP(NV4,#REF!,13,FALSE),"")</f>
        <v/>
      </c>
      <c r="NW5" s="139">
        <f>SUM(NP5:NV5)</f>
        <v>0</v>
      </c>
    </row>
    <row r="6" spans="1:15679" s="32" customFormat="1" ht="16.5" thickBot="1" x14ac:dyDescent="0.3">
      <c r="A6" s="593"/>
      <c r="B6" s="80"/>
      <c r="C6" s="82" t="s">
        <v>446</v>
      </c>
      <c r="D6" s="139">
        <v>900</v>
      </c>
      <c r="E6" s="139">
        <v>900</v>
      </c>
      <c r="F6" s="139">
        <v>900</v>
      </c>
      <c r="G6" s="139">
        <v>900</v>
      </c>
      <c r="H6" s="139">
        <v>900</v>
      </c>
      <c r="I6" s="139">
        <v>900</v>
      </c>
      <c r="J6" s="139">
        <v>900</v>
      </c>
      <c r="K6" s="139">
        <v>900</v>
      </c>
      <c r="L6" s="139">
        <v>900</v>
      </c>
      <c r="M6" s="139">
        <v>900</v>
      </c>
      <c r="N6" s="139">
        <v>900</v>
      </c>
      <c r="O6" s="139">
        <v>900</v>
      </c>
      <c r="P6" s="139">
        <v>900</v>
      </c>
      <c r="Q6" s="139">
        <v>900</v>
      </c>
      <c r="R6" s="139">
        <v>900</v>
      </c>
      <c r="S6" s="139">
        <v>900</v>
      </c>
      <c r="T6" s="139">
        <v>900</v>
      </c>
      <c r="U6" s="139">
        <v>900</v>
      </c>
      <c r="V6" s="139">
        <v>900</v>
      </c>
      <c r="W6" s="139">
        <v>900</v>
      </c>
      <c r="X6" s="139">
        <v>900</v>
      </c>
      <c r="Y6" s="139">
        <v>900</v>
      </c>
      <c r="Z6" s="139">
        <v>900</v>
      </c>
      <c r="AA6" s="139">
        <v>900</v>
      </c>
      <c r="AB6" s="139">
        <v>900</v>
      </c>
      <c r="AC6" s="139">
        <v>900</v>
      </c>
      <c r="AD6" s="139">
        <v>900</v>
      </c>
      <c r="AE6" s="139">
        <v>900</v>
      </c>
      <c r="AF6" s="139">
        <v>900</v>
      </c>
      <c r="AG6" s="139">
        <v>900</v>
      </c>
      <c r="AH6" s="139">
        <v>900</v>
      </c>
      <c r="AI6" s="139">
        <v>900</v>
      </c>
      <c r="AJ6" s="139">
        <v>900</v>
      </c>
      <c r="AK6" s="139">
        <v>900</v>
      </c>
      <c r="AL6" s="139">
        <v>900</v>
      </c>
      <c r="AM6" s="139">
        <v>900</v>
      </c>
      <c r="AN6" s="139">
        <v>900</v>
      </c>
      <c r="AO6" s="139">
        <v>900</v>
      </c>
      <c r="AP6" s="139">
        <v>900</v>
      </c>
      <c r="AQ6" s="139">
        <v>900</v>
      </c>
      <c r="AR6" s="139">
        <v>900</v>
      </c>
      <c r="AS6" s="139">
        <v>900</v>
      </c>
      <c r="AT6" s="139">
        <v>900</v>
      </c>
      <c r="AU6" s="139">
        <v>900</v>
      </c>
      <c r="AV6" s="139">
        <v>900</v>
      </c>
      <c r="AW6" s="139">
        <v>900</v>
      </c>
      <c r="AX6" s="139">
        <v>900</v>
      </c>
      <c r="AY6" s="139">
        <v>900</v>
      </c>
      <c r="AZ6" s="139">
        <v>900</v>
      </c>
      <c r="BA6" s="139">
        <v>900</v>
      </c>
      <c r="BB6" s="139">
        <v>900</v>
      </c>
      <c r="BC6" s="139">
        <v>900</v>
      </c>
      <c r="BD6" s="139">
        <v>900</v>
      </c>
      <c r="BE6" s="139">
        <v>900</v>
      </c>
      <c r="BF6" s="139">
        <v>900</v>
      </c>
      <c r="BG6" s="139">
        <v>900</v>
      </c>
      <c r="BH6" s="139">
        <v>900</v>
      </c>
      <c r="BI6" s="139">
        <v>900</v>
      </c>
      <c r="BJ6" s="139">
        <v>900</v>
      </c>
      <c r="BK6" s="139">
        <v>900</v>
      </c>
      <c r="BL6" s="139">
        <v>900</v>
      </c>
      <c r="BM6" s="139">
        <v>900</v>
      </c>
      <c r="BN6" s="139">
        <v>900</v>
      </c>
      <c r="BO6" s="139">
        <v>900</v>
      </c>
      <c r="BP6" s="139">
        <v>900</v>
      </c>
      <c r="BQ6" s="139">
        <v>900</v>
      </c>
      <c r="BR6" s="139">
        <v>900</v>
      </c>
      <c r="BS6" s="139">
        <v>900</v>
      </c>
      <c r="BT6" s="139">
        <v>900</v>
      </c>
      <c r="BU6" s="139">
        <v>900</v>
      </c>
      <c r="BV6" s="139">
        <v>900</v>
      </c>
      <c r="BW6" s="139">
        <v>900</v>
      </c>
      <c r="BX6" s="139">
        <v>900</v>
      </c>
      <c r="BY6" s="139">
        <v>900</v>
      </c>
      <c r="BZ6" s="139">
        <v>900</v>
      </c>
      <c r="CA6" s="139">
        <v>900</v>
      </c>
      <c r="CB6" s="139">
        <v>900</v>
      </c>
      <c r="CC6" s="139">
        <v>900</v>
      </c>
      <c r="CD6" s="139">
        <v>900</v>
      </c>
      <c r="CE6" s="139">
        <v>900</v>
      </c>
      <c r="CF6" s="139">
        <v>900</v>
      </c>
      <c r="CG6" s="139">
        <v>900</v>
      </c>
      <c r="CH6" s="139">
        <v>900</v>
      </c>
      <c r="CI6" s="139">
        <v>900</v>
      </c>
      <c r="CJ6" s="139">
        <v>900</v>
      </c>
      <c r="CK6" s="139">
        <v>900</v>
      </c>
      <c r="CL6" s="139">
        <v>900</v>
      </c>
      <c r="CM6" s="139">
        <v>900</v>
      </c>
      <c r="CN6" s="139">
        <v>900</v>
      </c>
      <c r="CO6" s="139">
        <v>900</v>
      </c>
      <c r="CP6" s="139">
        <v>900</v>
      </c>
      <c r="CQ6" s="139">
        <v>900</v>
      </c>
      <c r="CR6" s="139">
        <v>900</v>
      </c>
      <c r="CS6" s="139">
        <v>900</v>
      </c>
      <c r="CT6" s="139">
        <v>900</v>
      </c>
      <c r="CU6" s="139">
        <v>900</v>
      </c>
      <c r="CV6" s="139">
        <v>900</v>
      </c>
      <c r="CW6" s="139">
        <v>900</v>
      </c>
      <c r="CX6" s="139">
        <v>900</v>
      </c>
      <c r="CY6" s="139">
        <v>900</v>
      </c>
      <c r="CZ6" s="139">
        <v>900</v>
      </c>
      <c r="DA6" s="139">
        <v>900</v>
      </c>
      <c r="DB6" s="139">
        <v>900</v>
      </c>
      <c r="DC6" s="139">
        <v>900</v>
      </c>
      <c r="DD6" s="139">
        <v>900</v>
      </c>
      <c r="DE6" s="139">
        <v>900</v>
      </c>
      <c r="DF6" s="139">
        <v>900</v>
      </c>
      <c r="DG6" s="139">
        <v>900</v>
      </c>
      <c r="DH6" s="139">
        <v>900</v>
      </c>
      <c r="DI6" s="139">
        <v>900</v>
      </c>
      <c r="DJ6" s="139">
        <v>900</v>
      </c>
      <c r="DK6" s="139">
        <v>900</v>
      </c>
      <c r="DL6" s="139">
        <v>900</v>
      </c>
      <c r="DM6" s="139">
        <v>900</v>
      </c>
      <c r="DN6" s="139">
        <v>900</v>
      </c>
      <c r="DO6" s="139">
        <v>900</v>
      </c>
      <c r="DP6" s="139">
        <v>900</v>
      </c>
      <c r="DQ6" s="139">
        <v>900</v>
      </c>
      <c r="DR6" s="139">
        <v>900</v>
      </c>
      <c r="DS6" s="139">
        <v>900</v>
      </c>
      <c r="DT6" s="139">
        <v>900</v>
      </c>
      <c r="DU6" s="139">
        <v>900</v>
      </c>
      <c r="DV6" s="139">
        <v>900</v>
      </c>
      <c r="DW6" s="139">
        <v>900</v>
      </c>
      <c r="DX6" s="139">
        <v>900</v>
      </c>
      <c r="DY6" s="139">
        <v>900</v>
      </c>
      <c r="DZ6" s="139">
        <v>900</v>
      </c>
      <c r="EA6" s="139">
        <v>900</v>
      </c>
      <c r="EB6" s="139">
        <v>900</v>
      </c>
      <c r="EC6" s="139">
        <v>900</v>
      </c>
      <c r="ED6" s="139">
        <v>900</v>
      </c>
      <c r="EE6" s="139">
        <v>900</v>
      </c>
      <c r="EF6" s="139">
        <v>900</v>
      </c>
      <c r="EG6" s="139">
        <v>900</v>
      </c>
      <c r="EH6" s="139">
        <v>900</v>
      </c>
      <c r="EI6" s="139">
        <v>900</v>
      </c>
      <c r="EJ6" s="139">
        <v>900</v>
      </c>
      <c r="EK6" s="139">
        <v>900</v>
      </c>
      <c r="EL6" s="139">
        <v>900</v>
      </c>
      <c r="EM6" s="139">
        <v>900</v>
      </c>
      <c r="EN6" s="139">
        <v>900</v>
      </c>
      <c r="EO6" s="139">
        <v>900</v>
      </c>
      <c r="EP6" s="139">
        <v>900</v>
      </c>
      <c r="EQ6" s="139">
        <v>900</v>
      </c>
      <c r="ER6" s="139">
        <v>900</v>
      </c>
      <c r="ES6" s="139">
        <v>900</v>
      </c>
      <c r="ET6" s="139">
        <v>900</v>
      </c>
      <c r="EU6" s="139">
        <v>900</v>
      </c>
      <c r="EV6" s="139">
        <v>900</v>
      </c>
      <c r="EW6" s="139">
        <v>900</v>
      </c>
      <c r="EX6" s="139">
        <v>900</v>
      </c>
      <c r="EY6" s="139">
        <v>900</v>
      </c>
      <c r="EZ6" s="139">
        <v>900</v>
      </c>
      <c r="FA6" s="139">
        <v>900</v>
      </c>
      <c r="FB6" s="139">
        <v>900</v>
      </c>
      <c r="FC6" s="139">
        <v>900</v>
      </c>
      <c r="FD6" s="139">
        <v>900</v>
      </c>
      <c r="FE6" s="139">
        <v>900</v>
      </c>
      <c r="FF6" s="139">
        <v>900</v>
      </c>
      <c r="FG6" s="139">
        <v>900</v>
      </c>
      <c r="FH6" s="139">
        <v>900</v>
      </c>
      <c r="FI6" s="139">
        <v>900</v>
      </c>
      <c r="FJ6" s="139">
        <v>900</v>
      </c>
      <c r="FK6" s="139">
        <v>900</v>
      </c>
      <c r="FL6" s="139">
        <v>900</v>
      </c>
      <c r="FM6" s="139">
        <v>900</v>
      </c>
      <c r="FN6" s="139">
        <v>900</v>
      </c>
      <c r="FO6" s="139">
        <v>900</v>
      </c>
      <c r="FP6" s="139">
        <v>900</v>
      </c>
      <c r="FQ6" s="139">
        <v>900</v>
      </c>
      <c r="FR6" s="139">
        <v>900</v>
      </c>
      <c r="FS6" s="139">
        <v>900</v>
      </c>
      <c r="FT6" s="139">
        <v>900</v>
      </c>
      <c r="FU6" s="139">
        <v>900</v>
      </c>
      <c r="FV6" s="139">
        <v>900</v>
      </c>
      <c r="FW6" s="139">
        <v>900</v>
      </c>
      <c r="FX6" s="139">
        <v>900</v>
      </c>
      <c r="FY6" s="139">
        <v>900</v>
      </c>
      <c r="FZ6" s="139">
        <v>900</v>
      </c>
      <c r="GA6" s="139">
        <v>900</v>
      </c>
      <c r="GB6" s="139">
        <v>900</v>
      </c>
      <c r="GC6" s="139">
        <v>900</v>
      </c>
      <c r="GD6" s="139">
        <v>900</v>
      </c>
      <c r="GE6" s="139">
        <v>900</v>
      </c>
      <c r="GF6" s="139">
        <v>900</v>
      </c>
      <c r="GG6" s="139">
        <v>900</v>
      </c>
      <c r="GH6" s="139">
        <v>900</v>
      </c>
      <c r="GI6" s="139">
        <v>900</v>
      </c>
      <c r="GJ6" s="139">
        <v>900</v>
      </c>
      <c r="GK6" s="139">
        <v>900</v>
      </c>
      <c r="GL6" s="139">
        <v>900</v>
      </c>
      <c r="GM6" s="139">
        <v>900</v>
      </c>
      <c r="GN6" s="139">
        <v>900</v>
      </c>
      <c r="GO6" s="139">
        <v>900</v>
      </c>
      <c r="GP6" s="139">
        <v>900</v>
      </c>
      <c r="GQ6" s="139">
        <v>900</v>
      </c>
      <c r="GR6" s="139">
        <v>900</v>
      </c>
      <c r="GS6" s="139">
        <v>900</v>
      </c>
      <c r="GT6" s="139">
        <v>900</v>
      </c>
      <c r="GU6" s="139">
        <v>900</v>
      </c>
      <c r="GV6" s="139">
        <v>900</v>
      </c>
      <c r="GW6" s="139">
        <v>900</v>
      </c>
      <c r="GX6" s="139">
        <v>900</v>
      </c>
      <c r="GY6" s="139">
        <v>900</v>
      </c>
      <c r="GZ6" s="139">
        <v>900</v>
      </c>
      <c r="HA6" s="139">
        <v>900</v>
      </c>
      <c r="HB6" s="139">
        <v>900</v>
      </c>
      <c r="HC6" s="139">
        <v>900</v>
      </c>
      <c r="HD6" s="139">
        <v>900</v>
      </c>
      <c r="HE6" s="139">
        <v>900</v>
      </c>
      <c r="HF6" s="139">
        <v>900</v>
      </c>
      <c r="HG6" s="139">
        <v>900</v>
      </c>
      <c r="HH6" s="139">
        <v>900</v>
      </c>
      <c r="HI6" s="139">
        <v>900</v>
      </c>
      <c r="HJ6" s="139">
        <v>900</v>
      </c>
      <c r="HK6" s="139">
        <v>900</v>
      </c>
      <c r="HL6" s="139">
        <v>900</v>
      </c>
      <c r="HM6" s="139">
        <v>900</v>
      </c>
      <c r="HN6" s="139">
        <v>900</v>
      </c>
      <c r="HO6" s="139">
        <v>900</v>
      </c>
      <c r="HP6" s="139">
        <v>900</v>
      </c>
      <c r="HQ6" s="139">
        <v>900</v>
      </c>
      <c r="HR6" s="139">
        <v>900</v>
      </c>
      <c r="HS6" s="139">
        <v>900</v>
      </c>
      <c r="HT6" s="139">
        <v>900</v>
      </c>
      <c r="HU6" s="139">
        <v>900</v>
      </c>
      <c r="HV6" s="139">
        <v>900</v>
      </c>
      <c r="HW6" s="139">
        <v>900</v>
      </c>
      <c r="HX6" s="139">
        <v>900</v>
      </c>
      <c r="HY6" s="139">
        <v>900</v>
      </c>
      <c r="HZ6" s="139">
        <v>900</v>
      </c>
      <c r="IA6" s="139">
        <v>900</v>
      </c>
      <c r="IB6" s="139">
        <v>900</v>
      </c>
      <c r="IC6" s="139">
        <v>900</v>
      </c>
      <c r="ID6" s="139">
        <v>900</v>
      </c>
      <c r="IE6" s="139">
        <v>900</v>
      </c>
      <c r="IF6" s="139">
        <v>900</v>
      </c>
      <c r="IG6" s="139">
        <v>900</v>
      </c>
      <c r="IH6" s="139">
        <v>900</v>
      </c>
      <c r="II6" s="139">
        <v>900</v>
      </c>
      <c r="IJ6" s="139">
        <v>900</v>
      </c>
      <c r="IK6" s="139">
        <v>900</v>
      </c>
      <c r="IL6" s="139">
        <v>900</v>
      </c>
      <c r="IM6" s="139">
        <v>900</v>
      </c>
      <c r="IN6" s="139">
        <v>900</v>
      </c>
      <c r="IO6" s="139">
        <v>900</v>
      </c>
      <c r="IP6" s="139">
        <v>900</v>
      </c>
      <c r="IQ6" s="139">
        <v>900</v>
      </c>
      <c r="IR6" s="139">
        <v>900</v>
      </c>
      <c r="IS6" s="139">
        <v>900</v>
      </c>
      <c r="IT6" s="139">
        <v>900</v>
      </c>
      <c r="IU6" s="139">
        <v>900</v>
      </c>
      <c r="IV6" s="139">
        <v>900</v>
      </c>
      <c r="IW6" s="139">
        <v>900</v>
      </c>
      <c r="IX6" s="139">
        <v>900</v>
      </c>
      <c r="IY6" s="139">
        <v>900</v>
      </c>
      <c r="IZ6" s="139">
        <v>900</v>
      </c>
      <c r="JA6" s="139">
        <v>900</v>
      </c>
      <c r="JB6" s="139">
        <v>900</v>
      </c>
      <c r="JC6" s="139">
        <v>900</v>
      </c>
      <c r="JD6" s="139">
        <v>900</v>
      </c>
      <c r="JE6" s="139">
        <v>900</v>
      </c>
      <c r="JF6" s="139">
        <v>900</v>
      </c>
      <c r="JG6" s="139">
        <v>900</v>
      </c>
      <c r="JH6" s="139">
        <v>900</v>
      </c>
      <c r="JI6" s="139">
        <v>900</v>
      </c>
      <c r="JJ6" s="139">
        <v>900</v>
      </c>
      <c r="JK6" s="139">
        <v>900</v>
      </c>
      <c r="JL6" s="139">
        <v>900</v>
      </c>
      <c r="JM6" s="139">
        <v>900</v>
      </c>
      <c r="JN6" s="139">
        <v>900</v>
      </c>
      <c r="JO6" s="139">
        <v>900</v>
      </c>
      <c r="JP6" s="139">
        <v>900</v>
      </c>
      <c r="JQ6" s="139">
        <v>900</v>
      </c>
      <c r="JR6" s="139">
        <v>900</v>
      </c>
      <c r="JS6" s="139">
        <v>900</v>
      </c>
      <c r="JT6" s="139">
        <v>900</v>
      </c>
      <c r="JU6" s="139">
        <v>900</v>
      </c>
      <c r="JV6" s="139">
        <v>900</v>
      </c>
      <c r="JW6" s="139">
        <v>900</v>
      </c>
      <c r="JX6" s="139">
        <v>900</v>
      </c>
      <c r="JY6" s="139">
        <v>900</v>
      </c>
      <c r="JZ6" s="139">
        <v>900</v>
      </c>
      <c r="KA6" s="139">
        <v>900</v>
      </c>
      <c r="KB6" s="139">
        <v>900</v>
      </c>
      <c r="KC6" s="139">
        <v>900</v>
      </c>
      <c r="KD6" s="139">
        <v>900</v>
      </c>
      <c r="KE6" s="139">
        <v>900</v>
      </c>
      <c r="KF6" s="139">
        <v>900</v>
      </c>
      <c r="KG6" s="139">
        <v>900</v>
      </c>
      <c r="KH6" s="139">
        <v>900</v>
      </c>
      <c r="KI6" s="139">
        <v>900</v>
      </c>
      <c r="KJ6" s="139">
        <v>900</v>
      </c>
      <c r="KK6" s="139">
        <v>900</v>
      </c>
      <c r="KL6" s="139">
        <v>900</v>
      </c>
      <c r="KM6" s="139">
        <v>900</v>
      </c>
      <c r="KN6" s="139">
        <v>900</v>
      </c>
      <c r="KO6" s="139">
        <v>900</v>
      </c>
      <c r="KP6" s="139">
        <v>900</v>
      </c>
      <c r="KQ6" s="139">
        <v>900</v>
      </c>
      <c r="KR6" s="139">
        <v>900</v>
      </c>
      <c r="KS6" s="139">
        <v>900</v>
      </c>
      <c r="KT6" s="139">
        <v>900</v>
      </c>
      <c r="KU6" s="139">
        <v>900</v>
      </c>
      <c r="KV6" s="139">
        <v>900</v>
      </c>
      <c r="KW6" s="139">
        <v>900</v>
      </c>
      <c r="KX6" s="139">
        <v>900</v>
      </c>
      <c r="KY6" s="139">
        <v>900</v>
      </c>
      <c r="KZ6" s="139">
        <v>900</v>
      </c>
      <c r="LA6" s="139">
        <v>900</v>
      </c>
      <c r="LB6" s="139">
        <v>900</v>
      </c>
      <c r="LC6" s="139">
        <v>900</v>
      </c>
      <c r="LD6" s="139">
        <v>900</v>
      </c>
      <c r="LE6" s="139">
        <v>900</v>
      </c>
      <c r="LF6" s="139">
        <v>900</v>
      </c>
      <c r="LG6" s="139">
        <v>900</v>
      </c>
      <c r="LH6" s="139">
        <v>900</v>
      </c>
      <c r="LI6" s="139">
        <v>900</v>
      </c>
      <c r="LJ6" s="139">
        <v>900</v>
      </c>
      <c r="LK6" s="139">
        <v>900</v>
      </c>
      <c r="LL6" s="139">
        <v>900</v>
      </c>
      <c r="LM6" s="139">
        <v>900</v>
      </c>
      <c r="LN6" s="139">
        <v>900</v>
      </c>
      <c r="LO6" s="139">
        <v>900</v>
      </c>
      <c r="LP6" s="139">
        <v>900</v>
      </c>
      <c r="LQ6" s="139">
        <v>900</v>
      </c>
      <c r="LR6" s="139">
        <v>900</v>
      </c>
      <c r="LS6" s="139">
        <v>900</v>
      </c>
      <c r="LT6" s="139">
        <v>900</v>
      </c>
      <c r="LU6" s="139">
        <v>900</v>
      </c>
      <c r="LV6" s="139">
        <v>900</v>
      </c>
      <c r="LW6" s="139">
        <v>900</v>
      </c>
      <c r="LX6" s="139">
        <v>900</v>
      </c>
      <c r="LY6" s="139">
        <v>900</v>
      </c>
      <c r="LZ6" s="139">
        <v>900</v>
      </c>
      <c r="MA6" s="139">
        <v>900</v>
      </c>
      <c r="MB6" s="139">
        <v>900</v>
      </c>
      <c r="MC6" s="139">
        <v>900</v>
      </c>
      <c r="MD6" s="139">
        <v>900</v>
      </c>
      <c r="ME6" s="139">
        <v>900</v>
      </c>
      <c r="MF6" s="139">
        <v>900</v>
      </c>
      <c r="MG6" s="139">
        <v>900</v>
      </c>
      <c r="MH6" s="139">
        <v>900</v>
      </c>
      <c r="MI6" s="139">
        <v>900</v>
      </c>
      <c r="MJ6" s="139">
        <v>900</v>
      </c>
      <c r="MK6" s="139">
        <v>900</v>
      </c>
      <c r="ML6" s="139">
        <v>900</v>
      </c>
      <c r="MM6" s="139">
        <v>900</v>
      </c>
      <c r="MN6" s="139">
        <v>900</v>
      </c>
      <c r="MO6" s="139">
        <v>900</v>
      </c>
      <c r="MP6" s="139">
        <v>900</v>
      </c>
      <c r="MQ6" s="139">
        <v>900</v>
      </c>
      <c r="MR6" s="139">
        <v>900</v>
      </c>
      <c r="MS6" s="139">
        <v>900</v>
      </c>
      <c r="MT6" s="139">
        <v>900</v>
      </c>
      <c r="MU6" s="139">
        <v>900</v>
      </c>
      <c r="MV6" s="139">
        <v>900</v>
      </c>
      <c r="MW6" s="139">
        <v>900</v>
      </c>
      <c r="MX6" s="139">
        <v>900</v>
      </c>
      <c r="MY6" s="139">
        <v>900</v>
      </c>
      <c r="MZ6" s="139">
        <v>900</v>
      </c>
      <c r="NA6" s="139">
        <v>900</v>
      </c>
      <c r="NB6" s="139">
        <v>900</v>
      </c>
      <c r="NC6" s="139">
        <v>900</v>
      </c>
      <c r="ND6" s="139">
        <v>900</v>
      </c>
      <c r="NE6" s="139">
        <v>900</v>
      </c>
      <c r="NF6" s="139">
        <v>900</v>
      </c>
      <c r="NG6" s="139">
        <v>900</v>
      </c>
      <c r="NH6" s="139">
        <v>900</v>
      </c>
      <c r="NI6" s="139">
        <v>900</v>
      </c>
      <c r="NJ6" s="139">
        <v>900</v>
      </c>
      <c r="NK6" s="139">
        <v>900</v>
      </c>
      <c r="NL6" s="139">
        <v>900</v>
      </c>
      <c r="NM6" s="139">
        <v>900</v>
      </c>
      <c r="NN6" s="139">
        <v>900</v>
      </c>
      <c r="NO6" s="139">
        <v>900</v>
      </c>
      <c r="NP6" s="139">
        <v>900</v>
      </c>
      <c r="NQ6" s="139">
        <v>900</v>
      </c>
      <c r="NR6" s="139">
        <v>900</v>
      </c>
      <c r="NS6" s="139">
        <v>900</v>
      </c>
      <c r="NT6" s="139">
        <v>900</v>
      </c>
      <c r="NU6" s="139">
        <v>900</v>
      </c>
      <c r="NV6" s="139">
        <v>900</v>
      </c>
      <c r="NW6" s="139">
        <v>900</v>
      </c>
      <c r="NX6" s="31">
        <v>900</v>
      </c>
      <c r="NY6" s="31">
        <v>900</v>
      </c>
      <c r="NZ6" s="31">
        <v>900</v>
      </c>
      <c r="OA6" s="31">
        <v>900</v>
      </c>
      <c r="OB6" s="31">
        <v>900</v>
      </c>
      <c r="OC6" s="31">
        <v>900</v>
      </c>
      <c r="OD6" s="31">
        <v>900</v>
      </c>
      <c r="OE6" s="31">
        <v>900</v>
      </c>
      <c r="OF6" s="31">
        <v>900</v>
      </c>
      <c r="OG6" s="31">
        <v>900</v>
      </c>
      <c r="OH6" s="31">
        <v>900</v>
      </c>
      <c r="OI6" s="31">
        <v>900</v>
      </c>
      <c r="OJ6" s="31">
        <v>900</v>
      </c>
      <c r="OK6" s="31">
        <v>900</v>
      </c>
      <c r="OL6" s="83">
        <v>900</v>
      </c>
      <c r="OM6" s="79"/>
      <c r="ON6" s="79"/>
      <c r="OO6" s="79"/>
      <c r="OP6" s="79"/>
      <c r="OQ6" s="79"/>
      <c r="OR6" s="79"/>
      <c r="OS6" s="79"/>
      <c r="OT6" s="79"/>
      <c r="OU6" s="79"/>
      <c r="OV6" s="79"/>
      <c r="OW6" s="79"/>
      <c r="OX6" s="79"/>
      <c r="OY6" s="79"/>
      <c r="OZ6" s="79"/>
      <c r="PA6" s="79"/>
      <c r="PB6" s="79"/>
      <c r="PC6" s="79"/>
      <c r="PD6" s="79"/>
      <c r="PE6" s="79"/>
      <c r="PF6" s="79"/>
      <c r="PG6" s="79"/>
      <c r="PH6" s="79"/>
      <c r="PI6" s="79"/>
      <c r="PJ6" s="79"/>
      <c r="PK6" s="79"/>
      <c r="PL6" s="79"/>
      <c r="PM6" s="79"/>
      <c r="PN6" s="79"/>
      <c r="PO6" s="79"/>
      <c r="PP6" s="79"/>
      <c r="PQ6" s="79"/>
      <c r="PR6" s="79"/>
      <c r="PS6" s="79"/>
      <c r="PT6" s="79"/>
      <c r="PU6" s="79"/>
      <c r="PV6" s="79"/>
      <c r="PW6" s="79"/>
      <c r="PX6" s="79"/>
      <c r="PY6" s="79"/>
      <c r="PZ6" s="79"/>
      <c r="QA6" s="84">
        <v>900</v>
      </c>
      <c r="QB6" s="31">
        <v>900</v>
      </c>
      <c r="QC6" s="31">
        <v>900</v>
      </c>
      <c r="QD6" s="31">
        <v>900</v>
      </c>
      <c r="QE6" s="31">
        <v>900</v>
      </c>
      <c r="QF6" s="31">
        <v>900</v>
      </c>
      <c r="QG6" s="31">
        <v>900</v>
      </c>
      <c r="QH6" s="31">
        <v>900</v>
      </c>
      <c r="QI6" s="31">
        <v>900</v>
      </c>
      <c r="QJ6" s="31">
        <v>900</v>
      </c>
      <c r="QK6" s="31">
        <v>900</v>
      </c>
      <c r="QL6" s="31">
        <v>900</v>
      </c>
      <c r="QM6" s="31">
        <v>900</v>
      </c>
      <c r="QN6" s="31">
        <v>900</v>
      </c>
      <c r="QO6" s="31">
        <v>900</v>
      </c>
      <c r="QP6" s="31">
        <v>900</v>
      </c>
      <c r="QQ6" s="31">
        <v>900</v>
      </c>
      <c r="QR6" s="31">
        <v>900</v>
      </c>
      <c r="QS6" s="31">
        <v>900</v>
      </c>
      <c r="QT6" s="31">
        <v>900</v>
      </c>
      <c r="QU6" s="31">
        <v>900</v>
      </c>
      <c r="QV6" s="31">
        <v>900</v>
      </c>
      <c r="QW6" s="31">
        <v>900</v>
      </c>
      <c r="QX6" s="31">
        <v>900</v>
      </c>
      <c r="QY6" s="31">
        <v>900</v>
      </c>
      <c r="QZ6" s="31">
        <v>900</v>
      </c>
      <c r="RA6" s="31">
        <v>900</v>
      </c>
      <c r="RB6" s="31">
        <v>900</v>
      </c>
      <c r="RC6" s="31">
        <v>900</v>
      </c>
      <c r="RD6" s="31">
        <v>900</v>
      </c>
      <c r="RE6" s="31">
        <v>900</v>
      </c>
      <c r="RF6" s="31">
        <v>900</v>
      </c>
      <c r="RG6" s="31">
        <v>900</v>
      </c>
      <c r="RH6" s="31">
        <v>900</v>
      </c>
      <c r="RI6" s="31">
        <v>900</v>
      </c>
      <c r="RJ6" s="31">
        <v>900</v>
      </c>
      <c r="RK6" s="31">
        <v>900</v>
      </c>
      <c r="RL6" s="31">
        <v>900</v>
      </c>
      <c r="RM6" s="31">
        <v>900</v>
      </c>
      <c r="RN6" s="31">
        <v>900</v>
      </c>
      <c r="RO6" s="31">
        <v>900</v>
      </c>
      <c r="RP6" s="31">
        <v>900</v>
      </c>
      <c r="RQ6" s="31">
        <v>900</v>
      </c>
      <c r="RR6" s="31">
        <v>900</v>
      </c>
      <c r="RS6" s="31">
        <v>900</v>
      </c>
      <c r="RT6" s="31">
        <v>900</v>
      </c>
      <c r="RU6" s="31">
        <v>900</v>
      </c>
      <c r="RV6" s="31">
        <v>900</v>
      </c>
      <c r="RW6" s="31">
        <v>900</v>
      </c>
      <c r="RX6" s="31">
        <v>900</v>
      </c>
      <c r="RY6" s="31">
        <v>900</v>
      </c>
      <c r="RZ6" s="31">
        <v>900</v>
      </c>
      <c r="SA6" s="31">
        <v>900</v>
      </c>
      <c r="SB6" s="31">
        <v>900</v>
      </c>
      <c r="SC6" s="31">
        <v>900</v>
      </c>
      <c r="SD6" s="31">
        <v>900</v>
      </c>
      <c r="SE6" s="31">
        <v>900</v>
      </c>
      <c r="SF6" s="31">
        <v>900</v>
      </c>
      <c r="SG6" s="31">
        <v>900</v>
      </c>
      <c r="SH6" s="31">
        <v>900</v>
      </c>
      <c r="SI6" s="31">
        <v>900</v>
      </c>
      <c r="SJ6" s="31">
        <v>900</v>
      </c>
      <c r="SK6" s="31">
        <v>900</v>
      </c>
      <c r="SL6" s="31">
        <v>900</v>
      </c>
      <c r="SM6" s="31">
        <v>900</v>
      </c>
      <c r="SN6" s="31">
        <v>900</v>
      </c>
      <c r="SO6" s="31">
        <v>900</v>
      </c>
      <c r="SP6" s="31">
        <v>900</v>
      </c>
      <c r="SQ6" s="31">
        <v>900</v>
      </c>
      <c r="SR6" s="31">
        <v>900</v>
      </c>
      <c r="SS6" s="31">
        <v>900</v>
      </c>
      <c r="ST6" s="31">
        <v>900</v>
      </c>
      <c r="SU6" s="31">
        <v>900</v>
      </c>
      <c r="SV6" s="31">
        <v>900</v>
      </c>
      <c r="SW6" s="31">
        <v>900</v>
      </c>
      <c r="SX6" s="31">
        <v>900</v>
      </c>
      <c r="SY6" s="31">
        <v>900</v>
      </c>
      <c r="SZ6" s="31">
        <v>900</v>
      </c>
      <c r="TA6" s="31">
        <v>900</v>
      </c>
      <c r="TB6" s="31">
        <v>900</v>
      </c>
      <c r="TC6" s="31">
        <v>900</v>
      </c>
      <c r="TD6" s="31">
        <v>900</v>
      </c>
      <c r="TE6" s="31">
        <v>900</v>
      </c>
      <c r="TF6" s="31">
        <v>900</v>
      </c>
      <c r="TG6" s="31">
        <v>900</v>
      </c>
      <c r="TH6" s="31">
        <v>900</v>
      </c>
      <c r="TI6" s="31">
        <v>900</v>
      </c>
      <c r="TJ6" s="31">
        <v>900</v>
      </c>
      <c r="TK6" s="31">
        <v>900</v>
      </c>
      <c r="TL6" s="31">
        <v>900</v>
      </c>
      <c r="TM6" s="31">
        <v>900</v>
      </c>
      <c r="TN6" s="31">
        <v>900</v>
      </c>
      <c r="TO6" s="31">
        <v>900</v>
      </c>
      <c r="TP6" s="31">
        <v>900</v>
      </c>
      <c r="TQ6" s="31">
        <v>900</v>
      </c>
      <c r="TR6" s="31">
        <v>900</v>
      </c>
      <c r="TS6" s="31">
        <v>900</v>
      </c>
      <c r="TT6" s="31">
        <v>900</v>
      </c>
      <c r="TU6" s="31">
        <v>900</v>
      </c>
      <c r="TV6" s="31">
        <v>900</v>
      </c>
      <c r="TW6" s="31">
        <v>900</v>
      </c>
      <c r="TX6" s="31">
        <v>900</v>
      </c>
      <c r="TY6" s="31">
        <v>900</v>
      </c>
      <c r="TZ6" s="31">
        <v>900</v>
      </c>
      <c r="UA6" s="31">
        <v>900</v>
      </c>
      <c r="UB6" s="31">
        <v>900</v>
      </c>
      <c r="UC6" s="31">
        <v>900</v>
      </c>
      <c r="UD6" s="31">
        <v>900</v>
      </c>
      <c r="UE6" s="31">
        <v>900</v>
      </c>
      <c r="UF6" s="31">
        <v>900</v>
      </c>
      <c r="UG6" s="31">
        <v>900</v>
      </c>
      <c r="UH6" s="31">
        <v>900</v>
      </c>
      <c r="UI6" s="31">
        <v>900</v>
      </c>
      <c r="UJ6" s="31">
        <v>900</v>
      </c>
      <c r="UK6" s="31">
        <v>900</v>
      </c>
      <c r="UL6" s="31">
        <v>900</v>
      </c>
      <c r="UM6" s="31">
        <v>900</v>
      </c>
      <c r="UN6" s="31">
        <v>900</v>
      </c>
      <c r="UO6" s="31">
        <v>900</v>
      </c>
      <c r="UP6" s="31">
        <v>900</v>
      </c>
      <c r="UQ6" s="31">
        <v>900</v>
      </c>
      <c r="UR6" s="31">
        <v>900</v>
      </c>
      <c r="US6" s="31">
        <v>900</v>
      </c>
      <c r="UT6" s="31">
        <v>900</v>
      </c>
      <c r="UU6" s="31">
        <v>900</v>
      </c>
      <c r="UV6" s="31">
        <v>900</v>
      </c>
      <c r="UW6" s="31">
        <v>900</v>
      </c>
      <c r="UX6" s="31">
        <v>900</v>
      </c>
      <c r="UY6" s="31">
        <v>900</v>
      </c>
      <c r="UZ6" s="31">
        <v>900</v>
      </c>
      <c r="VA6" s="31">
        <v>900</v>
      </c>
      <c r="VB6" s="31">
        <v>900</v>
      </c>
      <c r="VC6" s="31">
        <v>900</v>
      </c>
      <c r="VD6" s="31">
        <v>900</v>
      </c>
      <c r="VE6" s="31">
        <v>900</v>
      </c>
      <c r="VF6" s="31">
        <v>900</v>
      </c>
      <c r="VG6" s="31">
        <v>900</v>
      </c>
      <c r="VH6" s="31">
        <v>900</v>
      </c>
      <c r="VI6" s="31">
        <v>900</v>
      </c>
      <c r="VJ6" s="31">
        <v>900</v>
      </c>
      <c r="VK6" s="31">
        <v>900</v>
      </c>
      <c r="VL6" s="31">
        <v>900</v>
      </c>
      <c r="VM6" s="31">
        <v>900</v>
      </c>
      <c r="VN6" s="31">
        <v>900</v>
      </c>
      <c r="VO6" s="31">
        <v>900</v>
      </c>
      <c r="VP6" s="31">
        <v>900</v>
      </c>
      <c r="VQ6" s="31">
        <v>900</v>
      </c>
      <c r="VR6" s="31">
        <v>900</v>
      </c>
      <c r="VS6" s="31">
        <v>900</v>
      </c>
      <c r="VT6" s="31">
        <v>900</v>
      </c>
      <c r="VU6" s="31">
        <v>900</v>
      </c>
      <c r="VV6" s="31">
        <v>900</v>
      </c>
      <c r="VW6" s="31">
        <v>900</v>
      </c>
      <c r="VX6" s="31">
        <v>900</v>
      </c>
      <c r="VY6" s="31">
        <v>900</v>
      </c>
      <c r="VZ6" s="31">
        <v>900</v>
      </c>
      <c r="WA6" s="31">
        <v>900</v>
      </c>
      <c r="WB6" s="31">
        <v>900</v>
      </c>
      <c r="WC6" s="31">
        <v>900</v>
      </c>
      <c r="WD6" s="31">
        <v>900</v>
      </c>
      <c r="WE6" s="31">
        <v>900</v>
      </c>
      <c r="WF6" s="31">
        <v>900</v>
      </c>
      <c r="WG6" s="31">
        <v>900</v>
      </c>
      <c r="WH6" s="31">
        <v>900</v>
      </c>
      <c r="WI6" s="31">
        <v>900</v>
      </c>
      <c r="WJ6" s="31">
        <v>900</v>
      </c>
      <c r="WK6" s="31">
        <v>900</v>
      </c>
      <c r="WL6" s="31">
        <v>900</v>
      </c>
      <c r="WM6" s="31">
        <v>900</v>
      </c>
      <c r="WN6" s="31">
        <v>900</v>
      </c>
      <c r="WO6" s="31">
        <v>900</v>
      </c>
      <c r="WP6" s="31">
        <v>900</v>
      </c>
      <c r="WQ6" s="31">
        <v>900</v>
      </c>
      <c r="WR6" s="31">
        <v>900</v>
      </c>
      <c r="WS6" s="31">
        <v>900</v>
      </c>
      <c r="WT6" s="31">
        <v>900</v>
      </c>
      <c r="WU6" s="31">
        <v>900</v>
      </c>
      <c r="WV6" s="31">
        <v>900</v>
      </c>
      <c r="WW6" s="31">
        <v>900</v>
      </c>
      <c r="WX6" s="31">
        <v>900</v>
      </c>
      <c r="WY6" s="31">
        <v>900</v>
      </c>
      <c r="WZ6" s="31">
        <v>900</v>
      </c>
      <c r="XA6" s="31">
        <v>900</v>
      </c>
      <c r="XB6" s="31">
        <v>900</v>
      </c>
      <c r="XC6" s="31">
        <v>900</v>
      </c>
      <c r="XD6" s="31">
        <v>900</v>
      </c>
      <c r="XE6" s="31">
        <v>900</v>
      </c>
      <c r="XF6" s="31">
        <v>900</v>
      </c>
      <c r="XG6" s="31">
        <v>900</v>
      </c>
      <c r="XH6" s="31">
        <v>900</v>
      </c>
      <c r="XI6" s="31">
        <v>900</v>
      </c>
      <c r="XJ6" s="31">
        <v>900</v>
      </c>
      <c r="XK6" s="31">
        <v>900</v>
      </c>
      <c r="XL6" s="31">
        <v>900</v>
      </c>
      <c r="XM6" s="31">
        <v>900</v>
      </c>
      <c r="XN6" s="31">
        <v>900</v>
      </c>
      <c r="XO6" s="31">
        <v>900</v>
      </c>
      <c r="XP6" s="31">
        <v>900</v>
      </c>
      <c r="XQ6" s="31">
        <v>900</v>
      </c>
      <c r="XR6" s="31">
        <v>900</v>
      </c>
      <c r="XS6" s="31">
        <v>900</v>
      </c>
      <c r="XT6" s="31">
        <v>900</v>
      </c>
      <c r="XU6" s="31">
        <v>900</v>
      </c>
      <c r="XV6" s="31">
        <v>900</v>
      </c>
      <c r="XW6" s="31">
        <v>900</v>
      </c>
      <c r="XX6" s="31">
        <v>900</v>
      </c>
      <c r="XY6" s="31">
        <v>900</v>
      </c>
      <c r="XZ6" s="31">
        <v>900</v>
      </c>
      <c r="YA6" s="31">
        <v>900</v>
      </c>
      <c r="YB6" s="31">
        <v>900</v>
      </c>
      <c r="YC6" s="31">
        <v>900</v>
      </c>
      <c r="YD6" s="31">
        <v>900</v>
      </c>
      <c r="YE6" s="31">
        <v>900</v>
      </c>
      <c r="YF6" s="31">
        <v>900</v>
      </c>
      <c r="YG6" s="31">
        <v>900</v>
      </c>
      <c r="YH6" s="31">
        <v>900</v>
      </c>
      <c r="YI6" s="31">
        <v>900</v>
      </c>
      <c r="YJ6" s="31">
        <v>900</v>
      </c>
      <c r="YK6" s="31">
        <v>900</v>
      </c>
      <c r="YL6" s="31">
        <v>900</v>
      </c>
      <c r="YM6" s="31">
        <v>900</v>
      </c>
      <c r="YN6" s="31">
        <v>900</v>
      </c>
      <c r="YO6" s="31">
        <v>900</v>
      </c>
      <c r="YP6" s="31">
        <v>900</v>
      </c>
      <c r="YQ6" s="31">
        <v>900</v>
      </c>
      <c r="YR6" s="31">
        <v>900</v>
      </c>
      <c r="YS6" s="31">
        <v>900</v>
      </c>
      <c r="YT6" s="31">
        <v>900</v>
      </c>
      <c r="YU6" s="31">
        <v>900</v>
      </c>
      <c r="YV6" s="31">
        <v>900</v>
      </c>
      <c r="YW6" s="31">
        <v>900</v>
      </c>
      <c r="YX6" s="31">
        <v>900</v>
      </c>
      <c r="YY6" s="31">
        <v>900</v>
      </c>
      <c r="YZ6" s="31">
        <v>900</v>
      </c>
      <c r="ZA6" s="31">
        <v>900</v>
      </c>
      <c r="ZB6" s="31">
        <v>900</v>
      </c>
      <c r="ZC6" s="31">
        <v>900</v>
      </c>
      <c r="ZD6" s="31">
        <v>900</v>
      </c>
      <c r="ZE6" s="31">
        <v>900</v>
      </c>
      <c r="ZF6" s="31">
        <v>900</v>
      </c>
      <c r="ZG6" s="31">
        <v>900</v>
      </c>
      <c r="ZH6" s="31">
        <v>900</v>
      </c>
      <c r="ZI6" s="31">
        <v>900</v>
      </c>
      <c r="ZJ6" s="31">
        <v>900</v>
      </c>
      <c r="ZK6" s="31">
        <v>900</v>
      </c>
      <c r="ZL6" s="31">
        <v>900</v>
      </c>
      <c r="ZM6" s="31">
        <v>900</v>
      </c>
      <c r="ZN6" s="31">
        <v>900</v>
      </c>
      <c r="ZO6" s="31">
        <v>900</v>
      </c>
      <c r="ZP6" s="31">
        <v>900</v>
      </c>
      <c r="ZQ6" s="31">
        <v>900</v>
      </c>
      <c r="ZR6" s="31">
        <v>900</v>
      </c>
      <c r="ZS6" s="31">
        <v>900</v>
      </c>
      <c r="ZT6" s="31">
        <v>900</v>
      </c>
      <c r="ZU6" s="31">
        <v>900</v>
      </c>
      <c r="ZV6" s="31">
        <v>900</v>
      </c>
      <c r="ZW6" s="31">
        <v>900</v>
      </c>
      <c r="ZX6" s="31">
        <v>900</v>
      </c>
      <c r="ZY6" s="31">
        <v>900</v>
      </c>
      <c r="ZZ6" s="31">
        <v>900</v>
      </c>
      <c r="AAA6" s="31">
        <v>900</v>
      </c>
      <c r="AAB6" s="31">
        <v>900</v>
      </c>
      <c r="AAC6" s="31">
        <v>900</v>
      </c>
      <c r="AAD6" s="31">
        <v>900</v>
      </c>
      <c r="AAE6" s="31">
        <v>900</v>
      </c>
      <c r="AAF6" s="31">
        <v>900</v>
      </c>
      <c r="AAG6" s="31">
        <v>900</v>
      </c>
      <c r="AAH6" s="31">
        <v>900</v>
      </c>
      <c r="AAI6" s="31">
        <v>900</v>
      </c>
      <c r="AAJ6" s="31">
        <v>900</v>
      </c>
      <c r="AAK6" s="31">
        <v>900</v>
      </c>
      <c r="AAL6" s="31">
        <v>900</v>
      </c>
      <c r="AAM6" s="31">
        <v>900</v>
      </c>
      <c r="AAN6" s="31">
        <v>900</v>
      </c>
      <c r="AAO6" s="31">
        <v>900</v>
      </c>
      <c r="AAP6" s="31">
        <v>900</v>
      </c>
      <c r="AAQ6" s="31">
        <v>900</v>
      </c>
      <c r="AAR6" s="31">
        <v>900</v>
      </c>
      <c r="AAS6" s="31">
        <v>900</v>
      </c>
      <c r="AAT6" s="31">
        <v>900</v>
      </c>
      <c r="AAU6" s="31">
        <v>900</v>
      </c>
      <c r="AAV6" s="31">
        <v>900</v>
      </c>
      <c r="AAW6" s="31">
        <v>900</v>
      </c>
      <c r="AAX6" s="31">
        <v>900</v>
      </c>
      <c r="AAY6" s="31">
        <v>900</v>
      </c>
      <c r="AAZ6" s="31">
        <v>900</v>
      </c>
      <c r="ABA6" s="31">
        <v>900</v>
      </c>
      <c r="ABB6" s="31">
        <v>900</v>
      </c>
      <c r="ABC6" s="31">
        <v>900</v>
      </c>
      <c r="ABD6" s="31">
        <v>900</v>
      </c>
      <c r="ABE6" s="31">
        <v>900</v>
      </c>
      <c r="ABF6" s="31">
        <v>900</v>
      </c>
      <c r="ABG6" s="31">
        <v>900</v>
      </c>
      <c r="ABH6" s="31">
        <v>900</v>
      </c>
      <c r="ABI6" s="31">
        <v>900</v>
      </c>
      <c r="ABJ6" s="31">
        <v>900</v>
      </c>
      <c r="ABK6" s="31">
        <v>900</v>
      </c>
      <c r="ABL6" s="31">
        <v>900</v>
      </c>
      <c r="ABM6" s="31">
        <v>900</v>
      </c>
      <c r="ABN6" s="31">
        <v>900</v>
      </c>
      <c r="ABO6" s="31">
        <v>900</v>
      </c>
      <c r="ABP6" s="31">
        <v>900</v>
      </c>
      <c r="ABQ6" s="31">
        <v>900</v>
      </c>
      <c r="ABR6" s="31">
        <v>900</v>
      </c>
      <c r="ABS6" s="31">
        <v>900</v>
      </c>
      <c r="ABT6" s="31">
        <v>900</v>
      </c>
      <c r="ABU6" s="31">
        <v>900</v>
      </c>
      <c r="ABV6" s="31">
        <v>900</v>
      </c>
      <c r="ABW6" s="31">
        <v>900</v>
      </c>
      <c r="ABX6" s="31">
        <v>900</v>
      </c>
      <c r="ABY6" s="31">
        <v>900</v>
      </c>
      <c r="ABZ6" s="31">
        <v>900</v>
      </c>
      <c r="ACA6" s="31">
        <v>900</v>
      </c>
      <c r="ACB6" s="31">
        <v>900</v>
      </c>
      <c r="ACC6" s="31">
        <v>900</v>
      </c>
      <c r="ACD6" s="31">
        <v>900</v>
      </c>
      <c r="ACE6" s="31">
        <v>900</v>
      </c>
      <c r="ACF6" s="31">
        <v>900</v>
      </c>
      <c r="ACG6" s="31">
        <v>900</v>
      </c>
      <c r="ACH6" s="31">
        <v>900</v>
      </c>
      <c r="ACI6" s="31">
        <v>900</v>
      </c>
      <c r="ACJ6" s="31">
        <v>900</v>
      </c>
      <c r="ACK6" s="31">
        <v>900</v>
      </c>
      <c r="ACL6" s="31">
        <v>900</v>
      </c>
      <c r="ACM6" s="31">
        <v>900</v>
      </c>
      <c r="ACN6" s="31">
        <v>900</v>
      </c>
      <c r="ACO6" s="31">
        <v>900</v>
      </c>
      <c r="ACP6" s="31">
        <v>900</v>
      </c>
      <c r="ACQ6" s="31">
        <v>900</v>
      </c>
      <c r="ACR6" s="31">
        <v>900</v>
      </c>
      <c r="ACS6" s="31">
        <v>900</v>
      </c>
      <c r="ACT6" s="31">
        <v>900</v>
      </c>
      <c r="ACU6" s="31">
        <v>900</v>
      </c>
      <c r="ACV6" s="31">
        <v>900</v>
      </c>
      <c r="ACW6" s="31">
        <v>900</v>
      </c>
      <c r="ACX6" s="31">
        <v>900</v>
      </c>
      <c r="ACY6" s="31">
        <v>900</v>
      </c>
      <c r="ACZ6" s="31">
        <v>900</v>
      </c>
      <c r="ADA6" s="31">
        <v>900</v>
      </c>
      <c r="ADB6" s="31">
        <v>900</v>
      </c>
      <c r="ADC6" s="31">
        <v>900</v>
      </c>
      <c r="ADD6" s="31">
        <v>900</v>
      </c>
      <c r="ADE6" s="31">
        <v>900</v>
      </c>
      <c r="ADF6" s="31">
        <v>900</v>
      </c>
      <c r="ADG6" s="31">
        <v>900</v>
      </c>
      <c r="ADH6" s="31">
        <v>900</v>
      </c>
      <c r="ADI6" s="31">
        <v>900</v>
      </c>
      <c r="ADJ6" s="31">
        <v>900</v>
      </c>
      <c r="ADK6" s="31">
        <v>900</v>
      </c>
      <c r="ADL6" s="31">
        <v>900</v>
      </c>
      <c r="ADM6" s="31">
        <v>900</v>
      </c>
      <c r="ADN6" s="31">
        <v>900</v>
      </c>
      <c r="ADO6" s="31">
        <v>900</v>
      </c>
      <c r="ADP6" s="31">
        <v>900</v>
      </c>
      <c r="ADQ6" s="31">
        <v>900</v>
      </c>
      <c r="ADR6" s="31">
        <v>900</v>
      </c>
      <c r="ADS6" s="31">
        <v>900</v>
      </c>
      <c r="ADT6" s="31">
        <v>900</v>
      </c>
      <c r="ADU6" s="31">
        <v>900</v>
      </c>
      <c r="ADV6" s="31">
        <v>900</v>
      </c>
      <c r="ADW6" s="31">
        <v>900</v>
      </c>
      <c r="ADX6" s="31">
        <v>900</v>
      </c>
      <c r="ADY6" s="31">
        <v>900</v>
      </c>
      <c r="ADZ6" s="31">
        <v>900</v>
      </c>
      <c r="AEA6" s="31">
        <v>900</v>
      </c>
      <c r="AEB6" s="31">
        <v>900</v>
      </c>
      <c r="AEC6" s="31">
        <v>900</v>
      </c>
      <c r="AED6" s="31">
        <v>900</v>
      </c>
      <c r="AEE6" s="31">
        <v>900</v>
      </c>
      <c r="AEF6" s="31">
        <v>900</v>
      </c>
      <c r="AEG6" s="31">
        <v>900</v>
      </c>
      <c r="AEH6" s="31">
        <v>900</v>
      </c>
      <c r="AEI6" s="31">
        <v>900</v>
      </c>
      <c r="AEJ6" s="31">
        <v>900</v>
      </c>
      <c r="AEK6" s="31">
        <v>900</v>
      </c>
      <c r="AEL6" s="31">
        <v>900</v>
      </c>
      <c r="AEM6" s="31">
        <v>900</v>
      </c>
      <c r="AEN6" s="31">
        <v>900</v>
      </c>
      <c r="AEO6" s="31">
        <v>900</v>
      </c>
      <c r="AEP6" s="31">
        <v>900</v>
      </c>
      <c r="AEQ6" s="31">
        <v>900</v>
      </c>
      <c r="AER6" s="31">
        <v>900</v>
      </c>
      <c r="AES6" s="31">
        <v>900</v>
      </c>
      <c r="AET6" s="31">
        <v>900</v>
      </c>
      <c r="AEU6" s="31">
        <v>900</v>
      </c>
      <c r="AEV6" s="31">
        <v>900</v>
      </c>
      <c r="AEW6" s="31">
        <v>900</v>
      </c>
      <c r="AEX6" s="31">
        <v>900</v>
      </c>
      <c r="AEY6" s="31">
        <v>900</v>
      </c>
      <c r="AEZ6" s="31">
        <v>900</v>
      </c>
      <c r="AFA6" s="31">
        <v>900</v>
      </c>
      <c r="AFB6" s="31">
        <v>900</v>
      </c>
      <c r="AFC6" s="31">
        <v>900</v>
      </c>
      <c r="AFD6" s="31">
        <v>900</v>
      </c>
      <c r="AFE6" s="31">
        <v>900</v>
      </c>
      <c r="AFF6" s="31">
        <v>900</v>
      </c>
      <c r="AFG6" s="31">
        <v>900</v>
      </c>
      <c r="AFH6" s="31">
        <v>900</v>
      </c>
      <c r="AFI6" s="31">
        <v>900</v>
      </c>
      <c r="AFJ6" s="31">
        <v>900</v>
      </c>
      <c r="AFK6" s="31">
        <v>900</v>
      </c>
      <c r="AFL6" s="31">
        <v>900</v>
      </c>
      <c r="AFM6" s="31">
        <v>900</v>
      </c>
      <c r="AFN6" s="31">
        <v>900</v>
      </c>
      <c r="AFO6" s="31">
        <v>900</v>
      </c>
      <c r="AFP6" s="31">
        <v>900</v>
      </c>
      <c r="AFQ6" s="31">
        <v>900</v>
      </c>
      <c r="AFR6" s="31">
        <v>900</v>
      </c>
      <c r="AFS6" s="31">
        <v>900</v>
      </c>
      <c r="AFT6" s="31">
        <v>900</v>
      </c>
      <c r="AFU6" s="31">
        <v>900</v>
      </c>
      <c r="AFV6" s="31">
        <v>900</v>
      </c>
      <c r="AFW6" s="31">
        <v>900</v>
      </c>
      <c r="AFX6" s="31">
        <v>900</v>
      </c>
      <c r="AFY6" s="31">
        <v>900</v>
      </c>
      <c r="AFZ6" s="31">
        <v>900</v>
      </c>
      <c r="AGA6" s="31">
        <v>900</v>
      </c>
      <c r="AGB6" s="31">
        <v>900</v>
      </c>
      <c r="AGC6" s="31">
        <v>900</v>
      </c>
      <c r="AGD6" s="31">
        <v>900</v>
      </c>
      <c r="AGE6" s="31">
        <v>900</v>
      </c>
      <c r="AGF6" s="31">
        <v>900</v>
      </c>
      <c r="AGG6" s="31">
        <v>900</v>
      </c>
      <c r="AGH6" s="31">
        <v>900</v>
      </c>
      <c r="AGI6" s="31">
        <v>900</v>
      </c>
      <c r="AGJ6" s="31">
        <v>900</v>
      </c>
      <c r="AGK6" s="31">
        <v>900</v>
      </c>
      <c r="AGL6" s="31">
        <v>900</v>
      </c>
      <c r="AGM6" s="31">
        <v>900</v>
      </c>
      <c r="AGN6" s="31">
        <v>900</v>
      </c>
      <c r="AGO6" s="31">
        <v>900</v>
      </c>
      <c r="AGP6" s="31">
        <v>900</v>
      </c>
      <c r="AGQ6" s="31">
        <v>900</v>
      </c>
      <c r="AGR6" s="31">
        <v>900</v>
      </c>
      <c r="AGS6" s="31">
        <v>900</v>
      </c>
      <c r="AGT6" s="31">
        <v>900</v>
      </c>
      <c r="AGU6" s="31">
        <v>900</v>
      </c>
      <c r="AGV6" s="31">
        <v>900</v>
      </c>
      <c r="AGW6" s="31">
        <v>900</v>
      </c>
      <c r="AGX6" s="31">
        <v>900</v>
      </c>
      <c r="AGY6" s="31">
        <v>900</v>
      </c>
      <c r="AGZ6" s="31">
        <v>900</v>
      </c>
      <c r="AHA6" s="31">
        <v>900</v>
      </c>
      <c r="AHB6" s="31">
        <v>900</v>
      </c>
      <c r="AHC6" s="31">
        <v>900</v>
      </c>
      <c r="AHD6" s="31">
        <v>900</v>
      </c>
      <c r="AHE6" s="31">
        <v>900</v>
      </c>
      <c r="AHF6" s="31">
        <v>900</v>
      </c>
      <c r="AHG6" s="31">
        <v>900</v>
      </c>
      <c r="AHH6" s="31">
        <v>900</v>
      </c>
      <c r="AHI6" s="31">
        <v>900</v>
      </c>
      <c r="AHJ6" s="31">
        <v>900</v>
      </c>
      <c r="AHK6" s="31">
        <v>900</v>
      </c>
      <c r="AHL6" s="31">
        <v>900</v>
      </c>
      <c r="AHM6" s="31">
        <v>900</v>
      </c>
      <c r="AHN6" s="31">
        <v>900</v>
      </c>
      <c r="AHO6" s="31">
        <v>900</v>
      </c>
      <c r="AHP6" s="31">
        <v>900</v>
      </c>
      <c r="AHQ6" s="31">
        <v>900</v>
      </c>
      <c r="AHR6" s="31">
        <v>900</v>
      </c>
      <c r="AHS6" s="31">
        <v>900</v>
      </c>
      <c r="AHT6" s="31">
        <v>900</v>
      </c>
      <c r="AHU6" s="31">
        <v>900</v>
      </c>
      <c r="AHV6" s="31">
        <v>900</v>
      </c>
      <c r="AHW6" s="31">
        <v>900</v>
      </c>
      <c r="AHX6" s="31">
        <v>900</v>
      </c>
      <c r="AHY6" s="31">
        <v>900</v>
      </c>
      <c r="AHZ6" s="31">
        <v>900</v>
      </c>
      <c r="AIA6" s="31">
        <v>900</v>
      </c>
      <c r="AIB6" s="31">
        <v>900</v>
      </c>
      <c r="AIC6" s="31">
        <v>900</v>
      </c>
      <c r="AID6" s="31">
        <v>900</v>
      </c>
      <c r="AIE6" s="31">
        <v>900</v>
      </c>
      <c r="AIF6" s="31">
        <v>900</v>
      </c>
      <c r="AIG6" s="31">
        <v>900</v>
      </c>
      <c r="AIH6" s="31">
        <v>900</v>
      </c>
      <c r="AII6" s="31">
        <v>900</v>
      </c>
      <c r="AIJ6" s="31">
        <v>900</v>
      </c>
      <c r="AIK6" s="31">
        <v>900</v>
      </c>
      <c r="AIL6" s="31">
        <v>900</v>
      </c>
      <c r="AIM6" s="31">
        <v>900</v>
      </c>
      <c r="AIN6" s="31">
        <v>900</v>
      </c>
      <c r="AIO6" s="31">
        <v>900</v>
      </c>
      <c r="AIP6" s="31">
        <v>900</v>
      </c>
      <c r="AIQ6" s="31">
        <v>900</v>
      </c>
      <c r="AIR6" s="31">
        <v>900</v>
      </c>
      <c r="AIS6" s="31">
        <v>900</v>
      </c>
      <c r="AIT6" s="31">
        <v>900</v>
      </c>
      <c r="AIU6" s="31">
        <v>900</v>
      </c>
      <c r="AIV6" s="31">
        <v>900</v>
      </c>
      <c r="AIW6" s="31">
        <v>900</v>
      </c>
      <c r="AIX6" s="31">
        <v>900</v>
      </c>
      <c r="AIY6" s="31">
        <v>900</v>
      </c>
      <c r="AIZ6" s="31">
        <v>900</v>
      </c>
      <c r="AJA6" s="31">
        <v>900</v>
      </c>
      <c r="AJB6" s="31">
        <v>900</v>
      </c>
      <c r="AJC6" s="31">
        <v>900</v>
      </c>
      <c r="AJD6" s="31">
        <v>900</v>
      </c>
      <c r="AJE6" s="31">
        <v>900</v>
      </c>
      <c r="AJF6" s="31">
        <v>900</v>
      </c>
      <c r="AJG6" s="31">
        <v>900</v>
      </c>
      <c r="AJH6" s="31">
        <v>900</v>
      </c>
      <c r="AJI6" s="31">
        <v>900</v>
      </c>
      <c r="AJJ6" s="31">
        <v>900</v>
      </c>
      <c r="AJK6" s="31">
        <v>900</v>
      </c>
      <c r="AJL6" s="31">
        <v>900</v>
      </c>
      <c r="AJM6" s="31">
        <v>900</v>
      </c>
      <c r="AJN6" s="31">
        <v>900</v>
      </c>
      <c r="AJO6" s="31">
        <v>900</v>
      </c>
      <c r="AJP6" s="31">
        <v>900</v>
      </c>
      <c r="AJQ6" s="31">
        <v>900</v>
      </c>
      <c r="AJR6" s="31">
        <v>900</v>
      </c>
      <c r="AJS6" s="31">
        <v>900</v>
      </c>
      <c r="AJT6" s="31">
        <v>900</v>
      </c>
      <c r="AJU6" s="31">
        <v>900</v>
      </c>
      <c r="AJV6" s="31">
        <v>900</v>
      </c>
      <c r="AJW6" s="31">
        <v>900</v>
      </c>
      <c r="AJX6" s="31">
        <v>900</v>
      </c>
      <c r="AJY6" s="31">
        <v>900</v>
      </c>
      <c r="AJZ6" s="31">
        <v>900</v>
      </c>
      <c r="AKA6" s="31">
        <v>900</v>
      </c>
      <c r="AKB6" s="31">
        <v>900</v>
      </c>
      <c r="AKC6" s="31">
        <v>900</v>
      </c>
      <c r="AKD6" s="31">
        <v>900</v>
      </c>
      <c r="AKE6" s="31">
        <v>900</v>
      </c>
      <c r="AKF6" s="31">
        <v>900</v>
      </c>
      <c r="AKG6" s="31">
        <v>900</v>
      </c>
      <c r="AKH6" s="31">
        <v>900</v>
      </c>
      <c r="AKI6" s="31">
        <v>900</v>
      </c>
      <c r="AKJ6" s="31">
        <v>900</v>
      </c>
      <c r="AKK6" s="31">
        <v>900</v>
      </c>
      <c r="AKL6" s="31">
        <v>900</v>
      </c>
      <c r="AKM6" s="31">
        <v>900</v>
      </c>
      <c r="AKN6" s="31">
        <v>900</v>
      </c>
      <c r="AKO6" s="31">
        <v>900</v>
      </c>
      <c r="AKP6" s="31">
        <v>900</v>
      </c>
      <c r="AKQ6" s="31">
        <v>900</v>
      </c>
      <c r="AKR6" s="31">
        <v>900</v>
      </c>
      <c r="AKS6" s="31">
        <v>900</v>
      </c>
      <c r="AKT6" s="31">
        <v>900</v>
      </c>
      <c r="AKU6" s="31">
        <v>900</v>
      </c>
      <c r="AKV6" s="31">
        <v>900</v>
      </c>
      <c r="AKW6" s="31">
        <v>900</v>
      </c>
      <c r="AKX6" s="31">
        <v>900</v>
      </c>
      <c r="AKY6" s="31">
        <v>900</v>
      </c>
      <c r="AKZ6" s="31">
        <v>900</v>
      </c>
      <c r="ALA6" s="31">
        <v>900</v>
      </c>
      <c r="ALB6" s="31">
        <v>900</v>
      </c>
      <c r="ALC6" s="31">
        <v>900</v>
      </c>
      <c r="ALD6" s="31">
        <v>900</v>
      </c>
      <c r="ALE6" s="31">
        <v>900</v>
      </c>
      <c r="ALF6" s="31">
        <v>900</v>
      </c>
      <c r="ALG6" s="31">
        <v>900</v>
      </c>
      <c r="ALH6" s="31">
        <v>900</v>
      </c>
      <c r="ALI6" s="31">
        <v>900</v>
      </c>
      <c r="ALJ6" s="31">
        <v>900</v>
      </c>
      <c r="ALK6" s="31">
        <v>900</v>
      </c>
      <c r="ALL6" s="31">
        <v>900</v>
      </c>
      <c r="ALM6" s="31">
        <v>900</v>
      </c>
      <c r="ALN6" s="31">
        <v>900</v>
      </c>
      <c r="ALO6" s="31">
        <v>900</v>
      </c>
      <c r="ALP6" s="31">
        <v>900</v>
      </c>
      <c r="ALQ6" s="31">
        <v>900</v>
      </c>
      <c r="ALR6" s="31">
        <v>900</v>
      </c>
      <c r="ALS6" s="31">
        <v>900</v>
      </c>
      <c r="ALT6" s="31">
        <v>900</v>
      </c>
      <c r="ALU6" s="31">
        <v>900</v>
      </c>
      <c r="ALV6" s="31">
        <v>900</v>
      </c>
      <c r="ALW6" s="31">
        <v>900</v>
      </c>
      <c r="ALX6" s="31">
        <v>900</v>
      </c>
      <c r="ALY6" s="31">
        <v>900</v>
      </c>
      <c r="ALZ6" s="31">
        <v>900</v>
      </c>
      <c r="AMA6" s="31">
        <v>900</v>
      </c>
      <c r="AMB6" s="31">
        <v>900</v>
      </c>
      <c r="AMC6" s="31">
        <v>900</v>
      </c>
      <c r="AMD6" s="31">
        <v>900</v>
      </c>
      <c r="AME6" s="31">
        <v>900</v>
      </c>
      <c r="AMF6" s="31">
        <v>900</v>
      </c>
      <c r="AMG6" s="31">
        <v>900</v>
      </c>
      <c r="AMH6" s="31">
        <v>900</v>
      </c>
      <c r="AMI6" s="31">
        <v>900</v>
      </c>
      <c r="AMJ6" s="31">
        <v>900</v>
      </c>
      <c r="AMK6" s="31">
        <v>900</v>
      </c>
      <c r="AML6" s="31">
        <v>900</v>
      </c>
      <c r="AMM6" s="31">
        <v>900</v>
      </c>
      <c r="AMN6" s="31">
        <v>900</v>
      </c>
      <c r="AMO6" s="31">
        <v>900</v>
      </c>
      <c r="AMP6" s="31">
        <v>900</v>
      </c>
      <c r="AMQ6" s="31">
        <v>900</v>
      </c>
      <c r="AMR6" s="31">
        <v>900</v>
      </c>
      <c r="AMS6" s="31">
        <v>900</v>
      </c>
      <c r="AMT6" s="31">
        <v>900</v>
      </c>
      <c r="AMU6" s="31">
        <v>900</v>
      </c>
      <c r="AMV6" s="31">
        <v>900</v>
      </c>
      <c r="AMW6" s="31">
        <v>900</v>
      </c>
      <c r="AMX6" s="31">
        <v>900</v>
      </c>
      <c r="AMY6" s="31">
        <v>900</v>
      </c>
      <c r="AMZ6" s="31">
        <v>900</v>
      </c>
      <c r="ANA6" s="31">
        <v>900</v>
      </c>
      <c r="ANB6" s="31">
        <v>900</v>
      </c>
      <c r="ANC6" s="31">
        <v>900</v>
      </c>
      <c r="AND6" s="31">
        <v>900</v>
      </c>
      <c r="ANE6" s="31">
        <v>900</v>
      </c>
      <c r="ANF6" s="31">
        <v>900</v>
      </c>
      <c r="ANG6" s="31">
        <v>900</v>
      </c>
      <c r="ANH6" s="31">
        <v>900</v>
      </c>
      <c r="ANI6" s="31">
        <v>900</v>
      </c>
      <c r="ANJ6" s="31">
        <v>900</v>
      </c>
      <c r="ANK6" s="31">
        <v>900</v>
      </c>
      <c r="ANL6" s="31">
        <v>900</v>
      </c>
      <c r="ANM6" s="31">
        <v>900</v>
      </c>
      <c r="ANN6" s="31">
        <v>900</v>
      </c>
      <c r="ANO6" s="31">
        <v>900</v>
      </c>
      <c r="ANP6" s="31">
        <v>900</v>
      </c>
      <c r="ANQ6" s="31">
        <v>900</v>
      </c>
      <c r="ANR6" s="31">
        <v>900</v>
      </c>
      <c r="ANS6" s="31">
        <v>900</v>
      </c>
      <c r="ANT6" s="31">
        <v>900</v>
      </c>
      <c r="ANU6" s="31">
        <v>900</v>
      </c>
      <c r="ANV6" s="31">
        <v>900</v>
      </c>
      <c r="ANW6" s="31">
        <v>900</v>
      </c>
      <c r="ANX6" s="31">
        <v>900</v>
      </c>
      <c r="ANY6" s="31">
        <v>900</v>
      </c>
      <c r="ANZ6" s="31">
        <v>900</v>
      </c>
      <c r="AOA6" s="31">
        <v>900</v>
      </c>
      <c r="AOB6" s="31">
        <v>900</v>
      </c>
      <c r="AOC6" s="31">
        <v>900</v>
      </c>
      <c r="AOD6" s="31">
        <v>900</v>
      </c>
      <c r="AOE6" s="31">
        <v>900</v>
      </c>
      <c r="AOF6" s="31">
        <v>900</v>
      </c>
      <c r="AOG6" s="31">
        <v>900</v>
      </c>
      <c r="AOH6" s="31">
        <v>900</v>
      </c>
      <c r="AOI6" s="31">
        <v>900</v>
      </c>
      <c r="AOJ6" s="31">
        <v>900</v>
      </c>
      <c r="AOK6" s="31">
        <v>900</v>
      </c>
      <c r="AOL6" s="31">
        <v>900</v>
      </c>
      <c r="AOM6" s="31">
        <v>900</v>
      </c>
      <c r="AON6" s="31">
        <v>900</v>
      </c>
      <c r="AOO6" s="31">
        <v>900</v>
      </c>
      <c r="AOP6" s="31">
        <v>900</v>
      </c>
      <c r="AOQ6" s="31">
        <v>900</v>
      </c>
      <c r="AOR6" s="31">
        <v>900</v>
      </c>
      <c r="AOS6" s="31">
        <v>900</v>
      </c>
      <c r="AOT6" s="31">
        <v>900</v>
      </c>
      <c r="AOU6" s="31">
        <v>900</v>
      </c>
      <c r="AOV6" s="31">
        <v>900</v>
      </c>
      <c r="AOW6" s="31">
        <v>900</v>
      </c>
      <c r="AOX6" s="31">
        <v>900</v>
      </c>
      <c r="AOY6" s="31">
        <v>900</v>
      </c>
      <c r="AOZ6" s="31">
        <v>900</v>
      </c>
      <c r="APA6" s="31">
        <v>900</v>
      </c>
      <c r="APB6" s="31">
        <v>900</v>
      </c>
      <c r="APC6" s="31">
        <v>900</v>
      </c>
      <c r="APD6" s="31">
        <v>900</v>
      </c>
      <c r="APE6" s="31">
        <v>900</v>
      </c>
      <c r="APF6" s="31">
        <v>900</v>
      </c>
      <c r="APG6" s="31">
        <v>900</v>
      </c>
      <c r="APH6" s="31">
        <v>900</v>
      </c>
      <c r="API6" s="31">
        <v>900</v>
      </c>
      <c r="APJ6" s="31">
        <v>900</v>
      </c>
      <c r="APK6" s="31">
        <v>900</v>
      </c>
      <c r="APL6" s="31">
        <v>900</v>
      </c>
      <c r="APM6" s="31">
        <v>900</v>
      </c>
      <c r="APN6" s="31">
        <v>900</v>
      </c>
      <c r="APO6" s="31">
        <v>900</v>
      </c>
      <c r="APP6" s="31">
        <v>900</v>
      </c>
      <c r="APQ6" s="31">
        <v>900</v>
      </c>
      <c r="APR6" s="31">
        <v>900</v>
      </c>
      <c r="APS6" s="31">
        <v>900</v>
      </c>
      <c r="APT6" s="31">
        <v>900</v>
      </c>
      <c r="APU6" s="31">
        <v>900</v>
      </c>
      <c r="APV6" s="31">
        <v>900</v>
      </c>
      <c r="APW6" s="31">
        <v>900</v>
      </c>
      <c r="APX6" s="31">
        <v>900</v>
      </c>
      <c r="APY6" s="31">
        <v>900</v>
      </c>
      <c r="APZ6" s="31">
        <v>900</v>
      </c>
      <c r="AQA6" s="31">
        <v>900</v>
      </c>
      <c r="AQB6" s="31">
        <v>900</v>
      </c>
      <c r="AQC6" s="31">
        <v>900</v>
      </c>
      <c r="AQD6" s="31">
        <v>900</v>
      </c>
      <c r="AQE6" s="31">
        <v>900</v>
      </c>
      <c r="AQF6" s="31">
        <v>900</v>
      </c>
      <c r="AQG6" s="31">
        <v>900</v>
      </c>
      <c r="AQH6" s="31">
        <v>900</v>
      </c>
      <c r="AQI6" s="31">
        <v>900</v>
      </c>
      <c r="AQJ6" s="31">
        <v>900</v>
      </c>
      <c r="AQK6" s="31">
        <v>900</v>
      </c>
      <c r="AQL6" s="31">
        <v>900</v>
      </c>
      <c r="AQM6" s="31">
        <v>900</v>
      </c>
      <c r="AQN6" s="31">
        <v>900</v>
      </c>
      <c r="AQO6" s="31">
        <v>900</v>
      </c>
      <c r="AQP6" s="31">
        <v>900</v>
      </c>
      <c r="AQQ6" s="31">
        <v>900</v>
      </c>
      <c r="AQR6" s="31">
        <v>900</v>
      </c>
      <c r="AQS6" s="31">
        <v>900</v>
      </c>
      <c r="AQT6" s="31">
        <v>900</v>
      </c>
      <c r="AQU6" s="31">
        <v>900</v>
      </c>
      <c r="AQV6" s="31">
        <v>900</v>
      </c>
      <c r="AQW6" s="31">
        <v>900</v>
      </c>
      <c r="AQX6" s="31">
        <v>900</v>
      </c>
      <c r="AQY6" s="31">
        <v>900</v>
      </c>
      <c r="AQZ6" s="31">
        <v>900</v>
      </c>
      <c r="ARA6" s="31">
        <v>900</v>
      </c>
      <c r="ARB6" s="31">
        <v>900</v>
      </c>
      <c r="ARC6" s="31">
        <v>900</v>
      </c>
      <c r="ARD6" s="31">
        <v>900</v>
      </c>
      <c r="ARE6" s="31">
        <v>900</v>
      </c>
      <c r="ARF6" s="31">
        <v>900</v>
      </c>
      <c r="ARG6" s="31">
        <v>900</v>
      </c>
      <c r="ARH6" s="31">
        <v>900</v>
      </c>
      <c r="ARI6" s="31">
        <v>900</v>
      </c>
      <c r="ARJ6" s="31">
        <v>900</v>
      </c>
      <c r="ARK6" s="31">
        <v>900</v>
      </c>
      <c r="ARL6" s="31">
        <v>900</v>
      </c>
      <c r="ARM6" s="31">
        <v>900</v>
      </c>
      <c r="ARN6" s="31">
        <v>900</v>
      </c>
      <c r="ARO6" s="31">
        <v>900</v>
      </c>
      <c r="ARP6" s="31">
        <v>900</v>
      </c>
      <c r="ARQ6" s="31">
        <v>900</v>
      </c>
      <c r="ARR6" s="31">
        <v>900</v>
      </c>
      <c r="ARS6" s="31">
        <v>900</v>
      </c>
      <c r="ART6" s="31">
        <v>900</v>
      </c>
      <c r="ARU6" s="31">
        <v>900</v>
      </c>
      <c r="ARV6" s="31">
        <v>900</v>
      </c>
      <c r="ARW6" s="31">
        <v>900</v>
      </c>
      <c r="ARX6" s="31">
        <v>900</v>
      </c>
      <c r="ARY6" s="31">
        <v>900</v>
      </c>
      <c r="ARZ6" s="31">
        <v>900</v>
      </c>
      <c r="ASA6" s="31">
        <v>900</v>
      </c>
      <c r="ASB6" s="31">
        <v>900</v>
      </c>
      <c r="ASC6" s="31">
        <v>900</v>
      </c>
      <c r="ASD6" s="31">
        <v>900</v>
      </c>
      <c r="ASE6" s="31">
        <v>900</v>
      </c>
      <c r="ASF6" s="31">
        <v>900</v>
      </c>
      <c r="ASG6" s="31">
        <v>900</v>
      </c>
      <c r="ASH6" s="31">
        <v>900</v>
      </c>
      <c r="ASI6" s="31">
        <v>900</v>
      </c>
      <c r="ASJ6" s="31">
        <v>900</v>
      </c>
      <c r="ASK6" s="31">
        <v>900</v>
      </c>
      <c r="ASL6" s="31">
        <v>900</v>
      </c>
      <c r="ASM6" s="31">
        <v>900</v>
      </c>
      <c r="ASN6" s="31">
        <v>900</v>
      </c>
      <c r="ASO6" s="31">
        <v>900</v>
      </c>
      <c r="ASP6" s="31">
        <v>900</v>
      </c>
      <c r="ASQ6" s="31">
        <v>900</v>
      </c>
      <c r="ASR6" s="31">
        <v>900</v>
      </c>
      <c r="ASS6" s="31">
        <v>900</v>
      </c>
      <c r="AST6" s="31">
        <v>900</v>
      </c>
      <c r="ASU6" s="31">
        <v>900</v>
      </c>
      <c r="ASV6" s="31">
        <v>900</v>
      </c>
      <c r="ASW6" s="31">
        <v>900</v>
      </c>
      <c r="ASX6" s="31">
        <v>900</v>
      </c>
      <c r="ASY6" s="31">
        <v>900</v>
      </c>
      <c r="ASZ6" s="31">
        <v>900</v>
      </c>
      <c r="ATA6" s="31">
        <v>900</v>
      </c>
      <c r="ATB6" s="31">
        <v>900</v>
      </c>
      <c r="ATC6" s="31">
        <v>900</v>
      </c>
      <c r="ATD6" s="31">
        <v>900</v>
      </c>
      <c r="ATE6" s="31">
        <v>900</v>
      </c>
      <c r="ATF6" s="31">
        <v>900</v>
      </c>
      <c r="ATG6" s="31">
        <v>900</v>
      </c>
      <c r="ATH6" s="31">
        <v>900</v>
      </c>
      <c r="ATI6" s="31">
        <v>900</v>
      </c>
      <c r="ATJ6" s="31">
        <v>900</v>
      </c>
      <c r="ATK6" s="31">
        <v>900</v>
      </c>
      <c r="ATL6" s="31">
        <v>900</v>
      </c>
      <c r="ATM6" s="31">
        <v>900</v>
      </c>
      <c r="ATN6" s="31">
        <v>900</v>
      </c>
      <c r="ATO6" s="31">
        <v>900</v>
      </c>
      <c r="ATP6" s="31">
        <v>900</v>
      </c>
      <c r="ATQ6" s="31">
        <v>900</v>
      </c>
      <c r="ATR6" s="31">
        <v>900</v>
      </c>
      <c r="ATS6" s="31">
        <v>900</v>
      </c>
      <c r="ATT6" s="31">
        <v>900</v>
      </c>
      <c r="ATU6" s="31">
        <v>900</v>
      </c>
      <c r="ATV6" s="31">
        <v>900</v>
      </c>
      <c r="ATW6" s="31">
        <v>900</v>
      </c>
      <c r="ATX6" s="31">
        <v>900</v>
      </c>
      <c r="ATY6" s="31">
        <v>900</v>
      </c>
      <c r="ATZ6" s="31">
        <v>900</v>
      </c>
      <c r="AUA6" s="31">
        <v>900</v>
      </c>
      <c r="AUB6" s="31">
        <v>900</v>
      </c>
      <c r="AUC6" s="31">
        <v>900</v>
      </c>
      <c r="AUD6" s="31">
        <v>900</v>
      </c>
      <c r="AUE6" s="31">
        <v>900</v>
      </c>
      <c r="AUF6" s="31">
        <v>900</v>
      </c>
      <c r="AUG6" s="31">
        <v>900</v>
      </c>
      <c r="AUH6" s="31">
        <v>900</v>
      </c>
      <c r="AUI6" s="31">
        <v>900</v>
      </c>
      <c r="AUJ6" s="31">
        <v>900</v>
      </c>
      <c r="AUK6" s="31">
        <v>900</v>
      </c>
      <c r="AUL6" s="31">
        <v>900</v>
      </c>
      <c r="AUM6" s="31">
        <v>900</v>
      </c>
      <c r="AUN6" s="31">
        <v>900</v>
      </c>
      <c r="AUO6" s="31">
        <v>900</v>
      </c>
      <c r="AUP6" s="31">
        <v>900</v>
      </c>
      <c r="AUQ6" s="31">
        <v>900</v>
      </c>
      <c r="AUR6" s="31">
        <v>900</v>
      </c>
      <c r="AUS6" s="31">
        <v>900</v>
      </c>
      <c r="AUT6" s="31">
        <v>900</v>
      </c>
      <c r="AUU6" s="31">
        <v>900</v>
      </c>
      <c r="AUV6" s="31">
        <v>900</v>
      </c>
      <c r="AUW6" s="31">
        <v>900</v>
      </c>
      <c r="AUX6" s="31">
        <v>900</v>
      </c>
      <c r="AUY6" s="31">
        <v>900</v>
      </c>
      <c r="AUZ6" s="31">
        <v>900</v>
      </c>
      <c r="AVA6" s="31">
        <v>900</v>
      </c>
      <c r="AVB6" s="31">
        <v>900</v>
      </c>
      <c r="AVC6" s="31">
        <v>900</v>
      </c>
      <c r="AVD6" s="31">
        <v>900</v>
      </c>
      <c r="AVE6" s="31">
        <v>900</v>
      </c>
      <c r="AVF6" s="31">
        <v>900</v>
      </c>
      <c r="AVG6" s="31">
        <v>900</v>
      </c>
      <c r="AVH6" s="31">
        <v>900</v>
      </c>
      <c r="AVI6" s="31">
        <v>900</v>
      </c>
      <c r="AVJ6" s="31">
        <v>900</v>
      </c>
      <c r="AVK6" s="31">
        <v>900</v>
      </c>
      <c r="AVL6" s="31">
        <v>900</v>
      </c>
      <c r="AVM6" s="31">
        <v>900</v>
      </c>
      <c r="AVN6" s="31">
        <v>900</v>
      </c>
      <c r="AVO6" s="31">
        <v>900</v>
      </c>
      <c r="AVP6" s="31">
        <v>900</v>
      </c>
      <c r="AVQ6" s="31">
        <v>900</v>
      </c>
      <c r="AVR6" s="31">
        <v>900</v>
      </c>
      <c r="AVS6" s="31">
        <v>900</v>
      </c>
      <c r="AVT6" s="31">
        <v>900</v>
      </c>
      <c r="AVU6" s="31">
        <v>900</v>
      </c>
      <c r="AVV6" s="31">
        <v>900</v>
      </c>
      <c r="AVW6" s="31">
        <v>900</v>
      </c>
      <c r="AVX6" s="31">
        <v>900</v>
      </c>
      <c r="AVY6" s="31">
        <v>900</v>
      </c>
      <c r="AVZ6" s="31">
        <v>900</v>
      </c>
      <c r="AWA6" s="31">
        <v>900</v>
      </c>
      <c r="AWB6" s="31">
        <v>900</v>
      </c>
      <c r="AWC6" s="31">
        <v>900</v>
      </c>
      <c r="AWD6" s="31">
        <v>900</v>
      </c>
      <c r="AWE6" s="31">
        <v>900</v>
      </c>
      <c r="AWF6" s="31">
        <v>900</v>
      </c>
      <c r="AWG6" s="31">
        <v>900</v>
      </c>
      <c r="AWH6" s="31">
        <v>900</v>
      </c>
      <c r="AWI6" s="31">
        <v>900</v>
      </c>
      <c r="AWJ6" s="31">
        <v>900</v>
      </c>
      <c r="AWK6" s="31">
        <v>900</v>
      </c>
      <c r="AWL6" s="31">
        <v>900</v>
      </c>
      <c r="AWM6" s="31">
        <v>900</v>
      </c>
      <c r="AWN6" s="31">
        <v>900</v>
      </c>
      <c r="AWO6" s="31">
        <v>900</v>
      </c>
      <c r="AWP6" s="31">
        <v>900</v>
      </c>
      <c r="AWQ6" s="31">
        <v>900</v>
      </c>
      <c r="AWR6" s="31">
        <v>900</v>
      </c>
      <c r="AWS6" s="31">
        <v>900</v>
      </c>
      <c r="AWT6" s="31">
        <v>900</v>
      </c>
      <c r="AWU6" s="31">
        <v>900</v>
      </c>
      <c r="AWV6" s="31">
        <v>900</v>
      </c>
      <c r="AWW6" s="31">
        <v>900</v>
      </c>
      <c r="AWX6" s="31">
        <v>900</v>
      </c>
      <c r="AWY6" s="31">
        <v>900</v>
      </c>
      <c r="AWZ6" s="31">
        <v>900</v>
      </c>
      <c r="AXA6" s="31">
        <v>900</v>
      </c>
      <c r="AXB6" s="31">
        <v>900</v>
      </c>
      <c r="AXC6" s="31">
        <v>900</v>
      </c>
      <c r="AXD6" s="31">
        <v>900</v>
      </c>
      <c r="AXE6" s="31">
        <v>900</v>
      </c>
      <c r="AXF6" s="31">
        <v>900</v>
      </c>
      <c r="AXG6" s="31">
        <v>900</v>
      </c>
      <c r="AXH6" s="31">
        <v>900</v>
      </c>
      <c r="AXI6" s="31">
        <v>900</v>
      </c>
      <c r="AXJ6" s="31">
        <v>900</v>
      </c>
      <c r="AXK6" s="31">
        <v>900</v>
      </c>
      <c r="AXL6" s="31">
        <v>900</v>
      </c>
      <c r="AXM6" s="31">
        <v>900</v>
      </c>
      <c r="AXN6" s="31">
        <v>900</v>
      </c>
      <c r="AXO6" s="31">
        <v>900</v>
      </c>
      <c r="AXP6" s="31">
        <v>900</v>
      </c>
      <c r="AXQ6" s="31">
        <v>900</v>
      </c>
      <c r="AXR6" s="31">
        <v>900</v>
      </c>
      <c r="AXS6" s="31">
        <v>900</v>
      </c>
      <c r="AXT6" s="31">
        <v>900</v>
      </c>
      <c r="AXU6" s="31">
        <v>900</v>
      </c>
      <c r="AXV6" s="31">
        <v>900</v>
      </c>
      <c r="AXW6" s="31">
        <v>900</v>
      </c>
      <c r="AXX6" s="31">
        <v>900</v>
      </c>
      <c r="AXY6" s="31">
        <v>900</v>
      </c>
      <c r="AXZ6" s="31">
        <v>900</v>
      </c>
      <c r="AYA6" s="31">
        <v>900</v>
      </c>
      <c r="AYB6" s="31">
        <v>900</v>
      </c>
      <c r="AYC6" s="31">
        <v>900</v>
      </c>
      <c r="AYD6" s="31">
        <v>900</v>
      </c>
      <c r="AYE6" s="31">
        <v>900</v>
      </c>
      <c r="AYF6" s="31">
        <v>900</v>
      </c>
      <c r="AYG6" s="31">
        <v>900</v>
      </c>
      <c r="AYH6" s="31">
        <v>900</v>
      </c>
      <c r="AYI6" s="31">
        <v>900</v>
      </c>
      <c r="AYJ6" s="31">
        <v>900</v>
      </c>
      <c r="AYK6" s="31">
        <v>900</v>
      </c>
      <c r="AYL6" s="31">
        <v>900</v>
      </c>
      <c r="AYM6" s="31">
        <v>900</v>
      </c>
      <c r="AYN6" s="31">
        <v>900</v>
      </c>
      <c r="AYO6" s="31">
        <v>900</v>
      </c>
      <c r="AYP6" s="31">
        <v>900</v>
      </c>
      <c r="AYQ6" s="31">
        <v>900</v>
      </c>
      <c r="AYR6" s="31">
        <v>900</v>
      </c>
      <c r="AYS6" s="31">
        <v>900</v>
      </c>
      <c r="AYT6" s="31">
        <v>900</v>
      </c>
      <c r="AYU6" s="31">
        <v>900</v>
      </c>
      <c r="AYV6" s="31">
        <v>900</v>
      </c>
      <c r="AYW6" s="31">
        <v>900</v>
      </c>
      <c r="AYX6" s="31">
        <v>900</v>
      </c>
      <c r="AYY6" s="31">
        <v>900</v>
      </c>
      <c r="AYZ6" s="31">
        <v>900</v>
      </c>
      <c r="AZA6" s="31">
        <v>900</v>
      </c>
      <c r="AZB6" s="31">
        <v>900</v>
      </c>
      <c r="AZC6" s="31">
        <v>900</v>
      </c>
      <c r="AZD6" s="31">
        <v>900</v>
      </c>
      <c r="AZE6" s="31">
        <v>900</v>
      </c>
      <c r="AZF6" s="31">
        <v>900</v>
      </c>
      <c r="AZG6" s="31">
        <v>900</v>
      </c>
      <c r="AZH6" s="31">
        <v>900</v>
      </c>
      <c r="AZI6" s="31">
        <v>900</v>
      </c>
      <c r="AZJ6" s="31">
        <v>900</v>
      </c>
      <c r="AZK6" s="31">
        <v>900</v>
      </c>
      <c r="AZL6" s="31">
        <v>900</v>
      </c>
      <c r="AZM6" s="31">
        <v>900</v>
      </c>
      <c r="AZN6" s="31">
        <v>900</v>
      </c>
      <c r="AZO6" s="31">
        <v>900</v>
      </c>
      <c r="AZP6" s="31">
        <v>900</v>
      </c>
      <c r="AZQ6" s="31">
        <v>900</v>
      </c>
      <c r="AZR6" s="31">
        <v>900</v>
      </c>
      <c r="AZS6" s="31">
        <v>900</v>
      </c>
      <c r="AZT6" s="31">
        <v>900</v>
      </c>
      <c r="AZU6" s="31">
        <v>900</v>
      </c>
      <c r="AZV6" s="31">
        <v>900</v>
      </c>
      <c r="AZW6" s="31">
        <v>900</v>
      </c>
      <c r="AZX6" s="31">
        <v>900</v>
      </c>
      <c r="AZY6" s="31">
        <v>900</v>
      </c>
      <c r="AZZ6" s="31">
        <v>900</v>
      </c>
      <c r="BAA6" s="31">
        <v>900</v>
      </c>
      <c r="BAB6" s="31">
        <v>900</v>
      </c>
      <c r="BAC6" s="31">
        <v>900</v>
      </c>
      <c r="BAD6" s="31">
        <v>900</v>
      </c>
      <c r="BAE6" s="31">
        <v>900</v>
      </c>
      <c r="BAF6" s="31">
        <v>900</v>
      </c>
      <c r="BAG6" s="31">
        <v>900</v>
      </c>
      <c r="BAH6" s="31">
        <v>900</v>
      </c>
      <c r="BAI6" s="31">
        <v>900</v>
      </c>
      <c r="BAJ6" s="31">
        <v>900</v>
      </c>
      <c r="BAK6" s="31">
        <v>900</v>
      </c>
      <c r="BAL6" s="31">
        <v>900</v>
      </c>
      <c r="BAM6" s="31">
        <v>900</v>
      </c>
      <c r="BAN6" s="31">
        <v>900</v>
      </c>
      <c r="BAO6" s="31">
        <v>900</v>
      </c>
      <c r="BAP6" s="31">
        <v>900</v>
      </c>
      <c r="BAQ6" s="31">
        <v>900</v>
      </c>
      <c r="BAR6" s="31">
        <v>900</v>
      </c>
      <c r="BAS6" s="31">
        <v>900</v>
      </c>
      <c r="BAT6" s="31">
        <v>900</v>
      </c>
      <c r="BAU6" s="31">
        <v>900</v>
      </c>
      <c r="BAV6" s="31">
        <v>900</v>
      </c>
      <c r="BAW6" s="31">
        <v>900</v>
      </c>
      <c r="BAX6" s="31">
        <v>900</v>
      </c>
      <c r="BAY6" s="31">
        <v>900</v>
      </c>
      <c r="BAZ6" s="31">
        <v>900</v>
      </c>
      <c r="BBA6" s="31">
        <v>900</v>
      </c>
      <c r="BBB6" s="31">
        <v>900</v>
      </c>
      <c r="BBC6" s="31">
        <v>900</v>
      </c>
      <c r="BBD6" s="31">
        <v>900</v>
      </c>
      <c r="BBE6" s="31">
        <v>900</v>
      </c>
      <c r="BBF6" s="31">
        <v>900</v>
      </c>
      <c r="BBG6" s="31">
        <v>900</v>
      </c>
      <c r="BBH6" s="31">
        <v>900</v>
      </c>
      <c r="BBI6" s="31">
        <v>900</v>
      </c>
      <c r="BBJ6" s="31">
        <v>900</v>
      </c>
      <c r="BBK6" s="31">
        <v>900</v>
      </c>
      <c r="BBL6" s="31">
        <v>900</v>
      </c>
      <c r="BBM6" s="31">
        <v>900</v>
      </c>
      <c r="BBN6" s="31">
        <v>900</v>
      </c>
      <c r="BBO6" s="31">
        <v>900</v>
      </c>
      <c r="BBP6" s="31">
        <v>900</v>
      </c>
      <c r="BBQ6" s="31">
        <v>900</v>
      </c>
      <c r="BBR6" s="31">
        <v>900</v>
      </c>
      <c r="BBS6" s="31">
        <v>900</v>
      </c>
      <c r="BBT6" s="31">
        <v>900</v>
      </c>
      <c r="BBU6" s="31">
        <v>900</v>
      </c>
      <c r="BBV6" s="31">
        <v>900</v>
      </c>
      <c r="BBW6" s="31">
        <v>900</v>
      </c>
      <c r="BBX6" s="31">
        <v>900</v>
      </c>
      <c r="BBY6" s="31">
        <v>900</v>
      </c>
      <c r="BBZ6" s="31">
        <v>900</v>
      </c>
      <c r="BCA6" s="31">
        <v>900</v>
      </c>
      <c r="BCB6" s="31">
        <v>900</v>
      </c>
      <c r="BCC6" s="31">
        <v>900</v>
      </c>
      <c r="BCD6" s="31">
        <v>900</v>
      </c>
      <c r="BCE6" s="31">
        <v>900</v>
      </c>
      <c r="BCF6" s="31">
        <v>900</v>
      </c>
      <c r="BCG6" s="31">
        <v>900</v>
      </c>
      <c r="BCH6" s="31">
        <v>900</v>
      </c>
      <c r="BCI6" s="31">
        <v>900</v>
      </c>
      <c r="BCJ6" s="31">
        <v>900</v>
      </c>
      <c r="BCK6" s="31">
        <v>900</v>
      </c>
      <c r="BCL6" s="31">
        <v>900</v>
      </c>
      <c r="BCM6" s="31">
        <v>900</v>
      </c>
      <c r="BCN6" s="31">
        <v>900</v>
      </c>
      <c r="BCO6" s="31">
        <v>900</v>
      </c>
      <c r="BCP6" s="31">
        <v>900</v>
      </c>
      <c r="BCQ6" s="31">
        <v>900</v>
      </c>
      <c r="BCR6" s="31">
        <v>900</v>
      </c>
      <c r="BCS6" s="31">
        <v>900</v>
      </c>
      <c r="BCT6" s="31">
        <v>900</v>
      </c>
      <c r="BCU6" s="31">
        <v>900</v>
      </c>
      <c r="BCV6" s="31">
        <v>900</v>
      </c>
      <c r="BCW6" s="31">
        <v>900</v>
      </c>
      <c r="BCX6" s="31">
        <v>900</v>
      </c>
      <c r="BCY6" s="31">
        <v>900</v>
      </c>
      <c r="BCZ6" s="31">
        <v>900</v>
      </c>
      <c r="BDA6" s="31">
        <v>900</v>
      </c>
      <c r="BDB6" s="31">
        <v>900</v>
      </c>
      <c r="BDC6" s="31">
        <v>900</v>
      </c>
      <c r="BDD6" s="31">
        <v>900</v>
      </c>
      <c r="BDE6" s="31">
        <v>900</v>
      </c>
      <c r="BDF6" s="31">
        <v>900</v>
      </c>
      <c r="BDG6" s="31">
        <v>900</v>
      </c>
      <c r="BDH6" s="31">
        <v>900</v>
      </c>
      <c r="BDI6" s="31">
        <v>900</v>
      </c>
      <c r="BDJ6" s="31">
        <v>900</v>
      </c>
      <c r="BDK6" s="31">
        <v>900</v>
      </c>
      <c r="BDL6" s="31">
        <v>900</v>
      </c>
      <c r="BDM6" s="31">
        <v>900</v>
      </c>
      <c r="BDN6" s="31">
        <v>900</v>
      </c>
      <c r="BDO6" s="31">
        <v>900</v>
      </c>
      <c r="BDP6" s="31">
        <v>900</v>
      </c>
      <c r="BDQ6" s="31">
        <v>900</v>
      </c>
      <c r="BDR6" s="31">
        <v>900</v>
      </c>
      <c r="BDS6" s="31">
        <v>900</v>
      </c>
      <c r="BDT6" s="31">
        <v>900</v>
      </c>
      <c r="BDU6" s="31">
        <v>900</v>
      </c>
      <c r="BDV6" s="31">
        <v>900</v>
      </c>
      <c r="BDW6" s="31">
        <v>900</v>
      </c>
      <c r="BDX6" s="31">
        <v>900</v>
      </c>
      <c r="BDY6" s="31">
        <v>900</v>
      </c>
      <c r="BDZ6" s="31">
        <v>900</v>
      </c>
      <c r="BEA6" s="31">
        <v>900</v>
      </c>
      <c r="BEB6" s="31">
        <v>900</v>
      </c>
      <c r="BEC6" s="31">
        <v>900</v>
      </c>
      <c r="BED6" s="31">
        <v>900</v>
      </c>
      <c r="BEE6" s="31">
        <v>900</v>
      </c>
      <c r="BEF6" s="31">
        <v>900</v>
      </c>
      <c r="BEG6" s="31">
        <v>900</v>
      </c>
      <c r="BEH6" s="31">
        <v>900</v>
      </c>
      <c r="BEI6" s="31">
        <v>900</v>
      </c>
      <c r="BEJ6" s="31">
        <v>900</v>
      </c>
      <c r="BEK6" s="31">
        <v>900</v>
      </c>
      <c r="BEL6" s="31">
        <v>900</v>
      </c>
      <c r="BEM6" s="31">
        <v>900</v>
      </c>
      <c r="BEN6" s="31">
        <v>900</v>
      </c>
      <c r="BEO6" s="31">
        <v>900</v>
      </c>
      <c r="BEP6" s="31">
        <v>900</v>
      </c>
      <c r="BEQ6" s="31">
        <v>900</v>
      </c>
      <c r="BER6" s="31">
        <v>900</v>
      </c>
      <c r="BES6" s="31">
        <v>900</v>
      </c>
      <c r="BET6" s="31">
        <v>900</v>
      </c>
      <c r="BEU6" s="31">
        <v>900</v>
      </c>
      <c r="BEV6" s="31">
        <v>900</v>
      </c>
      <c r="BEW6" s="31">
        <v>900</v>
      </c>
      <c r="BEX6" s="31">
        <v>900</v>
      </c>
      <c r="BEY6" s="31">
        <v>900</v>
      </c>
      <c r="BEZ6" s="31">
        <v>900</v>
      </c>
      <c r="BFA6" s="31">
        <v>900</v>
      </c>
      <c r="BFB6" s="31">
        <v>900</v>
      </c>
      <c r="BFC6" s="31">
        <v>900</v>
      </c>
      <c r="BFD6" s="31">
        <v>900</v>
      </c>
      <c r="BFE6" s="31">
        <v>900</v>
      </c>
      <c r="BFF6" s="31">
        <v>900</v>
      </c>
      <c r="BFG6" s="31">
        <v>900</v>
      </c>
      <c r="BFH6" s="31">
        <v>900</v>
      </c>
      <c r="BFI6" s="31">
        <v>900</v>
      </c>
      <c r="BFJ6" s="31">
        <v>900</v>
      </c>
      <c r="BFK6" s="31">
        <v>900</v>
      </c>
      <c r="BFL6" s="31">
        <v>900</v>
      </c>
      <c r="BFM6" s="31">
        <v>900</v>
      </c>
      <c r="BFN6" s="31">
        <v>900</v>
      </c>
      <c r="BFO6" s="31">
        <v>900</v>
      </c>
      <c r="BFP6" s="31">
        <v>900</v>
      </c>
      <c r="BFQ6" s="31">
        <v>900</v>
      </c>
      <c r="BFR6" s="31">
        <v>900</v>
      </c>
      <c r="BFS6" s="31">
        <v>900</v>
      </c>
      <c r="BFT6" s="31">
        <v>900</v>
      </c>
      <c r="BFU6" s="31">
        <v>900</v>
      </c>
      <c r="BFV6" s="31">
        <v>900</v>
      </c>
      <c r="BFW6" s="31">
        <v>900</v>
      </c>
      <c r="BFX6" s="31">
        <v>900</v>
      </c>
      <c r="BFY6" s="31">
        <v>900</v>
      </c>
      <c r="BFZ6" s="31">
        <v>900</v>
      </c>
      <c r="BGA6" s="31">
        <v>900</v>
      </c>
      <c r="BGB6" s="31">
        <v>900</v>
      </c>
      <c r="BGC6" s="31">
        <v>900</v>
      </c>
      <c r="BGD6" s="31">
        <v>900</v>
      </c>
      <c r="BGE6" s="31">
        <v>900</v>
      </c>
      <c r="BGF6" s="31">
        <v>900</v>
      </c>
      <c r="BGG6" s="31">
        <v>900</v>
      </c>
      <c r="BGH6" s="31">
        <v>900</v>
      </c>
      <c r="BGI6" s="31">
        <v>900</v>
      </c>
      <c r="BGJ6" s="31">
        <v>900</v>
      </c>
      <c r="BGK6" s="31">
        <v>900</v>
      </c>
      <c r="BGL6" s="31">
        <v>900</v>
      </c>
      <c r="BGM6" s="31">
        <v>900</v>
      </c>
      <c r="BGN6" s="31">
        <v>900</v>
      </c>
      <c r="BGO6" s="31">
        <v>900</v>
      </c>
      <c r="BGP6" s="31">
        <v>900</v>
      </c>
      <c r="BGQ6" s="31">
        <v>900</v>
      </c>
      <c r="BGR6" s="31">
        <v>900</v>
      </c>
      <c r="BGS6" s="31">
        <v>900</v>
      </c>
      <c r="BGT6" s="31">
        <v>900</v>
      </c>
      <c r="BGU6" s="31">
        <v>900</v>
      </c>
      <c r="BGV6" s="31">
        <v>900</v>
      </c>
      <c r="BGW6" s="31">
        <v>900</v>
      </c>
      <c r="BGX6" s="31">
        <v>900</v>
      </c>
      <c r="BGY6" s="31">
        <v>900</v>
      </c>
      <c r="BGZ6" s="31">
        <v>900</v>
      </c>
      <c r="BHA6" s="31">
        <v>900</v>
      </c>
      <c r="BHB6" s="31">
        <v>900</v>
      </c>
      <c r="BHC6" s="31">
        <v>900</v>
      </c>
      <c r="BHD6" s="31">
        <v>900</v>
      </c>
      <c r="BHE6" s="31">
        <v>900</v>
      </c>
      <c r="BHF6" s="31">
        <v>900</v>
      </c>
      <c r="BHG6" s="31">
        <v>900</v>
      </c>
      <c r="BHH6" s="31">
        <v>900</v>
      </c>
      <c r="BHI6" s="31">
        <v>900</v>
      </c>
      <c r="BHJ6" s="31">
        <v>900</v>
      </c>
      <c r="BHK6" s="31">
        <v>900</v>
      </c>
      <c r="BHL6" s="31">
        <v>900</v>
      </c>
      <c r="BHM6" s="31">
        <v>900</v>
      </c>
      <c r="BHN6" s="31">
        <v>900</v>
      </c>
      <c r="BHO6" s="31">
        <v>900</v>
      </c>
      <c r="BHP6" s="31">
        <v>900</v>
      </c>
      <c r="BHQ6" s="31">
        <v>900</v>
      </c>
      <c r="BHR6" s="31">
        <v>900</v>
      </c>
      <c r="BHS6" s="31">
        <v>900</v>
      </c>
      <c r="BHT6" s="31">
        <v>900</v>
      </c>
      <c r="BHU6" s="31">
        <v>900</v>
      </c>
      <c r="BHV6" s="31">
        <v>900</v>
      </c>
      <c r="BHW6" s="31">
        <v>900</v>
      </c>
      <c r="BHX6" s="31">
        <v>900</v>
      </c>
      <c r="BHY6" s="31">
        <v>900</v>
      </c>
      <c r="BHZ6" s="31">
        <v>900</v>
      </c>
      <c r="BIA6" s="31">
        <v>900</v>
      </c>
      <c r="BIB6" s="31">
        <v>900</v>
      </c>
      <c r="BIC6" s="31">
        <v>900</v>
      </c>
      <c r="BID6" s="31">
        <v>900</v>
      </c>
      <c r="BIE6" s="31">
        <v>900</v>
      </c>
      <c r="BIF6" s="31">
        <v>900</v>
      </c>
      <c r="BIG6" s="31">
        <v>900</v>
      </c>
      <c r="BIH6" s="31">
        <v>900</v>
      </c>
      <c r="BII6" s="31">
        <v>900</v>
      </c>
      <c r="BIJ6" s="31">
        <v>900</v>
      </c>
      <c r="BIK6" s="31">
        <v>900</v>
      </c>
      <c r="BIL6" s="31">
        <v>900</v>
      </c>
      <c r="BIM6" s="31">
        <v>900</v>
      </c>
      <c r="BIN6" s="31">
        <v>900</v>
      </c>
      <c r="BIO6" s="31">
        <v>900</v>
      </c>
      <c r="BIP6" s="31">
        <v>900</v>
      </c>
      <c r="BIQ6" s="31">
        <v>900</v>
      </c>
      <c r="BIR6" s="31">
        <v>900</v>
      </c>
      <c r="BIS6" s="31">
        <v>900</v>
      </c>
      <c r="BIT6" s="31">
        <v>900</v>
      </c>
      <c r="BIU6" s="31">
        <v>900</v>
      </c>
      <c r="BIV6" s="31">
        <v>900</v>
      </c>
      <c r="BIW6" s="31">
        <v>900</v>
      </c>
      <c r="BIX6" s="31">
        <v>900</v>
      </c>
      <c r="BIY6" s="31">
        <v>900</v>
      </c>
      <c r="BIZ6" s="31">
        <v>900</v>
      </c>
      <c r="BJA6" s="31">
        <v>900</v>
      </c>
      <c r="BJB6" s="31">
        <v>900</v>
      </c>
      <c r="BJC6" s="31">
        <v>900</v>
      </c>
      <c r="BJD6" s="31">
        <v>900</v>
      </c>
      <c r="BJE6" s="31">
        <v>900</v>
      </c>
      <c r="BJF6" s="31">
        <v>900</v>
      </c>
      <c r="BJG6" s="31">
        <v>900</v>
      </c>
      <c r="BJH6" s="31">
        <v>900</v>
      </c>
      <c r="BJI6" s="31">
        <v>900</v>
      </c>
      <c r="BJJ6" s="31">
        <v>900</v>
      </c>
      <c r="BJK6" s="31">
        <v>900</v>
      </c>
      <c r="BJL6" s="31">
        <v>900</v>
      </c>
      <c r="BJM6" s="31">
        <v>900</v>
      </c>
      <c r="BJN6" s="31">
        <v>900</v>
      </c>
      <c r="BJO6" s="31">
        <v>900</v>
      </c>
      <c r="BJP6" s="31">
        <v>900</v>
      </c>
      <c r="BJQ6" s="31">
        <v>900</v>
      </c>
      <c r="BJR6" s="31">
        <v>900</v>
      </c>
      <c r="BJS6" s="31">
        <v>900</v>
      </c>
      <c r="BJT6" s="31">
        <v>900</v>
      </c>
      <c r="BJU6" s="31">
        <v>900</v>
      </c>
      <c r="BJV6" s="31">
        <v>900</v>
      </c>
      <c r="BJW6" s="31">
        <v>900</v>
      </c>
      <c r="BJX6" s="31">
        <v>900</v>
      </c>
      <c r="BJY6" s="31">
        <v>900</v>
      </c>
      <c r="BJZ6" s="31">
        <v>900</v>
      </c>
      <c r="BKA6" s="31">
        <v>900</v>
      </c>
      <c r="BKB6" s="31">
        <v>900</v>
      </c>
      <c r="BKC6" s="31">
        <v>900</v>
      </c>
      <c r="BKD6" s="31">
        <v>900</v>
      </c>
      <c r="BKE6" s="31">
        <v>900</v>
      </c>
      <c r="BKF6" s="31">
        <v>900</v>
      </c>
      <c r="BKG6" s="31">
        <v>900</v>
      </c>
      <c r="BKH6" s="31">
        <v>900</v>
      </c>
      <c r="BKI6" s="31">
        <v>900</v>
      </c>
      <c r="BKJ6" s="31">
        <v>900</v>
      </c>
      <c r="BKK6" s="31">
        <v>900</v>
      </c>
      <c r="BKL6" s="31">
        <v>900</v>
      </c>
      <c r="BKM6" s="31">
        <v>900</v>
      </c>
      <c r="BKN6" s="31">
        <v>900</v>
      </c>
      <c r="BKO6" s="31">
        <v>900</v>
      </c>
      <c r="BKP6" s="31">
        <v>900</v>
      </c>
      <c r="BKQ6" s="31">
        <v>900</v>
      </c>
      <c r="BKR6" s="31">
        <v>900</v>
      </c>
      <c r="BKS6" s="31">
        <v>900</v>
      </c>
      <c r="BKT6" s="31">
        <v>900</v>
      </c>
      <c r="BKU6" s="31">
        <v>900</v>
      </c>
      <c r="BKV6" s="31">
        <v>900</v>
      </c>
      <c r="BKW6" s="31">
        <v>900</v>
      </c>
      <c r="BKX6" s="31">
        <v>900</v>
      </c>
      <c r="BKY6" s="31">
        <v>900</v>
      </c>
      <c r="BKZ6" s="31">
        <v>900</v>
      </c>
      <c r="BLA6" s="31">
        <v>900</v>
      </c>
      <c r="BLB6" s="31">
        <v>900</v>
      </c>
      <c r="BLC6" s="31">
        <v>900</v>
      </c>
      <c r="BLD6" s="31">
        <v>900</v>
      </c>
      <c r="BLE6" s="31">
        <v>900</v>
      </c>
      <c r="BLF6" s="31">
        <v>900</v>
      </c>
      <c r="BLG6" s="31">
        <v>900</v>
      </c>
      <c r="BLH6" s="31">
        <v>900</v>
      </c>
      <c r="BLI6" s="31">
        <v>900</v>
      </c>
      <c r="BLJ6" s="31">
        <v>900</v>
      </c>
      <c r="BLK6" s="31">
        <v>900</v>
      </c>
      <c r="BLL6" s="31">
        <v>900</v>
      </c>
      <c r="BLM6" s="31">
        <v>900</v>
      </c>
      <c r="BLN6" s="31">
        <v>900</v>
      </c>
      <c r="BLO6" s="31">
        <v>900</v>
      </c>
      <c r="BLP6" s="31">
        <v>900</v>
      </c>
      <c r="BLQ6" s="31">
        <v>900</v>
      </c>
      <c r="BLR6" s="31">
        <v>900</v>
      </c>
      <c r="BLS6" s="31">
        <v>900</v>
      </c>
      <c r="BLT6" s="31">
        <v>900</v>
      </c>
      <c r="BLU6" s="31">
        <v>900</v>
      </c>
      <c r="BLV6" s="31">
        <v>900</v>
      </c>
      <c r="BLW6" s="31">
        <v>900</v>
      </c>
      <c r="BLX6" s="31">
        <v>900</v>
      </c>
      <c r="BLY6" s="31">
        <v>900</v>
      </c>
      <c r="BLZ6" s="31">
        <v>900</v>
      </c>
      <c r="BMA6" s="31">
        <v>900</v>
      </c>
      <c r="BMB6" s="31">
        <v>900</v>
      </c>
      <c r="BMC6" s="31">
        <v>900</v>
      </c>
      <c r="BMD6" s="31">
        <v>900</v>
      </c>
      <c r="BME6" s="31">
        <v>900</v>
      </c>
      <c r="BMF6" s="31">
        <v>900</v>
      </c>
      <c r="BMG6" s="31">
        <v>900</v>
      </c>
      <c r="BMH6" s="31">
        <v>900</v>
      </c>
      <c r="BMI6" s="31">
        <v>900</v>
      </c>
      <c r="BMJ6" s="31">
        <v>900</v>
      </c>
      <c r="BMK6" s="31">
        <v>900</v>
      </c>
      <c r="BML6" s="31">
        <v>900</v>
      </c>
      <c r="BMM6" s="31">
        <v>900</v>
      </c>
      <c r="BMN6" s="31">
        <v>900</v>
      </c>
      <c r="BMO6" s="31">
        <v>900</v>
      </c>
      <c r="BMP6" s="31">
        <v>900</v>
      </c>
      <c r="BMQ6" s="31">
        <v>900</v>
      </c>
      <c r="BMR6" s="31">
        <v>900</v>
      </c>
      <c r="BMS6" s="31">
        <v>900</v>
      </c>
      <c r="BMT6" s="31">
        <v>900</v>
      </c>
      <c r="BMU6" s="31">
        <v>900</v>
      </c>
      <c r="BMV6" s="31">
        <v>900</v>
      </c>
      <c r="BMW6" s="31">
        <v>900</v>
      </c>
      <c r="BMX6" s="31">
        <v>900</v>
      </c>
      <c r="BMY6" s="31">
        <v>900</v>
      </c>
      <c r="BMZ6" s="31">
        <v>900</v>
      </c>
      <c r="BNA6" s="31">
        <v>900</v>
      </c>
      <c r="BNB6" s="31">
        <v>900</v>
      </c>
      <c r="BNC6" s="31">
        <v>900</v>
      </c>
      <c r="BND6" s="31">
        <v>900</v>
      </c>
      <c r="BNE6" s="31">
        <v>900</v>
      </c>
      <c r="BNF6" s="31">
        <v>900</v>
      </c>
      <c r="BNG6" s="31">
        <v>900</v>
      </c>
      <c r="BNH6" s="31">
        <v>900</v>
      </c>
      <c r="BNI6" s="31">
        <v>900</v>
      </c>
      <c r="BNJ6" s="31">
        <v>900</v>
      </c>
      <c r="BNK6" s="31">
        <v>900</v>
      </c>
      <c r="BNL6" s="31">
        <v>900</v>
      </c>
      <c r="BNM6" s="31">
        <v>900</v>
      </c>
      <c r="BNN6" s="31">
        <v>900</v>
      </c>
      <c r="BNO6" s="31">
        <v>900</v>
      </c>
      <c r="BNP6" s="31">
        <v>900</v>
      </c>
      <c r="BNQ6" s="31">
        <v>900</v>
      </c>
      <c r="BNR6" s="31">
        <v>900</v>
      </c>
      <c r="BNS6" s="31">
        <v>900</v>
      </c>
      <c r="BNT6" s="31">
        <v>900</v>
      </c>
      <c r="BNU6" s="31">
        <v>900</v>
      </c>
      <c r="BNV6" s="31">
        <v>900</v>
      </c>
      <c r="BNW6" s="31">
        <v>900</v>
      </c>
      <c r="BNX6" s="31">
        <v>900</v>
      </c>
      <c r="BNY6" s="31">
        <v>900</v>
      </c>
      <c r="BNZ6" s="31">
        <v>900</v>
      </c>
      <c r="BOA6" s="31">
        <v>900</v>
      </c>
      <c r="BOB6" s="31">
        <v>900</v>
      </c>
      <c r="BOC6" s="31">
        <v>900</v>
      </c>
      <c r="BOD6" s="31">
        <v>900</v>
      </c>
      <c r="BOE6" s="31">
        <v>900</v>
      </c>
      <c r="BOF6" s="31">
        <v>900</v>
      </c>
      <c r="BOG6" s="31">
        <v>900</v>
      </c>
      <c r="BOH6" s="31">
        <v>900</v>
      </c>
      <c r="BOI6" s="31">
        <v>900</v>
      </c>
      <c r="BOJ6" s="31">
        <v>900</v>
      </c>
      <c r="BOK6" s="31">
        <v>900</v>
      </c>
      <c r="BOL6" s="31">
        <v>900</v>
      </c>
      <c r="BOM6" s="31">
        <v>900</v>
      </c>
      <c r="BON6" s="31">
        <v>900</v>
      </c>
      <c r="BOO6" s="31">
        <v>900</v>
      </c>
      <c r="BOP6" s="31">
        <v>900</v>
      </c>
      <c r="BOQ6" s="31">
        <v>900</v>
      </c>
      <c r="BOR6" s="31">
        <v>900</v>
      </c>
      <c r="BOS6" s="31">
        <v>900</v>
      </c>
      <c r="BOT6" s="31">
        <v>900</v>
      </c>
      <c r="BOU6" s="31">
        <v>900</v>
      </c>
      <c r="BOV6" s="31">
        <v>900</v>
      </c>
      <c r="BOW6" s="31">
        <v>900</v>
      </c>
      <c r="BOX6" s="31">
        <v>900</v>
      </c>
      <c r="BOY6" s="31">
        <v>900</v>
      </c>
      <c r="BOZ6" s="31">
        <v>900</v>
      </c>
      <c r="BPA6" s="31">
        <v>900</v>
      </c>
      <c r="BPB6" s="31">
        <v>900</v>
      </c>
      <c r="BPC6" s="31">
        <v>900</v>
      </c>
      <c r="BPD6" s="31">
        <v>900</v>
      </c>
      <c r="BPE6" s="31">
        <v>900</v>
      </c>
      <c r="BPF6" s="31">
        <v>900</v>
      </c>
      <c r="BPG6" s="31">
        <v>900</v>
      </c>
      <c r="BPH6" s="31">
        <v>900</v>
      </c>
      <c r="BPI6" s="31">
        <v>900</v>
      </c>
      <c r="BPJ6" s="31">
        <v>900</v>
      </c>
      <c r="BPK6" s="31">
        <v>900</v>
      </c>
      <c r="BPL6" s="31">
        <v>900</v>
      </c>
      <c r="BPM6" s="31">
        <v>900</v>
      </c>
      <c r="BPN6" s="31">
        <v>900</v>
      </c>
      <c r="BPO6" s="31">
        <v>900</v>
      </c>
      <c r="BPP6" s="31">
        <v>900</v>
      </c>
      <c r="BPQ6" s="31">
        <v>900</v>
      </c>
      <c r="BPR6" s="31">
        <v>900</v>
      </c>
      <c r="BPS6" s="31">
        <v>900</v>
      </c>
      <c r="BPT6" s="31">
        <v>900</v>
      </c>
      <c r="BPU6" s="31">
        <v>900</v>
      </c>
      <c r="BPV6" s="31">
        <v>900</v>
      </c>
      <c r="BPW6" s="31">
        <v>900</v>
      </c>
      <c r="BPX6" s="31">
        <v>900</v>
      </c>
      <c r="BPY6" s="31">
        <v>900</v>
      </c>
      <c r="BPZ6" s="31">
        <v>900</v>
      </c>
      <c r="BQA6" s="31">
        <v>900</v>
      </c>
      <c r="BQB6" s="31">
        <v>900</v>
      </c>
      <c r="BQC6" s="31">
        <v>900</v>
      </c>
      <c r="BQD6" s="31">
        <v>900</v>
      </c>
      <c r="BQE6" s="31">
        <v>900</v>
      </c>
      <c r="BQF6" s="31">
        <v>900</v>
      </c>
      <c r="BQG6" s="31">
        <v>900</v>
      </c>
      <c r="BQH6" s="31">
        <v>900</v>
      </c>
      <c r="BQI6" s="31">
        <v>900</v>
      </c>
      <c r="BQJ6" s="31">
        <v>900</v>
      </c>
      <c r="BQK6" s="31">
        <v>900</v>
      </c>
      <c r="BQL6" s="31">
        <v>900</v>
      </c>
      <c r="BQM6" s="31">
        <v>900</v>
      </c>
      <c r="BQN6" s="31">
        <v>900</v>
      </c>
      <c r="BQO6" s="31">
        <v>900</v>
      </c>
      <c r="BQP6" s="31">
        <v>900</v>
      </c>
      <c r="BQQ6" s="31">
        <v>900</v>
      </c>
      <c r="BQR6" s="31">
        <v>900</v>
      </c>
      <c r="BQS6" s="31">
        <v>900</v>
      </c>
      <c r="BQT6" s="31">
        <v>900</v>
      </c>
      <c r="BQU6" s="31">
        <v>900</v>
      </c>
      <c r="BQV6" s="31">
        <v>900</v>
      </c>
      <c r="BQW6" s="31">
        <v>900</v>
      </c>
      <c r="BQX6" s="31">
        <v>900</v>
      </c>
      <c r="BQY6" s="31">
        <v>900</v>
      </c>
      <c r="BQZ6" s="31">
        <v>900</v>
      </c>
      <c r="BRA6" s="31">
        <v>900</v>
      </c>
      <c r="BRB6" s="31">
        <v>900</v>
      </c>
      <c r="BRC6" s="31">
        <v>900</v>
      </c>
      <c r="BRD6" s="31">
        <v>900</v>
      </c>
      <c r="BRE6" s="31">
        <v>900</v>
      </c>
      <c r="BRF6" s="31">
        <v>900</v>
      </c>
      <c r="BRG6" s="31">
        <v>900</v>
      </c>
      <c r="BRH6" s="31">
        <v>900</v>
      </c>
      <c r="BRI6" s="31">
        <v>900</v>
      </c>
      <c r="BRJ6" s="31">
        <v>900</v>
      </c>
      <c r="BRK6" s="31">
        <v>900</v>
      </c>
      <c r="BRL6" s="31">
        <v>900</v>
      </c>
      <c r="BRM6" s="31">
        <v>900</v>
      </c>
      <c r="BRN6" s="31">
        <v>900</v>
      </c>
      <c r="BRO6" s="31">
        <v>900</v>
      </c>
      <c r="BRP6" s="31">
        <v>900</v>
      </c>
      <c r="BRQ6" s="31">
        <v>900</v>
      </c>
      <c r="BRR6" s="31">
        <v>900</v>
      </c>
      <c r="BRS6" s="31">
        <v>900</v>
      </c>
      <c r="BRT6" s="31">
        <v>900</v>
      </c>
      <c r="BRU6" s="31">
        <v>900</v>
      </c>
      <c r="BRV6" s="31">
        <v>900</v>
      </c>
      <c r="BRW6" s="31">
        <v>900</v>
      </c>
      <c r="BRX6" s="31">
        <v>900</v>
      </c>
      <c r="BRY6" s="31">
        <v>900</v>
      </c>
      <c r="BRZ6" s="31">
        <v>900</v>
      </c>
      <c r="BSA6" s="31">
        <v>900</v>
      </c>
      <c r="BSB6" s="31">
        <v>900</v>
      </c>
      <c r="BSC6" s="31">
        <v>900</v>
      </c>
      <c r="BSD6" s="31">
        <v>900</v>
      </c>
      <c r="BSE6" s="31">
        <v>900</v>
      </c>
      <c r="BSF6" s="31">
        <v>900</v>
      </c>
      <c r="BSG6" s="31">
        <v>900</v>
      </c>
      <c r="BSH6" s="31">
        <v>900</v>
      </c>
      <c r="BSI6" s="31">
        <v>900</v>
      </c>
      <c r="BSJ6" s="31">
        <v>900</v>
      </c>
      <c r="BSK6" s="31">
        <v>900</v>
      </c>
      <c r="BSL6" s="31">
        <v>900</v>
      </c>
      <c r="BSM6" s="31">
        <v>900</v>
      </c>
      <c r="BSN6" s="31">
        <v>900</v>
      </c>
      <c r="BSO6" s="31">
        <v>900</v>
      </c>
      <c r="BSP6" s="31">
        <v>900</v>
      </c>
      <c r="BSQ6" s="31">
        <v>900</v>
      </c>
      <c r="BSR6" s="31">
        <v>900</v>
      </c>
      <c r="BSS6" s="31">
        <v>900</v>
      </c>
      <c r="BST6" s="31">
        <v>900</v>
      </c>
      <c r="BSU6" s="31">
        <v>900</v>
      </c>
      <c r="BSV6" s="31">
        <v>900</v>
      </c>
      <c r="BSW6" s="31">
        <v>900</v>
      </c>
      <c r="BSX6" s="31">
        <v>900</v>
      </c>
      <c r="BSY6" s="31">
        <v>900</v>
      </c>
      <c r="BSZ6" s="31">
        <v>900</v>
      </c>
      <c r="BTA6" s="31">
        <v>900</v>
      </c>
      <c r="BTB6" s="31">
        <v>900</v>
      </c>
      <c r="BTC6" s="31">
        <v>900</v>
      </c>
      <c r="BTD6" s="31">
        <v>900</v>
      </c>
      <c r="BTE6" s="31">
        <v>900</v>
      </c>
      <c r="BTF6" s="31">
        <v>900</v>
      </c>
      <c r="BTG6" s="31">
        <v>900</v>
      </c>
      <c r="BTH6" s="31">
        <v>900</v>
      </c>
      <c r="BTI6" s="31">
        <v>900</v>
      </c>
      <c r="BTJ6" s="31">
        <v>900</v>
      </c>
      <c r="BTK6" s="31">
        <v>900</v>
      </c>
      <c r="BTL6" s="31">
        <v>900</v>
      </c>
      <c r="BTM6" s="31">
        <v>900</v>
      </c>
      <c r="BTN6" s="31">
        <v>900</v>
      </c>
      <c r="BTO6" s="31">
        <v>900</v>
      </c>
      <c r="BTP6" s="31">
        <v>900</v>
      </c>
      <c r="BTQ6" s="31">
        <v>900</v>
      </c>
      <c r="BTR6" s="31">
        <v>900</v>
      </c>
      <c r="BTS6" s="31">
        <v>900</v>
      </c>
      <c r="BTT6" s="31">
        <v>900</v>
      </c>
      <c r="BTU6" s="31">
        <v>900</v>
      </c>
      <c r="BTV6" s="31">
        <v>900</v>
      </c>
      <c r="BTW6" s="31">
        <v>900</v>
      </c>
      <c r="BTX6" s="31">
        <v>900</v>
      </c>
      <c r="BTY6" s="31">
        <v>900</v>
      </c>
      <c r="BTZ6" s="31">
        <v>900</v>
      </c>
      <c r="BUA6" s="31">
        <v>900</v>
      </c>
      <c r="BUB6" s="31">
        <v>900</v>
      </c>
      <c r="BUC6" s="31">
        <v>900</v>
      </c>
      <c r="BUD6" s="31">
        <v>900</v>
      </c>
      <c r="BUE6" s="31">
        <v>900</v>
      </c>
      <c r="BUF6" s="31">
        <v>900</v>
      </c>
      <c r="BUG6" s="31">
        <v>900</v>
      </c>
      <c r="BUH6" s="31">
        <v>900</v>
      </c>
      <c r="BUI6" s="31">
        <v>900</v>
      </c>
      <c r="BUJ6" s="31">
        <v>900</v>
      </c>
      <c r="BUK6" s="31">
        <v>900</v>
      </c>
      <c r="BUL6" s="31">
        <v>900</v>
      </c>
      <c r="BUM6" s="31">
        <v>900</v>
      </c>
      <c r="BUN6" s="31">
        <v>900</v>
      </c>
      <c r="BUO6" s="31">
        <v>900</v>
      </c>
      <c r="BUP6" s="31">
        <v>900</v>
      </c>
      <c r="BUQ6" s="31">
        <v>900</v>
      </c>
      <c r="BUR6" s="31">
        <v>900</v>
      </c>
      <c r="BUS6" s="31">
        <v>900</v>
      </c>
      <c r="BUT6" s="31">
        <v>900</v>
      </c>
      <c r="BUU6" s="31">
        <v>900</v>
      </c>
      <c r="BUV6" s="31">
        <v>900</v>
      </c>
      <c r="BUW6" s="31">
        <v>900</v>
      </c>
      <c r="BUX6" s="31">
        <v>900</v>
      </c>
      <c r="BUY6" s="31">
        <v>900</v>
      </c>
      <c r="BUZ6" s="31">
        <v>900</v>
      </c>
      <c r="BVA6" s="31">
        <v>900</v>
      </c>
      <c r="BVB6" s="31">
        <v>900</v>
      </c>
      <c r="BVC6" s="31">
        <v>900</v>
      </c>
      <c r="BVD6" s="31">
        <v>900</v>
      </c>
      <c r="BVE6" s="31">
        <v>900</v>
      </c>
      <c r="BVF6" s="31">
        <v>900</v>
      </c>
      <c r="BVG6" s="31">
        <v>900</v>
      </c>
      <c r="BVH6" s="31">
        <v>900</v>
      </c>
      <c r="BVI6" s="31">
        <v>900</v>
      </c>
      <c r="BVJ6" s="31">
        <v>900</v>
      </c>
      <c r="BVK6" s="31">
        <v>900</v>
      </c>
      <c r="BVL6" s="31">
        <v>900</v>
      </c>
      <c r="BVM6" s="31">
        <v>900</v>
      </c>
      <c r="BVN6" s="31">
        <v>900</v>
      </c>
      <c r="BVO6" s="31">
        <v>900</v>
      </c>
      <c r="BVP6" s="31">
        <v>900</v>
      </c>
      <c r="BVQ6" s="31">
        <v>900</v>
      </c>
      <c r="BVR6" s="31">
        <v>900</v>
      </c>
      <c r="BVS6" s="31">
        <v>900</v>
      </c>
      <c r="BVT6" s="31">
        <v>900</v>
      </c>
      <c r="BVU6" s="31">
        <v>900</v>
      </c>
      <c r="BVV6" s="31">
        <v>900</v>
      </c>
      <c r="BVW6" s="31">
        <v>900</v>
      </c>
      <c r="BVX6" s="31">
        <v>900</v>
      </c>
      <c r="BVY6" s="31">
        <v>900</v>
      </c>
      <c r="BVZ6" s="31">
        <v>900</v>
      </c>
      <c r="BWA6" s="31">
        <v>900</v>
      </c>
      <c r="BWB6" s="31">
        <v>900</v>
      </c>
      <c r="BWC6" s="31">
        <v>900</v>
      </c>
      <c r="BWD6" s="31">
        <v>900</v>
      </c>
      <c r="BWE6" s="31">
        <v>900</v>
      </c>
      <c r="BWF6" s="31">
        <v>900</v>
      </c>
      <c r="BWG6" s="31">
        <v>900</v>
      </c>
      <c r="BWH6" s="31">
        <v>900</v>
      </c>
      <c r="BWI6" s="31">
        <v>900</v>
      </c>
      <c r="BWJ6" s="31">
        <v>900</v>
      </c>
      <c r="BWK6" s="31">
        <v>900</v>
      </c>
      <c r="BWL6" s="31">
        <v>900</v>
      </c>
      <c r="BWM6" s="31">
        <v>900</v>
      </c>
      <c r="BWN6" s="31">
        <v>900</v>
      </c>
      <c r="BWO6" s="31">
        <v>900</v>
      </c>
      <c r="BWP6" s="31">
        <v>900</v>
      </c>
      <c r="BWQ6" s="31">
        <v>900</v>
      </c>
      <c r="BWR6" s="31">
        <v>900</v>
      </c>
      <c r="BWS6" s="31">
        <v>900</v>
      </c>
      <c r="BWT6" s="31">
        <v>900</v>
      </c>
      <c r="BWU6" s="31">
        <v>900</v>
      </c>
      <c r="BWV6" s="31">
        <v>900</v>
      </c>
      <c r="BWW6" s="31">
        <v>900</v>
      </c>
      <c r="BWX6" s="31">
        <v>900</v>
      </c>
      <c r="BWY6" s="31">
        <v>900</v>
      </c>
      <c r="BWZ6" s="31">
        <v>900</v>
      </c>
      <c r="BXA6" s="31">
        <v>900</v>
      </c>
      <c r="BXB6" s="31">
        <v>900</v>
      </c>
      <c r="BXC6" s="31">
        <v>900</v>
      </c>
      <c r="BXD6" s="31">
        <v>900</v>
      </c>
      <c r="BXE6" s="31">
        <v>900</v>
      </c>
      <c r="BXF6" s="31">
        <v>900</v>
      </c>
      <c r="BXG6" s="31">
        <v>900</v>
      </c>
      <c r="BXH6" s="31">
        <v>900</v>
      </c>
      <c r="BXI6" s="31">
        <v>900</v>
      </c>
      <c r="BXJ6" s="31">
        <v>900</v>
      </c>
      <c r="BXK6" s="31">
        <v>900</v>
      </c>
      <c r="BXL6" s="31">
        <v>900</v>
      </c>
      <c r="BXM6" s="31">
        <v>900</v>
      </c>
      <c r="BXN6" s="31">
        <v>900</v>
      </c>
      <c r="BXO6" s="31">
        <v>900</v>
      </c>
      <c r="BXP6" s="31">
        <v>900</v>
      </c>
      <c r="BXQ6" s="31">
        <v>900</v>
      </c>
      <c r="BXR6" s="31">
        <v>900</v>
      </c>
      <c r="BXS6" s="31">
        <v>900</v>
      </c>
      <c r="BXT6" s="31">
        <v>900</v>
      </c>
      <c r="BXU6" s="31">
        <v>900</v>
      </c>
      <c r="BXV6" s="31">
        <v>900</v>
      </c>
      <c r="BXW6" s="31">
        <v>900</v>
      </c>
      <c r="BXX6" s="31">
        <v>900</v>
      </c>
      <c r="BXY6" s="31">
        <v>900</v>
      </c>
      <c r="BXZ6" s="31">
        <v>900</v>
      </c>
      <c r="BYA6" s="31">
        <v>900</v>
      </c>
      <c r="BYB6" s="31">
        <v>900</v>
      </c>
      <c r="BYC6" s="31">
        <v>900</v>
      </c>
      <c r="BYD6" s="31">
        <v>900</v>
      </c>
      <c r="BYE6" s="31">
        <v>900</v>
      </c>
      <c r="BYF6" s="31">
        <v>900</v>
      </c>
      <c r="BYG6" s="31">
        <v>900</v>
      </c>
      <c r="BYH6" s="31">
        <v>900</v>
      </c>
      <c r="BYI6" s="31">
        <v>900</v>
      </c>
      <c r="BYJ6" s="31">
        <v>900</v>
      </c>
      <c r="BYK6" s="31">
        <v>900</v>
      </c>
      <c r="BYL6" s="31">
        <v>900</v>
      </c>
      <c r="BYM6" s="31">
        <v>900</v>
      </c>
      <c r="BYN6" s="31">
        <v>900</v>
      </c>
      <c r="BYO6" s="31">
        <v>900</v>
      </c>
      <c r="BYP6" s="31">
        <v>900</v>
      </c>
      <c r="BYQ6" s="31">
        <v>900</v>
      </c>
      <c r="BYR6" s="31">
        <v>900</v>
      </c>
      <c r="BYS6" s="31">
        <v>900</v>
      </c>
      <c r="BYT6" s="31">
        <v>900</v>
      </c>
      <c r="BYU6" s="31">
        <v>900</v>
      </c>
      <c r="BYV6" s="31">
        <v>900</v>
      </c>
      <c r="BYW6" s="31">
        <v>900</v>
      </c>
      <c r="BYX6" s="31">
        <v>900</v>
      </c>
      <c r="BYY6" s="31">
        <v>900</v>
      </c>
      <c r="BYZ6" s="31">
        <v>900</v>
      </c>
      <c r="BZA6" s="31">
        <v>900</v>
      </c>
      <c r="BZB6" s="31">
        <v>900</v>
      </c>
      <c r="BZC6" s="31">
        <v>900</v>
      </c>
      <c r="BZD6" s="31">
        <v>900</v>
      </c>
      <c r="BZE6" s="31">
        <v>900</v>
      </c>
      <c r="BZF6" s="31">
        <v>900</v>
      </c>
      <c r="BZG6" s="31">
        <v>900</v>
      </c>
      <c r="BZH6" s="31">
        <v>900</v>
      </c>
      <c r="BZI6" s="31">
        <v>900</v>
      </c>
      <c r="BZJ6" s="31">
        <v>900</v>
      </c>
      <c r="BZK6" s="31">
        <v>900</v>
      </c>
      <c r="BZL6" s="31">
        <v>900</v>
      </c>
      <c r="BZM6" s="31">
        <v>900</v>
      </c>
      <c r="BZN6" s="31">
        <v>900</v>
      </c>
      <c r="BZO6" s="31">
        <v>900</v>
      </c>
      <c r="BZP6" s="31">
        <v>900</v>
      </c>
      <c r="BZQ6" s="31">
        <v>900</v>
      </c>
      <c r="BZR6" s="31">
        <v>900</v>
      </c>
      <c r="BZS6" s="31">
        <v>900</v>
      </c>
      <c r="BZT6" s="31">
        <v>900</v>
      </c>
      <c r="BZU6" s="31">
        <v>900</v>
      </c>
      <c r="BZV6" s="31">
        <v>900</v>
      </c>
      <c r="BZW6" s="31">
        <v>900</v>
      </c>
      <c r="BZX6" s="31">
        <v>900</v>
      </c>
      <c r="BZY6" s="31">
        <v>900</v>
      </c>
      <c r="BZZ6" s="31">
        <v>900</v>
      </c>
      <c r="CAA6" s="31">
        <v>900</v>
      </c>
      <c r="CAB6" s="31">
        <v>900</v>
      </c>
      <c r="CAC6" s="31">
        <v>900</v>
      </c>
      <c r="CAD6" s="31">
        <v>900</v>
      </c>
      <c r="CAE6" s="31">
        <v>900</v>
      </c>
      <c r="CAF6" s="31">
        <v>900</v>
      </c>
      <c r="CAG6" s="31">
        <v>900</v>
      </c>
      <c r="CAH6" s="31">
        <v>900</v>
      </c>
      <c r="CAI6" s="31">
        <v>900</v>
      </c>
      <c r="CAJ6" s="31">
        <v>900</v>
      </c>
      <c r="CAK6" s="31">
        <v>900</v>
      </c>
      <c r="CAL6" s="31">
        <v>900</v>
      </c>
      <c r="CAM6" s="31">
        <v>900</v>
      </c>
      <c r="CAN6" s="31">
        <v>900</v>
      </c>
      <c r="CAO6" s="31">
        <v>900</v>
      </c>
      <c r="CAP6" s="31">
        <v>900</v>
      </c>
      <c r="CAQ6" s="31">
        <v>900</v>
      </c>
      <c r="CAR6" s="31">
        <v>900</v>
      </c>
      <c r="CAS6" s="31">
        <v>900</v>
      </c>
      <c r="CAT6" s="31">
        <v>900</v>
      </c>
      <c r="CAU6" s="31">
        <v>900</v>
      </c>
      <c r="CAV6" s="31">
        <v>900</v>
      </c>
      <c r="CAW6" s="31">
        <v>900</v>
      </c>
      <c r="CAX6" s="31">
        <v>900</v>
      </c>
      <c r="CAY6" s="31">
        <v>900</v>
      </c>
      <c r="CAZ6" s="31">
        <v>900</v>
      </c>
      <c r="CBA6" s="31">
        <v>900</v>
      </c>
      <c r="CBB6" s="31">
        <v>900</v>
      </c>
      <c r="CBC6" s="31">
        <v>900</v>
      </c>
      <c r="CBD6" s="31">
        <v>900</v>
      </c>
      <c r="CBE6" s="31">
        <v>900</v>
      </c>
      <c r="CBF6" s="31">
        <v>900</v>
      </c>
      <c r="CBG6" s="31">
        <v>900</v>
      </c>
      <c r="CBH6" s="31">
        <v>900</v>
      </c>
      <c r="CBI6" s="31">
        <v>900</v>
      </c>
      <c r="CBJ6" s="31">
        <v>900</v>
      </c>
      <c r="CBK6" s="31">
        <v>900</v>
      </c>
      <c r="CBL6" s="31">
        <v>900</v>
      </c>
      <c r="CBM6" s="31">
        <v>900</v>
      </c>
      <c r="CBN6" s="31">
        <v>900</v>
      </c>
      <c r="CBO6" s="31">
        <v>900</v>
      </c>
      <c r="CBP6" s="31">
        <v>900</v>
      </c>
      <c r="CBQ6" s="31">
        <v>900</v>
      </c>
      <c r="CBR6" s="31">
        <v>900</v>
      </c>
      <c r="CBS6" s="31">
        <v>900</v>
      </c>
      <c r="CBT6" s="31">
        <v>900</v>
      </c>
      <c r="CBU6" s="31">
        <v>900</v>
      </c>
      <c r="CBV6" s="31">
        <v>900</v>
      </c>
      <c r="CBW6" s="31">
        <v>900</v>
      </c>
      <c r="CBX6" s="31">
        <v>900</v>
      </c>
      <c r="CBY6" s="31">
        <v>900</v>
      </c>
      <c r="CBZ6" s="31">
        <v>900</v>
      </c>
      <c r="CCA6" s="31">
        <v>900</v>
      </c>
      <c r="CCB6" s="31">
        <v>900</v>
      </c>
      <c r="CCC6" s="31">
        <v>900</v>
      </c>
      <c r="CCD6" s="31">
        <v>900</v>
      </c>
      <c r="CCE6" s="31">
        <v>900</v>
      </c>
      <c r="CCF6" s="31">
        <v>900</v>
      </c>
      <c r="CCG6" s="31">
        <v>900</v>
      </c>
      <c r="CCH6" s="31">
        <v>900</v>
      </c>
      <c r="CCI6" s="31">
        <v>900</v>
      </c>
      <c r="CCJ6" s="31">
        <v>900</v>
      </c>
      <c r="CCK6" s="31">
        <v>900</v>
      </c>
      <c r="CCL6" s="31">
        <v>900</v>
      </c>
      <c r="CCM6" s="31">
        <v>900</v>
      </c>
      <c r="CCN6" s="31">
        <v>900</v>
      </c>
      <c r="CCO6" s="31">
        <v>900</v>
      </c>
      <c r="CCP6" s="31">
        <v>900</v>
      </c>
      <c r="CCQ6" s="31">
        <v>900</v>
      </c>
      <c r="CCR6" s="31">
        <v>900</v>
      </c>
      <c r="CCS6" s="31">
        <v>900</v>
      </c>
      <c r="CCT6" s="31">
        <v>900</v>
      </c>
      <c r="CCU6" s="31">
        <v>900</v>
      </c>
      <c r="CCV6" s="31">
        <v>900</v>
      </c>
      <c r="CCW6" s="31">
        <v>900</v>
      </c>
      <c r="CCX6" s="31">
        <v>900</v>
      </c>
      <c r="CCY6" s="31">
        <v>900</v>
      </c>
      <c r="CCZ6" s="31">
        <v>900</v>
      </c>
      <c r="CDA6" s="31">
        <v>900</v>
      </c>
      <c r="CDB6" s="31">
        <v>900</v>
      </c>
      <c r="CDC6" s="31">
        <v>900</v>
      </c>
      <c r="CDD6" s="31">
        <v>900</v>
      </c>
      <c r="CDE6" s="31">
        <v>900</v>
      </c>
      <c r="CDF6" s="31">
        <v>900</v>
      </c>
      <c r="CDG6" s="31">
        <v>900</v>
      </c>
      <c r="CDH6" s="31">
        <v>900</v>
      </c>
      <c r="CDI6" s="31">
        <v>900</v>
      </c>
      <c r="CDJ6" s="31">
        <v>900</v>
      </c>
      <c r="CDK6" s="31">
        <v>900</v>
      </c>
      <c r="CDL6" s="31">
        <v>900</v>
      </c>
      <c r="CDM6" s="31">
        <v>900</v>
      </c>
      <c r="CDN6" s="31">
        <v>900</v>
      </c>
      <c r="CDO6" s="31">
        <v>900</v>
      </c>
      <c r="CDP6" s="31">
        <v>900</v>
      </c>
      <c r="CDQ6" s="31">
        <v>900</v>
      </c>
      <c r="CDR6" s="31">
        <v>900</v>
      </c>
      <c r="CDS6" s="31">
        <v>900</v>
      </c>
      <c r="CDT6" s="31">
        <v>900</v>
      </c>
      <c r="CDU6" s="31">
        <v>900</v>
      </c>
      <c r="CDV6" s="31">
        <v>900</v>
      </c>
      <c r="CDW6" s="31">
        <v>900</v>
      </c>
      <c r="CDX6" s="31">
        <v>900</v>
      </c>
      <c r="CDY6" s="31">
        <v>900</v>
      </c>
      <c r="CDZ6" s="31">
        <v>900</v>
      </c>
      <c r="CEA6" s="31">
        <v>900</v>
      </c>
      <c r="CEB6" s="31">
        <v>900</v>
      </c>
      <c r="CEC6" s="31">
        <v>900</v>
      </c>
      <c r="CED6" s="31">
        <v>900</v>
      </c>
      <c r="CEE6" s="31">
        <v>900</v>
      </c>
      <c r="CEF6" s="31">
        <v>900</v>
      </c>
      <c r="CEG6" s="31">
        <v>900</v>
      </c>
      <c r="CEH6" s="31">
        <v>900</v>
      </c>
      <c r="CEI6" s="31">
        <v>900</v>
      </c>
      <c r="CEJ6" s="31">
        <v>900</v>
      </c>
      <c r="CEK6" s="31">
        <v>900</v>
      </c>
      <c r="CEL6" s="31">
        <v>900</v>
      </c>
      <c r="CEM6" s="31">
        <v>900</v>
      </c>
      <c r="CEN6" s="31">
        <v>900</v>
      </c>
      <c r="CEO6" s="31">
        <v>900</v>
      </c>
      <c r="CEP6" s="31">
        <v>900</v>
      </c>
      <c r="CEQ6" s="31">
        <v>900</v>
      </c>
      <c r="CER6" s="31">
        <v>900</v>
      </c>
      <c r="CES6" s="31">
        <v>900</v>
      </c>
      <c r="CET6" s="31">
        <v>900</v>
      </c>
      <c r="CEU6" s="31">
        <v>900</v>
      </c>
      <c r="CEV6" s="31">
        <v>900</v>
      </c>
      <c r="CEW6" s="31">
        <v>900</v>
      </c>
      <c r="CEX6" s="31">
        <v>900</v>
      </c>
      <c r="CEY6" s="31">
        <v>900</v>
      </c>
      <c r="CEZ6" s="31">
        <v>900</v>
      </c>
      <c r="CFA6" s="31">
        <v>900</v>
      </c>
      <c r="CFB6" s="31">
        <v>900</v>
      </c>
      <c r="CFC6" s="31">
        <v>900</v>
      </c>
      <c r="CFD6" s="31">
        <v>900</v>
      </c>
      <c r="CFE6" s="31">
        <v>900</v>
      </c>
      <c r="CFF6" s="31">
        <v>900</v>
      </c>
      <c r="CFG6" s="31">
        <v>900</v>
      </c>
      <c r="CFH6" s="31">
        <v>900</v>
      </c>
      <c r="CFI6" s="31">
        <v>900</v>
      </c>
      <c r="CFJ6" s="31">
        <v>900</v>
      </c>
      <c r="CFK6" s="31">
        <v>900</v>
      </c>
      <c r="CFL6" s="31">
        <v>900</v>
      </c>
      <c r="CFM6" s="31">
        <v>900</v>
      </c>
      <c r="CFN6" s="31">
        <v>900</v>
      </c>
      <c r="CFO6" s="31">
        <v>900</v>
      </c>
      <c r="CFP6" s="31">
        <v>900</v>
      </c>
      <c r="CFQ6" s="31">
        <v>900</v>
      </c>
      <c r="CFR6" s="31">
        <v>900</v>
      </c>
      <c r="CFS6" s="31">
        <v>900</v>
      </c>
      <c r="CFT6" s="31">
        <v>900</v>
      </c>
      <c r="CFU6" s="31">
        <v>900</v>
      </c>
      <c r="CFV6" s="31">
        <v>900</v>
      </c>
      <c r="CFW6" s="31">
        <v>900</v>
      </c>
      <c r="CFX6" s="31">
        <v>900</v>
      </c>
      <c r="CFY6" s="31">
        <v>900</v>
      </c>
      <c r="CFZ6" s="31">
        <v>900</v>
      </c>
      <c r="CGA6" s="31">
        <v>900</v>
      </c>
      <c r="CGB6" s="31">
        <v>900</v>
      </c>
      <c r="CGC6" s="31">
        <v>900</v>
      </c>
      <c r="CGD6" s="31">
        <v>900</v>
      </c>
      <c r="CGE6" s="31">
        <v>900</v>
      </c>
      <c r="CGF6" s="31">
        <v>900</v>
      </c>
      <c r="CGG6" s="31">
        <v>900</v>
      </c>
      <c r="CGH6" s="31">
        <v>900</v>
      </c>
      <c r="CGI6" s="31">
        <v>900</v>
      </c>
      <c r="CGJ6" s="31">
        <v>900</v>
      </c>
      <c r="CGK6" s="31">
        <v>900</v>
      </c>
      <c r="CGL6" s="31">
        <v>900</v>
      </c>
      <c r="CGM6" s="31">
        <v>900</v>
      </c>
      <c r="CGN6" s="31">
        <v>900</v>
      </c>
      <c r="CGO6" s="31">
        <v>900</v>
      </c>
      <c r="CGP6" s="31">
        <v>900</v>
      </c>
      <c r="CGQ6" s="31">
        <v>900</v>
      </c>
      <c r="CGR6" s="31">
        <v>900</v>
      </c>
      <c r="CGS6" s="31">
        <v>900</v>
      </c>
      <c r="CGT6" s="31">
        <v>900</v>
      </c>
      <c r="CGU6" s="31">
        <v>900</v>
      </c>
      <c r="CGV6" s="31">
        <v>900</v>
      </c>
      <c r="CGW6" s="31">
        <v>900</v>
      </c>
      <c r="CGX6" s="31">
        <v>900</v>
      </c>
      <c r="CGY6" s="31">
        <v>900</v>
      </c>
      <c r="CGZ6" s="31">
        <v>900</v>
      </c>
      <c r="CHA6" s="31">
        <v>900</v>
      </c>
      <c r="CHB6" s="31">
        <v>900</v>
      </c>
      <c r="CHC6" s="31">
        <v>900</v>
      </c>
      <c r="CHD6" s="31">
        <v>900</v>
      </c>
      <c r="CHE6" s="31">
        <v>900</v>
      </c>
      <c r="CHF6" s="31">
        <v>900</v>
      </c>
      <c r="CHG6" s="31">
        <v>900</v>
      </c>
      <c r="CHH6" s="31">
        <v>900</v>
      </c>
      <c r="CHI6" s="31">
        <v>900</v>
      </c>
      <c r="CHJ6" s="31">
        <v>900</v>
      </c>
      <c r="CHK6" s="31">
        <v>900</v>
      </c>
      <c r="CHL6" s="31">
        <v>900</v>
      </c>
      <c r="CHM6" s="31">
        <v>900</v>
      </c>
      <c r="CHN6" s="31">
        <v>900</v>
      </c>
      <c r="CHO6" s="31">
        <v>900</v>
      </c>
      <c r="CHP6" s="31">
        <v>900</v>
      </c>
      <c r="CHQ6" s="31">
        <v>900</v>
      </c>
      <c r="CHR6" s="31">
        <v>900</v>
      </c>
      <c r="CHS6" s="31">
        <v>900</v>
      </c>
      <c r="CHT6" s="31">
        <v>900</v>
      </c>
      <c r="CHU6" s="31">
        <v>900</v>
      </c>
      <c r="CHV6" s="31">
        <v>900</v>
      </c>
      <c r="CHW6" s="31">
        <v>900</v>
      </c>
      <c r="CHX6" s="31">
        <v>900</v>
      </c>
      <c r="CHY6" s="31">
        <v>900</v>
      </c>
      <c r="CHZ6" s="31">
        <v>900</v>
      </c>
      <c r="CIA6" s="31">
        <v>900</v>
      </c>
      <c r="CIB6" s="31">
        <v>900</v>
      </c>
      <c r="CIC6" s="31">
        <v>900</v>
      </c>
      <c r="CID6" s="31">
        <v>900</v>
      </c>
      <c r="CIE6" s="31">
        <v>900</v>
      </c>
      <c r="CIF6" s="31">
        <v>900</v>
      </c>
      <c r="CIG6" s="31">
        <v>900</v>
      </c>
      <c r="CIH6" s="31">
        <v>900</v>
      </c>
      <c r="CII6" s="31">
        <v>900</v>
      </c>
      <c r="CIJ6" s="31">
        <v>900</v>
      </c>
      <c r="CIK6" s="31">
        <v>900</v>
      </c>
      <c r="CIL6" s="31">
        <v>900</v>
      </c>
      <c r="CIM6" s="31">
        <v>900</v>
      </c>
      <c r="CIN6" s="31">
        <v>900</v>
      </c>
      <c r="CIO6" s="31">
        <v>900</v>
      </c>
      <c r="CIP6" s="31">
        <v>900</v>
      </c>
      <c r="CIQ6" s="31">
        <v>900</v>
      </c>
      <c r="CIR6" s="31">
        <v>900</v>
      </c>
      <c r="CIS6" s="31">
        <v>900</v>
      </c>
      <c r="CIT6" s="31">
        <v>900</v>
      </c>
      <c r="CIU6" s="31">
        <v>900</v>
      </c>
      <c r="CIV6" s="31">
        <v>900</v>
      </c>
      <c r="CIW6" s="31">
        <v>900</v>
      </c>
      <c r="CIX6" s="31">
        <v>900</v>
      </c>
      <c r="CIY6" s="31">
        <v>900</v>
      </c>
      <c r="CIZ6" s="31">
        <v>900</v>
      </c>
      <c r="CJA6" s="31">
        <v>900</v>
      </c>
      <c r="CJB6" s="31">
        <v>900</v>
      </c>
      <c r="CJC6" s="31">
        <v>900</v>
      </c>
      <c r="CJD6" s="31">
        <v>900</v>
      </c>
      <c r="CJE6" s="31">
        <v>900</v>
      </c>
      <c r="CJF6" s="31">
        <v>900</v>
      </c>
      <c r="CJG6" s="31">
        <v>900</v>
      </c>
      <c r="CJH6" s="31">
        <v>900</v>
      </c>
      <c r="CJI6" s="31">
        <v>900</v>
      </c>
      <c r="CJJ6" s="31">
        <v>900</v>
      </c>
      <c r="CJK6" s="31">
        <v>900</v>
      </c>
      <c r="CJL6" s="31">
        <v>900</v>
      </c>
      <c r="CJM6" s="31">
        <v>900</v>
      </c>
      <c r="CJN6" s="31">
        <v>900</v>
      </c>
      <c r="CJO6" s="31">
        <v>900</v>
      </c>
      <c r="CJP6" s="31">
        <v>900</v>
      </c>
      <c r="CJQ6" s="31">
        <v>900</v>
      </c>
      <c r="CJR6" s="31">
        <v>900</v>
      </c>
      <c r="CJS6" s="31">
        <v>900</v>
      </c>
      <c r="CJT6" s="31">
        <v>900</v>
      </c>
      <c r="CJU6" s="31">
        <v>900</v>
      </c>
      <c r="CJV6" s="31">
        <v>900</v>
      </c>
      <c r="CJW6" s="31">
        <v>900</v>
      </c>
      <c r="CJX6" s="31">
        <v>900</v>
      </c>
      <c r="CJY6" s="31">
        <v>900</v>
      </c>
      <c r="CJZ6" s="31">
        <v>900</v>
      </c>
      <c r="CKA6" s="31">
        <v>900</v>
      </c>
      <c r="CKB6" s="31">
        <v>900</v>
      </c>
      <c r="CKC6" s="31">
        <v>900</v>
      </c>
      <c r="CKD6" s="31">
        <v>900</v>
      </c>
      <c r="CKE6" s="31">
        <v>900</v>
      </c>
      <c r="CKF6" s="31">
        <v>900</v>
      </c>
      <c r="CKG6" s="31">
        <v>900</v>
      </c>
      <c r="CKH6" s="31">
        <v>900</v>
      </c>
      <c r="CKI6" s="31">
        <v>900</v>
      </c>
      <c r="CKJ6" s="31">
        <v>900</v>
      </c>
      <c r="CKK6" s="31">
        <v>900</v>
      </c>
      <c r="CKL6" s="31">
        <v>900</v>
      </c>
      <c r="CKM6" s="31">
        <v>900</v>
      </c>
      <c r="CKN6" s="31">
        <v>900</v>
      </c>
      <c r="CKO6" s="31">
        <v>900</v>
      </c>
      <c r="CKP6" s="31">
        <v>900</v>
      </c>
      <c r="CKQ6" s="31">
        <v>900</v>
      </c>
      <c r="CKR6" s="31">
        <v>900</v>
      </c>
      <c r="CKS6" s="31">
        <v>900</v>
      </c>
      <c r="CKT6" s="31">
        <v>900</v>
      </c>
      <c r="CKU6" s="31">
        <v>900</v>
      </c>
      <c r="CKV6" s="31">
        <v>900</v>
      </c>
      <c r="CKW6" s="31">
        <v>900</v>
      </c>
      <c r="CKX6" s="31">
        <v>900</v>
      </c>
      <c r="CKY6" s="31">
        <v>900</v>
      </c>
      <c r="CKZ6" s="31">
        <v>900</v>
      </c>
      <c r="CLA6" s="31">
        <v>900</v>
      </c>
      <c r="CLB6" s="31">
        <v>900</v>
      </c>
      <c r="CLC6" s="31">
        <v>900</v>
      </c>
      <c r="CLD6" s="31">
        <v>900</v>
      </c>
      <c r="CLE6" s="31">
        <v>900</v>
      </c>
      <c r="CLF6" s="31">
        <v>900</v>
      </c>
      <c r="CLG6" s="31">
        <v>900</v>
      </c>
      <c r="CLH6" s="31">
        <v>900</v>
      </c>
      <c r="CLI6" s="31">
        <v>900</v>
      </c>
      <c r="CLJ6" s="31">
        <v>900</v>
      </c>
      <c r="CLK6" s="31">
        <v>900</v>
      </c>
      <c r="CLL6" s="31">
        <v>900</v>
      </c>
      <c r="CLM6" s="31">
        <v>900</v>
      </c>
      <c r="CLN6" s="31">
        <v>900</v>
      </c>
      <c r="CLO6" s="31">
        <v>900</v>
      </c>
      <c r="CLP6" s="31">
        <v>900</v>
      </c>
      <c r="CLQ6" s="31">
        <v>900</v>
      </c>
      <c r="CLR6" s="31">
        <v>900</v>
      </c>
      <c r="CLS6" s="31">
        <v>900</v>
      </c>
      <c r="CLT6" s="31">
        <v>900</v>
      </c>
      <c r="CLU6" s="31">
        <v>900</v>
      </c>
      <c r="CLV6" s="31">
        <v>900</v>
      </c>
      <c r="CLW6" s="31">
        <v>900</v>
      </c>
      <c r="CLX6" s="31">
        <v>900</v>
      </c>
      <c r="CLY6" s="31">
        <v>900</v>
      </c>
      <c r="CLZ6" s="31">
        <v>900</v>
      </c>
      <c r="CMA6" s="31">
        <v>900</v>
      </c>
      <c r="CMB6" s="31">
        <v>900</v>
      </c>
      <c r="CMC6" s="31">
        <v>900</v>
      </c>
      <c r="CMD6" s="31">
        <v>900</v>
      </c>
      <c r="CME6" s="31">
        <v>900</v>
      </c>
      <c r="CMF6" s="31">
        <v>900</v>
      </c>
      <c r="CMG6" s="31">
        <v>900</v>
      </c>
      <c r="CMH6" s="31">
        <v>900</v>
      </c>
      <c r="CMI6" s="31">
        <v>900</v>
      </c>
      <c r="CMJ6" s="31">
        <v>900</v>
      </c>
      <c r="CMK6" s="31">
        <v>900</v>
      </c>
      <c r="CML6" s="31">
        <v>900</v>
      </c>
      <c r="CMM6" s="31">
        <v>900</v>
      </c>
      <c r="CMN6" s="31">
        <v>900</v>
      </c>
      <c r="CMO6" s="31">
        <v>900</v>
      </c>
      <c r="CMP6" s="31">
        <v>900</v>
      </c>
      <c r="CMQ6" s="31">
        <v>900</v>
      </c>
      <c r="CMR6" s="31">
        <v>900</v>
      </c>
      <c r="CMS6" s="31">
        <v>900</v>
      </c>
      <c r="CMT6" s="31">
        <v>900</v>
      </c>
      <c r="CMU6" s="31">
        <v>900</v>
      </c>
      <c r="CMV6" s="31">
        <v>900</v>
      </c>
      <c r="CMW6" s="31">
        <v>900</v>
      </c>
      <c r="CMX6" s="31">
        <v>900</v>
      </c>
      <c r="CMY6" s="31">
        <v>900</v>
      </c>
      <c r="CMZ6" s="31">
        <v>900</v>
      </c>
      <c r="CNA6" s="31">
        <v>900</v>
      </c>
      <c r="CNB6" s="31">
        <v>900</v>
      </c>
      <c r="CNC6" s="31">
        <v>900</v>
      </c>
      <c r="CND6" s="31">
        <v>900</v>
      </c>
      <c r="CNE6" s="31">
        <v>900</v>
      </c>
      <c r="CNF6" s="31">
        <v>900</v>
      </c>
      <c r="CNG6" s="31">
        <v>900</v>
      </c>
      <c r="CNH6" s="31">
        <v>900</v>
      </c>
      <c r="CNI6" s="31">
        <v>900</v>
      </c>
      <c r="CNJ6" s="31">
        <v>900</v>
      </c>
      <c r="CNK6" s="31">
        <v>900</v>
      </c>
      <c r="CNL6" s="31">
        <v>900</v>
      </c>
      <c r="CNM6" s="31">
        <v>900</v>
      </c>
      <c r="CNN6" s="31">
        <v>900</v>
      </c>
      <c r="CNO6" s="31">
        <v>900</v>
      </c>
      <c r="CNP6" s="31">
        <v>900</v>
      </c>
      <c r="CNQ6" s="31">
        <v>900</v>
      </c>
      <c r="CNR6" s="31">
        <v>900</v>
      </c>
      <c r="CNS6" s="31">
        <v>900</v>
      </c>
      <c r="CNT6" s="31">
        <v>900</v>
      </c>
      <c r="CNU6" s="31">
        <v>900</v>
      </c>
      <c r="CNV6" s="31">
        <v>900</v>
      </c>
      <c r="CNW6" s="31">
        <v>900</v>
      </c>
      <c r="CNX6" s="31">
        <v>900</v>
      </c>
      <c r="CNY6" s="31">
        <v>900</v>
      </c>
      <c r="CNZ6" s="31">
        <v>900</v>
      </c>
      <c r="COA6" s="31">
        <v>900</v>
      </c>
      <c r="COB6" s="31">
        <v>900</v>
      </c>
      <c r="COC6" s="31">
        <v>900</v>
      </c>
      <c r="COD6" s="31">
        <v>900</v>
      </c>
      <c r="COE6" s="31">
        <v>900</v>
      </c>
      <c r="COF6" s="31">
        <v>900</v>
      </c>
      <c r="COG6" s="31">
        <v>900</v>
      </c>
      <c r="COH6" s="31">
        <v>900</v>
      </c>
      <c r="COI6" s="31">
        <v>900</v>
      </c>
      <c r="COJ6" s="31">
        <v>900</v>
      </c>
      <c r="COK6" s="31">
        <v>900</v>
      </c>
      <c r="COL6" s="31">
        <v>900</v>
      </c>
      <c r="COM6" s="31">
        <v>900</v>
      </c>
      <c r="CON6" s="31">
        <v>900</v>
      </c>
      <c r="COO6" s="31">
        <v>900</v>
      </c>
      <c r="COP6" s="31">
        <v>900</v>
      </c>
      <c r="COQ6" s="31">
        <v>900</v>
      </c>
      <c r="COR6" s="31">
        <v>900</v>
      </c>
      <c r="COS6" s="31">
        <v>900</v>
      </c>
      <c r="COT6" s="31">
        <v>900</v>
      </c>
      <c r="COU6" s="31">
        <v>900</v>
      </c>
      <c r="COV6" s="31">
        <v>900</v>
      </c>
      <c r="COW6" s="31">
        <v>900</v>
      </c>
      <c r="COX6" s="31">
        <v>900</v>
      </c>
      <c r="COY6" s="31">
        <v>900</v>
      </c>
      <c r="COZ6" s="31">
        <v>900</v>
      </c>
      <c r="CPA6" s="31">
        <v>900</v>
      </c>
      <c r="CPB6" s="31">
        <v>900</v>
      </c>
      <c r="CPC6" s="31">
        <v>900</v>
      </c>
      <c r="CPD6" s="31">
        <v>900</v>
      </c>
      <c r="CPE6" s="31">
        <v>900</v>
      </c>
      <c r="CPF6" s="31">
        <v>900</v>
      </c>
      <c r="CPG6" s="31">
        <v>900</v>
      </c>
      <c r="CPH6" s="31">
        <v>900</v>
      </c>
      <c r="CPI6" s="31">
        <v>900</v>
      </c>
      <c r="CPJ6" s="31">
        <v>900</v>
      </c>
      <c r="CPK6" s="31">
        <v>900</v>
      </c>
      <c r="CPL6" s="31">
        <v>900</v>
      </c>
      <c r="CPM6" s="31">
        <v>900</v>
      </c>
      <c r="CPN6" s="31">
        <v>900</v>
      </c>
      <c r="CPO6" s="31">
        <v>900</v>
      </c>
      <c r="CPP6" s="31">
        <v>900</v>
      </c>
      <c r="CPQ6" s="31">
        <v>900</v>
      </c>
      <c r="CPR6" s="31">
        <v>900</v>
      </c>
      <c r="CPS6" s="31">
        <v>900</v>
      </c>
      <c r="CPT6" s="31">
        <v>900</v>
      </c>
      <c r="CPU6" s="31">
        <v>900</v>
      </c>
      <c r="CPV6" s="31">
        <v>900</v>
      </c>
      <c r="CPW6" s="31">
        <v>900</v>
      </c>
      <c r="CPX6" s="31">
        <v>900</v>
      </c>
      <c r="CPY6" s="31">
        <v>900</v>
      </c>
      <c r="CPZ6" s="31">
        <v>900</v>
      </c>
      <c r="CQA6" s="31">
        <v>900</v>
      </c>
      <c r="CQB6" s="31">
        <v>900</v>
      </c>
      <c r="CQC6" s="31">
        <v>900</v>
      </c>
      <c r="CQD6" s="31">
        <v>900</v>
      </c>
      <c r="CQE6" s="31">
        <v>900</v>
      </c>
      <c r="CQF6" s="31">
        <v>900</v>
      </c>
      <c r="CQG6" s="31">
        <v>900</v>
      </c>
      <c r="CQH6" s="31">
        <v>900</v>
      </c>
      <c r="CQI6" s="31">
        <v>900</v>
      </c>
      <c r="CQJ6" s="31">
        <v>900</v>
      </c>
      <c r="CQK6" s="31">
        <v>900</v>
      </c>
      <c r="CQL6" s="31">
        <v>900</v>
      </c>
      <c r="CQM6" s="31">
        <v>900</v>
      </c>
      <c r="CQN6" s="31">
        <v>900</v>
      </c>
      <c r="CQO6" s="31">
        <v>900</v>
      </c>
      <c r="CQP6" s="31">
        <v>900</v>
      </c>
      <c r="CQQ6" s="31">
        <v>900</v>
      </c>
      <c r="CQR6" s="31">
        <v>900</v>
      </c>
      <c r="CQS6" s="31">
        <v>900</v>
      </c>
      <c r="CQT6" s="31">
        <v>900</v>
      </c>
      <c r="CQU6" s="31">
        <v>900</v>
      </c>
      <c r="CQV6" s="31">
        <v>900</v>
      </c>
      <c r="CQW6" s="31">
        <v>900</v>
      </c>
      <c r="CQX6" s="31">
        <v>900</v>
      </c>
      <c r="CQY6" s="31">
        <v>900</v>
      </c>
      <c r="CQZ6" s="31">
        <v>900</v>
      </c>
      <c r="CRA6" s="31">
        <v>900</v>
      </c>
      <c r="CRB6" s="31">
        <v>900</v>
      </c>
      <c r="CRC6" s="31">
        <v>900</v>
      </c>
      <c r="CRD6" s="31">
        <v>900</v>
      </c>
      <c r="CRE6" s="31">
        <v>900</v>
      </c>
      <c r="CRF6" s="31">
        <v>900</v>
      </c>
      <c r="CRG6" s="31">
        <v>900</v>
      </c>
      <c r="CRH6" s="31">
        <v>900</v>
      </c>
      <c r="CRI6" s="31">
        <v>900</v>
      </c>
      <c r="CRJ6" s="31">
        <v>900</v>
      </c>
      <c r="CRK6" s="31">
        <v>900</v>
      </c>
      <c r="CRL6" s="31">
        <v>900</v>
      </c>
      <c r="CRM6" s="31">
        <v>900</v>
      </c>
      <c r="CRN6" s="31">
        <v>900</v>
      </c>
      <c r="CRO6" s="31">
        <v>900</v>
      </c>
      <c r="CRP6" s="31">
        <v>900</v>
      </c>
      <c r="CRQ6" s="31">
        <v>900</v>
      </c>
      <c r="CRR6" s="31">
        <v>900</v>
      </c>
      <c r="CRS6" s="31">
        <v>900</v>
      </c>
      <c r="CRT6" s="31">
        <v>900</v>
      </c>
      <c r="CRU6" s="31">
        <v>900</v>
      </c>
      <c r="CRV6" s="31">
        <v>900</v>
      </c>
      <c r="CRW6" s="31">
        <v>900</v>
      </c>
      <c r="CRX6" s="31">
        <v>900</v>
      </c>
      <c r="CRY6" s="31">
        <v>900</v>
      </c>
      <c r="CRZ6" s="31">
        <v>900</v>
      </c>
      <c r="CSA6" s="31">
        <v>900</v>
      </c>
      <c r="CSB6" s="31">
        <v>900</v>
      </c>
      <c r="CSC6" s="31">
        <v>900</v>
      </c>
      <c r="CSD6" s="31">
        <v>900</v>
      </c>
      <c r="CSE6" s="31">
        <v>900</v>
      </c>
      <c r="CSF6" s="31">
        <v>900</v>
      </c>
      <c r="CSG6" s="31">
        <v>900</v>
      </c>
      <c r="CSH6" s="31">
        <v>900</v>
      </c>
      <c r="CSI6" s="31">
        <v>900</v>
      </c>
      <c r="CSJ6" s="31">
        <v>900</v>
      </c>
      <c r="CSK6" s="31">
        <v>900</v>
      </c>
      <c r="CSL6" s="31">
        <v>900</v>
      </c>
      <c r="CSM6" s="31">
        <v>900</v>
      </c>
      <c r="CSN6" s="31">
        <v>900</v>
      </c>
      <c r="CSO6" s="31">
        <v>900</v>
      </c>
      <c r="CSP6" s="31">
        <v>900</v>
      </c>
      <c r="CSQ6" s="31">
        <v>900</v>
      </c>
      <c r="CSR6" s="31">
        <v>900</v>
      </c>
      <c r="CSS6" s="31">
        <v>900</v>
      </c>
      <c r="CST6" s="31">
        <v>900</v>
      </c>
      <c r="CSU6" s="31">
        <v>900</v>
      </c>
      <c r="CSV6" s="31">
        <v>900</v>
      </c>
      <c r="CSW6" s="31">
        <v>900</v>
      </c>
      <c r="CSX6" s="31">
        <v>900</v>
      </c>
      <c r="CSY6" s="31">
        <v>900</v>
      </c>
      <c r="CSZ6" s="31">
        <v>900</v>
      </c>
      <c r="CTA6" s="31">
        <v>900</v>
      </c>
      <c r="CTB6" s="31">
        <v>900</v>
      </c>
      <c r="CTC6" s="31">
        <v>900</v>
      </c>
      <c r="CTD6" s="31">
        <v>900</v>
      </c>
      <c r="CTE6" s="31">
        <v>900</v>
      </c>
      <c r="CTF6" s="31">
        <v>900</v>
      </c>
      <c r="CTG6" s="31">
        <v>900</v>
      </c>
      <c r="CTH6" s="31">
        <v>900</v>
      </c>
      <c r="CTI6" s="31">
        <v>900</v>
      </c>
      <c r="CTJ6" s="31">
        <v>900</v>
      </c>
      <c r="CTK6" s="31">
        <v>900</v>
      </c>
      <c r="CTL6" s="31">
        <v>900</v>
      </c>
      <c r="CTM6" s="31">
        <v>900</v>
      </c>
      <c r="CTN6" s="31">
        <v>900</v>
      </c>
      <c r="CTO6" s="31">
        <v>900</v>
      </c>
      <c r="CTP6" s="31">
        <v>900</v>
      </c>
      <c r="CTQ6" s="31">
        <v>900</v>
      </c>
      <c r="CTR6" s="31">
        <v>900</v>
      </c>
      <c r="CTS6" s="31">
        <v>900</v>
      </c>
      <c r="CTT6" s="31">
        <v>900</v>
      </c>
      <c r="CTU6" s="31">
        <v>900</v>
      </c>
      <c r="CTV6" s="31">
        <v>900</v>
      </c>
      <c r="CTW6" s="31">
        <v>900</v>
      </c>
      <c r="CTX6" s="31">
        <v>900</v>
      </c>
      <c r="CTY6" s="31">
        <v>900</v>
      </c>
      <c r="CTZ6" s="31">
        <v>900</v>
      </c>
      <c r="CUA6" s="31">
        <v>900</v>
      </c>
      <c r="CUB6" s="31">
        <v>900</v>
      </c>
      <c r="CUC6" s="31">
        <v>900</v>
      </c>
      <c r="CUD6" s="31">
        <v>900</v>
      </c>
      <c r="CUE6" s="31">
        <v>900</v>
      </c>
      <c r="CUF6" s="31">
        <v>900</v>
      </c>
      <c r="CUG6" s="31">
        <v>900</v>
      </c>
      <c r="CUH6" s="31">
        <v>900</v>
      </c>
      <c r="CUI6" s="31">
        <v>900</v>
      </c>
      <c r="CUJ6" s="31">
        <v>900</v>
      </c>
      <c r="CUK6" s="31">
        <v>900</v>
      </c>
      <c r="CUL6" s="31">
        <v>900</v>
      </c>
      <c r="CUM6" s="31">
        <v>900</v>
      </c>
      <c r="CUN6" s="31">
        <v>900</v>
      </c>
      <c r="CUO6" s="31">
        <v>900</v>
      </c>
      <c r="CUP6" s="31">
        <v>900</v>
      </c>
      <c r="CUQ6" s="31">
        <v>900</v>
      </c>
      <c r="CUR6" s="31">
        <v>900</v>
      </c>
      <c r="CUS6" s="31">
        <v>900</v>
      </c>
      <c r="CUT6" s="31">
        <v>900</v>
      </c>
      <c r="CUU6" s="31">
        <v>900</v>
      </c>
      <c r="CUV6" s="31">
        <v>900</v>
      </c>
      <c r="CUW6" s="31">
        <v>900</v>
      </c>
      <c r="CUX6" s="31">
        <v>900</v>
      </c>
      <c r="CUY6" s="31">
        <v>900</v>
      </c>
      <c r="CUZ6" s="31">
        <v>900</v>
      </c>
      <c r="CVA6" s="31">
        <v>900</v>
      </c>
      <c r="CVB6" s="31">
        <v>900</v>
      </c>
      <c r="CVC6" s="31">
        <v>900</v>
      </c>
      <c r="CVD6" s="31">
        <v>900</v>
      </c>
      <c r="CVE6" s="31">
        <v>900</v>
      </c>
      <c r="CVF6" s="31">
        <v>900</v>
      </c>
      <c r="CVG6" s="31">
        <v>900</v>
      </c>
      <c r="CVH6" s="31">
        <v>900</v>
      </c>
      <c r="CVI6" s="31">
        <v>900</v>
      </c>
      <c r="CVJ6" s="31">
        <v>900</v>
      </c>
      <c r="CVK6" s="31">
        <v>900</v>
      </c>
      <c r="CVL6" s="31">
        <v>900</v>
      </c>
      <c r="CVM6" s="31">
        <v>900</v>
      </c>
      <c r="CVN6" s="31">
        <v>900</v>
      </c>
      <c r="CVO6" s="31">
        <v>900</v>
      </c>
      <c r="CVP6" s="31">
        <v>900</v>
      </c>
      <c r="CVQ6" s="31">
        <v>900</v>
      </c>
      <c r="CVR6" s="31">
        <v>900</v>
      </c>
      <c r="CVS6" s="31">
        <v>900</v>
      </c>
      <c r="CVT6" s="31">
        <v>900</v>
      </c>
      <c r="CVU6" s="31">
        <v>900</v>
      </c>
      <c r="CVV6" s="31">
        <v>900</v>
      </c>
      <c r="CVW6" s="31">
        <v>900</v>
      </c>
      <c r="CVX6" s="31">
        <v>900</v>
      </c>
      <c r="CVY6" s="31">
        <v>900</v>
      </c>
      <c r="CVZ6" s="31">
        <v>900</v>
      </c>
      <c r="CWA6" s="31">
        <v>900</v>
      </c>
      <c r="CWB6" s="31">
        <v>900</v>
      </c>
      <c r="CWC6" s="31">
        <v>900</v>
      </c>
      <c r="CWD6" s="31">
        <v>900</v>
      </c>
      <c r="CWE6" s="31">
        <v>900</v>
      </c>
      <c r="CWF6" s="31">
        <v>900</v>
      </c>
      <c r="CWG6" s="31">
        <v>900</v>
      </c>
      <c r="CWH6" s="31">
        <v>900</v>
      </c>
      <c r="CWI6" s="31">
        <v>900</v>
      </c>
      <c r="CWJ6" s="31">
        <v>900</v>
      </c>
      <c r="CWK6" s="31">
        <v>900</v>
      </c>
      <c r="CWL6" s="31">
        <v>900</v>
      </c>
      <c r="CWM6" s="31">
        <v>900</v>
      </c>
      <c r="CWN6" s="31">
        <v>900</v>
      </c>
      <c r="CWO6" s="31">
        <v>900</v>
      </c>
      <c r="CWP6" s="31">
        <v>900</v>
      </c>
      <c r="CWQ6" s="31">
        <v>900</v>
      </c>
      <c r="CWR6" s="31">
        <v>900</v>
      </c>
      <c r="CWS6" s="31">
        <v>900</v>
      </c>
      <c r="CWT6" s="31">
        <v>900</v>
      </c>
      <c r="CWU6" s="31">
        <v>900</v>
      </c>
      <c r="CWV6" s="31">
        <v>900</v>
      </c>
      <c r="CWW6" s="31">
        <v>900</v>
      </c>
      <c r="CWX6" s="31">
        <v>900</v>
      </c>
      <c r="CWY6" s="31">
        <v>900</v>
      </c>
      <c r="CWZ6" s="31">
        <v>900</v>
      </c>
      <c r="CXA6" s="31">
        <v>900</v>
      </c>
      <c r="CXB6" s="31">
        <v>900</v>
      </c>
      <c r="CXC6" s="31">
        <v>900</v>
      </c>
      <c r="CXD6" s="31">
        <v>900</v>
      </c>
      <c r="CXE6" s="31">
        <v>900</v>
      </c>
      <c r="CXF6" s="31">
        <v>900</v>
      </c>
      <c r="CXG6" s="31">
        <v>900</v>
      </c>
      <c r="CXH6" s="31">
        <v>900</v>
      </c>
      <c r="CXI6" s="31">
        <v>900</v>
      </c>
      <c r="CXJ6" s="31">
        <v>900</v>
      </c>
      <c r="CXK6" s="31">
        <v>900</v>
      </c>
      <c r="CXL6" s="31">
        <v>900</v>
      </c>
      <c r="CXM6" s="31">
        <v>900</v>
      </c>
      <c r="CXN6" s="31">
        <v>900</v>
      </c>
      <c r="CXO6" s="31">
        <v>900</v>
      </c>
      <c r="CXP6" s="31">
        <v>900</v>
      </c>
      <c r="CXQ6" s="31">
        <v>900</v>
      </c>
      <c r="CXR6" s="31">
        <v>900</v>
      </c>
      <c r="CXS6" s="31">
        <v>900</v>
      </c>
      <c r="CXT6" s="31">
        <v>900</v>
      </c>
      <c r="CXU6" s="31">
        <v>900</v>
      </c>
      <c r="CXV6" s="31">
        <v>900</v>
      </c>
      <c r="CXW6" s="31">
        <v>900</v>
      </c>
      <c r="CXX6" s="31">
        <v>900</v>
      </c>
      <c r="CXY6" s="31">
        <v>900</v>
      </c>
      <c r="CXZ6" s="31">
        <v>900</v>
      </c>
      <c r="CYA6" s="31">
        <v>900</v>
      </c>
      <c r="CYB6" s="31">
        <v>900</v>
      </c>
      <c r="CYC6" s="31">
        <v>900</v>
      </c>
      <c r="CYD6" s="31">
        <v>900</v>
      </c>
      <c r="CYE6" s="31">
        <v>900</v>
      </c>
      <c r="CYF6" s="31">
        <v>900</v>
      </c>
      <c r="CYG6" s="31">
        <v>900</v>
      </c>
      <c r="CYH6" s="31">
        <v>900</v>
      </c>
      <c r="CYI6" s="31">
        <v>900</v>
      </c>
      <c r="CYJ6" s="31">
        <v>900</v>
      </c>
      <c r="CYK6" s="31">
        <v>900</v>
      </c>
      <c r="CYL6" s="31">
        <v>900</v>
      </c>
      <c r="CYM6" s="31">
        <v>900</v>
      </c>
      <c r="CYN6" s="31">
        <v>900</v>
      </c>
      <c r="CYO6" s="31">
        <v>900</v>
      </c>
      <c r="CYP6" s="31">
        <v>900</v>
      </c>
      <c r="CYQ6" s="31">
        <v>900</v>
      </c>
      <c r="CYR6" s="31">
        <v>900</v>
      </c>
      <c r="CYS6" s="31">
        <v>900</v>
      </c>
      <c r="CYT6" s="31">
        <v>900</v>
      </c>
      <c r="CYU6" s="31">
        <v>900</v>
      </c>
      <c r="CYV6" s="31">
        <v>900</v>
      </c>
      <c r="CYW6" s="31">
        <v>900</v>
      </c>
      <c r="CYX6" s="31">
        <v>900</v>
      </c>
      <c r="CYY6" s="31">
        <v>900</v>
      </c>
      <c r="CYZ6" s="31">
        <v>900</v>
      </c>
      <c r="CZA6" s="31">
        <v>900</v>
      </c>
      <c r="CZB6" s="31">
        <v>900</v>
      </c>
      <c r="CZC6" s="31">
        <v>900</v>
      </c>
      <c r="CZD6" s="31">
        <v>900</v>
      </c>
      <c r="CZE6" s="31">
        <v>900</v>
      </c>
      <c r="CZF6" s="31">
        <v>900</v>
      </c>
      <c r="CZG6" s="31">
        <v>900</v>
      </c>
      <c r="CZH6" s="31">
        <v>900</v>
      </c>
      <c r="CZI6" s="31">
        <v>900</v>
      </c>
      <c r="CZJ6" s="31">
        <v>900</v>
      </c>
      <c r="CZK6" s="31">
        <v>900</v>
      </c>
      <c r="CZL6" s="31">
        <v>900</v>
      </c>
      <c r="CZM6" s="31">
        <v>900</v>
      </c>
      <c r="CZN6" s="31">
        <v>900</v>
      </c>
      <c r="CZO6" s="31">
        <v>900</v>
      </c>
      <c r="CZP6" s="31">
        <v>900</v>
      </c>
      <c r="CZQ6" s="31">
        <v>900</v>
      </c>
      <c r="CZR6" s="31">
        <v>900</v>
      </c>
      <c r="CZS6" s="31">
        <v>900</v>
      </c>
      <c r="CZT6" s="31">
        <v>900</v>
      </c>
      <c r="CZU6" s="31">
        <v>900</v>
      </c>
      <c r="CZV6" s="31">
        <v>900</v>
      </c>
      <c r="CZW6" s="31">
        <v>900</v>
      </c>
      <c r="CZX6" s="31">
        <v>900</v>
      </c>
      <c r="CZY6" s="31">
        <v>900</v>
      </c>
      <c r="CZZ6" s="31">
        <v>900</v>
      </c>
      <c r="DAA6" s="31">
        <v>900</v>
      </c>
      <c r="DAB6" s="31">
        <v>900</v>
      </c>
      <c r="DAC6" s="31">
        <v>900</v>
      </c>
      <c r="DAD6" s="31">
        <v>900</v>
      </c>
      <c r="DAE6" s="31">
        <v>900</v>
      </c>
      <c r="DAF6" s="31">
        <v>900</v>
      </c>
      <c r="DAG6" s="31">
        <v>900</v>
      </c>
      <c r="DAH6" s="31">
        <v>900</v>
      </c>
      <c r="DAI6" s="31">
        <v>900</v>
      </c>
      <c r="DAJ6" s="31">
        <v>900</v>
      </c>
      <c r="DAK6" s="31">
        <v>900</v>
      </c>
      <c r="DAL6" s="31">
        <v>900</v>
      </c>
      <c r="DAM6" s="31">
        <v>900</v>
      </c>
      <c r="DAN6" s="31">
        <v>900</v>
      </c>
      <c r="DAO6" s="31">
        <v>900</v>
      </c>
      <c r="DAP6" s="31">
        <v>900</v>
      </c>
      <c r="DAQ6" s="31">
        <v>900</v>
      </c>
      <c r="DAR6" s="31">
        <v>900</v>
      </c>
      <c r="DAS6" s="31">
        <v>900</v>
      </c>
      <c r="DAT6" s="31">
        <v>900</v>
      </c>
      <c r="DAU6" s="31">
        <v>900</v>
      </c>
      <c r="DAV6" s="31">
        <v>900</v>
      </c>
      <c r="DAW6" s="31">
        <v>900</v>
      </c>
      <c r="DAX6" s="31">
        <v>900</v>
      </c>
      <c r="DAY6" s="31">
        <v>900</v>
      </c>
      <c r="DAZ6" s="31">
        <v>900</v>
      </c>
      <c r="DBA6" s="31">
        <v>900</v>
      </c>
      <c r="DBB6" s="31">
        <v>900</v>
      </c>
      <c r="DBC6" s="31">
        <v>900</v>
      </c>
      <c r="DBD6" s="31">
        <v>900</v>
      </c>
      <c r="DBE6" s="31">
        <v>900</v>
      </c>
      <c r="DBF6" s="31">
        <v>900</v>
      </c>
      <c r="DBG6" s="31">
        <v>900</v>
      </c>
      <c r="DBH6" s="31">
        <v>900</v>
      </c>
      <c r="DBI6" s="31">
        <v>900</v>
      </c>
      <c r="DBJ6" s="31">
        <v>900</v>
      </c>
      <c r="DBK6" s="31">
        <v>900</v>
      </c>
      <c r="DBL6" s="31">
        <v>900</v>
      </c>
      <c r="DBM6" s="31">
        <v>900</v>
      </c>
      <c r="DBN6" s="31">
        <v>900</v>
      </c>
      <c r="DBO6" s="31">
        <v>900</v>
      </c>
      <c r="DBP6" s="31">
        <v>900</v>
      </c>
      <c r="DBQ6" s="31">
        <v>900</v>
      </c>
      <c r="DBR6" s="31">
        <v>900</v>
      </c>
      <c r="DBS6" s="31">
        <v>900</v>
      </c>
      <c r="DBT6" s="31">
        <v>900</v>
      </c>
      <c r="DBU6" s="31">
        <v>900</v>
      </c>
      <c r="DBV6" s="31">
        <v>900</v>
      </c>
      <c r="DBW6" s="31">
        <v>900</v>
      </c>
      <c r="DBX6" s="31">
        <v>900</v>
      </c>
      <c r="DBY6" s="31">
        <v>900</v>
      </c>
      <c r="DBZ6" s="31">
        <v>900</v>
      </c>
      <c r="DCA6" s="31">
        <v>900</v>
      </c>
      <c r="DCB6" s="31">
        <v>900</v>
      </c>
      <c r="DCC6" s="31">
        <v>900</v>
      </c>
      <c r="DCD6" s="31">
        <v>900</v>
      </c>
      <c r="DCE6" s="31">
        <v>900</v>
      </c>
      <c r="DCF6" s="31">
        <v>900</v>
      </c>
      <c r="DCG6" s="31">
        <v>900</v>
      </c>
      <c r="DCH6" s="31">
        <v>900</v>
      </c>
      <c r="DCI6" s="31">
        <v>900</v>
      </c>
      <c r="DCJ6" s="31">
        <v>900</v>
      </c>
      <c r="DCK6" s="31">
        <v>900</v>
      </c>
      <c r="DCL6" s="31">
        <v>900</v>
      </c>
      <c r="DCM6" s="31">
        <v>900</v>
      </c>
      <c r="DCN6" s="31">
        <v>900</v>
      </c>
      <c r="DCO6" s="31">
        <v>900</v>
      </c>
      <c r="DCP6" s="31">
        <v>900</v>
      </c>
      <c r="DCQ6" s="31">
        <v>900</v>
      </c>
      <c r="DCR6" s="31">
        <v>900</v>
      </c>
      <c r="DCS6" s="31">
        <v>900</v>
      </c>
      <c r="DCT6" s="31">
        <v>900</v>
      </c>
      <c r="DCU6" s="31">
        <v>900</v>
      </c>
      <c r="DCV6" s="31">
        <v>900</v>
      </c>
      <c r="DCW6" s="31">
        <v>900</v>
      </c>
      <c r="DCX6" s="31">
        <v>900</v>
      </c>
      <c r="DCY6" s="31">
        <v>900</v>
      </c>
      <c r="DCZ6" s="31">
        <v>900</v>
      </c>
      <c r="DDA6" s="31">
        <v>900</v>
      </c>
      <c r="DDB6" s="31">
        <v>900</v>
      </c>
      <c r="DDC6" s="31">
        <v>900</v>
      </c>
      <c r="DDD6" s="31">
        <v>900</v>
      </c>
      <c r="DDE6" s="31">
        <v>900</v>
      </c>
      <c r="DDF6" s="31">
        <v>900</v>
      </c>
      <c r="DDG6" s="31">
        <v>900</v>
      </c>
      <c r="DDH6" s="31">
        <v>900</v>
      </c>
      <c r="DDI6" s="31">
        <v>900</v>
      </c>
      <c r="DDJ6" s="31">
        <v>900</v>
      </c>
      <c r="DDK6" s="31">
        <v>900</v>
      </c>
      <c r="DDL6" s="31">
        <v>900</v>
      </c>
      <c r="DDM6" s="31">
        <v>900</v>
      </c>
      <c r="DDN6" s="31">
        <v>900</v>
      </c>
      <c r="DDO6" s="31">
        <v>900</v>
      </c>
      <c r="DDP6" s="31">
        <v>900</v>
      </c>
      <c r="DDQ6" s="31">
        <v>900</v>
      </c>
      <c r="DDR6" s="31">
        <v>900</v>
      </c>
      <c r="DDS6" s="31">
        <v>900</v>
      </c>
      <c r="DDT6" s="31">
        <v>900</v>
      </c>
      <c r="DDU6" s="31">
        <v>900</v>
      </c>
      <c r="DDV6" s="31">
        <v>900</v>
      </c>
      <c r="DDW6" s="31">
        <v>900</v>
      </c>
      <c r="DDX6" s="31">
        <v>900</v>
      </c>
      <c r="DDY6" s="31">
        <v>900</v>
      </c>
      <c r="DDZ6" s="31">
        <v>900</v>
      </c>
      <c r="DEA6" s="31">
        <v>900</v>
      </c>
      <c r="DEB6" s="31">
        <v>900</v>
      </c>
      <c r="DEC6" s="31">
        <v>900</v>
      </c>
      <c r="DED6" s="31">
        <v>900</v>
      </c>
      <c r="DEE6" s="31">
        <v>900</v>
      </c>
      <c r="DEF6" s="31">
        <v>900</v>
      </c>
      <c r="DEG6" s="31">
        <v>900</v>
      </c>
      <c r="DEH6" s="31">
        <v>900</v>
      </c>
      <c r="DEI6" s="31">
        <v>900</v>
      </c>
      <c r="DEJ6" s="31">
        <v>900</v>
      </c>
      <c r="DEK6" s="31">
        <v>900</v>
      </c>
      <c r="DEL6" s="31">
        <v>900</v>
      </c>
      <c r="DEM6" s="31">
        <v>900</v>
      </c>
      <c r="DEN6" s="31">
        <v>900</v>
      </c>
      <c r="DEO6" s="31">
        <v>900</v>
      </c>
      <c r="DEP6" s="31">
        <v>900</v>
      </c>
      <c r="DEQ6" s="31">
        <v>900</v>
      </c>
      <c r="DER6" s="31">
        <v>900</v>
      </c>
      <c r="DES6" s="31">
        <v>900</v>
      </c>
      <c r="DET6" s="31">
        <v>900</v>
      </c>
      <c r="DEU6" s="31">
        <v>900</v>
      </c>
      <c r="DEV6" s="31">
        <v>900</v>
      </c>
      <c r="DEW6" s="31">
        <v>900</v>
      </c>
      <c r="DEX6" s="31">
        <v>900</v>
      </c>
      <c r="DEY6" s="31">
        <v>900</v>
      </c>
      <c r="DEZ6" s="31">
        <v>900</v>
      </c>
      <c r="DFA6" s="31">
        <v>900</v>
      </c>
      <c r="DFB6" s="31">
        <v>900</v>
      </c>
      <c r="DFC6" s="31">
        <v>900</v>
      </c>
      <c r="DFD6" s="31">
        <v>900</v>
      </c>
      <c r="DFE6" s="31">
        <v>900</v>
      </c>
      <c r="DFF6" s="31">
        <v>900</v>
      </c>
      <c r="DFG6" s="31">
        <v>900</v>
      </c>
      <c r="DFH6" s="31">
        <v>900</v>
      </c>
      <c r="DFI6" s="31">
        <v>900</v>
      </c>
      <c r="DFJ6" s="31">
        <v>900</v>
      </c>
      <c r="DFK6" s="31">
        <v>900</v>
      </c>
      <c r="DFL6" s="31">
        <v>900</v>
      </c>
      <c r="DFM6" s="31">
        <v>900</v>
      </c>
      <c r="DFN6" s="31">
        <v>900</v>
      </c>
      <c r="DFO6" s="31">
        <v>900</v>
      </c>
      <c r="DFP6" s="31">
        <v>900</v>
      </c>
      <c r="DFQ6" s="31">
        <v>900</v>
      </c>
      <c r="DFR6" s="31">
        <v>900</v>
      </c>
      <c r="DFS6" s="31">
        <v>900</v>
      </c>
      <c r="DFT6" s="31">
        <v>900</v>
      </c>
      <c r="DFU6" s="31">
        <v>900</v>
      </c>
      <c r="DFV6" s="31">
        <v>900</v>
      </c>
      <c r="DFW6" s="31">
        <v>900</v>
      </c>
      <c r="DFX6" s="31">
        <v>900</v>
      </c>
      <c r="DFY6" s="31">
        <v>900</v>
      </c>
      <c r="DFZ6" s="31">
        <v>900</v>
      </c>
      <c r="DGA6" s="31">
        <v>900</v>
      </c>
      <c r="DGB6" s="31">
        <v>900</v>
      </c>
      <c r="DGC6" s="31">
        <v>900</v>
      </c>
      <c r="DGD6" s="31">
        <v>900</v>
      </c>
      <c r="DGE6" s="31">
        <v>900</v>
      </c>
      <c r="DGF6" s="31">
        <v>900</v>
      </c>
      <c r="DGG6" s="31">
        <v>900</v>
      </c>
      <c r="DGH6" s="31">
        <v>900</v>
      </c>
      <c r="DGI6" s="31">
        <v>900</v>
      </c>
      <c r="DGJ6" s="31">
        <v>900</v>
      </c>
      <c r="DGK6" s="31">
        <v>900</v>
      </c>
      <c r="DGL6" s="31">
        <v>900</v>
      </c>
      <c r="DGM6" s="31">
        <v>900</v>
      </c>
      <c r="DGN6" s="31">
        <v>900</v>
      </c>
      <c r="DGO6" s="31">
        <v>900</v>
      </c>
      <c r="DGP6" s="31">
        <v>900</v>
      </c>
      <c r="DGQ6" s="31">
        <v>900</v>
      </c>
      <c r="DGR6" s="31">
        <v>900</v>
      </c>
      <c r="DGS6" s="31">
        <v>900</v>
      </c>
      <c r="DGT6" s="31">
        <v>900</v>
      </c>
      <c r="DGU6" s="31">
        <v>900</v>
      </c>
      <c r="DGV6" s="31">
        <v>900</v>
      </c>
      <c r="DGW6" s="31">
        <v>900</v>
      </c>
      <c r="DGX6" s="31">
        <v>900</v>
      </c>
      <c r="DGY6" s="31">
        <v>900</v>
      </c>
      <c r="DGZ6" s="31">
        <v>900</v>
      </c>
      <c r="DHA6" s="31">
        <v>900</v>
      </c>
      <c r="DHB6" s="31">
        <v>900</v>
      </c>
      <c r="DHC6" s="31">
        <v>900</v>
      </c>
      <c r="DHD6" s="31">
        <v>900</v>
      </c>
      <c r="DHE6" s="31">
        <v>900</v>
      </c>
      <c r="DHF6" s="31">
        <v>900</v>
      </c>
      <c r="DHG6" s="31">
        <v>900</v>
      </c>
      <c r="DHH6" s="31">
        <v>900</v>
      </c>
      <c r="DHI6" s="31">
        <v>900</v>
      </c>
      <c r="DHJ6" s="31">
        <v>900</v>
      </c>
      <c r="DHK6" s="31">
        <v>900</v>
      </c>
      <c r="DHL6" s="31">
        <v>900</v>
      </c>
      <c r="DHM6" s="31">
        <v>900</v>
      </c>
      <c r="DHN6" s="31">
        <v>900</v>
      </c>
      <c r="DHO6" s="31">
        <v>900</v>
      </c>
      <c r="DHP6" s="31">
        <v>900</v>
      </c>
      <c r="DHQ6" s="31">
        <v>900</v>
      </c>
      <c r="DHR6" s="31">
        <v>900</v>
      </c>
      <c r="DHS6" s="31">
        <v>900</v>
      </c>
      <c r="DHT6" s="31">
        <v>900</v>
      </c>
      <c r="DHU6" s="31">
        <v>900</v>
      </c>
      <c r="DHV6" s="31">
        <v>900</v>
      </c>
      <c r="DHW6" s="31">
        <v>900</v>
      </c>
      <c r="DHX6" s="31">
        <v>900</v>
      </c>
      <c r="DHY6" s="31">
        <v>900</v>
      </c>
      <c r="DHZ6" s="31">
        <v>900</v>
      </c>
      <c r="DIA6" s="31">
        <v>900</v>
      </c>
      <c r="DIB6" s="31">
        <v>900</v>
      </c>
      <c r="DIC6" s="31">
        <v>900</v>
      </c>
      <c r="DID6" s="31">
        <v>900</v>
      </c>
      <c r="DIE6" s="31">
        <v>900</v>
      </c>
      <c r="DIF6" s="31">
        <v>900</v>
      </c>
      <c r="DIG6" s="31">
        <v>900</v>
      </c>
      <c r="DIH6" s="31">
        <v>900</v>
      </c>
      <c r="DII6" s="31">
        <v>900</v>
      </c>
      <c r="DIJ6" s="31">
        <v>900</v>
      </c>
      <c r="DIK6" s="31">
        <v>900</v>
      </c>
      <c r="DIL6" s="31">
        <v>900</v>
      </c>
      <c r="DIM6" s="31">
        <v>900</v>
      </c>
      <c r="DIN6" s="31">
        <v>900</v>
      </c>
      <c r="DIO6" s="31">
        <v>900</v>
      </c>
      <c r="DIP6" s="31">
        <v>900</v>
      </c>
      <c r="DIQ6" s="31">
        <v>900</v>
      </c>
      <c r="DIR6" s="31">
        <v>900</v>
      </c>
      <c r="DIS6" s="31">
        <v>900</v>
      </c>
      <c r="DIT6" s="31">
        <v>900</v>
      </c>
      <c r="DIU6" s="31">
        <v>900</v>
      </c>
      <c r="DIV6" s="31">
        <v>900</v>
      </c>
      <c r="DIW6" s="31">
        <v>900</v>
      </c>
      <c r="DIX6" s="31">
        <v>900</v>
      </c>
      <c r="DIY6" s="31">
        <v>900</v>
      </c>
      <c r="DIZ6" s="31">
        <v>900</v>
      </c>
      <c r="DJA6" s="31">
        <v>900</v>
      </c>
      <c r="DJB6" s="31">
        <v>900</v>
      </c>
      <c r="DJC6" s="31">
        <v>900</v>
      </c>
      <c r="DJD6" s="31">
        <v>900</v>
      </c>
      <c r="DJE6" s="31">
        <v>900</v>
      </c>
      <c r="DJF6" s="31">
        <v>900</v>
      </c>
      <c r="DJG6" s="31">
        <v>900</v>
      </c>
      <c r="DJH6" s="31">
        <v>900</v>
      </c>
      <c r="DJI6" s="31">
        <v>900</v>
      </c>
      <c r="DJJ6" s="31">
        <v>900</v>
      </c>
      <c r="DJK6" s="31">
        <v>900</v>
      </c>
      <c r="DJL6" s="31">
        <v>900</v>
      </c>
      <c r="DJM6" s="31">
        <v>900</v>
      </c>
      <c r="DJN6" s="31">
        <v>900</v>
      </c>
      <c r="DJO6" s="31">
        <v>900</v>
      </c>
      <c r="DJP6" s="31">
        <v>900</v>
      </c>
      <c r="DJQ6" s="31">
        <v>900</v>
      </c>
      <c r="DJR6" s="31">
        <v>900</v>
      </c>
      <c r="DJS6" s="31">
        <v>900</v>
      </c>
      <c r="DJT6" s="31">
        <v>900</v>
      </c>
      <c r="DJU6" s="31">
        <v>900</v>
      </c>
      <c r="DJV6" s="31">
        <v>900</v>
      </c>
      <c r="DJW6" s="31">
        <v>900</v>
      </c>
      <c r="DJX6" s="31">
        <v>900</v>
      </c>
      <c r="DJY6" s="31">
        <v>900</v>
      </c>
      <c r="DJZ6" s="31">
        <v>900</v>
      </c>
      <c r="DKA6" s="31">
        <v>900</v>
      </c>
      <c r="DKB6" s="31">
        <v>900</v>
      </c>
      <c r="DKC6" s="31">
        <v>900</v>
      </c>
      <c r="DKD6" s="31">
        <v>900</v>
      </c>
      <c r="DKE6" s="31">
        <v>900</v>
      </c>
      <c r="DKF6" s="31">
        <v>900</v>
      </c>
      <c r="DKG6" s="31">
        <v>900</v>
      </c>
      <c r="DKH6" s="31">
        <v>900</v>
      </c>
      <c r="DKI6" s="31">
        <v>900</v>
      </c>
      <c r="DKJ6" s="31">
        <v>900</v>
      </c>
      <c r="DKK6" s="31">
        <v>900</v>
      </c>
      <c r="DKL6" s="31">
        <v>900</v>
      </c>
      <c r="DKM6" s="31">
        <v>900</v>
      </c>
      <c r="DKN6" s="31">
        <v>900</v>
      </c>
      <c r="DKO6" s="31">
        <v>900</v>
      </c>
      <c r="DKP6" s="31">
        <v>900</v>
      </c>
      <c r="DKQ6" s="31">
        <v>900</v>
      </c>
      <c r="DKR6" s="31">
        <v>900</v>
      </c>
      <c r="DKS6" s="31">
        <v>900</v>
      </c>
      <c r="DKT6" s="31">
        <v>900</v>
      </c>
      <c r="DKU6" s="31">
        <v>900</v>
      </c>
      <c r="DKV6" s="31">
        <v>900</v>
      </c>
      <c r="DKW6" s="31">
        <v>900</v>
      </c>
      <c r="DKX6" s="31">
        <v>900</v>
      </c>
      <c r="DKY6" s="31">
        <v>900</v>
      </c>
      <c r="DKZ6" s="31">
        <v>900</v>
      </c>
      <c r="DLA6" s="31">
        <v>900</v>
      </c>
      <c r="DLB6" s="31">
        <v>900</v>
      </c>
      <c r="DLC6" s="31">
        <v>900</v>
      </c>
      <c r="DLD6" s="31">
        <v>900</v>
      </c>
      <c r="DLE6" s="31">
        <v>900</v>
      </c>
      <c r="DLF6" s="31">
        <v>900</v>
      </c>
      <c r="DLG6" s="31">
        <v>900</v>
      </c>
      <c r="DLH6" s="31">
        <v>900</v>
      </c>
      <c r="DLI6" s="31">
        <v>900</v>
      </c>
      <c r="DLJ6" s="31">
        <v>900</v>
      </c>
      <c r="DLK6" s="31">
        <v>900</v>
      </c>
      <c r="DLL6" s="31">
        <v>900</v>
      </c>
      <c r="DLM6" s="31">
        <v>900</v>
      </c>
      <c r="DLN6" s="31">
        <v>900</v>
      </c>
      <c r="DLO6" s="31">
        <v>900</v>
      </c>
      <c r="DLP6" s="31">
        <v>900</v>
      </c>
      <c r="DLQ6" s="31">
        <v>900</v>
      </c>
      <c r="DLR6" s="31">
        <v>900</v>
      </c>
      <c r="DLS6" s="31">
        <v>900</v>
      </c>
      <c r="DLT6" s="31">
        <v>900</v>
      </c>
      <c r="DLU6" s="31">
        <v>900</v>
      </c>
      <c r="DLV6" s="31">
        <v>900</v>
      </c>
      <c r="DLW6" s="31">
        <v>900</v>
      </c>
      <c r="DLX6" s="31">
        <v>900</v>
      </c>
      <c r="DLY6" s="31">
        <v>900</v>
      </c>
      <c r="DLZ6" s="31">
        <v>900</v>
      </c>
      <c r="DMA6" s="31">
        <v>900</v>
      </c>
      <c r="DMB6" s="31">
        <v>900</v>
      </c>
      <c r="DMC6" s="31">
        <v>900</v>
      </c>
      <c r="DMD6" s="31">
        <v>900</v>
      </c>
      <c r="DME6" s="31">
        <v>900</v>
      </c>
      <c r="DMF6" s="31">
        <v>900</v>
      </c>
      <c r="DMG6" s="31">
        <v>900</v>
      </c>
      <c r="DMH6" s="31">
        <v>900</v>
      </c>
      <c r="DMI6" s="31">
        <v>900</v>
      </c>
      <c r="DMJ6" s="31">
        <v>900</v>
      </c>
      <c r="DMK6" s="31">
        <v>900</v>
      </c>
      <c r="DML6" s="31">
        <v>900</v>
      </c>
      <c r="DMM6" s="31">
        <v>900</v>
      </c>
      <c r="DMN6" s="31">
        <v>900</v>
      </c>
      <c r="DMO6" s="31">
        <v>900</v>
      </c>
      <c r="DMP6" s="31">
        <v>900</v>
      </c>
      <c r="DMQ6" s="31">
        <v>900</v>
      </c>
      <c r="DMR6" s="31">
        <v>900</v>
      </c>
      <c r="DMS6" s="31">
        <v>900</v>
      </c>
      <c r="DMT6" s="31">
        <v>900</v>
      </c>
      <c r="DMU6" s="31">
        <v>900</v>
      </c>
      <c r="DMV6" s="31">
        <v>900</v>
      </c>
      <c r="DMW6" s="31">
        <v>900</v>
      </c>
      <c r="DMX6" s="31">
        <v>900</v>
      </c>
      <c r="DMY6" s="31">
        <v>900</v>
      </c>
      <c r="DMZ6" s="31">
        <v>900</v>
      </c>
      <c r="DNA6" s="31">
        <v>900</v>
      </c>
      <c r="DNB6" s="31">
        <v>900</v>
      </c>
      <c r="DNC6" s="31">
        <v>900</v>
      </c>
      <c r="DND6" s="31">
        <v>900</v>
      </c>
      <c r="DNE6" s="31">
        <v>900</v>
      </c>
      <c r="DNF6" s="31">
        <v>900</v>
      </c>
      <c r="DNG6" s="31">
        <v>900</v>
      </c>
      <c r="DNH6" s="31">
        <v>900</v>
      </c>
      <c r="DNI6" s="31">
        <v>900</v>
      </c>
      <c r="DNJ6" s="31">
        <v>900</v>
      </c>
      <c r="DNK6" s="31">
        <v>900</v>
      </c>
      <c r="DNL6" s="31">
        <v>900</v>
      </c>
      <c r="DNM6" s="31">
        <v>900</v>
      </c>
      <c r="DNN6" s="31">
        <v>900</v>
      </c>
      <c r="DNO6" s="31">
        <v>900</v>
      </c>
      <c r="DNP6" s="31">
        <v>900</v>
      </c>
      <c r="DNQ6" s="31">
        <v>900</v>
      </c>
      <c r="DNR6" s="31">
        <v>900</v>
      </c>
      <c r="DNS6" s="31">
        <v>900</v>
      </c>
      <c r="DNT6" s="31">
        <v>900</v>
      </c>
      <c r="DNU6" s="31">
        <v>900</v>
      </c>
      <c r="DNV6" s="31">
        <v>900</v>
      </c>
      <c r="DNW6" s="31">
        <v>900</v>
      </c>
      <c r="DNX6" s="31">
        <v>900</v>
      </c>
      <c r="DNY6" s="31">
        <v>900</v>
      </c>
      <c r="DNZ6" s="31">
        <v>900</v>
      </c>
      <c r="DOA6" s="31">
        <v>900</v>
      </c>
      <c r="DOB6" s="31">
        <v>900</v>
      </c>
      <c r="DOC6" s="31">
        <v>900</v>
      </c>
      <c r="DOD6" s="31">
        <v>900</v>
      </c>
      <c r="DOE6" s="31">
        <v>900</v>
      </c>
      <c r="DOF6" s="31">
        <v>900</v>
      </c>
      <c r="DOG6" s="31">
        <v>900</v>
      </c>
      <c r="DOH6" s="31">
        <v>900</v>
      </c>
      <c r="DOI6" s="31">
        <v>900</v>
      </c>
      <c r="DOJ6" s="31">
        <v>900</v>
      </c>
      <c r="DOK6" s="31">
        <v>900</v>
      </c>
      <c r="DOL6" s="31">
        <v>900</v>
      </c>
      <c r="DOM6" s="31">
        <v>900</v>
      </c>
      <c r="DON6" s="31">
        <v>900</v>
      </c>
      <c r="DOO6" s="31">
        <v>900</v>
      </c>
      <c r="DOP6" s="31">
        <v>900</v>
      </c>
      <c r="DOQ6" s="31">
        <v>900</v>
      </c>
      <c r="DOR6" s="31">
        <v>900</v>
      </c>
      <c r="DOS6" s="31">
        <v>900</v>
      </c>
      <c r="DOT6" s="31">
        <v>900</v>
      </c>
      <c r="DOU6" s="31">
        <v>900</v>
      </c>
      <c r="DOV6" s="31">
        <v>900</v>
      </c>
      <c r="DOW6" s="31">
        <v>900</v>
      </c>
      <c r="DOX6" s="31">
        <v>900</v>
      </c>
      <c r="DOY6" s="31">
        <v>900</v>
      </c>
      <c r="DOZ6" s="31">
        <v>900</v>
      </c>
      <c r="DPA6" s="31">
        <v>900</v>
      </c>
      <c r="DPB6" s="31">
        <v>900</v>
      </c>
      <c r="DPC6" s="31">
        <v>900</v>
      </c>
      <c r="DPD6" s="31">
        <v>900</v>
      </c>
      <c r="DPE6" s="31">
        <v>900</v>
      </c>
      <c r="DPF6" s="31">
        <v>900</v>
      </c>
      <c r="DPG6" s="31">
        <v>900</v>
      </c>
      <c r="DPH6" s="31">
        <v>900</v>
      </c>
      <c r="DPI6" s="31">
        <v>900</v>
      </c>
      <c r="DPJ6" s="31">
        <v>900</v>
      </c>
      <c r="DPK6" s="31">
        <v>900</v>
      </c>
      <c r="DPL6" s="31">
        <v>900</v>
      </c>
      <c r="DPM6" s="31">
        <v>900</v>
      </c>
      <c r="DPN6" s="31">
        <v>900</v>
      </c>
      <c r="DPO6" s="31">
        <v>900</v>
      </c>
      <c r="DPP6" s="31">
        <v>900</v>
      </c>
      <c r="DPQ6" s="31">
        <v>900</v>
      </c>
      <c r="DPR6" s="31">
        <v>900</v>
      </c>
      <c r="DPS6" s="31">
        <v>900</v>
      </c>
      <c r="DPT6" s="31">
        <v>900</v>
      </c>
      <c r="DPU6" s="31">
        <v>900</v>
      </c>
      <c r="DPV6" s="31">
        <v>900</v>
      </c>
      <c r="DPW6" s="31">
        <v>900</v>
      </c>
      <c r="DPX6" s="31">
        <v>900</v>
      </c>
      <c r="DPY6" s="31">
        <v>900</v>
      </c>
      <c r="DPZ6" s="31">
        <v>900</v>
      </c>
      <c r="DQA6" s="31">
        <v>900</v>
      </c>
      <c r="DQB6" s="31">
        <v>900</v>
      </c>
      <c r="DQC6" s="31">
        <v>900</v>
      </c>
      <c r="DQD6" s="31">
        <v>900</v>
      </c>
      <c r="DQE6" s="31">
        <v>900</v>
      </c>
      <c r="DQF6" s="31">
        <v>900</v>
      </c>
      <c r="DQG6" s="31">
        <v>900</v>
      </c>
      <c r="DQH6" s="31">
        <v>900</v>
      </c>
      <c r="DQI6" s="31">
        <v>900</v>
      </c>
      <c r="DQJ6" s="31">
        <v>900</v>
      </c>
      <c r="DQK6" s="31">
        <v>900</v>
      </c>
      <c r="DQL6" s="31">
        <v>900</v>
      </c>
      <c r="DQM6" s="31">
        <v>900</v>
      </c>
      <c r="DQN6" s="31">
        <v>900</v>
      </c>
      <c r="DQO6" s="31">
        <v>900</v>
      </c>
      <c r="DQP6" s="31">
        <v>900</v>
      </c>
      <c r="DQQ6" s="31">
        <v>900</v>
      </c>
      <c r="DQR6" s="31">
        <v>900</v>
      </c>
      <c r="DQS6" s="31">
        <v>900</v>
      </c>
      <c r="DQT6" s="31">
        <v>900</v>
      </c>
      <c r="DQU6" s="31">
        <v>900</v>
      </c>
      <c r="DQV6" s="31">
        <v>900</v>
      </c>
      <c r="DQW6" s="31">
        <v>900</v>
      </c>
      <c r="DQX6" s="31">
        <v>900</v>
      </c>
      <c r="DQY6" s="31">
        <v>900</v>
      </c>
      <c r="DQZ6" s="31">
        <v>900</v>
      </c>
      <c r="DRA6" s="31">
        <v>900</v>
      </c>
      <c r="DRB6" s="31">
        <v>900</v>
      </c>
      <c r="DRC6" s="31">
        <v>900</v>
      </c>
      <c r="DRD6" s="31">
        <v>900</v>
      </c>
      <c r="DRE6" s="31">
        <v>900</v>
      </c>
      <c r="DRF6" s="31">
        <v>900</v>
      </c>
      <c r="DRG6" s="31">
        <v>900</v>
      </c>
      <c r="DRH6" s="31">
        <v>900</v>
      </c>
      <c r="DRI6" s="31">
        <v>900</v>
      </c>
      <c r="DRJ6" s="31">
        <v>900</v>
      </c>
      <c r="DRK6" s="31">
        <v>900</v>
      </c>
      <c r="DRL6" s="31">
        <v>900</v>
      </c>
      <c r="DRM6" s="31">
        <v>900</v>
      </c>
      <c r="DRN6" s="31">
        <v>900</v>
      </c>
      <c r="DRO6" s="31">
        <v>900</v>
      </c>
      <c r="DRP6" s="31">
        <v>900</v>
      </c>
      <c r="DRQ6" s="31">
        <v>900</v>
      </c>
      <c r="DRR6" s="31">
        <v>900</v>
      </c>
      <c r="DRS6" s="31">
        <v>900</v>
      </c>
      <c r="DRT6" s="31">
        <v>900</v>
      </c>
      <c r="DRU6" s="31">
        <v>900</v>
      </c>
      <c r="DRV6" s="31">
        <v>900</v>
      </c>
      <c r="DRW6" s="31">
        <v>900</v>
      </c>
      <c r="DRX6" s="31">
        <v>900</v>
      </c>
      <c r="DRY6" s="31">
        <v>900</v>
      </c>
      <c r="DRZ6" s="31">
        <v>900</v>
      </c>
      <c r="DSA6" s="31">
        <v>900</v>
      </c>
      <c r="DSB6" s="31">
        <v>900</v>
      </c>
      <c r="DSC6" s="31">
        <v>900</v>
      </c>
      <c r="DSD6" s="31">
        <v>900</v>
      </c>
      <c r="DSE6" s="31">
        <v>900</v>
      </c>
      <c r="DSF6" s="31">
        <v>900</v>
      </c>
      <c r="DSG6" s="31">
        <v>900</v>
      </c>
      <c r="DSH6" s="31">
        <v>900</v>
      </c>
      <c r="DSI6" s="31">
        <v>900</v>
      </c>
      <c r="DSJ6" s="31">
        <v>900</v>
      </c>
      <c r="DSK6" s="31">
        <v>900</v>
      </c>
      <c r="DSL6" s="31">
        <v>900</v>
      </c>
      <c r="DSM6" s="31">
        <v>900</v>
      </c>
      <c r="DSN6" s="31">
        <v>900</v>
      </c>
      <c r="DSO6" s="31">
        <v>900</v>
      </c>
      <c r="DSP6" s="31">
        <v>900</v>
      </c>
      <c r="DSQ6" s="31">
        <v>900</v>
      </c>
      <c r="DSR6" s="31">
        <v>900</v>
      </c>
      <c r="DSS6" s="31">
        <v>900</v>
      </c>
      <c r="DST6" s="31">
        <v>900</v>
      </c>
      <c r="DSU6" s="31">
        <v>900</v>
      </c>
      <c r="DSV6" s="31">
        <v>900</v>
      </c>
      <c r="DSW6" s="31">
        <v>900</v>
      </c>
      <c r="DSX6" s="31">
        <v>900</v>
      </c>
      <c r="DSY6" s="31">
        <v>900</v>
      </c>
      <c r="DSZ6" s="31">
        <v>900</v>
      </c>
      <c r="DTA6" s="31">
        <v>900</v>
      </c>
      <c r="DTB6" s="31">
        <v>900</v>
      </c>
      <c r="DTC6" s="31">
        <v>900</v>
      </c>
      <c r="DTD6" s="31">
        <v>900</v>
      </c>
      <c r="DTE6" s="31">
        <v>900</v>
      </c>
      <c r="DTF6" s="31">
        <v>900</v>
      </c>
      <c r="DTG6" s="31">
        <v>900</v>
      </c>
      <c r="DTH6" s="31">
        <v>900</v>
      </c>
      <c r="DTI6" s="31">
        <v>900</v>
      </c>
      <c r="DTJ6" s="31">
        <v>900</v>
      </c>
      <c r="DTK6" s="31">
        <v>900</v>
      </c>
      <c r="DTL6" s="31">
        <v>900</v>
      </c>
      <c r="DTM6" s="31">
        <v>900</v>
      </c>
      <c r="DTN6" s="31">
        <v>900</v>
      </c>
      <c r="DTO6" s="31">
        <v>900</v>
      </c>
      <c r="DTP6" s="31">
        <v>900</v>
      </c>
      <c r="DTQ6" s="31">
        <v>900</v>
      </c>
      <c r="DTR6" s="31">
        <v>900</v>
      </c>
      <c r="DTS6" s="31">
        <v>900</v>
      </c>
      <c r="DTT6" s="31">
        <v>900</v>
      </c>
      <c r="DTU6" s="31">
        <v>900</v>
      </c>
      <c r="DTV6" s="31">
        <v>900</v>
      </c>
      <c r="DTW6" s="31">
        <v>900</v>
      </c>
      <c r="DTX6" s="31">
        <v>900</v>
      </c>
      <c r="DTY6" s="31">
        <v>900</v>
      </c>
      <c r="DTZ6" s="31">
        <v>900</v>
      </c>
      <c r="DUA6" s="31">
        <v>900</v>
      </c>
      <c r="DUB6" s="31">
        <v>900</v>
      </c>
      <c r="DUC6" s="31">
        <v>900</v>
      </c>
      <c r="DUD6" s="31">
        <v>900</v>
      </c>
      <c r="DUE6" s="31">
        <v>900</v>
      </c>
      <c r="DUF6" s="31">
        <v>900</v>
      </c>
      <c r="DUG6" s="31">
        <v>900</v>
      </c>
      <c r="DUH6" s="31">
        <v>900</v>
      </c>
      <c r="DUI6" s="31">
        <v>900</v>
      </c>
      <c r="DUJ6" s="31">
        <v>900</v>
      </c>
      <c r="DUK6" s="31">
        <v>900</v>
      </c>
      <c r="DUL6" s="31">
        <v>900</v>
      </c>
      <c r="DUM6" s="31">
        <v>900</v>
      </c>
      <c r="DUN6" s="31">
        <v>900</v>
      </c>
      <c r="DUO6" s="31">
        <v>900</v>
      </c>
      <c r="DUP6" s="31">
        <v>900</v>
      </c>
      <c r="DUQ6" s="31">
        <v>900</v>
      </c>
      <c r="DUR6" s="31">
        <v>900</v>
      </c>
      <c r="DUS6" s="31">
        <v>900</v>
      </c>
      <c r="DUT6" s="31">
        <v>900</v>
      </c>
      <c r="DUU6" s="31">
        <v>900</v>
      </c>
      <c r="DUV6" s="31">
        <v>900</v>
      </c>
      <c r="DUW6" s="31">
        <v>900</v>
      </c>
      <c r="DUX6" s="31">
        <v>900</v>
      </c>
      <c r="DUY6" s="31">
        <v>900</v>
      </c>
      <c r="DUZ6" s="31">
        <v>900</v>
      </c>
      <c r="DVA6" s="31">
        <v>900</v>
      </c>
      <c r="DVB6" s="31">
        <v>900</v>
      </c>
      <c r="DVC6" s="31">
        <v>900</v>
      </c>
      <c r="DVD6" s="31">
        <v>900</v>
      </c>
      <c r="DVE6" s="31">
        <v>900</v>
      </c>
      <c r="DVF6" s="31">
        <v>900</v>
      </c>
      <c r="DVG6" s="31">
        <v>900</v>
      </c>
      <c r="DVH6" s="31">
        <v>900</v>
      </c>
      <c r="DVI6" s="31">
        <v>900</v>
      </c>
      <c r="DVJ6" s="31">
        <v>900</v>
      </c>
      <c r="DVK6" s="31">
        <v>900</v>
      </c>
      <c r="DVL6" s="31">
        <v>900</v>
      </c>
      <c r="DVM6" s="31">
        <v>900</v>
      </c>
      <c r="DVN6" s="31">
        <v>900</v>
      </c>
      <c r="DVO6" s="31">
        <v>900</v>
      </c>
      <c r="DVP6" s="31">
        <v>900</v>
      </c>
      <c r="DVQ6" s="31">
        <v>900</v>
      </c>
      <c r="DVR6" s="31">
        <v>900</v>
      </c>
      <c r="DVS6" s="31">
        <v>900</v>
      </c>
      <c r="DVT6" s="31">
        <v>900</v>
      </c>
      <c r="DVU6" s="31">
        <v>900</v>
      </c>
      <c r="DVV6" s="31">
        <v>900</v>
      </c>
      <c r="DVW6" s="31">
        <v>900</v>
      </c>
      <c r="DVX6" s="31">
        <v>900</v>
      </c>
      <c r="DVY6" s="31">
        <v>900</v>
      </c>
      <c r="DVZ6" s="31">
        <v>900</v>
      </c>
      <c r="DWA6" s="31">
        <v>900</v>
      </c>
      <c r="DWB6" s="31">
        <v>900</v>
      </c>
      <c r="DWC6" s="31">
        <v>900</v>
      </c>
      <c r="DWD6" s="31">
        <v>900</v>
      </c>
      <c r="DWE6" s="31">
        <v>900</v>
      </c>
      <c r="DWF6" s="31">
        <v>900</v>
      </c>
      <c r="DWG6" s="31">
        <v>900</v>
      </c>
      <c r="DWH6" s="31">
        <v>900</v>
      </c>
      <c r="DWI6" s="31">
        <v>900</v>
      </c>
      <c r="DWJ6" s="31">
        <v>900</v>
      </c>
      <c r="DWK6" s="31">
        <v>900</v>
      </c>
      <c r="DWL6" s="31">
        <v>900</v>
      </c>
      <c r="DWM6" s="31">
        <v>900</v>
      </c>
      <c r="DWN6" s="31">
        <v>900</v>
      </c>
      <c r="DWO6" s="31">
        <v>900</v>
      </c>
      <c r="DWP6" s="31">
        <v>900</v>
      </c>
      <c r="DWQ6" s="31">
        <v>900</v>
      </c>
      <c r="DWR6" s="31">
        <v>900</v>
      </c>
      <c r="DWS6" s="31">
        <v>900</v>
      </c>
      <c r="DWT6" s="31">
        <v>900</v>
      </c>
      <c r="DWU6" s="31">
        <v>900</v>
      </c>
      <c r="DWV6" s="31">
        <v>900</v>
      </c>
      <c r="DWW6" s="31">
        <v>900</v>
      </c>
      <c r="DWX6" s="31">
        <v>900</v>
      </c>
      <c r="DWY6" s="31">
        <v>900</v>
      </c>
      <c r="DWZ6" s="31">
        <v>900</v>
      </c>
      <c r="DXA6" s="31">
        <v>900</v>
      </c>
      <c r="DXB6" s="31">
        <v>900</v>
      </c>
      <c r="DXC6" s="31">
        <v>900</v>
      </c>
      <c r="DXD6" s="31">
        <v>900</v>
      </c>
      <c r="DXE6" s="31">
        <v>900</v>
      </c>
      <c r="DXF6" s="31">
        <v>900</v>
      </c>
      <c r="DXG6" s="31">
        <v>900</v>
      </c>
      <c r="DXH6" s="31">
        <v>900</v>
      </c>
      <c r="DXI6" s="31">
        <v>900</v>
      </c>
      <c r="DXJ6" s="31">
        <v>900</v>
      </c>
      <c r="DXK6" s="31">
        <v>900</v>
      </c>
      <c r="DXL6" s="31">
        <v>900</v>
      </c>
      <c r="DXM6" s="31">
        <v>900</v>
      </c>
      <c r="DXN6" s="31">
        <v>900</v>
      </c>
      <c r="DXO6" s="31">
        <v>900</v>
      </c>
      <c r="DXP6" s="31">
        <v>900</v>
      </c>
      <c r="DXQ6" s="31">
        <v>900</v>
      </c>
      <c r="DXR6" s="31">
        <v>900</v>
      </c>
      <c r="DXS6" s="31">
        <v>900</v>
      </c>
      <c r="DXT6" s="31">
        <v>900</v>
      </c>
      <c r="DXU6" s="31">
        <v>900</v>
      </c>
      <c r="DXV6" s="31">
        <v>900</v>
      </c>
      <c r="DXW6" s="31">
        <v>900</v>
      </c>
      <c r="DXX6" s="31">
        <v>900</v>
      </c>
      <c r="DXY6" s="31">
        <v>900</v>
      </c>
      <c r="DXZ6" s="31">
        <v>900</v>
      </c>
      <c r="DYA6" s="31">
        <v>900</v>
      </c>
      <c r="DYB6" s="31">
        <v>900</v>
      </c>
      <c r="DYC6" s="31">
        <v>900</v>
      </c>
      <c r="DYD6" s="31">
        <v>900</v>
      </c>
      <c r="DYE6" s="31">
        <v>900</v>
      </c>
      <c r="DYF6" s="31">
        <v>900</v>
      </c>
      <c r="DYG6" s="31">
        <v>900</v>
      </c>
      <c r="DYH6" s="31">
        <v>900</v>
      </c>
      <c r="DYI6" s="31">
        <v>900</v>
      </c>
      <c r="DYJ6" s="31">
        <v>900</v>
      </c>
      <c r="DYK6" s="31">
        <v>900</v>
      </c>
      <c r="DYL6" s="31">
        <v>900</v>
      </c>
      <c r="DYM6" s="31">
        <v>900</v>
      </c>
      <c r="DYN6" s="31">
        <v>900</v>
      </c>
      <c r="DYO6" s="31">
        <v>900</v>
      </c>
      <c r="DYP6" s="31">
        <v>900</v>
      </c>
      <c r="DYQ6" s="31">
        <v>900</v>
      </c>
      <c r="DYR6" s="31">
        <v>900</v>
      </c>
      <c r="DYS6" s="31">
        <v>900</v>
      </c>
      <c r="DYT6" s="31">
        <v>900</v>
      </c>
      <c r="DYU6" s="31">
        <v>900</v>
      </c>
      <c r="DYV6" s="31">
        <v>900</v>
      </c>
      <c r="DYW6" s="31">
        <v>900</v>
      </c>
      <c r="DYX6" s="31">
        <v>900</v>
      </c>
      <c r="DYY6" s="31">
        <v>900</v>
      </c>
      <c r="DYZ6" s="31">
        <v>900</v>
      </c>
      <c r="DZA6" s="31">
        <v>900</v>
      </c>
      <c r="DZB6" s="31">
        <v>900</v>
      </c>
      <c r="DZC6" s="31">
        <v>900</v>
      </c>
      <c r="DZD6" s="31">
        <v>900</v>
      </c>
      <c r="DZE6" s="31">
        <v>900</v>
      </c>
      <c r="DZF6" s="31">
        <v>900</v>
      </c>
      <c r="DZG6" s="31">
        <v>900</v>
      </c>
      <c r="DZH6" s="31">
        <v>900</v>
      </c>
      <c r="DZI6" s="31">
        <v>900</v>
      </c>
      <c r="DZJ6" s="31">
        <v>900</v>
      </c>
      <c r="DZK6" s="31">
        <v>900</v>
      </c>
      <c r="DZL6" s="31">
        <v>900</v>
      </c>
      <c r="DZM6" s="31">
        <v>900</v>
      </c>
      <c r="DZN6" s="31">
        <v>900</v>
      </c>
      <c r="DZO6" s="31">
        <v>900</v>
      </c>
      <c r="DZP6" s="31">
        <v>900</v>
      </c>
      <c r="DZQ6" s="31">
        <v>900</v>
      </c>
      <c r="DZR6" s="31">
        <v>900</v>
      </c>
      <c r="DZS6" s="31">
        <v>900</v>
      </c>
      <c r="DZT6" s="31">
        <v>900</v>
      </c>
      <c r="DZU6" s="31">
        <v>900</v>
      </c>
      <c r="DZV6" s="31">
        <v>900</v>
      </c>
      <c r="DZW6" s="31">
        <v>900</v>
      </c>
      <c r="DZX6" s="31">
        <v>900</v>
      </c>
      <c r="DZY6" s="31">
        <v>900</v>
      </c>
      <c r="DZZ6" s="31">
        <v>900</v>
      </c>
      <c r="EAA6" s="31">
        <v>900</v>
      </c>
      <c r="EAB6" s="31">
        <v>900</v>
      </c>
      <c r="EAC6" s="31">
        <v>900</v>
      </c>
      <c r="EAD6" s="31">
        <v>900</v>
      </c>
      <c r="EAE6" s="31">
        <v>900</v>
      </c>
      <c r="EAF6" s="31">
        <v>900</v>
      </c>
      <c r="EAG6" s="31">
        <v>900</v>
      </c>
      <c r="EAH6" s="31">
        <v>900</v>
      </c>
      <c r="EAI6" s="31">
        <v>900</v>
      </c>
      <c r="EAJ6" s="31">
        <v>900</v>
      </c>
      <c r="EAK6" s="31">
        <v>900</v>
      </c>
      <c r="EAL6" s="31">
        <v>900</v>
      </c>
      <c r="EAM6" s="31">
        <v>900</v>
      </c>
      <c r="EAN6" s="31">
        <v>900</v>
      </c>
      <c r="EAO6" s="31">
        <v>900</v>
      </c>
      <c r="EAP6" s="31">
        <v>900</v>
      </c>
      <c r="EAQ6" s="31">
        <v>900</v>
      </c>
      <c r="EAR6" s="31">
        <v>900</v>
      </c>
      <c r="EAS6" s="31">
        <v>900</v>
      </c>
      <c r="EAT6" s="31">
        <v>900</v>
      </c>
      <c r="EAU6" s="31">
        <v>900</v>
      </c>
      <c r="EAV6" s="31">
        <v>900</v>
      </c>
      <c r="EAW6" s="31">
        <v>900</v>
      </c>
      <c r="EAX6" s="31">
        <v>900</v>
      </c>
      <c r="EAY6" s="31">
        <v>900</v>
      </c>
      <c r="EAZ6" s="31">
        <v>900</v>
      </c>
      <c r="EBA6" s="31">
        <v>900</v>
      </c>
      <c r="EBB6" s="31">
        <v>900</v>
      </c>
      <c r="EBC6" s="31">
        <v>900</v>
      </c>
      <c r="EBD6" s="31">
        <v>900</v>
      </c>
      <c r="EBE6" s="31">
        <v>900</v>
      </c>
      <c r="EBF6" s="31">
        <v>900</v>
      </c>
      <c r="EBG6" s="31">
        <v>900</v>
      </c>
      <c r="EBH6" s="31">
        <v>900</v>
      </c>
      <c r="EBI6" s="31">
        <v>900</v>
      </c>
      <c r="EBJ6" s="31">
        <v>900</v>
      </c>
      <c r="EBK6" s="31">
        <v>900</v>
      </c>
      <c r="EBL6" s="31">
        <v>900</v>
      </c>
      <c r="EBM6" s="31">
        <v>900</v>
      </c>
      <c r="EBN6" s="31">
        <v>900</v>
      </c>
      <c r="EBO6" s="31">
        <v>900</v>
      </c>
      <c r="EBP6" s="31">
        <v>900</v>
      </c>
      <c r="EBQ6" s="31">
        <v>900</v>
      </c>
      <c r="EBR6" s="31">
        <v>900</v>
      </c>
      <c r="EBS6" s="31">
        <v>900</v>
      </c>
      <c r="EBT6" s="31">
        <v>900</v>
      </c>
      <c r="EBU6" s="31">
        <v>900</v>
      </c>
      <c r="EBV6" s="31">
        <v>900</v>
      </c>
      <c r="EBW6" s="31">
        <v>900</v>
      </c>
      <c r="EBX6" s="31">
        <v>900</v>
      </c>
      <c r="EBY6" s="31">
        <v>900</v>
      </c>
      <c r="EBZ6" s="31">
        <v>900</v>
      </c>
      <c r="ECA6" s="31">
        <v>900</v>
      </c>
      <c r="ECB6" s="31">
        <v>900</v>
      </c>
      <c r="ECC6" s="31">
        <v>900</v>
      </c>
      <c r="ECD6" s="31">
        <v>900</v>
      </c>
      <c r="ECE6" s="31">
        <v>900</v>
      </c>
      <c r="ECF6" s="31">
        <v>900</v>
      </c>
      <c r="ECG6" s="31">
        <v>900</v>
      </c>
      <c r="ECH6" s="31">
        <v>900</v>
      </c>
      <c r="ECI6" s="31">
        <v>900</v>
      </c>
      <c r="ECJ6" s="31">
        <v>900</v>
      </c>
      <c r="ECK6" s="31">
        <v>900</v>
      </c>
      <c r="ECL6" s="31">
        <v>900</v>
      </c>
      <c r="ECM6" s="31">
        <v>900</v>
      </c>
      <c r="ECN6" s="31">
        <v>900</v>
      </c>
      <c r="ECO6" s="31">
        <v>900</v>
      </c>
      <c r="ECP6" s="31">
        <v>900</v>
      </c>
      <c r="ECQ6" s="31">
        <v>900</v>
      </c>
      <c r="ECR6" s="31">
        <v>900</v>
      </c>
      <c r="ECS6" s="31">
        <v>900</v>
      </c>
      <c r="ECT6" s="31">
        <v>900</v>
      </c>
      <c r="ECU6" s="31">
        <v>900</v>
      </c>
      <c r="ECV6" s="31">
        <v>900</v>
      </c>
      <c r="ECW6" s="31">
        <v>900</v>
      </c>
      <c r="ECX6" s="31">
        <v>900</v>
      </c>
      <c r="ECY6" s="31">
        <v>900</v>
      </c>
      <c r="ECZ6" s="31">
        <v>900</v>
      </c>
      <c r="EDA6" s="31">
        <v>900</v>
      </c>
      <c r="EDB6" s="31">
        <v>900</v>
      </c>
      <c r="EDC6" s="31">
        <v>900</v>
      </c>
      <c r="EDD6" s="31">
        <v>900</v>
      </c>
      <c r="EDE6" s="31">
        <v>900</v>
      </c>
      <c r="EDF6" s="31">
        <v>900</v>
      </c>
      <c r="EDG6" s="31">
        <v>900</v>
      </c>
      <c r="EDH6" s="31">
        <v>900</v>
      </c>
      <c r="EDI6" s="31">
        <v>900</v>
      </c>
      <c r="EDJ6" s="31">
        <v>900</v>
      </c>
      <c r="EDK6" s="31">
        <v>900</v>
      </c>
      <c r="EDL6" s="31">
        <v>900</v>
      </c>
      <c r="EDM6" s="31">
        <v>900</v>
      </c>
      <c r="EDN6" s="31">
        <v>900</v>
      </c>
      <c r="EDO6" s="31">
        <v>900</v>
      </c>
      <c r="EDP6" s="31">
        <v>900</v>
      </c>
      <c r="EDQ6" s="31">
        <v>900</v>
      </c>
      <c r="EDR6" s="31">
        <v>900</v>
      </c>
      <c r="EDS6" s="31">
        <v>900</v>
      </c>
      <c r="EDT6" s="31">
        <v>900</v>
      </c>
      <c r="EDU6" s="31">
        <v>900</v>
      </c>
      <c r="EDV6" s="31">
        <v>900</v>
      </c>
      <c r="EDW6" s="31">
        <v>900</v>
      </c>
      <c r="EDX6" s="31">
        <v>900</v>
      </c>
      <c r="EDY6" s="31">
        <v>900</v>
      </c>
      <c r="EDZ6" s="31">
        <v>900</v>
      </c>
      <c r="EEA6" s="31">
        <v>900</v>
      </c>
      <c r="EEB6" s="31">
        <v>900</v>
      </c>
      <c r="EEC6" s="31">
        <v>900</v>
      </c>
      <c r="EED6" s="31">
        <v>900</v>
      </c>
      <c r="EEE6" s="31">
        <v>900</v>
      </c>
      <c r="EEF6" s="31">
        <v>900</v>
      </c>
      <c r="EEG6" s="31">
        <v>900</v>
      </c>
      <c r="EEH6" s="31">
        <v>900</v>
      </c>
      <c r="EEI6" s="31">
        <v>900</v>
      </c>
      <c r="EEJ6" s="31">
        <v>900</v>
      </c>
      <c r="EEK6" s="31">
        <v>900</v>
      </c>
      <c r="EEL6" s="31">
        <v>900</v>
      </c>
      <c r="EEM6" s="31">
        <v>900</v>
      </c>
      <c r="EEN6" s="31">
        <v>900</v>
      </c>
      <c r="EEO6" s="31">
        <v>900</v>
      </c>
      <c r="EEP6" s="31">
        <v>900</v>
      </c>
      <c r="EEQ6" s="31">
        <v>900</v>
      </c>
      <c r="EER6" s="31">
        <v>900</v>
      </c>
      <c r="EES6" s="31">
        <v>900</v>
      </c>
      <c r="EET6" s="31">
        <v>900</v>
      </c>
      <c r="EEU6" s="31">
        <v>900</v>
      </c>
      <c r="EEV6" s="31">
        <v>900</v>
      </c>
      <c r="EEW6" s="31">
        <v>900</v>
      </c>
      <c r="EEX6" s="31">
        <v>900</v>
      </c>
      <c r="EEY6" s="31">
        <v>900</v>
      </c>
      <c r="EEZ6" s="31">
        <v>900</v>
      </c>
      <c r="EFA6" s="31">
        <v>900</v>
      </c>
      <c r="EFB6" s="31">
        <v>900</v>
      </c>
      <c r="EFC6" s="31">
        <v>900</v>
      </c>
      <c r="EFD6" s="31">
        <v>900</v>
      </c>
      <c r="EFE6" s="31">
        <v>900</v>
      </c>
      <c r="EFF6" s="31">
        <v>900</v>
      </c>
      <c r="EFG6" s="31">
        <v>900</v>
      </c>
      <c r="EFH6" s="31">
        <v>900</v>
      </c>
      <c r="EFI6" s="31">
        <v>900</v>
      </c>
      <c r="EFJ6" s="31">
        <v>900</v>
      </c>
      <c r="EFK6" s="31">
        <v>900</v>
      </c>
      <c r="EFL6" s="31">
        <v>900</v>
      </c>
      <c r="EFM6" s="31">
        <v>900</v>
      </c>
      <c r="EFN6" s="31">
        <v>900</v>
      </c>
      <c r="EFO6" s="31">
        <v>900</v>
      </c>
      <c r="EFP6" s="31">
        <v>900</v>
      </c>
      <c r="EFQ6" s="31">
        <v>900</v>
      </c>
      <c r="EFR6" s="31">
        <v>900</v>
      </c>
      <c r="EFS6" s="31">
        <v>900</v>
      </c>
      <c r="EFT6" s="31">
        <v>900</v>
      </c>
      <c r="EFU6" s="31">
        <v>900</v>
      </c>
      <c r="EFV6" s="31">
        <v>900</v>
      </c>
      <c r="EFW6" s="31">
        <v>900</v>
      </c>
      <c r="EFX6" s="31">
        <v>900</v>
      </c>
      <c r="EFY6" s="31">
        <v>900</v>
      </c>
      <c r="EFZ6" s="31">
        <v>900</v>
      </c>
      <c r="EGA6" s="31">
        <v>900</v>
      </c>
      <c r="EGB6" s="31">
        <v>900</v>
      </c>
      <c r="EGC6" s="31">
        <v>900</v>
      </c>
      <c r="EGD6" s="31">
        <v>900</v>
      </c>
      <c r="EGE6" s="31">
        <v>900</v>
      </c>
      <c r="EGF6" s="31">
        <v>900</v>
      </c>
      <c r="EGG6" s="31">
        <v>900</v>
      </c>
      <c r="EGH6" s="31">
        <v>900</v>
      </c>
      <c r="EGI6" s="31">
        <v>900</v>
      </c>
      <c r="EGJ6" s="31">
        <v>900</v>
      </c>
      <c r="EGK6" s="31">
        <v>900</v>
      </c>
      <c r="EGL6" s="31">
        <v>900</v>
      </c>
      <c r="EGM6" s="31">
        <v>900</v>
      </c>
      <c r="EGN6" s="31">
        <v>900</v>
      </c>
      <c r="EGO6" s="31">
        <v>900</v>
      </c>
      <c r="EGP6" s="31">
        <v>900</v>
      </c>
      <c r="EGQ6" s="31">
        <v>900</v>
      </c>
      <c r="EGR6" s="31">
        <v>900</v>
      </c>
      <c r="EGS6" s="31">
        <v>900</v>
      </c>
      <c r="EGT6" s="31">
        <v>900</v>
      </c>
      <c r="EGU6" s="31">
        <v>900</v>
      </c>
      <c r="EGV6" s="31">
        <v>900</v>
      </c>
      <c r="EGW6" s="31">
        <v>900</v>
      </c>
      <c r="EGX6" s="31">
        <v>900</v>
      </c>
      <c r="EGY6" s="31">
        <v>900</v>
      </c>
      <c r="EGZ6" s="31">
        <v>900</v>
      </c>
      <c r="EHA6" s="31">
        <v>900</v>
      </c>
      <c r="EHB6" s="31">
        <v>900</v>
      </c>
      <c r="EHC6" s="31">
        <v>900</v>
      </c>
      <c r="EHD6" s="31">
        <v>900</v>
      </c>
      <c r="EHE6" s="31">
        <v>900</v>
      </c>
      <c r="EHF6" s="31">
        <v>900</v>
      </c>
      <c r="EHG6" s="31">
        <v>900</v>
      </c>
      <c r="EHH6" s="31">
        <v>900</v>
      </c>
      <c r="EHI6" s="31">
        <v>900</v>
      </c>
      <c r="EHJ6" s="31">
        <v>900</v>
      </c>
      <c r="EHK6" s="31">
        <v>900</v>
      </c>
      <c r="EHL6" s="31">
        <v>900</v>
      </c>
      <c r="EHM6" s="31">
        <v>900</v>
      </c>
      <c r="EHN6" s="31">
        <v>900</v>
      </c>
      <c r="EHO6" s="31">
        <v>900</v>
      </c>
      <c r="EHP6" s="31">
        <v>900</v>
      </c>
      <c r="EHQ6" s="31">
        <v>900</v>
      </c>
      <c r="EHR6" s="31">
        <v>900</v>
      </c>
      <c r="EHS6" s="31">
        <v>900</v>
      </c>
      <c r="EHT6" s="31">
        <v>900</v>
      </c>
      <c r="EHU6" s="31">
        <v>900</v>
      </c>
      <c r="EHV6" s="31">
        <v>900</v>
      </c>
      <c r="EHW6" s="31">
        <v>900</v>
      </c>
      <c r="EHX6" s="31">
        <v>900</v>
      </c>
      <c r="EHY6" s="31">
        <v>900</v>
      </c>
      <c r="EHZ6" s="31">
        <v>900</v>
      </c>
      <c r="EIA6" s="31">
        <v>900</v>
      </c>
      <c r="EIB6" s="31">
        <v>900</v>
      </c>
      <c r="EIC6" s="31">
        <v>900</v>
      </c>
      <c r="EID6" s="31">
        <v>900</v>
      </c>
      <c r="EIE6" s="31">
        <v>900</v>
      </c>
      <c r="EIF6" s="31">
        <v>900</v>
      </c>
      <c r="EIG6" s="31">
        <v>900</v>
      </c>
      <c r="EIH6" s="31">
        <v>900</v>
      </c>
      <c r="EII6" s="31">
        <v>900</v>
      </c>
      <c r="EIJ6" s="31">
        <v>900</v>
      </c>
      <c r="EIK6" s="31">
        <v>900</v>
      </c>
      <c r="EIL6" s="31">
        <v>900</v>
      </c>
      <c r="EIM6" s="31">
        <v>900</v>
      </c>
      <c r="EIN6" s="31">
        <v>900</v>
      </c>
      <c r="EIO6" s="31">
        <v>900</v>
      </c>
      <c r="EIP6" s="31">
        <v>900</v>
      </c>
      <c r="EIQ6" s="31">
        <v>900</v>
      </c>
      <c r="EIR6" s="31">
        <v>900</v>
      </c>
      <c r="EIS6" s="31">
        <v>900</v>
      </c>
      <c r="EIT6" s="31">
        <v>900</v>
      </c>
      <c r="EIU6" s="31">
        <v>900</v>
      </c>
      <c r="EIV6" s="31">
        <v>900</v>
      </c>
      <c r="EIW6" s="31">
        <v>900</v>
      </c>
      <c r="EIX6" s="31">
        <v>900</v>
      </c>
      <c r="EIY6" s="31">
        <v>900</v>
      </c>
      <c r="EIZ6" s="31">
        <v>900</v>
      </c>
      <c r="EJA6" s="31">
        <v>900</v>
      </c>
      <c r="EJB6" s="31">
        <v>900</v>
      </c>
      <c r="EJC6" s="31">
        <v>900</v>
      </c>
      <c r="EJD6" s="31">
        <v>900</v>
      </c>
      <c r="EJE6" s="31">
        <v>900</v>
      </c>
      <c r="EJF6" s="31">
        <v>900</v>
      </c>
      <c r="EJG6" s="31">
        <v>900</v>
      </c>
      <c r="EJH6" s="31">
        <v>900</v>
      </c>
      <c r="EJI6" s="31">
        <v>900</v>
      </c>
      <c r="EJJ6" s="31">
        <v>900</v>
      </c>
      <c r="EJK6" s="31">
        <v>900</v>
      </c>
      <c r="EJL6" s="31">
        <v>900</v>
      </c>
      <c r="EJM6" s="31">
        <v>900</v>
      </c>
      <c r="EJN6" s="31">
        <v>900</v>
      </c>
      <c r="EJO6" s="31">
        <v>900</v>
      </c>
      <c r="EJP6" s="31">
        <v>900</v>
      </c>
      <c r="EJQ6" s="31">
        <v>900</v>
      </c>
      <c r="EJR6" s="31">
        <v>900</v>
      </c>
      <c r="EJS6" s="31">
        <v>900</v>
      </c>
      <c r="EJT6" s="31">
        <v>900</v>
      </c>
      <c r="EJU6" s="31">
        <v>900</v>
      </c>
      <c r="EJV6" s="31">
        <v>900</v>
      </c>
      <c r="EJW6" s="31">
        <v>900</v>
      </c>
      <c r="EJX6" s="31">
        <v>900</v>
      </c>
      <c r="EJY6" s="31">
        <v>900</v>
      </c>
      <c r="EJZ6" s="31">
        <v>900</v>
      </c>
      <c r="EKA6" s="31">
        <v>900</v>
      </c>
      <c r="EKB6" s="31">
        <v>900</v>
      </c>
      <c r="EKC6" s="31">
        <v>900</v>
      </c>
      <c r="EKD6" s="31">
        <v>900</v>
      </c>
      <c r="EKE6" s="31">
        <v>900</v>
      </c>
      <c r="EKF6" s="31">
        <v>900</v>
      </c>
      <c r="EKG6" s="31">
        <v>900</v>
      </c>
      <c r="EKH6" s="31">
        <v>900</v>
      </c>
      <c r="EKI6" s="31">
        <v>900</v>
      </c>
      <c r="EKJ6" s="31">
        <v>900</v>
      </c>
      <c r="EKK6" s="31">
        <v>900</v>
      </c>
      <c r="EKL6" s="31">
        <v>900</v>
      </c>
      <c r="EKM6" s="31">
        <v>900</v>
      </c>
      <c r="EKN6" s="31">
        <v>900</v>
      </c>
      <c r="EKO6" s="31">
        <v>900</v>
      </c>
      <c r="EKP6" s="31">
        <v>900</v>
      </c>
      <c r="EKQ6" s="31">
        <v>900</v>
      </c>
      <c r="EKR6" s="31">
        <v>900</v>
      </c>
      <c r="EKS6" s="31">
        <v>900</v>
      </c>
      <c r="EKT6" s="31">
        <v>900</v>
      </c>
      <c r="EKU6" s="31">
        <v>900</v>
      </c>
      <c r="EKV6" s="31">
        <v>900</v>
      </c>
      <c r="EKW6" s="31">
        <v>900</v>
      </c>
      <c r="EKX6" s="31">
        <v>900</v>
      </c>
      <c r="EKY6" s="31">
        <v>900</v>
      </c>
      <c r="EKZ6" s="31">
        <v>900</v>
      </c>
      <c r="ELA6" s="31">
        <v>900</v>
      </c>
      <c r="ELB6" s="31">
        <v>900</v>
      </c>
      <c r="ELC6" s="31">
        <v>900</v>
      </c>
      <c r="ELD6" s="31">
        <v>900</v>
      </c>
      <c r="ELE6" s="31">
        <v>900</v>
      </c>
      <c r="ELF6" s="31">
        <v>900</v>
      </c>
      <c r="ELG6" s="31">
        <v>900</v>
      </c>
      <c r="ELH6" s="31">
        <v>900</v>
      </c>
      <c r="ELI6" s="31">
        <v>900</v>
      </c>
      <c r="ELJ6" s="31">
        <v>900</v>
      </c>
      <c r="ELK6" s="31">
        <v>900</v>
      </c>
      <c r="ELL6" s="31">
        <v>900</v>
      </c>
      <c r="ELM6" s="31">
        <v>900</v>
      </c>
      <c r="ELN6" s="31">
        <v>900</v>
      </c>
      <c r="ELO6" s="31">
        <v>900</v>
      </c>
      <c r="ELP6" s="31">
        <v>900</v>
      </c>
      <c r="ELQ6" s="31">
        <v>900</v>
      </c>
      <c r="ELR6" s="31">
        <v>900</v>
      </c>
      <c r="ELS6" s="31">
        <v>900</v>
      </c>
      <c r="ELT6" s="31">
        <v>900</v>
      </c>
      <c r="ELU6" s="31">
        <v>900</v>
      </c>
      <c r="ELV6" s="31">
        <v>900</v>
      </c>
      <c r="ELW6" s="31">
        <v>900</v>
      </c>
      <c r="ELX6" s="31">
        <v>900</v>
      </c>
      <c r="ELY6" s="31">
        <v>900</v>
      </c>
      <c r="ELZ6" s="31">
        <v>900</v>
      </c>
      <c r="EMA6" s="31">
        <v>900</v>
      </c>
      <c r="EMB6" s="31">
        <v>900</v>
      </c>
      <c r="EMC6" s="31">
        <v>900</v>
      </c>
      <c r="EMD6" s="31">
        <v>900</v>
      </c>
      <c r="EME6" s="31">
        <v>900</v>
      </c>
      <c r="EMF6" s="31">
        <v>900</v>
      </c>
      <c r="EMG6" s="31">
        <v>900</v>
      </c>
      <c r="EMH6" s="31">
        <v>900</v>
      </c>
      <c r="EMI6" s="31">
        <v>900</v>
      </c>
      <c r="EMJ6" s="31">
        <v>900</v>
      </c>
      <c r="EMK6" s="31">
        <v>900</v>
      </c>
      <c r="EML6" s="31">
        <v>900</v>
      </c>
      <c r="EMM6" s="31">
        <v>900</v>
      </c>
      <c r="EMN6" s="31">
        <v>900</v>
      </c>
      <c r="EMO6" s="31">
        <v>900</v>
      </c>
      <c r="EMP6" s="31">
        <v>900</v>
      </c>
      <c r="EMQ6" s="31">
        <v>900</v>
      </c>
      <c r="EMR6" s="31">
        <v>900</v>
      </c>
      <c r="EMS6" s="31">
        <v>900</v>
      </c>
      <c r="EMT6" s="31">
        <v>900</v>
      </c>
      <c r="EMU6" s="31">
        <v>900</v>
      </c>
      <c r="EMV6" s="31">
        <v>900</v>
      </c>
      <c r="EMW6" s="31">
        <v>900</v>
      </c>
      <c r="EMX6" s="31">
        <v>900</v>
      </c>
      <c r="EMY6" s="31">
        <v>900</v>
      </c>
      <c r="EMZ6" s="31">
        <v>900</v>
      </c>
      <c r="ENA6" s="31">
        <v>900</v>
      </c>
      <c r="ENB6" s="31">
        <v>900</v>
      </c>
      <c r="ENC6" s="31">
        <v>900</v>
      </c>
      <c r="END6" s="31">
        <v>900</v>
      </c>
      <c r="ENE6" s="31">
        <v>900</v>
      </c>
      <c r="ENF6" s="31">
        <v>900</v>
      </c>
      <c r="ENG6" s="31">
        <v>900</v>
      </c>
      <c r="ENH6" s="31">
        <v>900</v>
      </c>
      <c r="ENI6" s="31">
        <v>900</v>
      </c>
      <c r="ENJ6" s="31">
        <v>900</v>
      </c>
      <c r="ENK6" s="31">
        <v>900</v>
      </c>
      <c r="ENL6" s="31">
        <v>900</v>
      </c>
      <c r="ENM6" s="31">
        <v>900</v>
      </c>
      <c r="ENN6" s="31">
        <v>900</v>
      </c>
      <c r="ENO6" s="31">
        <v>900</v>
      </c>
      <c r="ENP6" s="31">
        <v>900</v>
      </c>
      <c r="ENQ6" s="31">
        <v>900</v>
      </c>
      <c r="ENR6" s="31">
        <v>900</v>
      </c>
      <c r="ENS6" s="31">
        <v>900</v>
      </c>
      <c r="ENT6" s="31">
        <v>900</v>
      </c>
      <c r="ENU6" s="31">
        <v>900</v>
      </c>
      <c r="ENV6" s="31">
        <v>900</v>
      </c>
      <c r="ENW6" s="31">
        <v>900</v>
      </c>
      <c r="ENX6" s="31">
        <v>900</v>
      </c>
      <c r="ENY6" s="31">
        <v>900</v>
      </c>
      <c r="ENZ6" s="31">
        <v>900</v>
      </c>
      <c r="EOA6" s="31">
        <v>900</v>
      </c>
      <c r="EOB6" s="31">
        <v>900</v>
      </c>
      <c r="EOC6" s="31">
        <v>900</v>
      </c>
      <c r="EOD6" s="31">
        <v>900</v>
      </c>
      <c r="EOE6" s="31">
        <v>900</v>
      </c>
      <c r="EOF6" s="31">
        <v>900</v>
      </c>
      <c r="EOG6" s="31">
        <v>900</v>
      </c>
      <c r="EOH6" s="31">
        <v>900</v>
      </c>
      <c r="EOI6" s="31">
        <v>900</v>
      </c>
      <c r="EOJ6" s="31">
        <v>900</v>
      </c>
      <c r="EOK6" s="31">
        <v>900</v>
      </c>
      <c r="EOL6" s="31">
        <v>900</v>
      </c>
      <c r="EOM6" s="31">
        <v>900</v>
      </c>
      <c r="EON6" s="31">
        <v>900</v>
      </c>
      <c r="EOO6" s="31">
        <v>900</v>
      </c>
      <c r="EOP6" s="31">
        <v>900</v>
      </c>
      <c r="EOQ6" s="31">
        <v>900</v>
      </c>
      <c r="EOR6" s="31">
        <v>900</v>
      </c>
      <c r="EOS6" s="31">
        <v>900</v>
      </c>
      <c r="EOT6" s="31">
        <v>900</v>
      </c>
      <c r="EOU6" s="31">
        <v>900</v>
      </c>
      <c r="EOV6" s="31">
        <v>900</v>
      </c>
      <c r="EOW6" s="31">
        <v>900</v>
      </c>
      <c r="EOX6" s="31">
        <v>900</v>
      </c>
      <c r="EOY6" s="31">
        <v>900</v>
      </c>
      <c r="EOZ6" s="31">
        <v>900</v>
      </c>
      <c r="EPA6" s="31">
        <v>900</v>
      </c>
      <c r="EPB6" s="31">
        <v>900</v>
      </c>
      <c r="EPC6" s="31">
        <v>900</v>
      </c>
      <c r="EPD6" s="31">
        <v>900</v>
      </c>
      <c r="EPE6" s="31">
        <v>900</v>
      </c>
      <c r="EPF6" s="31">
        <v>900</v>
      </c>
      <c r="EPG6" s="31">
        <v>900</v>
      </c>
      <c r="EPH6" s="31">
        <v>900</v>
      </c>
      <c r="EPI6" s="31">
        <v>900</v>
      </c>
      <c r="EPJ6" s="31">
        <v>900</v>
      </c>
      <c r="EPK6" s="31">
        <v>900</v>
      </c>
      <c r="EPL6" s="31">
        <v>900</v>
      </c>
      <c r="EPM6" s="31">
        <v>900</v>
      </c>
      <c r="EPN6" s="31">
        <v>900</v>
      </c>
      <c r="EPO6" s="31">
        <v>900</v>
      </c>
      <c r="EPP6" s="31">
        <v>900</v>
      </c>
      <c r="EPQ6" s="31">
        <v>900</v>
      </c>
      <c r="EPR6" s="31">
        <v>900</v>
      </c>
      <c r="EPS6" s="31">
        <v>900</v>
      </c>
      <c r="EPT6" s="31">
        <v>900</v>
      </c>
      <c r="EPU6" s="31">
        <v>900</v>
      </c>
      <c r="EPV6" s="31">
        <v>900</v>
      </c>
      <c r="EPW6" s="31">
        <v>900</v>
      </c>
      <c r="EPX6" s="31">
        <v>900</v>
      </c>
      <c r="EPY6" s="31">
        <v>900</v>
      </c>
      <c r="EPZ6" s="31">
        <v>900</v>
      </c>
      <c r="EQA6" s="31">
        <v>900</v>
      </c>
      <c r="EQB6" s="31">
        <v>900</v>
      </c>
      <c r="EQC6" s="31">
        <v>900</v>
      </c>
      <c r="EQD6" s="31">
        <v>900</v>
      </c>
      <c r="EQE6" s="31">
        <v>900</v>
      </c>
      <c r="EQF6" s="31">
        <v>900</v>
      </c>
      <c r="EQG6" s="31">
        <v>900</v>
      </c>
      <c r="EQH6" s="31">
        <v>900</v>
      </c>
      <c r="EQI6" s="31">
        <v>900</v>
      </c>
      <c r="EQJ6" s="31">
        <v>900</v>
      </c>
      <c r="EQK6" s="31">
        <v>900</v>
      </c>
      <c r="EQL6" s="31">
        <v>900</v>
      </c>
      <c r="EQM6" s="31">
        <v>900</v>
      </c>
      <c r="EQN6" s="31">
        <v>900</v>
      </c>
      <c r="EQO6" s="31">
        <v>900</v>
      </c>
      <c r="EQP6" s="31">
        <v>900</v>
      </c>
      <c r="EQQ6" s="31">
        <v>900</v>
      </c>
      <c r="EQR6" s="31">
        <v>900</v>
      </c>
      <c r="EQS6" s="31">
        <v>900</v>
      </c>
      <c r="EQT6" s="31">
        <v>900</v>
      </c>
      <c r="EQU6" s="31">
        <v>900</v>
      </c>
      <c r="EQV6" s="31">
        <v>900</v>
      </c>
      <c r="EQW6" s="31">
        <v>900</v>
      </c>
      <c r="EQX6" s="31">
        <v>900</v>
      </c>
      <c r="EQY6" s="31">
        <v>900</v>
      </c>
      <c r="EQZ6" s="31">
        <v>900</v>
      </c>
      <c r="ERA6" s="31">
        <v>900</v>
      </c>
      <c r="ERB6" s="31">
        <v>900</v>
      </c>
      <c r="ERC6" s="31">
        <v>900</v>
      </c>
      <c r="ERD6" s="31">
        <v>900</v>
      </c>
      <c r="ERE6" s="31">
        <v>900</v>
      </c>
      <c r="ERF6" s="31">
        <v>900</v>
      </c>
      <c r="ERG6" s="31">
        <v>900</v>
      </c>
      <c r="ERH6" s="31">
        <v>900</v>
      </c>
      <c r="ERI6" s="31">
        <v>900</v>
      </c>
      <c r="ERJ6" s="31">
        <v>900</v>
      </c>
      <c r="ERK6" s="31">
        <v>900</v>
      </c>
      <c r="ERL6" s="31">
        <v>900</v>
      </c>
      <c r="ERM6" s="31">
        <v>900</v>
      </c>
      <c r="ERN6" s="31">
        <v>900</v>
      </c>
      <c r="ERO6" s="31">
        <v>900</v>
      </c>
      <c r="ERP6" s="31">
        <v>900</v>
      </c>
      <c r="ERQ6" s="31">
        <v>900</v>
      </c>
      <c r="ERR6" s="31">
        <v>900</v>
      </c>
      <c r="ERS6" s="31">
        <v>900</v>
      </c>
      <c r="ERT6" s="31">
        <v>900</v>
      </c>
      <c r="ERU6" s="31">
        <v>900</v>
      </c>
      <c r="ERV6" s="31">
        <v>900</v>
      </c>
      <c r="ERW6" s="31">
        <v>900</v>
      </c>
      <c r="ERX6" s="31">
        <v>900</v>
      </c>
      <c r="ERY6" s="31">
        <v>900</v>
      </c>
      <c r="ERZ6" s="31">
        <v>900</v>
      </c>
      <c r="ESA6" s="31">
        <v>900</v>
      </c>
      <c r="ESB6" s="31">
        <v>900</v>
      </c>
      <c r="ESC6" s="31">
        <v>900</v>
      </c>
      <c r="ESD6" s="31">
        <v>900</v>
      </c>
      <c r="ESE6" s="31">
        <v>900</v>
      </c>
      <c r="ESF6" s="31">
        <v>900</v>
      </c>
      <c r="ESG6" s="31">
        <v>900</v>
      </c>
      <c r="ESH6" s="31">
        <v>900</v>
      </c>
      <c r="ESI6" s="31">
        <v>900</v>
      </c>
      <c r="ESJ6" s="31">
        <v>900</v>
      </c>
      <c r="ESK6" s="31">
        <v>900</v>
      </c>
      <c r="ESL6" s="31">
        <v>900</v>
      </c>
      <c r="ESM6" s="31">
        <v>900</v>
      </c>
      <c r="ESN6" s="31">
        <v>900</v>
      </c>
      <c r="ESO6" s="31">
        <v>900</v>
      </c>
      <c r="ESP6" s="31">
        <v>900</v>
      </c>
      <c r="ESQ6" s="31">
        <v>900</v>
      </c>
      <c r="ESR6" s="31">
        <v>900</v>
      </c>
      <c r="ESS6" s="31">
        <v>900</v>
      </c>
      <c r="EST6" s="31">
        <v>900</v>
      </c>
      <c r="ESU6" s="31">
        <v>900</v>
      </c>
      <c r="ESV6" s="31">
        <v>900</v>
      </c>
      <c r="ESW6" s="31">
        <v>900</v>
      </c>
      <c r="ESX6" s="31">
        <v>900</v>
      </c>
      <c r="ESY6" s="31">
        <v>900</v>
      </c>
      <c r="ESZ6" s="31">
        <v>900</v>
      </c>
      <c r="ETA6" s="31">
        <v>900</v>
      </c>
      <c r="ETB6" s="31">
        <v>900</v>
      </c>
      <c r="ETC6" s="31">
        <v>900</v>
      </c>
      <c r="ETD6" s="31">
        <v>900</v>
      </c>
      <c r="ETE6" s="31">
        <v>900</v>
      </c>
      <c r="ETF6" s="31">
        <v>900</v>
      </c>
      <c r="ETG6" s="31">
        <v>900</v>
      </c>
      <c r="ETH6" s="31">
        <v>900</v>
      </c>
      <c r="ETI6" s="31">
        <v>900</v>
      </c>
      <c r="ETJ6" s="31">
        <v>900</v>
      </c>
      <c r="ETK6" s="31">
        <v>900</v>
      </c>
      <c r="ETL6" s="31">
        <v>900</v>
      </c>
      <c r="ETM6" s="31">
        <v>900</v>
      </c>
      <c r="ETN6" s="31">
        <v>900</v>
      </c>
      <c r="ETO6" s="31">
        <v>900</v>
      </c>
      <c r="ETP6" s="31">
        <v>900</v>
      </c>
      <c r="ETQ6" s="31">
        <v>900</v>
      </c>
      <c r="ETR6" s="31">
        <v>900</v>
      </c>
      <c r="ETS6" s="31">
        <v>900</v>
      </c>
      <c r="ETT6" s="31">
        <v>900</v>
      </c>
      <c r="ETU6" s="31">
        <v>900</v>
      </c>
      <c r="ETV6" s="31">
        <v>900</v>
      </c>
      <c r="ETW6" s="31">
        <v>900</v>
      </c>
      <c r="ETX6" s="31">
        <v>900</v>
      </c>
      <c r="ETY6" s="31">
        <v>900</v>
      </c>
      <c r="ETZ6" s="31">
        <v>900</v>
      </c>
      <c r="EUA6" s="31">
        <v>900</v>
      </c>
      <c r="EUB6" s="31">
        <v>900</v>
      </c>
      <c r="EUC6" s="31">
        <v>900</v>
      </c>
      <c r="EUD6" s="31">
        <v>900</v>
      </c>
      <c r="EUE6" s="31">
        <v>900</v>
      </c>
      <c r="EUF6" s="31">
        <v>900</v>
      </c>
      <c r="EUG6" s="31">
        <v>900</v>
      </c>
      <c r="EUH6" s="31">
        <v>900</v>
      </c>
      <c r="EUI6" s="31">
        <v>900</v>
      </c>
      <c r="EUJ6" s="31">
        <v>900</v>
      </c>
      <c r="EUK6" s="31">
        <v>900</v>
      </c>
      <c r="EUL6" s="31">
        <v>900</v>
      </c>
      <c r="EUM6" s="31">
        <v>900</v>
      </c>
      <c r="EUN6" s="31">
        <v>900</v>
      </c>
      <c r="EUO6" s="31">
        <v>900</v>
      </c>
      <c r="EUP6" s="31">
        <v>900</v>
      </c>
      <c r="EUQ6" s="31">
        <v>900</v>
      </c>
      <c r="EUR6" s="31">
        <v>900</v>
      </c>
      <c r="EUS6" s="31">
        <v>900</v>
      </c>
      <c r="EUT6" s="31">
        <v>900</v>
      </c>
      <c r="EUU6" s="31">
        <v>900</v>
      </c>
      <c r="EUV6" s="31">
        <v>900</v>
      </c>
      <c r="EUW6" s="31">
        <v>900</v>
      </c>
      <c r="EUX6" s="31">
        <v>900</v>
      </c>
      <c r="EUY6" s="31">
        <v>900</v>
      </c>
      <c r="EUZ6" s="31">
        <v>900</v>
      </c>
      <c r="EVA6" s="31">
        <v>900</v>
      </c>
      <c r="EVB6" s="31">
        <v>900</v>
      </c>
      <c r="EVC6" s="31">
        <v>900</v>
      </c>
      <c r="EVD6" s="31">
        <v>900</v>
      </c>
      <c r="EVE6" s="31">
        <v>900</v>
      </c>
      <c r="EVF6" s="31">
        <v>900</v>
      </c>
      <c r="EVG6" s="31">
        <v>900</v>
      </c>
      <c r="EVH6" s="31">
        <v>900</v>
      </c>
      <c r="EVI6" s="31">
        <v>900</v>
      </c>
      <c r="EVJ6" s="31">
        <v>900</v>
      </c>
      <c r="EVK6" s="31">
        <v>900</v>
      </c>
      <c r="EVL6" s="31">
        <v>900</v>
      </c>
      <c r="EVM6" s="31">
        <v>900</v>
      </c>
      <c r="EVN6" s="31">
        <v>900</v>
      </c>
      <c r="EVO6" s="31">
        <v>900</v>
      </c>
      <c r="EVP6" s="31">
        <v>900</v>
      </c>
      <c r="EVQ6" s="31">
        <v>900</v>
      </c>
      <c r="EVR6" s="31">
        <v>900</v>
      </c>
      <c r="EVS6" s="31">
        <v>900</v>
      </c>
      <c r="EVT6" s="31">
        <v>900</v>
      </c>
      <c r="EVU6" s="31">
        <v>900</v>
      </c>
      <c r="EVV6" s="31">
        <v>900</v>
      </c>
      <c r="EVW6" s="31">
        <v>900</v>
      </c>
      <c r="EVX6" s="31">
        <v>900</v>
      </c>
      <c r="EVY6" s="31">
        <v>900</v>
      </c>
      <c r="EVZ6" s="31">
        <v>900</v>
      </c>
      <c r="EWA6" s="31">
        <v>900</v>
      </c>
      <c r="EWB6" s="31">
        <v>900</v>
      </c>
      <c r="EWC6" s="31">
        <v>900</v>
      </c>
      <c r="EWD6" s="31">
        <v>900</v>
      </c>
      <c r="EWE6" s="31">
        <v>900</v>
      </c>
      <c r="EWF6" s="31">
        <v>900</v>
      </c>
      <c r="EWG6" s="31">
        <v>900</v>
      </c>
      <c r="EWH6" s="31">
        <v>900</v>
      </c>
      <c r="EWI6" s="31">
        <v>900</v>
      </c>
      <c r="EWJ6" s="31">
        <v>900</v>
      </c>
      <c r="EWK6" s="31">
        <v>900</v>
      </c>
      <c r="EWL6" s="31">
        <v>900</v>
      </c>
      <c r="EWM6" s="31">
        <v>900</v>
      </c>
      <c r="EWN6" s="31">
        <v>900</v>
      </c>
      <c r="EWO6" s="31">
        <v>900</v>
      </c>
      <c r="EWP6" s="31">
        <v>900</v>
      </c>
      <c r="EWQ6" s="31">
        <v>900</v>
      </c>
      <c r="EWR6" s="31">
        <v>900</v>
      </c>
      <c r="EWS6" s="31">
        <v>900</v>
      </c>
      <c r="EWT6" s="31">
        <v>900</v>
      </c>
      <c r="EWU6" s="31">
        <v>900</v>
      </c>
      <c r="EWV6" s="31">
        <v>900</v>
      </c>
      <c r="EWW6" s="31">
        <v>900</v>
      </c>
      <c r="EWX6" s="31">
        <v>900</v>
      </c>
      <c r="EWY6" s="31">
        <v>900</v>
      </c>
      <c r="EWZ6" s="31">
        <v>900</v>
      </c>
      <c r="EXA6" s="31">
        <v>900</v>
      </c>
      <c r="EXB6" s="31">
        <v>900</v>
      </c>
      <c r="EXC6" s="31">
        <v>900</v>
      </c>
      <c r="EXD6" s="31">
        <v>900</v>
      </c>
      <c r="EXE6" s="31">
        <v>900</v>
      </c>
      <c r="EXF6" s="31">
        <v>900</v>
      </c>
      <c r="EXG6" s="31">
        <v>900</v>
      </c>
      <c r="EXH6" s="31">
        <v>900</v>
      </c>
      <c r="EXI6" s="31">
        <v>900</v>
      </c>
      <c r="EXJ6" s="31">
        <v>900</v>
      </c>
      <c r="EXK6" s="31">
        <v>900</v>
      </c>
      <c r="EXL6" s="31">
        <v>900</v>
      </c>
      <c r="EXM6" s="31">
        <v>900</v>
      </c>
      <c r="EXN6" s="31">
        <v>900</v>
      </c>
      <c r="EXO6" s="31">
        <v>900</v>
      </c>
      <c r="EXP6" s="31">
        <v>900</v>
      </c>
      <c r="EXQ6" s="31">
        <v>900</v>
      </c>
      <c r="EXR6" s="31">
        <v>900</v>
      </c>
      <c r="EXS6" s="31">
        <v>900</v>
      </c>
      <c r="EXT6" s="31">
        <v>900</v>
      </c>
      <c r="EXU6" s="31">
        <v>900</v>
      </c>
      <c r="EXV6" s="31">
        <v>900</v>
      </c>
      <c r="EXW6" s="31">
        <v>900</v>
      </c>
      <c r="EXX6" s="31">
        <v>900</v>
      </c>
      <c r="EXY6" s="31">
        <v>900</v>
      </c>
      <c r="EXZ6" s="31">
        <v>900</v>
      </c>
      <c r="EYA6" s="31">
        <v>900</v>
      </c>
      <c r="EYB6" s="31">
        <v>900</v>
      </c>
      <c r="EYC6" s="31">
        <v>900</v>
      </c>
      <c r="EYD6" s="31">
        <v>900</v>
      </c>
      <c r="EYE6" s="31">
        <v>900</v>
      </c>
      <c r="EYF6" s="31">
        <v>900</v>
      </c>
      <c r="EYG6" s="31">
        <v>900</v>
      </c>
      <c r="EYH6" s="31">
        <v>900</v>
      </c>
      <c r="EYI6" s="31">
        <v>900</v>
      </c>
      <c r="EYJ6" s="31">
        <v>900</v>
      </c>
      <c r="EYK6" s="31">
        <v>900</v>
      </c>
      <c r="EYL6" s="31">
        <v>900</v>
      </c>
      <c r="EYM6" s="31">
        <v>900</v>
      </c>
      <c r="EYN6" s="31">
        <v>900</v>
      </c>
      <c r="EYO6" s="31">
        <v>900</v>
      </c>
      <c r="EYP6" s="31">
        <v>900</v>
      </c>
      <c r="EYQ6" s="31">
        <v>900</v>
      </c>
      <c r="EYR6" s="31">
        <v>900</v>
      </c>
      <c r="EYS6" s="31">
        <v>900</v>
      </c>
      <c r="EYT6" s="31">
        <v>900</v>
      </c>
      <c r="EYU6" s="31">
        <v>900</v>
      </c>
      <c r="EYV6" s="31">
        <v>900</v>
      </c>
      <c r="EYW6" s="31">
        <v>900</v>
      </c>
      <c r="EYX6" s="31">
        <v>900</v>
      </c>
      <c r="EYY6" s="31">
        <v>900</v>
      </c>
      <c r="EYZ6" s="31">
        <v>900</v>
      </c>
      <c r="EZA6" s="31">
        <v>900</v>
      </c>
      <c r="EZB6" s="31">
        <v>900</v>
      </c>
      <c r="EZC6" s="31">
        <v>900</v>
      </c>
      <c r="EZD6" s="31">
        <v>900</v>
      </c>
      <c r="EZE6" s="31">
        <v>900</v>
      </c>
      <c r="EZF6" s="31">
        <v>900</v>
      </c>
      <c r="EZG6" s="31">
        <v>900</v>
      </c>
      <c r="EZH6" s="31">
        <v>900</v>
      </c>
      <c r="EZI6" s="31">
        <v>900</v>
      </c>
      <c r="EZJ6" s="31">
        <v>900</v>
      </c>
      <c r="EZK6" s="31">
        <v>900</v>
      </c>
      <c r="EZL6" s="31">
        <v>900</v>
      </c>
      <c r="EZM6" s="31">
        <v>900</v>
      </c>
      <c r="EZN6" s="31">
        <v>900</v>
      </c>
      <c r="EZO6" s="31">
        <v>900</v>
      </c>
      <c r="EZP6" s="31">
        <v>900</v>
      </c>
      <c r="EZQ6" s="31">
        <v>900</v>
      </c>
      <c r="EZR6" s="31">
        <v>900</v>
      </c>
      <c r="EZS6" s="31">
        <v>900</v>
      </c>
      <c r="EZT6" s="31">
        <v>900</v>
      </c>
      <c r="EZU6" s="31">
        <v>900</v>
      </c>
      <c r="EZV6" s="31">
        <v>900</v>
      </c>
      <c r="EZW6" s="31">
        <v>900</v>
      </c>
      <c r="EZX6" s="31">
        <v>900</v>
      </c>
      <c r="EZY6" s="31">
        <v>900</v>
      </c>
      <c r="EZZ6" s="31">
        <v>900</v>
      </c>
      <c r="FAA6" s="31">
        <v>900</v>
      </c>
      <c r="FAB6" s="31">
        <v>900</v>
      </c>
      <c r="FAC6" s="31">
        <v>900</v>
      </c>
      <c r="FAD6" s="31">
        <v>900</v>
      </c>
      <c r="FAE6" s="31">
        <v>900</v>
      </c>
      <c r="FAF6" s="31">
        <v>900</v>
      </c>
      <c r="FAG6" s="31">
        <v>900</v>
      </c>
      <c r="FAH6" s="31">
        <v>900</v>
      </c>
      <c r="FAI6" s="31">
        <v>900</v>
      </c>
      <c r="FAJ6" s="31">
        <v>900</v>
      </c>
      <c r="FAK6" s="31">
        <v>900</v>
      </c>
      <c r="FAL6" s="31">
        <v>900</v>
      </c>
      <c r="FAM6" s="31">
        <v>900</v>
      </c>
      <c r="FAN6" s="31">
        <v>900</v>
      </c>
      <c r="FAO6" s="31">
        <v>900</v>
      </c>
      <c r="FAP6" s="31">
        <v>900</v>
      </c>
      <c r="FAQ6" s="31">
        <v>900</v>
      </c>
      <c r="FAR6" s="31">
        <v>900</v>
      </c>
      <c r="FAS6" s="31">
        <v>900</v>
      </c>
      <c r="FAT6" s="31">
        <v>900</v>
      </c>
      <c r="FAU6" s="31">
        <v>900</v>
      </c>
      <c r="FAV6" s="31">
        <v>900</v>
      </c>
      <c r="FAW6" s="31">
        <v>900</v>
      </c>
      <c r="FAX6" s="31">
        <v>900</v>
      </c>
      <c r="FAY6" s="31">
        <v>900</v>
      </c>
      <c r="FAZ6" s="31">
        <v>900</v>
      </c>
      <c r="FBA6" s="31">
        <v>900</v>
      </c>
      <c r="FBB6" s="31">
        <v>900</v>
      </c>
      <c r="FBC6" s="31">
        <v>900</v>
      </c>
      <c r="FBD6" s="31">
        <v>900</v>
      </c>
      <c r="FBE6" s="31">
        <v>900</v>
      </c>
      <c r="FBF6" s="31">
        <v>900</v>
      </c>
      <c r="FBG6" s="31">
        <v>900</v>
      </c>
      <c r="FBH6" s="31">
        <v>900</v>
      </c>
      <c r="FBI6" s="31">
        <v>900</v>
      </c>
      <c r="FBJ6" s="31">
        <v>900</v>
      </c>
      <c r="FBK6" s="31">
        <v>900</v>
      </c>
      <c r="FBL6" s="31">
        <v>900</v>
      </c>
      <c r="FBM6" s="31">
        <v>900</v>
      </c>
      <c r="FBN6" s="31">
        <v>900</v>
      </c>
      <c r="FBO6" s="31">
        <v>900</v>
      </c>
      <c r="FBP6" s="31">
        <v>900</v>
      </c>
      <c r="FBQ6" s="31">
        <v>900</v>
      </c>
      <c r="FBR6" s="31">
        <v>900</v>
      </c>
      <c r="FBS6" s="31">
        <v>900</v>
      </c>
      <c r="FBT6" s="31">
        <v>900</v>
      </c>
      <c r="FBU6" s="31">
        <v>900</v>
      </c>
      <c r="FBV6" s="31">
        <v>900</v>
      </c>
      <c r="FBW6" s="31">
        <v>900</v>
      </c>
      <c r="FBX6" s="31">
        <v>900</v>
      </c>
      <c r="FBY6" s="31">
        <v>900</v>
      </c>
      <c r="FBZ6" s="31">
        <v>900</v>
      </c>
      <c r="FCA6" s="31">
        <v>900</v>
      </c>
      <c r="FCB6" s="31">
        <v>900</v>
      </c>
      <c r="FCC6" s="31">
        <v>900</v>
      </c>
      <c r="FCD6" s="31">
        <v>900</v>
      </c>
      <c r="FCE6" s="31">
        <v>900</v>
      </c>
      <c r="FCF6" s="31">
        <v>900</v>
      </c>
      <c r="FCG6" s="31">
        <v>900</v>
      </c>
      <c r="FCH6" s="31">
        <v>900</v>
      </c>
      <c r="FCI6" s="31">
        <v>900</v>
      </c>
      <c r="FCJ6" s="31">
        <v>900</v>
      </c>
      <c r="FCK6" s="31">
        <v>900</v>
      </c>
      <c r="FCL6" s="31">
        <v>900</v>
      </c>
      <c r="FCM6" s="31">
        <v>900</v>
      </c>
      <c r="FCN6" s="31">
        <v>900</v>
      </c>
      <c r="FCO6" s="31">
        <v>900</v>
      </c>
      <c r="FCP6" s="31">
        <v>900</v>
      </c>
      <c r="FCQ6" s="31">
        <v>900</v>
      </c>
      <c r="FCR6" s="31">
        <v>900</v>
      </c>
      <c r="FCS6" s="31">
        <v>900</v>
      </c>
      <c r="FCT6" s="31">
        <v>900</v>
      </c>
      <c r="FCU6" s="31">
        <v>900</v>
      </c>
      <c r="FCV6" s="31">
        <v>900</v>
      </c>
      <c r="FCW6" s="31">
        <v>900</v>
      </c>
      <c r="FCX6" s="31">
        <v>900</v>
      </c>
      <c r="FCY6" s="31">
        <v>900</v>
      </c>
      <c r="FCZ6" s="31">
        <v>900</v>
      </c>
      <c r="FDA6" s="31">
        <v>900</v>
      </c>
      <c r="FDB6" s="31">
        <v>900</v>
      </c>
      <c r="FDC6" s="31">
        <v>900</v>
      </c>
      <c r="FDD6" s="31">
        <v>900</v>
      </c>
      <c r="FDE6" s="31">
        <v>900</v>
      </c>
      <c r="FDF6" s="31">
        <v>900</v>
      </c>
      <c r="FDG6" s="31">
        <v>900</v>
      </c>
      <c r="FDH6" s="31">
        <v>900</v>
      </c>
      <c r="FDI6" s="31">
        <v>900</v>
      </c>
      <c r="FDJ6" s="31">
        <v>900</v>
      </c>
      <c r="FDK6" s="31">
        <v>900</v>
      </c>
      <c r="FDL6" s="31">
        <v>900</v>
      </c>
      <c r="FDM6" s="31">
        <v>900</v>
      </c>
      <c r="FDN6" s="31">
        <v>900</v>
      </c>
      <c r="FDO6" s="31">
        <v>900</v>
      </c>
      <c r="FDP6" s="31">
        <v>900</v>
      </c>
      <c r="FDQ6" s="31">
        <v>900</v>
      </c>
      <c r="FDR6" s="31">
        <v>900</v>
      </c>
      <c r="FDS6" s="31">
        <v>900</v>
      </c>
      <c r="FDT6" s="31">
        <v>900</v>
      </c>
      <c r="FDU6" s="31">
        <v>900</v>
      </c>
      <c r="FDV6" s="31">
        <v>900</v>
      </c>
      <c r="FDW6" s="31">
        <v>900</v>
      </c>
      <c r="FDX6" s="31">
        <v>900</v>
      </c>
      <c r="FDY6" s="31">
        <v>900</v>
      </c>
      <c r="FDZ6" s="31">
        <v>900</v>
      </c>
      <c r="FEA6" s="31">
        <v>900</v>
      </c>
      <c r="FEB6" s="31">
        <v>900</v>
      </c>
      <c r="FEC6" s="31">
        <v>900</v>
      </c>
      <c r="FED6" s="31">
        <v>900</v>
      </c>
      <c r="FEE6" s="31">
        <v>900</v>
      </c>
      <c r="FEF6" s="31">
        <v>900</v>
      </c>
      <c r="FEG6" s="31">
        <v>900</v>
      </c>
      <c r="FEH6" s="31">
        <v>900</v>
      </c>
      <c r="FEI6" s="31">
        <v>900</v>
      </c>
      <c r="FEJ6" s="31">
        <v>900</v>
      </c>
      <c r="FEK6" s="31">
        <v>900</v>
      </c>
      <c r="FEL6" s="31">
        <v>900</v>
      </c>
      <c r="FEM6" s="31">
        <v>900</v>
      </c>
      <c r="FEN6" s="31">
        <v>900</v>
      </c>
      <c r="FEO6" s="31">
        <v>900</v>
      </c>
      <c r="FEP6" s="31">
        <v>900</v>
      </c>
      <c r="FEQ6" s="31">
        <v>900</v>
      </c>
      <c r="FER6" s="31">
        <v>900</v>
      </c>
      <c r="FES6" s="31">
        <v>900</v>
      </c>
      <c r="FET6" s="31">
        <v>900</v>
      </c>
      <c r="FEU6" s="31">
        <v>900</v>
      </c>
      <c r="FEV6" s="31">
        <v>900</v>
      </c>
      <c r="FEW6" s="31">
        <v>900</v>
      </c>
      <c r="FEX6" s="31">
        <v>900</v>
      </c>
      <c r="FEY6" s="31">
        <v>900</v>
      </c>
      <c r="FEZ6" s="31">
        <v>900</v>
      </c>
      <c r="FFA6" s="31">
        <v>900</v>
      </c>
      <c r="FFB6" s="31">
        <v>900</v>
      </c>
      <c r="FFC6" s="31">
        <v>900</v>
      </c>
      <c r="FFD6" s="31">
        <v>900</v>
      </c>
      <c r="FFE6" s="31">
        <v>900</v>
      </c>
      <c r="FFF6" s="31">
        <v>900</v>
      </c>
      <c r="FFG6" s="31">
        <v>900</v>
      </c>
      <c r="FFH6" s="31">
        <v>900</v>
      </c>
      <c r="FFI6" s="31">
        <v>900</v>
      </c>
      <c r="FFJ6" s="31">
        <v>900</v>
      </c>
      <c r="FFK6" s="31">
        <v>900</v>
      </c>
      <c r="FFL6" s="31">
        <v>900</v>
      </c>
      <c r="FFM6" s="31">
        <v>900</v>
      </c>
      <c r="FFN6" s="31">
        <v>900</v>
      </c>
      <c r="FFO6" s="31">
        <v>900</v>
      </c>
      <c r="FFP6" s="31">
        <v>900</v>
      </c>
      <c r="FFQ6" s="31">
        <v>900</v>
      </c>
      <c r="FFR6" s="31">
        <v>900</v>
      </c>
      <c r="FFS6" s="31">
        <v>900</v>
      </c>
      <c r="FFT6" s="31">
        <v>900</v>
      </c>
      <c r="FFU6" s="31">
        <v>900</v>
      </c>
      <c r="FFV6" s="31">
        <v>900</v>
      </c>
      <c r="FFW6" s="31">
        <v>900</v>
      </c>
      <c r="FFX6" s="31">
        <v>900</v>
      </c>
      <c r="FFY6" s="31">
        <v>900</v>
      </c>
      <c r="FFZ6" s="31">
        <v>900</v>
      </c>
      <c r="FGA6" s="31">
        <v>900</v>
      </c>
      <c r="FGB6" s="31">
        <v>900</v>
      </c>
      <c r="FGC6" s="31">
        <v>900</v>
      </c>
      <c r="FGD6" s="31">
        <v>900</v>
      </c>
      <c r="FGE6" s="31">
        <v>900</v>
      </c>
      <c r="FGF6" s="31">
        <v>900</v>
      </c>
      <c r="FGG6" s="31">
        <v>900</v>
      </c>
      <c r="FGH6" s="31">
        <v>900</v>
      </c>
      <c r="FGI6" s="31">
        <v>900</v>
      </c>
      <c r="FGJ6" s="31">
        <v>900</v>
      </c>
      <c r="FGK6" s="31">
        <v>900</v>
      </c>
      <c r="FGL6" s="31">
        <v>900</v>
      </c>
      <c r="FGM6" s="31">
        <v>900</v>
      </c>
      <c r="FGN6" s="31">
        <v>900</v>
      </c>
      <c r="FGO6" s="31">
        <v>900</v>
      </c>
      <c r="FGP6" s="31">
        <v>900</v>
      </c>
      <c r="FGQ6" s="31">
        <v>900</v>
      </c>
      <c r="FGR6" s="31">
        <v>900</v>
      </c>
      <c r="FGS6" s="31">
        <v>900</v>
      </c>
      <c r="FGT6" s="31">
        <v>900</v>
      </c>
      <c r="FGU6" s="31">
        <v>900</v>
      </c>
      <c r="FGV6" s="31">
        <v>900</v>
      </c>
      <c r="FGW6" s="31">
        <v>900</v>
      </c>
      <c r="FGX6" s="31">
        <v>900</v>
      </c>
      <c r="FGY6" s="31">
        <v>900</v>
      </c>
      <c r="FGZ6" s="31">
        <v>900</v>
      </c>
      <c r="FHA6" s="31">
        <v>900</v>
      </c>
      <c r="FHB6" s="31">
        <v>900</v>
      </c>
      <c r="FHC6" s="31">
        <v>900</v>
      </c>
      <c r="FHD6" s="31">
        <v>900</v>
      </c>
      <c r="FHE6" s="31">
        <v>900</v>
      </c>
      <c r="FHF6" s="31">
        <v>900</v>
      </c>
      <c r="FHG6" s="31">
        <v>900</v>
      </c>
      <c r="FHH6" s="31">
        <v>900</v>
      </c>
      <c r="FHI6" s="31">
        <v>900</v>
      </c>
      <c r="FHJ6" s="31">
        <v>900</v>
      </c>
      <c r="FHK6" s="31">
        <v>900</v>
      </c>
      <c r="FHL6" s="31">
        <v>900</v>
      </c>
      <c r="FHM6" s="31">
        <v>900</v>
      </c>
      <c r="FHN6" s="31">
        <v>900</v>
      </c>
      <c r="FHO6" s="31">
        <v>900</v>
      </c>
      <c r="FHP6" s="31">
        <v>900</v>
      </c>
      <c r="FHQ6" s="31">
        <v>900</v>
      </c>
      <c r="FHR6" s="31">
        <v>900</v>
      </c>
      <c r="FHS6" s="31">
        <v>900</v>
      </c>
      <c r="FHT6" s="31">
        <v>900</v>
      </c>
      <c r="FHU6" s="31">
        <v>900</v>
      </c>
      <c r="FHV6" s="31">
        <v>900</v>
      </c>
      <c r="FHW6" s="31">
        <v>900</v>
      </c>
      <c r="FHX6" s="31">
        <v>900</v>
      </c>
      <c r="FHY6" s="31">
        <v>900</v>
      </c>
      <c r="FHZ6" s="31">
        <v>900</v>
      </c>
      <c r="FIA6" s="31">
        <v>900</v>
      </c>
      <c r="FIB6" s="31">
        <v>900</v>
      </c>
      <c r="FIC6" s="31">
        <v>900</v>
      </c>
      <c r="FID6" s="31">
        <v>900</v>
      </c>
      <c r="FIE6" s="31">
        <v>900</v>
      </c>
      <c r="FIF6" s="31">
        <v>900</v>
      </c>
      <c r="FIG6" s="31">
        <v>900</v>
      </c>
      <c r="FIH6" s="31">
        <v>900</v>
      </c>
      <c r="FII6" s="31">
        <v>900</v>
      </c>
      <c r="FIJ6" s="31">
        <v>900</v>
      </c>
      <c r="FIK6" s="31">
        <v>900</v>
      </c>
      <c r="FIL6" s="31">
        <v>900</v>
      </c>
      <c r="FIM6" s="31">
        <v>900</v>
      </c>
      <c r="FIN6" s="31">
        <v>900</v>
      </c>
      <c r="FIO6" s="31">
        <v>900</v>
      </c>
      <c r="FIP6" s="31">
        <v>900</v>
      </c>
      <c r="FIQ6" s="31">
        <v>900</v>
      </c>
      <c r="FIR6" s="31">
        <v>900</v>
      </c>
      <c r="FIS6" s="31">
        <v>900</v>
      </c>
      <c r="FIT6" s="31">
        <v>900</v>
      </c>
      <c r="FIU6" s="31">
        <v>900</v>
      </c>
      <c r="FIV6" s="31">
        <v>900</v>
      </c>
      <c r="FIW6" s="31">
        <v>900</v>
      </c>
      <c r="FIX6" s="31">
        <v>900</v>
      </c>
      <c r="FIY6" s="31">
        <v>900</v>
      </c>
      <c r="FIZ6" s="31">
        <v>900</v>
      </c>
      <c r="FJA6" s="31">
        <v>900</v>
      </c>
      <c r="FJB6" s="31">
        <v>900</v>
      </c>
      <c r="FJC6" s="31">
        <v>900</v>
      </c>
      <c r="FJD6" s="31">
        <v>900</v>
      </c>
      <c r="FJE6" s="31">
        <v>900</v>
      </c>
      <c r="FJF6" s="31">
        <v>900</v>
      </c>
      <c r="FJG6" s="31">
        <v>900</v>
      </c>
      <c r="FJH6" s="31">
        <v>900</v>
      </c>
      <c r="FJI6" s="31">
        <v>900</v>
      </c>
      <c r="FJJ6" s="31">
        <v>900</v>
      </c>
      <c r="FJK6" s="31">
        <v>900</v>
      </c>
      <c r="FJL6" s="31">
        <v>900</v>
      </c>
      <c r="FJM6" s="31">
        <v>900</v>
      </c>
      <c r="FJN6" s="31">
        <v>900</v>
      </c>
      <c r="FJO6" s="31">
        <v>900</v>
      </c>
      <c r="FJP6" s="31">
        <v>900</v>
      </c>
      <c r="FJQ6" s="31">
        <v>900</v>
      </c>
      <c r="FJR6" s="31">
        <v>900</v>
      </c>
      <c r="FJS6" s="31">
        <v>900</v>
      </c>
      <c r="FJT6" s="31">
        <v>900</v>
      </c>
      <c r="FJU6" s="31">
        <v>900</v>
      </c>
      <c r="FJV6" s="31">
        <v>900</v>
      </c>
      <c r="FJW6" s="31">
        <v>900</v>
      </c>
      <c r="FJX6" s="31">
        <v>900</v>
      </c>
      <c r="FJY6" s="31">
        <v>900</v>
      </c>
      <c r="FJZ6" s="31">
        <v>900</v>
      </c>
      <c r="FKA6" s="31">
        <v>900</v>
      </c>
      <c r="FKB6" s="31">
        <v>900</v>
      </c>
      <c r="FKC6" s="31">
        <v>900</v>
      </c>
      <c r="FKD6" s="31">
        <v>900</v>
      </c>
      <c r="FKE6" s="31">
        <v>900</v>
      </c>
      <c r="FKF6" s="31">
        <v>900</v>
      </c>
      <c r="FKG6" s="31">
        <v>900</v>
      </c>
      <c r="FKH6" s="31">
        <v>900</v>
      </c>
      <c r="FKI6" s="31">
        <v>900</v>
      </c>
      <c r="FKJ6" s="31">
        <v>900</v>
      </c>
      <c r="FKK6" s="31">
        <v>900</v>
      </c>
      <c r="FKL6" s="31">
        <v>900</v>
      </c>
      <c r="FKM6" s="31">
        <v>900</v>
      </c>
      <c r="FKN6" s="31">
        <v>900</v>
      </c>
      <c r="FKO6" s="31">
        <v>900</v>
      </c>
      <c r="FKP6" s="31">
        <v>900</v>
      </c>
      <c r="FKQ6" s="31">
        <v>900</v>
      </c>
      <c r="FKR6" s="31">
        <v>900</v>
      </c>
      <c r="FKS6" s="31">
        <v>900</v>
      </c>
      <c r="FKT6" s="31">
        <v>900</v>
      </c>
      <c r="FKU6" s="31">
        <v>900</v>
      </c>
      <c r="FKV6" s="31">
        <v>900</v>
      </c>
      <c r="FKW6" s="31">
        <v>900</v>
      </c>
      <c r="FKX6" s="31">
        <v>900</v>
      </c>
      <c r="FKY6" s="31">
        <v>900</v>
      </c>
      <c r="FKZ6" s="31">
        <v>900</v>
      </c>
      <c r="FLA6" s="31">
        <v>900</v>
      </c>
      <c r="FLB6" s="31">
        <v>900</v>
      </c>
      <c r="FLC6" s="31">
        <v>900</v>
      </c>
      <c r="FLD6" s="31">
        <v>900</v>
      </c>
      <c r="FLE6" s="31">
        <v>900</v>
      </c>
      <c r="FLF6" s="31">
        <v>900</v>
      </c>
      <c r="FLG6" s="31">
        <v>900</v>
      </c>
      <c r="FLH6" s="31">
        <v>900</v>
      </c>
      <c r="FLI6" s="31">
        <v>900</v>
      </c>
      <c r="FLJ6" s="31">
        <v>900</v>
      </c>
      <c r="FLK6" s="31">
        <v>900</v>
      </c>
      <c r="FLL6" s="31">
        <v>900</v>
      </c>
      <c r="FLM6" s="31">
        <v>900</v>
      </c>
      <c r="FLN6" s="31">
        <v>900</v>
      </c>
      <c r="FLO6" s="31">
        <v>900</v>
      </c>
      <c r="FLP6" s="31">
        <v>900</v>
      </c>
      <c r="FLQ6" s="31">
        <v>900</v>
      </c>
      <c r="FLR6" s="31">
        <v>900</v>
      </c>
      <c r="FLS6" s="31">
        <v>900</v>
      </c>
      <c r="FLT6" s="31">
        <v>900</v>
      </c>
      <c r="FLU6" s="31">
        <v>900</v>
      </c>
      <c r="FLV6" s="31">
        <v>900</v>
      </c>
      <c r="FLW6" s="31">
        <v>900</v>
      </c>
      <c r="FLX6" s="31">
        <v>900</v>
      </c>
      <c r="FLY6" s="31">
        <v>900</v>
      </c>
      <c r="FLZ6" s="31">
        <v>900</v>
      </c>
      <c r="FMA6" s="31">
        <v>900</v>
      </c>
      <c r="FMB6" s="31">
        <v>900</v>
      </c>
      <c r="FMC6" s="31">
        <v>900</v>
      </c>
      <c r="FMD6" s="31">
        <v>900</v>
      </c>
      <c r="FME6" s="31">
        <v>900</v>
      </c>
      <c r="FMF6" s="31">
        <v>900</v>
      </c>
      <c r="FMG6" s="31">
        <v>900</v>
      </c>
      <c r="FMH6" s="31">
        <v>900</v>
      </c>
      <c r="FMI6" s="31">
        <v>900</v>
      </c>
      <c r="FMJ6" s="31">
        <v>900</v>
      </c>
      <c r="FMK6" s="31">
        <v>900</v>
      </c>
      <c r="FML6" s="31">
        <v>900</v>
      </c>
      <c r="FMM6" s="31">
        <v>900</v>
      </c>
      <c r="FMN6" s="31">
        <v>900</v>
      </c>
      <c r="FMO6" s="31">
        <v>900</v>
      </c>
      <c r="FMP6" s="31">
        <v>900</v>
      </c>
      <c r="FMQ6" s="31">
        <v>900</v>
      </c>
      <c r="FMR6" s="31">
        <v>900</v>
      </c>
      <c r="FMS6" s="31">
        <v>900</v>
      </c>
      <c r="FMT6" s="31">
        <v>900</v>
      </c>
      <c r="FMU6" s="31">
        <v>900</v>
      </c>
      <c r="FMV6" s="31">
        <v>900</v>
      </c>
      <c r="FMW6" s="31">
        <v>900</v>
      </c>
      <c r="FMX6" s="31">
        <v>900</v>
      </c>
      <c r="FMY6" s="31">
        <v>900</v>
      </c>
      <c r="FMZ6" s="31">
        <v>900</v>
      </c>
      <c r="FNA6" s="31">
        <v>900</v>
      </c>
      <c r="FNB6" s="31">
        <v>900</v>
      </c>
      <c r="FNC6" s="31">
        <v>900</v>
      </c>
      <c r="FND6" s="31">
        <v>900</v>
      </c>
      <c r="FNE6" s="31">
        <v>900</v>
      </c>
      <c r="FNF6" s="31">
        <v>900</v>
      </c>
      <c r="FNG6" s="31">
        <v>900</v>
      </c>
      <c r="FNH6" s="31">
        <v>900</v>
      </c>
      <c r="FNI6" s="31">
        <v>900</v>
      </c>
      <c r="FNJ6" s="31">
        <v>900</v>
      </c>
      <c r="FNK6" s="31">
        <v>900</v>
      </c>
      <c r="FNL6" s="31">
        <v>900</v>
      </c>
      <c r="FNM6" s="31">
        <v>900</v>
      </c>
      <c r="FNN6" s="31">
        <v>900</v>
      </c>
      <c r="FNO6" s="31">
        <v>900</v>
      </c>
      <c r="FNP6" s="31">
        <v>900</v>
      </c>
      <c r="FNQ6" s="31">
        <v>900</v>
      </c>
      <c r="FNR6" s="31">
        <v>900</v>
      </c>
      <c r="FNS6" s="31">
        <v>900</v>
      </c>
      <c r="FNT6" s="31">
        <v>900</v>
      </c>
      <c r="FNU6" s="31">
        <v>900</v>
      </c>
      <c r="FNV6" s="31">
        <v>900</v>
      </c>
      <c r="FNW6" s="31">
        <v>900</v>
      </c>
      <c r="FNX6" s="31">
        <v>900</v>
      </c>
      <c r="FNY6" s="31">
        <v>900</v>
      </c>
      <c r="FNZ6" s="31">
        <v>900</v>
      </c>
      <c r="FOA6" s="31">
        <v>900</v>
      </c>
      <c r="FOB6" s="31">
        <v>900</v>
      </c>
      <c r="FOC6" s="31">
        <v>900</v>
      </c>
      <c r="FOD6" s="31">
        <v>900</v>
      </c>
      <c r="FOE6" s="31">
        <v>900</v>
      </c>
      <c r="FOF6" s="31">
        <v>900</v>
      </c>
      <c r="FOG6" s="31">
        <v>900</v>
      </c>
      <c r="FOH6" s="31">
        <v>900</v>
      </c>
      <c r="FOI6" s="31">
        <v>900</v>
      </c>
      <c r="FOJ6" s="31">
        <v>900</v>
      </c>
      <c r="FOK6" s="31">
        <v>900</v>
      </c>
      <c r="FOL6" s="31">
        <v>900</v>
      </c>
      <c r="FOM6" s="31">
        <v>900</v>
      </c>
      <c r="FON6" s="31">
        <v>900</v>
      </c>
      <c r="FOO6" s="31">
        <v>900</v>
      </c>
      <c r="FOP6" s="31">
        <v>900</v>
      </c>
      <c r="FOQ6" s="31">
        <v>900</v>
      </c>
      <c r="FOR6" s="31">
        <v>900</v>
      </c>
      <c r="FOS6" s="31">
        <v>900</v>
      </c>
      <c r="FOT6" s="31">
        <v>900</v>
      </c>
      <c r="FOU6" s="31">
        <v>900</v>
      </c>
      <c r="FOV6" s="31">
        <v>900</v>
      </c>
      <c r="FOW6" s="31">
        <v>900</v>
      </c>
      <c r="FOX6" s="31">
        <v>900</v>
      </c>
      <c r="FOY6" s="31">
        <v>900</v>
      </c>
      <c r="FOZ6" s="31">
        <v>900</v>
      </c>
      <c r="FPA6" s="31">
        <v>900</v>
      </c>
      <c r="FPB6" s="31">
        <v>900</v>
      </c>
      <c r="FPC6" s="31">
        <v>900</v>
      </c>
      <c r="FPD6" s="31">
        <v>900</v>
      </c>
      <c r="FPE6" s="31">
        <v>900</v>
      </c>
      <c r="FPF6" s="31">
        <v>900</v>
      </c>
      <c r="FPG6" s="31">
        <v>900</v>
      </c>
      <c r="FPH6" s="31">
        <v>900</v>
      </c>
      <c r="FPI6" s="31">
        <v>900</v>
      </c>
      <c r="FPJ6" s="31">
        <v>900</v>
      </c>
      <c r="FPK6" s="31">
        <v>900</v>
      </c>
      <c r="FPL6" s="31">
        <v>900</v>
      </c>
      <c r="FPM6" s="31">
        <v>900</v>
      </c>
      <c r="FPN6" s="31">
        <v>900</v>
      </c>
      <c r="FPO6" s="31">
        <v>900</v>
      </c>
      <c r="FPP6" s="31">
        <v>900</v>
      </c>
      <c r="FPQ6" s="31">
        <v>900</v>
      </c>
      <c r="FPR6" s="31">
        <v>900</v>
      </c>
      <c r="FPS6" s="31">
        <v>900</v>
      </c>
      <c r="FPT6" s="31">
        <v>900</v>
      </c>
      <c r="FPU6" s="31">
        <v>900</v>
      </c>
      <c r="FPV6" s="31">
        <v>900</v>
      </c>
      <c r="FPW6" s="31">
        <v>900</v>
      </c>
      <c r="FPX6" s="31">
        <v>900</v>
      </c>
      <c r="FPY6" s="31">
        <v>900</v>
      </c>
      <c r="FPZ6" s="31">
        <v>900</v>
      </c>
      <c r="FQA6" s="31">
        <v>900</v>
      </c>
      <c r="FQB6" s="31">
        <v>900</v>
      </c>
      <c r="FQC6" s="31">
        <v>900</v>
      </c>
      <c r="FQD6" s="31">
        <v>900</v>
      </c>
      <c r="FQE6" s="31">
        <v>900</v>
      </c>
      <c r="FQF6" s="31">
        <v>900</v>
      </c>
      <c r="FQG6" s="31">
        <v>900</v>
      </c>
      <c r="FQH6" s="31">
        <v>900</v>
      </c>
      <c r="FQI6" s="31">
        <v>900</v>
      </c>
      <c r="FQJ6" s="31">
        <v>900</v>
      </c>
      <c r="FQK6" s="31">
        <v>900</v>
      </c>
      <c r="FQL6" s="31">
        <v>900</v>
      </c>
      <c r="FQM6" s="31">
        <v>900</v>
      </c>
      <c r="FQN6" s="31">
        <v>900</v>
      </c>
      <c r="FQO6" s="31">
        <v>900</v>
      </c>
      <c r="FQP6" s="31">
        <v>900</v>
      </c>
      <c r="FQQ6" s="31">
        <v>900</v>
      </c>
      <c r="FQR6" s="31">
        <v>900</v>
      </c>
      <c r="FQS6" s="31">
        <v>900</v>
      </c>
      <c r="FQT6" s="31">
        <v>900</v>
      </c>
      <c r="FQU6" s="31">
        <v>900</v>
      </c>
      <c r="FQV6" s="31">
        <v>900</v>
      </c>
      <c r="FQW6" s="31">
        <v>900</v>
      </c>
      <c r="FQX6" s="31">
        <v>900</v>
      </c>
      <c r="FQY6" s="31">
        <v>900</v>
      </c>
      <c r="FQZ6" s="31">
        <v>900</v>
      </c>
      <c r="FRA6" s="31">
        <v>900</v>
      </c>
      <c r="FRB6" s="31">
        <v>900</v>
      </c>
      <c r="FRC6" s="31">
        <v>900</v>
      </c>
      <c r="FRD6" s="31">
        <v>900</v>
      </c>
      <c r="FRE6" s="31">
        <v>900</v>
      </c>
      <c r="FRF6" s="31">
        <v>900</v>
      </c>
      <c r="FRG6" s="31">
        <v>900</v>
      </c>
      <c r="FRH6" s="31">
        <v>900</v>
      </c>
      <c r="FRI6" s="31">
        <v>900</v>
      </c>
      <c r="FRJ6" s="31">
        <v>900</v>
      </c>
      <c r="FRK6" s="31">
        <v>900</v>
      </c>
      <c r="FRL6" s="31">
        <v>900</v>
      </c>
      <c r="FRM6" s="31">
        <v>900</v>
      </c>
      <c r="FRN6" s="31">
        <v>900</v>
      </c>
      <c r="FRO6" s="31">
        <v>900</v>
      </c>
      <c r="FRP6" s="31">
        <v>900</v>
      </c>
      <c r="FRQ6" s="31">
        <v>900</v>
      </c>
      <c r="FRR6" s="31">
        <v>900</v>
      </c>
      <c r="FRS6" s="31">
        <v>900</v>
      </c>
      <c r="FRT6" s="31">
        <v>900</v>
      </c>
      <c r="FRU6" s="31">
        <v>900</v>
      </c>
      <c r="FRV6" s="31">
        <v>900</v>
      </c>
      <c r="FRW6" s="31">
        <v>900</v>
      </c>
      <c r="FRX6" s="31">
        <v>900</v>
      </c>
      <c r="FRY6" s="31">
        <v>900</v>
      </c>
      <c r="FRZ6" s="31">
        <v>900</v>
      </c>
      <c r="FSA6" s="31">
        <v>900</v>
      </c>
      <c r="FSB6" s="31">
        <v>900</v>
      </c>
      <c r="FSC6" s="31">
        <v>900</v>
      </c>
      <c r="FSD6" s="31">
        <v>900</v>
      </c>
      <c r="FSE6" s="31">
        <v>900</v>
      </c>
      <c r="FSF6" s="31">
        <v>900</v>
      </c>
      <c r="FSG6" s="31">
        <v>900</v>
      </c>
      <c r="FSH6" s="31">
        <v>900</v>
      </c>
      <c r="FSI6" s="31">
        <v>900</v>
      </c>
      <c r="FSJ6" s="31">
        <v>900</v>
      </c>
      <c r="FSK6" s="31">
        <v>900</v>
      </c>
      <c r="FSL6" s="31">
        <v>900</v>
      </c>
      <c r="FSM6" s="31">
        <v>900</v>
      </c>
      <c r="FSN6" s="31">
        <v>900</v>
      </c>
      <c r="FSO6" s="31">
        <v>900</v>
      </c>
      <c r="FSP6" s="31">
        <v>900</v>
      </c>
      <c r="FSQ6" s="31">
        <v>900</v>
      </c>
      <c r="FSR6" s="31">
        <v>900</v>
      </c>
      <c r="FSS6" s="31">
        <v>900</v>
      </c>
      <c r="FST6" s="31">
        <v>900</v>
      </c>
      <c r="FSU6" s="31">
        <v>900</v>
      </c>
      <c r="FSV6" s="31">
        <v>900</v>
      </c>
      <c r="FSW6" s="31">
        <v>900</v>
      </c>
      <c r="FSX6" s="31">
        <v>900</v>
      </c>
      <c r="FSY6" s="31">
        <v>900</v>
      </c>
      <c r="FSZ6" s="31">
        <v>900</v>
      </c>
      <c r="FTA6" s="31">
        <v>900</v>
      </c>
      <c r="FTB6" s="31">
        <v>900</v>
      </c>
      <c r="FTC6" s="31">
        <v>900</v>
      </c>
      <c r="FTD6" s="31">
        <v>900</v>
      </c>
      <c r="FTE6" s="31">
        <v>900</v>
      </c>
      <c r="FTF6" s="31">
        <v>900</v>
      </c>
      <c r="FTG6" s="31">
        <v>900</v>
      </c>
      <c r="FTH6" s="31">
        <v>900</v>
      </c>
      <c r="FTI6" s="31">
        <v>900</v>
      </c>
      <c r="FTJ6" s="31">
        <v>900</v>
      </c>
      <c r="FTK6" s="31">
        <v>900</v>
      </c>
      <c r="FTL6" s="31">
        <v>900</v>
      </c>
      <c r="FTM6" s="31">
        <v>900</v>
      </c>
      <c r="FTN6" s="31">
        <v>900</v>
      </c>
      <c r="FTO6" s="31">
        <v>900</v>
      </c>
      <c r="FTP6" s="31">
        <v>900</v>
      </c>
      <c r="FTQ6" s="31">
        <v>900</v>
      </c>
      <c r="FTR6" s="31">
        <v>900</v>
      </c>
      <c r="FTS6" s="31">
        <v>900</v>
      </c>
      <c r="FTT6" s="31">
        <v>900</v>
      </c>
      <c r="FTU6" s="31">
        <v>900</v>
      </c>
      <c r="FTV6" s="31">
        <v>900</v>
      </c>
      <c r="FTW6" s="31">
        <v>900</v>
      </c>
      <c r="FTX6" s="31">
        <v>900</v>
      </c>
      <c r="FTY6" s="31">
        <v>900</v>
      </c>
      <c r="FTZ6" s="31">
        <v>900</v>
      </c>
      <c r="FUA6" s="31">
        <v>900</v>
      </c>
      <c r="FUB6" s="31">
        <v>900</v>
      </c>
      <c r="FUC6" s="31">
        <v>900</v>
      </c>
      <c r="FUD6" s="31">
        <v>900</v>
      </c>
      <c r="FUE6" s="31">
        <v>900</v>
      </c>
      <c r="FUF6" s="31">
        <v>900</v>
      </c>
      <c r="FUG6" s="31">
        <v>900</v>
      </c>
      <c r="FUH6" s="31">
        <v>900</v>
      </c>
      <c r="FUI6" s="31">
        <v>900</v>
      </c>
      <c r="FUJ6" s="31">
        <v>900</v>
      </c>
      <c r="FUK6" s="31">
        <v>900</v>
      </c>
      <c r="FUL6" s="31">
        <v>900</v>
      </c>
      <c r="FUM6" s="31">
        <v>900</v>
      </c>
      <c r="FUN6" s="31">
        <v>900</v>
      </c>
      <c r="FUO6" s="31">
        <v>900</v>
      </c>
      <c r="FUP6" s="31">
        <v>900</v>
      </c>
      <c r="FUQ6" s="31">
        <v>900</v>
      </c>
      <c r="FUR6" s="31">
        <v>900</v>
      </c>
      <c r="FUS6" s="31">
        <v>900</v>
      </c>
      <c r="FUT6" s="31">
        <v>900</v>
      </c>
      <c r="FUU6" s="31">
        <v>900</v>
      </c>
      <c r="FUV6" s="31">
        <v>900</v>
      </c>
      <c r="FUW6" s="31">
        <v>900</v>
      </c>
      <c r="FUX6" s="31">
        <v>900</v>
      </c>
      <c r="FUY6" s="31">
        <v>900</v>
      </c>
      <c r="FUZ6" s="31">
        <v>900</v>
      </c>
      <c r="FVA6" s="31">
        <v>900</v>
      </c>
      <c r="FVB6" s="31">
        <v>900</v>
      </c>
      <c r="FVC6" s="31">
        <v>900</v>
      </c>
      <c r="FVD6" s="31">
        <v>900</v>
      </c>
      <c r="FVE6" s="31">
        <v>900</v>
      </c>
      <c r="FVF6" s="31">
        <v>900</v>
      </c>
      <c r="FVG6" s="31">
        <v>900</v>
      </c>
      <c r="FVH6" s="31">
        <v>900</v>
      </c>
      <c r="FVI6" s="31">
        <v>900</v>
      </c>
      <c r="FVJ6" s="31">
        <v>900</v>
      </c>
      <c r="FVK6" s="31">
        <v>900</v>
      </c>
      <c r="FVL6" s="31">
        <v>900</v>
      </c>
      <c r="FVM6" s="31">
        <v>900</v>
      </c>
      <c r="FVN6" s="31">
        <v>900</v>
      </c>
      <c r="FVO6" s="31">
        <v>900</v>
      </c>
      <c r="FVP6" s="31">
        <v>900</v>
      </c>
      <c r="FVQ6" s="31">
        <v>900</v>
      </c>
      <c r="FVR6" s="31">
        <v>900</v>
      </c>
      <c r="FVS6" s="31">
        <v>900</v>
      </c>
      <c r="FVT6" s="31">
        <v>900</v>
      </c>
      <c r="FVU6" s="31">
        <v>900</v>
      </c>
      <c r="FVV6" s="31">
        <v>900</v>
      </c>
      <c r="FVW6" s="31">
        <v>900</v>
      </c>
      <c r="FVX6" s="31">
        <v>900</v>
      </c>
      <c r="FVY6" s="31">
        <v>900</v>
      </c>
      <c r="FVZ6" s="31">
        <v>900</v>
      </c>
      <c r="FWA6" s="31">
        <v>900</v>
      </c>
      <c r="FWB6" s="31">
        <v>900</v>
      </c>
      <c r="FWC6" s="31">
        <v>900</v>
      </c>
      <c r="FWD6" s="31">
        <v>900</v>
      </c>
      <c r="FWE6" s="31">
        <v>900</v>
      </c>
      <c r="FWF6" s="31">
        <v>900</v>
      </c>
      <c r="FWG6" s="31">
        <v>900</v>
      </c>
      <c r="FWH6" s="31">
        <v>900</v>
      </c>
      <c r="FWI6" s="31">
        <v>900</v>
      </c>
      <c r="FWJ6" s="31">
        <v>900</v>
      </c>
      <c r="FWK6" s="31">
        <v>900</v>
      </c>
      <c r="FWL6" s="31">
        <v>900</v>
      </c>
      <c r="FWM6" s="31">
        <v>900</v>
      </c>
      <c r="FWN6" s="31">
        <v>900</v>
      </c>
      <c r="FWO6" s="31">
        <v>900</v>
      </c>
      <c r="FWP6" s="31">
        <v>900</v>
      </c>
      <c r="FWQ6" s="31">
        <v>900</v>
      </c>
      <c r="FWR6" s="31">
        <v>900</v>
      </c>
      <c r="FWS6" s="31">
        <v>900</v>
      </c>
      <c r="FWT6" s="31">
        <v>900</v>
      </c>
      <c r="FWU6" s="31">
        <v>900</v>
      </c>
      <c r="FWV6" s="31">
        <v>900</v>
      </c>
      <c r="FWW6" s="31">
        <v>900</v>
      </c>
      <c r="FWX6" s="31">
        <v>900</v>
      </c>
      <c r="FWY6" s="31">
        <v>900</v>
      </c>
      <c r="FWZ6" s="31">
        <v>900</v>
      </c>
      <c r="FXA6" s="31">
        <v>900</v>
      </c>
      <c r="FXB6" s="31">
        <v>900</v>
      </c>
      <c r="FXC6" s="31">
        <v>900</v>
      </c>
      <c r="FXD6" s="31">
        <v>900</v>
      </c>
      <c r="FXE6" s="31">
        <v>900</v>
      </c>
      <c r="FXF6" s="31">
        <v>900</v>
      </c>
      <c r="FXG6" s="31">
        <v>900</v>
      </c>
      <c r="FXH6" s="31">
        <v>900</v>
      </c>
      <c r="FXI6" s="31">
        <v>900</v>
      </c>
      <c r="FXJ6" s="31">
        <v>900</v>
      </c>
      <c r="FXK6" s="31">
        <v>900</v>
      </c>
      <c r="FXL6" s="31">
        <v>900</v>
      </c>
      <c r="FXM6" s="31">
        <v>900</v>
      </c>
      <c r="FXN6" s="31">
        <v>900</v>
      </c>
      <c r="FXO6" s="31">
        <v>900</v>
      </c>
      <c r="FXP6" s="31">
        <v>900</v>
      </c>
      <c r="FXQ6" s="31">
        <v>900</v>
      </c>
      <c r="FXR6" s="31">
        <v>900</v>
      </c>
      <c r="FXS6" s="31">
        <v>900</v>
      </c>
      <c r="FXT6" s="31">
        <v>900</v>
      </c>
      <c r="FXU6" s="31">
        <v>900</v>
      </c>
      <c r="FXV6" s="31">
        <v>900</v>
      </c>
      <c r="FXW6" s="31">
        <v>900</v>
      </c>
      <c r="FXX6" s="31">
        <v>900</v>
      </c>
      <c r="FXY6" s="31">
        <v>900</v>
      </c>
      <c r="FXZ6" s="31">
        <v>900</v>
      </c>
      <c r="FYA6" s="31">
        <v>900</v>
      </c>
      <c r="FYB6" s="31">
        <v>900</v>
      </c>
      <c r="FYC6" s="31">
        <v>900</v>
      </c>
      <c r="FYD6" s="31">
        <v>900</v>
      </c>
      <c r="FYE6" s="31">
        <v>900</v>
      </c>
      <c r="FYF6" s="31">
        <v>900</v>
      </c>
      <c r="FYG6" s="31">
        <v>900</v>
      </c>
      <c r="FYH6" s="31">
        <v>900</v>
      </c>
      <c r="FYI6" s="31">
        <v>900</v>
      </c>
      <c r="FYJ6" s="31">
        <v>900</v>
      </c>
      <c r="FYK6" s="31">
        <v>900</v>
      </c>
      <c r="FYL6" s="31">
        <v>900</v>
      </c>
      <c r="FYM6" s="31">
        <v>900</v>
      </c>
      <c r="FYN6" s="31">
        <v>900</v>
      </c>
      <c r="FYO6" s="31">
        <v>900</v>
      </c>
      <c r="FYP6" s="31">
        <v>900</v>
      </c>
      <c r="FYQ6" s="31">
        <v>900</v>
      </c>
      <c r="FYR6" s="31">
        <v>900</v>
      </c>
      <c r="FYS6" s="31">
        <v>900</v>
      </c>
      <c r="FYT6" s="31">
        <v>900</v>
      </c>
      <c r="FYU6" s="31">
        <v>900</v>
      </c>
      <c r="FYV6" s="31">
        <v>900</v>
      </c>
      <c r="FYW6" s="31">
        <v>900</v>
      </c>
      <c r="FYX6" s="31">
        <v>900</v>
      </c>
      <c r="FYY6" s="31">
        <v>900</v>
      </c>
      <c r="FYZ6" s="31">
        <v>900</v>
      </c>
      <c r="FZA6" s="31">
        <v>900</v>
      </c>
      <c r="FZB6" s="31">
        <v>900</v>
      </c>
      <c r="FZC6" s="31">
        <v>900</v>
      </c>
      <c r="FZD6" s="31">
        <v>900</v>
      </c>
      <c r="FZE6" s="31">
        <v>900</v>
      </c>
      <c r="FZF6" s="31">
        <v>900</v>
      </c>
      <c r="FZG6" s="31">
        <v>900</v>
      </c>
      <c r="FZH6" s="31">
        <v>900</v>
      </c>
      <c r="FZI6" s="31">
        <v>900</v>
      </c>
      <c r="FZJ6" s="31">
        <v>900</v>
      </c>
      <c r="FZK6" s="31">
        <v>900</v>
      </c>
      <c r="FZL6" s="31">
        <v>900</v>
      </c>
      <c r="FZM6" s="31">
        <v>900</v>
      </c>
      <c r="FZN6" s="31">
        <v>900</v>
      </c>
      <c r="FZO6" s="31">
        <v>900</v>
      </c>
      <c r="FZP6" s="31">
        <v>900</v>
      </c>
      <c r="FZQ6" s="31">
        <v>900</v>
      </c>
      <c r="FZR6" s="31">
        <v>900</v>
      </c>
      <c r="FZS6" s="31">
        <v>900</v>
      </c>
      <c r="FZT6" s="31">
        <v>900</v>
      </c>
      <c r="FZU6" s="31">
        <v>900</v>
      </c>
      <c r="FZV6" s="31">
        <v>900</v>
      </c>
      <c r="FZW6" s="31">
        <v>900</v>
      </c>
      <c r="FZX6" s="31">
        <v>900</v>
      </c>
      <c r="FZY6" s="31">
        <v>900</v>
      </c>
      <c r="FZZ6" s="31">
        <v>900</v>
      </c>
      <c r="GAA6" s="31">
        <v>900</v>
      </c>
      <c r="GAB6" s="31">
        <v>900</v>
      </c>
      <c r="GAC6" s="31">
        <v>900</v>
      </c>
      <c r="GAD6" s="31">
        <v>900</v>
      </c>
      <c r="GAE6" s="31">
        <v>900</v>
      </c>
      <c r="GAF6" s="31">
        <v>900</v>
      </c>
      <c r="GAG6" s="31">
        <v>900</v>
      </c>
      <c r="GAH6" s="31">
        <v>900</v>
      </c>
      <c r="GAI6" s="31">
        <v>900</v>
      </c>
      <c r="GAJ6" s="31">
        <v>900</v>
      </c>
      <c r="GAK6" s="31">
        <v>900</v>
      </c>
      <c r="GAL6" s="31">
        <v>900</v>
      </c>
      <c r="GAM6" s="31">
        <v>900</v>
      </c>
      <c r="GAN6" s="31">
        <v>900</v>
      </c>
      <c r="GAO6" s="31">
        <v>900</v>
      </c>
      <c r="GAP6" s="31">
        <v>900</v>
      </c>
      <c r="GAQ6" s="31">
        <v>900</v>
      </c>
      <c r="GAR6" s="31">
        <v>900</v>
      </c>
      <c r="GAS6" s="31">
        <v>900</v>
      </c>
      <c r="GAT6" s="31">
        <v>900</v>
      </c>
      <c r="GAU6" s="31">
        <v>900</v>
      </c>
      <c r="GAV6" s="31">
        <v>900</v>
      </c>
      <c r="GAW6" s="31">
        <v>900</v>
      </c>
      <c r="GAX6" s="31">
        <v>900</v>
      </c>
      <c r="GAY6" s="31">
        <v>900</v>
      </c>
      <c r="GAZ6" s="31">
        <v>900</v>
      </c>
      <c r="GBA6" s="31">
        <v>900</v>
      </c>
      <c r="GBB6" s="31">
        <v>900</v>
      </c>
      <c r="GBC6" s="31">
        <v>900</v>
      </c>
      <c r="GBD6" s="31">
        <v>900</v>
      </c>
      <c r="GBE6" s="31">
        <v>900</v>
      </c>
      <c r="GBF6" s="31">
        <v>900</v>
      </c>
      <c r="GBG6" s="31">
        <v>900</v>
      </c>
      <c r="GBH6" s="31">
        <v>900</v>
      </c>
      <c r="GBI6" s="31">
        <v>900</v>
      </c>
      <c r="GBJ6" s="31">
        <v>900</v>
      </c>
      <c r="GBK6" s="31">
        <v>900</v>
      </c>
      <c r="GBL6" s="31">
        <v>900</v>
      </c>
      <c r="GBM6" s="31">
        <v>900</v>
      </c>
      <c r="GBN6" s="31">
        <v>900</v>
      </c>
      <c r="GBO6" s="31">
        <v>900</v>
      </c>
      <c r="GBP6" s="31">
        <v>900</v>
      </c>
      <c r="GBQ6" s="31">
        <v>900</v>
      </c>
      <c r="GBR6" s="31">
        <v>900</v>
      </c>
      <c r="GBS6" s="31">
        <v>900</v>
      </c>
      <c r="GBT6" s="31">
        <v>900</v>
      </c>
      <c r="GBU6" s="31">
        <v>900</v>
      </c>
      <c r="GBV6" s="31">
        <v>900</v>
      </c>
      <c r="GBW6" s="31">
        <v>900</v>
      </c>
      <c r="GBX6" s="31">
        <v>900</v>
      </c>
      <c r="GBY6" s="31">
        <v>900</v>
      </c>
      <c r="GBZ6" s="31">
        <v>900</v>
      </c>
      <c r="GCA6" s="31">
        <v>900</v>
      </c>
      <c r="GCB6" s="31">
        <v>900</v>
      </c>
      <c r="GCC6" s="31">
        <v>900</v>
      </c>
      <c r="GCD6" s="31">
        <v>900</v>
      </c>
      <c r="GCE6" s="31">
        <v>900</v>
      </c>
      <c r="GCF6" s="31">
        <v>900</v>
      </c>
      <c r="GCG6" s="31">
        <v>900</v>
      </c>
      <c r="GCH6" s="31">
        <v>900</v>
      </c>
      <c r="GCI6" s="31">
        <v>900</v>
      </c>
      <c r="GCJ6" s="31">
        <v>900</v>
      </c>
      <c r="GCK6" s="31">
        <v>900</v>
      </c>
      <c r="GCL6" s="31">
        <v>900</v>
      </c>
      <c r="GCM6" s="31">
        <v>900</v>
      </c>
      <c r="GCN6" s="31">
        <v>900</v>
      </c>
      <c r="GCO6" s="31">
        <v>900</v>
      </c>
      <c r="GCP6" s="31">
        <v>900</v>
      </c>
      <c r="GCQ6" s="31">
        <v>900</v>
      </c>
      <c r="GCR6" s="31">
        <v>900</v>
      </c>
      <c r="GCS6" s="31">
        <v>900</v>
      </c>
      <c r="GCT6" s="31">
        <v>900</v>
      </c>
      <c r="GCU6" s="31">
        <v>900</v>
      </c>
      <c r="GCV6" s="31">
        <v>900</v>
      </c>
      <c r="GCW6" s="31">
        <v>900</v>
      </c>
      <c r="GCX6" s="31">
        <v>900</v>
      </c>
      <c r="GCY6" s="31">
        <v>900</v>
      </c>
      <c r="GCZ6" s="31">
        <v>900</v>
      </c>
      <c r="GDA6" s="31">
        <v>900</v>
      </c>
      <c r="GDB6" s="31">
        <v>900</v>
      </c>
      <c r="GDC6" s="31">
        <v>900</v>
      </c>
      <c r="GDD6" s="31">
        <v>900</v>
      </c>
      <c r="GDE6" s="31">
        <v>900</v>
      </c>
      <c r="GDF6" s="31">
        <v>900</v>
      </c>
      <c r="GDG6" s="31">
        <v>900</v>
      </c>
      <c r="GDH6" s="31">
        <v>900</v>
      </c>
      <c r="GDI6" s="31">
        <v>900</v>
      </c>
      <c r="GDJ6" s="31">
        <v>900</v>
      </c>
      <c r="GDK6" s="31">
        <v>900</v>
      </c>
      <c r="GDL6" s="31">
        <v>900</v>
      </c>
      <c r="GDM6" s="31">
        <v>900</v>
      </c>
      <c r="GDN6" s="31">
        <v>900</v>
      </c>
      <c r="GDO6" s="31">
        <v>900</v>
      </c>
      <c r="GDP6" s="31">
        <v>900</v>
      </c>
      <c r="GDQ6" s="31">
        <v>900</v>
      </c>
      <c r="GDR6" s="31">
        <v>900</v>
      </c>
      <c r="GDS6" s="31">
        <v>900</v>
      </c>
      <c r="GDT6" s="31">
        <v>900</v>
      </c>
      <c r="GDU6" s="31">
        <v>900</v>
      </c>
      <c r="GDV6" s="31">
        <v>900</v>
      </c>
      <c r="GDW6" s="31">
        <v>900</v>
      </c>
      <c r="GDX6" s="31">
        <v>900</v>
      </c>
      <c r="GDY6" s="31">
        <v>900</v>
      </c>
      <c r="GDZ6" s="31">
        <v>900</v>
      </c>
      <c r="GEA6" s="31">
        <v>900</v>
      </c>
      <c r="GEB6" s="31">
        <v>900</v>
      </c>
      <c r="GEC6" s="31">
        <v>900</v>
      </c>
      <c r="GED6" s="31">
        <v>900</v>
      </c>
      <c r="GEE6" s="31">
        <v>900</v>
      </c>
      <c r="GEF6" s="31">
        <v>900</v>
      </c>
      <c r="GEG6" s="31">
        <v>900</v>
      </c>
      <c r="GEH6" s="31">
        <v>900</v>
      </c>
      <c r="GEI6" s="31">
        <v>900</v>
      </c>
      <c r="GEJ6" s="31">
        <v>900</v>
      </c>
      <c r="GEK6" s="31">
        <v>900</v>
      </c>
      <c r="GEL6" s="31">
        <v>900</v>
      </c>
      <c r="GEM6" s="31">
        <v>900</v>
      </c>
      <c r="GEN6" s="31">
        <v>900</v>
      </c>
      <c r="GEO6" s="31">
        <v>900</v>
      </c>
      <c r="GEP6" s="31">
        <v>900</v>
      </c>
      <c r="GEQ6" s="31">
        <v>900</v>
      </c>
      <c r="GER6" s="31">
        <v>900</v>
      </c>
      <c r="GES6" s="31">
        <v>900</v>
      </c>
      <c r="GET6" s="31">
        <v>900</v>
      </c>
      <c r="GEU6" s="31">
        <v>900</v>
      </c>
      <c r="GEV6" s="31">
        <v>900</v>
      </c>
      <c r="GEW6" s="31">
        <v>900</v>
      </c>
      <c r="GEX6" s="31">
        <v>900</v>
      </c>
      <c r="GEY6" s="31">
        <v>900</v>
      </c>
      <c r="GEZ6" s="31">
        <v>900</v>
      </c>
      <c r="GFA6" s="31">
        <v>900</v>
      </c>
      <c r="GFB6" s="31">
        <v>900</v>
      </c>
      <c r="GFC6" s="31">
        <v>900</v>
      </c>
      <c r="GFD6" s="31">
        <v>900</v>
      </c>
      <c r="GFE6" s="31">
        <v>900</v>
      </c>
      <c r="GFF6" s="31">
        <v>900</v>
      </c>
      <c r="GFG6" s="31">
        <v>900</v>
      </c>
      <c r="GFH6" s="31">
        <v>900</v>
      </c>
      <c r="GFI6" s="31">
        <v>900</v>
      </c>
      <c r="GFJ6" s="31">
        <v>900</v>
      </c>
      <c r="GFK6" s="31">
        <v>900</v>
      </c>
      <c r="GFL6" s="31">
        <v>900</v>
      </c>
      <c r="GFM6" s="31">
        <v>900</v>
      </c>
      <c r="GFN6" s="31">
        <v>900</v>
      </c>
      <c r="GFO6" s="31">
        <v>900</v>
      </c>
      <c r="GFP6" s="31">
        <v>900</v>
      </c>
      <c r="GFQ6" s="31">
        <v>900</v>
      </c>
      <c r="GFR6" s="31">
        <v>900</v>
      </c>
      <c r="GFS6" s="31">
        <v>900</v>
      </c>
      <c r="GFT6" s="31">
        <v>900</v>
      </c>
      <c r="GFU6" s="31">
        <v>900</v>
      </c>
      <c r="GFV6" s="31">
        <v>900</v>
      </c>
      <c r="GFW6" s="31">
        <v>900</v>
      </c>
      <c r="GFX6" s="31">
        <v>900</v>
      </c>
      <c r="GFY6" s="31">
        <v>900</v>
      </c>
      <c r="GFZ6" s="31">
        <v>900</v>
      </c>
      <c r="GGA6" s="31">
        <v>900</v>
      </c>
      <c r="GGB6" s="31">
        <v>900</v>
      </c>
      <c r="GGC6" s="31">
        <v>900</v>
      </c>
      <c r="GGD6" s="31">
        <v>900</v>
      </c>
      <c r="GGE6" s="31">
        <v>900</v>
      </c>
      <c r="GGF6" s="31">
        <v>900</v>
      </c>
      <c r="GGG6" s="31">
        <v>900</v>
      </c>
      <c r="GGH6" s="31">
        <v>900</v>
      </c>
      <c r="GGI6" s="31">
        <v>900</v>
      </c>
      <c r="GGJ6" s="31">
        <v>900</v>
      </c>
      <c r="GGK6" s="31">
        <v>900</v>
      </c>
      <c r="GGL6" s="31">
        <v>900</v>
      </c>
      <c r="GGM6" s="31">
        <v>900</v>
      </c>
      <c r="GGN6" s="31">
        <v>900</v>
      </c>
      <c r="GGO6" s="31">
        <v>900</v>
      </c>
      <c r="GGP6" s="31">
        <v>900</v>
      </c>
      <c r="GGQ6" s="31">
        <v>900</v>
      </c>
      <c r="GGR6" s="31">
        <v>900</v>
      </c>
      <c r="GGS6" s="31">
        <v>900</v>
      </c>
      <c r="GGT6" s="31">
        <v>900</v>
      </c>
      <c r="GGU6" s="31">
        <v>900</v>
      </c>
      <c r="GGV6" s="31">
        <v>900</v>
      </c>
      <c r="GGW6" s="31">
        <v>900</v>
      </c>
      <c r="GGX6" s="31">
        <v>900</v>
      </c>
      <c r="GGY6" s="31">
        <v>900</v>
      </c>
      <c r="GGZ6" s="31">
        <v>900</v>
      </c>
      <c r="GHA6" s="31">
        <v>900</v>
      </c>
      <c r="GHB6" s="31">
        <v>900</v>
      </c>
      <c r="GHC6" s="31">
        <v>900</v>
      </c>
      <c r="GHD6" s="31">
        <v>900</v>
      </c>
      <c r="GHE6" s="31">
        <v>900</v>
      </c>
      <c r="GHF6" s="31">
        <v>900</v>
      </c>
      <c r="GHG6" s="31">
        <v>900</v>
      </c>
      <c r="GHH6" s="31">
        <v>900</v>
      </c>
      <c r="GHI6" s="31">
        <v>900</v>
      </c>
      <c r="GHJ6" s="31">
        <v>900</v>
      </c>
      <c r="GHK6" s="31">
        <v>900</v>
      </c>
      <c r="GHL6" s="31">
        <v>900</v>
      </c>
      <c r="GHM6" s="31">
        <v>900</v>
      </c>
      <c r="GHN6" s="31">
        <v>900</v>
      </c>
      <c r="GHO6" s="31">
        <v>900</v>
      </c>
      <c r="GHP6" s="31">
        <v>900</v>
      </c>
      <c r="GHQ6" s="31">
        <v>900</v>
      </c>
      <c r="GHR6" s="31">
        <v>900</v>
      </c>
      <c r="GHS6" s="31">
        <v>900</v>
      </c>
      <c r="GHT6" s="31">
        <v>900</v>
      </c>
      <c r="GHU6" s="31">
        <v>900</v>
      </c>
      <c r="GHV6" s="31">
        <v>900</v>
      </c>
      <c r="GHW6" s="31">
        <v>900</v>
      </c>
      <c r="GHX6" s="31">
        <v>900</v>
      </c>
      <c r="GHY6" s="31">
        <v>900</v>
      </c>
      <c r="GHZ6" s="31">
        <v>900</v>
      </c>
      <c r="GIA6" s="31">
        <v>900</v>
      </c>
      <c r="GIB6" s="31">
        <v>900</v>
      </c>
      <c r="GIC6" s="31">
        <v>900</v>
      </c>
      <c r="GID6" s="31">
        <v>900</v>
      </c>
      <c r="GIE6" s="31">
        <v>900</v>
      </c>
      <c r="GIF6" s="31">
        <v>900</v>
      </c>
      <c r="GIG6" s="31">
        <v>900</v>
      </c>
      <c r="GIH6" s="31">
        <v>900</v>
      </c>
      <c r="GII6" s="31">
        <v>900</v>
      </c>
      <c r="GIJ6" s="31">
        <v>900</v>
      </c>
      <c r="GIK6" s="31">
        <v>900</v>
      </c>
      <c r="GIL6" s="31">
        <v>900</v>
      </c>
      <c r="GIM6" s="31">
        <v>900</v>
      </c>
      <c r="GIN6" s="31">
        <v>900</v>
      </c>
      <c r="GIO6" s="31">
        <v>900</v>
      </c>
      <c r="GIP6" s="31">
        <v>900</v>
      </c>
      <c r="GIQ6" s="31">
        <v>900</v>
      </c>
      <c r="GIR6" s="31">
        <v>900</v>
      </c>
      <c r="GIS6" s="31">
        <v>900</v>
      </c>
      <c r="GIT6" s="31">
        <v>900</v>
      </c>
      <c r="GIU6" s="31">
        <v>900</v>
      </c>
      <c r="GIV6" s="31">
        <v>900</v>
      </c>
      <c r="GIW6" s="31">
        <v>900</v>
      </c>
      <c r="GIX6" s="31">
        <v>900</v>
      </c>
      <c r="GIY6" s="31">
        <v>900</v>
      </c>
      <c r="GIZ6" s="31">
        <v>900</v>
      </c>
      <c r="GJA6" s="31">
        <v>900</v>
      </c>
      <c r="GJB6" s="31">
        <v>900</v>
      </c>
      <c r="GJC6" s="31">
        <v>900</v>
      </c>
      <c r="GJD6" s="31">
        <v>900</v>
      </c>
      <c r="GJE6" s="31">
        <v>900</v>
      </c>
      <c r="GJF6" s="31">
        <v>900</v>
      </c>
      <c r="GJG6" s="31">
        <v>900</v>
      </c>
      <c r="GJH6" s="31">
        <v>900</v>
      </c>
      <c r="GJI6" s="31">
        <v>900</v>
      </c>
      <c r="GJJ6" s="31">
        <v>900</v>
      </c>
      <c r="GJK6" s="31">
        <v>900</v>
      </c>
      <c r="GJL6" s="31">
        <v>900</v>
      </c>
      <c r="GJM6" s="31">
        <v>900</v>
      </c>
      <c r="GJN6" s="31">
        <v>900</v>
      </c>
      <c r="GJO6" s="31">
        <v>900</v>
      </c>
      <c r="GJP6" s="31">
        <v>900</v>
      </c>
      <c r="GJQ6" s="31">
        <v>900</v>
      </c>
      <c r="GJR6" s="31">
        <v>900</v>
      </c>
      <c r="GJS6" s="31">
        <v>900</v>
      </c>
      <c r="GJT6" s="31">
        <v>900</v>
      </c>
      <c r="GJU6" s="31">
        <v>900</v>
      </c>
      <c r="GJV6" s="31">
        <v>900</v>
      </c>
      <c r="GJW6" s="31">
        <v>900</v>
      </c>
      <c r="GJX6" s="31">
        <v>900</v>
      </c>
      <c r="GJY6" s="31">
        <v>900</v>
      </c>
      <c r="GJZ6" s="31">
        <v>900</v>
      </c>
      <c r="GKA6" s="31">
        <v>900</v>
      </c>
      <c r="GKB6" s="31">
        <v>900</v>
      </c>
      <c r="GKC6" s="31">
        <v>900</v>
      </c>
      <c r="GKD6" s="31">
        <v>900</v>
      </c>
      <c r="GKE6" s="31">
        <v>900</v>
      </c>
      <c r="GKF6" s="31">
        <v>900</v>
      </c>
      <c r="GKG6" s="31">
        <v>900</v>
      </c>
      <c r="GKH6" s="31">
        <v>900</v>
      </c>
      <c r="GKI6" s="31">
        <v>900</v>
      </c>
      <c r="GKJ6" s="31">
        <v>900</v>
      </c>
      <c r="GKK6" s="31">
        <v>900</v>
      </c>
      <c r="GKL6" s="31">
        <v>900</v>
      </c>
      <c r="GKM6" s="31">
        <v>900</v>
      </c>
      <c r="GKN6" s="31">
        <v>900</v>
      </c>
      <c r="GKO6" s="31">
        <v>900</v>
      </c>
      <c r="GKP6" s="31">
        <v>900</v>
      </c>
      <c r="GKQ6" s="31">
        <v>900</v>
      </c>
      <c r="GKR6" s="31">
        <v>900</v>
      </c>
      <c r="GKS6" s="31">
        <v>900</v>
      </c>
      <c r="GKT6" s="31">
        <v>900</v>
      </c>
      <c r="GKU6" s="31">
        <v>900</v>
      </c>
      <c r="GKV6" s="31">
        <v>900</v>
      </c>
      <c r="GKW6" s="31">
        <v>900</v>
      </c>
      <c r="GKX6" s="31">
        <v>900</v>
      </c>
      <c r="GKY6" s="31">
        <v>900</v>
      </c>
      <c r="GKZ6" s="31">
        <v>900</v>
      </c>
      <c r="GLA6" s="31">
        <v>900</v>
      </c>
      <c r="GLB6" s="31">
        <v>900</v>
      </c>
      <c r="GLC6" s="31">
        <v>900</v>
      </c>
      <c r="GLD6" s="31">
        <v>900</v>
      </c>
      <c r="GLE6" s="31">
        <v>900</v>
      </c>
      <c r="GLF6" s="31">
        <v>900</v>
      </c>
      <c r="GLG6" s="31">
        <v>900</v>
      </c>
      <c r="GLH6" s="31">
        <v>900</v>
      </c>
      <c r="GLI6" s="31">
        <v>900</v>
      </c>
      <c r="GLJ6" s="31">
        <v>900</v>
      </c>
      <c r="GLK6" s="31">
        <v>900</v>
      </c>
      <c r="GLL6" s="31">
        <v>900</v>
      </c>
      <c r="GLM6" s="31">
        <v>900</v>
      </c>
      <c r="GLN6" s="31">
        <v>900</v>
      </c>
      <c r="GLO6" s="31">
        <v>900</v>
      </c>
      <c r="GLP6" s="31">
        <v>900</v>
      </c>
      <c r="GLQ6" s="31">
        <v>900</v>
      </c>
      <c r="GLR6" s="31">
        <v>900</v>
      </c>
      <c r="GLS6" s="31">
        <v>900</v>
      </c>
      <c r="GLT6" s="31">
        <v>900</v>
      </c>
      <c r="GLU6" s="31">
        <v>900</v>
      </c>
      <c r="GLV6" s="31">
        <v>900</v>
      </c>
      <c r="GLW6" s="31">
        <v>900</v>
      </c>
      <c r="GLX6" s="31">
        <v>900</v>
      </c>
      <c r="GLY6" s="31">
        <v>900</v>
      </c>
      <c r="GLZ6" s="31">
        <v>900</v>
      </c>
      <c r="GMA6" s="31">
        <v>900</v>
      </c>
      <c r="GMB6" s="31">
        <v>900</v>
      </c>
      <c r="GMC6" s="31">
        <v>900</v>
      </c>
      <c r="GMD6" s="31">
        <v>900</v>
      </c>
      <c r="GME6" s="31">
        <v>900</v>
      </c>
      <c r="GMF6" s="31">
        <v>900</v>
      </c>
      <c r="GMG6" s="31">
        <v>900</v>
      </c>
      <c r="GMH6" s="31">
        <v>900</v>
      </c>
      <c r="GMI6" s="31">
        <v>900</v>
      </c>
      <c r="GMJ6" s="31">
        <v>900</v>
      </c>
      <c r="GMK6" s="31">
        <v>900</v>
      </c>
      <c r="GML6" s="31">
        <v>900</v>
      </c>
      <c r="GMM6" s="31">
        <v>900</v>
      </c>
      <c r="GMN6" s="31">
        <v>900</v>
      </c>
      <c r="GMO6" s="31">
        <v>900</v>
      </c>
      <c r="GMP6" s="31">
        <v>900</v>
      </c>
      <c r="GMQ6" s="31">
        <v>900</v>
      </c>
      <c r="GMR6" s="31">
        <v>900</v>
      </c>
      <c r="GMS6" s="31">
        <v>900</v>
      </c>
      <c r="GMT6" s="31">
        <v>900</v>
      </c>
      <c r="GMU6" s="31">
        <v>900</v>
      </c>
      <c r="GMV6" s="31">
        <v>900</v>
      </c>
      <c r="GMW6" s="31">
        <v>900</v>
      </c>
      <c r="GMX6" s="31">
        <v>900</v>
      </c>
      <c r="GMY6" s="31">
        <v>900</v>
      </c>
      <c r="GMZ6" s="31">
        <v>900</v>
      </c>
      <c r="GNA6" s="31">
        <v>900</v>
      </c>
      <c r="GNB6" s="31">
        <v>900</v>
      </c>
      <c r="GNC6" s="31">
        <v>900</v>
      </c>
      <c r="GND6" s="31">
        <v>900</v>
      </c>
      <c r="GNE6" s="31">
        <v>900</v>
      </c>
      <c r="GNF6" s="31">
        <v>900</v>
      </c>
      <c r="GNG6" s="31">
        <v>900</v>
      </c>
      <c r="GNH6" s="31">
        <v>900</v>
      </c>
      <c r="GNI6" s="31">
        <v>900</v>
      </c>
      <c r="GNJ6" s="31">
        <v>900</v>
      </c>
      <c r="GNK6" s="31">
        <v>900</v>
      </c>
      <c r="GNL6" s="31">
        <v>900</v>
      </c>
      <c r="GNM6" s="31">
        <v>900</v>
      </c>
      <c r="GNN6" s="31">
        <v>900</v>
      </c>
      <c r="GNO6" s="31">
        <v>900</v>
      </c>
      <c r="GNP6" s="31">
        <v>900</v>
      </c>
      <c r="GNQ6" s="31">
        <v>900</v>
      </c>
      <c r="GNR6" s="31">
        <v>900</v>
      </c>
      <c r="GNS6" s="31">
        <v>900</v>
      </c>
      <c r="GNT6" s="31">
        <v>900</v>
      </c>
      <c r="GNU6" s="31">
        <v>900</v>
      </c>
      <c r="GNV6" s="31">
        <v>900</v>
      </c>
      <c r="GNW6" s="31">
        <v>900</v>
      </c>
      <c r="GNX6" s="31">
        <v>900</v>
      </c>
      <c r="GNY6" s="31">
        <v>900</v>
      </c>
      <c r="GNZ6" s="31">
        <v>900</v>
      </c>
      <c r="GOA6" s="31">
        <v>900</v>
      </c>
      <c r="GOB6" s="31">
        <v>900</v>
      </c>
      <c r="GOC6" s="31">
        <v>900</v>
      </c>
      <c r="GOD6" s="31">
        <v>900</v>
      </c>
      <c r="GOE6" s="31">
        <v>900</v>
      </c>
      <c r="GOF6" s="31">
        <v>900</v>
      </c>
      <c r="GOG6" s="31">
        <v>900</v>
      </c>
      <c r="GOH6" s="31">
        <v>900</v>
      </c>
      <c r="GOI6" s="31">
        <v>900</v>
      </c>
      <c r="GOJ6" s="31">
        <v>900</v>
      </c>
      <c r="GOK6" s="31">
        <v>900</v>
      </c>
      <c r="GOL6" s="31">
        <v>900</v>
      </c>
      <c r="GOM6" s="31">
        <v>900</v>
      </c>
      <c r="GON6" s="31">
        <v>900</v>
      </c>
      <c r="GOO6" s="31">
        <v>900</v>
      </c>
      <c r="GOP6" s="31">
        <v>900</v>
      </c>
      <c r="GOQ6" s="31">
        <v>900</v>
      </c>
      <c r="GOR6" s="31">
        <v>900</v>
      </c>
      <c r="GOS6" s="31">
        <v>900</v>
      </c>
      <c r="GOT6" s="31">
        <v>900</v>
      </c>
      <c r="GOU6" s="31">
        <v>900</v>
      </c>
      <c r="GOV6" s="31">
        <v>900</v>
      </c>
      <c r="GOW6" s="31">
        <v>900</v>
      </c>
      <c r="GOX6" s="31">
        <v>900</v>
      </c>
      <c r="GOY6" s="31">
        <v>900</v>
      </c>
      <c r="GOZ6" s="31">
        <v>900</v>
      </c>
      <c r="GPA6" s="31">
        <v>900</v>
      </c>
      <c r="GPB6" s="31">
        <v>900</v>
      </c>
      <c r="GPC6" s="31">
        <v>900</v>
      </c>
      <c r="GPD6" s="31">
        <v>900</v>
      </c>
      <c r="GPE6" s="31">
        <v>900</v>
      </c>
      <c r="GPF6" s="31">
        <v>900</v>
      </c>
      <c r="GPG6" s="31">
        <v>900</v>
      </c>
      <c r="GPH6" s="31">
        <v>900</v>
      </c>
      <c r="GPI6" s="31">
        <v>900</v>
      </c>
      <c r="GPJ6" s="31">
        <v>900</v>
      </c>
      <c r="GPK6" s="31">
        <v>900</v>
      </c>
      <c r="GPL6" s="31">
        <v>900</v>
      </c>
      <c r="GPM6" s="31">
        <v>900</v>
      </c>
      <c r="GPN6" s="31">
        <v>900</v>
      </c>
      <c r="GPO6" s="31">
        <v>900</v>
      </c>
      <c r="GPP6" s="31">
        <v>900</v>
      </c>
      <c r="GPQ6" s="31">
        <v>900</v>
      </c>
      <c r="GPR6" s="31">
        <v>900</v>
      </c>
      <c r="GPS6" s="31">
        <v>900</v>
      </c>
      <c r="GPT6" s="31">
        <v>900</v>
      </c>
      <c r="GPU6" s="31">
        <v>900</v>
      </c>
      <c r="GPV6" s="31">
        <v>900</v>
      </c>
      <c r="GPW6" s="31">
        <v>900</v>
      </c>
      <c r="GPX6" s="31">
        <v>900</v>
      </c>
      <c r="GPY6" s="31">
        <v>900</v>
      </c>
      <c r="GPZ6" s="31">
        <v>900</v>
      </c>
      <c r="GQA6" s="31">
        <v>900</v>
      </c>
      <c r="GQB6" s="31">
        <v>900</v>
      </c>
      <c r="GQC6" s="31">
        <v>900</v>
      </c>
      <c r="GQD6" s="31">
        <v>900</v>
      </c>
      <c r="GQE6" s="31">
        <v>900</v>
      </c>
      <c r="GQF6" s="31">
        <v>900</v>
      </c>
      <c r="GQG6" s="31">
        <v>900</v>
      </c>
      <c r="GQH6" s="31">
        <v>900</v>
      </c>
      <c r="GQI6" s="31">
        <v>900</v>
      </c>
      <c r="GQJ6" s="31">
        <v>900</v>
      </c>
      <c r="GQK6" s="31">
        <v>900</v>
      </c>
      <c r="GQL6" s="31">
        <v>900</v>
      </c>
      <c r="GQM6" s="31">
        <v>900</v>
      </c>
      <c r="GQN6" s="31">
        <v>900</v>
      </c>
      <c r="GQO6" s="31">
        <v>900</v>
      </c>
      <c r="GQP6" s="31">
        <v>900</v>
      </c>
      <c r="GQQ6" s="31">
        <v>900</v>
      </c>
      <c r="GQR6" s="31">
        <v>900</v>
      </c>
      <c r="GQS6" s="31">
        <v>900</v>
      </c>
      <c r="GQT6" s="31">
        <v>900</v>
      </c>
      <c r="GQU6" s="31">
        <v>900</v>
      </c>
      <c r="GQV6" s="31">
        <v>900</v>
      </c>
      <c r="GQW6" s="31">
        <v>900</v>
      </c>
      <c r="GQX6" s="31">
        <v>900</v>
      </c>
      <c r="GQY6" s="31">
        <v>900</v>
      </c>
      <c r="GQZ6" s="31">
        <v>900</v>
      </c>
      <c r="GRA6" s="31">
        <v>900</v>
      </c>
      <c r="GRB6" s="31">
        <v>900</v>
      </c>
      <c r="GRC6" s="31">
        <v>900</v>
      </c>
      <c r="GRD6" s="31">
        <v>900</v>
      </c>
      <c r="GRE6" s="31">
        <v>900</v>
      </c>
      <c r="GRF6" s="31">
        <v>900</v>
      </c>
      <c r="GRG6" s="31">
        <v>900</v>
      </c>
      <c r="GRH6" s="31">
        <v>900</v>
      </c>
      <c r="GRI6" s="31">
        <v>900</v>
      </c>
      <c r="GRJ6" s="31">
        <v>900</v>
      </c>
      <c r="GRK6" s="31">
        <v>900</v>
      </c>
      <c r="GRL6" s="31">
        <v>900</v>
      </c>
      <c r="GRM6" s="31">
        <v>900</v>
      </c>
      <c r="GRN6" s="31">
        <v>900</v>
      </c>
      <c r="GRO6" s="31">
        <v>900</v>
      </c>
      <c r="GRP6" s="31">
        <v>900</v>
      </c>
      <c r="GRQ6" s="31">
        <v>900</v>
      </c>
      <c r="GRR6" s="31">
        <v>900</v>
      </c>
      <c r="GRS6" s="31">
        <v>900</v>
      </c>
      <c r="GRT6" s="31">
        <v>900</v>
      </c>
      <c r="GRU6" s="31">
        <v>900</v>
      </c>
      <c r="GRV6" s="31">
        <v>900</v>
      </c>
      <c r="GRW6" s="31">
        <v>900</v>
      </c>
      <c r="GRX6" s="31">
        <v>900</v>
      </c>
      <c r="GRY6" s="31">
        <v>900</v>
      </c>
      <c r="GRZ6" s="31">
        <v>900</v>
      </c>
      <c r="GSA6" s="31">
        <v>900</v>
      </c>
      <c r="GSB6" s="31">
        <v>900</v>
      </c>
      <c r="GSC6" s="31">
        <v>900</v>
      </c>
      <c r="GSD6" s="31">
        <v>900</v>
      </c>
      <c r="GSE6" s="31">
        <v>900</v>
      </c>
      <c r="GSF6" s="31">
        <v>900</v>
      </c>
      <c r="GSG6" s="31">
        <v>900</v>
      </c>
      <c r="GSH6" s="31">
        <v>900</v>
      </c>
      <c r="GSI6" s="31">
        <v>900</v>
      </c>
      <c r="GSJ6" s="31">
        <v>900</v>
      </c>
      <c r="GSK6" s="31">
        <v>900</v>
      </c>
      <c r="GSL6" s="31">
        <v>900</v>
      </c>
      <c r="GSM6" s="31">
        <v>900</v>
      </c>
      <c r="GSN6" s="31">
        <v>900</v>
      </c>
      <c r="GSO6" s="31">
        <v>900</v>
      </c>
      <c r="GSP6" s="31">
        <v>900</v>
      </c>
      <c r="GSQ6" s="31">
        <v>900</v>
      </c>
      <c r="GSR6" s="31">
        <v>900</v>
      </c>
      <c r="GSS6" s="31">
        <v>900</v>
      </c>
      <c r="GST6" s="31">
        <v>900</v>
      </c>
      <c r="GSU6" s="31">
        <v>900</v>
      </c>
      <c r="GSV6" s="31">
        <v>900</v>
      </c>
      <c r="GSW6" s="31">
        <v>900</v>
      </c>
      <c r="GSX6" s="31">
        <v>900</v>
      </c>
      <c r="GSY6" s="31">
        <v>900</v>
      </c>
      <c r="GSZ6" s="31">
        <v>900</v>
      </c>
      <c r="GTA6" s="31">
        <v>900</v>
      </c>
      <c r="GTB6" s="31">
        <v>900</v>
      </c>
      <c r="GTC6" s="31">
        <v>900</v>
      </c>
      <c r="GTD6" s="31">
        <v>900</v>
      </c>
      <c r="GTE6" s="31">
        <v>900</v>
      </c>
      <c r="GTF6" s="31">
        <v>900</v>
      </c>
      <c r="GTG6" s="31">
        <v>900</v>
      </c>
      <c r="GTH6" s="31">
        <v>900</v>
      </c>
      <c r="GTI6" s="31">
        <v>900</v>
      </c>
      <c r="GTJ6" s="31">
        <v>900</v>
      </c>
      <c r="GTK6" s="31">
        <v>900</v>
      </c>
      <c r="GTL6" s="31">
        <v>900</v>
      </c>
      <c r="GTM6" s="31">
        <v>900</v>
      </c>
      <c r="GTN6" s="31">
        <v>900</v>
      </c>
      <c r="GTO6" s="31">
        <v>900</v>
      </c>
      <c r="GTP6" s="31">
        <v>900</v>
      </c>
      <c r="GTQ6" s="31">
        <v>900</v>
      </c>
      <c r="GTR6" s="31">
        <v>900</v>
      </c>
      <c r="GTS6" s="31">
        <v>900</v>
      </c>
      <c r="GTT6" s="31">
        <v>900</v>
      </c>
      <c r="GTU6" s="31">
        <v>900</v>
      </c>
      <c r="GTV6" s="31">
        <v>900</v>
      </c>
      <c r="GTW6" s="31">
        <v>900</v>
      </c>
      <c r="GTX6" s="31">
        <v>900</v>
      </c>
      <c r="GTY6" s="31">
        <v>900</v>
      </c>
      <c r="GTZ6" s="31">
        <v>900</v>
      </c>
      <c r="GUA6" s="31">
        <v>900</v>
      </c>
      <c r="GUB6" s="31">
        <v>900</v>
      </c>
      <c r="GUC6" s="31">
        <v>900</v>
      </c>
      <c r="GUD6" s="31">
        <v>900</v>
      </c>
      <c r="GUE6" s="31">
        <v>900</v>
      </c>
      <c r="GUF6" s="31">
        <v>900</v>
      </c>
      <c r="GUG6" s="31">
        <v>900</v>
      </c>
      <c r="GUH6" s="31">
        <v>900</v>
      </c>
      <c r="GUI6" s="31">
        <v>900</v>
      </c>
      <c r="GUJ6" s="31">
        <v>900</v>
      </c>
      <c r="GUK6" s="31">
        <v>900</v>
      </c>
      <c r="GUL6" s="31">
        <v>900</v>
      </c>
      <c r="GUM6" s="31">
        <v>900</v>
      </c>
      <c r="GUN6" s="31">
        <v>900</v>
      </c>
      <c r="GUO6" s="31">
        <v>900</v>
      </c>
      <c r="GUP6" s="31">
        <v>900</v>
      </c>
      <c r="GUQ6" s="31">
        <v>900</v>
      </c>
      <c r="GUR6" s="31">
        <v>900</v>
      </c>
      <c r="GUS6" s="31">
        <v>900</v>
      </c>
      <c r="GUT6" s="31">
        <v>900</v>
      </c>
      <c r="GUU6" s="31">
        <v>900</v>
      </c>
      <c r="GUV6" s="31">
        <v>900</v>
      </c>
      <c r="GUW6" s="31">
        <v>900</v>
      </c>
      <c r="GUX6" s="31">
        <v>900</v>
      </c>
      <c r="GUY6" s="31">
        <v>900</v>
      </c>
      <c r="GUZ6" s="31">
        <v>900</v>
      </c>
      <c r="GVA6" s="31">
        <v>900</v>
      </c>
      <c r="GVB6" s="31">
        <v>900</v>
      </c>
      <c r="GVC6" s="31">
        <v>900</v>
      </c>
      <c r="GVD6" s="31">
        <v>900</v>
      </c>
      <c r="GVE6" s="31">
        <v>900</v>
      </c>
      <c r="GVF6" s="31">
        <v>900</v>
      </c>
      <c r="GVG6" s="31">
        <v>900</v>
      </c>
      <c r="GVH6" s="31">
        <v>900</v>
      </c>
      <c r="GVI6" s="31">
        <v>900</v>
      </c>
      <c r="GVJ6" s="31">
        <v>900</v>
      </c>
      <c r="GVK6" s="31">
        <v>900</v>
      </c>
      <c r="GVL6" s="31">
        <v>900</v>
      </c>
      <c r="GVM6" s="31">
        <v>900</v>
      </c>
      <c r="GVN6" s="31">
        <v>900</v>
      </c>
      <c r="GVO6" s="31">
        <v>900</v>
      </c>
      <c r="GVP6" s="31">
        <v>900</v>
      </c>
      <c r="GVQ6" s="31">
        <v>900</v>
      </c>
      <c r="GVR6" s="31">
        <v>900</v>
      </c>
      <c r="GVS6" s="31">
        <v>900</v>
      </c>
      <c r="GVT6" s="31">
        <v>900</v>
      </c>
      <c r="GVU6" s="31">
        <v>900</v>
      </c>
      <c r="GVV6" s="31">
        <v>900</v>
      </c>
      <c r="GVW6" s="31">
        <v>900</v>
      </c>
      <c r="GVX6" s="31">
        <v>900</v>
      </c>
      <c r="GVY6" s="31">
        <v>900</v>
      </c>
      <c r="GVZ6" s="31">
        <v>900</v>
      </c>
      <c r="GWA6" s="31">
        <v>900</v>
      </c>
      <c r="GWB6" s="31">
        <v>900</v>
      </c>
      <c r="GWC6" s="31">
        <v>900</v>
      </c>
      <c r="GWD6" s="31">
        <v>900</v>
      </c>
      <c r="GWE6" s="31">
        <v>900</v>
      </c>
      <c r="GWF6" s="31">
        <v>900</v>
      </c>
      <c r="GWG6" s="31">
        <v>900</v>
      </c>
      <c r="GWH6" s="31">
        <v>900</v>
      </c>
      <c r="GWI6" s="31">
        <v>900</v>
      </c>
      <c r="GWJ6" s="31">
        <v>900</v>
      </c>
      <c r="GWK6" s="31">
        <v>900</v>
      </c>
      <c r="GWL6" s="31">
        <v>900</v>
      </c>
      <c r="GWM6" s="31">
        <v>900</v>
      </c>
      <c r="GWN6" s="31">
        <v>900</v>
      </c>
      <c r="GWO6" s="31">
        <v>900</v>
      </c>
      <c r="GWP6" s="31">
        <v>900</v>
      </c>
      <c r="GWQ6" s="31">
        <v>900</v>
      </c>
      <c r="GWR6" s="31">
        <v>900</v>
      </c>
      <c r="GWS6" s="31">
        <v>900</v>
      </c>
      <c r="GWT6" s="31">
        <v>900</v>
      </c>
      <c r="GWU6" s="31">
        <v>900</v>
      </c>
      <c r="GWV6" s="31">
        <v>900</v>
      </c>
      <c r="GWW6" s="31">
        <v>900</v>
      </c>
      <c r="GWX6" s="31">
        <v>900</v>
      </c>
      <c r="GWY6" s="31">
        <v>900</v>
      </c>
      <c r="GWZ6" s="31">
        <v>900</v>
      </c>
      <c r="GXA6" s="31">
        <v>900</v>
      </c>
      <c r="GXB6" s="31">
        <v>900</v>
      </c>
      <c r="GXC6" s="31">
        <v>900</v>
      </c>
      <c r="GXD6" s="31">
        <v>900</v>
      </c>
      <c r="GXE6" s="31">
        <v>900</v>
      </c>
      <c r="GXF6" s="31">
        <v>900</v>
      </c>
      <c r="GXG6" s="31">
        <v>900</v>
      </c>
      <c r="GXH6" s="31">
        <v>900</v>
      </c>
      <c r="GXI6" s="31">
        <v>900</v>
      </c>
      <c r="GXJ6" s="31">
        <v>900</v>
      </c>
      <c r="GXK6" s="31">
        <v>900</v>
      </c>
      <c r="GXL6" s="31">
        <v>900</v>
      </c>
      <c r="GXM6" s="31">
        <v>900</v>
      </c>
      <c r="GXN6" s="31">
        <v>900</v>
      </c>
      <c r="GXO6" s="31">
        <v>900</v>
      </c>
      <c r="GXP6" s="31">
        <v>900</v>
      </c>
      <c r="GXQ6" s="31">
        <v>900</v>
      </c>
      <c r="GXR6" s="31">
        <v>900</v>
      </c>
      <c r="GXS6" s="31">
        <v>900</v>
      </c>
      <c r="GXT6" s="31">
        <v>900</v>
      </c>
      <c r="GXU6" s="31">
        <v>900</v>
      </c>
      <c r="GXV6" s="31">
        <v>900</v>
      </c>
      <c r="GXW6" s="31">
        <v>900</v>
      </c>
      <c r="GXX6" s="31">
        <v>900</v>
      </c>
      <c r="GXY6" s="31">
        <v>900</v>
      </c>
      <c r="GXZ6" s="31">
        <v>900</v>
      </c>
      <c r="GYA6" s="31">
        <v>900</v>
      </c>
      <c r="GYB6" s="31">
        <v>900</v>
      </c>
      <c r="GYC6" s="31">
        <v>900</v>
      </c>
      <c r="GYD6" s="31">
        <v>900</v>
      </c>
      <c r="GYE6" s="31">
        <v>900</v>
      </c>
      <c r="GYF6" s="31">
        <v>900</v>
      </c>
      <c r="GYG6" s="31">
        <v>900</v>
      </c>
      <c r="GYH6" s="31">
        <v>900</v>
      </c>
      <c r="GYI6" s="31">
        <v>900</v>
      </c>
      <c r="GYJ6" s="31">
        <v>900</v>
      </c>
      <c r="GYK6" s="31">
        <v>900</v>
      </c>
      <c r="GYL6" s="31">
        <v>900</v>
      </c>
      <c r="GYM6" s="31">
        <v>900</v>
      </c>
      <c r="GYN6" s="31">
        <v>900</v>
      </c>
      <c r="GYO6" s="31">
        <v>900</v>
      </c>
      <c r="GYP6" s="31">
        <v>900</v>
      </c>
      <c r="GYQ6" s="31">
        <v>900</v>
      </c>
      <c r="GYR6" s="31">
        <v>900</v>
      </c>
      <c r="GYS6" s="31">
        <v>900</v>
      </c>
      <c r="GYT6" s="31">
        <v>900</v>
      </c>
      <c r="GYU6" s="31">
        <v>900</v>
      </c>
      <c r="GYV6" s="31">
        <v>900</v>
      </c>
      <c r="GYW6" s="31">
        <v>900</v>
      </c>
      <c r="GYX6" s="31">
        <v>900</v>
      </c>
      <c r="GYY6" s="31">
        <v>900</v>
      </c>
      <c r="GYZ6" s="31">
        <v>900</v>
      </c>
      <c r="GZA6" s="31">
        <v>900</v>
      </c>
      <c r="GZB6" s="31">
        <v>900</v>
      </c>
      <c r="GZC6" s="31">
        <v>900</v>
      </c>
      <c r="GZD6" s="31">
        <v>900</v>
      </c>
      <c r="GZE6" s="31">
        <v>900</v>
      </c>
      <c r="GZF6" s="31">
        <v>900</v>
      </c>
      <c r="GZG6" s="31">
        <v>900</v>
      </c>
      <c r="GZH6" s="31">
        <v>900</v>
      </c>
      <c r="GZI6" s="31">
        <v>900</v>
      </c>
      <c r="GZJ6" s="31">
        <v>900</v>
      </c>
      <c r="GZK6" s="31">
        <v>900</v>
      </c>
      <c r="GZL6" s="31">
        <v>900</v>
      </c>
      <c r="GZM6" s="31">
        <v>900</v>
      </c>
      <c r="GZN6" s="31">
        <v>900</v>
      </c>
      <c r="GZO6" s="31">
        <v>900</v>
      </c>
      <c r="GZP6" s="31">
        <v>900</v>
      </c>
      <c r="GZQ6" s="31">
        <v>900</v>
      </c>
      <c r="GZR6" s="31">
        <v>900</v>
      </c>
      <c r="GZS6" s="31">
        <v>900</v>
      </c>
      <c r="GZT6" s="31">
        <v>900</v>
      </c>
      <c r="GZU6" s="31">
        <v>900</v>
      </c>
      <c r="GZV6" s="31">
        <v>900</v>
      </c>
      <c r="GZW6" s="31">
        <v>900</v>
      </c>
      <c r="GZX6" s="31">
        <v>900</v>
      </c>
      <c r="GZY6" s="31">
        <v>900</v>
      </c>
      <c r="GZZ6" s="31">
        <v>900</v>
      </c>
      <c r="HAA6" s="31">
        <v>900</v>
      </c>
      <c r="HAB6" s="31">
        <v>900</v>
      </c>
      <c r="HAC6" s="31">
        <v>900</v>
      </c>
      <c r="HAD6" s="31">
        <v>900</v>
      </c>
      <c r="HAE6" s="31">
        <v>900</v>
      </c>
      <c r="HAF6" s="31">
        <v>900</v>
      </c>
      <c r="HAG6" s="31">
        <v>900</v>
      </c>
      <c r="HAH6" s="31">
        <v>900</v>
      </c>
      <c r="HAI6" s="31">
        <v>900</v>
      </c>
      <c r="HAJ6" s="31">
        <v>900</v>
      </c>
      <c r="HAK6" s="31">
        <v>900</v>
      </c>
      <c r="HAL6" s="31">
        <v>900</v>
      </c>
      <c r="HAM6" s="31">
        <v>900</v>
      </c>
      <c r="HAN6" s="31">
        <v>900</v>
      </c>
      <c r="HAO6" s="31">
        <v>900</v>
      </c>
      <c r="HAP6" s="31">
        <v>900</v>
      </c>
      <c r="HAQ6" s="31">
        <v>900</v>
      </c>
      <c r="HAR6" s="31">
        <v>900</v>
      </c>
      <c r="HAS6" s="31">
        <v>900</v>
      </c>
      <c r="HAT6" s="31">
        <v>900</v>
      </c>
      <c r="HAU6" s="31">
        <v>900</v>
      </c>
      <c r="HAV6" s="31">
        <v>900</v>
      </c>
      <c r="HAW6" s="31">
        <v>900</v>
      </c>
      <c r="HAX6" s="31">
        <v>900</v>
      </c>
      <c r="HAY6" s="31">
        <v>900</v>
      </c>
      <c r="HAZ6" s="31">
        <v>900</v>
      </c>
      <c r="HBA6" s="31">
        <v>900</v>
      </c>
      <c r="HBB6" s="31">
        <v>900</v>
      </c>
      <c r="HBC6" s="31">
        <v>900</v>
      </c>
      <c r="HBD6" s="31">
        <v>900</v>
      </c>
      <c r="HBE6" s="31">
        <v>900</v>
      </c>
      <c r="HBF6" s="31">
        <v>900</v>
      </c>
      <c r="HBG6" s="31">
        <v>900</v>
      </c>
      <c r="HBH6" s="31">
        <v>900</v>
      </c>
      <c r="HBI6" s="31">
        <v>900</v>
      </c>
      <c r="HBJ6" s="31">
        <v>900</v>
      </c>
      <c r="HBK6" s="31">
        <v>900</v>
      </c>
      <c r="HBL6" s="31">
        <v>900</v>
      </c>
      <c r="HBM6" s="31">
        <v>900</v>
      </c>
      <c r="HBN6" s="31">
        <v>900</v>
      </c>
      <c r="HBO6" s="31">
        <v>900</v>
      </c>
      <c r="HBP6" s="31">
        <v>900</v>
      </c>
      <c r="HBQ6" s="31">
        <v>900</v>
      </c>
      <c r="HBR6" s="31">
        <v>900</v>
      </c>
      <c r="HBS6" s="31">
        <v>900</v>
      </c>
      <c r="HBT6" s="31">
        <v>900</v>
      </c>
      <c r="HBU6" s="31">
        <v>900</v>
      </c>
      <c r="HBV6" s="31">
        <v>900</v>
      </c>
      <c r="HBW6" s="31">
        <v>900</v>
      </c>
      <c r="HBX6" s="31">
        <v>900</v>
      </c>
      <c r="HBY6" s="31">
        <v>900</v>
      </c>
      <c r="HBZ6" s="31">
        <v>900</v>
      </c>
      <c r="HCA6" s="31">
        <v>900</v>
      </c>
      <c r="HCB6" s="31">
        <v>900</v>
      </c>
      <c r="HCC6" s="31">
        <v>900</v>
      </c>
      <c r="HCD6" s="31">
        <v>900</v>
      </c>
      <c r="HCE6" s="31">
        <v>900</v>
      </c>
      <c r="HCF6" s="31">
        <v>900</v>
      </c>
      <c r="HCG6" s="31">
        <v>900</v>
      </c>
      <c r="HCH6" s="31">
        <v>900</v>
      </c>
      <c r="HCI6" s="31">
        <v>900</v>
      </c>
      <c r="HCJ6" s="31">
        <v>900</v>
      </c>
      <c r="HCK6" s="31">
        <v>900</v>
      </c>
      <c r="HCL6" s="31">
        <v>900</v>
      </c>
      <c r="HCM6" s="31">
        <v>900</v>
      </c>
      <c r="HCN6" s="31">
        <v>900</v>
      </c>
      <c r="HCO6" s="31">
        <v>900</v>
      </c>
      <c r="HCP6" s="31">
        <v>900</v>
      </c>
      <c r="HCQ6" s="31">
        <v>900</v>
      </c>
      <c r="HCR6" s="31">
        <v>900</v>
      </c>
      <c r="HCS6" s="31">
        <v>900</v>
      </c>
      <c r="HCT6" s="31">
        <v>900</v>
      </c>
      <c r="HCU6" s="31">
        <v>900</v>
      </c>
      <c r="HCV6" s="31">
        <v>900</v>
      </c>
      <c r="HCW6" s="31">
        <v>900</v>
      </c>
      <c r="HCX6" s="31">
        <v>900</v>
      </c>
      <c r="HCY6" s="31">
        <v>900</v>
      </c>
      <c r="HCZ6" s="31">
        <v>900</v>
      </c>
      <c r="HDA6" s="31">
        <v>900</v>
      </c>
      <c r="HDB6" s="31">
        <v>900</v>
      </c>
      <c r="HDC6" s="31">
        <v>900</v>
      </c>
      <c r="HDD6" s="31">
        <v>900</v>
      </c>
      <c r="HDE6" s="31">
        <v>900</v>
      </c>
      <c r="HDF6" s="31">
        <v>900</v>
      </c>
      <c r="HDG6" s="31">
        <v>900</v>
      </c>
      <c r="HDH6" s="31">
        <v>900</v>
      </c>
      <c r="HDI6" s="31">
        <v>900</v>
      </c>
      <c r="HDJ6" s="31">
        <v>900</v>
      </c>
      <c r="HDK6" s="31">
        <v>900</v>
      </c>
      <c r="HDL6" s="31">
        <v>900</v>
      </c>
      <c r="HDM6" s="31">
        <v>900</v>
      </c>
      <c r="HDN6" s="31">
        <v>900</v>
      </c>
      <c r="HDO6" s="31">
        <v>900</v>
      </c>
      <c r="HDP6" s="31">
        <v>900</v>
      </c>
      <c r="HDQ6" s="31">
        <v>900</v>
      </c>
      <c r="HDR6" s="31">
        <v>900</v>
      </c>
      <c r="HDS6" s="31">
        <v>900</v>
      </c>
      <c r="HDT6" s="31">
        <v>900</v>
      </c>
      <c r="HDU6" s="31">
        <v>900</v>
      </c>
      <c r="HDV6" s="31">
        <v>900</v>
      </c>
      <c r="HDW6" s="31">
        <v>900</v>
      </c>
      <c r="HDX6" s="31">
        <v>900</v>
      </c>
      <c r="HDY6" s="31">
        <v>900</v>
      </c>
      <c r="HDZ6" s="31">
        <v>900</v>
      </c>
      <c r="HEA6" s="31">
        <v>900</v>
      </c>
      <c r="HEB6" s="31">
        <v>900</v>
      </c>
      <c r="HEC6" s="31">
        <v>900</v>
      </c>
      <c r="HED6" s="31">
        <v>900</v>
      </c>
      <c r="HEE6" s="31">
        <v>900</v>
      </c>
      <c r="HEF6" s="31">
        <v>900</v>
      </c>
      <c r="HEG6" s="31">
        <v>900</v>
      </c>
      <c r="HEH6" s="31">
        <v>900</v>
      </c>
      <c r="HEI6" s="31">
        <v>900</v>
      </c>
      <c r="HEJ6" s="31">
        <v>900</v>
      </c>
      <c r="HEK6" s="31">
        <v>900</v>
      </c>
      <c r="HEL6" s="31">
        <v>900</v>
      </c>
      <c r="HEM6" s="31">
        <v>900</v>
      </c>
      <c r="HEN6" s="31">
        <v>900</v>
      </c>
      <c r="HEO6" s="31">
        <v>900</v>
      </c>
      <c r="HEP6" s="31">
        <v>900</v>
      </c>
      <c r="HEQ6" s="31">
        <v>900</v>
      </c>
      <c r="HER6" s="31">
        <v>900</v>
      </c>
      <c r="HES6" s="31">
        <v>900</v>
      </c>
      <c r="HET6" s="31">
        <v>900</v>
      </c>
      <c r="HEU6" s="31">
        <v>900</v>
      </c>
      <c r="HEV6" s="31">
        <v>900</v>
      </c>
      <c r="HEW6" s="31">
        <v>900</v>
      </c>
      <c r="HEX6" s="31">
        <v>900</v>
      </c>
      <c r="HEY6" s="31">
        <v>900</v>
      </c>
      <c r="HEZ6" s="31">
        <v>900</v>
      </c>
      <c r="HFA6" s="31">
        <v>900</v>
      </c>
      <c r="HFB6" s="31">
        <v>900</v>
      </c>
      <c r="HFC6" s="31">
        <v>900</v>
      </c>
      <c r="HFD6" s="31">
        <v>900</v>
      </c>
      <c r="HFE6" s="31">
        <v>900</v>
      </c>
      <c r="HFF6" s="31">
        <v>900</v>
      </c>
      <c r="HFG6" s="31">
        <v>900</v>
      </c>
      <c r="HFH6" s="31">
        <v>900</v>
      </c>
      <c r="HFI6" s="31">
        <v>900</v>
      </c>
      <c r="HFJ6" s="31">
        <v>900</v>
      </c>
      <c r="HFK6" s="31">
        <v>900</v>
      </c>
      <c r="HFL6" s="31">
        <v>900</v>
      </c>
      <c r="HFM6" s="31">
        <v>900</v>
      </c>
      <c r="HFN6" s="31">
        <v>900</v>
      </c>
      <c r="HFO6" s="31">
        <v>900</v>
      </c>
      <c r="HFP6" s="31">
        <v>900</v>
      </c>
      <c r="HFQ6" s="31">
        <v>900</v>
      </c>
      <c r="HFR6" s="31">
        <v>900</v>
      </c>
      <c r="HFS6" s="31">
        <v>900</v>
      </c>
      <c r="HFT6" s="31">
        <v>900</v>
      </c>
      <c r="HFU6" s="31">
        <v>900</v>
      </c>
      <c r="HFV6" s="31">
        <v>900</v>
      </c>
      <c r="HFW6" s="31">
        <v>900</v>
      </c>
      <c r="HFX6" s="31">
        <v>900</v>
      </c>
      <c r="HFY6" s="31">
        <v>900</v>
      </c>
      <c r="HFZ6" s="31">
        <v>900</v>
      </c>
      <c r="HGA6" s="31">
        <v>900</v>
      </c>
      <c r="HGB6" s="31">
        <v>900</v>
      </c>
      <c r="HGC6" s="31">
        <v>900</v>
      </c>
      <c r="HGD6" s="31">
        <v>900</v>
      </c>
      <c r="HGE6" s="31">
        <v>900</v>
      </c>
      <c r="HGF6" s="31">
        <v>900</v>
      </c>
      <c r="HGG6" s="31">
        <v>900</v>
      </c>
      <c r="HGH6" s="31">
        <v>900</v>
      </c>
      <c r="HGI6" s="31">
        <v>900</v>
      </c>
      <c r="HGJ6" s="31">
        <v>900</v>
      </c>
      <c r="HGK6" s="31">
        <v>900</v>
      </c>
      <c r="HGL6" s="31">
        <v>900</v>
      </c>
      <c r="HGM6" s="31">
        <v>900</v>
      </c>
      <c r="HGN6" s="31">
        <v>900</v>
      </c>
      <c r="HGO6" s="31">
        <v>900</v>
      </c>
      <c r="HGP6" s="31">
        <v>900</v>
      </c>
      <c r="HGQ6" s="31">
        <v>900</v>
      </c>
      <c r="HGR6" s="31">
        <v>900</v>
      </c>
      <c r="HGS6" s="31">
        <v>900</v>
      </c>
      <c r="HGT6" s="31">
        <v>900</v>
      </c>
      <c r="HGU6" s="31">
        <v>900</v>
      </c>
      <c r="HGV6" s="31">
        <v>900</v>
      </c>
      <c r="HGW6" s="31">
        <v>900</v>
      </c>
      <c r="HGX6" s="31">
        <v>900</v>
      </c>
      <c r="HGY6" s="31">
        <v>900</v>
      </c>
      <c r="HGZ6" s="31">
        <v>900</v>
      </c>
      <c r="HHA6" s="31">
        <v>900</v>
      </c>
      <c r="HHB6" s="31">
        <v>900</v>
      </c>
      <c r="HHC6" s="31">
        <v>900</v>
      </c>
      <c r="HHD6" s="31">
        <v>900</v>
      </c>
      <c r="HHE6" s="31">
        <v>900</v>
      </c>
      <c r="HHF6" s="31">
        <v>900</v>
      </c>
      <c r="HHG6" s="31">
        <v>900</v>
      </c>
      <c r="HHH6" s="31">
        <v>900</v>
      </c>
      <c r="HHI6" s="31">
        <v>900</v>
      </c>
      <c r="HHJ6" s="31">
        <v>900</v>
      </c>
      <c r="HHK6" s="31">
        <v>900</v>
      </c>
      <c r="HHL6" s="31">
        <v>900</v>
      </c>
      <c r="HHM6" s="31">
        <v>900</v>
      </c>
      <c r="HHN6" s="31">
        <v>900</v>
      </c>
      <c r="HHO6" s="31">
        <v>900</v>
      </c>
      <c r="HHP6" s="31">
        <v>900</v>
      </c>
      <c r="HHQ6" s="31">
        <v>900</v>
      </c>
      <c r="HHR6" s="31">
        <v>900</v>
      </c>
      <c r="HHS6" s="31">
        <v>900</v>
      </c>
      <c r="HHT6" s="31">
        <v>900</v>
      </c>
      <c r="HHU6" s="31">
        <v>900</v>
      </c>
      <c r="HHV6" s="31">
        <v>900</v>
      </c>
      <c r="HHW6" s="31">
        <v>900</v>
      </c>
      <c r="HHX6" s="31">
        <v>900</v>
      </c>
      <c r="HHY6" s="31">
        <v>900</v>
      </c>
      <c r="HHZ6" s="31">
        <v>900</v>
      </c>
      <c r="HIA6" s="31">
        <v>900</v>
      </c>
      <c r="HIB6" s="31">
        <v>900</v>
      </c>
      <c r="HIC6" s="31">
        <v>900</v>
      </c>
      <c r="HID6" s="31">
        <v>900</v>
      </c>
      <c r="HIE6" s="31">
        <v>900</v>
      </c>
      <c r="HIF6" s="31">
        <v>900</v>
      </c>
      <c r="HIG6" s="31">
        <v>900</v>
      </c>
      <c r="HIH6" s="31">
        <v>900</v>
      </c>
      <c r="HII6" s="31">
        <v>900</v>
      </c>
      <c r="HIJ6" s="31">
        <v>900</v>
      </c>
      <c r="HIK6" s="31">
        <v>900</v>
      </c>
      <c r="HIL6" s="31">
        <v>900</v>
      </c>
      <c r="HIM6" s="31">
        <v>900</v>
      </c>
      <c r="HIN6" s="31">
        <v>900</v>
      </c>
      <c r="HIO6" s="31">
        <v>900</v>
      </c>
      <c r="HIP6" s="31">
        <v>900</v>
      </c>
      <c r="HIQ6" s="31">
        <v>900</v>
      </c>
      <c r="HIR6" s="31">
        <v>900</v>
      </c>
      <c r="HIS6" s="31">
        <v>900</v>
      </c>
      <c r="HIT6" s="31">
        <v>900</v>
      </c>
      <c r="HIU6" s="31">
        <v>900</v>
      </c>
      <c r="HIV6" s="31">
        <v>900</v>
      </c>
      <c r="HIW6" s="31">
        <v>900</v>
      </c>
      <c r="HIX6" s="31">
        <v>900</v>
      </c>
      <c r="HIY6" s="31">
        <v>900</v>
      </c>
      <c r="HIZ6" s="31">
        <v>900</v>
      </c>
      <c r="HJA6" s="31">
        <v>900</v>
      </c>
      <c r="HJB6" s="31">
        <v>900</v>
      </c>
      <c r="HJC6" s="31">
        <v>900</v>
      </c>
      <c r="HJD6" s="31">
        <v>900</v>
      </c>
      <c r="HJE6" s="31">
        <v>900</v>
      </c>
      <c r="HJF6" s="31">
        <v>900</v>
      </c>
      <c r="HJG6" s="31">
        <v>900</v>
      </c>
      <c r="HJH6" s="31">
        <v>900</v>
      </c>
      <c r="HJI6" s="31">
        <v>900</v>
      </c>
      <c r="HJJ6" s="31">
        <v>900</v>
      </c>
      <c r="HJK6" s="31">
        <v>900</v>
      </c>
      <c r="HJL6" s="31">
        <v>900</v>
      </c>
      <c r="HJM6" s="31">
        <v>900</v>
      </c>
      <c r="HJN6" s="31">
        <v>900</v>
      </c>
      <c r="HJO6" s="31">
        <v>900</v>
      </c>
      <c r="HJP6" s="31">
        <v>900</v>
      </c>
      <c r="HJQ6" s="31">
        <v>900</v>
      </c>
      <c r="HJR6" s="31">
        <v>900</v>
      </c>
      <c r="HJS6" s="31">
        <v>900</v>
      </c>
      <c r="HJT6" s="31">
        <v>900</v>
      </c>
      <c r="HJU6" s="31">
        <v>900</v>
      </c>
      <c r="HJV6" s="31">
        <v>900</v>
      </c>
      <c r="HJW6" s="31">
        <v>900</v>
      </c>
      <c r="HJX6" s="31">
        <v>900</v>
      </c>
      <c r="HJY6" s="31">
        <v>900</v>
      </c>
      <c r="HJZ6" s="31">
        <v>900</v>
      </c>
      <c r="HKA6" s="31">
        <v>900</v>
      </c>
      <c r="HKB6" s="31">
        <v>900</v>
      </c>
      <c r="HKC6" s="31">
        <v>900</v>
      </c>
      <c r="HKD6" s="31">
        <v>900</v>
      </c>
      <c r="HKE6" s="31">
        <v>900</v>
      </c>
      <c r="HKF6" s="31">
        <v>900</v>
      </c>
      <c r="HKG6" s="31">
        <v>900</v>
      </c>
      <c r="HKH6" s="31">
        <v>900</v>
      </c>
      <c r="HKI6" s="31">
        <v>900</v>
      </c>
      <c r="HKJ6" s="31">
        <v>900</v>
      </c>
      <c r="HKK6" s="31">
        <v>900</v>
      </c>
      <c r="HKL6" s="31">
        <v>900</v>
      </c>
      <c r="HKM6" s="31">
        <v>900</v>
      </c>
      <c r="HKN6" s="31">
        <v>900</v>
      </c>
      <c r="HKO6" s="31">
        <v>900</v>
      </c>
      <c r="HKP6" s="31">
        <v>900</v>
      </c>
      <c r="HKQ6" s="31">
        <v>900</v>
      </c>
      <c r="HKR6" s="31">
        <v>900</v>
      </c>
      <c r="HKS6" s="31">
        <v>900</v>
      </c>
      <c r="HKT6" s="31">
        <v>900</v>
      </c>
      <c r="HKU6" s="31">
        <v>900</v>
      </c>
      <c r="HKV6" s="31">
        <v>900</v>
      </c>
      <c r="HKW6" s="31">
        <v>900</v>
      </c>
      <c r="HKX6" s="31">
        <v>900</v>
      </c>
      <c r="HKY6" s="31">
        <v>900</v>
      </c>
      <c r="HKZ6" s="31">
        <v>900</v>
      </c>
      <c r="HLA6" s="31">
        <v>900</v>
      </c>
      <c r="HLB6" s="31">
        <v>900</v>
      </c>
      <c r="HLC6" s="31">
        <v>900</v>
      </c>
      <c r="HLD6" s="31">
        <v>900</v>
      </c>
      <c r="HLE6" s="31">
        <v>900</v>
      </c>
      <c r="HLF6" s="31">
        <v>900</v>
      </c>
      <c r="HLG6" s="31">
        <v>900</v>
      </c>
      <c r="HLH6" s="31">
        <v>900</v>
      </c>
      <c r="HLI6" s="31">
        <v>900</v>
      </c>
      <c r="HLJ6" s="31">
        <v>900</v>
      </c>
      <c r="HLK6" s="31">
        <v>900</v>
      </c>
      <c r="HLL6" s="31">
        <v>900</v>
      </c>
      <c r="HLM6" s="31">
        <v>900</v>
      </c>
      <c r="HLN6" s="31">
        <v>900</v>
      </c>
      <c r="HLO6" s="31">
        <v>900</v>
      </c>
      <c r="HLP6" s="31">
        <v>900</v>
      </c>
      <c r="HLQ6" s="31">
        <v>900</v>
      </c>
      <c r="HLR6" s="31">
        <v>900</v>
      </c>
      <c r="HLS6" s="31">
        <v>900</v>
      </c>
      <c r="HLT6" s="31">
        <v>900</v>
      </c>
      <c r="HLU6" s="31">
        <v>900</v>
      </c>
      <c r="HLV6" s="31">
        <v>900</v>
      </c>
      <c r="HLW6" s="31">
        <v>900</v>
      </c>
      <c r="HLX6" s="31">
        <v>900</v>
      </c>
      <c r="HLY6" s="31">
        <v>900</v>
      </c>
      <c r="HLZ6" s="31">
        <v>900</v>
      </c>
      <c r="HMA6" s="31">
        <v>900</v>
      </c>
      <c r="HMB6" s="31">
        <v>900</v>
      </c>
      <c r="HMC6" s="31">
        <v>900</v>
      </c>
      <c r="HMD6" s="31">
        <v>900</v>
      </c>
      <c r="HME6" s="31">
        <v>900</v>
      </c>
      <c r="HMF6" s="31">
        <v>900</v>
      </c>
      <c r="HMG6" s="31">
        <v>900</v>
      </c>
      <c r="HMH6" s="31">
        <v>900</v>
      </c>
      <c r="HMI6" s="31">
        <v>900</v>
      </c>
      <c r="HMJ6" s="31">
        <v>900</v>
      </c>
      <c r="HMK6" s="31">
        <v>900</v>
      </c>
      <c r="HML6" s="31">
        <v>900</v>
      </c>
      <c r="HMM6" s="31">
        <v>900</v>
      </c>
      <c r="HMN6" s="31">
        <v>900</v>
      </c>
      <c r="HMO6" s="31">
        <v>900</v>
      </c>
      <c r="HMP6" s="31">
        <v>900</v>
      </c>
      <c r="HMQ6" s="31">
        <v>900</v>
      </c>
      <c r="HMR6" s="31">
        <v>900</v>
      </c>
      <c r="HMS6" s="31">
        <v>900</v>
      </c>
      <c r="HMT6" s="31">
        <v>900</v>
      </c>
      <c r="HMU6" s="31">
        <v>900</v>
      </c>
      <c r="HMV6" s="31">
        <v>900</v>
      </c>
      <c r="HMW6" s="31">
        <v>900</v>
      </c>
      <c r="HMX6" s="31">
        <v>900</v>
      </c>
      <c r="HMY6" s="31">
        <v>900</v>
      </c>
      <c r="HMZ6" s="31">
        <v>900</v>
      </c>
      <c r="HNA6" s="31">
        <v>900</v>
      </c>
      <c r="HNB6" s="31">
        <v>900</v>
      </c>
      <c r="HNC6" s="31">
        <v>900</v>
      </c>
      <c r="HND6" s="31">
        <v>900</v>
      </c>
      <c r="HNE6" s="31">
        <v>900</v>
      </c>
      <c r="HNF6" s="31">
        <v>900</v>
      </c>
      <c r="HNG6" s="31">
        <v>900</v>
      </c>
      <c r="HNH6" s="31">
        <v>900</v>
      </c>
      <c r="HNI6" s="31">
        <v>900</v>
      </c>
      <c r="HNJ6" s="31">
        <v>900</v>
      </c>
      <c r="HNK6" s="31">
        <v>900</v>
      </c>
      <c r="HNL6" s="31">
        <v>900</v>
      </c>
      <c r="HNM6" s="31">
        <v>900</v>
      </c>
      <c r="HNN6" s="31">
        <v>900</v>
      </c>
      <c r="HNO6" s="31">
        <v>900</v>
      </c>
      <c r="HNP6" s="31">
        <v>900</v>
      </c>
      <c r="HNQ6" s="31">
        <v>900</v>
      </c>
      <c r="HNR6" s="31">
        <v>900</v>
      </c>
      <c r="HNS6" s="31">
        <v>900</v>
      </c>
      <c r="HNT6" s="31">
        <v>900</v>
      </c>
      <c r="HNU6" s="31">
        <v>900</v>
      </c>
      <c r="HNV6" s="31">
        <v>900</v>
      </c>
      <c r="HNW6" s="31">
        <v>900</v>
      </c>
      <c r="HNX6" s="31">
        <v>900</v>
      </c>
      <c r="HNY6" s="31">
        <v>900</v>
      </c>
      <c r="HNZ6" s="31">
        <v>900</v>
      </c>
      <c r="HOA6" s="31">
        <v>900</v>
      </c>
      <c r="HOB6" s="31">
        <v>900</v>
      </c>
      <c r="HOC6" s="31">
        <v>900</v>
      </c>
      <c r="HOD6" s="31">
        <v>900</v>
      </c>
      <c r="HOE6" s="31">
        <v>900</v>
      </c>
      <c r="HOF6" s="31">
        <v>900</v>
      </c>
      <c r="HOG6" s="31">
        <v>900</v>
      </c>
      <c r="HOH6" s="31">
        <v>900</v>
      </c>
      <c r="HOI6" s="31">
        <v>900</v>
      </c>
      <c r="HOJ6" s="31">
        <v>900</v>
      </c>
      <c r="HOK6" s="31">
        <v>900</v>
      </c>
      <c r="HOL6" s="31">
        <v>900</v>
      </c>
      <c r="HOM6" s="31">
        <v>900</v>
      </c>
      <c r="HON6" s="31">
        <v>900</v>
      </c>
      <c r="HOO6" s="31">
        <v>900</v>
      </c>
      <c r="HOP6" s="31">
        <v>900</v>
      </c>
      <c r="HOQ6" s="31">
        <v>900</v>
      </c>
      <c r="HOR6" s="31">
        <v>900</v>
      </c>
      <c r="HOS6" s="31">
        <v>900</v>
      </c>
      <c r="HOT6" s="31">
        <v>900</v>
      </c>
      <c r="HOU6" s="31">
        <v>900</v>
      </c>
      <c r="HOV6" s="31">
        <v>900</v>
      </c>
      <c r="HOW6" s="31">
        <v>900</v>
      </c>
      <c r="HOX6" s="31">
        <v>900</v>
      </c>
      <c r="HOY6" s="31">
        <v>900</v>
      </c>
      <c r="HOZ6" s="31">
        <v>900</v>
      </c>
      <c r="HPA6" s="31">
        <v>900</v>
      </c>
      <c r="HPB6" s="31">
        <v>900</v>
      </c>
      <c r="HPC6" s="31">
        <v>900</v>
      </c>
      <c r="HPD6" s="31">
        <v>900</v>
      </c>
      <c r="HPE6" s="31">
        <v>900</v>
      </c>
      <c r="HPF6" s="31">
        <v>900</v>
      </c>
      <c r="HPG6" s="31">
        <v>900</v>
      </c>
      <c r="HPH6" s="31">
        <v>900</v>
      </c>
      <c r="HPI6" s="31">
        <v>900</v>
      </c>
      <c r="HPJ6" s="31">
        <v>900</v>
      </c>
      <c r="HPK6" s="31">
        <v>900</v>
      </c>
      <c r="HPL6" s="31">
        <v>900</v>
      </c>
      <c r="HPM6" s="31">
        <v>900</v>
      </c>
      <c r="HPN6" s="31">
        <v>900</v>
      </c>
      <c r="HPO6" s="31">
        <v>900</v>
      </c>
      <c r="HPP6" s="31">
        <v>900</v>
      </c>
      <c r="HPQ6" s="31">
        <v>900</v>
      </c>
      <c r="HPR6" s="31">
        <v>900</v>
      </c>
      <c r="HPS6" s="31">
        <v>900</v>
      </c>
      <c r="HPT6" s="31">
        <v>900</v>
      </c>
      <c r="HPU6" s="31">
        <v>900</v>
      </c>
      <c r="HPV6" s="31">
        <v>900</v>
      </c>
      <c r="HPW6" s="31">
        <v>900</v>
      </c>
      <c r="HPX6" s="31">
        <v>900</v>
      </c>
      <c r="HPY6" s="31">
        <v>900</v>
      </c>
      <c r="HPZ6" s="31">
        <v>900</v>
      </c>
      <c r="HQA6" s="31">
        <v>900</v>
      </c>
      <c r="HQB6" s="31">
        <v>900</v>
      </c>
      <c r="HQC6" s="31">
        <v>900</v>
      </c>
      <c r="HQD6" s="31">
        <v>900</v>
      </c>
      <c r="HQE6" s="31">
        <v>900</v>
      </c>
      <c r="HQF6" s="31">
        <v>900</v>
      </c>
      <c r="HQG6" s="31">
        <v>900</v>
      </c>
      <c r="HQH6" s="31">
        <v>900</v>
      </c>
      <c r="HQI6" s="31">
        <v>900</v>
      </c>
      <c r="HQJ6" s="31">
        <v>900</v>
      </c>
      <c r="HQK6" s="31">
        <v>900</v>
      </c>
      <c r="HQL6" s="31">
        <v>900</v>
      </c>
      <c r="HQM6" s="31">
        <v>900</v>
      </c>
      <c r="HQN6" s="31">
        <v>900</v>
      </c>
      <c r="HQO6" s="31">
        <v>900</v>
      </c>
      <c r="HQP6" s="31">
        <v>900</v>
      </c>
      <c r="HQQ6" s="31">
        <v>900</v>
      </c>
      <c r="HQR6" s="31">
        <v>900</v>
      </c>
      <c r="HQS6" s="31">
        <v>900</v>
      </c>
      <c r="HQT6" s="31">
        <v>900</v>
      </c>
      <c r="HQU6" s="31">
        <v>900</v>
      </c>
      <c r="HQV6" s="31">
        <v>900</v>
      </c>
      <c r="HQW6" s="31">
        <v>900</v>
      </c>
      <c r="HQX6" s="31">
        <v>900</v>
      </c>
      <c r="HQY6" s="31">
        <v>900</v>
      </c>
      <c r="HQZ6" s="31">
        <v>900</v>
      </c>
      <c r="HRA6" s="31">
        <v>900</v>
      </c>
      <c r="HRB6" s="31">
        <v>900</v>
      </c>
      <c r="HRC6" s="31">
        <v>900</v>
      </c>
      <c r="HRD6" s="31">
        <v>900</v>
      </c>
      <c r="HRE6" s="31">
        <v>900</v>
      </c>
      <c r="HRF6" s="31">
        <v>900</v>
      </c>
      <c r="HRG6" s="31">
        <v>900</v>
      </c>
      <c r="HRH6" s="31">
        <v>900</v>
      </c>
      <c r="HRI6" s="31">
        <v>900</v>
      </c>
      <c r="HRJ6" s="31">
        <v>900</v>
      </c>
      <c r="HRK6" s="31">
        <v>900</v>
      </c>
      <c r="HRL6" s="31">
        <v>900</v>
      </c>
      <c r="HRM6" s="31">
        <v>900</v>
      </c>
      <c r="HRN6" s="31">
        <v>900</v>
      </c>
      <c r="HRO6" s="31">
        <v>900</v>
      </c>
      <c r="HRP6" s="31">
        <v>900</v>
      </c>
      <c r="HRQ6" s="31">
        <v>900</v>
      </c>
      <c r="HRR6" s="31">
        <v>900</v>
      </c>
      <c r="HRS6" s="31">
        <v>900</v>
      </c>
      <c r="HRT6" s="31">
        <v>900</v>
      </c>
      <c r="HRU6" s="31">
        <v>900</v>
      </c>
      <c r="HRV6" s="31">
        <v>900</v>
      </c>
      <c r="HRW6" s="31">
        <v>900</v>
      </c>
      <c r="HRX6" s="31">
        <v>900</v>
      </c>
      <c r="HRY6" s="31">
        <v>900</v>
      </c>
      <c r="HRZ6" s="31">
        <v>900</v>
      </c>
      <c r="HSA6" s="31">
        <v>900</v>
      </c>
      <c r="HSB6" s="31">
        <v>900</v>
      </c>
      <c r="HSC6" s="31">
        <v>900</v>
      </c>
      <c r="HSD6" s="31">
        <v>900</v>
      </c>
      <c r="HSE6" s="31">
        <v>900</v>
      </c>
      <c r="HSF6" s="31">
        <v>900</v>
      </c>
      <c r="HSG6" s="31">
        <v>900</v>
      </c>
      <c r="HSH6" s="31">
        <v>900</v>
      </c>
      <c r="HSI6" s="31">
        <v>900</v>
      </c>
      <c r="HSJ6" s="31">
        <v>900</v>
      </c>
      <c r="HSK6" s="31">
        <v>900</v>
      </c>
      <c r="HSL6" s="31">
        <v>900</v>
      </c>
      <c r="HSM6" s="31">
        <v>900</v>
      </c>
      <c r="HSN6" s="31">
        <v>900</v>
      </c>
      <c r="HSO6" s="31">
        <v>900</v>
      </c>
      <c r="HSP6" s="31">
        <v>900</v>
      </c>
      <c r="HSQ6" s="31">
        <v>900</v>
      </c>
      <c r="HSR6" s="31">
        <v>900</v>
      </c>
      <c r="HSS6" s="31">
        <v>900</v>
      </c>
      <c r="HST6" s="31">
        <v>900</v>
      </c>
      <c r="HSU6" s="31">
        <v>900</v>
      </c>
      <c r="HSV6" s="31">
        <v>900</v>
      </c>
      <c r="HSW6" s="31">
        <v>900</v>
      </c>
      <c r="HSX6" s="31">
        <v>900</v>
      </c>
      <c r="HSY6" s="31">
        <v>900</v>
      </c>
      <c r="HSZ6" s="31">
        <v>900</v>
      </c>
      <c r="HTA6" s="31">
        <v>900</v>
      </c>
      <c r="HTB6" s="31">
        <v>900</v>
      </c>
      <c r="HTC6" s="31">
        <v>900</v>
      </c>
      <c r="HTD6" s="31">
        <v>900</v>
      </c>
      <c r="HTE6" s="31">
        <v>900</v>
      </c>
      <c r="HTF6" s="31">
        <v>900</v>
      </c>
      <c r="HTG6" s="31">
        <v>900</v>
      </c>
      <c r="HTH6" s="31">
        <v>900</v>
      </c>
      <c r="HTI6" s="31">
        <v>900</v>
      </c>
      <c r="HTJ6" s="31">
        <v>900</v>
      </c>
      <c r="HTK6" s="31">
        <v>900</v>
      </c>
      <c r="HTL6" s="31">
        <v>900</v>
      </c>
      <c r="HTM6" s="31">
        <v>900</v>
      </c>
      <c r="HTN6" s="31">
        <v>900</v>
      </c>
      <c r="HTO6" s="31">
        <v>900</v>
      </c>
      <c r="HTP6" s="31">
        <v>900</v>
      </c>
      <c r="HTQ6" s="31">
        <v>900</v>
      </c>
      <c r="HTR6" s="31">
        <v>900</v>
      </c>
      <c r="HTS6" s="31">
        <v>900</v>
      </c>
      <c r="HTT6" s="31">
        <v>900</v>
      </c>
      <c r="HTU6" s="31">
        <v>900</v>
      </c>
      <c r="HTV6" s="31">
        <v>900</v>
      </c>
      <c r="HTW6" s="31">
        <v>900</v>
      </c>
      <c r="HTX6" s="31">
        <v>900</v>
      </c>
      <c r="HTY6" s="31">
        <v>900</v>
      </c>
      <c r="HTZ6" s="31">
        <v>900</v>
      </c>
      <c r="HUA6" s="31">
        <v>900</v>
      </c>
      <c r="HUB6" s="31">
        <v>900</v>
      </c>
      <c r="HUC6" s="31">
        <v>900</v>
      </c>
      <c r="HUD6" s="31">
        <v>900</v>
      </c>
      <c r="HUE6" s="31">
        <v>900</v>
      </c>
      <c r="HUF6" s="31">
        <v>900</v>
      </c>
      <c r="HUG6" s="31">
        <v>900</v>
      </c>
      <c r="HUH6" s="31">
        <v>900</v>
      </c>
      <c r="HUI6" s="31">
        <v>900</v>
      </c>
      <c r="HUJ6" s="31">
        <v>900</v>
      </c>
      <c r="HUK6" s="31">
        <v>900</v>
      </c>
      <c r="HUL6" s="31">
        <v>900</v>
      </c>
      <c r="HUM6" s="31">
        <v>900</v>
      </c>
      <c r="HUN6" s="31">
        <v>900</v>
      </c>
      <c r="HUO6" s="31">
        <v>900</v>
      </c>
      <c r="HUP6" s="31">
        <v>900</v>
      </c>
      <c r="HUQ6" s="31">
        <v>900</v>
      </c>
      <c r="HUR6" s="31">
        <v>900</v>
      </c>
      <c r="HUS6" s="31">
        <v>900</v>
      </c>
      <c r="HUT6" s="31">
        <v>900</v>
      </c>
      <c r="HUU6" s="31">
        <v>900</v>
      </c>
      <c r="HUV6" s="31">
        <v>900</v>
      </c>
      <c r="HUW6" s="31">
        <v>900</v>
      </c>
      <c r="HUX6" s="31">
        <v>900</v>
      </c>
      <c r="HUY6" s="31">
        <v>900</v>
      </c>
      <c r="HUZ6" s="31">
        <v>900</v>
      </c>
      <c r="HVA6" s="31">
        <v>900</v>
      </c>
      <c r="HVB6" s="31">
        <v>900</v>
      </c>
      <c r="HVC6" s="31">
        <v>900</v>
      </c>
      <c r="HVD6" s="31">
        <v>900</v>
      </c>
      <c r="HVE6" s="31">
        <v>900</v>
      </c>
      <c r="HVF6" s="31">
        <v>900</v>
      </c>
      <c r="HVG6" s="31">
        <v>900</v>
      </c>
      <c r="HVH6" s="31">
        <v>900</v>
      </c>
      <c r="HVI6" s="31">
        <v>900</v>
      </c>
      <c r="HVJ6" s="31">
        <v>900</v>
      </c>
      <c r="HVK6" s="31">
        <v>900</v>
      </c>
      <c r="HVL6" s="31">
        <v>900</v>
      </c>
      <c r="HVM6" s="31">
        <v>900</v>
      </c>
      <c r="HVN6" s="31">
        <v>900</v>
      </c>
      <c r="HVO6" s="31">
        <v>900</v>
      </c>
      <c r="HVP6" s="31">
        <v>900</v>
      </c>
      <c r="HVQ6" s="31">
        <v>900</v>
      </c>
      <c r="HVR6" s="31">
        <v>900</v>
      </c>
      <c r="HVS6" s="31">
        <v>900</v>
      </c>
      <c r="HVT6" s="31">
        <v>900</v>
      </c>
      <c r="HVU6" s="31">
        <v>900</v>
      </c>
      <c r="HVV6" s="31">
        <v>900</v>
      </c>
      <c r="HVW6" s="31">
        <v>900</v>
      </c>
      <c r="HVX6" s="31">
        <v>900</v>
      </c>
      <c r="HVY6" s="31">
        <v>900</v>
      </c>
      <c r="HVZ6" s="31">
        <v>900</v>
      </c>
      <c r="HWA6" s="31">
        <v>900</v>
      </c>
      <c r="HWB6" s="31">
        <v>900</v>
      </c>
      <c r="HWC6" s="31">
        <v>900</v>
      </c>
      <c r="HWD6" s="31">
        <v>900</v>
      </c>
      <c r="HWE6" s="31">
        <v>900</v>
      </c>
      <c r="HWF6" s="31">
        <v>900</v>
      </c>
      <c r="HWG6" s="31">
        <v>900</v>
      </c>
      <c r="HWH6" s="31">
        <v>900</v>
      </c>
      <c r="HWI6" s="31">
        <v>900</v>
      </c>
      <c r="HWJ6" s="31">
        <v>900</v>
      </c>
      <c r="HWK6" s="31">
        <v>900</v>
      </c>
      <c r="HWL6" s="31">
        <v>900</v>
      </c>
      <c r="HWM6" s="31">
        <v>900</v>
      </c>
      <c r="HWN6" s="31">
        <v>900</v>
      </c>
      <c r="HWO6" s="31">
        <v>900</v>
      </c>
      <c r="HWP6" s="31">
        <v>900</v>
      </c>
      <c r="HWQ6" s="31">
        <v>900</v>
      </c>
      <c r="HWR6" s="31">
        <v>900</v>
      </c>
      <c r="HWS6" s="31">
        <v>900</v>
      </c>
      <c r="HWT6" s="31">
        <v>900</v>
      </c>
      <c r="HWU6" s="31">
        <v>900</v>
      </c>
      <c r="HWV6" s="31">
        <v>900</v>
      </c>
      <c r="HWW6" s="31">
        <v>900</v>
      </c>
      <c r="HWX6" s="31">
        <v>900</v>
      </c>
      <c r="HWY6" s="31">
        <v>900</v>
      </c>
      <c r="HWZ6" s="31">
        <v>900</v>
      </c>
      <c r="HXA6" s="31">
        <v>900</v>
      </c>
      <c r="HXB6" s="31">
        <v>900</v>
      </c>
      <c r="HXC6" s="31">
        <v>900</v>
      </c>
      <c r="HXD6" s="31">
        <v>900</v>
      </c>
      <c r="HXE6" s="31">
        <v>900</v>
      </c>
      <c r="HXF6" s="31">
        <v>900</v>
      </c>
      <c r="HXG6" s="31">
        <v>900</v>
      </c>
      <c r="HXH6" s="31">
        <v>900</v>
      </c>
      <c r="HXI6" s="31">
        <v>900</v>
      </c>
      <c r="HXJ6" s="31">
        <v>900</v>
      </c>
      <c r="HXK6" s="31">
        <v>900</v>
      </c>
      <c r="HXL6" s="31">
        <v>900</v>
      </c>
      <c r="HXM6" s="31">
        <v>900</v>
      </c>
      <c r="HXN6" s="31">
        <v>900</v>
      </c>
      <c r="HXO6" s="31">
        <v>900</v>
      </c>
      <c r="HXP6" s="31">
        <v>900</v>
      </c>
      <c r="HXQ6" s="31">
        <v>900</v>
      </c>
      <c r="HXR6" s="31">
        <v>900</v>
      </c>
      <c r="HXS6" s="31">
        <v>900</v>
      </c>
      <c r="HXT6" s="31">
        <v>900</v>
      </c>
      <c r="HXU6" s="31">
        <v>900</v>
      </c>
      <c r="HXV6" s="31">
        <v>900</v>
      </c>
      <c r="HXW6" s="31">
        <v>900</v>
      </c>
      <c r="HXX6" s="31">
        <v>900</v>
      </c>
      <c r="HXY6" s="31">
        <v>900</v>
      </c>
      <c r="HXZ6" s="31">
        <v>900</v>
      </c>
      <c r="HYA6" s="31">
        <v>900</v>
      </c>
      <c r="HYB6" s="31">
        <v>900</v>
      </c>
      <c r="HYC6" s="31">
        <v>900</v>
      </c>
      <c r="HYD6" s="31">
        <v>900</v>
      </c>
      <c r="HYE6" s="31">
        <v>900</v>
      </c>
      <c r="HYF6" s="31">
        <v>900</v>
      </c>
      <c r="HYG6" s="31">
        <v>900</v>
      </c>
      <c r="HYH6" s="31">
        <v>900</v>
      </c>
      <c r="HYI6" s="31">
        <v>900</v>
      </c>
      <c r="HYJ6" s="31">
        <v>900</v>
      </c>
      <c r="HYK6" s="31">
        <v>900</v>
      </c>
      <c r="HYL6" s="31">
        <v>900</v>
      </c>
      <c r="HYM6" s="31">
        <v>900</v>
      </c>
      <c r="HYN6" s="31">
        <v>900</v>
      </c>
      <c r="HYO6" s="31">
        <v>900</v>
      </c>
      <c r="HYP6" s="31">
        <v>900</v>
      </c>
      <c r="HYQ6" s="31">
        <v>900</v>
      </c>
      <c r="HYR6" s="31">
        <v>900</v>
      </c>
      <c r="HYS6" s="31">
        <v>900</v>
      </c>
      <c r="HYT6" s="31">
        <v>900</v>
      </c>
      <c r="HYU6" s="31">
        <v>900</v>
      </c>
      <c r="HYV6" s="31">
        <v>900</v>
      </c>
      <c r="HYW6" s="31">
        <v>900</v>
      </c>
      <c r="HYX6" s="31">
        <v>900</v>
      </c>
      <c r="HYY6" s="31">
        <v>900</v>
      </c>
      <c r="HYZ6" s="31">
        <v>900</v>
      </c>
      <c r="HZA6" s="31">
        <v>900</v>
      </c>
      <c r="HZB6" s="31">
        <v>900</v>
      </c>
      <c r="HZC6" s="31">
        <v>900</v>
      </c>
      <c r="HZD6" s="31">
        <v>900</v>
      </c>
      <c r="HZE6" s="31">
        <v>900</v>
      </c>
      <c r="HZF6" s="31">
        <v>900</v>
      </c>
      <c r="HZG6" s="31">
        <v>900</v>
      </c>
      <c r="HZH6" s="31">
        <v>900</v>
      </c>
      <c r="HZI6" s="31">
        <v>900</v>
      </c>
      <c r="HZJ6" s="31">
        <v>900</v>
      </c>
      <c r="HZK6" s="31">
        <v>900</v>
      </c>
      <c r="HZL6" s="31">
        <v>900</v>
      </c>
      <c r="HZM6" s="31">
        <v>900</v>
      </c>
      <c r="HZN6" s="31">
        <v>900</v>
      </c>
      <c r="HZO6" s="31">
        <v>900</v>
      </c>
      <c r="HZP6" s="31">
        <v>900</v>
      </c>
      <c r="HZQ6" s="31">
        <v>900</v>
      </c>
      <c r="HZR6" s="31">
        <v>900</v>
      </c>
      <c r="HZS6" s="31">
        <v>900</v>
      </c>
      <c r="HZT6" s="31">
        <v>900</v>
      </c>
      <c r="HZU6" s="31">
        <v>900</v>
      </c>
      <c r="HZV6" s="31">
        <v>900</v>
      </c>
      <c r="HZW6" s="31">
        <v>900</v>
      </c>
      <c r="HZX6" s="31">
        <v>900</v>
      </c>
      <c r="HZY6" s="31">
        <v>900</v>
      </c>
      <c r="HZZ6" s="31">
        <v>900</v>
      </c>
      <c r="IAA6" s="31">
        <v>900</v>
      </c>
      <c r="IAB6" s="31">
        <v>900</v>
      </c>
      <c r="IAC6" s="31">
        <v>900</v>
      </c>
      <c r="IAD6" s="31">
        <v>900</v>
      </c>
      <c r="IAE6" s="31">
        <v>900</v>
      </c>
      <c r="IAF6" s="31">
        <v>900</v>
      </c>
      <c r="IAG6" s="31">
        <v>900</v>
      </c>
      <c r="IAH6" s="31">
        <v>900</v>
      </c>
      <c r="IAI6" s="31">
        <v>900</v>
      </c>
      <c r="IAJ6" s="31">
        <v>900</v>
      </c>
      <c r="IAK6" s="31">
        <v>900</v>
      </c>
      <c r="IAL6" s="31">
        <v>900</v>
      </c>
      <c r="IAM6" s="31">
        <v>900</v>
      </c>
      <c r="IAN6" s="31">
        <v>900</v>
      </c>
      <c r="IAO6" s="31">
        <v>900</v>
      </c>
      <c r="IAP6" s="31">
        <v>900</v>
      </c>
      <c r="IAQ6" s="31">
        <v>900</v>
      </c>
      <c r="IAR6" s="31">
        <v>900</v>
      </c>
      <c r="IAS6" s="31">
        <v>900</v>
      </c>
      <c r="IAT6" s="31">
        <v>900</v>
      </c>
      <c r="IAU6" s="31">
        <v>900</v>
      </c>
      <c r="IAV6" s="31">
        <v>900</v>
      </c>
      <c r="IAW6" s="31">
        <v>900</v>
      </c>
      <c r="IAX6" s="31">
        <v>900</v>
      </c>
      <c r="IAY6" s="31">
        <v>900</v>
      </c>
      <c r="IAZ6" s="31">
        <v>900</v>
      </c>
      <c r="IBA6" s="31">
        <v>900</v>
      </c>
      <c r="IBB6" s="31">
        <v>900</v>
      </c>
      <c r="IBC6" s="31">
        <v>900</v>
      </c>
      <c r="IBD6" s="31">
        <v>900</v>
      </c>
      <c r="IBE6" s="31">
        <v>900</v>
      </c>
      <c r="IBF6" s="31">
        <v>900</v>
      </c>
      <c r="IBG6" s="31">
        <v>900</v>
      </c>
      <c r="IBH6" s="31">
        <v>900</v>
      </c>
      <c r="IBI6" s="31">
        <v>900</v>
      </c>
      <c r="IBJ6" s="31">
        <v>900</v>
      </c>
      <c r="IBK6" s="31">
        <v>900</v>
      </c>
      <c r="IBL6" s="31">
        <v>900</v>
      </c>
      <c r="IBM6" s="31">
        <v>900</v>
      </c>
      <c r="IBN6" s="31">
        <v>900</v>
      </c>
      <c r="IBO6" s="31">
        <v>900</v>
      </c>
      <c r="IBP6" s="31">
        <v>900</v>
      </c>
      <c r="IBQ6" s="31">
        <v>900</v>
      </c>
      <c r="IBR6" s="31">
        <v>900</v>
      </c>
      <c r="IBS6" s="31">
        <v>900</v>
      </c>
      <c r="IBT6" s="31">
        <v>900</v>
      </c>
      <c r="IBU6" s="31">
        <v>900</v>
      </c>
      <c r="IBV6" s="31">
        <v>900</v>
      </c>
      <c r="IBW6" s="31">
        <v>900</v>
      </c>
      <c r="IBX6" s="31">
        <v>900</v>
      </c>
      <c r="IBY6" s="31">
        <v>900</v>
      </c>
      <c r="IBZ6" s="31">
        <v>900</v>
      </c>
      <c r="ICA6" s="31">
        <v>900</v>
      </c>
      <c r="ICB6" s="31">
        <v>900</v>
      </c>
      <c r="ICC6" s="31">
        <v>900</v>
      </c>
      <c r="ICD6" s="31">
        <v>900</v>
      </c>
      <c r="ICE6" s="31">
        <v>900</v>
      </c>
      <c r="ICF6" s="31">
        <v>900</v>
      </c>
      <c r="ICG6" s="31">
        <v>900</v>
      </c>
      <c r="ICH6" s="31">
        <v>900</v>
      </c>
      <c r="ICI6" s="31">
        <v>900</v>
      </c>
      <c r="ICJ6" s="31">
        <v>900</v>
      </c>
      <c r="ICK6" s="31">
        <v>900</v>
      </c>
      <c r="ICL6" s="31">
        <v>900</v>
      </c>
      <c r="ICM6" s="31">
        <v>900</v>
      </c>
      <c r="ICN6" s="31">
        <v>900</v>
      </c>
      <c r="ICO6" s="31">
        <v>900</v>
      </c>
      <c r="ICP6" s="31">
        <v>900</v>
      </c>
      <c r="ICQ6" s="31">
        <v>900</v>
      </c>
      <c r="ICR6" s="31">
        <v>900</v>
      </c>
      <c r="ICS6" s="31">
        <v>900</v>
      </c>
      <c r="ICT6" s="31">
        <v>900</v>
      </c>
      <c r="ICU6" s="31">
        <v>900</v>
      </c>
      <c r="ICV6" s="31">
        <v>900</v>
      </c>
      <c r="ICW6" s="31">
        <v>900</v>
      </c>
      <c r="ICX6" s="31">
        <v>900</v>
      </c>
      <c r="ICY6" s="31">
        <v>900</v>
      </c>
      <c r="ICZ6" s="31">
        <v>900</v>
      </c>
      <c r="IDA6" s="31">
        <v>900</v>
      </c>
      <c r="IDB6" s="31">
        <v>900</v>
      </c>
      <c r="IDC6" s="31">
        <v>900</v>
      </c>
      <c r="IDD6" s="31">
        <v>900</v>
      </c>
      <c r="IDE6" s="31">
        <v>900</v>
      </c>
      <c r="IDF6" s="31">
        <v>900</v>
      </c>
      <c r="IDG6" s="31">
        <v>900</v>
      </c>
      <c r="IDH6" s="31">
        <v>900</v>
      </c>
      <c r="IDI6" s="31">
        <v>900</v>
      </c>
      <c r="IDJ6" s="31">
        <v>900</v>
      </c>
      <c r="IDK6" s="31">
        <v>900</v>
      </c>
      <c r="IDL6" s="31">
        <v>900</v>
      </c>
      <c r="IDM6" s="31">
        <v>900</v>
      </c>
      <c r="IDN6" s="31">
        <v>900</v>
      </c>
      <c r="IDO6" s="31">
        <v>900</v>
      </c>
      <c r="IDP6" s="31">
        <v>900</v>
      </c>
      <c r="IDQ6" s="31">
        <v>900</v>
      </c>
      <c r="IDR6" s="31">
        <v>900</v>
      </c>
      <c r="IDS6" s="31">
        <v>900</v>
      </c>
      <c r="IDT6" s="31">
        <v>900</v>
      </c>
      <c r="IDU6" s="31">
        <v>900</v>
      </c>
      <c r="IDV6" s="31">
        <v>900</v>
      </c>
      <c r="IDW6" s="31">
        <v>900</v>
      </c>
      <c r="IDX6" s="31">
        <v>900</v>
      </c>
      <c r="IDY6" s="31">
        <v>900</v>
      </c>
      <c r="IDZ6" s="31">
        <v>900</v>
      </c>
      <c r="IEA6" s="31">
        <v>900</v>
      </c>
      <c r="IEB6" s="31">
        <v>900</v>
      </c>
      <c r="IEC6" s="31">
        <v>900</v>
      </c>
      <c r="IED6" s="31">
        <v>900</v>
      </c>
      <c r="IEE6" s="31">
        <v>900</v>
      </c>
      <c r="IEF6" s="31">
        <v>900</v>
      </c>
      <c r="IEG6" s="31">
        <v>900</v>
      </c>
      <c r="IEH6" s="31">
        <v>900</v>
      </c>
      <c r="IEI6" s="31">
        <v>900</v>
      </c>
      <c r="IEJ6" s="31">
        <v>900</v>
      </c>
      <c r="IEK6" s="31">
        <v>900</v>
      </c>
      <c r="IEL6" s="31">
        <v>900</v>
      </c>
      <c r="IEM6" s="31">
        <v>900</v>
      </c>
      <c r="IEN6" s="31">
        <v>900</v>
      </c>
      <c r="IEO6" s="31">
        <v>900</v>
      </c>
      <c r="IEP6" s="31">
        <v>900</v>
      </c>
      <c r="IEQ6" s="31">
        <v>900</v>
      </c>
      <c r="IER6" s="31">
        <v>900</v>
      </c>
      <c r="IES6" s="31">
        <v>900</v>
      </c>
      <c r="IET6" s="31">
        <v>900</v>
      </c>
      <c r="IEU6" s="31">
        <v>900</v>
      </c>
      <c r="IEV6" s="31">
        <v>900</v>
      </c>
      <c r="IEW6" s="31">
        <v>900</v>
      </c>
      <c r="IEX6" s="31">
        <v>900</v>
      </c>
      <c r="IEY6" s="31">
        <v>900</v>
      </c>
      <c r="IEZ6" s="31">
        <v>900</v>
      </c>
      <c r="IFA6" s="31">
        <v>900</v>
      </c>
      <c r="IFB6" s="31">
        <v>900</v>
      </c>
      <c r="IFC6" s="31">
        <v>900</v>
      </c>
      <c r="IFD6" s="31">
        <v>900</v>
      </c>
      <c r="IFE6" s="31">
        <v>900</v>
      </c>
      <c r="IFF6" s="31">
        <v>900</v>
      </c>
      <c r="IFG6" s="31">
        <v>900</v>
      </c>
      <c r="IFH6" s="31">
        <v>900</v>
      </c>
      <c r="IFI6" s="31">
        <v>900</v>
      </c>
      <c r="IFJ6" s="31">
        <v>900</v>
      </c>
      <c r="IFK6" s="31">
        <v>900</v>
      </c>
      <c r="IFL6" s="31">
        <v>900</v>
      </c>
      <c r="IFM6" s="31">
        <v>900</v>
      </c>
      <c r="IFN6" s="31">
        <v>900</v>
      </c>
      <c r="IFO6" s="31">
        <v>900</v>
      </c>
      <c r="IFP6" s="31">
        <v>900</v>
      </c>
      <c r="IFQ6" s="31">
        <v>900</v>
      </c>
      <c r="IFR6" s="31">
        <v>900</v>
      </c>
      <c r="IFS6" s="31">
        <v>900</v>
      </c>
      <c r="IFT6" s="31">
        <v>900</v>
      </c>
      <c r="IFU6" s="31">
        <v>900</v>
      </c>
      <c r="IFV6" s="31">
        <v>900</v>
      </c>
      <c r="IFW6" s="31">
        <v>900</v>
      </c>
      <c r="IFX6" s="31">
        <v>900</v>
      </c>
      <c r="IFY6" s="31">
        <v>900</v>
      </c>
      <c r="IFZ6" s="31">
        <v>900</v>
      </c>
      <c r="IGA6" s="31">
        <v>900</v>
      </c>
      <c r="IGB6" s="31">
        <v>900</v>
      </c>
      <c r="IGC6" s="31">
        <v>900</v>
      </c>
      <c r="IGD6" s="31">
        <v>900</v>
      </c>
      <c r="IGE6" s="31">
        <v>900</v>
      </c>
      <c r="IGF6" s="31">
        <v>900</v>
      </c>
      <c r="IGG6" s="31">
        <v>900</v>
      </c>
      <c r="IGH6" s="31">
        <v>900</v>
      </c>
      <c r="IGI6" s="31">
        <v>900</v>
      </c>
      <c r="IGJ6" s="31">
        <v>900</v>
      </c>
      <c r="IGK6" s="31">
        <v>900</v>
      </c>
      <c r="IGL6" s="31">
        <v>900</v>
      </c>
      <c r="IGM6" s="31">
        <v>900</v>
      </c>
      <c r="IGN6" s="31">
        <v>900</v>
      </c>
      <c r="IGO6" s="31">
        <v>900</v>
      </c>
      <c r="IGP6" s="31">
        <v>900</v>
      </c>
      <c r="IGQ6" s="31">
        <v>900</v>
      </c>
      <c r="IGR6" s="31">
        <v>900</v>
      </c>
      <c r="IGS6" s="31">
        <v>900</v>
      </c>
      <c r="IGT6" s="31">
        <v>900</v>
      </c>
      <c r="IGU6" s="31">
        <v>900</v>
      </c>
      <c r="IGV6" s="31">
        <v>900</v>
      </c>
      <c r="IGW6" s="31">
        <v>900</v>
      </c>
      <c r="IGX6" s="31">
        <v>900</v>
      </c>
      <c r="IGY6" s="31">
        <v>900</v>
      </c>
      <c r="IGZ6" s="31">
        <v>900</v>
      </c>
      <c r="IHA6" s="31">
        <v>900</v>
      </c>
      <c r="IHB6" s="31">
        <v>900</v>
      </c>
      <c r="IHC6" s="31">
        <v>900</v>
      </c>
      <c r="IHD6" s="31">
        <v>900</v>
      </c>
      <c r="IHE6" s="31">
        <v>900</v>
      </c>
      <c r="IHF6" s="31">
        <v>900</v>
      </c>
      <c r="IHG6" s="31">
        <v>900</v>
      </c>
      <c r="IHH6" s="31">
        <v>900</v>
      </c>
      <c r="IHI6" s="31">
        <v>900</v>
      </c>
      <c r="IHJ6" s="31">
        <v>900</v>
      </c>
      <c r="IHK6" s="31">
        <v>900</v>
      </c>
      <c r="IHL6" s="31">
        <v>900</v>
      </c>
      <c r="IHM6" s="31">
        <v>900</v>
      </c>
      <c r="IHN6" s="31">
        <v>900</v>
      </c>
      <c r="IHO6" s="31">
        <v>900</v>
      </c>
      <c r="IHP6" s="31">
        <v>900</v>
      </c>
      <c r="IHQ6" s="31">
        <v>900</v>
      </c>
      <c r="IHR6" s="31">
        <v>900</v>
      </c>
      <c r="IHS6" s="31">
        <v>900</v>
      </c>
      <c r="IHT6" s="31">
        <v>900</v>
      </c>
      <c r="IHU6" s="31">
        <v>900</v>
      </c>
      <c r="IHV6" s="31">
        <v>900</v>
      </c>
      <c r="IHW6" s="31">
        <v>900</v>
      </c>
      <c r="IHX6" s="31">
        <v>900</v>
      </c>
      <c r="IHY6" s="31">
        <v>900</v>
      </c>
      <c r="IHZ6" s="31">
        <v>900</v>
      </c>
      <c r="IIA6" s="31">
        <v>900</v>
      </c>
      <c r="IIB6" s="31">
        <v>900</v>
      </c>
      <c r="IIC6" s="31">
        <v>900</v>
      </c>
      <c r="IID6" s="31">
        <v>900</v>
      </c>
      <c r="IIE6" s="31">
        <v>900</v>
      </c>
      <c r="IIF6" s="31">
        <v>900</v>
      </c>
      <c r="IIG6" s="31">
        <v>900</v>
      </c>
      <c r="IIH6" s="31">
        <v>900</v>
      </c>
      <c r="III6" s="31">
        <v>900</v>
      </c>
      <c r="IIJ6" s="31">
        <v>900</v>
      </c>
      <c r="IIK6" s="31">
        <v>900</v>
      </c>
      <c r="IIL6" s="31">
        <v>900</v>
      </c>
      <c r="IIM6" s="31">
        <v>900</v>
      </c>
      <c r="IIN6" s="31">
        <v>900</v>
      </c>
      <c r="IIO6" s="31">
        <v>900</v>
      </c>
      <c r="IIP6" s="31">
        <v>900</v>
      </c>
      <c r="IIQ6" s="31">
        <v>900</v>
      </c>
      <c r="IIR6" s="31">
        <v>900</v>
      </c>
      <c r="IIS6" s="31">
        <v>900</v>
      </c>
      <c r="IIT6" s="31">
        <v>900</v>
      </c>
      <c r="IIU6" s="31">
        <v>900</v>
      </c>
      <c r="IIV6" s="31">
        <v>900</v>
      </c>
      <c r="IIW6" s="31">
        <v>900</v>
      </c>
      <c r="IIX6" s="31">
        <v>900</v>
      </c>
      <c r="IIY6" s="31">
        <v>900</v>
      </c>
      <c r="IIZ6" s="31">
        <v>900</v>
      </c>
      <c r="IJA6" s="31">
        <v>900</v>
      </c>
      <c r="IJB6" s="31">
        <v>900</v>
      </c>
      <c r="IJC6" s="31">
        <v>900</v>
      </c>
      <c r="IJD6" s="31">
        <v>900</v>
      </c>
      <c r="IJE6" s="31">
        <v>900</v>
      </c>
      <c r="IJF6" s="31">
        <v>900</v>
      </c>
      <c r="IJG6" s="31">
        <v>900</v>
      </c>
      <c r="IJH6" s="31">
        <v>900</v>
      </c>
      <c r="IJI6" s="31">
        <v>900</v>
      </c>
      <c r="IJJ6" s="31">
        <v>900</v>
      </c>
      <c r="IJK6" s="31">
        <v>900</v>
      </c>
      <c r="IJL6" s="31">
        <v>900</v>
      </c>
      <c r="IJM6" s="31">
        <v>900</v>
      </c>
      <c r="IJN6" s="31">
        <v>900</v>
      </c>
      <c r="IJO6" s="31">
        <v>900</v>
      </c>
      <c r="IJP6" s="31">
        <v>900</v>
      </c>
      <c r="IJQ6" s="31">
        <v>900</v>
      </c>
      <c r="IJR6" s="31">
        <v>900</v>
      </c>
      <c r="IJS6" s="31">
        <v>900</v>
      </c>
      <c r="IJT6" s="31">
        <v>900</v>
      </c>
      <c r="IJU6" s="31">
        <v>900</v>
      </c>
      <c r="IJV6" s="31">
        <v>900</v>
      </c>
      <c r="IJW6" s="31">
        <v>900</v>
      </c>
      <c r="IJX6" s="31">
        <v>900</v>
      </c>
      <c r="IJY6" s="31">
        <v>900</v>
      </c>
      <c r="IJZ6" s="31">
        <v>900</v>
      </c>
      <c r="IKA6" s="31">
        <v>900</v>
      </c>
      <c r="IKB6" s="31">
        <v>900</v>
      </c>
      <c r="IKC6" s="31">
        <v>900</v>
      </c>
      <c r="IKD6" s="31">
        <v>900</v>
      </c>
      <c r="IKE6" s="31">
        <v>900</v>
      </c>
      <c r="IKF6" s="31">
        <v>900</v>
      </c>
      <c r="IKG6" s="31">
        <v>900</v>
      </c>
      <c r="IKH6" s="31">
        <v>900</v>
      </c>
      <c r="IKI6" s="31">
        <v>900</v>
      </c>
      <c r="IKJ6" s="31">
        <v>900</v>
      </c>
      <c r="IKK6" s="31">
        <v>900</v>
      </c>
      <c r="IKL6" s="31">
        <v>900</v>
      </c>
      <c r="IKM6" s="31">
        <v>900</v>
      </c>
      <c r="IKN6" s="31">
        <v>900</v>
      </c>
      <c r="IKO6" s="31">
        <v>900</v>
      </c>
      <c r="IKP6" s="31">
        <v>900</v>
      </c>
      <c r="IKQ6" s="31">
        <v>900</v>
      </c>
      <c r="IKR6" s="31">
        <v>900</v>
      </c>
      <c r="IKS6" s="31">
        <v>900</v>
      </c>
      <c r="IKT6" s="31">
        <v>900</v>
      </c>
      <c r="IKU6" s="31">
        <v>900</v>
      </c>
      <c r="IKV6" s="31">
        <v>900</v>
      </c>
      <c r="IKW6" s="31">
        <v>900</v>
      </c>
      <c r="IKX6" s="31">
        <v>900</v>
      </c>
      <c r="IKY6" s="31">
        <v>900</v>
      </c>
      <c r="IKZ6" s="31">
        <v>900</v>
      </c>
      <c r="ILA6" s="31">
        <v>900</v>
      </c>
      <c r="ILB6" s="31">
        <v>900</v>
      </c>
      <c r="ILC6" s="31">
        <v>900</v>
      </c>
      <c r="ILD6" s="31">
        <v>900</v>
      </c>
      <c r="ILE6" s="31">
        <v>900</v>
      </c>
      <c r="ILF6" s="31">
        <v>900</v>
      </c>
      <c r="ILG6" s="31">
        <v>900</v>
      </c>
      <c r="ILH6" s="31">
        <v>900</v>
      </c>
      <c r="ILI6" s="31">
        <v>900</v>
      </c>
      <c r="ILJ6" s="31">
        <v>900</v>
      </c>
      <c r="ILK6" s="31">
        <v>900</v>
      </c>
      <c r="ILL6" s="31">
        <v>900</v>
      </c>
      <c r="ILM6" s="31">
        <v>900</v>
      </c>
      <c r="ILN6" s="31">
        <v>900</v>
      </c>
      <c r="ILO6" s="31">
        <v>900</v>
      </c>
      <c r="ILP6" s="31">
        <v>900</v>
      </c>
      <c r="ILQ6" s="31">
        <v>900</v>
      </c>
      <c r="ILR6" s="31">
        <v>900</v>
      </c>
      <c r="ILS6" s="31">
        <v>900</v>
      </c>
      <c r="ILT6" s="31">
        <v>900</v>
      </c>
      <c r="ILU6" s="31">
        <v>900</v>
      </c>
      <c r="ILV6" s="31">
        <v>900</v>
      </c>
      <c r="ILW6" s="31">
        <v>900</v>
      </c>
      <c r="ILX6" s="31">
        <v>900</v>
      </c>
      <c r="ILY6" s="31">
        <v>900</v>
      </c>
      <c r="ILZ6" s="31">
        <v>900</v>
      </c>
      <c r="IMA6" s="31">
        <v>900</v>
      </c>
      <c r="IMB6" s="31">
        <v>900</v>
      </c>
      <c r="IMC6" s="31">
        <v>900</v>
      </c>
      <c r="IMD6" s="31">
        <v>900</v>
      </c>
      <c r="IME6" s="31">
        <v>900</v>
      </c>
      <c r="IMF6" s="31">
        <v>900</v>
      </c>
      <c r="IMG6" s="31">
        <v>900</v>
      </c>
      <c r="IMH6" s="31">
        <v>900</v>
      </c>
      <c r="IMI6" s="31">
        <v>900</v>
      </c>
      <c r="IMJ6" s="31">
        <v>900</v>
      </c>
      <c r="IMK6" s="31">
        <v>900</v>
      </c>
      <c r="IML6" s="31">
        <v>900</v>
      </c>
      <c r="IMM6" s="31">
        <v>900</v>
      </c>
      <c r="IMN6" s="31">
        <v>900</v>
      </c>
      <c r="IMO6" s="31">
        <v>900</v>
      </c>
      <c r="IMP6" s="31">
        <v>900</v>
      </c>
      <c r="IMQ6" s="31">
        <v>900</v>
      </c>
      <c r="IMR6" s="31">
        <v>900</v>
      </c>
      <c r="IMS6" s="31">
        <v>900</v>
      </c>
      <c r="IMT6" s="31">
        <v>900</v>
      </c>
      <c r="IMU6" s="31">
        <v>900</v>
      </c>
      <c r="IMV6" s="31">
        <v>900</v>
      </c>
      <c r="IMW6" s="31">
        <v>900</v>
      </c>
      <c r="IMX6" s="31">
        <v>900</v>
      </c>
      <c r="IMY6" s="31">
        <v>900</v>
      </c>
      <c r="IMZ6" s="31">
        <v>900</v>
      </c>
      <c r="INA6" s="31">
        <v>900</v>
      </c>
      <c r="INB6" s="31">
        <v>900</v>
      </c>
      <c r="INC6" s="31">
        <v>900</v>
      </c>
      <c r="IND6" s="31">
        <v>900</v>
      </c>
      <c r="INE6" s="31">
        <v>900</v>
      </c>
      <c r="INF6" s="31">
        <v>900</v>
      </c>
      <c r="ING6" s="31">
        <v>900</v>
      </c>
      <c r="INH6" s="31">
        <v>900</v>
      </c>
      <c r="INI6" s="31">
        <v>900</v>
      </c>
      <c r="INJ6" s="31">
        <v>900</v>
      </c>
      <c r="INK6" s="31">
        <v>900</v>
      </c>
      <c r="INL6" s="31">
        <v>900</v>
      </c>
      <c r="INM6" s="31">
        <v>900</v>
      </c>
      <c r="INN6" s="31">
        <v>900</v>
      </c>
      <c r="INO6" s="31">
        <v>900</v>
      </c>
      <c r="INP6" s="31">
        <v>900</v>
      </c>
      <c r="INQ6" s="31">
        <v>900</v>
      </c>
      <c r="INR6" s="31">
        <v>900</v>
      </c>
      <c r="INS6" s="31">
        <v>900</v>
      </c>
      <c r="INT6" s="31">
        <v>900</v>
      </c>
      <c r="INU6" s="31">
        <v>900</v>
      </c>
      <c r="INV6" s="31">
        <v>900</v>
      </c>
      <c r="INW6" s="31">
        <v>900</v>
      </c>
      <c r="INX6" s="31">
        <v>900</v>
      </c>
      <c r="INY6" s="31">
        <v>900</v>
      </c>
      <c r="INZ6" s="31">
        <v>900</v>
      </c>
      <c r="IOA6" s="31">
        <v>900</v>
      </c>
      <c r="IOB6" s="31">
        <v>900</v>
      </c>
      <c r="IOC6" s="31">
        <v>900</v>
      </c>
      <c r="IOD6" s="31">
        <v>900</v>
      </c>
      <c r="IOE6" s="31">
        <v>900</v>
      </c>
      <c r="IOF6" s="31">
        <v>900</v>
      </c>
      <c r="IOG6" s="31">
        <v>900</v>
      </c>
      <c r="IOH6" s="31">
        <v>900</v>
      </c>
      <c r="IOI6" s="31">
        <v>900</v>
      </c>
      <c r="IOJ6" s="31">
        <v>900</v>
      </c>
      <c r="IOK6" s="31">
        <v>900</v>
      </c>
      <c r="IOL6" s="31">
        <v>900</v>
      </c>
      <c r="IOM6" s="31">
        <v>900</v>
      </c>
      <c r="ION6" s="31">
        <v>900</v>
      </c>
      <c r="IOO6" s="31">
        <v>900</v>
      </c>
      <c r="IOP6" s="31">
        <v>900</v>
      </c>
      <c r="IOQ6" s="31">
        <v>900</v>
      </c>
      <c r="IOR6" s="31">
        <v>900</v>
      </c>
      <c r="IOS6" s="31">
        <v>900</v>
      </c>
      <c r="IOT6" s="31">
        <v>900</v>
      </c>
      <c r="IOU6" s="31">
        <v>900</v>
      </c>
      <c r="IOV6" s="31">
        <v>900</v>
      </c>
      <c r="IOW6" s="31">
        <v>900</v>
      </c>
      <c r="IOX6" s="31">
        <v>900</v>
      </c>
      <c r="IOY6" s="31">
        <v>900</v>
      </c>
      <c r="IOZ6" s="31">
        <v>900</v>
      </c>
      <c r="IPA6" s="31">
        <v>900</v>
      </c>
      <c r="IPB6" s="31">
        <v>900</v>
      </c>
      <c r="IPC6" s="31">
        <v>900</v>
      </c>
      <c r="IPD6" s="31">
        <v>900</v>
      </c>
      <c r="IPE6" s="31">
        <v>900</v>
      </c>
      <c r="IPF6" s="31">
        <v>900</v>
      </c>
      <c r="IPG6" s="31">
        <v>900</v>
      </c>
      <c r="IPH6" s="31">
        <v>900</v>
      </c>
      <c r="IPI6" s="31">
        <v>900</v>
      </c>
      <c r="IPJ6" s="31">
        <v>900</v>
      </c>
      <c r="IPK6" s="31">
        <v>900</v>
      </c>
      <c r="IPL6" s="31">
        <v>900</v>
      </c>
      <c r="IPM6" s="31">
        <v>900</v>
      </c>
      <c r="IPN6" s="31">
        <v>900</v>
      </c>
      <c r="IPO6" s="31">
        <v>900</v>
      </c>
      <c r="IPP6" s="31">
        <v>900</v>
      </c>
      <c r="IPQ6" s="31">
        <v>900</v>
      </c>
      <c r="IPR6" s="31">
        <v>900</v>
      </c>
      <c r="IPS6" s="31">
        <v>900</v>
      </c>
      <c r="IPT6" s="31">
        <v>900</v>
      </c>
      <c r="IPU6" s="31">
        <v>900</v>
      </c>
      <c r="IPV6" s="31">
        <v>900</v>
      </c>
      <c r="IPW6" s="31">
        <v>900</v>
      </c>
      <c r="IPX6" s="31">
        <v>900</v>
      </c>
      <c r="IPY6" s="31">
        <v>900</v>
      </c>
      <c r="IPZ6" s="31">
        <v>900</v>
      </c>
      <c r="IQA6" s="31">
        <v>900</v>
      </c>
      <c r="IQB6" s="31">
        <v>900</v>
      </c>
      <c r="IQC6" s="31">
        <v>900</v>
      </c>
      <c r="IQD6" s="31">
        <v>900</v>
      </c>
      <c r="IQE6" s="31">
        <v>900</v>
      </c>
      <c r="IQF6" s="31">
        <v>900</v>
      </c>
      <c r="IQG6" s="31">
        <v>900</v>
      </c>
      <c r="IQH6" s="31">
        <v>900</v>
      </c>
      <c r="IQI6" s="31">
        <v>900</v>
      </c>
      <c r="IQJ6" s="31">
        <v>900</v>
      </c>
      <c r="IQK6" s="31">
        <v>900</v>
      </c>
      <c r="IQL6" s="31">
        <v>900</v>
      </c>
      <c r="IQM6" s="31">
        <v>900</v>
      </c>
      <c r="IQN6" s="31">
        <v>900</v>
      </c>
      <c r="IQO6" s="31">
        <v>900</v>
      </c>
      <c r="IQP6" s="31">
        <v>900</v>
      </c>
      <c r="IQQ6" s="31">
        <v>900</v>
      </c>
      <c r="IQR6" s="31">
        <v>900</v>
      </c>
      <c r="IQS6" s="31">
        <v>900</v>
      </c>
      <c r="IQT6" s="31">
        <v>900</v>
      </c>
      <c r="IQU6" s="31">
        <v>900</v>
      </c>
      <c r="IQV6" s="31">
        <v>900</v>
      </c>
      <c r="IQW6" s="31">
        <v>900</v>
      </c>
      <c r="IQX6" s="31">
        <v>900</v>
      </c>
      <c r="IQY6" s="31">
        <v>900</v>
      </c>
      <c r="IQZ6" s="31">
        <v>900</v>
      </c>
      <c r="IRA6" s="31">
        <v>900</v>
      </c>
      <c r="IRB6" s="31">
        <v>900</v>
      </c>
      <c r="IRC6" s="31">
        <v>900</v>
      </c>
      <c r="IRD6" s="31">
        <v>900</v>
      </c>
      <c r="IRE6" s="31">
        <v>900</v>
      </c>
      <c r="IRF6" s="31">
        <v>900</v>
      </c>
      <c r="IRG6" s="31">
        <v>900</v>
      </c>
      <c r="IRH6" s="31">
        <v>900</v>
      </c>
      <c r="IRI6" s="31">
        <v>900</v>
      </c>
      <c r="IRJ6" s="31">
        <v>900</v>
      </c>
      <c r="IRK6" s="31">
        <v>900</v>
      </c>
      <c r="IRL6" s="31">
        <v>900</v>
      </c>
      <c r="IRM6" s="31">
        <v>900</v>
      </c>
      <c r="IRN6" s="31">
        <v>900</v>
      </c>
      <c r="IRO6" s="31">
        <v>900</v>
      </c>
      <c r="IRP6" s="31">
        <v>900</v>
      </c>
      <c r="IRQ6" s="31">
        <v>900</v>
      </c>
      <c r="IRR6" s="31">
        <v>900</v>
      </c>
      <c r="IRS6" s="31">
        <v>900</v>
      </c>
      <c r="IRT6" s="31">
        <v>900</v>
      </c>
      <c r="IRU6" s="31">
        <v>900</v>
      </c>
      <c r="IRV6" s="31">
        <v>900</v>
      </c>
      <c r="IRW6" s="31">
        <v>900</v>
      </c>
      <c r="IRX6" s="31">
        <v>900</v>
      </c>
      <c r="IRY6" s="31">
        <v>900</v>
      </c>
      <c r="IRZ6" s="31">
        <v>900</v>
      </c>
      <c r="ISA6" s="31">
        <v>900</v>
      </c>
      <c r="ISB6" s="31">
        <v>900</v>
      </c>
      <c r="ISC6" s="31">
        <v>900</v>
      </c>
      <c r="ISD6" s="31">
        <v>900</v>
      </c>
      <c r="ISE6" s="31">
        <v>900</v>
      </c>
      <c r="ISF6" s="31">
        <v>900</v>
      </c>
      <c r="ISG6" s="31">
        <v>900</v>
      </c>
      <c r="ISH6" s="31">
        <v>900</v>
      </c>
      <c r="ISI6" s="31">
        <v>900</v>
      </c>
      <c r="ISJ6" s="31">
        <v>900</v>
      </c>
      <c r="ISK6" s="31">
        <v>900</v>
      </c>
      <c r="ISL6" s="31">
        <v>900</v>
      </c>
      <c r="ISM6" s="31">
        <v>900</v>
      </c>
      <c r="ISN6" s="31">
        <v>900</v>
      </c>
      <c r="ISO6" s="31">
        <v>900</v>
      </c>
      <c r="ISP6" s="31">
        <v>900</v>
      </c>
      <c r="ISQ6" s="31">
        <v>900</v>
      </c>
      <c r="ISR6" s="31">
        <v>900</v>
      </c>
      <c r="ISS6" s="31">
        <v>900</v>
      </c>
      <c r="IST6" s="31">
        <v>900</v>
      </c>
      <c r="ISU6" s="31">
        <v>900</v>
      </c>
      <c r="ISV6" s="31">
        <v>900</v>
      </c>
      <c r="ISW6" s="31">
        <v>900</v>
      </c>
      <c r="ISX6" s="31">
        <v>900</v>
      </c>
      <c r="ISY6" s="31">
        <v>900</v>
      </c>
      <c r="ISZ6" s="31">
        <v>900</v>
      </c>
      <c r="ITA6" s="31">
        <v>900</v>
      </c>
      <c r="ITB6" s="31">
        <v>900</v>
      </c>
      <c r="ITC6" s="31">
        <v>900</v>
      </c>
      <c r="ITD6" s="31">
        <v>900</v>
      </c>
      <c r="ITE6" s="31">
        <v>900</v>
      </c>
      <c r="ITF6" s="31">
        <v>900</v>
      </c>
      <c r="ITG6" s="31">
        <v>900</v>
      </c>
      <c r="ITH6" s="31">
        <v>900</v>
      </c>
      <c r="ITI6" s="31">
        <v>900</v>
      </c>
      <c r="ITJ6" s="31">
        <v>900</v>
      </c>
      <c r="ITK6" s="31">
        <v>900</v>
      </c>
      <c r="ITL6" s="31">
        <v>900</v>
      </c>
      <c r="ITM6" s="31">
        <v>900</v>
      </c>
      <c r="ITN6" s="31">
        <v>900</v>
      </c>
      <c r="ITO6" s="31">
        <v>900</v>
      </c>
      <c r="ITP6" s="31">
        <v>900</v>
      </c>
      <c r="ITQ6" s="31">
        <v>900</v>
      </c>
      <c r="ITR6" s="31">
        <v>900</v>
      </c>
      <c r="ITS6" s="31">
        <v>900</v>
      </c>
      <c r="ITT6" s="31">
        <v>900</v>
      </c>
      <c r="ITU6" s="31">
        <v>900</v>
      </c>
      <c r="ITV6" s="31">
        <v>900</v>
      </c>
      <c r="ITW6" s="31">
        <v>900</v>
      </c>
      <c r="ITX6" s="31">
        <v>900</v>
      </c>
      <c r="ITY6" s="31">
        <v>900</v>
      </c>
      <c r="ITZ6" s="31">
        <v>900</v>
      </c>
      <c r="IUA6" s="31">
        <v>900</v>
      </c>
      <c r="IUB6" s="31">
        <v>900</v>
      </c>
      <c r="IUC6" s="31">
        <v>900</v>
      </c>
      <c r="IUD6" s="31">
        <v>900</v>
      </c>
      <c r="IUE6" s="31">
        <v>900</v>
      </c>
      <c r="IUF6" s="31">
        <v>900</v>
      </c>
      <c r="IUG6" s="31">
        <v>900</v>
      </c>
      <c r="IUH6" s="31">
        <v>900</v>
      </c>
      <c r="IUI6" s="31">
        <v>900</v>
      </c>
      <c r="IUJ6" s="31">
        <v>900</v>
      </c>
      <c r="IUK6" s="31">
        <v>900</v>
      </c>
      <c r="IUL6" s="31">
        <v>900</v>
      </c>
      <c r="IUM6" s="31">
        <v>900</v>
      </c>
      <c r="IUN6" s="31">
        <v>900</v>
      </c>
      <c r="IUO6" s="31">
        <v>900</v>
      </c>
      <c r="IUP6" s="31">
        <v>900</v>
      </c>
      <c r="IUQ6" s="31">
        <v>900</v>
      </c>
      <c r="IUR6" s="31">
        <v>900</v>
      </c>
      <c r="IUS6" s="31">
        <v>900</v>
      </c>
      <c r="IUT6" s="31">
        <v>900</v>
      </c>
      <c r="IUU6" s="31">
        <v>900</v>
      </c>
      <c r="IUV6" s="31">
        <v>900</v>
      </c>
      <c r="IUW6" s="31">
        <v>900</v>
      </c>
      <c r="IUX6" s="31">
        <v>900</v>
      </c>
      <c r="IUY6" s="31">
        <v>900</v>
      </c>
      <c r="IUZ6" s="31">
        <v>900</v>
      </c>
      <c r="IVA6" s="31">
        <v>900</v>
      </c>
      <c r="IVB6" s="31">
        <v>900</v>
      </c>
      <c r="IVC6" s="31">
        <v>900</v>
      </c>
      <c r="IVD6" s="31">
        <v>900</v>
      </c>
      <c r="IVE6" s="31">
        <v>900</v>
      </c>
      <c r="IVF6" s="31">
        <v>900</v>
      </c>
      <c r="IVG6" s="31">
        <v>900</v>
      </c>
      <c r="IVH6" s="31">
        <v>900</v>
      </c>
      <c r="IVI6" s="31">
        <v>900</v>
      </c>
      <c r="IVJ6" s="31">
        <v>900</v>
      </c>
      <c r="IVK6" s="31">
        <v>900</v>
      </c>
      <c r="IVL6" s="31">
        <v>900</v>
      </c>
      <c r="IVM6" s="31">
        <v>900</v>
      </c>
      <c r="IVN6" s="31">
        <v>900</v>
      </c>
      <c r="IVO6" s="31">
        <v>900</v>
      </c>
      <c r="IVP6" s="31">
        <v>900</v>
      </c>
      <c r="IVQ6" s="31">
        <v>900</v>
      </c>
      <c r="IVR6" s="31">
        <v>900</v>
      </c>
      <c r="IVS6" s="31">
        <v>900</v>
      </c>
      <c r="IVT6" s="31">
        <v>900</v>
      </c>
      <c r="IVU6" s="31">
        <v>900</v>
      </c>
      <c r="IVV6" s="31">
        <v>900</v>
      </c>
      <c r="IVW6" s="31">
        <v>900</v>
      </c>
      <c r="IVX6" s="31">
        <v>900</v>
      </c>
      <c r="IVY6" s="31">
        <v>900</v>
      </c>
      <c r="IVZ6" s="31">
        <v>900</v>
      </c>
      <c r="IWA6" s="31">
        <v>900</v>
      </c>
      <c r="IWB6" s="31">
        <v>900</v>
      </c>
      <c r="IWC6" s="31">
        <v>900</v>
      </c>
      <c r="IWD6" s="31">
        <v>900</v>
      </c>
      <c r="IWE6" s="31">
        <v>900</v>
      </c>
      <c r="IWF6" s="31">
        <v>900</v>
      </c>
      <c r="IWG6" s="31">
        <v>900</v>
      </c>
      <c r="IWH6" s="31">
        <v>900</v>
      </c>
      <c r="IWI6" s="31">
        <v>900</v>
      </c>
      <c r="IWJ6" s="31">
        <v>900</v>
      </c>
      <c r="IWK6" s="31">
        <v>900</v>
      </c>
      <c r="IWL6" s="31">
        <v>900</v>
      </c>
      <c r="IWM6" s="31">
        <v>900</v>
      </c>
      <c r="IWN6" s="31">
        <v>900</v>
      </c>
      <c r="IWO6" s="31">
        <v>900</v>
      </c>
      <c r="IWP6" s="31">
        <v>900</v>
      </c>
      <c r="IWQ6" s="31">
        <v>900</v>
      </c>
      <c r="IWR6" s="31">
        <v>900</v>
      </c>
      <c r="IWS6" s="31">
        <v>900</v>
      </c>
      <c r="IWT6" s="31">
        <v>900</v>
      </c>
      <c r="IWU6" s="31">
        <v>900</v>
      </c>
      <c r="IWV6" s="31">
        <v>900</v>
      </c>
      <c r="IWW6" s="31">
        <v>900</v>
      </c>
      <c r="IWX6" s="31">
        <v>900</v>
      </c>
      <c r="IWY6" s="31">
        <v>900</v>
      </c>
      <c r="IWZ6" s="31">
        <v>900</v>
      </c>
      <c r="IXA6" s="31">
        <v>900</v>
      </c>
      <c r="IXB6" s="31">
        <v>900</v>
      </c>
      <c r="IXC6" s="31">
        <v>900</v>
      </c>
      <c r="IXD6" s="31">
        <v>900</v>
      </c>
      <c r="IXE6" s="31">
        <v>900</v>
      </c>
      <c r="IXF6" s="31">
        <v>900</v>
      </c>
      <c r="IXG6" s="31">
        <v>900</v>
      </c>
      <c r="IXH6" s="31">
        <v>900</v>
      </c>
      <c r="IXI6" s="31">
        <v>900</v>
      </c>
      <c r="IXJ6" s="31">
        <v>900</v>
      </c>
      <c r="IXK6" s="31">
        <v>900</v>
      </c>
      <c r="IXL6" s="31">
        <v>900</v>
      </c>
      <c r="IXM6" s="31">
        <v>900</v>
      </c>
      <c r="IXN6" s="31">
        <v>900</v>
      </c>
      <c r="IXO6" s="31">
        <v>900</v>
      </c>
      <c r="IXP6" s="31">
        <v>900</v>
      </c>
      <c r="IXQ6" s="31">
        <v>900</v>
      </c>
      <c r="IXR6" s="31">
        <v>900</v>
      </c>
      <c r="IXS6" s="31">
        <v>900</v>
      </c>
      <c r="IXT6" s="31">
        <v>900</v>
      </c>
      <c r="IXU6" s="31">
        <v>900</v>
      </c>
      <c r="IXV6" s="31">
        <v>900</v>
      </c>
      <c r="IXW6" s="31">
        <v>900</v>
      </c>
      <c r="IXX6" s="31">
        <v>900</v>
      </c>
      <c r="IXY6" s="31">
        <v>900</v>
      </c>
      <c r="IXZ6" s="31">
        <v>900</v>
      </c>
      <c r="IYA6" s="31">
        <v>900</v>
      </c>
      <c r="IYB6" s="31">
        <v>900</v>
      </c>
      <c r="IYC6" s="31">
        <v>900</v>
      </c>
      <c r="IYD6" s="31">
        <v>900</v>
      </c>
      <c r="IYE6" s="31">
        <v>900</v>
      </c>
      <c r="IYF6" s="31">
        <v>900</v>
      </c>
      <c r="IYG6" s="31">
        <v>900</v>
      </c>
      <c r="IYH6" s="31">
        <v>900</v>
      </c>
      <c r="IYI6" s="31">
        <v>900</v>
      </c>
      <c r="IYJ6" s="31">
        <v>900</v>
      </c>
      <c r="IYK6" s="31">
        <v>900</v>
      </c>
      <c r="IYL6" s="31">
        <v>900</v>
      </c>
      <c r="IYM6" s="31">
        <v>900</v>
      </c>
      <c r="IYN6" s="31">
        <v>900</v>
      </c>
      <c r="IYO6" s="31">
        <v>900</v>
      </c>
      <c r="IYP6" s="31">
        <v>900</v>
      </c>
      <c r="IYQ6" s="31">
        <v>900</v>
      </c>
      <c r="IYR6" s="31">
        <v>900</v>
      </c>
      <c r="IYS6" s="31">
        <v>900</v>
      </c>
      <c r="IYT6" s="31">
        <v>900</v>
      </c>
      <c r="IYU6" s="31">
        <v>900</v>
      </c>
      <c r="IYV6" s="31">
        <v>900</v>
      </c>
      <c r="IYW6" s="31">
        <v>900</v>
      </c>
      <c r="IYX6" s="31">
        <v>900</v>
      </c>
      <c r="IYY6" s="31">
        <v>900</v>
      </c>
      <c r="IYZ6" s="31">
        <v>900</v>
      </c>
      <c r="IZA6" s="31">
        <v>900</v>
      </c>
      <c r="IZB6" s="31">
        <v>900</v>
      </c>
      <c r="IZC6" s="31">
        <v>900</v>
      </c>
      <c r="IZD6" s="31">
        <v>900</v>
      </c>
      <c r="IZE6" s="31">
        <v>900</v>
      </c>
      <c r="IZF6" s="31">
        <v>900</v>
      </c>
      <c r="IZG6" s="31">
        <v>900</v>
      </c>
      <c r="IZH6" s="31">
        <v>900</v>
      </c>
      <c r="IZI6" s="31">
        <v>900</v>
      </c>
      <c r="IZJ6" s="31">
        <v>900</v>
      </c>
      <c r="IZK6" s="31">
        <v>900</v>
      </c>
      <c r="IZL6" s="31">
        <v>900</v>
      </c>
      <c r="IZM6" s="31">
        <v>900</v>
      </c>
      <c r="IZN6" s="31">
        <v>900</v>
      </c>
      <c r="IZO6" s="31">
        <v>900</v>
      </c>
      <c r="IZP6" s="31">
        <v>900</v>
      </c>
      <c r="IZQ6" s="31">
        <v>900</v>
      </c>
      <c r="IZR6" s="31">
        <v>900</v>
      </c>
      <c r="IZS6" s="31">
        <v>900</v>
      </c>
      <c r="IZT6" s="31">
        <v>900</v>
      </c>
      <c r="IZU6" s="31">
        <v>900</v>
      </c>
      <c r="IZV6" s="31">
        <v>900</v>
      </c>
      <c r="IZW6" s="31">
        <v>900</v>
      </c>
      <c r="IZX6" s="31">
        <v>900</v>
      </c>
      <c r="IZY6" s="31">
        <v>900</v>
      </c>
      <c r="IZZ6" s="31">
        <v>900</v>
      </c>
      <c r="JAA6" s="31">
        <v>900</v>
      </c>
      <c r="JAB6" s="31">
        <v>900</v>
      </c>
      <c r="JAC6" s="31">
        <v>900</v>
      </c>
      <c r="JAD6" s="31">
        <v>900</v>
      </c>
      <c r="JAE6" s="31">
        <v>900</v>
      </c>
      <c r="JAF6" s="31">
        <v>900</v>
      </c>
      <c r="JAG6" s="31">
        <v>900</v>
      </c>
      <c r="JAH6" s="31">
        <v>900</v>
      </c>
      <c r="JAI6" s="31">
        <v>900</v>
      </c>
      <c r="JAJ6" s="31">
        <v>900</v>
      </c>
      <c r="JAK6" s="31">
        <v>900</v>
      </c>
      <c r="JAL6" s="31">
        <v>900</v>
      </c>
      <c r="JAM6" s="31">
        <v>900</v>
      </c>
      <c r="JAN6" s="31">
        <v>900</v>
      </c>
      <c r="JAO6" s="31">
        <v>900</v>
      </c>
      <c r="JAP6" s="31">
        <v>900</v>
      </c>
      <c r="JAQ6" s="31">
        <v>900</v>
      </c>
      <c r="JAR6" s="31">
        <v>900</v>
      </c>
      <c r="JAS6" s="31">
        <v>900</v>
      </c>
      <c r="JAT6" s="31">
        <v>900</v>
      </c>
      <c r="JAU6" s="31">
        <v>900</v>
      </c>
      <c r="JAV6" s="31">
        <v>900</v>
      </c>
      <c r="JAW6" s="31">
        <v>900</v>
      </c>
      <c r="JAX6" s="31">
        <v>900</v>
      </c>
      <c r="JAY6" s="31">
        <v>900</v>
      </c>
      <c r="JAZ6" s="31">
        <v>900</v>
      </c>
      <c r="JBA6" s="31">
        <v>900</v>
      </c>
      <c r="JBB6" s="31">
        <v>900</v>
      </c>
      <c r="JBC6" s="31">
        <v>900</v>
      </c>
      <c r="JBD6" s="31">
        <v>900</v>
      </c>
      <c r="JBE6" s="31">
        <v>900</v>
      </c>
      <c r="JBF6" s="31">
        <v>900</v>
      </c>
      <c r="JBG6" s="31">
        <v>900</v>
      </c>
      <c r="JBH6" s="31">
        <v>900</v>
      </c>
      <c r="JBI6" s="31">
        <v>900</v>
      </c>
      <c r="JBJ6" s="31">
        <v>900</v>
      </c>
      <c r="JBK6" s="31">
        <v>900</v>
      </c>
      <c r="JBL6" s="31">
        <v>900</v>
      </c>
      <c r="JBM6" s="31">
        <v>900</v>
      </c>
      <c r="JBN6" s="31">
        <v>900</v>
      </c>
      <c r="JBO6" s="31">
        <v>900</v>
      </c>
      <c r="JBP6" s="31">
        <v>900</v>
      </c>
      <c r="JBQ6" s="31">
        <v>900</v>
      </c>
      <c r="JBR6" s="31">
        <v>900</v>
      </c>
      <c r="JBS6" s="31">
        <v>900</v>
      </c>
      <c r="JBT6" s="31">
        <v>900</v>
      </c>
      <c r="JBU6" s="31">
        <v>900</v>
      </c>
      <c r="JBV6" s="31">
        <v>900</v>
      </c>
      <c r="JBW6" s="31">
        <v>900</v>
      </c>
      <c r="JBX6" s="31">
        <v>900</v>
      </c>
      <c r="JBY6" s="31">
        <v>900</v>
      </c>
      <c r="JBZ6" s="31">
        <v>900</v>
      </c>
      <c r="JCA6" s="31">
        <v>900</v>
      </c>
      <c r="JCB6" s="31">
        <v>900</v>
      </c>
      <c r="JCC6" s="31">
        <v>900</v>
      </c>
      <c r="JCD6" s="31">
        <v>900</v>
      </c>
      <c r="JCE6" s="31">
        <v>900</v>
      </c>
      <c r="JCF6" s="31">
        <v>900</v>
      </c>
      <c r="JCG6" s="31">
        <v>900</v>
      </c>
      <c r="JCH6" s="31">
        <v>900</v>
      </c>
      <c r="JCI6" s="31">
        <v>900</v>
      </c>
      <c r="JCJ6" s="31">
        <v>900</v>
      </c>
      <c r="JCK6" s="31">
        <v>900</v>
      </c>
      <c r="JCL6" s="31">
        <v>900</v>
      </c>
      <c r="JCM6" s="31">
        <v>900</v>
      </c>
      <c r="JCN6" s="31">
        <v>900</v>
      </c>
      <c r="JCO6" s="31">
        <v>900</v>
      </c>
      <c r="JCP6" s="31">
        <v>900</v>
      </c>
      <c r="JCQ6" s="31">
        <v>900</v>
      </c>
      <c r="JCR6" s="31">
        <v>900</v>
      </c>
      <c r="JCS6" s="31">
        <v>900</v>
      </c>
      <c r="JCT6" s="31">
        <v>900</v>
      </c>
      <c r="JCU6" s="31">
        <v>900</v>
      </c>
      <c r="JCV6" s="31">
        <v>900</v>
      </c>
      <c r="JCW6" s="31">
        <v>900</v>
      </c>
      <c r="JCX6" s="31">
        <v>900</v>
      </c>
      <c r="JCY6" s="31">
        <v>900</v>
      </c>
      <c r="JCZ6" s="31">
        <v>900</v>
      </c>
      <c r="JDA6" s="31">
        <v>900</v>
      </c>
      <c r="JDB6" s="31">
        <v>900</v>
      </c>
      <c r="JDC6" s="31">
        <v>900</v>
      </c>
      <c r="JDD6" s="31">
        <v>900</v>
      </c>
      <c r="JDE6" s="31">
        <v>900</v>
      </c>
      <c r="JDF6" s="31">
        <v>900</v>
      </c>
      <c r="JDG6" s="31">
        <v>900</v>
      </c>
      <c r="JDH6" s="31">
        <v>900</v>
      </c>
      <c r="JDI6" s="31">
        <v>900</v>
      </c>
      <c r="JDJ6" s="31">
        <v>900</v>
      </c>
      <c r="JDK6" s="31">
        <v>900</v>
      </c>
      <c r="JDL6" s="31">
        <v>900</v>
      </c>
      <c r="JDM6" s="31">
        <v>900</v>
      </c>
      <c r="JDN6" s="31">
        <v>900</v>
      </c>
      <c r="JDO6" s="31">
        <v>900</v>
      </c>
      <c r="JDP6" s="31">
        <v>900</v>
      </c>
      <c r="JDQ6" s="31">
        <v>900</v>
      </c>
      <c r="JDR6" s="31">
        <v>900</v>
      </c>
      <c r="JDS6" s="31">
        <v>900</v>
      </c>
      <c r="JDT6" s="31">
        <v>900</v>
      </c>
      <c r="JDU6" s="31">
        <v>900</v>
      </c>
      <c r="JDV6" s="31">
        <v>900</v>
      </c>
      <c r="JDW6" s="31">
        <v>900</v>
      </c>
      <c r="JDX6" s="31">
        <v>900</v>
      </c>
      <c r="JDY6" s="31">
        <v>900</v>
      </c>
      <c r="JDZ6" s="31">
        <v>900</v>
      </c>
      <c r="JEA6" s="31">
        <v>900</v>
      </c>
      <c r="JEB6" s="31">
        <v>900</v>
      </c>
      <c r="JEC6" s="31">
        <v>900</v>
      </c>
      <c r="JED6" s="31">
        <v>900</v>
      </c>
      <c r="JEE6" s="31">
        <v>900</v>
      </c>
      <c r="JEF6" s="31">
        <v>900</v>
      </c>
      <c r="JEG6" s="31">
        <v>900</v>
      </c>
      <c r="JEH6" s="31">
        <v>900</v>
      </c>
      <c r="JEI6" s="31">
        <v>900</v>
      </c>
      <c r="JEJ6" s="31">
        <v>900</v>
      </c>
      <c r="JEK6" s="31">
        <v>900</v>
      </c>
      <c r="JEL6" s="31">
        <v>900</v>
      </c>
      <c r="JEM6" s="31">
        <v>900</v>
      </c>
      <c r="JEN6" s="31">
        <v>900</v>
      </c>
      <c r="JEO6" s="31">
        <v>900</v>
      </c>
      <c r="JEP6" s="31">
        <v>900</v>
      </c>
      <c r="JEQ6" s="31">
        <v>900</v>
      </c>
      <c r="JER6" s="31">
        <v>900</v>
      </c>
      <c r="JES6" s="31">
        <v>900</v>
      </c>
      <c r="JET6" s="31">
        <v>900</v>
      </c>
      <c r="JEU6" s="31">
        <v>900</v>
      </c>
      <c r="JEV6" s="31">
        <v>900</v>
      </c>
      <c r="JEW6" s="31">
        <v>900</v>
      </c>
      <c r="JEX6" s="31">
        <v>900</v>
      </c>
      <c r="JEY6" s="31">
        <v>900</v>
      </c>
      <c r="JEZ6" s="31">
        <v>900</v>
      </c>
      <c r="JFA6" s="31">
        <v>900</v>
      </c>
      <c r="JFB6" s="31">
        <v>900</v>
      </c>
      <c r="JFC6" s="31">
        <v>900</v>
      </c>
      <c r="JFD6" s="31">
        <v>900</v>
      </c>
      <c r="JFE6" s="31">
        <v>900</v>
      </c>
      <c r="JFF6" s="31">
        <v>900</v>
      </c>
      <c r="JFG6" s="31">
        <v>900</v>
      </c>
      <c r="JFH6" s="31">
        <v>900</v>
      </c>
      <c r="JFI6" s="31">
        <v>900</v>
      </c>
      <c r="JFJ6" s="31">
        <v>900</v>
      </c>
      <c r="JFK6" s="31">
        <v>900</v>
      </c>
      <c r="JFL6" s="31">
        <v>900</v>
      </c>
      <c r="JFM6" s="31">
        <v>900</v>
      </c>
      <c r="JFN6" s="31">
        <v>900</v>
      </c>
      <c r="JFO6" s="31">
        <v>900</v>
      </c>
      <c r="JFP6" s="31">
        <v>900</v>
      </c>
      <c r="JFQ6" s="31">
        <v>900</v>
      </c>
      <c r="JFR6" s="31">
        <v>900</v>
      </c>
      <c r="JFS6" s="31">
        <v>900</v>
      </c>
      <c r="JFT6" s="31">
        <v>900</v>
      </c>
      <c r="JFU6" s="31">
        <v>900</v>
      </c>
      <c r="JFV6" s="31">
        <v>900</v>
      </c>
      <c r="JFW6" s="31">
        <v>900</v>
      </c>
      <c r="JFX6" s="31">
        <v>900</v>
      </c>
      <c r="JFY6" s="31">
        <v>900</v>
      </c>
      <c r="JFZ6" s="31">
        <v>900</v>
      </c>
      <c r="JGA6" s="31">
        <v>900</v>
      </c>
      <c r="JGB6" s="31">
        <v>900</v>
      </c>
      <c r="JGC6" s="31">
        <v>900</v>
      </c>
      <c r="JGD6" s="31">
        <v>900</v>
      </c>
      <c r="JGE6" s="31">
        <v>900</v>
      </c>
      <c r="JGF6" s="31">
        <v>900</v>
      </c>
      <c r="JGG6" s="31">
        <v>900</v>
      </c>
      <c r="JGH6" s="31">
        <v>900</v>
      </c>
      <c r="JGI6" s="31">
        <v>900</v>
      </c>
      <c r="JGJ6" s="31">
        <v>900</v>
      </c>
      <c r="JGK6" s="31">
        <v>900</v>
      </c>
      <c r="JGL6" s="31">
        <v>900</v>
      </c>
      <c r="JGM6" s="31">
        <v>900</v>
      </c>
      <c r="JGN6" s="31">
        <v>900</v>
      </c>
      <c r="JGO6" s="31">
        <v>900</v>
      </c>
      <c r="JGP6" s="31">
        <v>900</v>
      </c>
      <c r="JGQ6" s="31">
        <v>900</v>
      </c>
      <c r="JGR6" s="31">
        <v>900</v>
      </c>
      <c r="JGS6" s="31">
        <v>900</v>
      </c>
      <c r="JGT6" s="31">
        <v>900</v>
      </c>
      <c r="JGU6" s="31">
        <v>900</v>
      </c>
      <c r="JGV6" s="31">
        <v>900</v>
      </c>
      <c r="JGW6" s="31">
        <v>900</v>
      </c>
      <c r="JGX6" s="31">
        <v>900</v>
      </c>
      <c r="JGY6" s="31">
        <v>900</v>
      </c>
      <c r="JGZ6" s="31">
        <v>900</v>
      </c>
      <c r="JHA6" s="31">
        <v>900</v>
      </c>
      <c r="JHB6" s="31">
        <v>900</v>
      </c>
      <c r="JHC6" s="31">
        <v>900</v>
      </c>
      <c r="JHD6" s="31">
        <v>900</v>
      </c>
      <c r="JHE6" s="31">
        <v>900</v>
      </c>
      <c r="JHF6" s="31">
        <v>900</v>
      </c>
      <c r="JHG6" s="31">
        <v>900</v>
      </c>
      <c r="JHH6" s="31">
        <v>900</v>
      </c>
      <c r="JHI6" s="31">
        <v>900</v>
      </c>
      <c r="JHJ6" s="31">
        <v>900</v>
      </c>
      <c r="JHK6" s="31">
        <v>900</v>
      </c>
      <c r="JHL6" s="31">
        <v>900</v>
      </c>
      <c r="JHM6" s="31">
        <v>900</v>
      </c>
      <c r="JHN6" s="31">
        <v>900</v>
      </c>
      <c r="JHO6" s="31">
        <v>900</v>
      </c>
      <c r="JHP6" s="31">
        <v>900</v>
      </c>
      <c r="JHQ6" s="31">
        <v>900</v>
      </c>
      <c r="JHR6" s="31">
        <v>900</v>
      </c>
      <c r="JHS6" s="31">
        <v>900</v>
      </c>
      <c r="JHT6" s="31">
        <v>900</v>
      </c>
      <c r="JHU6" s="31">
        <v>900</v>
      </c>
      <c r="JHV6" s="31">
        <v>900</v>
      </c>
      <c r="JHW6" s="31">
        <v>900</v>
      </c>
      <c r="JHX6" s="31">
        <v>900</v>
      </c>
      <c r="JHY6" s="31">
        <v>900</v>
      </c>
      <c r="JHZ6" s="31">
        <v>900</v>
      </c>
      <c r="JIA6" s="31">
        <v>900</v>
      </c>
      <c r="JIB6" s="31">
        <v>900</v>
      </c>
      <c r="JIC6" s="31">
        <v>900</v>
      </c>
      <c r="JID6" s="31">
        <v>900</v>
      </c>
      <c r="JIE6" s="31">
        <v>900</v>
      </c>
      <c r="JIF6" s="31">
        <v>900</v>
      </c>
      <c r="JIG6" s="31">
        <v>900</v>
      </c>
      <c r="JIH6" s="31">
        <v>900</v>
      </c>
      <c r="JII6" s="31">
        <v>900</v>
      </c>
      <c r="JIJ6" s="31">
        <v>900</v>
      </c>
      <c r="JIK6" s="31">
        <v>900</v>
      </c>
      <c r="JIL6" s="31">
        <v>900</v>
      </c>
      <c r="JIM6" s="31">
        <v>900</v>
      </c>
      <c r="JIN6" s="31">
        <v>900</v>
      </c>
      <c r="JIO6" s="31">
        <v>900</v>
      </c>
      <c r="JIP6" s="31">
        <v>900</v>
      </c>
      <c r="JIQ6" s="31">
        <v>900</v>
      </c>
      <c r="JIR6" s="31">
        <v>900</v>
      </c>
      <c r="JIS6" s="31">
        <v>900</v>
      </c>
      <c r="JIT6" s="31">
        <v>900</v>
      </c>
      <c r="JIU6" s="31">
        <v>900</v>
      </c>
      <c r="JIV6" s="31">
        <v>900</v>
      </c>
      <c r="JIW6" s="31">
        <v>900</v>
      </c>
      <c r="JIX6" s="31">
        <v>900</v>
      </c>
      <c r="JIY6" s="31">
        <v>900</v>
      </c>
      <c r="JIZ6" s="31">
        <v>900</v>
      </c>
      <c r="JJA6" s="31">
        <v>900</v>
      </c>
      <c r="JJB6" s="31">
        <v>900</v>
      </c>
      <c r="JJC6" s="31">
        <v>900</v>
      </c>
      <c r="JJD6" s="31">
        <v>900</v>
      </c>
      <c r="JJE6" s="31">
        <v>900</v>
      </c>
      <c r="JJF6" s="31">
        <v>900</v>
      </c>
      <c r="JJG6" s="31">
        <v>900</v>
      </c>
      <c r="JJH6" s="31">
        <v>900</v>
      </c>
      <c r="JJI6" s="31">
        <v>900</v>
      </c>
      <c r="JJJ6" s="31">
        <v>900</v>
      </c>
      <c r="JJK6" s="31">
        <v>900</v>
      </c>
      <c r="JJL6" s="31">
        <v>900</v>
      </c>
      <c r="JJM6" s="31">
        <v>900</v>
      </c>
      <c r="JJN6" s="31">
        <v>900</v>
      </c>
      <c r="JJO6" s="31">
        <v>900</v>
      </c>
      <c r="JJP6" s="31">
        <v>900</v>
      </c>
      <c r="JJQ6" s="31">
        <v>900</v>
      </c>
      <c r="JJR6" s="31">
        <v>900</v>
      </c>
      <c r="JJS6" s="31">
        <v>900</v>
      </c>
      <c r="JJT6" s="31">
        <v>900</v>
      </c>
      <c r="JJU6" s="31">
        <v>900</v>
      </c>
      <c r="JJV6" s="31">
        <v>900</v>
      </c>
      <c r="JJW6" s="31">
        <v>900</v>
      </c>
      <c r="JJX6" s="31">
        <v>900</v>
      </c>
      <c r="JJY6" s="31">
        <v>900</v>
      </c>
      <c r="JJZ6" s="31">
        <v>900</v>
      </c>
      <c r="JKA6" s="31">
        <v>900</v>
      </c>
      <c r="JKB6" s="31">
        <v>900</v>
      </c>
      <c r="JKC6" s="31">
        <v>900</v>
      </c>
      <c r="JKD6" s="31">
        <v>900</v>
      </c>
      <c r="JKE6" s="31">
        <v>900</v>
      </c>
      <c r="JKF6" s="31">
        <v>900</v>
      </c>
      <c r="JKG6" s="31">
        <v>900</v>
      </c>
      <c r="JKH6" s="31">
        <v>900</v>
      </c>
      <c r="JKI6" s="31">
        <v>900</v>
      </c>
      <c r="JKJ6" s="31">
        <v>900</v>
      </c>
      <c r="JKK6" s="31">
        <v>900</v>
      </c>
      <c r="JKL6" s="31">
        <v>900</v>
      </c>
      <c r="JKM6" s="31">
        <v>900</v>
      </c>
      <c r="JKN6" s="31">
        <v>900</v>
      </c>
      <c r="JKO6" s="31">
        <v>900</v>
      </c>
      <c r="JKP6" s="31">
        <v>900</v>
      </c>
      <c r="JKQ6" s="31">
        <v>900</v>
      </c>
      <c r="JKR6" s="31">
        <v>900</v>
      </c>
      <c r="JKS6" s="31">
        <v>900</v>
      </c>
      <c r="JKT6" s="31">
        <v>900</v>
      </c>
      <c r="JKU6" s="31">
        <v>900</v>
      </c>
      <c r="JKV6" s="31">
        <v>900</v>
      </c>
      <c r="JKW6" s="31">
        <v>900</v>
      </c>
      <c r="JKX6" s="31">
        <v>900</v>
      </c>
      <c r="JKY6" s="31">
        <v>900</v>
      </c>
      <c r="JKZ6" s="31">
        <v>900</v>
      </c>
      <c r="JLA6" s="31">
        <v>900</v>
      </c>
      <c r="JLB6" s="31">
        <v>900</v>
      </c>
      <c r="JLC6" s="31">
        <v>900</v>
      </c>
      <c r="JLD6" s="31">
        <v>900</v>
      </c>
      <c r="JLE6" s="31">
        <v>900</v>
      </c>
      <c r="JLF6" s="31">
        <v>900</v>
      </c>
      <c r="JLG6" s="31">
        <v>900</v>
      </c>
      <c r="JLH6" s="31">
        <v>900</v>
      </c>
      <c r="JLI6" s="31">
        <v>900</v>
      </c>
      <c r="JLJ6" s="31">
        <v>900</v>
      </c>
      <c r="JLK6" s="31">
        <v>900</v>
      </c>
      <c r="JLL6" s="31">
        <v>900</v>
      </c>
      <c r="JLM6" s="31">
        <v>900</v>
      </c>
      <c r="JLN6" s="31">
        <v>900</v>
      </c>
      <c r="JLO6" s="31">
        <v>900</v>
      </c>
      <c r="JLP6" s="31">
        <v>900</v>
      </c>
      <c r="JLQ6" s="31">
        <v>900</v>
      </c>
      <c r="JLR6" s="31">
        <v>900</v>
      </c>
      <c r="JLS6" s="31">
        <v>900</v>
      </c>
      <c r="JLT6" s="31">
        <v>900</v>
      </c>
      <c r="JLU6" s="31">
        <v>900</v>
      </c>
      <c r="JLV6" s="31">
        <v>900</v>
      </c>
      <c r="JLW6" s="31">
        <v>900</v>
      </c>
      <c r="JLX6" s="31">
        <v>900</v>
      </c>
      <c r="JLY6" s="31">
        <v>900</v>
      </c>
      <c r="JLZ6" s="31">
        <v>900</v>
      </c>
      <c r="JMA6" s="31">
        <v>900</v>
      </c>
      <c r="JMB6" s="31">
        <v>900</v>
      </c>
      <c r="JMC6" s="31">
        <v>900</v>
      </c>
      <c r="JMD6" s="31">
        <v>900</v>
      </c>
      <c r="JME6" s="31">
        <v>900</v>
      </c>
      <c r="JMF6" s="31">
        <v>900</v>
      </c>
      <c r="JMG6" s="31">
        <v>900</v>
      </c>
      <c r="JMH6" s="31">
        <v>900</v>
      </c>
      <c r="JMI6" s="31">
        <v>900</v>
      </c>
      <c r="JMJ6" s="31">
        <v>900</v>
      </c>
      <c r="JMK6" s="31">
        <v>900</v>
      </c>
      <c r="JML6" s="31">
        <v>900</v>
      </c>
      <c r="JMM6" s="31">
        <v>900</v>
      </c>
      <c r="JMN6" s="31">
        <v>900</v>
      </c>
      <c r="JMO6" s="31">
        <v>900</v>
      </c>
      <c r="JMP6" s="31">
        <v>900</v>
      </c>
      <c r="JMQ6" s="31">
        <v>900</v>
      </c>
      <c r="JMR6" s="31">
        <v>900</v>
      </c>
      <c r="JMS6" s="31">
        <v>900</v>
      </c>
      <c r="JMT6" s="31">
        <v>900</v>
      </c>
      <c r="JMU6" s="31">
        <v>900</v>
      </c>
      <c r="JMV6" s="31">
        <v>900</v>
      </c>
      <c r="JMW6" s="31">
        <v>900</v>
      </c>
      <c r="JMX6" s="31">
        <v>900</v>
      </c>
      <c r="JMY6" s="31">
        <v>900</v>
      </c>
      <c r="JMZ6" s="31">
        <v>900</v>
      </c>
      <c r="JNA6" s="31">
        <v>900</v>
      </c>
      <c r="JNB6" s="31">
        <v>900</v>
      </c>
      <c r="JNC6" s="31">
        <v>900</v>
      </c>
      <c r="JND6" s="31">
        <v>900</v>
      </c>
      <c r="JNE6" s="31">
        <v>900</v>
      </c>
      <c r="JNF6" s="31">
        <v>900</v>
      </c>
      <c r="JNG6" s="31">
        <v>900</v>
      </c>
      <c r="JNH6" s="31">
        <v>900</v>
      </c>
      <c r="JNI6" s="31">
        <v>900</v>
      </c>
      <c r="JNJ6" s="31">
        <v>900</v>
      </c>
      <c r="JNK6" s="31">
        <v>900</v>
      </c>
      <c r="JNL6" s="31">
        <v>900</v>
      </c>
      <c r="JNM6" s="31">
        <v>900</v>
      </c>
      <c r="JNN6" s="31">
        <v>900</v>
      </c>
      <c r="JNO6" s="31">
        <v>900</v>
      </c>
      <c r="JNP6" s="31">
        <v>900</v>
      </c>
      <c r="JNQ6" s="31">
        <v>900</v>
      </c>
      <c r="JNR6" s="31">
        <v>900</v>
      </c>
      <c r="JNS6" s="31">
        <v>900</v>
      </c>
      <c r="JNT6" s="31">
        <v>900</v>
      </c>
      <c r="JNU6" s="31">
        <v>900</v>
      </c>
      <c r="JNV6" s="31">
        <v>900</v>
      </c>
      <c r="JNW6" s="31">
        <v>900</v>
      </c>
      <c r="JNX6" s="31">
        <v>900</v>
      </c>
      <c r="JNY6" s="31">
        <v>900</v>
      </c>
      <c r="JNZ6" s="31">
        <v>900</v>
      </c>
      <c r="JOA6" s="31">
        <v>900</v>
      </c>
      <c r="JOB6" s="31">
        <v>900</v>
      </c>
      <c r="JOC6" s="31">
        <v>900</v>
      </c>
      <c r="JOD6" s="31">
        <v>900</v>
      </c>
      <c r="JOE6" s="31">
        <v>900</v>
      </c>
      <c r="JOF6" s="31">
        <v>900</v>
      </c>
      <c r="JOG6" s="31">
        <v>900</v>
      </c>
      <c r="JOH6" s="31">
        <v>900</v>
      </c>
      <c r="JOI6" s="31">
        <v>900</v>
      </c>
      <c r="JOJ6" s="31">
        <v>900</v>
      </c>
      <c r="JOK6" s="31">
        <v>900</v>
      </c>
      <c r="JOL6" s="31">
        <v>900</v>
      </c>
      <c r="JOM6" s="31">
        <v>900</v>
      </c>
      <c r="JON6" s="31">
        <v>900</v>
      </c>
      <c r="JOO6" s="31">
        <v>900</v>
      </c>
      <c r="JOP6" s="31">
        <v>900</v>
      </c>
      <c r="JOQ6" s="31">
        <v>900</v>
      </c>
      <c r="JOR6" s="31">
        <v>900</v>
      </c>
      <c r="JOS6" s="31">
        <v>900</v>
      </c>
      <c r="JOT6" s="31">
        <v>900</v>
      </c>
      <c r="JOU6" s="31">
        <v>900</v>
      </c>
      <c r="JOV6" s="31">
        <v>900</v>
      </c>
      <c r="JOW6" s="31">
        <v>900</v>
      </c>
      <c r="JOX6" s="31">
        <v>900</v>
      </c>
      <c r="JOY6" s="31">
        <v>900</v>
      </c>
      <c r="JOZ6" s="31">
        <v>900</v>
      </c>
      <c r="JPA6" s="31">
        <v>900</v>
      </c>
      <c r="JPB6" s="31">
        <v>900</v>
      </c>
      <c r="JPC6" s="31">
        <v>900</v>
      </c>
      <c r="JPD6" s="31">
        <v>900</v>
      </c>
      <c r="JPE6" s="31">
        <v>900</v>
      </c>
      <c r="JPF6" s="31">
        <v>900</v>
      </c>
      <c r="JPG6" s="31">
        <v>900</v>
      </c>
      <c r="JPH6" s="31">
        <v>900</v>
      </c>
      <c r="JPI6" s="31">
        <v>900</v>
      </c>
      <c r="JPJ6" s="31">
        <v>900</v>
      </c>
      <c r="JPK6" s="31">
        <v>900</v>
      </c>
      <c r="JPL6" s="31">
        <v>900</v>
      </c>
      <c r="JPM6" s="31">
        <v>900</v>
      </c>
      <c r="JPN6" s="31">
        <v>900</v>
      </c>
      <c r="JPO6" s="31">
        <v>900</v>
      </c>
      <c r="JPP6" s="31">
        <v>900</v>
      </c>
      <c r="JPQ6" s="31">
        <v>900</v>
      </c>
      <c r="JPR6" s="31">
        <v>900</v>
      </c>
      <c r="JPS6" s="31">
        <v>900</v>
      </c>
      <c r="JPT6" s="31">
        <v>900</v>
      </c>
      <c r="JPU6" s="31">
        <v>900</v>
      </c>
      <c r="JPV6" s="31">
        <v>900</v>
      </c>
      <c r="JPW6" s="31">
        <v>900</v>
      </c>
      <c r="JPX6" s="31">
        <v>900</v>
      </c>
      <c r="JPY6" s="31">
        <v>900</v>
      </c>
      <c r="JPZ6" s="31">
        <v>900</v>
      </c>
      <c r="JQA6" s="31">
        <v>900</v>
      </c>
      <c r="JQB6" s="31">
        <v>900</v>
      </c>
      <c r="JQC6" s="31">
        <v>900</v>
      </c>
      <c r="JQD6" s="31">
        <v>900</v>
      </c>
      <c r="JQE6" s="31">
        <v>900</v>
      </c>
      <c r="JQF6" s="31">
        <v>900</v>
      </c>
      <c r="JQG6" s="31">
        <v>900</v>
      </c>
      <c r="JQH6" s="31">
        <v>900</v>
      </c>
      <c r="JQI6" s="31">
        <v>900</v>
      </c>
      <c r="JQJ6" s="31">
        <v>900</v>
      </c>
      <c r="JQK6" s="31">
        <v>900</v>
      </c>
      <c r="JQL6" s="31">
        <v>900</v>
      </c>
      <c r="JQM6" s="31">
        <v>900</v>
      </c>
      <c r="JQN6" s="31">
        <v>900</v>
      </c>
      <c r="JQO6" s="31">
        <v>900</v>
      </c>
      <c r="JQP6" s="31">
        <v>900</v>
      </c>
      <c r="JQQ6" s="31">
        <v>900</v>
      </c>
      <c r="JQR6" s="31">
        <v>900</v>
      </c>
      <c r="JQS6" s="31">
        <v>900</v>
      </c>
      <c r="JQT6" s="31">
        <v>900</v>
      </c>
      <c r="JQU6" s="31">
        <v>900</v>
      </c>
      <c r="JQV6" s="31">
        <v>900</v>
      </c>
      <c r="JQW6" s="31">
        <v>900</v>
      </c>
      <c r="JQX6" s="31">
        <v>900</v>
      </c>
      <c r="JQY6" s="31">
        <v>900</v>
      </c>
      <c r="JQZ6" s="31">
        <v>900</v>
      </c>
      <c r="JRA6" s="31">
        <v>900</v>
      </c>
      <c r="JRB6" s="31">
        <v>900</v>
      </c>
      <c r="JRC6" s="31">
        <v>900</v>
      </c>
      <c r="JRD6" s="31">
        <v>900</v>
      </c>
      <c r="JRE6" s="31">
        <v>900</v>
      </c>
      <c r="JRF6" s="31">
        <v>900</v>
      </c>
      <c r="JRG6" s="31">
        <v>900</v>
      </c>
      <c r="JRH6" s="31">
        <v>900</v>
      </c>
      <c r="JRI6" s="31">
        <v>900</v>
      </c>
      <c r="JRJ6" s="31">
        <v>900</v>
      </c>
      <c r="JRK6" s="31">
        <v>900</v>
      </c>
      <c r="JRL6" s="31">
        <v>900</v>
      </c>
      <c r="JRM6" s="31">
        <v>900</v>
      </c>
      <c r="JRN6" s="31">
        <v>900</v>
      </c>
      <c r="JRO6" s="31">
        <v>900</v>
      </c>
      <c r="JRP6" s="31">
        <v>900</v>
      </c>
      <c r="JRQ6" s="31">
        <v>900</v>
      </c>
      <c r="JRR6" s="31">
        <v>900</v>
      </c>
      <c r="JRS6" s="31">
        <v>900</v>
      </c>
      <c r="JRT6" s="31">
        <v>900</v>
      </c>
      <c r="JRU6" s="31">
        <v>900</v>
      </c>
      <c r="JRV6" s="31">
        <v>900</v>
      </c>
      <c r="JRW6" s="31">
        <v>900</v>
      </c>
      <c r="JRX6" s="31">
        <v>900</v>
      </c>
      <c r="JRY6" s="31">
        <v>900</v>
      </c>
      <c r="JRZ6" s="31">
        <v>900</v>
      </c>
      <c r="JSA6" s="31">
        <v>900</v>
      </c>
      <c r="JSB6" s="31">
        <v>900</v>
      </c>
      <c r="JSC6" s="31">
        <v>900</v>
      </c>
      <c r="JSD6" s="31">
        <v>900</v>
      </c>
      <c r="JSE6" s="31">
        <v>900</v>
      </c>
      <c r="JSF6" s="31">
        <v>900</v>
      </c>
      <c r="JSG6" s="31">
        <v>900</v>
      </c>
      <c r="JSH6" s="31">
        <v>900</v>
      </c>
      <c r="JSI6" s="31">
        <v>900</v>
      </c>
      <c r="JSJ6" s="31">
        <v>900</v>
      </c>
      <c r="JSK6" s="31">
        <v>900</v>
      </c>
      <c r="JSL6" s="31">
        <v>900</v>
      </c>
      <c r="JSM6" s="31">
        <v>900</v>
      </c>
      <c r="JSN6" s="31">
        <v>900</v>
      </c>
      <c r="JSO6" s="31">
        <v>900</v>
      </c>
      <c r="JSP6" s="31">
        <v>900</v>
      </c>
      <c r="JSQ6" s="31">
        <v>900</v>
      </c>
      <c r="JSR6" s="31">
        <v>900</v>
      </c>
      <c r="JSS6" s="31">
        <v>900</v>
      </c>
      <c r="JST6" s="31">
        <v>900</v>
      </c>
      <c r="JSU6" s="31">
        <v>900</v>
      </c>
      <c r="JSV6" s="31">
        <v>900</v>
      </c>
      <c r="JSW6" s="31">
        <v>900</v>
      </c>
      <c r="JSX6" s="31">
        <v>900</v>
      </c>
      <c r="JSY6" s="31">
        <v>900</v>
      </c>
      <c r="JSZ6" s="31">
        <v>900</v>
      </c>
      <c r="JTA6" s="31">
        <v>900</v>
      </c>
      <c r="JTB6" s="31">
        <v>900</v>
      </c>
      <c r="JTC6" s="31">
        <v>900</v>
      </c>
      <c r="JTD6" s="31">
        <v>900</v>
      </c>
      <c r="JTE6" s="31">
        <v>900</v>
      </c>
      <c r="JTF6" s="31">
        <v>900</v>
      </c>
      <c r="JTG6" s="31">
        <v>900</v>
      </c>
      <c r="JTH6" s="31">
        <v>900</v>
      </c>
      <c r="JTI6" s="31">
        <v>900</v>
      </c>
      <c r="JTJ6" s="31">
        <v>900</v>
      </c>
      <c r="JTK6" s="31">
        <v>900</v>
      </c>
      <c r="JTL6" s="31">
        <v>900</v>
      </c>
      <c r="JTM6" s="31">
        <v>900</v>
      </c>
      <c r="JTN6" s="31">
        <v>900</v>
      </c>
      <c r="JTO6" s="31">
        <v>900</v>
      </c>
      <c r="JTP6" s="31">
        <v>900</v>
      </c>
      <c r="JTQ6" s="31">
        <v>900</v>
      </c>
      <c r="JTR6" s="31">
        <v>900</v>
      </c>
      <c r="JTS6" s="31">
        <v>900</v>
      </c>
      <c r="JTT6" s="31">
        <v>900</v>
      </c>
      <c r="JTU6" s="31">
        <v>900</v>
      </c>
      <c r="JTV6" s="31">
        <v>900</v>
      </c>
      <c r="JTW6" s="31">
        <v>900</v>
      </c>
      <c r="JTX6" s="31">
        <v>900</v>
      </c>
      <c r="JTY6" s="31">
        <v>900</v>
      </c>
      <c r="JTZ6" s="31">
        <v>900</v>
      </c>
      <c r="JUA6" s="31">
        <v>900</v>
      </c>
      <c r="JUB6" s="31">
        <v>900</v>
      </c>
      <c r="JUC6" s="31">
        <v>900</v>
      </c>
      <c r="JUD6" s="31">
        <v>900</v>
      </c>
      <c r="JUE6" s="31">
        <v>900</v>
      </c>
      <c r="JUF6" s="31">
        <v>900</v>
      </c>
      <c r="JUG6" s="31">
        <v>900</v>
      </c>
      <c r="JUH6" s="31">
        <v>900</v>
      </c>
      <c r="JUI6" s="31">
        <v>900</v>
      </c>
      <c r="JUJ6" s="31">
        <v>900</v>
      </c>
      <c r="JUK6" s="31">
        <v>900</v>
      </c>
      <c r="JUL6" s="31">
        <v>900</v>
      </c>
      <c r="JUM6" s="31">
        <v>900</v>
      </c>
      <c r="JUN6" s="31">
        <v>900</v>
      </c>
      <c r="JUO6" s="31">
        <v>900</v>
      </c>
      <c r="JUP6" s="31">
        <v>900</v>
      </c>
      <c r="JUQ6" s="31">
        <v>900</v>
      </c>
      <c r="JUR6" s="31">
        <v>900</v>
      </c>
      <c r="JUS6" s="31">
        <v>900</v>
      </c>
      <c r="JUT6" s="31">
        <v>900</v>
      </c>
      <c r="JUU6" s="31">
        <v>900</v>
      </c>
      <c r="JUV6" s="31">
        <v>900</v>
      </c>
      <c r="JUW6" s="31">
        <v>900</v>
      </c>
      <c r="JUX6" s="31">
        <v>900</v>
      </c>
      <c r="JUY6" s="31">
        <v>900</v>
      </c>
      <c r="JUZ6" s="31">
        <v>900</v>
      </c>
      <c r="JVA6" s="31">
        <v>900</v>
      </c>
      <c r="JVB6" s="31">
        <v>900</v>
      </c>
      <c r="JVC6" s="31">
        <v>900</v>
      </c>
      <c r="JVD6" s="31">
        <v>900</v>
      </c>
      <c r="JVE6" s="31">
        <v>900</v>
      </c>
      <c r="JVF6" s="31">
        <v>900</v>
      </c>
      <c r="JVG6" s="31">
        <v>900</v>
      </c>
      <c r="JVH6" s="31">
        <v>900</v>
      </c>
      <c r="JVI6" s="31">
        <v>900</v>
      </c>
      <c r="JVJ6" s="31">
        <v>900</v>
      </c>
      <c r="JVK6" s="31">
        <v>900</v>
      </c>
      <c r="JVL6" s="31">
        <v>900</v>
      </c>
      <c r="JVM6" s="31">
        <v>900</v>
      </c>
      <c r="JVN6" s="31">
        <v>900</v>
      </c>
      <c r="JVO6" s="31">
        <v>900</v>
      </c>
      <c r="JVP6" s="31">
        <v>900</v>
      </c>
      <c r="JVQ6" s="31">
        <v>900</v>
      </c>
      <c r="JVR6" s="31">
        <v>900</v>
      </c>
      <c r="JVS6" s="31">
        <v>900</v>
      </c>
      <c r="JVT6" s="31">
        <v>900</v>
      </c>
      <c r="JVU6" s="31">
        <v>900</v>
      </c>
      <c r="JVV6" s="31">
        <v>900</v>
      </c>
      <c r="JVW6" s="31">
        <v>900</v>
      </c>
      <c r="JVX6" s="31">
        <v>900</v>
      </c>
      <c r="JVY6" s="31">
        <v>900</v>
      </c>
      <c r="JVZ6" s="31">
        <v>900</v>
      </c>
      <c r="JWA6" s="31">
        <v>900</v>
      </c>
      <c r="JWB6" s="31">
        <v>900</v>
      </c>
      <c r="JWC6" s="31">
        <v>900</v>
      </c>
      <c r="JWD6" s="31">
        <v>900</v>
      </c>
      <c r="JWE6" s="31">
        <v>900</v>
      </c>
      <c r="JWF6" s="31">
        <v>900</v>
      </c>
      <c r="JWG6" s="31">
        <v>900</v>
      </c>
      <c r="JWH6" s="31">
        <v>900</v>
      </c>
      <c r="JWI6" s="31">
        <v>900</v>
      </c>
      <c r="JWJ6" s="31">
        <v>900</v>
      </c>
      <c r="JWK6" s="31">
        <v>900</v>
      </c>
      <c r="JWL6" s="31">
        <v>900</v>
      </c>
      <c r="JWM6" s="31">
        <v>900</v>
      </c>
      <c r="JWN6" s="31">
        <v>900</v>
      </c>
      <c r="JWO6" s="31">
        <v>900</v>
      </c>
      <c r="JWP6" s="31">
        <v>900</v>
      </c>
      <c r="JWQ6" s="31">
        <v>900</v>
      </c>
      <c r="JWR6" s="31">
        <v>900</v>
      </c>
      <c r="JWS6" s="31">
        <v>900</v>
      </c>
      <c r="JWT6" s="31">
        <v>900</v>
      </c>
      <c r="JWU6" s="31">
        <v>900</v>
      </c>
      <c r="JWV6" s="31">
        <v>900</v>
      </c>
      <c r="JWW6" s="31">
        <v>900</v>
      </c>
      <c r="JWX6" s="31">
        <v>900</v>
      </c>
      <c r="JWY6" s="31">
        <v>900</v>
      </c>
      <c r="JWZ6" s="31">
        <v>900</v>
      </c>
      <c r="JXA6" s="31">
        <v>900</v>
      </c>
      <c r="JXB6" s="31">
        <v>900</v>
      </c>
      <c r="JXC6" s="31">
        <v>900</v>
      </c>
      <c r="JXD6" s="31">
        <v>900</v>
      </c>
      <c r="JXE6" s="31">
        <v>900</v>
      </c>
      <c r="JXF6" s="31">
        <v>900</v>
      </c>
      <c r="JXG6" s="31">
        <v>900</v>
      </c>
      <c r="JXH6" s="31">
        <v>900</v>
      </c>
      <c r="JXI6" s="31">
        <v>900</v>
      </c>
      <c r="JXJ6" s="31">
        <v>900</v>
      </c>
      <c r="JXK6" s="31">
        <v>900</v>
      </c>
      <c r="JXL6" s="31">
        <v>900</v>
      </c>
      <c r="JXM6" s="31">
        <v>900</v>
      </c>
      <c r="JXN6" s="31">
        <v>900</v>
      </c>
      <c r="JXO6" s="31">
        <v>900</v>
      </c>
      <c r="JXP6" s="31">
        <v>900</v>
      </c>
      <c r="JXQ6" s="31">
        <v>900</v>
      </c>
      <c r="JXR6" s="31">
        <v>900</v>
      </c>
      <c r="JXS6" s="31">
        <v>900</v>
      </c>
      <c r="JXT6" s="31">
        <v>900</v>
      </c>
      <c r="JXU6" s="31">
        <v>900</v>
      </c>
      <c r="JXV6" s="31">
        <v>900</v>
      </c>
      <c r="JXW6" s="31">
        <v>900</v>
      </c>
      <c r="JXX6" s="31">
        <v>900</v>
      </c>
      <c r="JXY6" s="31">
        <v>900</v>
      </c>
      <c r="JXZ6" s="31">
        <v>900</v>
      </c>
      <c r="JYA6" s="31">
        <v>900</v>
      </c>
      <c r="JYB6" s="31">
        <v>900</v>
      </c>
      <c r="JYC6" s="31">
        <v>900</v>
      </c>
      <c r="JYD6" s="31">
        <v>900</v>
      </c>
      <c r="JYE6" s="31">
        <v>900</v>
      </c>
      <c r="JYF6" s="31">
        <v>900</v>
      </c>
      <c r="JYG6" s="31">
        <v>900</v>
      </c>
      <c r="JYH6" s="31">
        <v>900</v>
      </c>
      <c r="JYI6" s="31">
        <v>900</v>
      </c>
      <c r="JYJ6" s="31">
        <v>900</v>
      </c>
      <c r="JYK6" s="31">
        <v>900</v>
      </c>
      <c r="JYL6" s="31">
        <v>900</v>
      </c>
      <c r="JYM6" s="31">
        <v>900</v>
      </c>
      <c r="JYN6" s="31">
        <v>900</v>
      </c>
      <c r="JYO6" s="31">
        <v>900</v>
      </c>
      <c r="JYP6" s="31">
        <v>900</v>
      </c>
      <c r="JYQ6" s="31">
        <v>900</v>
      </c>
      <c r="JYR6" s="31">
        <v>900</v>
      </c>
      <c r="JYS6" s="31">
        <v>900</v>
      </c>
      <c r="JYT6" s="31">
        <v>900</v>
      </c>
      <c r="JYU6" s="31">
        <v>900</v>
      </c>
      <c r="JYV6" s="31">
        <v>900</v>
      </c>
      <c r="JYW6" s="31">
        <v>900</v>
      </c>
      <c r="JYX6" s="31">
        <v>900</v>
      </c>
      <c r="JYY6" s="31">
        <v>900</v>
      </c>
      <c r="JYZ6" s="31">
        <v>900</v>
      </c>
      <c r="JZA6" s="31">
        <v>900</v>
      </c>
      <c r="JZB6" s="31">
        <v>900</v>
      </c>
      <c r="JZC6" s="31">
        <v>900</v>
      </c>
      <c r="JZD6" s="31">
        <v>900</v>
      </c>
      <c r="JZE6" s="31">
        <v>900</v>
      </c>
      <c r="JZF6" s="31">
        <v>900</v>
      </c>
      <c r="JZG6" s="31">
        <v>900</v>
      </c>
      <c r="JZH6" s="31">
        <v>900</v>
      </c>
      <c r="JZI6" s="31">
        <v>900</v>
      </c>
      <c r="JZJ6" s="31">
        <v>900</v>
      </c>
      <c r="JZK6" s="31">
        <v>900</v>
      </c>
      <c r="JZL6" s="31">
        <v>900</v>
      </c>
      <c r="JZM6" s="31">
        <v>900</v>
      </c>
      <c r="JZN6" s="31">
        <v>900</v>
      </c>
      <c r="JZO6" s="31">
        <v>900</v>
      </c>
      <c r="JZP6" s="31">
        <v>900</v>
      </c>
      <c r="JZQ6" s="31">
        <v>900</v>
      </c>
      <c r="JZR6" s="31">
        <v>900</v>
      </c>
      <c r="JZS6" s="31">
        <v>900</v>
      </c>
      <c r="JZT6" s="31">
        <v>900</v>
      </c>
      <c r="JZU6" s="31">
        <v>900</v>
      </c>
      <c r="JZV6" s="31">
        <v>900</v>
      </c>
      <c r="JZW6" s="31">
        <v>900</v>
      </c>
      <c r="JZX6" s="31">
        <v>900</v>
      </c>
      <c r="JZY6" s="31">
        <v>900</v>
      </c>
      <c r="JZZ6" s="31">
        <v>900</v>
      </c>
      <c r="KAA6" s="31">
        <v>900</v>
      </c>
      <c r="KAB6" s="31">
        <v>900</v>
      </c>
      <c r="KAC6" s="31">
        <v>900</v>
      </c>
      <c r="KAD6" s="31">
        <v>900</v>
      </c>
      <c r="KAE6" s="31">
        <v>900</v>
      </c>
      <c r="KAF6" s="31">
        <v>900</v>
      </c>
      <c r="KAG6" s="31">
        <v>900</v>
      </c>
      <c r="KAH6" s="31">
        <v>900</v>
      </c>
      <c r="KAI6" s="31">
        <v>900</v>
      </c>
      <c r="KAJ6" s="31">
        <v>900</v>
      </c>
      <c r="KAK6" s="31">
        <v>900</v>
      </c>
      <c r="KAL6" s="31">
        <v>900</v>
      </c>
      <c r="KAM6" s="31">
        <v>900</v>
      </c>
      <c r="KAN6" s="31">
        <v>900</v>
      </c>
      <c r="KAO6" s="31">
        <v>900</v>
      </c>
      <c r="KAP6" s="31">
        <v>900</v>
      </c>
      <c r="KAQ6" s="31">
        <v>900</v>
      </c>
      <c r="KAR6" s="31">
        <v>900</v>
      </c>
      <c r="KAS6" s="31">
        <v>900</v>
      </c>
      <c r="KAT6" s="31">
        <v>900</v>
      </c>
      <c r="KAU6" s="31">
        <v>900</v>
      </c>
      <c r="KAV6" s="31">
        <v>900</v>
      </c>
      <c r="KAW6" s="31">
        <v>900</v>
      </c>
      <c r="KAX6" s="31">
        <v>900</v>
      </c>
      <c r="KAY6" s="31">
        <v>900</v>
      </c>
      <c r="KAZ6" s="31">
        <v>900</v>
      </c>
      <c r="KBA6" s="31">
        <v>900</v>
      </c>
      <c r="KBB6" s="31">
        <v>900</v>
      </c>
      <c r="KBC6" s="31">
        <v>900</v>
      </c>
      <c r="KBD6" s="31">
        <v>900</v>
      </c>
      <c r="KBE6" s="31">
        <v>900</v>
      </c>
      <c r="KBF6" s="31">
        <v>900</v>
      </c>
      <c r="KBG6" s="31">
        <v>900</v>
      </c>
      <c r="KBH6" s="31">
        <v>900</v>
      </c>
      <c r="KBI6" s="31">
        <v>900</v>
      </c>
      <c r="KBJ6" s="31">
        <v>900</v>
      </c>
      <c r="KBK6" s="31">
        <v>900</v>
      </c>
      <c r="KBL6" s="31">
        <v>900</v>
      </c>
      <c r="KBM6" s="31">
        <v>900</v>
      </c>
      <c r="KBN6" s="31">
        <v>900</v>
      </c>
      <c r="KBO6" s="31">
        <v>900</v>
      </c>
      <c r="KBP6" s="31">
        <v>900</v>
      </c>
      <c r="KBQ6" s="31">
        <v>900</v>
      </c>
      <c r="KBR6" s="31">
        <v>900</v>
      </c>
      <c r="KBS6" s="31">
        <v>900</v>
      </c>
      <c r="KBT6" s="31">
        <v>900</v>
      </c>
      <c r="KBU6" s="31">
        <v>900</v>
      </c>
      <c r="KBV6" s="31">
        <v>900</v>
      </c>
      <c r="KBW6" s="31">
        <v>900</v>
      </c>
      <c r="KBX6" s="31">
        <v>900</v>
      </c>
      <c r="KBY6" s="31">
        <v>900</v>
      </c>
      <c r="KBZ6" s="31">
        <v>900</v>
      </c>
      <c r="KCA6" s="31">
        <v>900</v>
      </c>
      <c r="KCB6" s="31">
        <v>900</v>
      </c>
      <c r="KCC6" s="31">
        <v>900</v>
      </c>
      <c r="KCD6" s="31">
        <v>900</v>
      </c>
      <c r="KCE6" s="31">
        <v>900</v>
      </c>
      <c r="KCF6" s="31">
        <v>900</v>
      </c>
      <c r="KCG6" s="31">
        <v>900</v>
      </c>
      <c r="KCH6" s="31">
        <v>900</v>
      </c>
      <c r="KCI6" s="31">
        <v>900</v>
      </c>
      <c r="KCJ6" s="31">
        <v>900</v>
      </c>
      <c r="KCK6" s="31">
        <v>900</v>
      </c>
      <c r="KCL6" s="31">
        <v>900</v>
      </c>
      <c r="KCM6" s="31">
        <v>900</v>
      </c>
      <c r="KCN6" s="31">
        <v>900</v>
      </c>
      <c r="KCO6" s="31">
        <v>900</v>
      </c>
      <c r="KCP6" s="31">
        <v>900</v>
      </c>
      <c r="KCQ6" s="31">
        <v>900</v>
      </c>
      <c r="KCR6" s="31">
        <v>900</v>
      </c>
      <c r="KCS6" s="31">
        <v>900</v>
      </c>
      <c r="KCT6" s="31">
        <v>900</v>
      </c>
      <c r="KCU6" s="31">
        <v>900</v>
      </c>
      <c r="KCV6" s="31">
        <v>900</v>
      </c>
      <c r="KCW6" s="31">
        <v>900</v>
      </c>
      <c r="KCX6" s="31">
        <v>900</v>
      </c>
      <c r="KCY6" s="31">
        <v>900</v>
      </c>
      <c r="KCZ6" s="31">
        <v>900</v>
      </c>
      <c r="KDA6" s="31">
        <v>900</v>
      </c>
      <c r="KDB6" s="31">
        <v>900</v>
      </c>
      <c r="KDC6" s="31">
        <v>900</v>
      </c>
      <c r="KDD6" s="31">
        <v>900</v>
      </c>
      <c r="KDE6" s="31">
        <v>900</v>
      </c>
      <c r="KDF6" s="31">
        <v>900</v>
      </c>
      <c r="KDG6" s="31">
        <v>900</v>
      </c>
      <c r="KDH6" s="31">
        <v>900</v>
      </c>
      <c r="KDI6" s="31">
        <v>900</v>
      </c>
      <c r="KDJ6" s="31">
        <v>900</v>
      </c>
      <c r="KDK6" s="31">
        <v>900</v>
      </c>
      <c r="KDL6" s="31">
        <v>900</v>
      </c>
      <c r="KDM6" s="31">
        <v>900</v>
      </c>
      <c r="KDN6" s="31">
        <v>900</v>
      </c>
      <c r="KDO6" s="31">
        <v>900</v>
      </c>
      <c r="KDP6" s="31">
        <v>900</v>
      </c>
      <c r="KDQ6" s="31">
        <v>900</v>
      </c>
      <c r="KDR6" s="31">
        <v>900</v>
      </c>
      <c r="KDS6" s="31">
        <v>900</v>
      </c>
      <c r="KDT6" s="31">
        <v>900</v>
      </c>
      <c r="KDU6" s="31">
        <v>900</v>
      </c>
      <c r="KDV6" s="31">
        <v>900</v>
      </c>
      <c r="KDW6" s="31">
        <v>900</v>
      </c>
      <c r="KDX6" s="31">
        <v>900</v>
      </c>
      <c r="KDY6" s="31">
        <v>900</v>
      </c>
      <c r="KDZ6" s="31">
        <v>900</v>
      </c>
      <c r="KEA6" s="31">
        <v>900</v>
      </c>
      <c r="KEB6" s="31">
        <v>900</v>
      </c>
      <c r="KEC6" s="31">
        <v>900</v>
      </c>
      <c r="KED6" s="31">
        <v>900</v>
      </c>
      <c r="KEE6" s="31">
        <v>900</v>
      </c>
      <c r="KEF6" s="31">
        <v>900</v>
      </c>
      <c r="KEG6" s="31">
        <v>900</v>
      </c>
      <c r="KEH6" s="31">
        <v>900</v>
      </c>
      <c r="KEI6" s="31">
        <v>900</v>
      </c>
      <c r="KEJ6" s="31">
        <v>900</v>
      </c>
      <c r="KEK6" s="31">
        <v>900</v>
      </c>
      <c r="KEL6" s="31">
        <v>900</v>
      </c>
      <c r="KEM6" s="31">
        <v>900</v>
      </c>
      <c r="KEN6" s="31">
        <v>900</v>
      </c>
      <c r="KEO6" s="31">
        <v>900</v>
      </c>
      <c r="KEP6" s="31">
        <v>900</v>
      </c>
      <c r="KEQ6" s="31">
        <v>900</v>
      </c>
      <c r="KER6" s="31">
        <v>900</v>
      </c>
      <c r="KES6" s="31">
        <v>900</v>
      </c>
      <c r="KET6" s="31">
        <v>900</v>
      </c>
      <c r="KEU6" s="31">
        <v>900</v>
      </c>
      <c r="KEV6" s="31">
        <v>900</v>
      </c>
      <c r="KEW6" s="31">
        <v>900</v>
      </c>
      <c r="KEX6" s="31">
        <v>900</v>
      </c>
      <c r="KEY6" s="31">
        <v>900</v>
      </c>
      <c r="KEZ6" s="31">
        <v>900</v>
      </c>
      <c r="KFA6" s="31">
        <v>900</v>
      </c>
      <c r="KFB6" s="31">
        <v>900</v>
      </c>
      <c r="KFC6" s="31">
        <v>900</v>
      </c>
      <c r="KFD6" s="31">
        <v>900</v>
      </c>
      <c r="KFE6" s="31">
        <v>900</v>
      </c>
      <c r="KFF6" s="31">
        <v>900</v>
      </c>
      <c r="KFG6" s="31">
        <v>900</v>
      </c>
      <c r="KFH6" s="31">
        <v>900</v>
      </c>
      <c r="KFI6" s="31">
        <v>900</v>
      </c>
      <c r="KFJ6" s="31">
        <v>900</v>
      </c>
      <c r="KFK6" s="31">
        <v>900</v>
      </c>
      <c r="KFL6" s="31">
        <v>900</v>
      </c>
      <c r="KFM6" s="31">
        <v>900</v>
      </c>
      <c r="KFN6" s="31">
        <v>900</v>
      </c>
      <c r="KFO6" s="31">
        <v>900</v>
      </c>
      <c r="KFP6" s="31">
        <v>900</v>
      </c>
      <c r="KFQ6" s="31">
        <v>900</v>
      </c>
      <c r="KFR6" s="31">
        <v>900</v>
      </c>
      <c r="KFS6" s="31">
        <v>900</v>
      </c>
      <c r="KFT6" s="31">
        <v>900</v>
      </c>
      <c r="KFU6" s="31">
        <v>900</v>
      </c>
      <c r="KFV6" s="31">
        <v>900</v>
      </c>
      <c r="KFW6" s="31">
        <v>900</v>
      </c>
      <c r="KFX6" s="31">
        <v>900</v>
      </c>
      <c r="KFY6" s="31">
        <v>900</v>
      </c>
      <c r="KFZ6" s="31">
        <v>900</v>
      </c>
      <c r="KGA6" s="31">
        <v>900</v>
      </c>
      <c r="KGB6" s="31">
        <v>900</v>
      </c>
      <c r="KGC6" s="31">
        <v>900</v>
      </c>
      <c r="KGD6" s="31">
        <v>900</v>
      </c>
      <c r="KGE6" s="31">
        <v>900</v>
      </c>
      <c r="KGF6" s="31">
        <v>900</v>
      </c>
      <c r="KGG6" s="31">
        <v>900</v>
      </c>
      <c r="KGH6" s="31">
        <v>900</v>
      </c>
      <c r="KGI6" s="31">
        <v>900</v>
      </c>
      <c r="KGJ6" s="31">
        <v>900</v>
      </c>
      <c r="KGK6" s="31">
        <v>900</v>
      </c>
      <c r="KGL6" s="31">
        <v>900</v>
      </c>
      <c r="KGM6" s="31">
        <v>900</v>
      </c>
      <c r="KGN6" s="31">
        <v>900</v>
      </c>
      <c r="KGO6" s="31">
        <v>900</v>
      </c>
      <c r="KGP6" s="31">
        <v>900</v>
      </c>
      <c r="KGQ6" s="31">
        <v>900</v>
      </c>
      <c r="KGR6" s="31">
        <v>900</v>
      </c>
      <c r="KGS6" s="31">
        <v>900</v>
      </c>
      <c r="KGT6" s="31">
        <v>900</v>
      </c>
      <c r="KGU6" s="31">
        <v>900</v>
      </c>
      <c r="KGV6" s="31">
        <v>900</v>
      </c>
      <c r="KGW6" s="31">
        <v>900</v>
      </c>
      <c r="KGX6" s="31">
        <v>900</v>
      </c>
      <c r="KGY6" s="31">
        <v>900</v>
      </c>
      <c r="KGZ6" s="31">
        <v>900</v>
      </c>
      <c r="KHA6" s="31">
        <v>900</v>
      </c>
      <c r="KHB6" s="31">
        <v>900</v>
      </c>
      <c r="KHC6" s="31">
        <v>900</v>
      </c>
      <c r="KHD6" s="31">
        <v>900</v>
      </c>
      <c r="KHE6" s="31">
        <v>900</v>
      </c>
      <c r="KHF6" s="31">
        <v>900</v>
      </c>
      <c r="KHG6" s="31">
        <v>900</v>
      </c>
      <c r="KHH6" s="31">
        <v>900</v>
      </c>
      <c r="KHI6" s="31">
        <v>900</v>
      </c>
      <c r="KHJ6" s="31">
        <v>900</v>
      </c>
      <c r="KHK6" s="31">
        <v>900</v>
      </c>
      <c r="KHL6" s="31">
        <v>900</v>
      </c>
      <c r="KHM6" s="31">
        <v>900</v>
      </c>
      <c r="KHN6" s="31">
        <v>900</v>
      </c>
      <c r="KHO6" s="31">
        <v>900</v>
      </c>
      <c r="KHP6" s="31">
        <v>900</v>
      </c>
      <c r="KHQ6" s="31">
        <v>900</v>
      </c>
      <c r="KHR6" s="31">
        <v>900</v>
      </c>
      <c r="KHS6" s="31">
        <v>900</v>
      </c>
      <c r="KHT6" s="31">
        <v>900</v>
      </c>
      <c r="KHU6" s="31">
        <v>900</v>
      </c>
      <c r="KHV6" s="31">
        <v>900</v>
      </c>
      <c r="KHW6" s="31">
        <v>900</v>
      </c>
      <c r="KHX6" s="31">
        <v>900</v>
      </c>
      <c r="KHY6" s="31">
        <v>900</v>
      </c>
      <c r="KHZ6" s="31">
        <v>900</v>
      </c>
      <c r="KIA6" s="31">
        <v>900</v>
      </c>
      <c r="KIB6" s="31">
        <v>900</v>
      </c>
      <c r="KIC6" s="31">
        <v>900</v>
      </c>
      <c r="KID6" s="31">
        <v>900</v>
      </c>
      <c r="KIE6" s="31">
        <v>900</v>
      </c>
      <c r="KIF6" s="31">
        <v>900</v>
      </c>
      <c r="KIG6" s="31">
        <v>900</v>
      </c>
      <c r="KIH6" s="31">
        <v>900</v>
      </c>
      <c r="KII6" s="31">
        <v>900</v>
      </c>
      <c r="KIJ6" s="31">
        <v>900</v>
      </c>
      <c r="KIK6" s="31">
        <v>900</v>
      </c>
      <c r="KIL6" s="31">
        <v>900</v>
      </c>
      <c r="KIM6" s="31">
        <v>900</v>
      </c>
      <c r="KIN6" s="31">
        <v>900</v>
      </c>
      <c r="KIO6" s="31">
        <v>900</v>
      </c>
      <c r="KIP6" s="31">
        <v>900</v>
      </c>
      <c r="KIQ6" s="31">
        <v>900</v>
      </c>
      <c r="KIR6" s="31">
        <v>900</v>
      </c>
      <c r="KIS6" s="31">
        <v>900</v>
      </c>
      <c r="KIT6" s="31">
        <v>900</v>
      </c>
      <c r="KIU6" s="31">
        <v>900</v>
      </c>
      <c r="KIV6" s="31">
        <v>900</v>
      </c>
      <c r="KIW6" s="31">
        <v>900</v>
      </c>
      <c r="KIX6" s="31">
        <v>900</v>
      </c>
      <c r="KIY6" s="31">
        <v>900</v>
      </c>
      <c r="KIZ6" s="31">
        <v>900</v>
      </c>
      <c r="KJA6" s="31">
        <v>900</v>
      </c>
      <c r="KJB6" s="31">
        <v>900</v>
      </c>
      <c r="KJC6" s="31">
        <v>900</v>
      </c>
      <c r="KJD6" s="31">
        <v>900</v>
      </c>
      <c r="KJE6" s="31">
        <v>900</v>
      </c>
      <c r="KJF6" s="31">
        <v>900</v>
      </c>
      <c r="KJG6" s="31">
        <v>900</v>
      </c>
      <c r="KJH6" s="31">
        <v>900</v>
      </c>
      <c r="KJI6" s="31">
        <v>900</v>
      </c>
      <c r="KJJ6" s="31">
        <v>900</v>
      </c>
      <c r="KJK6" s="31">
        <v>900</v>
      </c>
      <c r="KJL6" s="31">
        <v>900</v>
      </c>
      <c r="KJM6" s="31">
        <v>900</v>
      </c>
      <c r="KJN6" s="31">
        <v>900</v>
      </c>
      <c r="KJO6" s="31">
        <v>900</v>
      </c>
      <c r="KJP6" s="31">
        <v>900</v>
      </c>
      <c r="KJQ6" s="31">
        <v>900</v>
      </c>
      <c r="KJR6" s="31">
        <v>900</v>
      </c>
      <c r="KJS6" s="31">
        <v>900</v>
      </c>
      <c r="KJT6" s="31">
        <v>900</v>
      </c>
      <c r="KJU6" s="31">
        <v>900</v>
      </c>
      <c r="KJV6" s="31">
        <v>900</v>
      </c>
      <c r="KJW6" s="31">
        <v>900</v>
      </c>
      <c r="KJX6" s="31">
        <v>900</v>
      </c>
      <c r="KJY6" s="31">
        <v>900</v>
      </c>
      <c r="KJZ6" s="31">
        <v>900</v>
      </c>
      <c r="KKA6" s="31">
        <v>900</v>
      </c>
      <c r="KKB6" s="31">
        <v>900</v>
      </c>
      <c r="KKC6" s="31">
        <v>900</v>
      </c>
      <c r="KKD6" s="31">
        <v>900</v>
      </c>
      <c r="KKE6" s="31">
        <v>900</v>
      </c>
      <c r="KKF6" s="31">
        <v>900</v>
      </c>
      <c r="KKG6" s="31">
        <v>900</v>
      </c>
      <c r="KKH6" s="31">
        <v>900</v>
      </c>
      <c r="KKI6" s="31">
        <v>900</v>
      </c>
      <c r="KKJ6" s="31">
        <v>900</v>
      </c>
      <c r="KKK6" s="31">
        <v>900</v>
      </c>
      <c r="KKL6" s="31">
        <v>900</v>
      </c>
      <c r="KKM6" s="31">
        <v>900</v>
      </c>
      <c r="KKN6" s="31">
        <v>900</v>
      </c>
      <c r="KKO6" s="31">
        <v>900</v>
      </c>
      <c r="KKP6" s="31">
        <v>900</v>
      </c>
      <c r="KKQ6" s="31">
        <v>900</v>
      </c>
      <c r="KKR6" s="31">
        <v>900</v>
      </c>
      <c r="KKS6" s="31">
        <v>900</v>
      </c>
      <c r="KKT6" s="31">
        <v>900</v>
      </c>
      <c r="KKU6" s="31">
        <v>900</v>
      </c>
      <c r="KKV6" s="31">
        <v>900</v>
      </c>
      <c r="KKW6" s="31">
        <v>900</v>
      </c>
      <c r="KKX6" s="31">
        <v>900</v>
      </c>
      <c r="KKY6" s="31">
        <v>900</v>
      </c>
      <c r="KKZ6" s="31">
        <v>900</v>
      </c>
      <c r="KLA6" s="31">
        <v>900</v>
      </c>
      <c r="KLB6" s="31">
        <v>900</v>
      </c>
      <c r="KLC6" s="31">
        <v>900</v>
      </c>
      <c r="KLD6" s="31">
        <v>900</v>
      </c>
      <c r="KLE6" s="31">
        <v>900</v>
      </c>
      <c r="KLF6" s="31">
        <v>900</v>
      </c>
      <c r="KLG6" s="31">
        <v>900</v>
      </c>
      <c r="KLH6" s="31">
        <v>900</v>
      </c>
      <c r="KLI6" s="31">
        <v>900</v>
      </c>
      <c r="KLJ6" s="31">
        <v>900</v>
      </c>
      <c r="KLK6" s="31">
        <v>900</v>
      </c>
      <c r="KLL6" s="31">
        <v>900</v>
      </c>
      <c r="KLM6" s="31">
        <v>900</v>
      </c>
      <c r="KLN6" s="31">
        <v>900</v>
      </c>
      <c r="KLO6" s="31">
        <v>900</v>
      </c>
      <c r="KLP6" s="31">
        <v>900</v>
      </c>
      <c r="KLQ6" s="31">
        <v>900</v>
      </c>
      <c r="KLR6" s="31">
        <v>900</v>
      </c>
      <c r="KLS6" s="31">
        <v>900</v>
      </c>
      <c r="KLT6" s="31">
        <v>900</v>
      </c>
      <c r="KLU6" s="31">
        <v>900</v>
      </c>
      <c r="KLV6" s="31">
        <v>900</v>
      </c>
      <c r="KLW6" s="31">
        <v>900</v>
      </c>
      <c r="KLX6" s="31">
        <v>900</v>
      </c>
      <c r="KLY6" s="31">
        <v>900</v>
      </c>
      <c r="KLZ6" s="31">
        <v>900</v>
      </c>
      <c r="KMA6" s="31">
        <v>900</v>
      </c>
      <c r="KMB6" s="31">
        <v>900</v>
      </c>
      <c r="KMC6" s="31">
        <v>900</v>
      </c>
      <c r="KMD6" s="31">
        <v>900</v>
      </c>
      <c r="KME6" s="31">
        <v>900</v>
      </c>
      <c r="KMF6" s="31">
        <v>900</v>
      </c>
      <c r="KMG6" s="31">
        <v>900</v>
      </c>
      <c r="KMH6" s="31">
        <v>900</v>
      </c>
      <c r="KMI6" s="31">
        <v>900</v>
      </c>
      <c r="KMJ6" s="31">
        <v>900</v>
      </c>
      <c r="KMK6" s="31">
        <v>900</v>
      </c>
      <c r="KML6" s="31">
        <v>900</v>
      </c>
      <c r="KMM6" s="31">
        <v>900</v>
      </c>
      <c r="KMN6" s="31">
        <v>900</v>
      </c>
      <c r="KMO6" s="31">
        <v>900</v>
      </c>
      <c r="KMP6" s="31">
        <v>900</v>
      </c>
      <c r="KMQ6" s="31">
        <v>900</v>
      </c>
      <c r="KMR6" s="31">
        <v>900</v>
      </c>
      <c r="KMS6" s="31">
        <v>900</v>
      </c>
      <c r="KMT6" s="31">
        <v>900</v>
      </c>
      <c r="KMU6" s="31">
        <v>900</v>
      </c>
      <c r="KMV6" s="31">
        <v>900</v>
      </c>
      <c r="KMW6" s="31">
        <v>900</v>
      </c>
      <c r="KMX6" s="31">
        <v>900</v>
      </c>
      <c r="KMY6" s="31">
        <v>900</v>
      </c>
      <c r="KMZ6" s="31">
        <v>900</v>
      </c>
      <c r="KNA6" s="31">
        <v>900</v>
      </c>
      <c r="KNB6" s="31">
        <v>900</v>
      </c>
      <c r="KNC6" s="31">
        <v>900</v>
      </c>
      <c r="KND6" s="31">
        <v>900</v>
      </c>
      <c r="KNE6" s="31">
        <v>900</v>
      </c>
      <c r="KNF6" s="31">
        <v>900</v>
      </c>
      <c r="KNG6" s="31">
        <v>900</v>
      </c>
      <c r="KNH6" s="31">
        <v>900</v>
      </c>
      <c r="KNI6" s="31">
        <v>900</v>
      </c>
      <c r="KNJ6" s="31">
        <v>900</v>
      </c>
      <c r="KNK6" s="31">
        <v>900</v>
      </c>
      <c r="KNL6" s="31">
        <v>900</v>
      </c>
      <c r="KNM6" s="31">
        <v>900</v>
      </c>
      <c r="KNN6" s="31">
        <v>900</v>
      </c>
      <c r="KNO6" s="31">
        <v>900</v>
      </c>
      <c r="KNP6" s="31">
        <v>900</v>
      </c>
      <c r="KNQ6" s="31">
        <v>900</v>
      </c>
      <c r="KNR6" s="31">
        <v>900</v>
      </c>
      <c r="KNS6" s="31">
        <v>900</v>
      </c>
      <c r="KNT6" s="31">
        <v>900</v>
      </c>
      <c r="KNU6" s="31">
        <v>900</v>
      </c>
      <c r="KNV6" s="31">
        <v>900</v>
      </c>
      <c r="KNW6" s="31">
        <v>900</v>
      </c>
      <c r="KNX6" s="31">
        <v>900</v>
      </c>
      <c r="KNY6" s="31">
        <v>900</v>
      </c>
      <c r="KNZ6" s="31">
        <v>900</v>
      </c>
      <c r="KOA6" s="31">
        <v>900</v>
      </c>
      <c r="KOB6" s="31">
        <v>900</v>
      </c>
      <c r="KOC6" s="31">
        <v>900</v>
      </c>
      <c r="KOD6" s="31">
        <v>900</v>
      </c>
      <c r="KOE6" s="31">
        <v>900</v>
      </c>
      <c r="KOF6" s="31">
        <v>900</v>
      </c>
      <c r="KOG6" s="31">
        <v>900</v>
      </c>
      <c r="KOH6" s="31">
        <v>900</v>
      </c>
      <c r="KOI6" s="31">
        <v>900</v>
      </c>
      <c r="KOJ6" s="31">
        <v>900</v>
      </c>
      <c r="KOK6" s="31">
        <v>900</v>
      </c>
      <c r="KOL6" s="31">
        <v>900</v>
      </c>
      <c r="KOM6" s="31">
        <v>900</v>
      </c>
      <c r="KON6" s="31">
        <v>900</v>
      </c>
      <c r="KOO6" s="31">
        <v>900</v>
      </c>
      <c r="KOP6" s="31">
        <v>900</v>
      </c>
      <c r="KOQ6" s="31">
        <v>900</v>
      </c>
      <c r="KOR6" s="31">
        <v>900</v>
      </c>
      <c r="KOS6" s="31">
        <v>900</v>
      </c>
      <c r="KOT6" s="31">
        <v>900</v>
      </c>
      <c r="KOU6" s="31">
        <v>900</v>
      </c>
      <c r="KOV6" s="31">
        <v>900</v>
      </c>
      <c r="KOW6" s="31">
        <v>900</v>
      </c>
      <c r="KOX6" s="31">
        <v>900</v>
      </c>
      <c r="KOY6" s="31">
        <v>900</v>
      </c>
      <c r="KOZ6" s="31">
        <v>900</v>
      </c>
      <c r="KPA6" s="31">
        <v>900</v>
      </c>
      <c r="KPB6" s="31">
        <v>900</v>
      </c>
      <c r="KPC6" s="31">
        <v>900</v>
      </c>
      <c r="KPD6" s="31">
        <v>900</v>
      </c>
      <c r="KPE6" s="31">
        <v>900</v>
      </c>
      <c r="KPF6" s="31">
        <v>900</v>
      </c>
      <c r="KPG6" s="31">
        <v>900</v>
      </c>
      <c r="KPH6" s="31">
        <v>900</v>
      </c>
      <c r="KPI6" s="31">
        <v>900</v>
      </c>
      <c r="KPJ6" s="31">
        <v>900</v>
      </c>
      <c r="KPK6" s="31">
        <v>900</v>
      </c>
      <c r="KPL6" s="31">
        <v>900</v>
      </c>
      <c r="KPM6" s="31">
        <v>900</v>
      </c>
      <c r="KPN6" s="31">
        <v>900</v>
      </c>
      <c r="KPO6" s="31">
        <v>900</v>
      </c>
      <c r="KPP6" s="31">
        <v>900</v>
      </c>
      <c r="KPQ6" s="31">
        <v>900</v>
      </c>
      <c r="KPR6" s="31">
        <v>900</v>
      </c>
      <c r="KPS6" s="31">
        <v>900</v>
      </c>
      <c r="KPT6" s="31">
        <v>900</v>
      </c>
      <c r="KPU6" s="31">
        <v>900</v>
      </c>
      <c r="KPV6" s="31">
        <v>900</v>
      </c>
      <c r="KPW6" s="31">
        <v>900</v>
      </c>
      <c r="KPX6" s="31">
        <v>900</v>
      </c>
      <c r="KPY6" s="31">
        <v>900</v>
      </c>
      <c r="KPZ6" s="31">
        <v>900</v>
      </c>
      <c r="KQA6" s="31">
        <v>900</v>
      </c>
      <c r="KQB6" s="31">
        <v>900</v>
      </c>
      <c r="KQC6" s="31">
        <v>900</v>
      </c>
      <c r="KQD6" s="31">
        <v>900</v>
      </c>
      <c r="KQE6" s="31">
        <v>900</v>
      </c>
      <c r="KQF6" s="31">
        <v>900</v>
      </c>
      <c r="KQG6" s="31">
        <v>900</v>
      </c>
      <c r="KQH6" s="31">
        <v>900</v>
      </c>
      <c r="KQI6" s="31">
        <v>900</v>
      </c>
      <c r="KQJ6" s="31">
        <v>900</v>
      </c>
      <c r="KQK6" s="31">
        <v>900</v>
      </c>
      <c r="KQL6" s="31">
        <v>900</v>
      </c>
      <c r="KQM6" s="31">
        <v>900</v>
      </c>
      <c r="KQN6" s="31">
        <v>900</v>
      </c>
      <c r="KQO6" s="31">
        <v>900</v>
      </c>
      <c r="KQP6" s="31">
        <v>900</v>
      </c>
      <c r="KQQ6" s="31">
        <v>900</v>
      </c>
      <c r="KQR6" s="31">
        <v>900</v>
      </c>
      <c r="KQS6" s="31">
        <v>900</v>
      </c>
      <c r="KQT6" s="31">
        <v>900</v>
      </c>
      <c r="KQU6" s="31">
        <v>900</v>
      </c>
      <c r="KQV6" s="31">
        <v>900</v>
      </c>
      <c r="KQW6" s="31">
        <v>900</v>
      </c>
      <c r="KQX6" s="31">
        <v>900</v>
      </c>
      <c r="KQY6" s="31">
        <v>900</v>
      </c>
      <c r="KQZ6" s="31">
        <v>900</v>
      </c>
      <c r="KRA6" s="31">
        <v>900</v>
      </c>
      <c r="KRB6" s="31">
        <v>900</v>
      </c>
      <c r="KRC6" s="31">
        <v>900</v>
      </c>
      <c r="KRD6" s="31">
        <v>900</v>
      </c>
      <c r="KRE6" s="31">
        <v>900</v>
      </c>
      <c r="KRF6" s="31">
        <v>900</v>
      </c>
      <c r="KRG6" s="31">
        <v>900</v>
      </c>
      <c r="KRH6" s="31">
        <v>900</v>
      </c>
      <c r="KRI6" s="31">
        <v>900</v>
      </c>
      <c r="KRJ6" s="31">
        <v>900</v>
      </c>
      <c r="KRK6" s="31">
        <v>900</v>
      </c>
      <c r="KRL6" s="31">
        <v>900</v>
      </c>
      <c r="KRM6" s="31">
        <v>900</v>
      </c>
      <c r="KRN6" s="31">
        <v>900</v>
      </c>
      <c r="KRO6" s="31">
        <v>900</v>
      </c>
      <c r="KRP6" s="31">
        <v>900</v>
      </c>
      <c r="KRQ6" s="31">
        <v>900</v>
      </c>
      <c r="KRR6" s="31">
        <v>900</v>
      </c>
      <c r="KRS6" s="31">
        <v>900</v>
      </c>
      <c r="KRT6" s="31">
        <v>900</v>
      </c>
      <c r="KRU6" s="31">
        <v>900</v>
      </c>
      <c r="KRV6" s="31">
        <v>900</v>
      </c>
      <c r="KRW6" s="31">
        <v>900</v>
      </c>
      <c r="KRX6" s="31">
        <v>900</v>
      </c>
      <c r="KRY6" s="31">
        <v>900</v>
      </c>
      <c r="KRZ6" s="31">
        <v>900</v>
      </c>
      <c r="KSA6" s="31">
        <v>900</v>
      </c>
      <c r="KSB6" s="31">
        <v>900</v>
      </c>
      <c r="KSC6" s="31">
        <v>900</v>
      </c>
      <c r="KSD6" s="31">
        <v>900</v>
      </c>
      <c r="KSE6" s="31">
        <v>900</v>
      </c>
      <c r="KSF6" s="31">
        <v>900</v>
      </c>
      <c r="KSG6" s="31">
        <v>900</v>
      </c>
      <c r="KSH6" s="31">
        <v>900</v>
      </c>
      <c r="KSI6" s="31">
        <v>900</v>
      </c>
      <c r="KSJ6" s="31">
        <v>900</v>
      </c>
      <c r="KSK6" s="31">
        <v>900</v>
      </c>
      <c r="KSL6" s="31">
        <v>900</v>
      </c>
      <c r="KSM6" s="31">
        <v>900</v>
      </c>
      <c r="KSN6" s="31">
        <v>900</v>
      </c>
      <c r="KSO6" s="31">
        <v>900</v>
      </c>
      <c r="KSP6" s="31">
        <v>900</v>
      </c>
      <c r="KSQ6" s="31">
        <v>900</v>
      </c>
      <c r="KSR6" s="31">
        <v>900</v>
      </c>
      <c r="KSS6" s="31">
        <v>900</v>
      </c>
      <c r="KST6" s="31">
        <v>900</v>
      </c>
      <c r="KSU6" s="31">
        <v>900</v>
      </c>
      <c r="KSV6" s="31">
        <v>900</v>
      </c>
      <c r="KSW6" s="31">
        <v>900</v>
      </c>
      <c r="KSX6" s="31">
        <v>900</v>
      </c>
      <c r="KSY6" s="31">
        <v>900</v>
      </c>
      <c r="KSZ6" s="31">
        <v>900</v>
      </c>
      <c r="KTA6" s="31">
        <v>900</v>
      </c>
      <c r="KTB6" s="31">
        <v>900</v>
      </c>
      <c r="KTC6" s="31">
        <v>900</v>
      </c>
      <c r="KTD6" s="31">
        <v>900</v>
      </c>
      <c r="KTE6" s="31">
        <v>900</v>
      </c>
      <c r="KTF6" s="31">
        <v>900</v>
      </c>
      <c r="KTG6" s="31">
        <v>900</v>
      </c>
      <c r="KTH6" s="31">
        <v>900</v>
      </c>
      <c r="KTI6" s="31">
        <v>900</v>
      </c>
      <c r="KTJ6" s="31">
        <v>900</v>
      </c>
      <c r="KTK6" s="31">
        <v>900</v>
      </c>
      <c r="KTL6" s="31">
        <v>900</v>
      </c>
      <c r="KTM6" s="31">
        <v>900</v>
      </c>
      <c r="KTN6" s="31">
        <v>900</v>
      </c>
      <c r="KTO6" s="31">
        <v>900</v>
      </c>
      <c r="KTP6" s="31">
        <v>900</v>
      </c>
      <c r="KTQ6" s="31">
        <v>900</v>
      </c>
      <c r="KTR6" s="31">
        <v>900</v>
      </c>
      <c r="KTS6" s="31">
        <v>900</v>
      </c>
      <c r="KTT6" s="31">
        <v>900</v>
      </c>
      <c r="KTU6" s="31">
        <v>900</v>
      </c>
      <c r="KTV6" s="31">
        <v>900</v>
      </c>
      <c r="KTW6" s="31">
        <v>900</v>
      </c>
      <c r="KTX6" s="31">
        <v>900</v>
      </c>
      <c r="KTY6" s="31">
        <v>900</v>
      </c>
      <c r="KTZ6" s="31">
        <v>900</v>
      </c>
      <c r="KUA6" s="31">
        <v>900</v>
      </c>
      <c r="KUB6" s="31">
        <v>900</v>
      </c>
      <c r="KUC6" s="31">
        <v>900</v>
      </c>
      <c r="KUD6" s="31">
        <v>900</v>
      </c>
      <c r="KUE6" s="31">
        <v>900</v>
      </c>
      <c r="KUF6" s="31">
        <v>900</v>
      </c>
      <c r="KUG6" s="31">
        <v>900</v>
      </c>
      <c r="KUH6" s="31">
        <v>900</v>
      </c>
      <c r="KUI6" s="31">
        <v>900</v>
      </c>
      <c r="KUJ6" s="31">
        <v>900</v>
      </c>
      <c r="KUK6" s="31">
        <v>900</v>
      </c>
      <c r="KUL6" s="31">
        <v>900</v>
      </c>
      <c r="KUM6" s="31">
        <v>900</v>
      </c>
      <c r="KUN6" s="31">
        <v>900</v>
      </c>
      <c r="KUO6" s="31">
        <v>900</v>
      </c>
      <c r="KUP6" s="31">
        <v>900</v>
      </c>
      <c r="KUQ6" s="31">
        <v>900</v>
      </c>
      <c r="KUR6" s="31">
        <v>900</v>
      </c>
      <c r="KUS6" s="31">
        <v>900</v>
      </c>
      <c r="KUT6" s="31">
        <v>900</v>
      </c>
      <c r="KUU6" s="31">
        <v>900</v>
      </c>
      <c r="KUV6" s="31">
        <v>900</v>
      </c>
      <c r="KUW6" s="31">
        <v>900</v>
      </c>
      <c r="KUX6" s="31">
        <v>900</v>
      </c>
      <c r="KUY6" s="31">
        <v>900</v>
      </c>
      <c r="KUZ6" s="31">
        <v>900</v>
      </c>
      <c r="KVA6" s="31">
        <v>900</v>
      </c>
      <c r="KVB6" s="31">
        <v>900</v>
      </c>
      <c r="KVC6" s="31">
        <v>900</v>
      </c>
      <c r="KVD6" s="31">
        <v>900</v>
      </c>
      <c r="KVE6" s="31">
        <v>900</v>
      </c>
      <c r="KVF6" s="31">
        <v>900</v>
      </c>
      <c r="KVG6" s="31">
        <v>900</v>
      </c>
      <c r="KVH6" s="31">
        <v>900</v>
      </c>
      <c r="KVI6" s="31">
        <v>900</v>
      </c>
      <c r="KVJ6" s="31">
        <v>900</v>
      </c>
      <c r="KVK6" s="31">
        <v>900</v>
      </c>
      <c r="KVL6" s="31">
        <v>900</v>
      </c>
      <c r="KVM6" s="31">
        <v>900</v>
      </c>
      <c r="KVN6" s="31">
        <v>900</v>
      </c>
      <c r="KVO6" s="31">
        <v>900</v>
      </c>
      <c r="KVP6" s="31">
        <v>900</v>
      </c>
      <c r="KVQ6" s="31">
        <v>900</v>
      </c>
      <c r="KVR6" s="31">
        <v>900</v>
      </c>
      <c r="KVS6" s="31">
        <v>900</v>
      </c>
      <c r="KVT6" s="31">
        <v>900</v>
      </c>
      <c r="KVU6" s="31">
        <v>900</v>
      </c>
      <c r="KVV6" s="31">
        <v>900</v>
      </c>
      <c r="KVW6" s="31">
        <v>900</v>
      </c>
      <c r="KVX6" s="31">
        <v>900</v>
      </c>
      <c r="KVY6" s="31">
        <v>900</v>
      </c>
      <c r="KVZ6" s="31">
        <v>900</v>
      </c>
      <c r="KWA6" s="31">
        <v>900</v>
      </c>
      <c r="KWB6" s="31">
        <v>900</v>
      </c>
      <c r="KWC6" s="31">
        <v>900</v>
      </c>
      <c r="KWD6" s="31">
        <v>900</v>
      </c>
      <c r="KWE6" s="31">
        <v>900</v>
      </c>
      <c r="KWF6" s="31">
        <v>900</v>
      </c>
      <c r="KWG6" s="31">
        <v>900</v>
      </c>
      <c r="KWH6" s="31">
        <v>900</v>
      </c>
      <c r="KWI6" s="31">
        <v>900</v>
      </c>
      <c r="KWJ6" s="31">
        <v>900</v>
      </c>
      <c r="KWK6" s="31">
        <v>900</v>
      </c>
      <c r="KWL6" s="31">
        <v>900</v>
      </c>
      <c r="KWM6" s="31">
        <v>900</v>
      </c>
      <c r="KWN6" s="31">
        <v>900</v>
      </c>
      <c r="KWO6" s="31">
        <v>900</v>
      </c>
      <c r="KWP6" s="31">
        <v>900</v>
      </c>
      <c r="KWQ6" s="31">
        <v>900</v>
      </c>
      <c r="KWR6" s="31">
        <v>900</v>
      </c>
      <c r="KWS6" s="31">
        <v>900</v>
      </c>
      <c r="KWT6" s="31">
        <v>900</v>
      </c>
      <c r="KWU6" s="31">
        <v>900</v>
      </c>
      <c r="KWV6" s="31">
        <v>900</v>
      </c>
      <c r="KWW6" s="31">
        <v>900</v>
      </c>
      <c r="KWX6" s="31">
        <v>900</v>
      </c>
      <c r="KWY6" s="31">
        <v>900</v>
      </c>
      <c r="KWZ6" s="31">
        <v>900</v>
      </c>
      <c r="KXA6" s="31">
        <v>900</v>
      </c>
      <c r="KXB6" s="31">
        <v>900</v>
      </c>
      <c r="KXC6" s="31">
        <v>900</v>
      </c>
      <c r="KXD6" s="31">
        <v>900</v>
      </c>
      <c r="KXE6" s="31">
        <v>900</v>
      </c>
      <c r="KXF6" s="31">
        <v>900</v>
      </c>
      <c r="KXG6" s="31">
        <v>900</v>
      </c>
      <c r="KXH6" s="31">
        <v>900</v>
      </c>
      <c r="KXI6" s="31">
        <v>900</v>
      </c>
      <c r="KXJ6" s="31">
        <v>900</v>
      </c>
      <c r="KXK6" s="31">
        <v>900</v>
      </c>
      <c r="KXL6" s="31">
        <v>900</v>
      </c>
      <c r="KXM6" s="31">
        <v>900</v>
      </c>
      <c r="KXN6" s="31">
        <v>900</v>
      </c>
      <c r="KXO6" s="31">
        <v>900</v>
      </c>
      <c r="KXP6" s="31">
        <v>900</v>
      </c>
      <c r="KXQ6" s="31">
        <v>900</v>
      </c>
      <c r="KXR6" s="31">
        <v>900</v>
      </c>
      <c r="KXS6" s="31">
        <v>900</v>
      </c>
      <c r="KXT6" s="31">
        <v>900</v>
      </c>
      <c r="KXU6" s="31">
        <v>900</v>
      </c>
      <c r="KXV6" s="31">
        <v>900</v>
      </c>
      <c r="KXW6" s="31">
        <v>900</v>
      </c>
      <c r="KXX6" s="31">
        <v>900</v>
      </c>
      <c r="KXY6" s="31">
        <v>900</v>
      </c>
      <c r="KXZ6" s="31">
        <v>900</v>
      </c>
      <c r="KYA6" s="31">
        <v>900</v>
      </c>
      <c r="KYB6" s="31">
        <v>900</v>
      </c>
      <c r="KYC6" s="31">
        <v>900</v>
      </c>
      <c r="KYD6" s="31">
        <v>900</v>
      </c>
      <c r="KYE6" s="31">
        <v>900</v>
      </c>
      <c r="KYF6" s="31">
        <v>900</v>
      </c>
      <c r="KYG6" s="31">
        <v>900</v>
      </c>
      <c r="KYH6" s="31">
        <v>900</v>
      </c>
      <c r="KYI6" s="31">
        <v>900</v>
      </c>
      <c r="KYJ6" s="31">
        <v>900</v>
      </c>
      <c r="KYK6" s="31">
        <v>900</v>
      </c>
      <c r="KYL6" s="31">
        <v>900</v>
      </c>
      <c r="KYM6" s="31">
        <v>900</v>
      </c>
      <c r="KYN6" s="31">
        <v>900</v>
      </c>
      <c r="KYO6" s="31">
        <v>900</v>
      </c>
      <c r="KYP6" s="31">
        <v>900</v>
      </c>
      <c r="KYQ6" s="31">
        <v>900</v>
      </c>
      <c r="KYR6" s="31">
        <v>900</v>
      </c>
      <c r="KYS6" s="31">
        <v>900</v>
      </c>
      <c r="KYT6" s="31">
        <v>900</v>
      </c>
      <c r="KYU6" s="31">
        <v>900</v>
      </c>
      <c r="KYV6" s="31">
        <v>900</v>
      </c>
      <c r="KYW6" s="31">
        <v>900</v>
      </c>
      <c r="KYX6" s="31">
        <v>900</v>
      </c>
      <c r="KYY6" s="31">
        <v>900</v>
      </c>
      <c r="KYZ6" s="31">
        <v>900</v>
      </c>
      <c r="KZA6" s="31">
        <v>900</v>
      </c>
      <c r="KZB6" s="31">
        <v>900</v>
      </c>
      <c r="KZC6" s="31">
        <v>900</v>
      </c>
      <c r="KZD6" s="31">
        <v>900</v>
      </c>
      <c r="KZE6" s="31">
        <v>900</v>
      </c>
      <c r="KZF6" s="31">
        <v>900</v>
      </c>
      <c r="KZG6" s="31">
        <v>900</v>
      </c>
      <c r="KZH6" s="31">
        <v>900</v>
      </c>
      <c r="KZI6" s="31">
        <v>900</v>
      </c>
      <c r="KZJ6" s="31">
        <v>900</v>
      </c>
      <c r="KZK6" s="31">
        <v>900</v>
      </c>
      <c r="KZL6" s="31">
        <v>900</v>
      </c>
      <c r="KZM6" s="31">
        <v>900</v>
      </c>
      <c r="KZN6" s="31">
        <v>900</v>
      </c>
      <c r="KZO6" s="31">
        <v>900</v>
      </c>
      <c r="KZP6" s="31">
        <v>900</v>
      </c>
      <c r="KZQ6" s="31">
        <v>900</v>
      </c>
      <c r="KZR6" s="31">
        <v>900</v>
      </c>
      <c r="KZS6" s="31">
        <v>900</v>
      </c>
      <c r="KZT6" s="31">
        <v>900</v>
      </c>
      <c r="KZU6" s="31">
        <v>900</v>
      </c>
      <c r="KZV6" s="31">
        <v>900</v>
      </c>
      <c r="KZW6" s="31">
        <v>900</v>
      </c>
      <c r="KZX6" s="31">
        <v>900</v>
      </c>
      <c r="KZY6" s="31">
        <v>900</v>
      </c>
      <c r="KZZ6" s="31">
        <v>900</v>
      </c>
      <c r="LAA6" s="31">
        <v>900</v>
      </c>
      <c r="LAB6" s="31">
        <v>900</v>
      </c>
      <c r="LAC6" s="31">
        <v>900</v>
      </c>
      <c r="LAD6" s="31">
        <v>900</v>
      </c>
      <c r="LAE6" s="31">
        <v>900</v>
      </c>
      <c r="LAF6" s="31">
        <v>900</v>
      </c>
      <c r="LAG6" s="31">
        <v>900</v>
      </c>
      <c r="LAH6" s="31">
        <v>900</v>
      </c>
      <c r="LAI6" s="31">
        <v>900</v>
      </c>
      <c r="LAJ6" s="31">
        <v>900</v>
      </c>
      <c r="LAK6" s="31">
        <v>900</v>
      </c>
      <c r="LAL6" s="31">
        <v>900</v>
      </c>
      <c r="LAM6" s="31">
        <v>900</v>
      </c>
      <c r="LAN6" s="31">
        <v>900</v>
      </c>
      <c r="LAO6" s="31">
        <v>900</v>
      </c>
      <c r="LAP6" s="31">
        <v>900</v>
      </c>
      <c r="LAQ6" s="31">
        <v>900</v>
      </c>
      <c r="LAR6" s="31">
        <v>900</v>
      </c>
      <c r="LAS6" s="31">
        <v>900</v>
      </c>
      <c r="LAT6" s="31">
        <v>900</v>
      </c>
      <c r="LAU6" s="31">
        <v>900</v>
      </c>
      <c r="LAV6" s="31">
        <v>900</v>
      </c>
      <c r="LAW6" s="31">
        <v>900</v>
      </c>
      <c r="LAX6" s="31">
        <v>900</v>
      </c>
      <c r="LAY6" s="31">
        <v>900</v>
      </c>
      <c r="LAZ6" s="31">
        <v>900</v>
      </c>
      <c r="LBA6" s="31">
        <v>900</v>
      </c>
      <c r="LBB6" s="31">
        <v>900</v>
      </c>
      <c r="LBC6" s="31">
        <v>900</v>
      </c>
      <c r="LBD6" s="31">
        <v>900</v>
      </c>
      <c r="LBE6" s="31">
        <v>900</v>
      </c>
      <c r="LBF6" s="31">
        <v>900</v>
      </c>
      <c r="LBG6" s="31">
        <v>900</v>
      </c>
      <c r="LBH6" s="31">
        <v>900</v>
      </c>
      <c r="LBI6" s="31">
        <v>900</v>
      </c>
      <c r="LBJ6" s="31">
        <v>900</v>
      </c>
      <c r="LBK6" s="31">
        <v>900</v>
      </c>
      <c r="LBL6" s="31">
        <v>900</v>
      </c>
      <c r="LBM6" s="31">
        <v>900</v>
      </c>
      <c r="LBN6" s="31">
        <v>900</v>
      </c>
      <c r="LBO6" s="31">
        <v>900</v>
      </c>
      <c r="LBP6" s="31">
        <v>900</v>
      </c>
      <c r="LBQ6" s="31">
        <v>900</v>
      </c>
      <c r="LBR6" s="31">
        <v>900</v>
      </c>
      <c r="LBS6" s="31">
        <v>900</v>
      </c>
      <c r="LBT6" s="31">
        <v>900</v>
      </c>
      <c r="LBU6" s="31">
        <v>900</v>
      </c>
      <c r="LBV6" s="31">
        <v>900</v>
      </c>
      <c r="LBW6" s="31">
        <v>900</v>
      </c>
      <c r="LBX6" s="31">
        <v>900</v>
      </c>
      <c r="LBY6" s="31">
        <v>900</v>
      </c>
      <c r="LBZ6" s="31">
        <v>900</v>
      </c>
      <c r="LCA6" s="31">
        <v>900</v>
      </c>
      <c r="LCB6" s="31">
        <v>900</v>
      </c>
      <c r="LCC6" s="31">
        <v>900</v>
      </c>
      <c r="LCD6" s="31">
        <v>900</v>
      </c>
      <c r="LCE6" s="31">
        <v>900</v>
      </c>
      <c r="LCF6" s="31">
        <v>900</v>
      </c>
      <c r="LCG6" s="31">
        <v>900</v>
      </c>
      <c r="LCH6" s="31">
        <v>900</v>
      </c>
      <c r="LCI6" s="31">
        <v>900</v>
      </c>
      <c r="LCJ6" s="31">
        <v>900</v>
      </c>
      <c r="LCK6" s="31">
        <v>900</v>
      </c>
      <c r="LCL6" s="31">
        <v>900</v>
      </c>
      <c r="LCM6" s="31">
        <v>900</v>
      </c>
      <c r="LCN6" s="31">
        <v>900</v>
      </c>
      <c r="LCO6" s="31">
        <v>900</v>
      </c>
      <c r="LCP6" s="31">
        <v>900</v>
      </c>
      <c r="LCQ6" s="31">
        <v>900</v>
      </c>
      <c r="LCR6" s="31">
        <v>900</v>
      </c>
      <c r="LCS6" s="31">
        <v>900</v>
      </c>
      <c r="LCT6" s="31">
        <v>900</v>
      </c>
      <c r="LCU6" s="31">
        <v>900</v>
      </c>
      <c r="LCV6" s="31">
        <v>900</v>
      </c>
      <c r="LCW6" s="31">
        <v>900</v>
      </c>
      <c r="LCX6" s="31">
        <v>900</v>
      </c>
      <c r="LCY6" s="31">
        <v>900</v>
      </c>
      <c r="LCZ6" s="31">
        <v>900</v>
      </c>
      <c r="LDA6" s="31">
        <v>900</v>
      </c>
      <c r="LDB6" s="31">
        <v>900</v>
      </c>
      <c r="LDC6" s="31">
        <v>900</v>
      </c>
      <c r="LDD6" s="31">
        <v>900</v>
      </c>
      <c r="LDE6" s="31">
        <v>900</v>
      </c>
      <c r="LDF6" s="31">
        <v>900</v>
      </c>
      <c r="LDG6" s="31">
        <v>900</v>
      </c>
      <c r="LDH6" s="31">
        <v>900</v>
      </c>
      <c r="LDI6" s="31">
        <v>900</v>
      </c>
      <c r="LDJ6" s="31">
        <v>900</v>
      </c>
      <c r="LDK6" s="31">
        <v>900</v>
      </c>
      <c r="LDL6" s="31">
        <v>900</v>
      </c>
      <c r="LDM6" s="31">
        <v>900</v>
      </c>
      <c r="LDN6" s="31">
        <v>900</v>
      </c>
      <c r="LDO6" s="31">
        <v>900</v>
      </c>
      <c r="LDP6" s="31">
        <v>900</v>
      </c>
      <c r="LDQ6" s="31">
        <v>900</v>
      </c>
      <c r="LDR6" s="31">
        <v>900</v>
      </c>
      <c r="LDS6" s="31">
        <v>900</v>
      </c>
      <c r="LDT6" s="31">
        <v>900</v>
      </c>
      <c r="LDU6" s="31">
        <v>900</v>
      </c>
      <c r="LDV6" s="31">
        <v>900</v>
      </c>
      <c r="LDW6" s="31">
        <v>900</v>
      </c>
      <c r="LDX6" s="31">
        <v>900</v>
      </c>
      <c r="LDY6" s="31">
        <v>900</v>
      </c>
      <c r="LDZ6" s="31">
        <v>900</v>
      </c>
      <c r="LEA6" s="31">
        <v>900</v>
      </c>
      <c r="LEB6" s="31">
        <v>900</v>
      </c>
      <c r="LEC6" s="31">
        <v>900</v>
      </c>
      <c r="LED6" s="31">
        <v>900</v>
      </c>
      <c r="LEE6" s="31">
        <v>900</v>
      </c>
      <c r="LEF6" s="31">
        <v>900</v>
      </c>
      <c r="LEG6" s="31">
        <v>900</v>
      </c>
      <c r="LEH6" s="31">
        <v>900</v>
      </c>
      <c r="LEI6" s="31">
        <v>900</v>
      </c>
      <c r="LEJ6" s="31">
        <v>900</v>
      </c>
      <c r="LEK6" s="31">
        <v>900</v>
      </c>
      <c r="LEL6" s="31">
        <v>900</v>
      </c>
      <c r="LEM6" s="31">
        <v>900</v>
      </c>
      <c r="LEN6" s="31">
        <v>900</v>
      </c>
      <c r="LEO6" s="31">
        <v>900</v>
      </c>
      <c r="LEP6" s="31">
        <v>900</v>
      </c>
      <c r="LEQ6" s="31">
        <v>900</v>
      </c>
      <c r="LER6" s="31">
        <v>900</v>
      </c>
      <c r="LES6" s="31">
        <v>900</v>
      </c>
      <c r="LET6" s="31">
        <v>900</v>
      </c>
      <c r="LEU6" s="31">
        <v>900</v>
      </c>
      <c r="LEV6" s="31">
        <v>900</v>
      </c>
      <c r="LEW6" s="31">
        <v>900</v>
      </c>
      <c r="LEX6" s="31">
        <v>900</v>
      </c>
      <c r="LEY6" s="31">
        <v>900</v>
      </c>
      <c r="LEZ6" s="31">
        <v>900</v>
      </c>
      <c r="LFA6" s="31">
        <v>900</v>
      </c>
      <c r="LFB6" s="31">
        <v>900</v>
      </c>
      <c r="LFC6" s="31">
        <v>900</v>
      </c>
      <c r="LFD6" s="31">
        <v>900</v>
      </c>
      <c r="LFE6" s="31">
        <v>900</v>
      </c>
      <c r="LFF6" s="31">
        <v>900</v>
      </c>
      <c r="LFG6" s="31">
        <v>900</v>
      </c>
      <c r="LFH6" s="31">
        <v>900</v>
      </c>
      <c r="LFI6" s="31">
        <v>900</v>
      </c>
      <c r="LFJ6" s="31">
        <v>900</v>
      </c>
      <c r="LFK6" s="31">
        <v>900</v>
      </c>
      <c r="LFL6" s="31">
        <v>900</v>
      </c>
      <c r="LFM6" s="31">
        <v>900</v>
      </c>
      <c r="LFN6" s="31">
        <v>900</v>
      </c>
      <c r="LFO6" s="31">
        <v>900</v>
      </c>
      <c r="LFP6" s="31">
        <v>900</v>
      </c>
      <c r="LFQ6" s="31">
        <v>900</v>
      </c>
      <c r="LFR6" s="31">
        <v>900</v>
      </c>
      <c r="LFS6" s="31">
        <v>900</v>
      </c>
      <c r="LFT6" s="31">
        <v>900</v>
      </c>
      <c r="LFU6" s="31">
        <v>900</v>
      </c>
      <c r="LFV6" s="31">
        <v>900</v>
      </c>
      <c r="LFW6" s="31">
        <v>900</v>
      </c>
      <c r="LFX6" s="31">
        <v>900</v>
      </c>
      <c r="LFY6" s="31">
        <v>900</v>
      </c>
      <c r="LFZ6" s="31">
        <v>900</v>
      </c>
      <c r="LGA6" s="31">
        <v>900</v>
      </c>
      <c r="LGB6" s="31">
        <v>900</v>
      </c>
      <c r="LGC6" s="31">
        <v>900</v>
      </c>
      <c r="LGD6" s="31">
        <v>900</v>
      </c>
      <c r="LGE6" s="31">
        <v>900</v>
      </c>
      <c r="LGF6" s="31">
        <v>900</v>
      </c>
      <c r="LGG6" s="31">
        <v>900</v>
      </c>
      <c r="LGH6" s="31">
        <v>900</v>
      </c>
      <c r="LGI6" s="31">
        <v>900</v>
      </c>
      <c r="LGJ6" s="31">
        <v>900</v>
      </c>
      <c r="LGK6" s="31">
        <v>900</v>
      </c>
      <c r="LGL6" s="31">
        <v>900</v>
      </c>
      <c r="LGM6" s="31">
        <v>900</v>
      </c>
      <c r="LGN6" s="31">
        <v>900</v>
      </c>
      <c r="LGO6" s="31">
        <v>900</v>
      </c>
      <c r="LGP6" s="31">
        <v>900</v>
      </c>
      <c r="LGQ6" s="31">
        <v>900</v>
      </c>
      <c r="LGR6" s="31">
        <v>900</v>
      </c>
      <c r="LGS6" s="31">
        <v>900</v>
      </c>
      <c r="LGT6" s="31">
        <v>900</v>
      </c>
      <c r="LGU6" s="31">
        <v>900</v>
      </c>
      <c r="LGV6" s="31">
        <v>900</v>
      </c>
      <c r="LGW6" s="31">
        <v>900</v>
      </c>
      <c r="LGX6" s="31">
        <v>900</v>
      </c>
      <c r="LGY6" s="31">
        <v>900</v>
      </c>
      <c r="LGZ6" s="31">
        <v>900</v>
      </c>
      <c r="LHA6" s="31">
        <v>900</v>
      </c>
      <c r="LHB6" s="31">
        <v>900</v>
      </c>
      <c r="LHC6" s="31">
        <v>900</v>
      </c>
      <c r="LHD6" s="31">
        <v>900</v>
      </c>
      <c r="LHE6" s="31">
        <v>900</v>
      </c>
      <c r="LHF6" s="31">
        <v>900</v>
      </c>
      <c r="LHG6" s="31">
        <v>900</v>
      </c>
      <c r="LHH6" s="31">
        <v>900</v>
      </c>
      <c r="LHI6" s="31">
        <v>900</v>
      </c>
      <c r="LHJ6" s="31">
        <v>900</v>
      </c>
      <c r="LHK6" s="31">
        <v>900</v>
      </c>
      <c r="LHL6" s="31">
        <v>900</v>
      </c>
      <c r="LHM6" s="31">
        <v>900</v>
      </c>
      <c r="LHN6" s="31">
        <v>900</v>
      </c>
      <c r="LHO6" s="31">
        <v>900</v>
      </c>
      <c r="LHP6" s="31">
        <v>900</v>
      </c>
      <c r="LHQ6" s="31">
        <v>900</v>
      </c>
      <c r="LHR6" s="31">
        <v>900</v>
      </c>
      <c r="LHS6" s="31">
        <v>900</v>
      </c>
      <c r="LHT6" s="31">
        <v>900</v>
      </c>
      <c r="LHU6" s="31">
        <v>900</v>
      </c>
      <c r="LHV6" s="31">
        <v>900</v>
      </c>
      <c r="LHW6" s="31">
        <v>900</v>
      </c>
      <c r="LHX6" s="31">
        <v>900</v>
      </c>
      <c r="LHY6" s="31">
        <v>900</v>
      </c>
      <c r="LHZ6" s="31">
        <v>900</v>
      </c>
      <c r="LIA6" s="31">
        <v>900</v>
      </c>
      <c r="LIB6" s="31">
        <v>900</v>
      </c>
      <c r="LIC6" s="31">
        <v>900</v>
      </c>
      <c r="LID6" s="31">
        <v>900</v>
      </c>
      <c r="LIE6" s="31">
        <v>900</v>
      </c>
      <c r="LIF6" s="31">
        <v>900</v>
      </c>
      <c r="LIG6" s="31">
        <v>900</v>
      </c>
      <c r="LIH6" s="31">
        <v>900</v>
      </c>
      <c r="LII6" s="31">
        <v>900</v>
      </c>
      <c r="LIJ6" s="31">
        <v>900</v>
      </c>
      <c r="LIK6" s="31">
        <v>900</v>
      </c>
      <c r="LIL6" s="31">
        <v>900</v>
      </c>
      <c r="LIM6" s="31">
        <v>900</v>
      </c>
      <c r="LIN6" s="31">
        <v>900</v>
      </c>
      <c r="LIO6" s="31">
        <v>900</v>
      </c>
      <c r="LIP6" s="31">
        <v>900</v>
      </c>
      <c r="LIQ6" s="31">
        <v>900</v>
      </c>
      <c r="LIR6" s="31">
        <v>900</v>
      </c>
      <c r="LIS6" s="31">
        <v>900</v>
      </c>
      <c r="LIT6" s="31">
        <v>900</v>
      </c>
      <c r="LIU6" s="31">
        <v>900</v>
      </c>
      <c r="LIV6" s="31">
        <v>900</v>
      </c>
      <c r="LIW6" s="31">
        <v>900</v>
      </c>
      <c r="LIX6" s="31">
        <v>900</v>
      </c>
      <c r="LIY6" s="31">
        <v>900</v>
      </c>
      <c r="LIZ6" s="31">
        <v>900</v>
      </c>
      <c r="LJA6" s="31">
        <v>900</v>
      </c>
      <c r="LJB6" s="31">
        <v>900</v>
      </c>
      <c r="LJC6" s="31">
        <v>900</v>
      </c>
      <c r="LJD6" s="31">
        <v>900</v>
      </c>
      <c r="LJE6" s="31">
        <v>900</v>
      </c>
      <c r="LJF6" s="31">
        <v>900</v>
      </c>
      <c r="LJG6" s="31">
        <v>900</v>
      </c>
      <c r="LJH6" s="31">
        <v>900</v>
      </c>
      <c r="LJI6" s="31">
        <v>900</v>
      </c>
      <c r="LJJ6" s="31">
        <v>900</v>
      </c>
      <c r="LJK6" s="31">
        <v>900</v>
      </c>
      <c r="LJL6" s="31">
        <v>900</v>
      </c>
      <c r="LJM6" s="31">
        <v>900</v>
      </c>
      <c r="LJN6" s="31">
        <v>900</v>
      </c>
      <c r="LJO6" s="31">
        <v>900</v>
      </c>
      <c r="LJP6" s="31">
        <v>900</v>
      </c>
      <c r="LJQ6" s="31">
        <v>900</v>
      </c>
      <c r="LJR6" s="31">
        <v>900</v>
      </c>
      <c r="LJS6" s="31">
        <v>900</v>
      </c>
      <c r="LJT6" s="31">
        <v>900</v>
      </c>
      <c r="LJU6" s="31">
        <v>900</v>
      </c>
      <c r="LJV6" s="31">
        <v>900</v>
      </c>
      <c r="LJW6" s="31">
        <v>900</v>
      </c>
      <c r="LJX6" s="31">
        <v>900</v>
      </c>
      <c r="LJY6" s="31">
        <v>900</v>
      </c>
      <c r="LJZ6" s="31">
        <v>900</v>
      </c>
      <c r="LKA6" s="31">
        <v>900</v>
      </c>
      <c r="LKB6" s="31">
        <v>900</v>
      </c>
      <c r="LKC6" s="31">
        <v>900</v>
      </c>
      <c r="LKD6" s="31">
        <v>900</v>
      </c>
      <c r="LKE6" s="31">
        <v>900</v>
      </c>
      <c r="LKF6" s="31">
        <v>900</v>
      </c>
      <c r="LKG6" s="31">
        <v>900</v>
      </c>
      <c r="LKH6" s="31">
        <v>900</v>
      </c>
      <c r="LKI6" s="31">
        <v>900</v>
      </c>
      <c r="LKJ6" s="31">
        <v>900</v>
      </c>
      <c r="LKK6" s="31">
        <v>900</v>
      </c>
      <c r="LKL6" s="31">
        <v>900</v>
      </c>
      <c r="LKM6" s="31">
        <v>900</v>
      </c>
      <c r="LKN6" s="31">
        <v>900</v>
      </c>
      <c r="LKO6" s="31">
        <v>900</v>
      </c>
      <c r="LKP6" s="31">
        <v>900</v>
      </c>
      <c r="LKQ6" s="31">
        <v>900</v>
      </c>
      <c r="LKR6" s="31">
        <v>900</v>
      </c>
      <c r="LKS6" s="31">
        <v>900</v>
      </c>
      <c r="LKT6" s="31">
        <v>900</v>
      </c>
      <c r="LKU6" s="31">
        <v>900</v>
      </c>
      <c r="LKV6" s="31">
        <v>900</v>
      </c>
      <c r="LKW6" s="31">
        <v>900</v>
      </c>
      <c r="LKX6" s="31">
        <v>900</v>
      </c>
      <c r="LKY6" s="31">
        <v>900</v>
      </c>
      <c r="LKZ6" s="31">
        <v>900</v>
      </c>
      <c r="LLA6" s="31">
        <v>900</v>
      </c>
      <c r="LLB6" s="31">
        <v>900</v>
      </c>
      <c r="LLC6" s="31">
        <v>900</v>
      </c>
      <c r="LLD6" s="31">
        <v>900</v>
      </c>
      <c r="LLE6" s="31">
        <v>900</v>
      </c>
      <c r="LLF6" s="31">
        <v>900</v>
      </c>
      <c r="LLG6" s="31">
        <v>900</v>
      </c>
      <c r="LLH6" s="31">
        <v>900</v>
      </c>
      <c r="LLI6" s="31">
        <v>900</v>
      </c>
      <c r="LLJ6" s="31">
        <v>900</v>
      </c>
      <c r="LLK6" s="31">
        <v>900</v>
      </c>
      <c r="LLL6" s="31">
        <v>900</v>
      </c>
      <c r="LLM6" s="31">
        <v>900</v>
      </c>
      <c r="LLN6" s="31">
        <v>900</v>
      </c>
      <c r="LLO6" s="31">
        <v>900</v>
      </c>
      <c r="LLP6" s="31">
        <v>900</v>
      </c>
      <c r="LLQ6" s="31">
        <v>900</v>
      </c>
      <c r="LLR6" s="31">
        <v>900</v>
      </c>
      <c r="LLS6" s="31">
        <v>900</v>
      </c>
      <c r="LLT6" s="31">
        <v>900</v>
      </c>
      <c r="LLU6" s="31">
        <v>900</v>
      </c>
      <c r="LLV6" s="31">
        <v>900</v>
      </c>
      <c r="LLW6" s="31">
        <v>900</v>
      </c>
      <c r="LLX6" s="31">
        <v>900</v>
      </c>
      <c r="LLY6" s="31">
        <v>900</v>
      </c>
      <c r="LLZ6" s="31">
        <v>900</v>
      </c>
      <c r="LMA6" s="31">
        <v>900</v>
      </c>
      <c r="LMB6" s="31">
        <v>900</v>
      </c>
      <c r="LMC6" s="31">
        <v>900</v>
      </c>
      <c r="LMD6" s="31">
        <v>900</v>
      </c>
      <c r="LME6" s="31">
        <v>900</v>
      </c>
      <c r="LMF6" s="31">
        <v>900</v>
      </c>
      <c r="LMG6" s="31">
        <v>900</v>
      </c>
      <c r="LMH6" s="31">
        <v>900</v>
      </c>
      <c r="LMI6" s="31">
        <v>900</v>
      </c>
      <c r="LMJ6" s="31">
        <v>900</v>
      </c>
      <c r="LMK6" s="31">
        <v>900</v>
      </c>
      <c r="LML6" s="31">
        <v>900</v>
      </c>
      <c r="LMM6" s="31">
        <v>900</v>
      </c>
      <c r="LMN6" s="31">
        <v>900</v>
      </c>
      <c r="LMO6" s="31">
        <v>900</v>
      </c>
      <c r="LMP6" s="31">
        <v>900</v>
      </c>
      <c r="LMQ6" s="31">
        <v>900</v>
      </c>
      <c r="LMR6" s="31">
        <v>900</v>
      </c>
      <c r="LMS6" s="31">
        <v>900</v>
      </c>
      <c r="LMT6" s="31">
        <v>900</v>
      </c>
      <c r="LMU6" s="31">
        <v>900</v>
      </c>
      <c r="LMV6" s="31">
        <v>900</v>
      </c>
      <c r="LMW6" s="31">
        <v>900</v>
      </c>
      <c r="LMX6" s="31">
        <v>900</v>
      </c>
      <c r="LMY6" s="31">
        <v>900</v>
      </c>
      <c r="LMZ6" s="31">
        <v>900</v>
      </c>
      <c r="LNA6" s="31">
        <v>900</v>
      </c>
      <c r="LNB6" s="31">
        <v>900</v>
      </c>
      <c r="LNC6" s="31">
        <v>900</v>
      </c>
      <c r="LND6" s="31">
        <v>900</v>
      </c>
      <c r="LNE6" s="31">
        <v>900</v>
      </c>
      <c r="LNF6" s="31">
        <v>900</v>
      </c>
      <c r="LNG6" s="31">
        <v>900</v>
      </c>
      <c r="LNH6" s="31">
        <v>900</v>
      </c>
      <c r="LNI6" s="31">
        <v>900</v>
      </c>
      <c r="LNJ6" s="31">
        <v>900</v>
      </c>
      <c r="LNK6" s="31">
        <v>900</v>
      </c>
      <c r="LNL6" s="31">
        <v>900</v>
      </c>
      <c r="LNM6" s="31">
        <v>900</v>
      </c>
      <c r="LNN6" s="31">
        <v>900</v>
      </c>
      <c r="LNO6" s="31">
        <v>900</v>
      </c>
      <c r="LNP6" s="31">
        <v>900</v>
      </c>
      <c r="LNQ6" s="31">
        <v>900</v>
      </c>
      <c r="LNR6" s="31">
        <v>900</v>
      </c>
      <c r="LNS6" s="31">
        <v>900</v>
      </c>
      <c r="LNT6" s="31">
        <v>900</v>
      </c>
      <c r="LNU6" s="31">
        <v>900</v>
      </c>
      <c r="LNV6" s="31">
        <v>900</v>
      </c>
      <c r="LNW6" s="31">
        <v>900</v>
      </c>
      <c r="LNX6" s="31">
        <v>900</v>
      </c>
      <c r="LNY6" s="31">
        <v>900</v>
      </c>
      <c r="LNZ6" s="31">
        <v>900</v>
      </c>
      <c r="LOA6" s="31">
        <v>900</v>
      </c>
      <c r="LOB6" s="31">
        <v>900</v>
      </c>
      <c r="LOC6" s="31">
        <v>900</v>
      </c>
      <c r="LOD6" s="31">
        <v>900</v>
      </c>
      <c r="LOE6" s="31">
        <v>900</v>
      </c>
      <c r="LOF6" s="31">
        <v>900</v>
      </c>
      <c r="LOG6" s="31">
        <v>900</v>
      </c>
      <c r="LOH6" s="31">
        <v>900</v>
      </c>
      <c r="LOI6" s="31">
        <v>900</v>
      </c>
      <c r="LOJ6" s="31">
        <v>900</v>
      </c>
      <c r="LOK6" s="31">
        <v>900</v>
      </c>
      <c r="LOL6" s="31">
        <v>900</v>
      </c>
      <c r="LOM6" s="31">
        <v>900</v>
      </c>
      <c r="LON6" s="31">
        <v>900</v>
      </c>
      <c r="LOO6" s="31">
        <v>900</v>
      </c>
      <c r="LOP6" s="31">
        <v>900</v>
      </c>
      <c r="LOQ6" s="31">
        <v>900</v>
      </c>
      <c r="LOR6" s="31">
        <v>900</v>
      </c>
      <c r="LOS6" s="31">
        <v>900</v>
      </c>
      <c r="LOT6" s="31">
        <v>900</v>
      </c>
      <c r="LOU6" s="31">
        <v>900</v>
      </c>
      <c r="LOV6" s="31">
        <v>900</v>
      </c>
      <c r="LOW6" s="31">
        <v>900</v>
      </c>
      <c r="LOX6" s="31">
        <v>900</v>
      </c>
      <c r="LOY6" s="31">
        <v>900</v>
      </c>
      <c r="LOZ6" s="31">
        <v>900</v>
      </c>
      <c r="LPA6" s="31">
        <v>900</v>
      </c>
      <c r="LPB6" s="31">
        <v>900</v>
      </c>
      <c r="LPC6" s="31">
        <v>900</v>
      </c>
      <c r="LPD6" s="31">
        <v>900</v>
      </c>
      <c r="LPE6" s="31">
        <v>900</v>
      </c>
      <c r="LPF6" s="31">
        <v>900</v>
      </c>
      <c r="LPG6" s="31">
        <v>900</v>
      </c>
      <c r="LPH6" s="31">
        <v>900</v>
      </c>
      <c r="LPI6" s="31">
        <v>900</v>
      </c>
      <c r="LPJ6" s="31">
        <v>900</v>
      </c>
      <c r="LPK6" s="31">
        <v>900</v>
      </c>
      <c r="LPL6" s="31">
        <v>900</v>
      </c>
      <c r="LPM6" s="31">
        <v>900</v>
      </c>
      <c r="LPN6" s="31">
        <v>900</v>
      </c>
      <c r="LPO6" s="31">
        <v>900</v>
      </c>
      <c r="LPP6" s="31">
        <v>900</v>
      </c>
      <c r="LPQ6" s="31">
        <v>900</v>
      </c>
      <c r="LPR6" s="31">
        <v>900</v>
      </c>
      <c r="LPS6" s="31">
        <v>900</v>
      </c>
      <c r="LPT6" s="31">
        <v>900</v>
      </c>
      <c r="LPU6" s="31">
        <v>900</v>
      </c>
      <c r="LPV6" s="31">
        <v>900</v>
      </c>
      <c r="LPW6" s="31">
        <v>900</v>
      </c>
      <c r="LPX6" s="31">
        <v>900</v>
      </c>
      <c r="LPY6" s="31">
        <v>900</v>
      </c>
      <c r="LPZ6" s="31">
        <v>900</v>
      </c>
      <c r="LQA6" s="31">
        <v>900</v>
      </c>
      <c r="LQB6" s="31">
        <v>900</v>
      </c>
      <c r="LQC6" s="31">
        <v>900</v>
      </c>
      <c r="LQD6" s="31">
        <v>900</v>
      </c>
      <c r="LQE6" s="31">
        <v>900</v>
      </c>
      <c r="LQF6" s="31">
        <v>900</v>
      </c>
      <c r="LQG6" s="31">
        <v>900</v>
      </c>
      <c r="LQH6" s="31">
        <v>900</v>
      </c>
      <c r="LQI6" s="31">
        <v>900</v>
      </c>
      <c r="LQJ6" s="31">
        <v>900</v>
      </c>
      <c r="LQK6" s="31">
        <v>900</v>
      </c>
      <c r="LQL6" s="31">
        <v>900</v>
      </c>
      <c r="LQM6" s="31">
        <v>900</v>
      </c>
      <c r="LQN6" s="31">
        <v>900</v>
      </c>
      <c r="LQO6" s="31">
        <v>900</v>
      </c>
      <c r="LQP6" s="31">
        <v>900</v>
      </c>
      <c r="LQQ6" s="31">
        <v>900</v>
      </c>
      <c r="LQR6" s="31">
        <v>900</v>
      </c>
      <c r="LQS6" s="31">
        <v>900</v>
      </c>
      <c r="LQT6" s="31">
        <v>900</v>
      </c>
      <c r="LQU6" s="31">
        <v>900</v>
      </c>
      <c r="LQV6" s="31">
        <v>900</v>
      </c>
      <c r="LQW6" s="31">
        <v>900</v>
      </c>
      <c r="LQX6" s="31">
        <v>900</v>
      </c>
      <c r="LQY6" s="31">
        <v>900</v>
      </c>
      <c r="LQZ6" s="31">
        <v>900</v>
      </c>
      <c r="LRA6" s="31">
        <v>900</v>
      </c>
      <c r="LRB6" s="31">
        <v>900</v>
      </c>
      <c r="LRC6" s="31">
        <v>900</v>
      </c>
      <c r="LRD6" s="31">
        <v>900</v>
      </c>
      <c r="LRE6" s="31">
        <v>900</v>
      </c>
      <c r="LRF6" s="31">
        <v>900</v>
      </c>
      <c r="LRG6" s="31">
        <v>900</v>
      </c>
      <c r="LRH6" s="31">
        <v>900</v>
      </c>
      <c r="LRI6" s="31">
        <v>900</v>
      </c>
      <c r="LRJ6" s="31">
        <v>900</v>
      </c>
      <c r="LRK6" s="31">
        <v>900</v>
      </c>
      <c r="LRL6" s="31">
        <v>900</v>
      </c>
      <c r="LRM6" s="31">
        <v>900</v>
      </c>
      <c r="LRN6" s="31">
        <v>900</v>
      </c>
      <c r="LRO6" s="31">
        <v>900</v>
      </c>
      <c r="LRP6" s="31">
        <v>900</v>
      </c>
      <c r="LRQ6" s="31">
        <v>900</v>
      </c>
      <c r="LRR6" s="31">
        <v>900</v>
      </c>
      <c r="LRS6" s="31">
        <v>900</v>
      </c>
      <c r="LRT6" s="31">
        <v>900</v>
      </c>
      <c r="LRU6" s="31">
        <v>900</v>
      </c>
      <c r="LRV6" s="31">
        <v>900</v>
      </c>
      <c r="LRW6" s="31">
        <v>900</v>
      </c>
      <c r="LRX6" s="31">
        <v>900</v>
      </c>
      <c r="LRY6" s="31">
        <v>900</v>
      </c>
      <c r="LRZ6" s="31">
        <v>900</v>
      </c>
      <c r="LSA6" s="31">
        <v>900</v>
      </c>
      <c r="LSB6" s="31">
        <v>900</v>
      </c>
      <c r="LSC6" s="31">
        <v>900</v>
      </c>
      <c r="LSD6" s="31">
        <v>900</v>
      </c>
      <c r="LSE6" s="31">
        <v>900</v>
      </c>
      <c r="LSF6" s="31">
        <v>900</v>
      </c>
      <c r="LSG6" s="31">
        <v>900</v>
      </c>
      <c r="LSH6" s="31">
        <v>900</v>
      </c>
      <c r="LSI6" s="31">
        <v>900</v>
      </c>
      <c r="LSJ6" s="31">
        <v>900</v>
      </c>
      <c r="LSK6" s="31">
        <v>900</v>
      </c>
      <c r="LSL6" s="31">
        <v>900</v>
      </c>
      <c r="LSM6" s="31">
        <v>900</v>
      </c>
      <c r="LSN6" s="31">
        <v>900</v>
      </c>
      <c r="LSO6" s="31">
        <v>900</v>
      </c>
      <c r="LSP6" s="31">
        <v>900</v>
      </c>
      <c r="LSQ6" s="31">
        <v>900</v>
      </c>
      <c r="LSR6" s="31">
        <v>900</v>
      </c>
      <c r="LSS6" s="31">
        <v>900</v>
      </c>
      <c r="LST6" s="31">
        <v>900</v>
      </c>
      <c r="LSU6" s="31">
        <v>900</v>
      </c>
      <c r="LSV6" s="31">
        <v>900</v>
      </c>
      <c r="LSW6" s="31">
        <v>900</v>
      </c>
      <c r="LSX6" s="31">
        <v>900</v>
      </c>
      <c r="LSY6" s="31">
        <v>900</v>
      </c>
      <c r="LSZ6" s="31">
        <v>900</v>
      </c>
      <c r="LTA6" s="31">
        <v>900</v>
      </c>
      <c r="LTB6" s="31">
        <v>900</v>
      </c>
      <c r="LTC6" s="31">
        <v>900</v>
      </c>
      <c r="LTD6" s="31">
        <v>900</v>
      </c>
      <c r="LTE6" s="31">
        <v>900</v>
      </c>
      <c r="LTF6" s="31">
        <v>900</v>
      </c>
      <c r="LTG6" s="31">
        <v>900</v>
      </c>
      <c r="LTH6" s="31">
        <v>900</v>
      </c>
      <c r="LTI6" s="31">
        <v>900</v>
      </c>
      <c r="LTJ6" s="31">
        <v>900</v>
      </c>
      <c r="LTK6" s="31">
        <v>900</v>
      </c>
      <c r="LTL6" s="31">
        <v>900</v>
      </c>
      <c r="LTM6" s="31">
        <v>900</v>
      </c>
      <c r="LTN6" s="31">
        <v>900</v>
      </c>
      <c r="LTO6" s="31">
        <v>900</v>
      </c>
      <c r="LTP6" s="31">
        <v>900</v>
      </c>
      <c r="LTQ6" s="31">
        <v>900</v>
      </c>
      <c r="LTR6" s="31">
        <v>900</v>
      </c>
      <c r="LTS6" s="31">
        <v>900</v>
      </c>
      <c r="LTT6" s="31">
        <v>900</v>
      </c>
      <c r="LTU6" s="31">
        <v>900</v>
      </c>
      <c r="LTV6" s="31">
        <v>900</v>
      </c>
      <c r="LTW6" s="31">
        <v>900</v>
      </c>
      <c r="LTX6" s="31">
        <v>900</v>
      </c>
      <c r="LTY6" s="31">
        <v>900</v>
      </c>
      <c r="LTZ6" s="31">
        <v>900</v>
      </c>
      <c r="LUA6" s="31">
        <v>900</v>
      </c>
      <c r="LUB6" s="31">
        <v>900</v>
      </c>
      <c r="LUC6" s="31">
        <v>900</v>
      </c>
      <c r="LUD6" s="31">
        <v>900</v>
      </c>
      <c r="LUE6" s="31">
        <v>900</v>
      </c>
      <c r="LUF6" s="31">
        <v>900</v>
      </c>
      <c r="LUG6" s="31">
        <v>900</v>
      </c>
      <c r="LUH6" s="31">
        <v>900</v>
      </c>
      <c r="LUI6" s="31">
        <v>900</v>
      </c>
      <c r="LUJ6" s="31">
        <v>900</v>
      </c>
      <c r="LUK6" s="31">
        <v>900</v>
      </c>
      <c r="LUL6" s="31">
        <v>900</v>
      </c>
      <c r="LUM6" s="31">
        <v>900</v>
      </c>
      <c r="LUN6" s="31">
        <v>900</v>
      </c>
      <c r="LUO6" s="31">
        <v>900</v>
      </c>
      <c r="LUP6" s="31">
        <v>900</v>
      </c>
      <c r="LUQ6" s="31">
        <v>900</v>
      </c>
      <c r="LUR6" s="31">
        <v>900</v>
      </c>
      <c r="LUS6" s="31">
        <v>900</v>
      </c>
      <c r="LUT6" s="31">
        <v>900</v>
      </c>
      <c r="LUU6" s="31">
        <v>900</v>
      </c>
      <c r="LUV6" s="31">
        <v>900</v>
      </c>
      <c r="LUW6" s="31">
        <v>900</v>
      </c>
      <c r="LUX6" s="31">
        <v>900</v>
      </c>
      <c r="LUY6" s="31">
        <v>900</v>
      </c>
      <c r="LUZ6" s="31">
        <v>900</v>
      </c>
      <c r="LVA6" s="31">
        <v>900</v>
      </c>
      <c r="LVB6" s="31">
        <v>900</v>
      </c>
      <c r="LVC6" s="31">
        <v>900</v>
      </c>
      <c r="LVD6" s="31">
        <v>900</v>
      </c>
      <c r="LVE6" s="31">
        <v>900</v>
      </c>
      <c r="LVF6" s="31">
        <v>900</v>
      </c>
      <c r="LVG6" s="31">
        <v>900</v>
      </c>
      <c r="LVH6" s="31">
        <v>900</v>
      </c>
      <c r="LVI6" s="31">
        <v>900</v>
      </c>
      <c r="LVJ6" s="31">
        <v>900</v>
      </c>
      <c r="LVK6" s="31">
        <v>900</v>
      </c>
      <c r="LVL6" s="31">
        <v>900</v>
      </c>
      <c r="LVM6" s="31">
        <v>900</v>
      </c>
      <c r="LVN6" s="31">
        <v>900</v>
      </c>
      <c r="LVO6" s="31">
        <v>900</v>
      </c>
      <c r="LVP6" s="31">
        <v>900</v>
      </c>
      <c r="LVQ6" s="31">
        <v>900</v>
      </c>
      <c r="LVR6" s="31">
        <v>900</v>
      </c>
      <c r="LVS6" s="31">
        <v>900</v>
      </c>
      <c r="LVT6" s="31">
        <v>900</v>
      </c>
      <c r="LVU6" s="31">
        <v>900</v>
      </c>
      <c r="LVV6" s="31">
        <v>900</v>
      </c>
      <c r="LVW6" s="31">
        <v>900</v>
      </c>
      <c r="LVX6" s="31">
        <v>900</v>
      </c>
      <c r="LVY6" s="31">
        <v>900</v>
      </c>
      <c r="LVZ6" s="31">
        <v>900</v>
      </c>
      <c r="LWA6" s="31">
        <v>900</v>
      </c>
      <c r="LWB6" s="31">
        <v>900</v>
      </c>
      <c r="LWC6" s="31">
        <v>900</v>
      </c>
      <c r="LWD6" s="31">
        <v>900</v>
      </c>
      <c r="LWE6" s="31">
        <v>900</v>
      </c>
      <c r="LWF6" s="31">
        <v>900</v>
      </c>
      <c r="LWG6" s="31">
        <v>900</v>
      </c>
      <c r="LWH6" s="31">
        <v>900</v>
      </c>
      <c r="LWI6" s="31">
        <v>900</v>
      </c>
      <c r="LWJ6" s="31">
        <v>900</v>
      </c>
      <c r="LWK6" s="31">
        <v>900</v>
      </c>
      <c r="LWL6" s="31">
        <v>900</v>
      </c>
      <c r="LWM6" s="31">
        <v>900</v>
      </c>
      <c r="LWN6" s="31">
        <v>900</v>
      </c>
      <c r="LWO6" s="31">
        <v>900</v>
      </c>
      <c r="LWP6" s="31">
        <v>900</v>
      </c>
      <c r="LWQ6" s="31">
        <v>900</v>
      </c>
      <c r="LWR6" s="31">
        <v>900</v>
      </c>
      <c r="LWS6" s="31">
        <v>900</v>
      </c>
      <c r="LWT6" s="31">
        <v>900</v>
      </c>
      <c r="LWU6" s="31">
        <v>900</v>
      </c>
      <c r="LWV6" s="31">
        <v>900</v>
      </c>
      <c r="LWW6" s="31">
        <v>900</v>
      </c>
      <c r="LWX6" s="31">
        <v>900</v>
      </c>
      <c r="LWY6" s="31">
        <v>900</v>
      </c>
      <c r="LWZ6" s="31">
        <v>900</v>
      </c>
      <c r="LXA6" s="31">
        <v>900</v>
      </c>
      <c r="LXB6" s="31">
        <v>900</v>
      </c>
      <c r="LXC6" s="31">
        <v>900</v>
      </c>
      <c r="LXD6" s="31">
        <v>900</v>
      </c>
      <c r="LXE6" s="31">
        <v>900</v>
      </c>
      <c r="LXF6" s="31">
        <v>900</v>
      </c>
      <c r="LXG6" s="31">
        <v>900</v>
      </c>
      <c r="LXH6" s="31">
        <v>900</v>
      </c>
      <c r="LXI6" s="31">
        <v>900</v>
      </c>
      <c r="LXJ6" s="31">
        <v>900</v>
      </c>
      <c r="LXK6" s="31">
        <v>900</v>
      </c>
      <c r="LXL6" s="31">
        <v>900</v>
      </c>
      <c r="LXM6" s="31">
        <v>900</v>
      </c>
      <c r="LXN6" s="31">
        <v>900</v>
      </c>
      <c r="LXO6" s="31">
        <v>900</v>
      </c>
      <c r="LXP6" s="31">
        <v>900</v>
      </c>
      <c r="LXQ6" s="31">
        <v>900</v>
      </c>
      <c r="LXR6" s="31">
        <v>900</v>
      </c>
      <c r="LXS6" s="31">
        <v>900</v>
      </c>
      <c r="LXT6" s="31">
        <v>900</v>
      </c>
      <c r="LXU6" s="31">
        <v>900</v>
      </c>
      <c r="LXV6" s="31">
        <v>900</v>
      </c>
      <c r="LXW6" s="31">
        <v>900</v>
      </c>
      <c r="LXX6" s="31">
        <v>900</v>
      </c>
      <c r="LXY6" s="31">
        <v>900</v>
      </c>
      <c r="LXZ6" s="31">
        <v>900</v>
      </c>
      <c r="LYA6" s="31">
        <v>900</v>
      </c>
      <c r="LYB6" s="31">
        <v>900</v>
      </c>
      <c r="LYC6" s="31">
        <v>900</v>
      </c>
      <c r="LYD6" s="31">
        <v>900</v>
      </c>
      <c r="LYE6" s="31">
        <v>900</v>
      </c>
      <c r="LYF6" s="31">
        <v>900</v>
      </c>
      <c r="LYG6" s="31">
        <v>900</v>
      </c>
      <c r="LYH6" s="31">
        <v>900</v>
      </c>
      <c r="LYI6" s="31">
        <v>900</v>
      </c>
      <c r="LYJ6" s="31">
        <v>900</v>
      </c>
      <c r="LYK6" s="31">
        <v>900</v>
      </c>
      <c r="LYL6" s="31">
        <v>900</v>
      </c>
      <c r="LYM6" s="31">
        <v>900</v>
      </c>
      <c r="LYN6" s="31">
        <v>900</v>
      </c>
      <c r="LYO6" s="31">
        <v>900</v>
      </c>
      <c r="LYP6" s="31">
        <v>900</v>
      </c>
      <c r="LYQ6" s="31">
        <v>900</v>
      </c>
      <c r="LYR6" s="31">
        <v>900</v>
      </c>
      <c r="LYS6" s="31">
        <v>900</v>
      </c>
      <c r="LYT6" s="31">
        <v>900</v>
      </c>
      <c r="LYU6" s="31">
        <v>900</v>
      </c>
      <c r="LYV6" s="31">
        <v>900</v>
      </c>
      <c r="LYW6" s="31">
        <v>900</v>
      </c>
      <c r="LYX6" s="31">
        <v>900</v>
      </c>
      <c r="LYY6" s="31">
        <v>900</v>
      </c>
      <c r="LYZ6" s="31">
        <v>900</v>
      </c>
      <c r="LZA6" s="31">
        <v>900</v>
      </c>
      <c r="LZB6" s="31">
        <v>900</v>
      </c>
      <c r="LZC6" s="31">
        <v>900</v>
      </c>
      <c r="LZD6" s="31">
        <v>900</v>
      </c>
      <c r="LZE6" s="31">
        <v>900</v>
      </c>
      <c r="LZF6" s="31">
        <v>900</v>
      </c>
      <c r="LZG6" s="31">
        <v>900</v>
      </c>
      <c r="LZH6" s="31">
        <v>900</v>
      </c>
      <c r="LZI6" s="31">
        <v>900</v>
      </c>
      <c r="LZJ6" s="31">
        <v>900</v>
      </c>
      <c r="LZK6" s="31">
        <v>900</v>
      </c>
      <c r="LZL6" s="31">
        <v>900</v>
      </c>
      <c r="LZM6" s="31">
        <v>900</v>
      </c>
      <c r="LZN6" s="31">
        <v>900</v>
      </c>
      <c r="LZO6" s="31">
        <v>900</v>
      </c>
      <c r="LZP6" s="31">
        <v>900</v>
      </c>
      <c r="LZQ6" s="31">
        <v>900</v>
      </c>
      <c r="LZR6" s="31">
        <v>900</v>
      </c>
      <c r="LZS6" s="31">
        <v>900</v>
      </c>
      <c r="LZT6" s="31">
        <v>900</v>
      </c>
      <c r="LZU6" s="31">
        <v>900</v>
      </c>
      <c r="LZV6" s="31">
        <v>900</v>
      </c>
      <c r="LZW6" s="31">
        <v>900</v>
      </c>
      <c r="LZX6" s="31">
        <v>900</v>
      </c>
      <c r="LZY6" s="31">
        <v>900</v>
      </c>
      <c r="LZZ6" s="31">
        <v>900</v>
      </c>
      <c r="MAA6" s="31">
        <v>900</v>
      </c>
      <c r="MAB6" s="31">
        <v>900</v>
      </c>
      <c r="MAC6" s="31">
        <v>900</v>
      </c>
      <c r="MAD6" s="31">
        <v>900</v>
      </c>
      <c r="MAE6" s="31">
        <v>900</v>
      </c>
      <c r="MAF6" s="31">
        <v>900</v>
      </c>
      <c r="MAG6" s="31">
        <v>900</v>
      </c>
      <c r="MAH6" s="31">
        <v>900</v>
      </c>
      <c r="MAI6" s="31">
        <v>900</v>
      </c>
      <c r="MAJ6" s="31">
        <v>900</v>
      </c>
      <c r="MAK6" s="31">
        <v>900</v>
      </c>
      <c r="MAL6" s="31">
        <v>900</v>
      </c>
      <c r="MAM6" s="31">
        <v>900</v>
      </c>
      <c r="MAN6" s="31">
        <v>900</v>
      </c>
      <c r="MAO6" s="31">
        <v>900</v>
      </c>
      <c r="MAP6" s="31">
        <v>900</v>
      </c>
      <c r="MAQ6" s="31">
        <v>900</v>
      </c>
      <c r="MAR6" s="31">
        <v>900</v>
      </c>
      <c r="MAS6" s="31">
        <v>900</v>
      </c>
      <c r="MAT6" s="31">
        <v>900</v>
      </c>
      <c r="MAU6" s="31">
        <v>900</v>
      </c>
      <c r="MAV6" s="31">
        <v>900</v>
      </c>
      <c r="MAW6" s="31">
        <v>900</v>
      </c>
      <c r="MAX6" s="31">
        <v>900</v>
      </c>
      <c r="MAY6" s="31">
        <v>900</v>
      </c>
      <c r="MAZ6" s="31">
        <v>900</v>
      </c>
      <c r="MBA6" s="31">
        <v>900</v>
      </c>
      <c r="MBB6" s="31">
        <v>900</v>
      </c>
      <c r="MBC6" s="31">
        <v>900</v>
      </c>
      <c r="MBD6" s="31">
        <v>900</v>
      </c>
      <c r="MBE6" s="31">
        <v>900</v>
      </c>
      <c r="MBF6" s="31">
        <v>900</v>
      </c>
      <c r="MBG6" s="31">
        <v>900</v>
      </c>
      <c r="MBH6" s="31">
        <v>900</v>
      </c>
      <c r="MBI6" s="31">
        <v>900</v>
      </c>
      <c r="MBJ6" s="31">
        <v>900</v>
      </c>
      <c r="MBK6" s="31">
        <v>900</v>
      </c>
      <c r="MBL6" s="31">
        <v>900</v>
      </c>
      <c r="MBM6" s="31">
        <v>900</v>
      </c>
      <c r="MBN6" s="31">
        <v>900</v>
      </c>
      <c r="MBO6" s="31">
        <v>900</v>
      </c>
      <c r="MBP6" s="31">
        <v>900</v>
      </c>
      <c r="MBQ6" s="31">
        <v>900</v>
      </c>
      <c r="MBR6" s="31">
        <v>900</v>
      </c>
      <c r="MBS6" s="31">
        <v>900</v>
      </c>
      <c r="MBT6" s="31">
        <v>900</v>
      </c>
      <c r="MBU6" s="31">
        <v>900</v>
      </c>
      <c r="MBV6" s="31">
        <v>900</v>
      </c>
      <c r="MBW6" s="31">
        <v>900</v>
      </c>
      <c r="MBX6" s="31">
        <v>900</v>
      </c>
      <c r="MBY6" s="31">
        <v>900</v>
      </c>
      <c r="MBZ6" s="31">
        <v>900</v>
      </c>
      <c r="MCA6" s="31">
        <v>900</v>
      </c>
      <c r="MCB6" s="31">
        <v>900</v>
      </c>
      <c r="MCC6" s="31">
        <v>900</v>
      </c>
      <c r="MCD6" s="31">
        <v>900</v>
      </c>
      <c r="MCE6" s="31">
        <v>900</v>
      </c>
      <c r="MCF6" s="31">
        <v>900</v>
      </c>
      <c r="MCG6" s="31">
        <v>900</v>
      </c>
      <c r="MCH6" s="31">
        <v>900</v>
      </c>
      <c r="MCI6" s="31">
        <v>900</v>
      </c>
      <c r="MCJ6" s="31">
        <v>900</v>
      </c>
      <c r="MCK6" s="31">
        <v>900</v>
      </c>
      <c r="MCL6" s="31">
        <v>900</v>
      </c>
      <c r="MCM6" s="31">
        <v>900</v>
      </c>
      <c r="MCN6" s="31">
        <v>900</v>
      </c>
      <c r="MCO6" s="31">
        <v>900</v>
      </c>
      <c r="MCP6" s="31">
        <v>900</v>
      </c>
      <c r="MCQ6" s="31">
        <v>900</v>
      </c>
      <c r="MCR6" s="31">
        <v>900</v>
      </c>
      <c r="MCS6" s="31">
        <v>900</v>
      </c>
      <c r="MCT6" s="31">
        <v>900</v>
      </c>
      <c r="MCU6" s="31">
        <v>900</v>
      </c>
      <c r="MCV6" s="31">
        <v>900</v>
      </c>
      <c r="MCW6" s="31">
        <v>900</v>
      </c>
      <c r="MCX6" s="31">
        <v>900</v>
      </c>
      <c r="MCY6" s="31">
        <v>900</v>
      </c>
      <c r="MCZ6" s="31">
        <v>900</v>
      </c>
      <c r="MDA6" s="31">
        <v>900</v>
      </c>
      <c r="MDB6" s="31">
        <v>900</v>
      </c>
      <c r="MDC6" s="31">
        <v>900</v>
      </c>
      <c r="MDD6" s="31">
        <v>900</v>
      </c>
      <c r="MDE6" s="31">
        <v>900</v>
      </c>
      <c r="MDF6" s="31">
        <v>900</v>
      </c>
      <c r="MDG6" s="31">
        <v>900</v>
      </c>
      <c r="MDH6" s="31">
        <v>900</v>
      </c>
      <c r="MDI6" s="31">
        <v>900</v>
      </c>
      <c r="MDJ6" s="31">
        <v>900</v>
      </c>
      <c r="MDK6" s="31">
        <v>900</v>
      </c>
      <c r="MDL6" s="31">
        <v>900</v>
      </c>
      <c r="MDM6" s="31">
        <v>900</v>
      </c>
      <c r="MDN6" s="31">
        <v>900</v>
      </c>
      <c r="MDO6" s="31">
        <v>900</v>
      </c>
      <c r="MDP6" s="31">
        <v>900</v>
      </c>
      <c r="MDQ6" s="31">
        <v>900</v>
      </c>
      <c r="MDR6" s="31">
        <v>900</v>
      </c>
      <c r="MDS6" s="31">
        <v>900</v>
      </c>
      <c r="MDT6" s="31">
        <v>900</v>
      </c>
      <c r="MDU6" s="31">
        <v>900</v>
      </c>
      <c r="MDV6" s="31">
        <v>900</v>
      </c>
      <c r="MDW6" s="31">
        <v>900</v>
      </c>
      <c r="MDX6" s="31">
        <v>900</v>
      </c>
      <c r="MDY6" s="31">
        <v>900</v>
      </c>
      <c r="MDZ6" s="31">
        <v>900</v>
      </c>
      <c r="MEA6" s="31">
        <v>900</v>
      </c>
      <c r="MEB6" s="31">
        <v>900</v>
      </c>
      <c r="MEC6" s="31">
        <v>900</v>
      </c>
      <c r="MED6" s="31">
        <v>900</v>
      </c>
      <c r="MEE6" s="31">
        <v>900</v>
      </c>
      <c r="MEF6" s="31">
        <v>900</v>
      </c>
      <c r="MEG6" s="31">
        <v>900</v>
      </c>
      <c r="MEH6" s="31">
        <v>900</v>
      </c>
      <c r="MEI6" s="31">
        <v>900</v>
      </c>
      <c r="MEJ6" s="31">
        <v>900</v>
      </c>
      <c r="MEK6" s="31">
        <v>900</v>
      </c>
      <c r="MEL6" s="31">
        <v>900</v>
      </c>
      <c r="MEM6" s="31">
        <v>900</v>
      </c>
      <c r="MEN6" s="31">
        <v>900</v>
      </c>
      <c r="MEO6" s="31">
        <v>900</v>
      </c>
      <c r="MEP6" s="31">
        <v>900</v>
      </c>
      <c r="MEQ6" s="31">
        <v>900</v>
      </c>
      <c r="MER6" s="31">
        <v>900</v>
      </c>
      <c r="MES6" s="31">
        <v>900</v>
      </c>
      <c r="MET6" s="31">
        <v>900</v>
      </c>
      <c r="MEU6" s="31">
        <v>900</v>
      </c>
      <c r="MEV6" s="31">
        <v>900</v>
      </c>
      <c r="MEW6" s="31">
        <v>900</v>
      </c>
      <c r="MEX6" s="31">
        <v>900</v>
      </c>
      <c r="MEY6" s="31">
        <v>900</v>
      </c>
      <c r="MEZ6" s="31">
        <v>900</v>
      </c>
      <c r="MFA6" s="31">
        <v>900</v>
      </c>
      <c r="MFB6" s="31">
        <v>900</v>
      </c>
      <c r="MFC6" s="31">
        <v>900</v>
      </c>
      <c r="MFD6" s="31">
        <v>900</v>
      </c>
      <c r="MFE6" s="31">
        <v>900</v>
      </c>
      <c r="MFF6" s="31">
        <v>900</v>
      </c>
      <c r="MFG6" s="31">
        <v>900</v>
      </c>
      <c r="MFH6" s="31">
        <v>900</v>
      </c>
      <c r="MFI6" s="31">
        <v>900</v>
      </c>
      <c r="MFJ6" s="31">
        <v>900</v>
      </c>
      <c r="MFK6" s="31">
        <v>900</v>
      </c>
      <c r="MFL6" s="31">
        <v>900</v>
      </c>
      <c r="MFM6" s="31">
        <v>900</v>
      </c>
      <c r="MFN6" s="31">
        <v>900</v>
      </c>
      <c r="MFO6" s="31">
        <v>900</v>
      </c>
      <c r="MFP6" s="31">
        <v>900</v>
      </c>
      <c r="MFQ6" s="31">
        <v>900</v>
      </c>
      <c r="MFR6" s="31">
        <v>900</v>
      </c>
      <c r="MFS6" s="31">
        <v>900</v>
      </c>
      <c r="MFT6" s="31">
        <v>900</v>
      </c>
      <c r="MFU6" s="31">
        <v>900</v>
      </c>
      <c r="MFV6" s="31">
        <v>900</v>
      </c>
      <c r="MFW6" s="31">
        <v>900</v>
      </c>
      <c r="MFX6" s="31">
        <v>900</v>
      </c>
      <c r="MFY6" s="31">
        <v>900</v>
      </c>
      <c r="MFZ6" s="31">
        <v>900</v>
      </c>
      <c r="MGA6" s="31">
        <v>900</v>
      </c>
      <c r="MGB6" s="31">
        <v>900</v>
      </c>
      <c r="MGC6" s="31">
        <v>900</v>
      </c>
      <c r="MGD6" s="31">
        <v>900</v>
      </c>
      <c r="MGE6" s="31">
        <v>900</v>
      </c>
      <c r="MGF6" s="31">
        <v>900</v>
      </c>
      <c r="MGG6" s="31">
        <v>900</v>
      </c>
      <c r="MGH6" s="31">
        <v>900</v>
      </c>
      <c r="MGI6" s="31">
        <v>900</v>
      </c>
      <c r="MGJ6" s="31">
        <v>900</v>
      </c>
      <c r="MGK6" s="31">
        <v>900</v>
      </c>
      <c r="MGL6" s="31">
        <v>900</v>
      </c>
      <c r="MGM6" s="31">
        <v>900</v>
      </c>
      <c r="MGN6" s="31">
        <v>900</v>
      </c>
      <c r="MGO6" s="31">
        <v>900</v>
      </c>
      <c r="MGP6" s="31">
        <v>900</v>
      </c>
      <c r="MGQ6" s="31">
        <v>900</v>
      </c>
      <c r="MGR6" s="31">
        <v>900</v>
      </c>
      <c r="MGS6" s="31">
        <v>900</v>
      </c>
      <c r="MGT6" s="31">
        <v>900</v>
      </c>
      <c r="MGU6" s="31">
        <v>900</v>
      </c>
      <c r="MGV6" s="31">
        <v>900</v>
      </c>
      <c r="MGW6" s="31">
        <v>900</v>
      </c>
      <c r="MGX6" s="31">
        <v>900</v>
      </c>
      <c r="MGY6" s="31">
        <v>900</v>
      </c>
      <c r="MGZ6" s="31">
        <v>900</v>
      </c>
      <c r="MHA6" s="31">
        <v>900</v>
      </c>
      <c r="MHB6" s="31">
        <v>900</v>
      </c>
      <c r="MHC6" s="31">
        <v>900</v>
      </c>
      <c r="MHD6" s="31">
        <v>900</v>
      </c>
      <c r="MHE6" s="31">
        <v>900</v>
      </c>
      <c r="MHF6" s="31">
        <v>900</v>
      </c>
      <c r="MHG6" s="31">
        <v>900</v>
      </c>
      <c r="MHH6" s="31">
        <v>900</v>
      </c>
      <c r="MHI6" s="31">
        <v>900</v>
      </c>
      <c r="MHJ6" s="31">
        <v>900</v>
      </c>
      <c r="MHK6" s="31">
        <v>900</v>
      </c>
      <c r="MHL6" s="31">
        <v>900</v>
      </c>
      <c r="MHM6" s="31">
        <v>900</v>
      </c>
      <c r="MHN6" s="31">
        <v>900</v>
      </c>
      <c r="MHO6" s="31">
        <v>900</v>
      </c>
      <c r="MHP6" s="31">
        <v>900</v>
      </c>
      <c r="MHQ6" s="31">
        <v>900</v>
      </c>
      <c r="MHR6" s="31">
        <v>900</v>
      </c>
      <c r="MHS6" s="31">
        <v>900</v>
      </c>
      <c r="MHT6" s="31">
        <v>900</v>
      </c>
      <c r="MHU6" s="31">
        <v>900</v>
      </c>
      <c r="MHV6" s="31">
        <v>900</v>
      </c>
      <c r="MHW6" s="31">
        <v>900</v>
      </c>
      <c r="MHX6" s="31">
        <v>900</v>
      </c>
      <c r="MHY6" s="31">
        <v>900</v>
      </c>
      <c r="MHZ6" s="31">
        <v>900</v>
      </c>
      <c r="MIA6" s="31">
        <v>900</v>
      </c>
      <c r="MIB6" s="31">
        <v>900</v>
      </c>
      <c r="MIC6" s="31">
        <v>900</v>
      </c>
      <c r="MID6" s="31">
        <v>900</v>
      </c>
      <c r="MIE6" s="31">
        <v>900</v>
      </c>
      <c r="MIF6" s="31">
        <v>900</v>
      </c>
      <c r="MIG6" s="31">
        <v>900</v>
      </c>
      <c r="MIH6" s="31">
        <v>900</v>
      </c>
      <c r="MII6" s="31">
        <v>900</v>
      </c>
      <c r="MIJ6" s="31">
        <v>900</v>
      </c>
      <c r="MIK6" s="31">
        <v>900</v>
      </c>
      <c r="MIL6" s="31">
        <v>900</v>
      </c>
      <c r="MIM6" s="31">
        <v>900</v>
      </c>
      <c r="MIN6" s="31">
        <v>900</v>
      </c>
      <c r="MIO6" s="31">
        <v>900</v>
      </c>
      <c r="MIP6" s="31">
        <v>900</v>
      </c>
      <c r="MIQ6" s="31">
        <v>900</v>
      </c>
      <c r="MIR6" s="31">
        <v>900</v>
      </c>
      <c r="MIS6" s="31">
        <v>900</v>
      </c>
      <c r="MIT6" s="31">
        <v>900</v>
      </c>
      <c r="MIU6" s="31">
        <v>900</v>
      </c>
      <c r="MIV6" s="31">
        <v>900</v>
      </c>
      <c r="MIW6" s="31">
        <v>900</v>
      </c>
      <c r="MIX6" s="31">
        <v>900</v>
      </c>
      <c r="MIY6" s="31">
        <v>900</v>
      </c>
      <c r="MIZ6" s="31">
        <v>900</v>
      </c>
      <c r="MJA6" s="31">
        <v>900</v>
      </c>
      <c r="MJB6" s="31">
        <v>900</v>
      </c>
      <c r="MJC6" s="31">
        <v>900</v>
      </c>
      <c r="MJD6" s="31">
        <v>900</v>
      </c>
      <c r="MJE6" s="31">
        <v>900</v>
      </c>
      <c r="MJF6" s="31">
        <v>900</v>
      </c>
      <c r="MJG6" s="31">
        <v>900</v>
      </c>
      <c r="MJH6" s="31">
        <v>900</v>
      </c>
      <c r="MJI6" s="31">
        <v>900</v>
      </c>
      <c r="MJJ6" s="31">
        <v>900</v>
      </c>
      <c r="MJK6" s="31">
        <v>900</v>
      </c>
      <c r="MJL6" s="31">
        <v>900</v>
      </c>
      <c r="MJM6" s="31">
        <v>900</v>
      </c>
      <c r="MJN6" s="31">
        <v>900</v>
      </c>
      <c r="MJO6" s="31">
        <v>900</v>
      </c>
      <c r="MJP6" s="31">
        <v>900</v>
      </c>
      <c r="MJQ6" s="31">
        <v>900</v>
      </c>
      <c r="MJR6" s="31">
        <v>900</v>
      </c>
      <c r="MJS6" s="31">
        <v>900</v>
      </c>
      <c r="MJT6" s="31">
        <v>900</v>
      </c>
      <c r="MJU6" s="31">
        <v>900</v>
      </c>
      <c r="MJV6" s="31">
        <v>900</v>
      </c>
      <c r="MJW6" s="31">
        <v>900</v>
      </c>
      <c r="MJX6" s="31">
        <v>900</v>
      </c>
      <c r="MJY6" s="31">
        <v>900</v>
      </c>
      <c r="MJZ6" s="31">
        <v>900</v>
      </c>
      <c r="MKA6" s="31">
        <v>900</v>
      </c>
      <c r="MKB6" s="31">
        <v>900</v>
      </c>
      <c r="MKC6" s="31">
        <v>900</v>
      </c>
      <c r="MKD6" s="31">
        <v>900</v>
      </c>
      <c r="MKE6" s="31">
        <v>900</v>
      </c>
      <c r="MKF6" s="31">
        <v>900</v>
      </c>
      <c r="MKG6" s="31">
        <v>900</v>
      </c>
      <c r="MKH6" s="31">
        <v>900</v>
      </c>
      <c r="MKI6" s="31">
        <v>900</v>
      </c>
      <c r="MKJ6" s="31">
        <v>900</v>
      </c>
      <c r="MKK6" s="31">
        <v>900</v>
      </c>
      <c r="MKL6" s="31">
        <v>900</v>
      </c>
      <c r="MKM6" s="31">
        <v>900</v>
      </c>
      <c r="MKN6" s="31">
        <v>900</v>
      </c>
      <c r="MKO6" s="31">
        <v>900</v>
      </c>
      <c r="MKP6" s="31">
        <v>900</v>
      </c>
      <c r="MKQ6" s="31">
        <v>900</v>
      </c>
      <c r="MKR6" s="31">
        <v>900</v>
      </c>
      <c r="MKS6" s="31">
        <v>900</v>
      </c>
      <c r="MKT6" s="31">
        <v>900</v>
      </c>
      <c r="MKU6" s="31">
        <v>900</v>
      </c>
      <c r="MKV6" s="31">
        <v>900</v>
      </c>
      <c r="MKW6" s="31">
        <v>900</v>
      </c>
      <c r="MKX6" s="31">
        <v>900</v>
      </c>
      <c r="MKY6" s="31">
        <v>900</v>
      </c>
      <c r="MKZ6" s="31">
        <v>900</v>
      </c>
      <c r="MLA6" s="31">
        <v>900</v>
      </c>
      <c r="MLB6" s="31">
        <v>900</v>
      </c>
      <c r="MLC6" s="31">
        <v>900</v>
      </c>
      <c r="MLD6" s="31">
        <v>900</v>
      </c>
      <c r="MLE6" s="31">
        <v>900</v>
      </c>
      <c r="MLF6" s="31">
        <v>900</v>
      </c>
      <c r="MLG6" s="31">
        <v>900</v>
      </c>
      <c r="MLH6" s="31">
        <v>900</v>
      </c>
      <c r="MLI6" s="31">
        <v>900</v>
      </c>
      <c r="MLJ6" s="31">
        <v>900</v>
      </c>
      <c r="MLK6" s="31">
        <v>900</v>
      </c>
      <c r="MLL6" s="31">
        <v>900</v>
      </c>
      <c r="MLM6" s="31">
        <v>900</v>
      </c>
      <c r="MLN6" s="31">
        <v>900</v>
      </c>
      <c r="MLO6" s="31">
        <v>900</v>
      </c>
      <c r="MLP6" s="31">
        <v>900</v>
      </c>
      <c r="MLQ6" s="31">
        <v>900</v>
      </c>
      <c r="MLR6" s="31">
        <v>900</v>
      </c>
      <c r="MLS6" s="31">
        <v>900</v>
      </c>
      <c r="MLT6" s="31">
        <v>900</v>
      </c>
      <c r="MLU6" s="31">
        <v>900</v>
      </c>
      <c r="MLV6" s="31">
        <v>900</v>
      </c>
      <c r="MLW6" s="31">
        <v>900</v>
      </c>
      <c r="MLX6" s="31">
        <v>900</v>
      </c>
      <c r="MLY6" s="31">
        <v>900</v>
      </c>
      <c r="MLZ6" s="31">
        <v>900</v>
      </c>
      <c r="MMA6" s="31">
        <v>900</v>
      </c>
      <c r="MMB6" s="31">
        <v>900</v>
      </c>
      <c r="MMC6" s="31">
        <v>900</v>
      </c>
      <c r="MMD6" s="31">
        <v>900</v>
      </c>
      <c r="MME6" s="31">
        <v>900</v>
      </c>
      <c r="MMF6" s="31">
        <v>900</v>
      </c>
      <c r="MMG6" s="31">
        <v>900</v>
      </c>
      <c r="MMH6" s="31">
        <v>900</v>
      </c>
      <c r="MMI6" s="31">
        <v>900</v>
      </c>
      <c r="MMJ6" s="31">
        <v>900</v>
      </c>
      <c r="MMK6" s="31">
        <v>900</v>
      </c>
      <c r="MML6" s="31">
        <v>900</v>
      </c>
      <c r="MMM6" s="31">
        <v>900</v>
      </c>
      <c r="MMN6" s="31">
        <v>900</v>
      </c>
      <c r="MMO6" s="31">
        <v>900</v>
      </c>
      <c r="MMP6" s="31">
        <v>900</v>
      </c>
      <c r="MMQ6" s="31">
        <v>900</v>
      </c>
      <c r="MMR6" s="31">
        <v>900</v>
      </c>
      <c r="MMS6" s="31">
        <v>900</v>
      </c>
      <c r="MMT6" s="31">
        <v>900</v>
      </c>
      <c r="MMU6" s="31">
        <v>900</v>
      </c>
      <c r="MMV6" s="31">
        <v>900</v>
      </c>
      <c r="MMW6" s="31">
        <v>900</v>
      </c>
      <c r="MMX6" s="31">
        <v>900</v>
      </c>
      <c r="MMY6" s="31">
        <v>900</v>
      </c>
      <c r="MMZ6" s="31">
        <v>900</v>
      </c>
      <c r="MNA6" s="31">
        <v>900</v>
      </c>
      <c r="MNB6" s="31">
        <v>900</v>
      </c>
      <c r="MNC6" s="31">
        <v>900</v>
      </c>
      <c r="MND6" s="31">
        <v>900</v>
      </c>
      <c r="MNE6" s="31">
        <v>900</v>
      </c>
      <c r="MNF6" s="31">
        <v>900</v>
      </c>
      <c r="MNG6" s="31">
        <v>900</v>
      </c>
      <c r="MNH6" s="31">
        <v>900</v>
      </c>
      <c r="MNI6" s="31">
        <v>900</v>
      </c>
      <c r="MNJ6" s="31">
        <v>900</v>
      </c>
      <c r="MNK6" s="31">
        <v>900</v>
      </c>
      <c r="MNL6" s="31">
        <v>900</v>
      </c>
      <c r="MNM6" s="31">
        <v>900</v>
      </c>
      <c r="MNN6" s="31">
        <v>900</v>
      </c>
      <c r="MNO6" s="31">
        <v>900</v>
      </c>
      <c r="MNP6" s="31">
        <v>900</v>
      </c>
      <c r="MNQ6" s="31">
        <v>900</v>
      </c>
      <c r="MNR6" s="31">
        <v>900</v>
      </c>
      <c r="MNS6" s="31">
        <v>900</v>
      </c>
      <c r="MNT6" s="31">
        <v>900</v>
      </c>
      <c r="MNU6" s="31">
        <v>900</v>
      </c>
      <c r="MNV6" s="31">
        <v>900</v>
      </c>
      <c r="MNW6" s="31">
        <v>900</v>
      </c>
      <c r="MNX6" s="31">
        <v>900</v>
      </c>
      <c r="MNY6" s="31">
        <v>900</v>
      </c>
      <c r="MNZ6" s="31">
        <v>900</v>
      </c>
      <c r="MOA6" s="31">
        <v>900</v>
      </c>
      <c r="MOB6" s="31">
        <v>900</v>
      </c>
      <c r="MOC6" s="31">
        <v>900</v>
      </c>
      <c r="MOD6" s="31">
        <v>900</v>
      </c>
      <c r="MOE6" s="31">
        <v>900</v>
      </c>
      <c r="MOF6" s="31">
        <v>900</v>
      </c>
      <c r="MOG6" s="31">
        <v>900</v>
      </c>
      <c r="MOH6" s="31">
        <v>900</v>
      </c>
      <c r="MOI6" s="31">
        <v>900</v>
      </c>
      <c r="MOJ6" s="31">
        <v>900</v>
      </c>
      <c r="MOK6" s="31">
        <v>900</v>
      </c>
      <c r="MOL6" s="31">
        <v>900</v>
      </c>
      <c r="MOM6" s="31">
        <v>900</v>
      </c>
      <c r="MON6" s="31">
        <v>900</v>
      </c>
      <c r="MOO6" s="31">
        <v>900</v>
      </c>
      <c r="MOP6" s="31">
        <v>900</v>
      </c>
      <c r="MOQ6" s="31">
        <v>900</v>
      </c>
      <c r="MOR6" s="31">
        <v>900</v>
      </c>
      <c r="MOS6" s="31">
        <v>900</v>
      </c>
      <c r="MOT6" s="31">
        <v>900</v>
      </c>
      <c r="MOU6" s="31">
        <v>900</v>
      </c>
      <c r="MOV6" s="31">
        <v>900</v>
      </c>
      <c r="MOW6" s="31">
        <v>900</v>
      </c>
      <c r="MOX6" s="31">
        <v>900</v>
      </c>
      <c r="MOY6" s="31">
        <v>900</v>
      </c>
      <c r="MOZ6" s="31">
        <v>900</v>
      </c>
      <c r="MPA6" s="31">
        <v>900</v>
      </c>
      <c r="MPB6" s="31">
        <v>900</v>
      </c>
      <c r="MPC6" s="31">
        <v>900</v>
      </c>
      <c r="MPD6" s="31">
        <v>900</v>
      </c>
      <c r="MPE6" s="31">
        <v>900</v>
      </c>
      <c r="MPF6" s="31">
        <v>900</v>
      </c>
      <c r="MPG6" s="31">
        <v>900</v>
      </c>
      <c r="MPH6" s="31">
        <v>900</v>
      </c>
      <c r="MPI6" s="31">
        <v>900</v>
      </c>
      <c r="MPJ6" s="31">
        <v>900</v>
      </c>
      <c r="MPK6" s="31">
        <v>900</v>
      </c>
      <c r="MPL6" s="31">
        <v>900</v>
      </c>
      <c r="MPM6" s="31">
        <v>900</v>
      </c>
      <c r="MPN6" s="31">
        <v>900</v>
      </c>
      <c r="MPO6" s="31">
        <v>900</v>
      </c>
      <c r="MPP6" s="31">
        <v>900</v>
      </c>
      <c r="MPQ6" s="31">
        <v>900</v>
      </c>
      <c r="MPR6" s="31">
        <v>900</v>
      </c>
      <c r="MPS6" s="31">
        <v>900</v>
      </c>
      <c r="MPT6" s="31">
        <v>900</v>
      </c>
      <c r="MPU6" s="31">
        <v>900</v>
      </c>
      <c r="MPV6" s="31">
        <v>900</v>
      </c>
      <c r="MPW6" s="31">
        <v>900</v>
      </c>
      <c r="MPX6" s="31">
        <v>900</v>
      </c>
      <c r="MPY6" s="31">
        <v>900</v>
      </c>
      <c r="MPZ6" s="31">
        <v>900</v>
      </c>
      <c r="MQA6" s="31">
        <v>900</v>
      </c>
      <c r="MQB6" s="31">
        <v>900</v>
      </c>
      <c r="MQC6" s="31">
        <v>900</v>
      </c>
      <c r="MQD6" s="31">
        <v>900</v>
      </c>
      <c r="MQE6" s="31">
        <v>900</v>
      </c>
      <c r="MQF6" s="31">
        <v>900</v>
      </c>
      <c r="MQG6" s="31">
        <v>900</v>
      </c>
      <c r="MQH6" s="31">
        <v>900</v>
      </c>
      <c r="MQI6" s="31">
        <v>900</v>
      </c>
      <c r="MQJ6" s="31">
        <v>900</v>
      </c>
      <c r="MQK6" s="31">
        <v>900</v>
      </c>
      <c r="MQL6" s="31">
        <v>900</v>
      </c>
      <c r="MQM6" s="31">
        <v>900</v>
      </c>
      <c r="MQN6" s="31">
        <v>900</v>
      </c>
      <c r="MQO6" s="31">
        <v>900</v>
      </c>
      <c r="MQP6" s="31">
        <v>900</v>
      </c>
      <c r="MQQ6" s="31">
        <v>900</v>
      </c>
      <c r="MQR6" s="31">
        <v>900</v>
      </c>
      <c r="MQS6" s="31">
        <v>900</v>
      </c>
      <c r="MQT6" s="31">
        <v>900</v>
      </c>
      <c r="MQU6" s="31">
        <v>900</v>
      </c>
      <c r="MQV6" s="31">
        <v>900</v>
      </c>
      <c r="MQW6" s="31">
        <v>900</v>
      </c>
      <c r="MQX6" s="31">
        <v>900</v>
      </c>
      <c r="MQY6" s="31">
        <v>900</v>
      </c>
      <c r="MQZ6" s="31">
        <v>900</v>
      </c>
      <c r="MRA6" s="31">
        <v>900</v>
      </c>
      <c r="MRB6" s="31">
        <v>900</v>
      </c>
      <c r="MRC6" s="31">
        <v>900</v>
      </c>
      <c r="MRD6" s="31">
        <v>900</v>
      </c>
      <c r="MRE6" s="31">
        <v>900</v>
      </c>
      <c r="MRF6" s="31">
        <v>900</v>
      </c>
      <c r="MRG6" s="31">
        <v>900</v>
      </c>
      <c r="MRH6" s="31">
        <v>900</v>
      </c>
      <c r="MRI6" s="31">
        <v>900</v>
      </c>
      <c r="MRJ6" s="31">
        <v>900</v>
      </c>
      <c r="MRK6" s="31">
        <v>900</v>
      </c>
      <c r="MRL6" s="31">
        <v>900</v>
      </c>
      <c r="MRM6" s="31">
        <v>900</v>
      </c>
      <c r="MRN6" s="31">
        <v>900</v>
      </c>
      <c r="MRO6" s="31">
        <v>900</v>
      </c>
      <c r="MRP6" s="31">
        <v>900</v>
      </c>
      <c r="MRQ6" s="31">
        <v>900</v>
      </c>
      <c r="MRR6" s="31">
        <v>900</v>
      </c>
      <c r="MRS6" s="31">
        <v>900</v>
      </c>
      <c r="MRT6" s="31">
        <v>900</v>
      </c>
      <c r="MRU6" s="31">
        <v>900</v>
      </c>
      <c r="MRV6" s="31">
        <v>900</v>
      </c>
      <c r="MRW6" s="31">
        <v>900</v>
      </c>
      <c r="MRX6" s="31">
        <v>900</v>
      </c>
      <c r="MRY6" s="31">
        <v>900</v>
      </c>
      <c r="MRZ6" s="31">
        <v>900</v>
      </c>
      <c r="MSA6" s="31">
        <v>900</v>
      </c>
      <c r="MSB6" s="31">
        <v>900</v>
      </c>
      <c r="MSC6" s="31">
        <v>900</v>
      </c>
      <c r="MSD6" s="31">
        <v>900</v>
      </c>
      <c r="MSE6" s="31">
        <v>900</v>
      </c>
      <c r="MSF6" s="31">
        <v>900</v>
      </c>
      <c r="MSG6" s="31">
        <v>900</v>
      </c>
      <c r="MSH6" s="31">
        <v>900</v>
      </c>
      <c r="MSI6" s="31">
        <v>900</v>
      </c>
      <c r="MSJ6" s="31">
        <v>900</v>
      </c>
      <c r="MSK6" s="31">
        <v>900</v>
      </c>
      <c r="MSL6" s="31">
        <v>900</v>
      </c>
      <c r="MSM6" s="31">
        <v>900</v>
      </c>
      <c r="MSN6" s="31">
        <v>900</v>
      </c>
      <c r="MSO6" s="31">
        <v>900</v>
      </c>
      <c r="MSP6" s="31">
        <v>900</v>
      </c>
      <c r="MSQ6" s="31">
        <v>900</v>
      </c>
      <c r="MSR6" s="31">
        <v>900</v>
      </c>
      <c r="MSS6" s="31">
        <v>900</v>
      </c>
      <c r="MST6" s="31">
        <v>900</v>
      </c>
      <c r="MSU6" s="31">
        <v>900</v>
      </c>
      <c r="MSV6" s="31">
        <v>900</v>
      </c>
      <c r="MSW6" s="31">
        <v>900</v>
      </c>
      <c r="MSX6" s="31">
        <v>900</v>
      </c>
      <c r="MSY6" s="31">
        <v>900</v>
      </c>
      <c r="MSZ6" s="31">
        <v>900</v>
      </c>
      <c r="MTA6" s="31">
        <v>900</v>
      </c>
      <c r="MTB6" s="31">
        <v>900</v>
      </c>
      <c r="MTC6" s="31">
        <v>900</v>
      </c>
      <c r="MTD6" s="31">
        <v>900</v>
      </c>
      <c r="MTE6" s="31">
        <v>900</v>
      </c>
      <c r="MTF6" s="31">
        <v>900</v>
      </c>
      <c r="MTG6" s="31">
        <v>900</v>
      </c>
      <c r="MTH6" s="31">
        <v>900</v>
      </c>
      <c r="MTI6" s="31">
        <v>900</v>
      </c>
      <c r="MTJ6" s="31">
        <v>900</v>
      </c>
      <c r="MTK6" s="31">
        <v>900</v>
      </c>
      <c r="MTL6" s="31">
        <v>900</v>
      </c>
      <c r="MTM6" s="31">
        <v>900</v>
      </c>
      <c r="MTN6" s="31">
        <v>900</v>
      </c>
      <c r="MTO6" s="31">
        <v>900</v>
      </c>
      <c r="MTP6" s="31">
        <v>900</v>
      </c>
      <c r="MTQ6" s="31">
        <v>900</v>
      </c>
      <c r="MTR6" s="31">
        <v>900</v>
      </c>
      <c r="MTS6" s="31">
        <v>900</v>
      </c>
      <c r="MTT6" s="31">
        <v>900</v>
      </c>
      <c r="MTU6" s="31">
        <v>900</v>
      </c>
      <c r="MTV6" s="31">
        <v>900</v>
      </c>
      <c r="MTW6" s="31">
        <v>900</v>
      </c>
      <c r="MTX6" s="31">
        <v>900</v>
      </c>
      <c r="MTY6" s="31">
        <v>900</v>
      </c>
      <c r="MTZ6" s="31">
        <v>900</v>
      </c>
      <c r="MUA6" s="31">
        <v>900</v>
      </c>
      <c r="MUB6" s="31">
        <v>900</v>
      </c>
      <c r="MUC6" s="31">
        <v>900</v>
      </c>
      <c r="MUD6" s="31">
        <v>900</v>
      </c>
      <c r="MUE6" s="31">
        <v>900</v>
      </c>
      <c r="MUF6" s="31">
        <v>900</v>
      </c>
      <c r="MUG6" s="31">
        <v>900</v>
      </c>
      <c r="MUH6" s="31">
        <v>900</v>
      </c>
      <c r="MUI6" s="31">
        <v>900</v>
      </c>
      <c r="MUJ6" s="31">
        <v>900</v>
      </c>
      <c r="MUK6" s="31">
        <v>900</v>
      </c>
      <c r="MUL6" s="31">
        <v>900</v>
      </c>
      <c r="MUM6" s="31">
        <v>900</v>
      </c>
      <c r="MUN6" s="31">
        <v>900</v>
      </c>
      <c r="MUO6" s="31">
        <v>900</v>
      </c>
      <c r="MUP6" s="31">
        <v>900</v>
      </c>
      <c r="MUQ6" s="31">
        <v>900</v>
      </c>
      <c r="MUR6" s="31">
        <v>900</v>
      </c>
      <c r="MUS6" s="31">
        <v>900</v>
      </c>
      <c r="MUT6" s="31">
        <v>900</v>
      </c>
      <c r="MUU6" s="31">
        <v>900</v>
      </c>
      <c r="MUV6" s="31">
        <v>900</v>
      </c>
      <c r="MUW6" s="31">
        <v>900</v>
      </c>
      <c r="MUX6" s="31">
        <v>900</v>
      </c>
      <c r="MUY6" s="31">
        <v>900</v>
      </c>
      <c r="MUZ6" s="31">
        <v>900</v>
      </c>
      <c r="MVA6" s="31">
        <v>900</v>
      </c>
      <c r="MVB6" s="31">
        <v>900</v>
      </c>
      <c r="MVC6" s="31">
        <v>900</v>
      </c>
      <c r="MVD6" s="31">
        <v>900</v>
      </c>
      <c r="MVE6" s="31">
        <v>900</v>
      </c>
      <c r="MVF6" s="31">
        <v>900</v>
      </c>
      <c r="MVG6" s="31">
        <v>900</v>
      </c>
      <c r="MVH6" s="31">
        <v>900</v>
      </c>
      <c r="MVI6" s="31">
        <v>900</v>
      </c>
      <c r="MVJ6" s="31">
        <v>900</v>
      </c>
      <c r="MVK6" s="31">
        <v>900</v>
      </c>
      <c r="MVL6" s="31">
        <v>900</v>
      </c>
      <c r="MVM6" s="31">
        <v>900</v>
      </c>
      <c r="MVN6" s="31">
        <v>900</v>
      </c>
      <c r="MVO6" s="31">
        <v>900</v>
      </c>
      <c r="MVP6" s="31">
        <v>900</v>
      </c>
      <c r="MVQ6" s="31">
        <v>900</v>
      </c>
      <c r="MVR6" s="31">
        <v>900</v>
      </c>
      <c r="MVS6" s="31">
        <v>900</v>
      </c>
      <c r="MVT6" s="31">
        <v>900</v>
      </c>
      <c r="MVU6" s="31">
        <v>900</v>
      </c>
      <c r="MVV6" s="31">
        <v>900</v>
      </c>
      <c r="MVW6" s="31">
        <v>900</v>
      </c>
      <c r="MVX6" s="31">
        <v>900</v>
      </c>
      <c r="MVY6" s="31">
        <v>900</v>
      </c>
      <c r="MVZ6" s="31">
        <v>900</v>
      </c>
      <c r="MWA6" s="31">
        <v>900</v>
      </c>
      <c r="MWB6" s="31">
        <v>900</v>
      </c>
      <c r="MWC6" s="31">
        <v>900</v>
      </c>
      <c r="MWD6" s="31">
        <v>900</v>
      </c>
      <c r="MWE6" s="31">
        <v>900</v>
      </c>
      <c r="MWF6" s="31">
        <v>900</v>
      </c>
      <c r="MWG6" s="31">
        <v>900</v>
      </c>
      <c r="MWH6" s="31">
        <v>900</v>
      </c>
      <c r="MWI6" s="31">
        <v>900</v>
      </c>
      <c r="MWJ6" s="31">
        <v>900</v>
      </c>
      <c r="MWK6" s="31">
        <v>900</v>
      </c>
      <c r="MWL6" s="31">
        <v>900</v>
      </c>
      <c r="MWM6" s="31">
        <v>900</v>
      </c>
      <c r="MWN6" s="31">
        <v>900</v>
      </c>
      <c r="MWO6" s="31">
        <v>900</v>
      </c>
      <c r="MWP6" s="31">
        <v>900</v>
      </c>
      <c r="MWQ6" s="31">
        <v>900</v>
      </c>
      <c r="MWR6" s="31">
        <v>900</v>
      </c>
      <c r="MWS6" s="31">
        <v>900</v>
      </c>
      <c r="MWT6" s="31">
        <v>900</v>
      </c>
      <c r="MWU6" s="31">
        <v>900</v>
      </c>
      <c r="MWV6" s="31">
        <v>900</v>
      </c>
      <c r="MWW6" s="31">
        <v>900</v>
      </c>
      <c r="MWX6" s="31">
        <v>900</v>
      </c>
      <c r="MWY6" s="31">
        <v>900</v>
      </c>
      <c r="MWZ6" s="31">
        <v>900</v>
      </c>
      <c r="MXA6" s="31">
        <v>900</v>
      </c>
      <c r="MXB6" s="31">
        <v>900</v>
      </c>
      <c r="MXC6" s="31">
        <v>900</v>
      </c>
      <c r="MXD6" s="31">
        <v>900</v>
      </c>
      <c r="MXE6" s="31">
        <v>900</v>
      </c>
      <c r="MXF6" s="31">
        <v>900</v>
      </c>
      <c r="MXG6" s="31">
        <v>900</v>
      </c>
      <c r="MXH6" s="31">
        <v>900</v>
      </c>
      <c r="MXI6" s="31">
        <v>900</v>
      </c>
      <c r="MXJ6" s="31">
        <v>900</v>
      </c>
      <c r="MXK6" s="31">
        <v>900</v>
      </c>
      <c r="MXL6" s="31">
        <v>900</v>
      </c>
      <c r="MXM6" s="31">
        <v>900</v>
      </c>
      <c r="MXN6" s="31">
        <v>900</v>
      </c>
      <c r="MXO6" s="31">
        <v>900</v>
      </c>
      <c r="MXP6" s="31">
        <v>900</v>
      </c>
      <c r="MXQ6" s="31">
        <v>900</v>
      </c>
      <c r="MXR6" s="31">
        <v>900</v>
      </c>
      <c r="MXS6" s="31">
        <v>900</v>
      </c>
      <c r="MXT6" s="31">
        <v>900</v>
      </c>
      <c r="MXU6" s="31">
        <v>900</v>
      </c>
      <c r="MXV6" s="31">
        <v>900</v>
      </c>
      <c r="MXW6" s="31">
        <v>900</v>
      </c>
      <c r="MXX6" s="31">
        <v>900</v>
      </c>
      <c r="MXY6" s="31">
        <v>900</v>
      </c>
      <c r="MXZ6" s="31">
        <v>900</v>
      </c>
      <c r="MYA6" s="31">
        <v>900</v>
      </c>
      <c r="MYB6" s="31">
        <v>900</v>
      </c>
      <c r="MYC6" s="31">
        <v>900</v>
      </c>
      <c r="MYD6" s="31">
        <v>900</v>
      </c>
      <c r="MYE6" s="31">
        <v>900</v>
      </c>
      <c r="MYF6" s="31">
        <v>900</v>
      </c>
      <c r="MYG6" s="31">
        <v>900</v>
      </c>
      <c r="MYH6" s="31">
        <v>900</v>
      </c>
      <c r="MYI6" s="31">
        <v>900</v>
      </c>
      <c r="MYJ6" s="31">
        <v>900</v>
      </c>
      <c r="MYK6" s="31">
        <v>900</v>
      </c>
      <c r="MYL6" s="31">
        <v>900</v>
      </c>
      <c r="MYM6" s="31">
        <v>900</v>
      </c>
      <c r="MYN6" s="31">
        <v>900</v>
      </c>
      <c r="MYO6" s="31">
        <v>900</v>
      </c>
      <c r="MYP6" s="31">
        <v>900</v>
      </c>
      <c r="MYQ6" s="31">
        <v>900</v>
      </c>
      <c r="MYR6" s="31">
        <v>900</v>
      </c>
      <c r="MYS6" s="31">
        <v>900</v>
      </c>
      <c r="MYT6" s="31">
        <v>900</v>
      </c>
      <c r="MYU6" s="31">
        <v>900</v>
      </c>
      <c r="MYV6" s="31">
        <v>900</v>
      </c>
      <c r="MYW6" s="31">
        <v>900</v>
      </c>
      <c r="MYX6" s="31">
        <v>900</v>
      </c>
      <c r="MYY6" s="31">
        <v>900</v>
      </c>
      <c r="MYZ6" s="31">
        <v>900</v>
      </c>
      <c r="MZA6" s="31">
        <v>900</v>
      </c>
      <c r="MZB6" s="31">
        <v>900</v>
      </c>
      <c r="MZC6" s="31">
        <v>900</v>
      </c>
      <c r="MZD6" s="31">
        <v>900</v>
      </c>
      <c r="MZE6" s="31">
        <v>900</v>
      </c>
      <c r="MZF6" s="31">
        <v>900</v>
      </c>
      <c r="MZG6" s="31">
        <v>900</v>
      </c>
      <c r="MZH6" s="31">
        <v>900</v>
      </c>
      <c r="MZI6" s="31">
        <v>900</v>
      </c>
      <c r="MZJ6" s="31">
        <v>900</v>
      </c>
      <c r="MZK6" s="31">
        <v>900</v>
      </c>
      <c r="MZL6" s="31">
        <v>900</v>
      </c>
      <c r="MZM6" s="31">
        <v>900</v>
      </c>
      <c r="MZN6" s="31">
        <v>900</v>
      </c>
      <c r="MZO6" s="31">
        <v>900</v>
      </c>
      <c r="MZP6" s="31">
        <v>900</v>
      </c>
      <c r="MZQ6" s="31">
        <v>900</v>
      </c>
      <c r="MZR6" s="31">
        <v>900</v>
      </c>
      <c r="MZS6" s="31">
        <v>900</v>
      </c>
      <c r="MZT6" s="31">
        <v>900</v>
      </c>
      <c r="MZU6" s="31">
        <v>900</v>
      </c>
      <c r="MZV6" s="31">
        <v>900</v>
      </c>
      <c r="MZW6" s="31">
        <v>900</v>
      </c>
      <c r="MZX6" s="31">
        <v>900</v>
      </c>
      <c r="MZY6" s="31">
        <v>900</v>
      </c>
      <c r="MZZ6" s="31">
        <v>900</v>
      </c>
      <c r="NAA6" s="31">
        <v>900</v>
      </c>
      <c r="NAB6" s="31">
        <v>900</v>
      </c>
      <c r="NAC6" s="31">
        <v>900</v>
      </c>
      <c r="NAD6" s="31">
        <v>900</v>
      </c>
      <c r="NAE6" s="31">
        <v>900</v>
      </c>
      <c r="NAF6" s="31">
        <v>900</v>
      </c>
      <c r="NAG6" s="31">
        <v>900</v>
      </c>
      <c r="NAH6" s="31">
        <v>900</v>
      </c>
      <c r="NAI6" s="31">
        <v>900</v>
      </c>
      <c r="NAJ6" s="31">
        <v>900</v>
      </c>
      <c r="NAK6" s="31">
        <v>900</v>
      </c>
      <c r="NAL6" s="31">
        <v>900</v>
      </c>
      <c r="NAM6" s="31">
        <v>900</v>
      </c>
      <c r="NAN6" s="31">
        <v>900</v>
      </c>
      <c r="NAO6" s="31">
        <v>900</v>
      </c>
      <c r="NAP6" s="31">
        <v>900</v>
      </c>
      <c r="NAQ6" s="31">
        <v>900</v>
      </c>
      <c r="NAR6" s="31">
        <v>900</v>
      </c>
      <c r="NAS6" s="31">
        <v>900</v>
      </c>
      <c r="NAT6" s="31">
        <v>900</v>
      </c>
      <c r="NAU6" s="31">
        <v>900</v>
      </c>
      <c r="NAV6" s="31">
        <v>900</v>
      </c>
      <c r="NAW6" s="31">
        <v>900</v>
      </c>
      <c r="NAX6" s="31">
        <v>900</v>
      </c>
      <c r="NAY6" s="31">
        <v>900</v>
      </c>
      <c r="NAZ6" s="31">
        <v>900</v>
      </c>
      <c r="NBA6" s="31">
        <v>900</v>
      </c>
      <c r="NBB6" s="31">
        <v>900</v>
      </c>
      <c r="NBC6" s="31">
        <v>900</v>
      </c>
      <c r="NBD6" s="31">
        <v>900</v>
      </c>
      <c r="NBE6" s="31">
        <v>900</v>
      </c>
      <c r="NBF6" s="31">
        <v>900</v>
      </c>
      <c r="NBG6" s="31">
        <v>900</v>
      </c>
      <c r="NBH6" s="31">
        <v>900</v>
      </c>
      <c r="NBI6" s="31">
        <v>900</v>
      </c>
      <c r="NBJ6" s="31">
        <v>900</v>
      </c>
      <c r="NBK6" s="31">
        <v>900</v>
      </c>
      <c r="NBL6" s="31">
        <v>900</v>
      </c>
      <c r="NBM6" s="31">
        <v>900</v>
      </c>
      <c r="NBN6" s="31">
        <v>900</v>
      </c>
      <c r="NBO6" s="31">
        <v>900</v>
      </c>
      <c r="NBP6" s="31">
        <v>900</v>
      </c>
      <c r="NBQ6" s="31">
        <v>900</v>
      </c>
      <c r="NBR6" s="31">
        <v>900</v>
      </c>
      <c r="NBS6" s="31">
        <v>900</v>
      </c>
      <c r="NBT6" s="31">
        <v>900</v>
      </c>
      <c r="NBU6" s="31">
        <v>900</v>
      </c>
      <c r="NBV6" s="31">
        <v>900</v>
      </c>
      <c r="NBW6" s="31">
        <v>900</v>
      </c>
      <c r="NBX6" s="31">
        <v>900</v>
      </c>
      <c r="NBY6" s="31">
        <v>900</v>
      </c>
      <c r="NBZ6" s="31">
        <v>900</v>
      </c>
      <c r="NCA6" s="31">
        <v>900</v>
      </c>
      <c r="NCB6" s="31">
        <v>900</v>
      </c>
      <c r="NCC6" s="31">
        <v>900</v>
      </c>
      <c r="NCD6" s="31">
        <v>900</v>
      </c>
      <c r="NCE6" s="31">
        <v>900</v>
      </c>
      <c r="NCF6" s="31">
        <v>900</v>
      </c>
      <c r="NCG6" s="31">
        <v>900</v>
      </c>
      <c r="NCH6" s="31">
        <v>900</v>
      </c>
      <c r="NCI6" s="31">
        <v>900</v>
      </c>
      <c r="NCJ6" s="31">
        <v>900</v>
      </c>
      <c r="NCK6" s="31">
        <v>900</v>
      </c>
      <c r="NCL6" s="31">
        <v>900</v>
      </c>
      <c r="NCM6" s="31">
        <v>900</v>
      </c>
      <c r="NCN6" s="31">
        <v>900</v>
      </c>
      <c r="NCO6" s="31">
        <v>900</v>
      </c>
      <c r="NCP6" s="31">
        <v>900</v>
      </c>
      <c r="NCQ6" s="31">
        <v>900</v>
      </c>
      <c r="NCR6" s="31">
        <v>900</v>
      </c>
      <c r="NCS6" s="31">
        <v>900</v>
      </c>
      <c r="NCT6" s="31">
        <v>900</v>
      </c>
      <c r="NCU6" s="31">
        <v>900</v>
      </c>
      <c r="NCV6" s="31">
        <v>900</v>
      </c>
      <c r="NCW6" s="31">
        <v>900</v>
      </c>
      <c r="NCX6" s="31">
        <v>900</v>
      </c>
      <c r="NCY6" s="31">
        <v>900</v>
      </c>
      <c r="NCZ6" s="31">
        <v>900</v>
      </c>
      <c r="NDA6" s="31">
        <v>900</v>
      </c>
      <c r="NDB6" s="31">
        <v>900</v>
      </c>
      <c r="NDC6" s="31">
        <v>900</v>
      </c>
      <c r="NDD6" s="31">
        <v>900</v>
      </c>
      <c r="NDE6" s="31">
        <v>900</v>
      </c>
      <c r="NDF6" s="31">
        <v>900</v>
      </c>
      <c r="NDG6" s="31">
        <v>900</v>
      </c>
      <c r="NDH6" s="31">
        <v>900</v>
      </c>
      <c r="NDI6" s="31">
        <v>900</v>
      </c>
      <c r="NDJ6" s="31">
        <v>900</v>
      </c>
      <c r="NDK6" s="31">
        <v>900</v>
      </c>
      <c r="NDL6" s="31">
        <v>900</v>
      </c>
      <c r="NDM6" s="31">
        <v>900</v>
      </c>
      <c r="NDN6" s="31">
        <v>900</v>
      </c>
      <c r="NDO6" s="31">
        <v>900</v>
      </c>
      <c r="NDP6" s="31">
        <v>900</v>
      </c>
      <c r="NDQ6" s="31">
        <v>900</v>
      </c>
      <c r="NDR6" s="31">
        <v>900</v>
      </c>
      <c r="NDS6" s="31">
        <v>900</v>
      </c>
      <c r="NDT6" s="31">
        <v>900</v>
      </c>
      <c r="NDU6" s="31">
        <v>900</v>
      </c>
      <c r="NDV6" s="31">
        <v>900</v>
      </c>
      <c r="NDW6" s="31">
        <v>900</v>
      </c>
      <c r="NDX6" s="31">
        <v>900</v>
      </c>
      <c r="NDY6" s="31">
        <v>900</v>
      </c>
      <c r="NDZ6" s="31">
        <v>900</v>
      </c>
      <c r="NEA6" s="31">
        <v>900</v>
      </c>
      <c r="NEB6" s="31">
        <v>900</v>
      </c>
      <c r="NEC6" s="31">
        <v>900</v>
      </c>
      <c r="NED6" s="31">
        <v>900</v>
      </c>
      <c r="NEE6" s="31">
        <v>900</v>
      </c>
      <c r="NEF6" s="31">
        <v>900</v>
      </c>
      <c r="NEG6" s="31">
        <v>900</v>
      </c>
      <c r="NEH6" s="31">
        <v>900</v>
      </c>
      <c r="NEI6" s="31">
        <v>900</v>
      </c>
      <c r="NEJ6" s="31">
        <v>900</v>
      </c>
      <c r="NEK6" s="31">
        <v>900</v>
      </c>
      <c r="NEL6" s="31">
        <v>900</v>
      </c>
      <c r="NEM6" s="31">
        <v>900</v>
      </c>
      <c r="NEN6" s="31">
        <v>900</v>
      </c>
      <c r="NEO6" s="31">
        <v>900</v>
      </c>
      <c r="NEP6" s="31">
        <v>900</v>
      </c>
      <c r="NEQ6" s="31">
        <v>900</v>
      </c>
      <c r="NER6" s="31">
        <v>900</v>
      </c>
      <c r="NES6" s="31">
        <v>900</v>
      </c>
      <c r="NET6" s="31">
        <v>900</v>
      </c>
      <c r="NEU6" s="31">
        <v>900</v>
      </c>
      <c r="NEV6" s="31">
        <v>900</v>
      </c>
      <c r="NEW6" s="31">
        <v>900</v>
      </c>
      <c r="NEX6" s="31">
        <v>900</v>
      </c>
      <c r="NEY6" s="31">
        <v>900</v>
      </c>
      <c r="NEZ6" s="31">
        <v>900</v>
      </c>
      <c r="NFA6" s="31">
        <v>900</v>
      </c>
      <c r="NFB6" s="31">
        <v>900</v>
      </c>
      <c r="NFC6" s="31">
        <v>900</v>
      </c>
      <c r="NFD6" s="31">
        <v>900</v>
      </c>
      <c r="NFE6" s="31">
        <v>900</v>
      </c>
      <c r="NFF6" s="31">
        <v>900</v>
      </c>
      <c r="NFG6" s="31">
        <v>900</v>
      </c>
      <c r="NFH6" s="31">
        <v>900</v>
      </c>
      <c r="NFI6" s="31">
        <v>900</v>
      </c>
      <c r="NFJ6" s="31">
        <v>900</v>
      </c>
      <c r="NFK6" s="31">
        <v>900</v>
      </c>
      <c r="NFL6" s="31">
        <v>900</v>
      </c>
      <c r="NFM6" s="31">
        <v>900</v>
      </c>
      <c r="NFN6" s="31">
        <v>900</v>
      </c>
      <c r="NFO6" s="31">
        <v>900</v>
      </c>
      <c r="NFP6" s="31">
        <v>900</v>
      </c>
      <c r="NFQ6" s="31">
        <v>900</v>
      </c>
      <c r="NFR6" s="31">
        <v>900</v>
      </c>
      <c r="NFS6" s="31">
        <v>900</v>
      </c>
      <c r="NFT6" s="31">
        <v>900</v>
      </c>
      <c r="NFU6" s="31">
        <v>900</v>
      </c>
      <c r="NFV6" s="31">
        <v>900</v>
      </c>
      <c r="NFW6" s="31">
        <v>900</v>
      </c>
      <c r="NFX6" s="31">
        <v>900</v>
      </c>
      <c r="NFY6" s="31">
        <v>900</v>
      </c>
      <c r="NFZ6" s="31">
        <v>900</v>
      </c>
      <c r="NGA6" s="31">
        <v>900</v>
      </c>
      <c r="NGB6" s="31">
        <v>900</v>
      </c>
      <c r="NGC6" s="31">
        <v>900</v>
      </c>
      <c r="NGD6" s="31">
        <v>900</v>
      </c>
      <c r="NGE6" s="31">
        <v>900</v>
      </c>
      <c r="NGF6" s="31">
        <v>900</v>
      </c>
      <c r="NGG6" s="31">
        <v>900</v>
      </c>
      <c r="NGH6" s="31">
        <v>900</v>
      </c>
      <c r="NGI6" s="31">
        <v>900</v>
      </c>
      <c r="NGJ6" s="31">
        <v>900</v>
      </c>
      <c r="NGK6" s="31">
        <v>900</v>
      </c>
      <c r="NGL6" s="31">
        <v>900</v>
      </c>
      <c r="NGM6" s="31">
        <v>900</v>
      </c>
      <c r="NGN6" s="31">
        <v>900</v>
      </c>
      <c r="NGO6" s="31">
        <v>900</v>
      </c>
      <c r="NGP6" s="31">
        <v>900</v>
      </c>
      <c r="NGQ6" s="31">
        <v>900</v>
      </c>
      <c r="NGR6" s="31">
        <v>900</v>
      </c>
      <c r="NGS6" s="31">
        <v>900</v>
      </c>
      <c r="NGT6" s="31">
        <v>900</v>
      </c>
      <c r="NGU6" s="31">
        <v>900</v>
      </c>
      <c r="NGV6" s="31">
        <v>900</v>
      </c>
      <c r="NGW6" s="31">
        <v>900</v>
      </c>
      <c r="NGX6" s="31">
        <v>900</v>
      </c>
      <c r="NGY6" s="31">
        <v>900</v>
      </c>
      <c r="NGZ6" s="31">
        <v>900</v>
      </c>
      <c r="NHA6" s="31">
        <v>900</v>
      </c>
      <c r="NHB6" s="31">
        <v>900</v>
      </c>
      <c r="NHC6" s="31">
        <v>900</v>
      </c>
      <c r="NHD6" s="31">
        <v>900</v>
      </c>
      <c r="NHE6" s="31">
        <v>900</v>
      </c>
      <c r="NHF6" s="31">
        <v>900</v>
      </c>
      <c r="NHG6" s="31">
        <v>900</v>
      </c>
      <c r="NHH6" s="31">
        <v>900</v>
      </c>
      <c r="NHI6" s="31">
        <v>900</v>
      </c>
      <c r="NHJ6" s="31">
        <v>900</v>
      </c>
      <c r="NHK6" s="31">
        <v>900</v>
      </c>
      <c r="NHL6" s="31">
        <v>900</v>
      </c>
      <c r="NHM6" s="31">
        <v>900</v>
      </c>
      <c r="NHN6" s="31">
        <v>900</v>
      </c>
      <c r="NHO6" s="31">
        <v>900</v>
      </c>
      <c r="NHP6" s="31">
        <v>900</v>
      </c>
      <c r="NHQ6" s="31">
        <v>900</v>
      </c>
      <c r="NHR6" s="31">
        <v>900</v>
      </c>
      <c r="NHS6" s="31">
        <v>900</v>
      </c>
      <c r="NHT6" s="31">
        <v>900</v>
      </c>
      <c r="NHU6" s="31">
        <v>900</v>
      </c>
      <c r="NHV6" s="31">
        <v>900</v>
      </c>
      <c r="NHW6" s="31">
        <v>900</v>
      </c>
      <c r="NHX6" s="31">
        <v>900</v>
      </c>
      <c r="NHY6" s="31">
        <v>900</v>
      </c>
      <c r="NHZ6" s="31">
        <v>900</v>
      </c>
      <c r="NIA6" s="31">
        <v>900</v>
      </c>
      <c r="NIB6" s="31">
        <v>900</v>
      </c>
      <c r="NIC6" s="31">
        <v>900</v>
      </c>
      <c r="NID6" s="31">
        <v>900</v>
      </c>
      <c r="NIE6" s="31">
        <v>900</v>
      </c>
      <c r="NIF6" s="31">
        <v>900</v>
      </c>
      <c r="NIG6" s="31">
        <v>900</v>
      </c>
      <c r="NIH6" s="31">
        <v>900</v>
      </c>
      <c r="NII6" s="31">
        <v>900</v>
      </c>
      <c r="NIJ6" s="31">
        <v>900</v>
      </c>
      <c r="NIK6" s="31">
        <v>900</v>
      </c>
      <c r="NIL6" s="31">
        <v>900</v>
      </c>
      <c r="NIM6" s="31">
        <v>900</v>
      </c>
      <c r="NIN6" s="31">
        <v>900</v>
      </c>
      <c r="NIO6" s="31">
        <v>900</v>
      </c>
      <c r="NIP6" s="31">
        <v>900</v>
      </c>
      <c r="NIQ6" s="31">
        <v>900</v>
      </c>
      <c r="NIR6" s="31">
        <v>900</v>
      </c>
      <c r="NIS6" s="31">
        <v>900</v>
      </c>
      <c r="NIT6" s="31">
        <v>900</v>
      </c>
      <c r="NIU6" s="31">
        <v>900</v>
      </c>
      <c r="NIV6" s="31">
        <v>900</v>
      </c>
      <c r="NIW6" s="31">
        <v>900</v>
      </c>
      <c r="NIX6" s="31">
        <v>900</v>
      </c>
      <c r="NIY6" s="31">
        <v>900</v>
      </c>
      <c r="NIZ6" s="31">
        <v>900</v>
      </c>
      <c r="NJA6" s="31">
        <v>900</v>
      </c>
      <c r="NJB6" s="31">
        <v>900</v>
      </c>
      <c r="NJC6" s="31">
        <v>900</v>
      </c>
      <c r="NJD6" s="31">
        <v>900</v>
      </c>
      <c r="NJE6" s="31">
        <v>900</v>
      </c>
      <c r="NJF6" s="31">
        <v>900</v>
      </c>
      <c r="NJG6" s="31">
        <v>900</v>
      </c>
      <c r="NJH6" s="31">
        <v>900</v>
      </c>
      <c r="NJI6" s="31">
        <v>900</v>
      </c>
      <c r="NJJ6" s="31">
        <v>900</v>
      </c>
      <c r="NJK6" s="31">
        <v>900</v>
      </c>
      <c r="NJL6" s="31">
        <v>900</v>
      </c>
      <c r="NJM6" s="31">
        <v>900</v>
      </c>
      <c r="NJN6" s="31">
        <v>900</v>
      </c>
      <c r="NJO6" s="31">
        <v>900</v>
      </c>
      <c r="NJP6" s="31">
        <v>900</v>
      </c>
      <c r="NJQ6" s="31">
        <v>900</v>
      </c>
      <c r="NJR6" s="31">
        <v>900</v>
      </c>
      <c r="NJS6" s="31">
        <v>900</v>
      </c>
      <c r="NJT6" s="31">
        <v>900</v>
      </c>
      <c r="NJU6" s="31">
        <v>900</v>
      </c>
      <c r="NJV6" s="31">
        <v>900</v>
      </c>
      <c r="NJW6" s="31">
        <v>900</v>
      </c>
      <c r="NJX6" s="31">
        <v>900</v>
      </c>
      <c r="NJY6" s="31">
        <v>900</v>
      </c>
      <c r="NJZ6" s="31">
        <v>900</v>
      </c>
      <c r="NKA6" s="31">
        <v>900</v>
      </c>
      <c r="NKB6" s="31">
        <v>900</v>
      </c>
      <c r="NKC6" s="31">
        <v>900</v>
      </c>
      <c r="NKD6" s="31">
        <v>900</v>
      </c>
      <c r="NKE6" s="31">
        <v>900</v>
      </c>
      <c r="NKF6" s="31">
        <v>900</v>
      </c>
      <c r="NKG6" s="31">
        <v>900</v>
      </c>
      <c r="NKH6" s="31">
        <v>900</v>
      </c>
      <c r="NKI6" s="31">
        <v>900</v>
      </c>
      <c r="NKJ6" s="31">
        <v>900</v>
      </c>
      <c r="NKK6" s="31">
        <v>900</v>
      </c>
      <c r="NKL6" s="31">
        <v>900</v>
      </c>
      <c r="NKM6" s="31">
        <v>900</v>
      </c>
      <c r="NKN6" s="31">
        <v>900</v>
      </c>
      <c r="NKO6" s="31">
        <v>900</v>
      </c>
      <c r="NKP6" s="31">
        <v>900</v>
      </c>
      <c r="NKQ6" s="31">
        <v>900</v>
      </c>
      <c r="NKR6" s="31">
        <v>900</v>
      </c>
      <c r="NKS6" s="31">
        <v>900</v>
      </c>
      <c r="NKT6" s="31">
        <v>900</v>
      </c>
      <c r="NKU6" s="31">
        <v>900</v>
      </c>
      <c r="NKV6" s="31">
        <v>900</v>
      </c>
      <c r="NKW6" s="31">
        <v>900</v>
      </c>
      <c r="NKX6" s="31">
        <v>900</v>
      </c>
      <c r="NKY6" s="31">
        <v>900</v>
      </c>
      <c r="NKZ6" s="31">
        <v>900</v>
      </c>
      <c r="NLA6" s="31">
        <v>900</v>
      </c>
      <c r="NLB6" s="31">
        <v>900</v>
      </c>
      <c r="NLC6" s="31">
        <v>900</v>
      </c>
      <c r="NLD6" s="31">
        <v>900</v>
      </c>
      <c r="NLE6" s="31">
        <v>900</v>
      </c>
      <c r="NLF6" s="31">
        <v>900</v>
      </c>
      <c r="NLG6" s="31">
        <v>900</v>
      </c>
      <c r="NLH6" s="31">
        <v>900</v>
      </c>
      <c r="NLI6" s="31">
        <v>900</v>
      </c>
      <c r="NLJ6" s="31">
        <v>900</v>
      </c>
      <c r="NLK6" s="31">
        <v>900</v>
      </c>
      <c r="NLL6" s="31">
        <v>900</v>
      </c>
      <c r="NLM6" s="31">
        <v>900</v>
      </c>
      <c r="NLN6" s="31">
        <v>900</v>
      </c>
      <c r="NLO6" s="31">
        <v>900</v>
      </c>
      <c r="NLP6" s="31">
        <v>900</v>
      </c>
      <c r="NLQ6" s="31">
        <v>900</v>
      </c>
      <c r="NLR6" s="31">
        <v>900</v>
      </c>
      <c r="NLS6" s="31">
        <v>900</v>
      </c>
      <c r="NLT6" s="31">
        <v>900</v>
      </c>
      <c r="NLU6" s="31">
        <v>900</v>
      </c>
      <c r="NLV6" s="31">
        <v>900</v>
      </c>
      <c r="NLW6" s="31">
        <v>900</v>
      </c>
      <c r="NLX6" s="31">
        <v>900</v>
      </c>
      <c r="NLY6" s="31">
        <v>900</v>
      </c>
      <c r="NLZ6" s="31">
        <v>900</v>
      </c>
      <c r="NMA6" s="31">
        <v>900</v>
      </c>
      <c r="NMB6" s="31">
        <v>900</v>
      </c>
      <c r="NMC6" s="31">
        <v>900</v>
      </c>
      <c r="NMD6" s="31">
        <v>900</v>
      </c>
      <c r="NME6" s="31">
        <v>900</v>
      </c>
      <c r="NMF6" s="31">
        <v>900</v>
      </c>
      <c r="NMG6" s="31">
        <v>900</v>
      </c>
      <c r="NMH6" s="31">
        <v>900</v>
      </c>
      <c r="NMI6" s="31">
        <v>900</v>
      </c>
      <c r="NMJ6" s="31">
        <v>900</v>
      </c>
      <c r="NMK6" s="31">
        <v>900</v>
      </c>
      <c r="NML6" s="31">
        <v>900</v>
      </c>
      <c r="NMM6" s="31">
        <v>900</v>
      </c>
      <c r="NMN6" s="31">
        <v>900</v>
      </c>
      <c r="NMO6" s="31">
        <v>900</v>
      </c>
      <c r="NMP6" s="31">
        <v>900</v>
      </c>
      <c r="NMQ6" s="31">
        <v>900</v>
      </c>
      <c r="NMR6" s="31">
        <v>900</v>
      </c>
      <c r="NMS6" s="31">
        <v>900</v>
      </c>
      <c r="NMT6" s="31">
        <v>900</v>
      </c>
      <c r="NMU6" s="31">
        <v>900</v>
      </c>
      <c r="NMV6" s="31">
        <v>900</v>
      </c>
      <c r="NMW6" s="31">
        <v>900</v>
      </c>
      <c r="NMX6" s="31">
        <v>900</v>
      </c>
      <c r="NMY6" s="31">
        <v>900</v>
      </c>
      <c r="NMZ6" s="31">
        <v>900</v>
      </c>
      <c r="NNA6" s="31">
        <v>900</v>
      </c>
      <c r="NNB6" s="31">
        <v>900</v>
      </c>
      <c r="NNC6" s="31">
        <v>900</v>
      </c>
      <c r="NND6" s="31">
        <v>900</v>
      </c>
      <c r="NNE6" s="31">
        <v>900</v>
      </c>
      <c r="NNF6" s="31">
        <v>900</v>
      </c>
      <c r="NNG6" s="31">
        <v>900</v>
      </c>
      <c r="NNH6" s="31">
        <v>900</v>
      </c>
      <c r="NNI6" s="31">
        <v>900</v>
      </c>
      <c r="NNJ6" s="31">
        <v>900</v>
      </c>
      <c r="NNK6" s="31">
        <v>900</v>
      </c>
      <c r="NNL6" s="31">
        <v>900</v>
      </c>
      <c r="NNM6" s="31">
        <v>900</v>
      </c>
      <c r="NNN6" s="31">
        <v>900</v>
      </c>
      <c r="NNO6" s="31">
        <v>900</v>
      </c>
      <c r="NNP6" s="31">
        <v>900</v>
      </c>
      <c r="NNQ6" s="31">
        <v>900</v>
      </c>
      <c r="NNR6" s="31">
        <v>900</v>
      </c>
      <c r="NNS6" s="31">
        <v>900</v>
      </c>
      <c r="NNT6" s="31">
        <v>900</v>
      </c>
      <c r="NNU6" s="31">
        <v>900</v>
      </c>
      <c r="NNV6" s="31">
        <v>900</v>
      </c>
      <c r="NNW6" s="31">
        <v>900</v>
      </c>
      <c r="NNX6" s="31">
        <v>900</v>
      </c>
      <c r="NNY6" s="31">
        <v>900</v>
      </c>
      <c r="NNZ6" s="31">
        <v>900</v>
      </c>
      <c r="NOA6" s="31">
        <v>900</v>
      </c>
      <c r="NOB6" s="31">
        <v>900</v>
      </c>
      <c r="NOC6" s="31">
        <v>900</v>
      </c>
      <c r="NOD6" s="31">
        <v>900</v>
      </c>
      <c r="NOE6" s="31">
        <v>900</v>
      </c>
      <c r="NOF6" s="31">
        <v>900</v>
      </c>
      <c r="NOG6" s="31">
        <v>900</v>
      </c>
      <c r="NOH6" s="31">
        <v>900</v>
      </c>
      <c r="NOI6" s="31">
        <v>900</v>
      </c>
      <c r="NOJ6" s="31">
        <v>900</v>
      </c>
      <c r="NOK6" s="31">
        <v>900</v>
      </c>
      <c r="NOL6" s="31">
        <v>900</v>
      </c>
      <c r="NOM6" s="31">
        <v>900</v>
      </c>
      <c r="NON6" s="31">
        <v>900</v>
      </c>
      <c r="NOO6" s="31">
        <v>900</v>
      </c>
      <c r="NOP6" s="31">
        <v>900</v>
      </c>
      <c r="NOQ6" s="31">
        <v>900</v>
      </c>
      <c r="NOR6" s="31">
        <v>900</v>
      </c>
      <c r="NOS6" s="31">
        <v>900</v>
      </c>
      <c r="NOT6" s="31">
        <v>900</v>
      </c>
      <c r="NOU6" s="31">
        <v>900</v>
      </c>
      <c r="NOV6" s="31">
        <v>900</v>
      </c>
      <c r="NOW6" s="31">
        <v>900</v>
      </c>
      <c r="NOX6" s="31">
        <v>900</v>
      </c>
      <c r="NOY6" s="31">
        <v>900</v>
      </c>
      <c r="NOZ6" s="31">
        <v>900</v>
      </c>
      <c r="NPA6" s="31">
        <v>900</v>
      </c>
      <c r="NPB6" s="31">
        <v>900</v>
      </c>
      <c r="NPC6" s="31">
        <v>900</v>
      </c>
      <c r="NPD6" s="31">
        <v>900</v>
      </c>
      <c r="NPE6" s="31">
        <v>900</v>
      </c>
      <c r="NPF6" s="31">
        <v>900</v>
      </c>
      <c r="NPG6" s="31">
        <v>900</v>
      </c>
      <c r="NPH6" s="31">
        <v>900</v>
      </c>
      <c r="NPI6" s="31">
        <v>900</v>
      </c>
      <c r="NPJ6" s="31">
        <v>900</v>
      </c>
      <c r="NPK6" s="31">
        <v>900</v>
      </c>
      <c r="NPL6" s="31">
        <v>900</v>
      </c>
      <c r="NPM6" s="31">
        <v>900</v>
      </c>
      <c r="NPN6" s="31">
        <v>900</v>
      </c>
      <c r="NPO6" s="31">
        <v>900</v>
      </c>
      <c r="NPP6" s="31">
        <v>900</v>
      </c>
      <c r="NPQ6" s="31">
        <v>900</v>
      </c>
      <c r="NPR6" s="31">
        <v>900</v>
      </c>
      <c r="NPS6" s="31">
        <v>900</v>
      </c>
      <c r="NPT6" s="31">
        <v>900</v>
      </c>
      <c r="NPU6" s="31">
        <v>900</v>
      </c>
      <c r="NPV6" s="31">
        <v>900</v>
      </c>
      <c r="NPW6" s="31">
        <v>900</v>
      </c>
      <c r="NPX6" s="31">
        <v>900</v>
      </c>
      <c r="NPY6" s="31">
        <v>900</v>
      </c>
      <c r="NPZ6" s="31">
        <v>900</v>
      </c>
      <c r="NQA6" s="31">
        <v>900</v>
      </c>
      <c r="NQB6" s="31">
        <v>900</v>
      </c>
      <c r="NQC6" s="31">
        <v>900</v>
      </c>
      <c r="NQD6" s="31">
        <v>900</v>
      </c>
      <c r="NQE6" s="31">
        <v>900</v>
      </c>
      <c r="NQF6" s="31">
        <v>900</v>
      </c>
      <c r="NQG6" s="31">
        <v>900</v>
      </c>
      <c r="NQH6" s="31">
        <v>900</v>
      </c>
      <c r="NQI6" s="31">
        <v>900</v>
      </c>
      <c r="NQJ6" s="31">
        <v>900</v>
      </c>
      <c r="NQK6" s="31">
        <v>900</v>
      </c>
      <c r="NQL6" s="31">
        <v>900</v>
      </c>
      <c r="NQM6" s="31">
        <v>900</v>
      </c>
      <c r="NQN6" s="31">
        <v>900</v>
      </c>
      <c r="NQO6" s="31">
        <v>900</v>
      </c>
      <c r="NQP6" s="31">
        <v>900</v>
      </c>
      <c r="NQQ6" s="31">
        <v>900</v>
      </c>
      <c r="NQR6" s="31">
        <v>900</v>
      </c>
      <c r="NQS6" s="31">
        <v>900</v>
      </c>
      <c r="NQT6" s="31">
        <v>900</v>
      </c>
      <c r="NQU6" s="31">
        <v>900</v>
      </c>
      <c r="NQV6" s="31">
        <v>900</v>
      </c>
      <c r="NQW6" s="31">
        <v>900</v>
      </c>
      <c r="NQX6" s="31">
        <v>900</v>
      </c>
      <c r="NQY6" s="31">
        <v>900</v>
      </c>
      <c r="NQZ6" s="31">
        <v>900</v>
      </c>
      <c r="NRA6" s="31">
        <v>900</v>
      </c>
      <c r="NRB6" s="31">
        <v>900</v>
      </c>
      <c r="NRC6" s="31">
        <v>900</v>
      </c>
      <c r="NRD6" s="31">
        <v>900</v>
      </c>
      <c r="NRE6" s="31">
        <v>900</v>
      </c>
      <c r="NRF6" s="31">
        <v>900</v>
      </c>
      <c r="NRG6" s="31">
        <v>900</v>
      </c>
      <c r="NRH6" s="31">
        <v>900</v>
      </c>
      <c r="NRI6" s="31">
        <v>900</v>
      </c>
      <c r="NRJ6" s="31">
        <v>900</v>
      </c>
      <c r="NRK6" s="31">
        <v>900</v>
      </c>
      <c r="NRL6" s="31">
        <v>900</v>
      </c>
      <c r="NRM6" s="31">
        <v>900</v>
      </c>
      <c r="NRN6" s="31">
        <v>900</v>
      </c>
      <c r="NRO6" s="31">
        <v>900</v>
      </c>
      <c r="NRP6" s="31">
        <v>900</v>
      </c>
      <c r="NRQ6" s="31">
        <v>900</v>
      </c>
      <c r="NRR6" s="31">
        <v>900</v>
      </c>
      <c r="NRS6" s="31">
        <v>900</v>
      </c>
      <c r="NRT6" s="31">
        <v>900</v>
      </c>
      <c r="NRU6" s="31">
        <v>900</v>
      </c>
      <c r="NRV6" s="31">
        <v>900</v>
      </c>
      <c r="NRW6" s="31">
        <v>900</v>
      </c>
      <c r="NRX6" s="31">
        <v>900</v>
      </c>
      <c r="NRY6" s="31">
        <v>900</v>
      </c>
      <c r="NRZ6" s="31">
        <v>900</v>
      </c>
      <c r="NSA6" s="31">
        <v>900</v>
      </c>
      <c r="NSB6" s="31">
        <v>900</v>
      </c>
      <c r="NSC6" s="31">
        <v>900</v>
      </c>
      <c r="NSD6" s="31">
        <v>900</v>
      </c>
      <c r="NSE6" s="31">
        <v>900</v>
      </c>
      <c r="NSF6" s="31">
        <v>900</v>
      </c>
      <c r="NSG6" s="31">
        <v>900</v>
      </c>
      <c r="NSH6" s="31">
        <v>900</v>
      </c>
      <c r="NSI6" s="31">
        <v>900</v>
      </c>
      <c r="NSJ6" s="31">
        <v>900</v>
      </c>
      <c r="NSK6" s="31">
        <v>900</v>
      </c>
      <c r="NSL6" s="31">
        <v>900</v>
      </c>
      <c r="NSM6" s="31">
        <v>900</v>
      </c>
      <c r="NSN6" s="31">
        <v>900</v>
      </c>
      <c r="NSO6" s="31">
        <v>900</v>
      </c>
      <c r="NSP6" s="31">
        <v>900</v>
      </c>
      <c r="NSQ6" s="31">
        <v>900</v>
      </c>
      <c r="NSR6" s="31">
        <v>900</v>
      </c>
      <c r="NSS6" s="31">
        <v>900</v>
      </c>
      <c r="NST6" s="31">
        <v>900</v>
      </c>
      <c r="NSU6" s="31">
        <v>900</v>
      </c>
      <c r="NSV6" s="31">
        <v>900</v>
      </c>
      <c r="NSW6" s="31">
        <v>900</v>
      </c>
      <c r="NSX6" s="31">
        <v>900</v>
      </c>
      <c r="NSY6" s="31">
        <v>900</v>
      </c>
      <c r="NSZ6" s="31">
        <v>900</v>
      </c>
      <c r="NTA6" s="31">
        <v>900</v>
      </c>
      <c r="NTB6" s="31">
        <v>900</v>
      </c>
      <c r="NTC6" s="31">
        <v>900</v>
      </c>
      <c r="NTD6" s="31">
        <v>900</v>
      </c>
      <c r="NTE6" s="31">
        <v>900</v>
      </c>
      <c r="NTF6" s="31">
        <v>900</v>
      </c>
      <c r="NTG6" s="31">
        <v>900</v>
      </c>
      <c r="NTH6" s="31">
        <v>900</v>
      </c>
      <c r="NTI6" s="31">
        <v>900</v>
      </c>
      <c r="NTJ6" s="31">
        <v>900</v>
      </c>
      <c r="NTK6" s="31">
        <v>900</v>
      </c>
      <c r="NTL6" s="31">
        <v>900</v>
      </c>
      <c r="NTM6" s="31">
        <v>900</v>
      </c>
      <c r="NTN6" s="31">
        <v>900</v>
      </c>
      <c r="NTO6" s="31">
        <v>900</v>
      </c>
      <c r="NTP6" s="31">
        <v>900</v>
      </c>
      <c r="NTQ6" s="31">
        <v>900</v>
      </c>
      <c r="NTR6" s="31">
        <v>900</v>
      </c>
      <c r="NTS6" s="31">
        <v>900</v>
      </c>
      <c r="NTT6" s="31">
        <v>900</v>
      </c>
      <c r="NTU6" s="31">
        <v>900</v>
      </c>
      <c r="NTV6" s="31">
        <v>900</v>
      </c>
      <c r="NTW6" s="31">
        <v>900</v>
      </c>
      <c r="NTX6" s="31">
        <v>900</v>
      </c>
      <c r="NTY6" s="31">
        <v>900</v>
      </c>
      <c r="NTZ6" s="31">
        <v>900</v>
      </c>
      <c r="NUA6" s="31">
        <v>900</v>
      </c>
      <c r="NUB6" s="31">
        <v>900</v>
      </c>
      <c r="NUC6" s="31">
        <v>900</v>
      </c>
      <c r="NUD6" s="31">
        <v>900</v>
      </c>
      <c r="NUE6" s="31">
        <v>900</v>
      </c>
      <c r="NUF6" s="31">
        <v>900</v>
      </c>
      <c r="NUG6" s="31">
        <v>900</v>
      </c>
      <c r="NUH6" s="31">
        <v>900</v>
      </c>
      <c r="NUI6" s="31">
        <v>900</v>
      </c>
      <c r="NUJ6" s="31">
        <v>900</v>
      </c>
      <c r="NUK6" s="31">
        <v>900</v>
      </c>
      <c r="NUL6" s="31">
        <v>900</v>
      </c>
      <c r="NUM6" s="31">
        <v>900</v>
      </c>
      <c r="NUN6" s="31">
        <v>900</v>
      </c>
      <c r="NUO6" s="31">
        <v>900</v>
      </c>
      <c r="NUP6" s="31">
        <v>900</v>
      </c>
      <c r="NUQ6" s="31">
        <v>900</v>
      </c>
      <c r="NUR6" s="31">
        <v>900</v>
      </c>
      <c r="NUS6" s="31">
        <v>900</v>
      </c>
      <c r="NUT6" s="31">
        <v>900</v>
      </c>
      <c r="NUU6" s="31">
        <v>900</v>
      </c>
      <c r="NUV6" s="31">
        <v>900</v>
      </c>
      <c r="NUW6" s="31">
        <v>900</v>
      </c>
      <c r="NUX6" s="31">
        <v>900</v>
      </c>
      <c r="NUY6" s="31">
        <v>900</v>
      </c>
      <c r="NUZ6" s="31">
        <v>900</v>
      </c>
      <c r="NVA6" s="31">
        <v>900</v>
      </c>
      <c r="NVB6" s="31">
        <v>900</v>
      </c>
      <c r="NVC6" s="31">
        <v>900</v>
      </c>
      <c r="NVD6" s="31">
        <v>900</v>
      </c>
      <c r="NVE6" s="31">
        <v>900</v>
      </c>
      <c r="NVF6" s="31">
        <v>900</v>
      </c>
      <c r="NVG6" s="31">
        <v>900</v>
      </c>
      <c r="NVH6" s="31">
        <v>900</v>
      </c>
      <c r="NVI6" s="31">
        <v>900</v>
      </c>
      <c r="NVJ6" s="31">
        <v>900</v>
      </c>
      <c r="NVK6" s="31">
        <v>900</v>
      </c>
      <c r="NVL6" s="31">
        <v>900</v>
      </c>
      <c r="NVM6" s="31">
        <v>900</v>
      </c>
      <c r="NVN6" s="31">
        <v>900</v>
      </c>
      <c r="NVO6" s="31">
        <v>900</v>
      </c>
      <c r="NVP6" s="31">
        <v>900</v>
      </c>
      <c r="NVQ6" s="31">
        <v>900</v>
      </c>
      <c r="NVR6" s="31">
        <v>900</v>
      </c>
      <c r="NVS6" s="31">
        <v>900</v>
      </c>
      <c r="NVT6" s="31">
        <v>900</v>
      </c>
      <c r="NVU6" s="31">
        <v>900</v>
      </c>
      <c r="NVV6" s="31">
        <v>900</v>
      </c>
      <c r="NVW6" s="31">
        <v>900</v>
      </c>
      <c r="NVX6" s="31">
        <v>900</v>
      </c>
      <c r="NVY6" s="31">
        <v>900</v>
      </c>
      <c r="NVZ6" s="31">
        <v>900</v>
      </c>
      <c r="NWA6" s="31">
        <v>900</v>
      </c>
      <c r="NWB6" s="31">
        <v>900</v>
      </c>
      <c r="NWC6" s="31">
        <v>900</v>
      </c>
      <c r="NWD6" s="31">
        <v>900</v>
      </c>
      <c r="NWE6" s="31">
        <v>900</v>
      </c>
      <c r="NWF6" s="31">
        <v>900</v>
      </c>
      <c r="NWG6" s="31">
        <v>900</v>
      </c>
      <c r="NWH6" s="31">
        <v>900</v>
      </c>
      <c r="NWI6" s="31">
        <v>900</v>
      </c>
      <c r="NWJ6" s="31">
        <v>900</v>
      </c>
      <c r="NWK6" s="31">
        <v>900</v>
      </c>
      <c r="NWL6" s="31">
        <v>900</v>
      </c>
      <c r="NWM6" s="31">
        <v>900</v>
      </c>
      <c r="NWN6" s="31">
        <v>900</v>
      </c>
      <c r="NWO6" s="31">
        <v>900</v>
      </c>
      <c r="NWP6" s="31">
        <v>900</v>
      </c>
      <c r="NWQ6" s="31">
        <v>900</v>
      </c>
      <c r="NWR6" s="31">
        <v>900</v>
      </c>
      <c r="NWS6" s="31">
        <v>900</v>
      </c>
      <c r="NWT6" s="31">
        <v>900</v>
      </c>
      <c r="NWU6" s="31">
        <v>900</v>
      </c>
      <c r="NWV6" s="31">
        <v>900</v>
      </c>
      <c r="NWW6" s="31">
        <v>900</v>
      </c>
      <c r="NWX6" s="31">
        <v>900</v>
      </c>
      <c r="NWY6" s="31">
        <v>900</v>
      </c>
      <c r="NWZ6" s="31">
        <v>900</v>
      </c>
      <c r="NXA6" s="31">
        <v>900</v>
      </c>
      <c r="NXB6" s="31">
        <v>900</v>
      </c>
      <c r="NXC6" s="31">
        <v>900</v>
      </c>
      <c r="NXD6" s="31">
        <v>900</v>
      </c>
      <c r="NXE6" s="31">
        <v>900</v>
      </c>
      <c r="NXF6" s="31">
        <v>900</v>
      </c>
      <c r="NXG6" s="31">
        <v>900</v>
      </c>
      <c r="NXH6" s="31">
        <v>900</v>
      </c>
      <c r="NXI6" s="31">
        <v>900</v>
      </c>
      <c r="NXJ6" s="31">
        <v>900</v>
      </c>
      <c r="NXK6" s="31">
        <v>900</v>
      </c>
      <c r="NXL6" s="31">
        <v>900</v>
      </c>
      <c r="NXM6" s="31">
        <v>900</v>
      </c>
      <c r="NXN6" s="31">
        <v>900</v>
      </c>
      <c r="NXO6" s="31">
        <v>900</v>
      </c>
      <c r="NXP6" s="31">
        <v>900</v>
      </c>
      <c r="NXQ6" s="31">
        <v>900</v>
      </c>
      <c r="NXR6" s="31">
        <v>900</v>
      </c>
      <c r="NXS6" s="31">
        <v>900</v>
      </c>
      <c r="NXT6" s="31">
        <v>900</v>
      </c>
      <c r="NXU6" s="31">
        <v>900</v>
      </c>
      <c r="NXV6" s="31">
        <v>900</v>
      </c>
      <c r="NXW6" s="31">
        <v>900</v>
      </c>
      <c r="NXX6" s="31">
        <v>900</v>
      </c>
      <c r="NXY6" s="31">
        <v>900</v>
      </c>
      <c r="NXZ6" s="31">
        <v>900</v>
      </c>
      <c r="NYA6" s="31">
        <v>900</v>
      </c>
      <c r="NYB6" s="31">
        <v>900</v>
      </c>
      <c r="NYC6" s="31">
        <v>900</v>
      </c>
      <c r="NYD6" s="31">
        <v>900</v>
      </c>
      <c r="NYE6" s="31">
        <v>900</v>
      </c>
      <c r="NYF6" s="31">
        <v>900</v>
      </c>
      <c r="NYG6" s="31">
        <v>900</v>
      </c>
      <c r="NYH6" s="31">
        <v>900</v>
      </c>
      <c r="NYI6" s="31">
        <v>900</v>
      </c>
      <c r="NYJ6" s="31">
        <v>900</v>
      </c>
      <c r="NYK6" s="31">
        <v>900</v>
      </c>
      <c r="NYL6" s="31">
        <v>900</v>
      </c>
      <c r="NYM6" s="31">
        <v>900</v>
      </c>
      <c r="NYN6" s="31">
        <v>900</v>
      </c>
      <c r="NYO6" s="31">
        <v>900</v>
      </c>
      <c r="NYP6" s="31">
        <v>900</v>
      </c>
      <c r="NYQ6" s="31">
        <v>900</v>
      </c>
      <c r="NYR6" s="31">
        <v>900</v>
      </c>
      <c r="NYS6" s="31">
        <v>900</v>
      </c>
      <c r="NYT6" s="31">
        <v>900</v>
      </c>
      <c r="NYU6" s="31">
        <v>900</v>
      </c>
      <c r="NYV6" s="31">
        <v>900</v>
      </c>
      <c r="NYW6" s="31">
        <v>900</v>
      </c>
      <c r="NYX6" s="31">
        <v>900</v>
      </c>
      <c r="NYY6" s="31">
        <v>900</v>
      </c>
      <c r="NYZ6" s="31">
        <v>900</v>
      </c>
      <c r="NZA6" s="31">
        <v>900</v>
      </c>
      <c r="NZB6" s="31">
        <v>900</v>
      </c>
      <c r="NZC6" s="31">
        <v>900</v>
      </c>
      <c r="NZD6" s="31">
        <v>900</v>
      </c>
      <c r="NZE6" s="31">
        <v>900</v>
      </c>
      <c r="NZF6" s="31">
        <v>900</v>
      </c>
      <c r="NZG6" s="31">
        <v>900</v>
      </c>
      <c r="NZH6" s="31">
        <v>900</v>
      </c>
      <c r="NZI6" s="31">
        <v>900</v>
      </c>
      <c r="NZJ6" s="31">
        <v>900</v>
      </c>
      <c r="NZK6" s="31">
        <v>900</v>
      </c>
      <c r="NZL6" s="31">
        <v>900</v>
      </c>
      <c r="NZM6" s="31">
        <v>900</v>
      </c>
      <c r="NZN6" s="31">
        <v>900</v>
      </c>
      <c r="NZO6" s="31">
        <v>900</v>
      </c>
      <c r="NZP6" s="31">
        <v>900</v>
      </c>
      <c r="NZQ6" s="31">
        <v>900</v>
      </c>
      <c r="NZR6" s="31">
        <v>900</v>
      </c>
      <c r="NZS6" s="31">
        <v>900</v>
      </c>
      <c r="NZT6" s="31">
        <v>900</v>
      </c>
      <c r="NZU6" s="31">
        <v>900</v>
      </c>
      <c r="NZV6" s="31">
        <v>900</v>
      </c>
      <c r="NZW6" s="31">
        <v>900</v>
      </c>
      <c r="NZX6" s="31">
        <v>900</v>
      </c>
      <c r="NZY6" s="31">
        <v>900</v>
      </c>
      <c r="NZZ6" s="31">
        <v>900</v>
      </c>
      <c r="OAA6" s="31">
        <v>900</v>
      </c>
      <c r="OAB6" s="31">
        <v>900</v>
      </c>
      <c r="OAC6" s="31">
        <v>900</v>
      </c>
      <c r="OAD6" s="31">
        <v>900</v>
      </c>
      <c r="OAE6" s="31">
        <v>900</v>
      </c>
      <c r="OAF6" s="31">
        <v>900</v>
      </c>
      <c r="OAG6" s="31">
        <v>900</v>
      </c>
      <c r="OAH6" s="31">
        <v>900</v>
      </c>
      <c r="OAI6" s="31">
        <v>900</v>
      </c>
      <c r="OAJ6" s="31">
        <v>900</v>
      </c>
      <c r="OAK6" s="31">
        <v>900</v>
      </c>
      <c r="OAL6" s="31">
        <v>900</v>
      </c>
      <c r="OAM6" s="31">
        <v>900</v>
      </c>
      <c r="OAN6" s="31">
        <v>900</v>
      </c>
      <c r="OAO6" s="31">
        <v>900</v>
      </c>
      <c r="OAP6" s="31">
        <v>900</v>
      </c>
      <c r="OAQ6" s="31">
        <v>900</v>
      </c>
      <c r="OAR6" s="31">
        <v>900</v>
      </c>
      <c r="OAS6" s="31">
        <v>900</v>
      </c>
      <c r="OAT6" s="31">
        <v>900</v>
      </c>
      <c r="OAU6" s="31">
        <v>900</v>
      </c>
      <c r="OAV6" s="31">
        <v>900</v>
      </c>
      <c r="OAW6" s="31">
        <v>900</v>
      </c>
      <c r="OAX6" s="31">
        <v>900</v>
      </c>
      <c r="OAY6" s="31">
        <v>900</v>
      </c>
      <c r="OAZ6" s="31">
        <v>900</v>
      </c>
      <c r="OBA6" s="31">
        <v>900</v>
      </c>
      <c r="OBB6" s="31">
        <v>900</v>
      </c>
      <c r="OBC6" s="31">
        <v>900</v>
      </c>
      <c r="OBD6" s="31">
        <v>900</v>
      </c>
      <c r="OBE6" s="31">
        <v>900</v>
      </c>
      <c r="OBF6" s="31">
        <v>900</v>
      </c>
      <c r="OBG6" s="31">
        <v>900</v>
      </c>
      <c r="OBH6" s="31">
        <v>900</v>
      </c>
      <c r="OBI6" s="31">
        <v>900</v>
      </c>
      <c r="OBJ6" s="31">
        <v>900</v>
      </c>
      <c r="OBK6" s="31">
        <v>900</v>
      </c>
      <c r="OBL6" s="31">
        <v>900</v>
      </c>
      <c r="OBM6" s="31">
        <v>900</v>
      </c>
      <c r="OBN6" s="31">
        <v>900</v>
      </c>
      <c r="OBO6" s="31">
        <v>900</v>
      </c>
      <c r="OBP6" s="31">
        <v>900</v>
      </c>
      <c r="OBQ6" s="31">
        <v>900</v>
      </c>
      <c r="OBR6" s="31">
        <v>900</v>
      </c>
      <c r="OBS6" s="31">
        <v>900</v>
      </c>
      <c r="OBT6" s="31">
        <v>900</v>
      </c>
      <c r="OBU6" s="31">
        <v>900</v>
      </c>
      <c r="OBV6" s="31">
        <v>900</v>
      </c>
      <c r="OBW6" s="31">
        <v>900</v>
      </c>
      <c r="OBX6" s="31">
        <v>900</v>
      </c>
      <c r="OBY6" s="31">
        <v>900</v>
      </c>
      <c r="OBZ6" s="31">
        <v>900</v>
      </c>
      <c r="OCA6" s="31">
        <v>900</v>
      </c>
      <c r="OCB6" s="31">
        <v>900</v>
      </c>
      <c r="OCC6" s="31">
        <v>900</v>
      </c>
      <c r="OCD6" s="31">
        <v>900</v>
      </c>
      <c r="OCE6" s="31">
        <v>900</v>
      </c>
      <c r="OCF6" s="31">
        <v>900</v>
      </c>
      <c r="OCG6" s="31">
        <v>900</v>
      </c>
      <c r="OCH6" s="31">
        <v>900</v>
      </c>
      <c r="OCI6" s="31">
        <v>900</v>
      </c>
      <c r="OCJ6" s="31">
        <v>900</v>
      </c>
      <c r="OCK6" s="31">
        <v>900</v>
      </c>
      <c r="OCL6" s="31">
        <v>900</v>
      </c>
      <c r="OCM6" s="31">
        <v>900</v>
      </c>
      <c r="OCN6" s="31">
        <v>900</v>
      </c>
      <c r="OCO6" s="31">
        <v>900</v>
      </c>
      <c r="OCP6" s="31">
        <v>900</v>
      </c>
      <c r="OCQ6" s="31">
        <v>900</v>
      </c>
      <c r="OCR6" s="31">
        <v>900</v>
      </c>
      <c r="OCS6" s="31">
        <v>900</v>
      </c>
      <c r="OCT6" s="31">
        <v>900</v>
      </c>
      <c r="OCU6" s="31">
        <v>900</v>
      </c>
      <c r="OCV6" s="31">
        <v>900</v>
      </c>
      <c r="OCW6" s="31">
        <v>900</v>
      </c>
      <c r="OCX6" s="31">
        <v>900</v>
      </c>
      <c r="OCY6" s="31">
        <v>900</v>
      </c>
      <c r="OCZ6" s="31">
        <v>900</v>
      </c>
      <c r="ODA6" s="31">
        <v>900</v>
      </c>
      <c r="ODB6" s="31">
        <v>900</v>
      </c>
      <c r="ODC6" s="31">
        <v>900</v>
      </c>
      <c r="ODD6" s="31">
        <v>900</v>
      </c>
      <c r="ODE6" s="31">
        <v>900</v>
      </c>
      <c r="ODF6" s="31">
        <v>900</v>
      </c>
      <c r="ODG6" s="31">
        <v>900</v>
      </c>
      <c r="ODH6" s="31">
        <v>900</v>
      </c>
      <c r="ODI6" s="31">
        <v>900</v>
      </c>
      <c r="ODJ6" s="31">
        <v>900</v>
      </c>
      <c r="ODK6" s="31">
        <v>900</v>
      </c>
      <c r="ODL6" s="31">
        <v>900</v>
      </c>
      <c r="ODM6" s="31">
        <v>900</v>
      </c>
      <c r="ODN6" s="31">
        <v>900</v>
      </c>
      <c r="ODO6" s="31">
        <v>900</v>
      </c>
      <c r="ODP6" s="31">
        <v>900</v>
      </c>
      <c r="ODQ6" s="31">
        <v>900</v>
      </c>
      <c r="ODR6" s="31">
        <v>900</v>
      </c>
      <c r="ODS6" s="31">
        <v>900</v>
      </c>
      <c r="ODT6" s="31">
        <v>900</v>
      </c>
      <c r="ODU6" s="31">
        <v>900</v>
      </c>
      <c r="ODV6" s="31">
        <v>900</v>
      </c>
      <c r="ODW6" s="31">
        <v>900</v>
      </c>
      <c r="ODX6" s="31">
        <v>900</v>
      </c>
      <c r="ODY6" s="31">
        <v>900</v>
      </c>
      <c r="ODZ6" s="31">
        <v>900</v>
      </c>
      <c r="OEA6" s="31">
        <v>900</v>
      </c>
      <c r="OEB6" s="31">
        <v>900</v>
      </c>
      <c r="OEC6" s="31">
        <v>900</v>
      </c>
      <c r="OED6" s="31">
        <v>900</v>
      </c>
      <c r="OEE6" s="31">
        <v>900</v>
      </c>
      <c r="OEF6" s="31">
        <v>900</v>
      </c>
      <c r="OEG6" s="31">
        <v>900</v>
      </c>
      <c r="OEH6" s="31">
        <v>900</v>
      </c>
      <c r="OEI6" s="31">
        <v>900</v>
      </c>
      <c r="OEJ6" s="31">
        <v>900</v>
      </c>
      <c r="OEK6" s="31">
        <v>900</v>
      </c>
      <c r="OEL6" s="31">
        <v>900</v>
      </c>
      <c r="OEM6" s="31">
        <v>900</v>
      </c>
      <c r="OEN6" s="31">
        <v>900</v>
      </c>
      <c r="OEO6" s="31">
        <v>900</v>
      </c>
      <c r="OEP6" s="31">
        <v>900</v>
      </c>
      <c r="OEQ6" s="31">
        <v>900</v>
      </c>
      <c r="OER6" s="31">
        <v>900</v>
      </c>
      <c r="OES6" s="31">
        <v>900</v>
      </c>
      <c r="OET6" s="31">
        <v>900</v>
      </c>
      <c r="OEU6" s="31">
        <v>900</v>
      </c>
      <c r="OEV6" s="31">
        <v>900</v>
      </c>
      <c r="OEW6" s="31">
        <v>900</v>
      </c>
      <c r="OEX6" s="31">
        <v>900</v>
      </c>
      <c r="OEY6" s="31">
        <v>900</v>
      </c>
      <c r="OEZ6" s="31">
        <v>900</v>
      </c>
      <c r="OFA6" s="31">
        <v>900</v>
      </c>
      <c r="OFB6" s="31">
        <v>900</v>
      </c>
      <c r="OFC6" s="31">
        <v>900</v>
      </c>
      <c r="OFD6" s="31">
        <v>900</v>
      </c>
      <c r="OFE6" s="31">
        <v>900</v>
      </c>
      <c r="OFF6" s="31">
        <v>900</v>
      </c>
      <c r="OFG6" s="31">
        <v>900</v>
      </c>
      <c r="OFH6" s="31">
        <v>900</v>
      </c>
      <c r="OFI6" s="31">
        <v>900</v>
      </c>
      <c r="OFJ6" s="31">
        <v>900</v>
      </c>
      <c r="OFK6" s="31">
        <v>900</v>
      </c>
      <c r="OFL6" s="31">
        <v>900</v>
      </c>
      <c r="OFM6" s="31">
        <v>900</v>
      </c>
      <c r="OFN6" s="31">
        <v>900</v>
      </c>
      <c r="OFO6" s="31">
        <v>900</v>
      </c>
      <c r="OFP6" s="31">
        <v>900</v>
      </c>
      <c r="OFQ6" s="31">
        <v>900</v>
      </c>
      <c r="OFR6" s="31">
        <v>900</v>
      </c>
      <c r="OFS6" s="31">
        <v>900</v>
      </c>
      <c r="OFT6" s="31">
        <v>900</v>
      </c>
      <c r="OFU6" s="31">
        <v>900</v>
      </c>
      <c r="OFV6" s="31">
        <v>900</v>
      </c>
      <c r="OFW6" s="31">
        <v>900</v>
      </c>
      <c r="OFX6" s="31">
        <v>900</v>
      </c>
      <c r="OFY6" s="31">
        <v>900</v>
      </c>
      <c r="OFZ6" s="31">
        <v>900</v>
      </c>
      <c r="OGA6" s="31">
        <v>900</v>
      </c>
      <c r="OGB6" s="31">
        <v>900</v>
      </c>
      <c r="OGC6" s="31">
        <v>900</v>
      </c>
      <c r="OGD6" s="31">
        <v>900</v>
      </c>
      <c r="OGE6" s="31">
        <v>900</v>
      </c>
      <c r="OGF6" s="31">
        <v>900</v>
      </c>
      <c r="OGG6" s="31">
        <v>900</v>
      </c>
      <c r="OGH6" s="31">
        <v>900</v>
      </c>
      <c r="OGI6" s="31">
        <v>900</v>
      </c>
      <c r="OGJ6" s="31">
        <v>900</v>
      </c>
      <c r="OGK6" s="31">
        <v>900</v>
      </c>
      <c r="OGL6" s="31">
        <v>900</v>
      </c>
      <c r="OGM6" s="31">
        <v>900</v>
      </c>
      <c r="OGN6" s="31">
        <v>900</v>
      </c>
      <c r="OGO6" s="31">
        <v>900</v>
      </c>
      <c r="OGP6" s="31">
        <v>900</v>
      </c>
      <c r="OGQ6" s="31">
        <v>900</v>
      </c>
      <c r="OGR6" s="31">
        <v>900</v>
      </c>
      <c r="OGS6" s="31">
        <v>900</v>
      </c>
      <c r="OGT6" s="31">
        <v>900</v>
      </c>
      <c r="OGU6" s="31">
        <v>900</v>
      </c>
      <c r="OGV6" s="31">
        <v>900</v>
      </c>
      <c r="OGW6" s="31">
        <v>900</v>
      </c>
      <c r="OGX6" s="31">
        <v>900</v>
      </c>
      <c r="OGY6" s="31">
        <v>900</v>
      </c>
      <c r="OGZ6" s="31">
        <v>900</v>
      </c>
      <c r="OHA6" s="31">
        <v>900</v>
      </c>
      <c r="OHB6" s="31">
        <v>900</v>
      </c>
      <c r="OHC6" s="31">
        <v>900</v>
      </c>
      <c r="OHD6" s="31">
        <v>900</v>
      </c>
      <c r="OHE6" s="31">
        <v>900</v>
      </c>
      <c r="OHF6" s="31">
        <v>900</v>
      </c>
      <c r="OHG6" s="31">
        <v>900</v>
      </c>
      <c r="OHH6" s="31">
        <v>900</v>
      </c>
      <c r="OHI6" s="31">
        <v>900</v>
      </c>
      <c r="OHJ6" s="31">
        <v>900</v>
      </c>
      <c r="OHK6" s="31">
        <v>900</v>
      </c>
      <c r="OHL6" s="31">
        <v>900</v>
      </c>
      <c r="OHM6" s="31">
        <v>900</v>
      </c>
      <c r="OHN6" s="31">
        <v>900</v>
      </c>
      <c r="OHO6" s="31">
        <v>900</v>
      </c>
      <c r="OHP6" s="31">
        <v>900</v>
      </c>
      <c r="OHQ6" s="31">
        <v>900</v>
      </c>
      <c r="OHR6" s="31">
        <v>900</v>
      </c>
      <c r="OHS6" s="31">
        <v>900</v>
      </c>
      <c r="OHT6" s="31">
        <v>900</v>
      </c>
      <c r="OHU6" s="31">
        <v>900</v>
      </c>
      <c r="OHV6" s="31">
        <v>900</v>
      </c>
      <c r="OHW6" s="31">
        <v>900</v>
      </c>
      <c r="OHX6" s="31">
        <v>900</v>
      </c>
      <c r="OHY6" s="31">
        <v>900</v>
      </c>
      <c r="OHZ6" s="31">
        <v>900</v>
      </c>
      <c r="OIA6" s="31">
        <v>900</v>
      </c>
      <c r="OIB6" s="31">
        <v>900</v>
      </c>
      <c r="OIC6" s="31">
        <v>900</v>
      </c>
      <c r="OID6" s="31">
        <v>900</v>
      </c>
      <c r="OIE6" s="31">
        <v>900</v>
      </c>
      <c r="OIF6" s="31">
        <v>900</v>
      </c>
      <c r="OIG6" s="31">
        <v>900</v>
      </c>
      <c r="OIH6" s="31">
        <v>900</v>
      </c>
      <c r="OII6" s="31">
        <v>900</v>
      </c>
      <c r="OIJ6" s="31">
        <v>900</v>
      </c>
      <c r="OIK6" s="31">
        <v>900</v>
      </c>
      <c r="OIL6" s="31">
        <v>900</v>
      </c>
      <c r="OIM6" s="31">
        <v>900</v>
      </c>
      <c r="OIN6" s="31">
        <v>900</v>
      </c>
      <c r="OIO6" s="31">
        <v>900</v>
      </c>
      <c r="OIP6" s="31">
        <v>900</v>
      </c>
      <c r="OIQ6" s="31">
        <v>900</v>
      </c>
      <c r="OIR6" s="31">
        <v>900</v>
      </c>
      <c r="OIS6" s="31">
        <v>900</v>
      </c>
      <c r="OIT6" s="31">
        <v>900</v>
      </c>
      <c r="OIU6" s="31">
        <v>900</v>
      </c>
      <c r="OIV6" s="31">
        <v>900</v>
      </c>
      <c r="OIW6" s="31">
        <v>900</v>
      </c>
      <c r="OIX6" s="31">
        <v>900</v>
      </c>
      <c r="OIY6" s="31">
        <v>900</v>
      </c>
      <c r="OIZ6" s="31">
        <v>900</v>
      </c>
      <c r="OJA6" s="31">
        <v>900</v>
      </c>
      <c r="OJB6" s="31">
        <v>900</v>
      </c>
      <c r="OJC6" s="31">
        <v>900</v>
      </c>
      <c r="OJD6" s="31">
        <v>900</v>
      </c>
      <c r="OJE6" s="31">
        <v>900</v>
      </c>
      <c r="OJF6" s="31">
        <v>900</v>
      </c>
      <c r="OJG6" s="31">
        <v>900</v>
      </c>
      <c r="OJH6" s="31">
        <v>900</v>
      </c>
      <c r="OJI6" s="31">
        <v>900</v>
      </c>
      <c r="OJJ6" s="31">
        <v>900</v>
      </c>
      <c r="OJK6" s="31">
        <v>900</v>
      </c>
      <c r="OJL6" s="31">
        <v>900</v>
      </c>
      <c r="OJM6" s="31">
        <v>900</v>
      </c>
      <c r="OJN6" s="31">
        <v>900</v>
      </c>
      <c r="OJO6" s="31">
        <v>900</v>
      </c>
      <c r="OJP6" s="31">
        <v>900</v>
      </c>
      <c r="OJQ6" s="31">
        <v>900</v>
      </c>
      <c r="OJR6" s="31">
        <v>900</v>
      </c>
      <c r="OJS6" s="31">
        <v>900</v>
      </c>
      <c r="OJT6" s="31">
        <v>900</v>
      </c>
      <c r="OJU6" s="31">
        <v>900</v>
      </c>
      <c r="OJV6" s="31">
        <v>900</v>
      </c>
      <c r="OJW6" s="31">
        <v>900</v>
      </c>
      <c r="OJX6" s="31">
        <v>900</v>
      </c>
      <c r="OJY6" s="31">
        <v>900</v>
      </c>
      <c r="OJZ6" s="31">
        <v>900</v>
      </c>
      <c r="OKA6" s="31">
        <v>900</v>
      </c>
      <c r="OKB6" s="31">
        <v>900</v>
      </c>
      <c r="OKC6" s="31">
        <v>900</v>
      </c>
      <c r="OKD6" s="31">
        <v>900</v>
      </c>
      <c r="OKE6" s="31">
        <v>900</v>
      </c>
      <c r="OKF6" s="31">
        <v>900</v>
      </c>
      <c r="OKG6" s="31">
        <v>900</v>
      </c>
      <c r="OKH6" s="31">
        <v>900</v>
      </c>
      <c r="OKI6" s="31">
        <v>900</v>
      </c>
      <c r="OKJ6" s="31">
        <v>900</v>
      </c>
      <c r="OKK6" s="31">
        <v>900</v>
      </c>
      <c r="OKL6" s="31">
        <v>900</v>
      </c>
      <c r="OKM6" s="31">
        <v>900</v>
      </c>
      <c r="OKN6" s="31">
        <v>900</v>
      </c>
      <c r="OKO6" s="31">
        <v>900</v>
      </c>
      <c r="OKP6" s="31">
        <v>900</v>
      </c>
      <c r="OKQ6" s="31">
        <v>900</v>
      </c>
      <c r="OKR6" s="31">
        <v>900</v>
      </c>
      <c r="OKS6" s="31">
        <v>900</v>
      </c>
      <c r="OKT6" s="31">
        <v>900</v>
      </c>
      <c r="OKU6" s="31">
        <v>900</v>
      </c>
      <c r="OKV6" s="31">
        <v>900</v>
      </c>
      <c r="OKW6" s="31">
        <v>900</v>
      </c>
      <c r="OKX6" s="31">
        <v>900</v>
      </c>
      <c r="OKY6" s="31">
        <v>900</v>
      </c>
      <c r="OKZ6" s="31">
        <v>900</v>
      </c>
      <c r="OLA6" s="31">
        <v>900</v>
      </c>
      <c r="OLB6" s="31">
        <v>900</v>
      </c>
      <c r="OLC6" s="31">
        <v>900</v>
      </c>
      <c r="OLD6" s="31">
        <v>900</v>
      </c>
      <c r="OLE6" s="31">
        <v>900</v>
      </c>
      <c r="OLF6" s="31">
        <v>900</v>
      </c>
      <c r="OLG6" s="31">
        <v>900</v>
      </c>
      <c r="OLH6" s="31">
        <v>900</v>
      </c>
      <c r="OLI6" s="31">
        <v>900</v>
      </c>
      <c r="OLJ6" s="31">
        <v>900</v>
      </c>
      <c r="OLK6" s="31">
        <v>900</v>
      </c>
      <c r="OLL6" s="31">
        <v>900</v>
      </c>
      <c r="OLM6" s="31">
        <v>900</v>
      </c>
      <c r="OLN6" s="31">
        <v>900</v>
      </c>
      <c r="OLO6" s="31">
        <v>900</v>
      </c>
      <c r="OLP6" s="31">
        <v>900</v>
      </c>
      <c r="OLQ6" s="31">
        <v>900</v>
      </c>
      <c r="OLR6" s="31">
        <v>900</v>
      </c>
      <c r="OLS6" s="31">
        <v>900</v>
      </c>
      <c r="OLT6" s="31">
        <v>900</v>
      </c>
      <c r="OLU6" s="31">
        <v>900</v>
      </c>
      <c r="OLV6" s="31">
        <v>900</v>
      </c>
      <c r="OLW6" s="31">
        <v>900</v>
      </c>
      <c r="OLX6" s="31">
        <v>900</v>
      </c>
      <c r="OLY6" s="31">
        <v>900</v>
      </c>
      <c r="OLZ6" s="31">
        <v>900</v>
      </c>
      <c r="OMA6" s="31">
        <v>900</v>
      </c>
      <c r="OMB6" s="31">
        <v>900</v>
      </c>
      <c r="OMC6" s="31">
        <v>900</v>
      </c>
      <c r="OMD6" s="31">
        <v>900</v>
      </c>
      <c r="OME6" s="31">
        <v>900</v>
      </c>
      <c r="OMF6" s="31">
        <v>900</v>
      </c>
      <c r="OMG6" s="31">
        <v>900</v>
      </c>
      <c r="OMH6" s="31">
        <v>900</v>
      </c>
      <c r="OMI6" s="31">
        <v>900</v>
      </c>
      <c r="OMJ6" s="31">
        <v>900</v>
      </c>
      <c r="OMK6" s="31">
        <v>900</v>
      </c>
      <c r="OML6" s="31">
        <v>900</v>
      </c>
      <c r="OMM6" s="31">
        <v>900</v>
      </c>
      <c r="OMN6" s="31">
        <v>900</v>
      </c>
      <c r="OMO6" s="31">
        <v>900</v>
      </c>
      <c r="OMP6" s="31">
        <v>900</v>
      </c>
      <c r="OMQ6" s="31">
        <v>900</v>
      </c>
      <c r="OMR6" s="31">
        <v>900</v>
      </c>
      <c r="OMS6" s="31">
        <v>900</v>
      </c>
      <c r="OMT6" s="31">
        <v>900</v>
      </c>
      <c r="OMU6" s="31">
        <v>900</v>
      </c>
      <c r="OMV6" s="31">
        <v>900</v>
      </c>
      <c r="OMW6" s="31">
        <v>900</v>
      </c>
      <c r="OMX6" s="31">
        <v>900</v>
      </c>
      <c r="OMY6" s="31">
        <v>900</v>
      </c>
      <c r="OMZ6" s="31">
        <v>900</v>
      </c>
      <c r="ONA6" s="31">
        <v>900</v>
      </c>
      <c r="ONB6" s="31">
        <v>900</v>
      </c>
      <c r="ONC6" s="31">
        <v>900</v>
      </c>
      <c r="OND6" s="31">
        <v>900</v>
      </c>
      <c r="ONE6" s="31">
        <v>900</v>
      </c>
      <c r="ONF6" s="31">
        <v>900</v>
      </c>
      <c r="ONG6" s="31">
        <v>900</v>
      </c>
      <c r="ONH6" s="31">
        <v>900</v>
      </c>
      <c r="ONI6" s="31">
        <v>900</v>
      </c>
      <c r="ONJ6" s="31">
        <v>900</v>
      </c>
      <c r="ONK6" s="31">
        <v>900</v>
      </c>
      <c r="ONL6" s="31">
        <v>900</v>
      </c>
      <c r="ONM6" s="31">
        <v>900</v>
      </c>
      <c r="ONN6" s="31">
        <v>900</v>
      </c>
      <c r="ONO6" s="31">
        <v>900</v>
      </c>
      <c r="ONP6" s="31">
        <v>900</v>
      </c>
      <c r="ONQ6" s="31">
        <v>900</v>
      </c>
      <c r="ONR6" s="31">
        <v>900</v>
      </c>
      <c r="ONS6" s="31">
        <v>900</v>
      </c>
      <c r="ONT6" s="31">
        <v>900</v>
      </c>
      <c r="ONU6" s="31">
        <v>900</v>
      </c>
      <c r="ONV6" s="31">
        <v>900</v>
      </c>
      <c r="ONW6" s="31">
        <v>900</v>
      </c>
      <c r="ONX6" s="31">
        <v>900</v>
      </c>
      <c r="ONY6" s="31">
        <v>900</v>
      </c>
      <c r="ONZ6" s="31">
        <v>900</v>
      </c>
      <c r="OOA6" s="31">
        <v>900</v>
      </c>
      <c r="OOB6" s="31">
        <v>900</v>
      </c>
      <c r="OOC6" s="31">
        <v>900</v>
      </c>
      <c r="OOD6" s="31">
        <v>900</v>
      </c>
      <c r="OOE6" s="31">
        <v>900</v>
      </c>
      <c r="OOF6" s="31">
        <v>900</v>
      </c>
      <c r="OOG6" s="31">
        <v>900</v>
      </c>
      <c r="OOH6" s="31">
        <v>900</v>
      </c>
      <c r="OOI6" s="31">
        <v>900</v>
      </c>
      <c r="OOJ6" s="31">
        <v>900</v>
      </c>
      <c r="OOK6" s="31">
        <v>900</v>
      </c>
      <c r="OOL6" s="31">
        <v>900</v>
      </c>
      <c r="OOM6" s="31">
        <v>900</v>
      </c>
      <c r="OON6" s="31">
        <v>900</v>
      </c>
      <c r="OOO6" s="31">
        <v>900</v>
      </c>
      <c r="OOP6" s="31">
        <v>900</v>
      </c>
      <c r="OOQ6" s="31">
        <v>900</v>
      </c>
      <c r="OOR6" s="31">
        <v>900</v>
      </c>
      <c r="OOS6" s="31">
        <v>900</v>
      </c>
      <c r="OOT6" s="31">
        <v>900</v>
      </c>
      <c r="OOU6" s="31">
        <v>900</v>
      </c>
      <c r="OOV6" s="31">
        <v>900</v>
      </c>
      <c r="OOW6" s="31">
        <v>900</v>
      </c>
      <c r="OOX6" s="31">
        <v>900</v>
      </c>
      <c r="OOY6" s="31">
        <v>900</v>
      </c>
      <c r="OOZ6" s="31">
        <v>900</v>
      </c>
      <c r="OPA6" s="31">
        <v>900</v>
      </c>
      <c r="OPB6" s="31">
        <v>900</v>
      </c>
      <c r="OPC6" s="31">
        <v>900</v>
      </c>
      <c r="OPD6" s="31">
        <v>900</v>
      </c>
      <c r="OPE6" s="31">
        <v>900</v>
      </c>
      <c r="OPF6" s="31">
        <v>900</v>
      </c>
      <c r="OPG6" s="31">
        <v>900</v>
      </c>
      <c r="OPH6" s="31">
        <v>900</v>
      </c>
      <c r="OPI6" s="31">
        <v>900</v>
      </c>
      <c r="OPJ6" s="31">
        <v>900</v>
      </c>
      <c r="OPK6" s="31">
        <v>900</v>
      </c>
      <c r="OPL6" s="31">
        <v>900</v>
      </c>
      <c r="OPM6" s="31">
        <v>900</v>
      </c>
      <c r="OPN6" s="31">
        <v>900</v>
      </c>
      <c r="OPO6" s="31">
        <v>900</v>
      </c>
      <c r="OPP6" s="31">
        <v>900</v>
      </c>
      <c r="OPQ6" s="31">
        <v>900</v>
      </c>
      <c r="OPR6" s="31">
        <v>900</v>
      </c>
      <c r="OPS6" s="31">
        <v>900</v>
      </c>
      <c r="OPT6" s="31">
        <v>900</v>
      </c>
      <c r="OPU6" s="31">
        <v>900</v>
      </c>
      <c r="OPV6" s="31">
        <v>900</v>
      </c>
      <c r="OPW6" s="31">
        <v>900</v>
      </c>
      <c r="OPX6" s="31">
        <v>900</v>
      </c>
      <c r="OPY6" s="31">
        <v>900</v>
      </c>
      <c r="OPZ6" s="31">
        <v>900</v>
      </c>
      <c r="OQA6" s="31">
        <v>900</v>
      </c>
      <c r="OQB6" s="31">
        <v>900</v>
      </c>
      <c r="OQC6" s="31">
        <v>900</v>
      </c>
      <c r="OQD6" s="31">
        <v>900</v>
      </c>
      <c r="OQE6" s="31">
        <v>900</v>
      </c>
      <c r="OQF6" s="31">
        <v>900</v>
      </c>
      <c r="OQG6" s="31">
        <v>900</v>
      </c>
      <c r="OQH6" s="31">
        <v>900</v>
      </c>
      <c r="OQI6" s="31">
        <v>900</v>
      </c>
      <c r="OQJ6" s="31">
        <v>900</v>
      </c>
      <c r="OQK6" s="31">
        <v>900</v>
      </c>
      <c r="OQL6" s="31">
        <v>900</v>
      </c>
      <c r="OQM6" s="31">
        <v>900</v>
      </c>
      <c r="OQN6" s="31">
        <v>900</v>
      </c>
      <c r="OQO6" s="31">
        <v>900</v>
      </c>
      <c r="OQP6" s="31">
        <v>900</v>
      </c>
      <c r="OQQ6" s="31">
        <v>900</v>
      </c>
      <c r="OQR6" s="31">
        <v>900</v>
      </c>
      <c r="OQS6" s="31">
        <v>900</v>
      </c>
      <c r="OQT6" s="31">
        <v>900</v>
      </c>
      <c r="OQU6" s="31">
        <v>900</v>
      </c>
      <c r="OQV6" s="31">
        <v>900</v>
      </c>
      <c r="OQW6" s="31">
        <v>900</v>
      </c>
      <c r="OQX6" s="31">
        <v>900</v>
      </c>
      <c r="OQY6" s="31">
        <v>900</v>
      </c>
      <c r="OQZ6" s="31">
        <v>900</v>
      </c>
      <c r="ORA6" s="31">
        <v>900</v>
      </c>
      <c r="ORB6" s="31">
        <v>900</v>
      </c>
      <c r="ORC6" s="31">
        <v>900</v>
      </c>
      <c r="ORD6" s="31">
        <v>900</v>
      </c>
      <c r="ORE6" s="31">
        <v>900</v>
      </c>
      <c r="ORF6" s="31">
        <v>900</v>
      </c>
      <c r="ORG6" s="31">
        <v>900</v>
      </c>
      <c r="ORH6" s="31">
        <v>900</v>
      </c>
      <c r="ORI6" s="31">
        <v>900</v>
      </c>
      <c r="ORJ6" s="31">
        <v>900</v>
      </c>
      <c r="ORK6" s="31">
        <v>900</v>
      </c>
      <c r="ORL6" s="31">
        <v>900</v>
      </c>
      <c r="ORM6" s="31">
        <v>900</v>
      </c>
      <c r="ORN6" s="31">
        <v>900</v>
      </c>
      <c r="ORO6" s="31">
        <v>900</v>
      </c>
      <c r="ORP6" s="31">
        <v>900</v>
      </c>
      <c r="ORQ6" s="31">
        <v>900</v>
      </c>
      <c r="ORR6" s="31">
        <v>900</v>
      </c>
      <c r="ORS6" s="31">
        <v>900</v>
      </c>
      <c r="ORT6" s="31">
        <v>900</v>
      </c>
      <c r="ORU6" s="31">
        <v>900</v>
      </c>
      <c r="ORV6" s="31">
        <v>900</v>
      </c>
      <c r="ORW6" s="31">
        <v>900</v>
      </c>
      <c r="ORX6" s="31">
        <v>900</v>
      </c>
      <c r="ORY6" s="31">
        <v>900</v>
      </c>
      <c r="ORZ6" s="31">
        <v>900</v>
      </c>
      <c r="OSA6" s="31">
        <v>900</v>
      </c>
      <c r="OSB6" s="31">
        <v>900</v>
      </c>
      <c r="OSC6" s="31">
        <v>900</v>
      </c>
      <c r="OSD6" s="31">
        <v>900</v>
      </c>
      <c r="OSE6" s="31">
        <v>900</v>
      </c>
      <c r="OSF6" s="31">
        <v>900</v>
      </c>
      <c r="OSG6" s="31">
        <v>900</v>
      </c>
      <c r="OSH6" s="31">
        <v>900</v>
      </c>
      <c r="OSI6" s="31">
        <v>900</v>
      </c>
      <c r="OSJ6" s="31">
        <v>900</v>
      </c>
      <c r="OSK6" s="31">
        <v>900</v>
      </c>
      <c r="OSL6" s="31">
        <v>900</v>
      </c>
      <c r="OSM6" s="31">
        <v>900</v>
      </c>
      <c r="OSN6" s="31">
        <v>900</v>
      </c>
      <c r="OSO6" s="31">
        <v>900</v>
      </c>
      <c r="OSP6" s="31">
        <v>900</v>
      </c>
      <c r="OSQ6" s="31">
        <v>900</v>
      </c>
      <c r="OSR6" s="31">
        <v>900</v>
      </c>
      <c r="OSS6" s="31">
        <v>900</v>
      </c>
      <c r="OST6" s="31">
        <v>900</v>
      </c>
      <c r="OSU6" s="31">
        <v>900</v>
      </c>
      <c r="OSV6" s="31">
        <v>900</v>
      </c>
      <c r="OSW6" s="31">
        <v>900</v>
      </c>
      <c r="OSX6" s="31">
        <v>900</v>
      </c>
      <c r="OSY6" s="31">
        <v>900</v>
      </c>
      <c r="OSZ6" s="31">
        <v>900</v>
      </c>
      <c r="OTA6" s="31">
        <v>900</v>
      </c>
      <c r="OTB6" s="31">
        <v>900</v>
      </c>
      <c r="OTC6" s="31">
        <v>900</v>
      </c>
      <c r="OTD6" s="31">
        <v>900</v>
      </c>
      <c r="OTE6" s="31">
        <v>900</v>
      </c>
      <c r="OTF6" s="31">
        <v>900</v>
      </c>
      <c r="OTG6" s="31">
        <v>900</v>
      </c>
      <c r="OTH6" s="31">
        <v>900</v>
      </c>
      <c r="OTI6" s="31">
        <v>900</v>
      </c>
      <c r="OTJ6" s="31">
        <v>900</v>
      </c>
      <c r="OTK6" s="31">
        <v>900</v>
      </c>
      <c r="OTL6" s="31">
        <v>900</v>
      </c>
      <c r="OTM6" s="31">
        <v>900</v>
      </c>
      <c r="OTN6" s="31">
        <v>900</v>
      </c>
      <c r="OTO6" s="31">
        <v>900</v>
      </c>
      <c r="OTP6" s="31">
        <v>900</v>
      </c>
      <c r="OTQ6" s="31">
        <v>900</v>
      </c>
      <c r="OTR6" s="31">
        <v>900</v>
      </c>
      <c r="OTS6" s="31">
        <v>900</v>
      </c>
      <c r="OTT6" s="31">
        <v>900</v>
      </c>
      <c r="OTU6" s="31">
        <v>900</v>
      </c>
      <c r="OTV6" s="31">
        <v>900</v>
      </c>
      <c r="OTW6" s="31">
        <v>900</v>
      </c>
      <c r="OTX6" s="31">
        <v>900</v>
      </c>
      <c r="OTY6" s="31">
        <v>900</v>
      </c>
      <c r="OTZ6" s="31">
        <v>900</v>
      </c>
      <c r="OUA6" s="31">
        <v>900</v>
      </c>
      <c r="OUB6" s="31">
        <v>900</v>
      </c>
      <c r="OUC6" s="31">
        <v>900</v>
      </c>
      <c r="OUD6" s="31">
        <v>900</v>
      </c>
      <c r="OUE6" s="31">
        <v>900</v>
      </c>
      <c r="OUF6" s="31">
        <v>900</v>
      </c>
      <c r="OUG6" s="31">
        <v>900</v>
      </c>
      <c r="OUH6" s="31">
        <v>900</v>
      </c>
      <c r="OUI6" s="31">
        <v>900</v>
      </c>
      <c r="OUJ6" s="31">
        <v>900</v>
      </c>
      <c r="OUK6" s="31">
        <v>900</v>
      </c>
      <c r="OUL6" s="31">
        <v>900</v>
      </c>
      <c r="OUM6" s="31">
        <v>900</v>
      </c>
      <c r="OUN6" s="31">
        <v>900</v>
      </c>
      <c r="OUO6" s="31">
        <v>900</v>
      </c>
      <c r="OUP6" s="31">
        <v>900</v>
      </c>
      <c r="OUQ6" s="31">
        <v>900</v>
      </c>
      <c r="OUR6" s="31">
        <v>900</v>
      </c>
      <c r="OUS6" s="31">
        <v>900</v>
      </c>
      <c r="OUT6" s="31">
        <v>900</v>
      </c>
      <c r="OUU6" s="31">
        <v>900</v>
      </c>
      <c r="OUV6" s="31">
        <v>900</v>
      </c>
      <c r="OUW6" s="31">
        <v>900</v>
      </c>
      <c r="OUX6" s="31">
        <v>900</v>
      </c>
      <c r="OUY6" s="31">
        <v>900</v>
      </c>
      <c r="OUZ6" s="31">
        <v>900</v>
      </c>
      <c r="OVA6" s="31">
        <v>900</v>
      </c>
      <c r="OVB6" s="31">
        <v>900</v>
      </c>
      <c r="OVC6" s="31">
        <v>900</v>
      </c>
      <c r="OVD6" s="31">
        <v>900</v>
      </c>
      <c r="OVE6" s="31">
        <v>900</v>
      </c>
      <c r="OVF6" s="31">
        <v>900</v>
      </c>
      <c r="OVG6" s="31">
        <v>900</v>
      </c>
      <c r="OVH6" s="31">
        <v>900</v>
      </c>
      <c r="OVI6" s="31">
        <v>900</v>
      </c>
      <c r="OVJ6" s="31">
        <v>900</v>
      </c>
      <c r="OVK6" s="31">
        <v>900</v>
      </c>
      <c r="OVL6" s="31">
        <v>900</v>
      </c>
      <c r="OVM6" s="31">
        <v>900</v>
      </c>
      <c r="OVN6" s="31">
        <v>900</v>
      </c>
      <c r="OVO6" s="31">
        <v>900</v>
      </c>
      <c r="OVP6" s="31">
        <v>900</v>
      </c>
      <c r="OVQ6" s="31">
        <v>900</v>
      </c>
      <c r="OVR6" s="31">
        <v>900</v>
      </c>
      <c r="OVS6" s="31">
        <v>900</v>
      </c>
      <c r="OVT6" s="31">
        <v>900</v>
      </c>
      <c r="OVU6" s="31">
        <v>900</v>
      </c>
      <c r="OVV6" s="31">
        <v>900</v>
      </c>
      <c r="OVW6" s="31">
        <v>900</v>
      </c>
      <c r="OVX6" s="31">
        <v>900</v>
      </c>
      <c r="OVY6" s="31">
        <v>900</v>
      </c>
      <c r="OVZ6" s="31">
        <v>900</v>
      </c>
      <c r="OWA6" s="31">
        <v>900</v>
      </c>
      <c r="OWB6" s="31">
        <v>900</v>
      </c>
      <c r="OWC6" s="31">
        <v>900</v>
      </c>
      <c r="OWD6" s="31">
        <v>900</v>
      </c>
      <c r="OWE6" s="31">
        <v>900</v>
      </c>
      <c r="OWF6" s="31">
        <v>900</v>
      </c>
      <c r="OWG6" s="31">
        <v>900</v>
      </c>
      <c r="OWH6" s="31">
        <v>900</v>
      </c>
      <c r="OWI6" s="31">
        <v>900</v>
      </c>
      <c r="OWJ6" s="31">
        <v>900</v>
      </c>
      <c r="OWK6" s="31">
        <v>900</v>
      </c>
      <c r="OWL6" s="31">
        <v>900</v>
      </c>
      <c r="OWM6" s="31">
        <v>900</v>
      </c>
      <c r="OWN6" s="31">
        <v>900</v>
      </c>
      <c r="OWO6" s="31">
        <v>900</v>
      </c>
      <c r="OWP6" s="31">
        <v>900</v>
      </c>
      <c r="OWQ6" s="31">
        <v>900</v>
      </c>
      <c r="OWR6" s="31">
        <v>900</v>
      </c>
      <c r="OWS6" s="31">
        <v>900</v>
      </c>
      <c r="OWT6" s="31">
        <v>900</v>
      </c>
      <c r="OWU6" s="31">
        <v>900</v>
      </c>
      <c r="OWV6" s="31">
        <v>900</v>
      </c>
      <c r="OWW6" s="31">
        <v>900</v>
      </c>
      <c r="OWX6" s="31">
        <v>900</v>
      </c>
      <c r="OWY6" s="31">
        <v>900</v>
      </c>
      <c r="OWZ6" s="31">
        <v>900</v>
      </c>
      <c r="OXA6" s="31">
        <v>900</v>
      </c>
      <c r="OXB6" s="31">
        <v>900</v>
      </c>
      <c r="OXC6" s="31">
        <v>900</v>
      </c>
      <c r="OXD6" s="31">
        <v>900</v>
      </c>
      <c r="OXE6" s="31">
        <v>900</v>
      </c>
      <c r="OXF6" s="31">
        <v>900</v>
      </c>
      <c r="OXG6" s="31">
        <v>900</v>
      </c>
      <c r="OXH6" s="31">
        <v>900</v>
      </c>
      <c r="OXI6" s="31">
        <v>900</v>
      </c>
      <c r="OXJ6" s="31">
        <v>900</v>
      </c>
      <c r="OXK6" s="31">
        <v>900</v>
      </c>
      <c r="OXL6" s="31">
        <v>900</v>
      </c>
      <c r="OXM6" s="31">
        <v>900</v>
      </c>
      <c r="OXN6" s="31">
        <v>900</v>
      </c>
      <c r="OXO6" s="31">
        <v>900</v>
      </c>
      <c r="OXP6" s="31">
        <v>900</v>
      </c>
      <c r="OXQ6" s="31">
        <v>900</v>
      </c>
      <c r="OXR6" s="31">
        <v>900</v>
      </c>
      <c r="OXS6" s="31">
        <v>900</v>
      </c>
      <c r="OXT6" s="31">
        <v>900</v>
      </c>
      <c r="OXU6" s="31">
        <v>900</v>
      </c>
      <c r="OXV6" s="31">
        <v>900</v>
      </c>
      <c r="OXW6" s="31">
        <v>900</v>
      </c>
      <c r="OXX6" s="31">
        <v>900</v>
      </c>
      <c r="OXY6" s="31">
        <v>900</v>
      </c>
      <c r="OXZ6" s="31">
        <v>900</v>
      </c>
      <c r="OYA6" s="31">
        <v>900</v>
      </c>
      <c r="OYB6" s="31">
        <v>900</v>
      </c>
      <c r="OYC6" s="31">
        <v>900</v>
      </c>
      <c r="OYD6" s="31">
        <v>900</v>
      </c>
      <c r="OYE6" s="31">
        <v>900</v>
      </c>
      <c r="OYF6" s="31">
        <v>900</v>
      </c>
      <c r="OYG6" s="31">
        <v>900</v>
      </c>
      <c r="OYH6" s="31">
        <v>900</v>
      </c>
      <c r="OYI6" s="31">
        <v>900</v>
      </c>
      <c r="OYJ6" s="31">
        <v>900</v>
      </c>
      <c r="OYK6" s="31">
        <v>900</v>
      </c>
      <c r="OYL6" s="31">
        <v>900</v>
      </c>
      <c r="OYM6" s="31">
        <v>900</v>
      </c>
      <c r="OYN6" s="31">
        <v>900</v>
      </c>
      <c r="OYO6" s="31">
        <v>900</v>
      </c>
      <c r="OYP6" s="31">
        <v>900</v>
      </c>
      <c r="OYQ6" s="31">
        <v>900</v>
      </c>
      <c r="OYR6" s="31">
        <v>900</v>
      </c>
      <c r="OYS6" s="31">
        <v>900</v>
      </c>
      <c r="OYT6" s="31">
        <v>900</v>
      </c>
      <c r="OYU6" s="31">
        <v>900</v>
      </c>
      <c r="OYV6" s="31">
        <v>900</v>
      </c>
      <c r="OYW6" s="31">
        <v>900</v>
      </c>
      <c r="OYX6" s="31">
        <v>900</v>
      </c>
      <c r="OYY6" s="31">
        <v>900</v>
      </c>
      <c r="OYZ6" s="31">
        <v>900</v>
      </c>
      <c r="OZA6" s="31">
        <v>900</v>
      </c>
      <c r="OZB6" s="31">
        <v>900</v>
      </c>
      <c r="OZC6" s="31">
        <v>900</v>
      </c>
      <c r="OZD6" s="31">
        <v>900</v>
      </c>
      <c r="OZE6" s="31">
        <v>900</v>
      </c>
      <c r="OZF6" s="31">
        <v>900</v>
      </c>
      <c r="OZG6" s="31">
        <v>900</v>
      </c>
      <c r="OZH6" s="31">
        <v>900</v>
      </c>
      <c r="OZI6" s="31">
        <v>900</v>
      </c>
      <c r="OZJ6" s="31">
        <v>900</v>
      </c>
      <c r="OZK6" s="31">
        <v>900</v>
      </c>
      <c r="OZL6" s="31">
        <v>900</v>
      </c>
      <c r="OZM6" s="31">
        <v>900</v>
      </c>
      <c r="OZN6" s="31">
        <v>900</v>
      </c>
      <c r="OZO6" s="31">
        <v>900</v>
      </c>
      <c r="OZP6" s="31">
        <v>900</v>
      </c>
      <c r="OZQ6" s="31">
        <v>900</v>
      </c>
      <c r="OZR6" s="31">
        <v>900</v>
      </c>
      <c r="OZS6" s="31">
        <v>900</v>
      </c>
      <c r="OZT6" s="31">
        <v>900</v>
      </c>
      <c r="OZU6" s="31">
        <v>900</v>
      </c>
      <c r="OZV6" s="31">
        <v>900</v>
      </c>
      <c r="OZW6" s="31">
        <v>900</v>
      </c>
      <c r="OZX6" s="31">
        <v>900</v>
      </c>
      <c r="OZY6" s="31">
        <v>900</v>
      </c>
      <c r="OZZ6" s="31">
        <v>900</v>
      </c>
      <c r="PAA6" s="31">
        <v>900</v>
      </c>
      <c r="PAB6" s="31">
        <v>900</v>
      </c>
      <c r="PAC6" s="31">
        <v>900</v>
      </c>
      <c r="PAD6" s="31">
        <v>900</v>
      </c>
      <c r="PAE6" s="31">
        <v>900</v>
      </c>
      <c r="PAF6" s="31">
        <v>900</v>
      </c>
      <c r="PAG6" s="31">
        <v>900</v>
      </c>
      <c r="PAH6" s="31">
        <v>900</v>
      </c>
      <c r="PAI6" s="31">
        <v>900</v>
      </c>
      <c r="PAJ6" s="31">
        <v>900</v>
      </c>
      <c r="PAK6" s="31">
        <v>900</v>
      </c>
      <c r="PAL6" s="31">
        <v>900</v>
      </c>
      <c r="PAM6" s="31">
        <v>900</v>
      </c>
      <c r="PAN6" s="31">
        <v>900</v>
      </c>
      <c r="PAO6" s="31">
        <v>900</v>
      </c>
      <c r="PAP6" s="31">
        <v>900</v>
      </c>
      <c r="PAQ6" s="31">
        <v>900</v>
      </c>
      <c r="PAR6" s="31">
        <v>900</v>
      </c>
      <c r="PAS6" s="31">
        <v>900</v>
      </c>
      <c r="PAT6" s="31">
        <v>900</v>
      </c>
      <c r="PAU6" s="31">
        <v>900</v>
      </c>
      <c r="PAV6" s="31">
        <v>900</v>
      </c>
      <c r="PAW6" s="31">
        <v>900</v>
      </c>
      <c r="PAX6" s="31">
        <v>900</v>
      </c>
      <c r="PAY6" s="31">
        <v>900</v>
      </c>
      <c r="PAZ6" s="31">
        <v>900</v>
      </c>
      <c r="PBA6" s="31">
        <v>900</v>
      </c>
      <c r="PBB6" s="31">
        <v>900</v>
      </c>
      <c r="PBC6" s="31">
        <v>900</v>
      </c>
      <c r="PBD6" s="31">
        <v>900</v>
      </c>
      <c r="PBE6" s="31">
        <v>900</v>
      </c>
      <c r="PBF6" s="31">
        <v>900</v>
      </c>
      <c r="PBG6" s="31">
        <v>900</v>
      </c>
      <c r="PBH6" s="31">
        <v>900</v>
      </c>
      <c r="PBI6" s="31">
        <v>900</v>
      </c>
      <c r="PBJ6" s="31">
        <v>900</v>
      </c>
      <c r="PBK6" s="31">
        <v>900</v>
      </c>
      <c r="PBL6" s="31">
        <v>900</v>
      </c>
      <c r="PBM6" s="31">
        <v>900</v>
      </c>
      <c r="PBN6" s="31">
        <v>900</v>
      </c>
      <c r="PBO6" s="31">
        <v>900</v>
      </c>
      <c r="PBP6" s="31">
        <v>900</v>
      </c>
      <c r="PBQ6" s="31">
        <v>900</v>
      </c>
      <c r="PBR6" s="31">
        <v>900</v>
      </c>
      <c r="PBS6" s="31">
        <v>900</v>
      </c>
      <c r="PBT6" s="31">
        <v>900</v>
      </c>
      <c r="PBU6" s="31">
        <v>900</v>
      </c>
      <c r="PBV6" s="31">
        <v>900</v>
      </c>
      <c r="PBW6" s="31">
        <v>900</v>
      </c>
      <c r="PBX6" s="31">
        <v>900</v>
      </c>
      <c r="PBY6" s="31">
        <v>900</v>
      </c>
      <c r="PBZ6" s="31">
        <v>900</v>
      </c>
      <c r="PCA6" s="31">
        <v>900</v>
      </c>
      <c r="PCB6" s="31">
        <v>900</v>
      </c>
      <c r="PCC6" s="31">
        <v>900</v>
      </c>
      <c r="PCD6" s="31">
        <v>900</v>
      </c>
      <c r="PCE6" s="31">
        <v>900</v>
      </c>
      <c r="PCF6" s="31">
        <v>900</v>
      </c>
      <c r="PCG6" s="31">
        <v>900</v>
      </c>
      <c r="PCH6" s="31">
        <v>900</v>
      </c>
      <c r="PCI6" s="31">
        <v>900</v>
      </c>
      <c r="PCJ6" s="31">
        <v>900</v>
      </c>
      <c r="PCK6" s="31">
        <v>900</v>
      </c>
      <c r="PCL6" s="31">
        <v>900</v>
      </c>
      <c r="PCM6" s="31">
        <v>900</v>
      </c>
      <c r="PCN6" s="31">
        <v>900</v>
      </c>
      <c r="PCO6" s="31">
        <v>900</v>
      </c>
      <c r="PCP6" s="31">
        <v>900</v>
      </c>
      <c r="PCQ6" s="31">
        <v>900</v>
      </c>
      <c r="PCR6" s="31">
        <v>900</v>
      </c>
      <c r="PCS6" s="31">
        <v>900</v>
      </c>
      <c r="PCT6" s="31">
        <v>900</v>
      </c>
      <c r="PCU6" s="31">
        <v>900</v>
      </c>
      <c r="PCV6" s="31">
        <v>900</v>
      </c>
      <c r="PCW6" s="31">
        <v>900</v>
      </c>
      <c r="PCX6" s="31">
        <v>900</v>
      </c>
      <c r="PCY6" s="31">
        <v>900</v>
      </c>
      <c r="PCZ6" s="31">
        <v>900</v>
      </c>
      <c r="PDA6" s="31">
        <v>900</v>
      </c>
      <c r="PDB6" s="31">
        <v>900</v>
      </c>
      <c r="PDC6" s="31">
        <v>900</v>
      </c>
      <c r="PDD6" s="31">
        <v>900</v>
      </c>
      <c r="PDE6" s="31">
        <v>900</v>
      </c>
      <c r="PDF6" s="31">
        <v>900</v>
      </c>
      <c r="PDG6" s="31">
        <v>900</v>
      </c>
      <c r="PDH6" s="31">
        <v>900</v>
      </c>
      <c r="PDI6" s="31">
        <v>900</v>
      </c>
      <c r="PDJ6" s="31">
        <v>900</v>
      </c>
      <c r="PDK6" s="31">
        <v>900</v>
      </c>
      <c r="PDL6" s="31">
        <v>900</v>
      </c>
      <c r="PDM6" s="31">
        <v>900</v>
      </c>
      <c r="PDN6" s="31">
        <v>900</v>
      </c>
      <c r="PDO6" s="31">
        <v>900</v>
      </c>
      <c r="PDP6" s="31">
        <v>900</v>
      </c>
      <c r="PDQ6" s="31">
        <v>900</v>
      </c>
      <c r="PDR6" s="31">
        <v>900</v>
      </c>
      <c r="PDS6" s="31">
        <v>900</v>
      </c>
      <c r="PDT6" s="31">
        <v>900</v>
      </c>
      <c r="PDU6" s="31">
        <v>900</v>
      </c>
      <c r="PDV6" s="31">
        <v>900</v>
      </c>
      <c r="PDW6" s="31">
        <v>900</v>
      </c>
      <c r="PDX6" s="31">
        <v>900</v>
      </c>
      <c r="PDY6" s="31">
        <v>900</v>
      </c>
      <c r="PDZ6" s="31">
        <v>900</v>
      </c>
      <c r="PEA6" s="31">
        <v>900</v>
      </c>
      <c r="PEB6" s="31">
        <v>900</v>
      </c>
      <c r="PEC6" s="31">
        <v>900</v>
      </c>
      <c r="PED6" s="31">
        <v>900</v>
      </c>
      <c r="PEE6" s="31">
        <v>900</v>
      </c>
      <c r="PEF6" s="31">
        <v>900</v>
      </c>
      <c r="PEG6" s="31">
        <v>900</v>
      </c>
      <c r="PEH6" s="31">
        <v>900</v>
      </c>
      <c r="PEI6" s="31">
        <v>900</v>
      </c>
      <c r="PEJ6" s="31">
        <v>900</v>
      </c>
      <c r="PEK6" s="31">
        <v>900</v>
      </c>
      <c r="PEL6" s="31">
        <v>900</v>
      </c>
      <c r="PEM6" s="31">
        <v>900</v>
      </c>
      <c r="PEN6" s="31">
        <v>900</v>
      </c>
      <c r="PEO6" s="31">
        <v>900</v>
      </c>
      <c r="PEP6" s="31">
        <v>900</v>
      </c>
      <c r="PEQ6" s="31">
        <v>900</v>
      </c>
      <c r="PER6" s="31">
        <v>900</v>
      </c>
      <c r="PES6" s="31">
        <v>900</v>
      </c>
      <c r="PET6" s="31">
        <v>900</v>
      </c>
      <c r="PEU6" s="31">
        <v>900</v>
      </c>
      <c r="PEV6" s="31">
        <v>900</v>
      </c>
      <c r="PEW6" s="31">
        <v>900</v>
      </c>
      <c r="PEX6" s="31">
        <v>900</v>
      </c>
      <c r="PEY6" s="31">
        <v>900</v>
      </c>
      <c r="PEZ6" s="31">
        <v>900</v>
      </c>
      <c r="PFA6" s="31">
        <v>900</v>
      </c>
      <c r="PFB6" s="31">
        <v>900</v>
      </c>
      <c r="PFC6" s="31">
        <v>900</v>
      </c>
      <c r="PFD6" s="31">
        <v>900</v>
      </c>
      <c r="PFE6" s="31">
        <v>900</v>
      </c>
      <c r="PFF6" s="31">
        <v>900</v>
      </c>
      <c r="PFG6" s="31">
        <v>900</v>
      </c>
      <c r="PFH6" s="31">
        <v>900</v>
      </c>
      <c r="PFI6" s="31">
        <v>900</v>
      </c>
      <c r="PFJ6" s="31">
        <v>900</v>
      </c>
      <c r="PFK6" s="31">
        <v>900</v>
      </c>
      <c r="PFL6" s="31">
        <v>900</v>
      </c>
      <c r="PFM6" s="31">
        <v>900</v>
      </c>
      <c r="PFN6" s="31">
        <v>900</v>
      </c>
      <c r="PFO6" s="31">
        <v>900</v>
      </c>
      <c r="PFP6" s="31">
        <v>900</v>
      </c>
      <c r="PFQ6" s="31">
        <v>900</v>
      </c>
      <c r="PFR6" s="31">
        <v>900</v>
      </c>
      <c r="PFS6" s="31">
        <v>900</v>
      </c>
      <c r="PFT6" s="31">
        <v>900</v>
      </c>
      <c r="PFU6" s="31">
        <v>900</v>
      </c>
      <c r="PFV6" s="31">
        <v>900</v>
      </c>
      <c r="PFW6" s="31">
        <v>900</v>
      </c>
      <c r="PFX6" s="31">
        <v>900</v>
      </c>
      <c r="PFY6" s="31">
        <v>900</v>
      </c>
      <c r="PFZ6" s="31">
        <v>900</v>
      </c>
      <c r="PGA6" s="31">
        <v>900</v>
      </c>
      <c r="PGB6" s="31">
        <v>900</v>
      </c>
      <c r="PGC6" s="31">
        <v>900</v>
      </c>
      <c r="PGD6" s="31">
        <v>900</v>
      </c>
      <c r="PGE6" s="31">
        <v>900</v>
      </c>
      <c r="PGF6" s="31">
        <v>900</v>
      </c>
      <c r="PGG6" s="31">
        <v>900</v>
      </c>
      <c r="PGH6" s="31">
        <v>900</v>
      </c>
      <c r="PGI6" s="31">
        <v>900</v>
      </c>
      <c r="PGJ6" s="31">
        <v>900</v>
      </c>
      <c r="PGK6" s="31">
        <v>900</v>
      </c>
      <c r="PGL6" s="31">
        <v>900</v>
      </c>
      <c r="PGM6" s="31">
        <v>900</v>
      </c>
      <c r="PGN6" s="31">
        <v>900</v>
      </c>
      <c r="PGO6" s="31">
        <v>900</v>
      </c>
      <c r="PGP6" s="31">
        <v>900</v>
      </c>
      <c r="PGQ6" s="31">
        <v>900</v>
      </c>
      <c r="PGR6" s="31">
        <v>900</v>
      </c>
      <c r="PGS6" s="31">
        <v>900</v>
      </c>
      <c r="PGT6" s="31">
        <v>900</v>
      </c>
      <c r="PGU6" s="31">
        <v>900</v>
      </c>
      <c r="PGV6" s="31">
        <v>900</v>
      </c>
      <c r="PGW6" s="31">
        <v>900</v>
      </c>
      <c r="PGX6" s="31">
        <v>900</v>
      </c>
      <c r="PGY6" s="31">
        <v>900</v>
      </c>
      <c r="PGZ6" s="31">
        <v>900</v>
      </c>
      <c r="PHA6" s="31">
        <v>900</v>
      </c>
      <c r="PHB6" s="31">
        <v>900</v>
      </c>
      <c r="PHC6" s="31">
        <v>900</v>
      </c>
      <c r="PHD6" s="31">
        <v>900</v>
      </c>
      <c r="PHE6" s="31">
        <v>900</v>
      </c>
      <c r="PHF6" s="31">
        <v>900</v>
      </c>
      <c r="PHG6" s="31">
        <v>900</v>
      </c>
      <c r="PHH6" s="31">
        <v>900</v>
      </c>
      <c r="PHI6" s="31">
        <v>900</v>
      </c>
      <c r="PHJ6" s="31">
        <v>900</v>
      </c>
      <c r="PHK6" s="31">
        <v>900</v>
      </c>
      <c r="PHL6" s="31">
        <v>900</v>
      </c>
      <c r="PHM6" s="31">
        <v>900</v>
      </c>
      <c r="PHN6" s="31">
        <v>900</v>
      </c>
      <c r="PHO6" s="31">
        <v>900</v>
      </c>
      <c r="PHP6" s="31">
        <v>900</v>
      </c>
      <c r="PHQ6" s="31">
        <v>900</v>
      </c>
      <c r="PHR6" s="31">
        <v>900</v>
      </c>
      <c r="PHS6" s="31">
        <v>900</v>
      </c>
      <c r="PHT6" s="31">
        <v>900</v>
      </c>
      <c r="PHU6" s="31">
        <v>900</v>
      </c>
      <c r="PHV6" s="31">
        <v>900</v>
      </c>
      <c r="PHW6" s="31">
        <v>900</v>
      </c>
      <c r="PHX6" s="31">
        <v>900</v>
      </c>
      <c r="PHY6" s="31">
        <v>900</v>
      </c>
      <c r="PHZ6" s="31">
        <v>900</v>
      </c>
      <c r="PIA6" s="31">
        <v>900</v>
      </c>
      <c r="PIB6" s="31">
        <v>900</v>
      </c>
      <c r="PIC6" s="31">
        <v>900</v>
      </c>
      <c r="PID6" s="31">
        <v>900</v>
      </c>
      <c r="PIE6" s="31">
        <v>900</v>
      </c>
      <c r="PIF6" s="31">
        <v>900</v>
      </c>
      <c r="PIG6" s="31">
        <v>900</v>
      </c>
      <c r="PIH6" s="31">
        <v>900</v>
      </c>
      <c r="PII6" s="31">
        <v>900</v>
      </c>
      <c r="PIJ6" s="31">
        <v>900</v>
      </c>
      <c r="PIK6" s="31">
        <v>900</v>
      </c>
      <c r="PIL6" s="31">
        <v>900</v>
      </c>
      <c r="PIM6" s="31">
        <v>900</v>
      </c>
      <c r="PIN6" s="31">
        <v>900</v>
      </c>
      <c r="PIO6" s="31">
        <v>900</v>
      </c>
      <c r="PIP6" s="31">
        <v>900</v>
      </c>
      <c r="PIQ6" s="31">
        <v>900</v>
      </c>
      <c r="PIR6" s="31">
        <v>900</v>
      </c>
      <c r="PIS6" s="31">
        <v>900</v>
      </c>
      <c r="PIT6" s="31">
        <v>900</v>
      </c>
      <c r="PIU6" s="31">
        <v>900</v>
      </c>
      <c r="PIV6" s="31">
        <v>900</v>
      </c>
      <c r="PIW6" s="31">
        <v>900</v>
      </c>
      <c r="PIX6" s="31">
        <v>900</v>
      </c>
      <c r="PIY6" s="31">
        <v>900</v>
      </c>
      <c r="PIZ6" s="31">
        <v>900</v>
      </c>
      <c r="PJA6" s="31">
        <v>900</v>
      </c>
      <c r="PJB6" s="31">
        <v>900</v>
      </c>
      <c r="PJC6" s="31">
        <v>900</v>
      </c>
      <c r="PJD6" s="31">
        <v>900</v>
      </c>
      <c r="PJE6" s="31">
        <v>900</v>
      </c>
      <c r="PJF6" s="31">
        <v>900</v>
      </c>
      <c r="PJG6" s="31">
        <v>900</v>
      </c>
      <c r="PJH6" s="31">
        <v>900</v>
      </c>
      <c r="PJI6" s="31">
        <v>900</v>
      </c>
      <c r="PJJ6" s="31">
        <v>900</v>
      </c>
      <c r="PJK6" s="31">
        <v>900</v>
      </c>
      <c r="PJL6" s="31">
        <v>900</v>
      </c>
      <c r="PJM6" s="31">
        <v>900</v>
      </c>
      <c r="PJN6" s="31">
        <v>900</v>
      </c>
      <c r="PJO6" s="31">
        <v>900</v>
      </c>
      <c r="PJP6" s="31">
        <v>900</v>
      </c>
      <c r="PJQ6" s="31">
        <v>900</v>
      </c>
      <c r="PJR6" s="31">
        <v>900</v>
      </c>
      <c r="PJS6" s="31">
        <v>900</v>
      </c>
      <c r="PJT6" s="31">
        <v>900</v>
      </c>
      <c r="PJU6" s="31">
        <v>900</v>
      </c>
      <c r="PJV6" s="31">
        <v>900</v>
      </c>
      <c r="PJW6" s="31">
        <v>900</v>
      </c>
      <c r="PJX6" s="31">
        <v>900</v>
      </c>
      <c r="PJY6" s="31">
        <v>900</v>
      </c>
      <c r="PJZ6" s="31">
        <v>900</v>
      </c>
      <c r="PKA6" s="31">
        <v>900</v>
      </c>
      <c r="PKB6" s="31">
        <v>900</v>
      </c>
      <c r="PKC6" s="31">
        <v>900</v>
      </c>
      <c r="PKD6" s="31">
        <v>900</v>
      </c>
      <c r="PKE6" s="31">
        <v>900</v>
      </c>
      <c r="PKF6" s="31">
        <v>900</v>
      </c>
      <c r="PKG6" s="31">
        <v>900</v>
      </c>
      <c r="PKH6" s="31">
        <v>900</v>
      </c>
      <c r="PKI6" s="31">
        <v>900</v>
      </c>
      <c r="PKJ6" s="31">
        <v>900</v>
      </c>
      <c r="PKK6" s="31">
        <v>900</v>
      </c>
      <c r="PKL6" s="31">
        <v>900</v>
      </c>
      <c r="PKM6" s="31">
        <v>900</v>
      </c>
      <c r="PKN6" s="31">
        <v>900</v>
      </c>
      <c r="PKO6" s="31">
        <v>900</v>
      </c>
      <c r="PKP6" s="31">
        <v>900</v>
      </c>
      <c r="PKQ6" s="31">
        <v>900</v>
      </c>
      <c r="PKR6" s="31">
        <v>900</v>
      </c>
      <c r="PKS6" s="31">
        <v>900</v>
      </c>
      <c r="PKT6" s="31">
        <v>900</v>
      </c>
      <c r="PKU6" s="31">
        <v>900</v>
      </c>
      <c r="PKV6" s="31">
        <v>900</v>
      </c>
      <c r="PKW6" s="31">
        <v>900</v>
      </c>
      <c r="PKX6" s="31">
        <v>900</v>
      </c>
      <c r="PKY6" s="31">
        <v>900</v>
      </c>
      <c r="PKZ6" s="31">
        <v>900</v>
      </c>
      <c r="PLA6" s="31">
        <v>900</v>
      </c>
      <c r="PLB6" s="31">
        <v>900</v>
      </c>
      <c r="PLC6" s="31">
        <v>900</v>
      </c>
      <c r="PLD6" s="31">
        <v>900</v>
      </c>
      <c r="PLE6" s="31">
        <v>900</v>
      </c>
      <c r="PLF6" s="31">
        <v>900</v>
      </c>
      <c r="PLG6" s="31">
        <v>900</v>
      </c>
      <c r="PLH6" s="31">
        <v>900</v>
      </c>
      <c r="PLI6" s="31">
        <v>900</v>
      </c>
      <c r="PLJ6" s="31">
        <v>900</v>
      </c>
      <c r="PLK6" s="31">
        <v>900</v>
      </c>
      <c r="PLL6" s="31">
        <v>900</v>
      </c>
      <c r="PLM6" s="31">
        <v>900</v>
      </c>
      <c r="PLN6" s="31">
        <v>900</v>
      </c>
      <c r="PLO6" s="31">
        <v>900</v>
      </c>
      <c r="PLP6" s="31">
        <v>900</v>
      </c>
      <c r="PLQ6" s="31">
        <v>900</v>
      </c>
      <c r="PLR6" s="31">
        <v>900</v>
      </c>
      <c r="PLS6" s="31">
        <v>900</v>
      </c>
      <c r="PLT6" s="31">
        <v>900</v>
      </c>
      <c r="PLU6" s="31">
        <v>900</v>
      </c>
      <c r="PLV6" s="31">
        <v>900</v>
      </c>
      <c r="PLW6" s="31">
        <v>900</v>
      </c>
      <c r="PLX6" s="31">
        <v>900</v>
      </c>
      <c r="PLY6" s="31">
        <v>900</v>
      </c>
      <c r="PLZ6" s="31">
        <v>900</v>
      </c>
      <c r="PMA6" s="31">
        <v>900</v>
      </c>
      <c r="PMB6" s="31">
        <v>900</v>
      </c>
      <c r="PMC6" s="31">
        <v>900</v>
      </c>
      <c r="PMD6" s="31">
        <v>900</v>
      </c>
      <c r="PME6" s="31">
        <v>900</v>
      </c>
      <c r="PMF6" s="31">
        <v>900</v>
      </c>
      <c r="PMG6" s="31">
        <v>900</v>
      </c>
      <c r="PMH6" s="31">
        <v>900</v>
      </c>
      <c r="PMI6" s="31">
        <v>900</v>
      </c>
      <c r="PMJ6" s="31">
        <v>900</v>
      </c>
      <c r="PMK6" s="31">
        <v>900</v>
      </c>
      <c r="PML6" s="31">
        <v>900</v>
      </c>
      <c r="PMM6" s="31">
        <v>900</v>
      </c>
      <c r="PMN6" s="31">
        <v>900</v>
      </c>
      <c r="PMO6" s="31">
        <v>900</v>
      </c>
      <c r="PMP6" s="31">
        <v>900</v>
      </c>
      <c r="PMQ6" s="31">
        <v>900</v>
      </c>
      <c r="PMR6" s="31">
        <v>900</v>
      </c>
      <c r="PMS6" s="31">
        <v>900</v>
      </c>
      <c r="PMT6" s="31">
        <v>900</v>
      </c>
      <c r="PMU6" s="31">
        <v>900</v>
      </c>
      <c r="PMV6" s="31">
        <v>900</v>
      </c>
      <c r="PMW6" s="31">
        <v>900</v>
      </c>
      <c r="PMX6" s="31">
        <v>900</v>
      </c>
      <c r="PMY6" s="31">
        <v>900</v>
      </c>
      <c r="PMZ6" s="31">
        <v>900</v>
      </c>
      <c r="PNA6" s="31">
        <v>900</v>
      </c>
      <c r="PNB6" s="31">
        <v>900</v>
      </c>
      <c r="PNC6" s="31">
        <v>900</v>
      </c>
      <c r="PND6" s="31">
        <v>900</v>
      </c>
      <c r="PNE6" s="31">
        <v>900</v>
      </c>
      <c r="PNF6" s="31">
        <v>900</v>
      </c>
      <c r="PNG6" s="31">
        <v>900</v>
      </c>
      <c r="PNH6" s="31">
        <v>900</v>
      </c>
      <c r="PNI6" s="31">
        <v>900</v>
      </c>
      <c r="PNJ6" s="31">
        <v>900</v>
      </c>
      <c r="PNK6" s="31">
        <v>900</v>
      </c>
      <c r="PNL6" s="31">
        <v>900</v>
      </c>
      <c r="PNM6" s="31">
        <v>900</v>
      </c>
      <c r="PNN6" s="31">
        <v>900</v>
      </c>
      <c r="PNO6" s="31">
        <v>900</v>
      </c>
      <c r="PNP6" s="31">
        <v>900</v>
      </c>
      <c r="PNQ6" s="31">
        <v>900</v>
      </c>
      <c r="PNR6" s="31">
        <v>900</v>
      </c>
      <c r="PNS6" s="31">
        <v>900</v>
      </c>
      <c r="PNT6" s="31">
        <v>900</v>
      </c>
      <c r="PNU6" s="31">
        <v>900</v>
      </c>
      <c r="PNV6" s="31">
        <v>900</v>
      </c>
      <c r="PNW6" s="31">
        <v>900</v>
      </c>
      <c r="PNX6" s="31">
        <v>900</v>
      </c>
      <c r="PNY6" s="31">
        <v>900</v>
      </c>
      <c r="PNZ6" s="31">
        <v>900</v>
      </c>
      <c r="POA6" s="31">
        <v>900</v>
      </c>
      <c r="POB6" s="31">
        <v>900</v>
      </c>
      <c r="POC6" s="31">
        <v>900</v>
      </c>
      <c r="POD6" s="31">
        <v>900</v>
      </c>
      <c r="POE6" s="31">
        <v>900</v>
      </c>
      <c r="POF6" s="31">
        <v>900</v>
      </c>
      <c r="POG6" s="31">
        <v>900</v>
      </c>
      <c r="POH6" s="31">
        <v>900</v>
      </c>
      <c r="POI6" s="31">
        <v>900</v>
      </c>
      <c r="POJ6" s="31">
        <v>900</v>
      </c>
      <c r="POK6" s="31">
        <v>900</v>
      </c>
      <c r="POL6" s="31">
        <v>900</v>
      </c>
      <c r="POM6" s="31">
        <v>900</v>
      </c>
      <c r="PON6" s="31">
        <v>900</v>
      </c>
      <c r="POO6" s="31">
        <v>900</v>
      </c>
      <c r="POP6" s="31">
        <v>900</v>
      </c>
      <c r="POQ6" s="31">
        <v>900</v>
      </c>
      <c r="POR6" s="31">
        <v>900</v>
      </c>
      <c r="POS6" s="31">
        <v>900</v>
      </c>
      <c r="POT6" s="31">
        <v>900</v>
      </c>
      <c r="POU6" s="31">
        <v>900</v>
      </c>
      <c r="POV6" s="31">
        <v>900</v>
      </c>
      <c r="POW6" s="31">
        <v>900</v>
      </c>
      <c r="POX6" s="31">
        <v>900</v>
      </c>
      <c r="POY6" s="31">
        <v>900</v>
      </c>
      <c r="POZ6" s="31">
        <v>900</v>
      </c>
      <c r="PPA6" s="31">
        <v>900</v>
      </c>
      <c r="PPB6" s="31">
        <v>900</v>
      </c>
      <c r="PPC6" s="31">
        <v>900</v>
      </c>
      <c r="PPD6" s="31">
        <v>900</v>
      </c>
      <c r="PPE6" s="31">
        <v>900</v>
      </c>
      <c r="PPF6" s="31">
        <v>900</v>
      </c>
      <c r="PPG6" s="31">
        <v>900</v>
      </c>
      <c r="PPH6" s="31">
        <v>900</v>
      </c>
      <c r="PPI6" s="31">
        <v>900</v>
      </c>
      <c r="PPJ6" s="31">
        <v>900</v>
      </c>
      <c r="PPK6" s="31">
        <v>900</v>
      </c>
      <c r="PPL6" s="31">
        <v>900</v>
      </c>
      <c r="PPM6" s="31">
        <v>900</v>
      </c>
      <c r="PPN6" s="31">
        <v>900</v>
      </c>
      <c r="PPO6" s="31">
        <v>900</v>
      </c>
      <c r="PPP6" s="31">
        <v>900</v>
      </c>
      <c r="PPQ6" s="31">
        <v>900</v>
      </c>
      <c r="PPR6" s="31">
        <v>900</v>
      </c>
      <c r="PPS6" s="31">
        <v>900</v>
      </c>
      <c r="PPT6" s="31">
        <v>900</v>
      </c>
      <c r="PPU6" s="31">
        <v>900</v>
      </c>
      <c r="PPV6" s="31">
        <v>900</v>
      </c>
      <c r="PPW6" s="31">
        <v>900</v>
      </c>
      <c r="PPX6" s="31">
        <v>900</v>
      </c>
      <c r="PPY6" s="31">
        <v>900</v>
      </c>
      <c r="PPZ6" s="31">
        <v>900</v>
      </c>
      <c r="PQA6" s="31">
        <v>900</v>
      </c>
      <c r="PQB6" s="31">
        <v>900</v>
      </c>
      <c r="PQC6" s="31">
        <v>900</v>
      </c>
      <c r="PQD6" s="31">
        <v>900</v>
      </c>
      <c r="PQE6" s="31">
        <v>900</v>
      </c>
      <c r="PQF6" s="31">
        <v>900</v>
      </c>
      <c r="PQG6" s="31">
        <v>900</v>
      </c>
      <c r="PQH6" s="31">
        <v>900</v>
      </c>
      <c r="PQI6" s="31">
        <v>900</v>
      </c>
      <c r="PQJ6" s="31">
        <v>900</v>
      </c>
      <c r="PQK6" s="31">
        <v>900</v>
      </c>
      <c r="PQL6" s="31">
        <v>900</v>
      </c>
      <c r="PQM6" s="31">
        <v>900</v>
      </c>
      <c r="PQN6" s="31">
        <v>900</v>
      </c>
      <c r="PQO6" s="31">
        <v>900</v>
      </c>
      <c r="PQP6" s="31">
        <v>900</v>
      </c>
      <c r="PQQ6" s="31">
        <v>900</v>
      </c>
      <c r="PQR6" s="31">
        <v>900</v>
      </c>
      <c r="PQS6" s="31">
        <v>900</v>
      </c>
      <c r="PQT6" s="31">
        <v>900</v>
      </c>
      <c r="PQU6" s="31">
        <v>900</v>
      </c>
      <c r="PQV6" s="31">
        <v>900</v>
      </c>
      <c r="PQW6" s="31">
        <v>900</v>
      </c>
      <c r="PQX6" s="31">
        <v>900</v>
      </c>
      <c r="PQY6" s="31">
        <v>900</v>
      </c>
      <c r="PQZ6" s="31">
        <v>900</v>
      </c>
      <c r="PRA6" s="31">
        <v>900</v>
      </c>
      <c r="PRB6" s="31">
        <v>900</v>
      </c>
      <c r="PRC6" s="31">
        <v>900</v>
      </c>
      <c r="PRD6" s="31">
        <v>900</v>
      </c>
      <c r="PRE6" s="31">
        <v>900</v>
      </c>
      <c r="PRF6" s="31">
        <v>900</v>
      </c>
      <c r="PRG6" s="31">
        <v>900</v>
      </c>
      <c r="PRH6" s="31">
        <v>900</v>
      </c>
      <c r="PRI6" s="31">
        <v>900</v>
      </c>
      <c r="PRJ6" s="31">
        <v>900</v>
      </c>
      <c r="PRK6" s="31">
        <v>900</v>
      </c>
      <c r="PRL6" s="31">
        <v>900</v>
      </c>
      <c r="PRM6" s="31">
        <v>900</v>
      </c>
      <c r="PRN6" s="31">
        <v>900</v>
      </c>
      <c r="PRO6" s="31">
        <v>900</v>
      </c>
      <c r="PRP6" s="31">
        <v>900</v>
      </c>
      <c r="PRQ6" s="31">
        <v>900</v>
      </c>
      <c r="PRR6" s="31">
        <v>900</v>
      </c>
      <c r="PRS6" s="31">
        <v>900</v>
      </c>
      <c r="PRT6" s="31">
        <v>900</v>
      </c>
      <c r="PRU6" s="31">
        <v>900</v>
      </c>
      <c r="PRV6" s="31">
        <v>900</v>
      </c>
      <c r="PRW6" s="31">
        <v>900</v>
      </c>
      <c r="PRX6" s="31">
        <v>900</v>
      </c>
      <c r="PRY6" s="31">
        <v>900</v>
      </c>
      <c r="PRZ6" s="31">
        <v>900</v>
      </c>
      <c r="PSA6" s="31">
        <v>900</v>
      </c>
      <c r="PSB6" s="31">
        <v>900</v>
      </c>
      <c r="PSC6" s="31">
        <v>900</v>
      </c>
      <c r="PSD6" s="31">
        <v>900</v>
      </c>
      <c r="PSE6" s="31">
        <v>900</v>
      </c>
      <c r="PSF6" s="31">
        <v>900</v>
      </c>
      <c r="PSG6" s="31">
        <v>900</v>
      </c>
      <c r="PSH6" s="31">
        <v>900</v>
      </c>
      <c r="PSI6" s="31">
        <v>900</v>
      </c>
      <c r="PSJ6" s="31">
        <v>900</v>
      </c>
      <c r="PSK6" s="31">
        <v>900</v>
      </c>
      <c r="PSL6" s="31">
        <v>900</v>
      </c>
      <c r="PSM6" s="31">
        <v>900</v>
      </c>
      <c r="PSN6" s="31">
        <v>900</v>
      </c>
      <c r="PSO6" s="31">
        <v>900</v>
      </c>
      <c r="PSP6" s="31">
        <v>900</v>
      </c>
      <c r="PSQ6" s="31">
        <v>900</v>
      </c>
      <c r="PSR6" s="31">
        <v>900</v>
      </c>
      <c r="PSS6" s="31">
        <v>900</v>
      </c>
      <c r="PST6" s="31">
        <v>900</v>
      </c>
      <c r="PSU6" s="31">
        <v>900</v>
      </c>
      <c r="PSV6" s="31">
        <v>900</v>
      </c>
      <c r="PSW6" s="31">
        <v>900</v>
      </c>
      <c r="PSX6" s="31">
        <v>900</v>
      </c>
      <c r="PSY6" s="31">
        <v>900</v>
      </c>
      <c r="PSZ6" s="31">
        <v>900</v>
      </c>
      <c r="PTA6" s="31">
        <v>900</v>
      </c>
      <c r="PTB6" s="31">
        <v>900</v>
      </c>
      <c r="PTC6" s="31">
        <v>900</v>
      </c>
      <c r="PTD6" s="31">
        <v>900</v>
      </c>
      <c r="PTE6" s="31">
        <v>900</v>
      </c>
      <c r="PTF6" s="31">
        <v>900</v>
      </c>
      <c r="PTG6" s="31">
        <v>900</v>
      </c>
      <c r="PTH6" s="31">
        <v>900</v>
      </c>
      <c r="PTI6" s="31">
        <v>900</v>
      </c>
      <c r="PTJ6" s="31">
        <v>900</v>
      </c>
      <c r="PTK6" s="31">
        <v>900</v>
      </c>
      <c r="PTL6" s="31">
        <v>900</v>
      </c>
      <c r="PTM6" s="31">
        <v>900</v>
      </c>
      <c r="PTN6" s="31">
        <v>900</v>
      </c>
      <c r="PTO6" s="31">
        <v>900</v>
      </c>
      <c r="PTP6" s="31">
        <v>900</v>
      </c>
      <c r="PTQ6" s="31">
        <v>900</v>
      </c>
      <c r="PTR6" s="31">
        <v>900</v>
      </c>
      <c r="PTS6" s="31">
        <v>900</v>
      </c>
      <c r="PTT6" s="31">
        <v>900</v>
      </c>
      <c r="PTU6" s="31">
        <v>900</v>
      </c>
      <c r="PTV6" s="31">
        <v>900</v>
      </c>
      <c r="PTW6" s="31">
        <v>900</v>
      </c>
      <c r="PTX6" s="31">
        <v>900</v>
      </c>
      <c r="PTY6" s="31">
        <v>900</v>
      </c>
      <c r="PTZ6" s="31">
        <v>900</v>
      </c>
      <c r="PUA6" s="31">
        <v>900</v>
      </c>
      <c r="PUB6" s="31">
        <v>900</v>
      </c>
      <c r="PUC6" s="31">
        <v>900</v>
      </c>
      <c r="PUD6" s="31">
        <v>900</v>
      </c>
      <c r="PUE6" s="31">
        <v>900</v>
      </c>
      <c r="PUF6" s="31">
        <v>900</v>
      </c>
      <c r="PUG6" s="31">
        <v>900</v>
      </c>
      <c r="PUH6" s="31">
        <v>900</v>
      </c>
      <c r="PUI6" s="31">
        <v>900</v>
      </c>
      <c r="PUJ6" s="31">
        <v>900</v>
      </c>
      <c r="PUK6" s="31">
        <v>900</v>
      </c>
      <c r="PUL6" s="31">
        <v>900</v>
      </c>
      <c r="PUM6" s="31">
        <v>900</v>
      </c>
      <c r="PUN6" s="31">
        <v>900</v>
      </c>
      <c r="PUO6" s="31">
        <v>900</v>
      </c>
      <c r="PUP6" s="31">
        <v>900</v>
      </c>
      <c r="PUQ6" s="31">
        <v>900</v>
      </c>
      <c r="PUR6" s="31">
        <v>900</v>
      </c>
      <c r="PUS6" s="31">
        <v>900</v>
      </c>
      <c r="PUT6" s="31">
        <v>900</v>
      </c>
      <c r="PUU6" s="31">
        <v>900</v>
      </c>
      <c r="PUV6" s="31">
        <v>900</v>
      </c>
      <c r="PUW6" s="31">
        <v>900</v>
      </c>
      <c r="PUX6" s="31">
        <v>900</v>
      </c>
      <c r="PUY6" s="31">
        <v>900</v>
      </c>
      <c r="PUZ6" s="31">
        <v>900</v>
      </c>
      <c r="PVA6" s="31">
        <v>900</v>
      </c>
      <c r="PVB6" s="31">
        <v>900</v>
      </c>
      <c r="PVC6" s="31">
        <v>900</v>
      </c>
      <c r="PVD6" s="31">
        <v>900</v>
      </c>
      <c r="PVE6" s="31">
        <v>900</v>
      </c>
      <c r="PVF6" s="31">
        <v>900</v>
      </c>
      <c r="PVG6" s="31">
        <v>900</v>
      </c>
      <c r="PVH6" s="31">
        <v>900</v>
      </c>
      <c r="PVI6" s="31">
        <v>900</v>
      </c>
      <c r="PVJ6" s="31">
        <v>900</v>
      </c>
      <c r="PVK6" s="31">
        <v>900</v>
      </c>
      <c r="PVL6" s="31">
        <v>900</v>
      </c>
      <c r="PVM6" s="31">
        <v>900</v>
      </c>
      <c r="PVN6" s="31">
        <v>900</v>
      </c>
      <c r="PVO6" s="31">
        <v>900</v>
      </c>
      <c r="PVP6" s="31">
        <v>900</v>
      </c>
      <c r="PVQ6" s="31">
        <v>900</v>
      </c>
      <c r="PVR6" s="31">
        <v>900</v>
      </c>
      <c r="PVS6" s="31">
        <v>900</v>
      </c>
      <c r="PVT6" s="31">
        <v>900</v>
      </c>
      <c r="PVU6" s="31">
        <v>900</v>
      </c>
      <c r="PVV6" s="31">
        <v>900</v>
      </c>
      <c r="PVW6" s="31">
        <v>900</v>
      </c>
      <c r="PVX6" s="31">
        <v>900</v>
      </c>
      <c r="PVY6" s="31">
        <v>900</v>
      </c>
      <c r="PVZ6" s="31">
        <v>900</v>
      </c>
      <c r="PWA6" s="31">
        <v>900</v>
      </c>
      <c r="PWB6" s="31">
        <v>900</v>
      </c>
      <c r="PWC6" s="31">
        <v>900</v>
      </c>
      <c r="PWD6" s="31">
        <v>900</v>
      </c>
      <c r="PWE6" s="31">
        <v>900</v>
      </c>
      <c r="PWF6" s="31">
        <v>900</v>
      </c>
      <c r="PWG6" s="31">
        <v>900</v>
      </c>
      <c r="PWH6" s="31">
        <v>900</v>
      </c>
      <c r="PWI6" s="31">
        <v>900</v>
      </c>
      <c r="PWJ6" s="31">
        <v>900</v>
      </c>
      <c r="PWK6" s="31">
        <v>900</v>
      </c>
      <c r="PWL6" s="31">
        <v>900</v>
      </c>
      <c r="PWM6" s="31">
        <v>900</v>
      </c>
      <c r="PWN6" s="31">
        <v>900</v>
      </c>
      <c r="PWO6" s="31">
        <v>900</v>
      </c>
      <c r="PWP6" s="31">
        <v>900</v>
      </c>
      <c r="PWQ6" s="31">
        <v>900</v>
      </c>
      <c r="PWR6" s="31">
        <v>900</v>
      </c>
      <c r="PWS6" s="31">
        <v>900</v>
      </c>
      <c r="PWT6" s="31">
        <v>900</v>
      </c>
      <c r="PWU6" s="31">
        <v>900</v>
      </c>
      <c r="PWV6" s="31">
        <v>900</v>
      </c>
      <c r="PWW6" s="31">
        <v>900</v>
      </c>
      <c r="PWX6" s="31">
        <v>900</v>
      </c>
      <c r="PWY6" s="31">
        <v>900</v>
      </c>
      <c r="PWZ6" s="31">
        <v>900</v>
      </c>
      <c r="PXA6" s="31">
        <v>900</v>
      </c>
      <c r="PXB6" s="31">
        <v>900</v>
      </c>
      <c r="PXC6" s="31">
        <v>900</v>
      </c>
      <c r="PXD6" s="31">
        <v>900</v>
      </c>
      <c r="PXE6" s="31">
        <v>900</v>
      </c>
      <c r="PXF6" s="31">
        <v>900</v>
      </c>
      <c r="PXG6" s="31">
        <v>900</v>
      </c>
      <c r="PXH6" s="31">
        <v>900</v>
      </c>
      <c r="PXI6" s="31">
        <v>900</v>
      </c>
      <c r="PXJ6" s="31">
        <v>900</v>
      </c>
      <c r="PXK6" s="31">
        <v>900</v>
      </c>
      <c r="PXL6" s="31">
        <v>900</v>
      </c>
      <c r="PXM6" s="31">
        <v>900</v>
      </c>
      <c r="PXN6" s="31">
        <v>900</v>
      </c>
      <c r="PXO6" s="31">
        <v>900</v>
      </c>
      <c r="PXP6" s="31">
        <v>900</v>
      </c>
      <c r="PXQ6" s="31">
        <v>900</v>
      </c>
      <c r="PXR6" s="31">
        <v>900</v>
      </c>
      <c r="PXS6" s="31">
        <v>900</v>
      </c>
      <c r="PXT6" s="31">
        <v>900</v>
      </c>
      <c r="PXU6" s="31">
        <v>900</v>
      </c>
      <c r="PXV6" s="31">
        <v>900</v>
      </c>
      <c r="PXW6" s="31">
        <v>900</v>
      </c>
      <c r="PXX6" s="31">
        <v>900</v>
      </c>
      <c r="PXY6" s="31">
        <v>900</v>
      </c>
      <c r="PXZ6" s="31">
        <v>900</v>
      </c>
      <c r="PYA6" s="31">
        <v>900</v>
      </c>
      <c r="PYB6" s="31">
        <v>900</v>
      </c>
      <c r="PYC6" s="31">
        <v>900</v>
      </c>
      <c r="PYD6" s="31">
        <v>900</v>
      </c>
      <c r="PYE6" s="31">
        <v>900</v>
      </c>
      <c r="PYF6" s="31">
        <v>900</v>
      </c>
      <c r="PYG6" s="31">
        <v>900</v>
      </c>
      <c r="PYH6" s="31">
        <v>900</v>
      </c>
      <c r="PYI6" s="31">
        <v>900</v>
      </c>
      <c r="PYJ6" s="31">
        <v>900</v>
      </c>
      <c r="PYK6" s="31">
        <v>900</v>
      </c>
      <c r="PYL6" s="31">
        <v>900</v>
      </c>
      <c r="PYM6" s="31">
        <v>900</v>
      </c>
      <c r="PYN6" s="31">
        <v>900</v>
      </c>
      <c r="PYO6" s="31">
        <v>900</v>
      </c>
      <c r="PYP6" s="31">
        <v>900</v>
      </c>
      <c r="PYQ6" s="31">
        <v>900</v>
      </c>
      <c r="PYR6" s="31">
        <v>900</v>
      </c>
      <c r="PYS6" s="31">
        <v>900</v>
      </c>
      <c r="PYT6" s="31">
        <v>900</v>
      </c>
      <c r="PYU6" s="31">
        <v>900</v>
      </c>
      <c r="PYV6" s="31">
        <v>900</v>
      </c>
      <c r="PYW6" s="31">
        <v>900</v>
      </c>
      <c r="PYX6" s="31">
        <v>900</v>
      </c>
      <c r="PYY6" s="31">
        <v>900</v>
      </c>
      <c r="PYZ6" s="31">
        <v>900</v>
      </c>
      <c r="PZA6" s="31">
        <v>900</v>
      </c>
      <c r="PZB6" s="31">
        <v>900</v>
      </c>
      <c r="PZC6" s="31">
        <v>900</v>
      </c>
      <c r="PZD6" s="31">
        <v>900</v>
      </c>
      <c r="PZE6" s="31">
        <v>900</v>
      </c>
      <c r="PZF6" s="31">
        <v>900</v>
      </c>
      <c r="PZG6" s="31">
        <v>900</v>
      </c>
      <c r="PZH6" s="31">
        <v>900</v>
      </c>
      <c r="PZI6" s="31">
        <v>900</v>
      </c>
      <c r="PZJ6" s="31">
        <v>900</v>
      </c>
      <c r="PZK6" s="31">
        <v>900</v>
      </c>
      <c r="PZL6" s="31">
        <v>900</v>
      </c>
      <c r="PZM6" s="31">
        <v>900</v>
      </c>
      <c r="PZN6" s="31">
        <v>900</v>
      </c>
      <c r="PZO6" s="31">
        <v>900</v>
      </c>
      <c r="PZP6" s="31">
        <v>900</v>
      </c>
      <c r="PZQ6" s="31">
        <v>900</v>
      </c>
      <c r="PZR6" s="31">
        <v>900</v>
      </c>
      <c r="PZS6" s="31">
        <v>900</v>
      </c>
      <c r="PZT6" s="31">
        <v>900</v>
      </c>
      <c r="PZU6" s="31">
        <v>900</v>
      </c>
      <c r="PZV6" s="31">
        <v>900</v>
      </c>
      <c r="PZW6" s="31">
        <v>900</v>
      </c>
      <c r="PZX6" s="31">
        <v>900</v>
      </c>
      <c r="PZY6" s="31">
        <v>900</v>
      </c>
      <c r="PZZ6" s="31">
        <v>900</v>
      </c>
      <c r="QAA6" s="31">
        <v>900</v>
      </c>
      <c r="QAB6" s="31">
        <v>900</v>
      </c>
      <c r="QAC6" s="31">
        <v>900</v>
      </c>
      <c r="QAD6" s="31">
        <v>900</v>
      </c>
      <c r="QAE6" s="31">
        <v>900</v>
      </c>
      <c r="QAF6" s="31">
        <v>900</v>
      </c>
      <c r="QAG6" s="31">
        <v>900</v>
      </c>
      <c r="QAH6" s="31">
        <v>900</v>
      </c>
      <c r="QAI6" s="31">
        <v>900</v>
      </c>
      <c r="QAJ6" s="31">
        <v>900</v>
      </c>
      <c r="QAK6" s="31">
        <v>900</v>
      </c>
      <c r="QAL6" s="31">
        <v>900</v>
      </c>
      <c r="QAM6" s="31">
        <v>900</v>
      </c>
      <c r="QAN6" s="31">
        <v>900</v>
      </c>
      <c r="QAO6" s="31">
        <v>900</v>
      </c>
      <c r="QAP6" s="31">
        <v>900</v>
      </c>
      <c r="QAQ6" s="31">
        <v>900</v>
      </c>
      <c r="QAR6" s="31">
        <v>900</v>
      </c>
      <c r="QAS6" s="31">
        <v>900</v>
      </c>
      <c r="QAT6" s="31">
        <v>900</v>
      </c>
      <c r="QAU6" s="31">
        <v>900</v>
      </c>
      <c r="QAV6" s="31">
        <v>900</v>
      </c>
      <c r="QAW6" s="31">
        <v>900</v>
      </c>
      <c r="QAX6" s="31">
        <v>900</v>
      </c>
      <c r="QAY6" s="31">
        <v>900</v>
      </c>
      <c r="QAZ6" s="31">
        <v>900</v>
      </c>
      <c r="QBA6" s="31">
        <v>900</v>
      </c>
      <c r="QBB6" s="31">
        <v>900</v>
      </c>
      <c r="QBC6" s="31">
        <v>900</v>
      </c>
      <c r="QBD6" s="31">
        <v>900</v>
      </c>
      <c r="QBE6" s="31">
        <v>900</v>
      </c>
      <c r="QBF6" s="31">
        <v>900</v>
      </c>
      <c r="QBG6" s="31">
        <v>900</v>
      </c>
      <c r="QBH6" s="31">
        <v>900</v>
      </c>
      <c r="QBI6" s="31">
        <v>900</v>
      </c>
      <c r="QBJ6" s="31">
        <v>900</v>
      </c>
      <c r="QBK6" s="31">
        <v>900</v>
      </c>
      <c r="QBL6" s="31">
        <v>900</v>
      </c>
      <c r="QBM6" s="31">
        <v>900</v>
      </c>
      <c r="QBN6" s="31">
        <v>900</v>
      </c>
      <c r="QBO6" s="31">
        <v>900</v>
      </c>
      <c r="QBP6" s="31">
        <v>900</v>
      </c>
      <c r="QBQ6" s="31">
        <v>900</v>
      </c>
      <c r="QBR6" s="31">
        <v>900</v>
      </c>
      <c r="QBS6" s="31">
        <v>900</v>
      </c>
      <c r="QBT6" s="31">
        <v>900</v>
      </c>
      <c r="QBU6" s="31">
        <v>900</v>
      </c>
      <c r="QBV6" s="31">
        <v>900</v>
      </c>
      <c r="QBW6" s="31">
        <v>900</v>
      </c>
      <c r="QBX6" s="31">
        <v>900</v>
      </c>
      <c r="QBY6" s="31">
        <v>900</v>
      </c>
      <c r="QBZ6" s="31">
        <v>900</v>
      </c>
      <c r="QCA6" s="31">
        <v>900</v>
      </c>
      <c r="QCB6" s="31">
        <v>900</v>
      </c>
      <c r="QCC6" s="31">
        <v>900</v>
      </c>
      <c r="QCD6" s="31">
        <v>900</v>
      </c>
      <c r="QCE6" s="31">
        <v>900</v>
      </c>
      <c r="QCF6" s="31">
        <v>900</v>
      </c>
      <c r="QCG6" s="31">
        <v>900</v>
      </c>
      <c r="QCH6" s="31">
        <v>900</v>
      </c>
      <c r="QCI6" s="31">
        <v>900</v>
      </c>
      <c r="QCJ6" s="31">
        <v>900</v>
      </c>
      <c r="QCK6" s="31">
        <v>900</v>
      </c>
      <c r="QCL6" s="31">
        <v>900</v>
      </c>
      <c r="QCM6" s="31">
        <v>900</v>
      </c>
      <c r="QCN6" s="31">
        <v>900</v>
      </c>
      <c r="QCO6" s="31">
        <v>900</v>
      </c>
      <c r="QCP6" s="31">
        <v>900</v>
      </c>
      <c r="QCQ6" s="31">
        <v>900</v>
      </c>
      <c r="QCR6" s="31">
        <v>900</v>
      </c>
      <c r="QCS6" s="31">
        <v>900</v>
      </c>
      <c r="QCT6" s="31">
        <v>900</v>
      </c>
      <c r="QCU6" s="31">
        <v>900</v>
      </c>
      <c r="QCV6" s="31">
        <v>900</v>
      </c>
      <c r="QCW6" s="31">
        <v>900</v>
      </c>
      <c r="QCX6" s="31">
        <v>900</v>
      </c>
      <c r="QCY6" s="31">
        <v>900</v>
      </c>
      <c r="QCZ6" s="31">
        <v>900</v>
      </c>
      <c r="QDA6" s="31">
        <v>900</v>
      </c>
      <c r="QDB6" s="31">
        <v>900</v>
      </c>
      <c r="QDC6" s="31">
        <v>900</v>
      </c>
      <c r="QDD6" s="31">
        <v>900</v>
      </c>
      <c r="QDE6" s="31">
        <v>900</v>
      </c>
      <c r="QDF6" s="31">
        <v>900</v>
      </c>
      <c r="QDG6" s="31">
        <v>900</v>
      </c>
      <c r="QDH6" s="31">
        <v>900</v>
      </c>
      <c r="QDI6" s="31">
        <v>900</v>
      </c>
      <c r="QDJ6" s="31">
        <v>900</v>
      </c>
      <c r="QDK6" s="31">
        <v>900</v>
      </c>
      <c r="QDL6" s="31">
        <v>900</v>
      </c>
      <c r="QDM6" s="31">
        <v>900</v>
      </c>
      <c r="QDN6" s="31">
        <v>900</v>
      </c>
      <c r="QDO6" s="31">
        <v>900</v>
      </c>
      <c r="QDP6" s="31">
        <v>900</v>
      </c>
      <c r="QDQ6" s="31">
        <v>900</v>
      </c>
      <c r="QDR6" s="31">
        <v>900</v>
      </c>
      <c r="QDS6" s="31">
        <v>900</v>
      </c>
      <c r="QDT6" s="31">
        <v>900</v>
      </c>
      <c r="QDU6" s="31">
        <v>900</v>
      </c>
      <c r="QDV6" s="31">
        <v>900</v>
      </c>
      <c r="QDW6" s="31">
        <v>900</v>
      </c>
      <c r="QDX6" s="31">
        <v>900</v>
      </c>
      <c r="QDY6" s="31">
        <v>900</v>
      </c>
      <c r="QDZ6" s="31">
        <v>900</v>
      </c>
      <c r="QEA6" s="31">
        <v>900</v>
      </c>
      <c r="QEB6" s="31">
        <v>900</v>
      </c>
      <c r="QEC6" s="31">
        <v>900</v>
      </c>
      <c r="QED6" s="31">
        <v>900</v>
      </c>
      <c r="QEE6" s="31">
        <v>900</v>
      </c>
      <c r="QEF6" s="31">
        <v>900</v>
      </c>
      <c r="QEG6" s="31">
        <v>900</v>
      </c>
      <c r="QEH6" s="31">
        <v>900</v>
      </c>
      <c r="QEI6" s="31">
        <v>900</v>
      </c>
      <c r="QEJ6" s="31">
        <v>900</v>
      </c>
      <c r="QEK6" s="31">
        <v>900</v>
      </c>
      <c r="QEL6" s="31">
        <v>900</v>
      </c>
      <c r="QEM6" s="31">
        <v>900</v>
      </c>
      <c r="QEN6" s="31">
        <v>900</v>
      </c>
      <c r="QEO6" s="31">
        <v>900</v>
      </c>
      <c r="QEP6" s="31">
        <v>900</v>
      </c>
      <c r="QEQ6" s="31">
        <v>900</v>
      </c>
      <c r="QER6" s="31">
        <v>900</v>
      </c>
      <c r="QES6" s="31">
        <v>900</v>
      </c>
      <c r="QET6" s="31">
        <v>900</v>
      </c>
      <c r="QEU6" s="31">
        <v>900</v>
      </c>
      <c r="QEV6" s="31">
        <v>900</v>
      </c>
      <c r="QEW6" s="31">
        <v>900</v>
      </c>
      <c r="QEX6" s="31">
        <v>900</v>
      </c>
      <c r="QEY6" s="31">
        <v>900</v>
      </c>
      <c r="QEZ6" s="31">
        <v>900</v>
      </c>
      <c r="QFA6" s="31">
        <v>900</v>
      </c>
      <c r="QFB6" s="31">
        <v>900</v>
      </c>
      <c r="QFC6" s="31">
        <v>900</v>
      </c>
      <c r="QFD6" s="31">
        <v>900</v>
      </c>
      <c r="QFE6" s="31">
        <v>900</v>
      </c>
      <c r="QFF6" s="31">
        <v>900</v>
      </c>
      <c r="QFG6" s="31">
        <v>900</v>
      </c>
      <c r="QFH6" s="31">
        <v>900</v>
      </c>
      <c r="QFI6" s="31">
        <v>900</v>
      </c>
      <c r="QFJ6" s="31">
        <v>900</v>
      </c>
      <c r="QFK6" s="31">
        <v>900</v>
      </c>
      <c r="QFL6" s="31">
        <v>900</v>
      </c>
      <c r="QFM6" s="31">
        <v>900</v>
      </c>
      <c r="QFN6" s="31">
        <v>900</v>
      </c>
      <c r="QFO6" s="31">
        <v>900</v>
      </c>
      <c r="QFP6" s="31">
        <v>900</v>
      </c>
      <c r="QFQ6" s="31">
        <v>900</v>
      </c>
      <c r="QFR6" s="31">
        <v>900</v>
      </c>
      <c r="QFS6" s="31">
        <v>900</v>
      </c>
      <c r="QFT6" s="31">
        <v>900</v>
      </c>
      <c r="QFU6" s="31">
        <v>900</v>
      </c>
      <c r="QFV6" s="31">
        <v>900</v>
      </c>
      <c r="QFW6" s="31">
        <v>900</v>
      </c>
      <c r="QFX6" s="31">
        <v>900</v>
      </c>
      <c r="QFY6" s="31">
        <v>900</v>
      </c>
      <c r="QFZ6" s="31">
        <v>900</v>
      </c>
      <c r="QGA6" s="31">
        <v>900</v>
      </c>
      <c r="QGB6" s="31">
        <v>900</v>
      </c>
      <c r="QGC6" s="31">
        <v>900</v>
      </c>
      <c r="QGD6" s="31">
        <v>900</v>
      </c>
      <c r="QGE6" s="31">
        <v>900</v>
      </c>
      <c r="QGF6" s="31">
        <v>900</v>
      </c>
      <c r="QGG6" s="31">
        <v>900</v>
      </c>
      <c r="QGH6" s="31">
        <v>900</v>
      </c>
      <c r="QGI6" s="31">
        <v>900</v>
      </c>
      <c r="QGJ6" s="31">
        <v>900</v>
      </c>
      <c r="QGK6" s="31">
        <v>900</v>
      </c>
      <c r="QGL6" s="31">
        <v>900</v>
      </c>
      <c r="QGM6" s="31">
        <v>900</v>
      </c>
      <c r="QGN6" s="31">
        <v>900</v>
      </c>
      <c r="QGO6" s="31">
        <v>900</v>
      </c>
      <c r="QGP6" s="31">
        <v>900</v>
      </c>
      <c r="QGQ6" s="31">
        <v>900</v>
      </c>
      <c r="QGR6" s="31">
        <v>900</v>
      </c>
      <c r="QGS6" s="31">
        <v>900</v>
      </c>
      <c r="QGT6" s="31">
        <v>900</v>
      </c>
      <c r="QGU6" s="31">
        <v>900</v>
      </c>
      <c r="QGV6" s="31">
        <v>900</v>
      </c>
      <c r="QGW6" s="31">
        <v>900</v>
      </c>
      <c r="QGX6" s="31">
        <v>900</v>
      </c>
      <c r="QGY6" s="31">
        <v>900</v>
      </c>
      <c r="QGZ6" s="31">
        <v>900</v>
      </c>
      <c r="QHA6" s="31">
        <v>900</v>
      </c>
      <c r="QHB6" s="31">
        <v>900</v>
      </c>
      <c r="QHC6" s="31">
        <v>900</v>
      </c>
      <c r="QHD6" s="31">
        <v>900</v>
      </c>
      <c r="QHE6" s="31">
        <v>900</v>
      </c>
      <c r="QHF6" s="31">
        <v>900</v>
      </c>
      <c r="QHG6" s="31">
        <v>900</v>
      </c>
      <c r="QHH6" s="31">
        <v>900</v>
      </c>
      <c r="QHI6" s="31">
        <v>900</v>
      </c>
      <c r="QHJ6" s="31">
        <v>900</v>
      </c>
      <c r="QHK6" s="31">
        <v>900</v>
      </c>
      <c r="QHL6" s="31">
        <v>900</v>
      </c>
      <c r="QHM6" s="31">
        <v>900</v>
      </c>
      <c r="QHN6" s="31">
        <v>900</v>
      </c>
      <c r="QHO6" s="31">
        <v>900</v>
      </c>
      <c r="QHP6" s="31">
        <v>900</v>
      </c>
      <c r="QHQ6" s="31">
        <v>900</v>
      </c>
      <c r="QHR6" s="31">
        <v>900</v>
      </c>
      <c r="QHS6" s="31">
        <v>900</v>
      </c>
      <c r="QHT6" s="31">
        <v>900</v>
      </c>
      <c r="QHU6" s="31">
        <v>900</v>
      </c>
      <c r="QHV6" s="31">
        <v>900</v>
      </c>
      <c r="QHW6" s="31">
        <v>900</v>
      </c>
      <c r="QHX6" s="31">
        <v>900</v>
      </c>
      <c r="QHY6" s="31">
        <v>900</v>
      </c>
      <c r="QHZ6" s="31">
        <v>900</v>
      </c>
      <c r="QIA6" s="31">
        <v>900</v>
      </c>
      <c r="QIB6" s="31">
        <v>900</v>
      </c>
      <c r="QIC6" s="31">
        <v>900</v>
      </c>
      <c r="QID6" s="31">
        <v>900</v>
      </c>
      <c r="QIE6" s="31">
        <v>900</v>
      </c>
      <c r="QIF6" s="31">
        <v>900</v>
      </c>
      <c r="QIG6" s="31">
        <v>900</v>
      </c>
      <c r="QIH6" s="31">
        <v>900</v>
      </c>
      <c r="QII6" s="31">
        <v>900</v>
      </c>
      <c r="QIJ6" s="31">
        <v>900</v>
      </c>
      <c r="QIK6" s="31">
        <v>900</v>
      </c>
      <c r="QIL6" s="31">
        <v>900</v>
      </c>
      <c r="QIM6" s="31">
        <v>900</v>
      </c>
      <c r="QIN6" s="31">
        <v>900</v>
      </c>
      <c r="QIO6" s="31">
        <v>900</v>
      </c>
      <c r="QIP6" s="31">
        <v>900</v>
      </c>
      <c r="QIQ6" s="31">
        <v>900</v>
      </c>
      <c r="QIR6" s="31">
        <v>900</v>
      </c>
      <c r="QIS6" s="31">
        <v>900</v>
      </c>
      <c r="QIT6" s="31">
        <v>900</v>
      </c>
      <c r="QIU6" s="31">
        <v>900</v>
      </c>
      <c r="QIV6" s="31">
        <v>900</v>
      </c>
      <c r="QIW6" s="31">
        <v>900</v>
      </c>
      <c r="QIX6" s="31">
        <v>900</v>
      </c>
      <c r="QIY6" s="31">
        <v>900</v>
      </c>
      <c r="QIZ6" s="31">
        <v>900</v>
      </c>
      <c r="QJA6" s="31">
        <v>900</v>
      </c>
      <c r="QJB6" s="31">
        <v>900</v>
      </c>
      <c r="QJC6" s="31">
        <v>900</v>
      </c>
      <c r="QJD6" s="31">
        <v>900</v>
      </c>
      <c r="QJE6" s="31">
        <v>900</v>
      </c>
      <c r="QJF6" s="31">
        <v>900</v>
      </c>
      <c r="QJG6" s="31">
        <v>900</v>
      </c>
      <c r="QJH6" s="31">
        <v>900</v>
      </c>
      <c r="QJI6" s="31">
        <v>900</v>
      </c>
      <c r="QJJ6" s="31">
        <v>900</v>
      </c>
      <c r="QJK6" s="31">
        <v>900</v>
      </c>
      <c r="QJL6" s="31">
        <v>900</v>
      </c>
      <c r="QJM6" s="31">
        <v>900</v>
      </c>
      <c r="QJN6" s="31">
        <v>900</v>
      </c>
      <c r="QJO6" s="31">
        <v>900</v>
      </c>
      <c r="QJP6" s="31">
        <v>900</v>
      </c>
      <c r="QJQ6" s="31">
        <v>900</v>
      </c>
      <c r="QJR6" s="31">
        <v>900</v>
      </c>
      <c r="QJS6" s="31">
        <v>900</v>
      </c>
      <c r="QJT6" s="31">
        <v>900</v>
      </c>
      <c r="QJU6" s="31">
        <v>900</v>
      </c>
      <c r="QJV6" s="31">
        <v>900</v>
      </c>
      <c r="QJW6" s="31">
        <v>900</v>
      </c>
      <c r="QJX6" s="31">
        <v>900</v>
      </c>
      <c r="QJY6" s="31">
        <v>900</v>
      </c>
      <c r="QJZ6" s="31">
        <v>900</v>
      </c>
      <c r="QKA6" s="31">
        <v>900</v>
      </c>
      <c r="QKB6" s="31">
        <v>900</v>
      </c>
      <c r="QKC6" s="31">
        <v>900</v>
      </c>
      <c r="QKD6" s="31">
        <v>900</v>
      </c>
      <c r="QKE6" s="31">
        <v>900</v>
      </c>
      <c r="QKF6" s="31">
        <v>900</v>
      </c>
      <c r="QKG6" s="31">
        <v>900</v>
      </c>
      <c r="QKH6" s="31">
        <v>900</v>
      </c>
      <c r="QKI6" s="31">
        <v>900</v>
      </c>
      <c r="QKJ6" s="31">
        <v>900</v>
      </c>
      <c r="QKK6" s="31">
        <v>900</v>
      </c>
      <c r="QKL6" s="31">
        <v>900</v>
      </c>
      <c r="QKM6" s="31">
        <v>900</v>
      </c>
      <c r="QKN6" s="31">
        <v>900</v>
      </c>
      <c r="QKO6" s="31">
        <v>900</v>
      </c>
      <c r="QKP6" s="31">
        <v>900</v>
      </c>
      <c r="QKQ6" s="31">
        <v>900</v>
      </c>
      <c r="QKR6" s="31">
        <v>900</v>
      </c>
      <c r="QKS6" s="31">
        <v>900</v>
      </c>
      <c r="QKT6" s="31">
        <v>900</v>
      </c>
      <c r="QKU6" s="31">
        <v>900</v>
      </c>
      <c r="QKV6" s="31">
        <v>900</v>
      </c>
      <c r="QKW6" s="31">
        <v>900</v>
      </c>
      <c r="QKX6" s="31">
        <v>900</v>
      </c>
      <c r="QKY6" s="31">
        <v>900</v>
      </c>
      <c r="QKZ6" s="31">
        <v>900</v>
      </c>
      <c r="QLA6" s="31">
        <v>900</v>
      </c>
      <c r="QLB6" s="31">
        <v>900</v>
      </c>
      <c r="QLC6" s="31">
        <v>900</v>
      </c>
      <c r="QLD6" s="31">
        <v>900</v>
      </c>
      <c r="QLE6" s="31">
        <v>900</v>
      </c>
      <c r="QLF6" s="31">
        <v>900</v>
      </c>
      <c r="QLG6" s="31">
        <v>900</v>
      </c>
      <c r="QLH6" s="31">
        <v>900</v>
      </c>
      <c r="QLI6" s="31">
        <v>900</v>
      </c>
      <c r="QLJ6" s="31">
        <v>900</v>
      </c>
      <c r="QLK6" s="31">
        <v>900</v>
      </c>
      <c r="QLL6" s="31">
        <v>900</v>
      </c>
      <c r="QLM6" s="31">
        <v>900</v>
      </c>
      <c r="QLN6" s="31">
        <v>900</v>
      </c>
      <c r="QLO6" s="31">
        <v>900</v>
      </c>
      <c r="QLP6" s="31">
        <v>900</v>
      </c>
      <c r="QLQ6" s="31">
        <v>900</v>
      </c>
      <c r="QLR6" s="31">
        <v>900</v>
      </c>
      <c r="QLS6" s="31">
        <v>900</v>
      </c>
      <c r="QLT6" s="31">
        <v>900</v>
      </c>
      <c r="QLU6" s="31">
        <v>900</v>
      </c>
      <c r="QLV6" s="31">
        <v>900</v>
      </c>
      <c r="QLW6" s="31">
        <v>900</v>
      </c>
      <c r="QLX6" s="31">
        <v>900</v>
      </c>
      <c r="QLY6" s="31">
        <v>900</v>
      </c>
      <c r="QLZ6" s="31">
        <v>900</v>
      </c>
      <c r="QMA6" s="31">
        <v>900</v>
      </c>
      <c r="QMB6" s="31">
        <v>900</v>
      </c>
      <c r="QMC6" s="31">
        <v>900</v>
      </c>
      <c r="QMD6" s="31">
        <v>900</v>
      </c>
      <c r="QME6" s="31">
        <v>900</v>
      </c>
      <c r="QMF6" s="31">
        <v>900</v>
      </c>
      <c r="QMG6" s="31">
        <v>900</v>
      </c>
      <c r="QMH6" s="31">
        <v>900</v>
      </c>
      <c r="QMI6" s="31">
        <v>900</v>
      </c>
      <c r="QMJ6" s="31">
        <v>900</v>
      </c>
      <c r="QMK6" s="31">
        <v>900</v>
      </c>
      <c r="QML6" s="31">
        <v>900</v>
      </c>
      <c r="QMM6" s="31">
        <v>900</v>
      </c>
      <c r="QMN6" s="31">
        <v>900</v>
      </c>
      <c r="QMO6" s="31">
        <v>900</v>
      </c>
      <c r="QMP6" s="31">
        <v>900</v>
      </c>
      <c r="QMQ6" s="31">
        <v>900</v>
      </c>
      <c r="QMR6" s="31">
        <v>900</v>
      </c>
      <c r="QMS6" s="31">
        <v>900</v>
      </c>
      <c r="QMT6" s="31">
        <v>900</v>
      </c>
      <c r="QMU6" s="31">
        <v>900</v>
      </c>
      <c r="QMV6" s="31">
        <v>900</v>
      </c>
      <c r="QMW6" s="31">
        <v>900</v>
      </c>
      <c r="QMX6" s="31">
        <v>900</v>
      </c>
      <c r="QMY6" s="31">
        <v>900</v>
      </c>
      <c r="QMZ6" s="31">
        <v>900</v>
      </c>
      <c r="QNA6" s="31">
        <v>900</v>
      </c>
      <c r="QNB6" s="31">
        <v>900</v>
      </c>
      <c r="QNC6" s="31">
        <v>900</v>
      </c>
      <c r="QND6" s="31">
        <v>900</v>
      </c>
      <c r="QNE6" s="31">
        <v>900</v>
      </c>
      <c r="QNF6" s="31">
        <v>900</v>
      </c>
      <c r="QNG6" s="31">
        <v>900</v>
      </c>
      <c r="QNH6" s="31">
        <v>900</v>
      </c>
      <c r="QNI6" s="31">
        <v>900</v>
      </c>
      <c r="QNJ6" s="31">
        <v>900</v>
      </c>
      <c r="QNK6" s="31">
        <v>900</v>
      </c>
      <c r="QNL6" s="31">
        <v>900</v>
      </c>
      <c r="QNM6" s="31">
        <v>900</v>
      </c>
      <c r="QNN6" s="31">
        <v>900</v>
      </c>
      <c r="QNO6" s="31">
        <v>900</v>
      </c>
      <c r="QNP6" s="31">
        <v>900</v>
      </c>
      <c r="QNQ6" s="31">
        <v>900</v>
      </c>
      <c r="QNR6" s="31">
        <v>900</v>
      </c>
      <c r="QNS6" s="31">
        <v>900</v>
      </c>
      <c r="QNT6" s="31">
        <v>900</v>
      </c>
      <c r="QNU6" s="31">
        <v>900</v>
      </c>
      <c r="QNV6" s="31">
        <v>900</v>
      </c>
      <c r="QNW6" s="31">
        <v>900</v>
      </c>
      <c r="QNX6" s="31">
        <v>900</v>
      </c>
      <c r="QNY6" s="31">
        <v>900</v>
      </c>
      <c r="QNZ6" s="31">
        <v>900</v>
      </c>
      <c r="QOA6" s="31">
        <v>900</v>
      </c>
      <c r="QOB6" s="31">
        <v>900</v>
      </c>
      <c r="QOC6" s="31">
        <v>900</v>
      </c>
      <c r="QOD6" s="31">
        <v>900</v>
      </c>
      <c r="QOE6" s="31">
        <v>900</v>
      </c>
      <c r="QOF6" s="31">
        <v>900</v>
      </c>
      <c r="QOG6" s="31">
        <v>900</v>
      </c>
      <c r="QOH6" s="31">
        <v>900</v>
      </c>
      <c r="QOI6" s="31">
        <v>900</v>
      </c>
      <c r="QOJ6" s="31">
        <v>900</v>
      </c>
      <c r="QOK6" s="31">
        <v>900</v>
      </c>
      <c r="QOL6" s="31">
        <v>900</v>
      </c>
      <c r="QOM6" s="31">
        <v>900</v>
      </c>
      <c r="QON6" s="31">
        <v>900</v>
      </c>
      <c r="QOO6" s="31">
        <v>900</v>
      </c>
      <c r="QOP6" s="31">
        <v>900</v>
      </c>
      <c r="QOQ6" s="31">
        <v>900</v>
      </c>
      <c r="QOR6" s="31">
        <v>900</v>
      </c>
      <c r="QOS6" s="31">
        <v>900</v>
      </c>
      <c r="QOT6" s="31">
        <v>900</v>
      </c>
      <c r="QOU6" s="31">
        <v>900</v>
      </c>
      <c r="QOV6" s="31">
        <v>900</v>
      </c>
      <c r="QOW6" s="31">
        <v>900</v>
      </c>
      <c r="QOX6" s="31">
        <v>900</v>
      </c>
      <c r="QOY6" s="31">
        <v>900</v>
      </c>
      <c r="QOZ6" s="31">
        <v>900</v>
      </c>
      <c r="QPA6" s="31">
        <v>900</v>
      </c>
      <c r="QPB6" s="31">
        <v>900</v>
      </c>
      <c r="QPC6" s="31">
        <v>900</v>
      </c>
      <c r="QPD6" s="31">
        <v>900</v>
      </c>
      <c r="QPE6" s="31">
        <v>900</v>
      </c>
      <c r="QPF6" s="31">
        <v>900</v>
      </c>
      <c r="QPG6" s="31">
        <v>900</v>
      </c>
      <c r="QPH6" s="31">
        <v>900</v>
      </c>
      <c r="QPI6" s="31">
        <v>900</v>
      </c>
      <c r="QPJ6" s="31">
        <v>900</v>
      </c>
      <c r="QPK6" s="31">
        <v>900</v>
      </c>
      <c r="QPL6" s="31">
        <v>900</v>
      </c>
      <c r="QPM6" s="31">
        <v>900</v>
      </c>
      <c r="QPN6" s="31">
        <v>900</v>
      </c>
      <c r="QPO6" s="31">
        <v>900</v>
      </c>
      <c r="QPP6" s="31">
        <v>900</v>
      </c>
      <c r="QPQ6" s="31">
        <v>900</v>
      </c>
      <c r="QPR6" s="31">
        <v>900</v>
      </c>
      <c r="QPS6" s="31">
        <v>900</v>
      </c>
      <c r="QPT6" s="31">
        <v>900</v>
      </c>
      <c r="QPU6" s="31">
        <v>900</v>
      </c>
      <c r="QPV6" s="31">
        <v>900</v>
      </c>
      <c r="QPW6" s="31">
        <v>900</v>
      </c>
      <c r="QPX6" s="31">
        <v>900</v>
      </c>
      <c r="QPY6" s="31">
        <v>900</v>
      </c>
      <c r="QPZ6" s="31">
        <v>900</v>
      </c>
      <c r="QQA6" s="31">
        <v>900</v>
      </c>
      <c r="QQB6" s="31">
        <v>900</v>
      </c>
      <c r="QQC6" s="31">
        <v>900</v>
      </c>
      <c r="QQD6" s="31">
        <v>900</v>
      </c>
      <c r="QQE6" s="31">
        <v>900</v>
      </c>
      <c r="QQF6" s="31">
        <v>900</v>
      </c>
      <c r="QQG6" s="31">
        <v>900</v>
      </c>
      <c r="QQH6" s="31">
        <v>900</v>
      </c>
      <c r="QQI6" s="31">
        <v>900</v>
      </c>
      <c r="QQJ6" s="31">
        <v>900</v>
      </c>
      <c r="QQK6" s="31">
        <v>900</v>
      </c>
      <c r="QQL6" s="31">
        <v>900</v>
      </c>
      <c r="QQM6" s="31">
        <v>900</v>
      </c>
      <c r="QQN6" s="31">
        <v>900</v>
      </c>
      <c r="QQO6" s="31">
        <v>900</v>
      </c>
      <c r="QQP6" s="31">
        <v>900</v>
      </c>
      <c r="QQQ6" s="31">
        <v>900</v>
      </c>
      <c r="QQR6" s="31">
        <v>900</v>
      </c>
      <c r="QQS6" s="31">
        <v>900</v>
      </c>
      <c r="QQT6" s="31">
        <v>900</v>
      </c>
      <c r="QQU6" s="31">
        <v>900</v>
      </c>
      <c r="QQV6" s="31">
        <v>900</v>
      </c>
      <c r="QQW6" s="31">
        <v>900</v>
      </c>
      <c r="QQX6" s="31">
        <v>900</v>
      </c>
      <c r="QQY6" s="31">
        <v>900</v>
      </c>
      <c r="QQZ6" s="31">
        <v>900</v>
      </c>
      <c r="QRA6" s="31">
        <v>900</v>
      </c>
      <c r="QRB6" s="31">
        <v>900</v>
      </c>
      <c r="QRC6" s="31">
        <v>900</v>
      </c>
      <c r="QRD6" s="31">
        <v>900</v>
      </c>
      <c r="QRE6" s="31">
        <v>900</v>
      </c>
      <c r="QRF6" s="31">
        <v>900</v>
      </c>
      <c r="QRG6" s="31">
        <v>900</v>
      </c>
      <c r="QRH6" s="31">
        <v>900</v>
      </c>
      <c r="QRI6" s="31">
        <v>900</v>
      </c>
      <c r="QRJ6" s="31">
        <v>900</v>
      </c>
      <c r="QRK6" s="31">
        <v>900</v>
      </c>
      <c r="QRL6" s="31">
        <v>900</v>
      </c>
      <c r="QRM6" s="31">
        <v>900</v>
      </c>
      <c r="QRN6" s="31">
        <v>900</v>
      </c>
      <c r="QRO6" s="31">
        <v>900</v>
      </c>
      <c r="QRP6" s="31">
        <v>900</v>
      </c>
      <c r="QRQ6" s="31">
        <v>900</v>
      </c>
      <c r="QRR6" s="31">
        <v>900</v>
      </c>
      <c r="QRS6" s="31">
        <v>900</v>
      </c>
      <c r="QRT6" s="31">
        <v>900</v>
      </c>
      <c r="QRU6" s="31">
        <v>900</v>
      </c>
      <c r="QRV6" s="31">
        <v>900</v>
      </c>
      <c r="QRW6" s="31">
        <v>900</v>
      </c>
      <c r="QRX6" s="31">
        <v>900</v>
      </c>
      <c r="QRY6" s="31">
        <v>900</v>
      </c>
      <c r="QRZ6" s="31">
        <v>900</v>
      </c>
      <c r="QSA6" s="31">
        <v>900</v>
      </c>
      <c r="QSB6" s="31">
        <v>900</v>
      </c>
      <c r="QSC6" s="31">
        <v>900</v>
      </c>
      <c r="QSD6" s="31">
        <v>900</v>
      </c>
      <c r="QSE6" s="31">
        <v>900</v>
      </c>
      <c r="QSF6" s="31">
        <v>900</v>
      </c>
      <c r="QSG6" s="31">
        <v>900</v>
      </c>
      <c r="QSH6" s="31">
        <v>900</v>
      </c>
      <c r="QSI6" s="31">
        <v>900</v>
      </c>
      <c r="QSJ6" s="31">
        <v>900</v>
      </c>
      <c r="QSK6" s="31">
        <v>900</v>
      </c>
      <c r="QSL6" s="31">
        <v>900</v>
      </c>
      <c r="QSM6" s="31">
        <v>900</v>
      </c>
      <c r="QSN6" s="31">
        <v>900</v>
      </c>
      <c r="QSO6" s="31">
        <v>900</v>
      </c>
      <c r="QSP6" s="31">
        <v>900</v>
      </c>
      <c r="QSQ6" s="31">
        <v>900</v>
      </c>
      <c r="QSR6" s="31">
        <v>900</v>
      </c>
      <c r="QSS6" s="31">
        <v>900</v>
      </c>
      <c r="QST6" s="31">
        <v>900</v>
      </c>
      <c r="QSU6" s="31">
        <v>900</v>
      </c>
      <c r="QSV6" s="31">
        <v>900</v>
      </c>
      <c r="QSW6" s="31">
        <v>900</v>
      </c>
      <c r="QSX6" s="31">
        <v>900</v>
      </c>
      <c r="QSY6" s="31">
        <v>900</v>
      </c>
      <c r="QSZ6" s="31">
        <v>900</v>
      </c>
      <c r="QTA6" s="31">
        <v>900</v>
      </c>
      <c r="QTB6" s="31">
        <v>900</v>
      </c>
      <c r="QTC6" s="31">
        <v>900</v>
      </c>
      <c r="QTD6" s="31">
        <v>900</v>
      </c>
      <c r="QTE6" s="31">
        <v>900</v>
      </c>
      <c r="QTF6" s="31">
        <v>900</v>
      </c>
      <c r="QTG6" s="31">
        <v>900</v>
      </c>
      <c r="QTH6" s="31">
        <v>900</v>
      </c>
      <c r="QTI6" s="31">
        <v>900</v>
      </c>
      <c r="QTJ6" s="31">
        <v>900</v>
      </c>
      <c r="QTK6" s="31">
        <v>900</v>
      </c>
      <c r="QTL6" s="31">
        <v>900</v>
      </c>
      <c r="QTM6" s="31">
        <v>900</v>
      </c>
      <c r="QTN6" s="31">
        <v>900</v>
      </c>
      <c r="QTO6" s="31">
        <v>900</v>
      </c>
      <c r="QTP6" s="31">
        <v>900</v>
      </c>
      <c r="QTQ6" s="31">
        <v>900</v>
      </c>
      <c r="QTR6" s="31">
        <v>900</v>
      </c>
      <c r="QTS6" s="31">
        <v>900</v>
      </c>
      <c r="QTT6" s="31">
        <v>900</v>
      </c>
      <c r="QTU6" s="31">
        <v>900</v>
      </c>
      <c r="QTV6" s="31">
        <v>900</v>
      </c>
      <c r="QTW6" s="31">
        <v>900</v>
      </c>
      <c r="QTX6" s="31">
        <v>900</v>
      </c>
      <c r="QTY6" s="31">
        <v>900</v>
      </c>
      <c r="QTZ6" s="31">
        <v>900</v>
      </c>
      <c r="QUA6" s="31">
        <v>900</v>
      </c>
      <c r="QUB6" s="31">
        <v>900</v>
      </c>
      <c r="QUC6" s="31">
        <v>900</v>
      </c>
      <c r="QUD6" s="31">
        <v>900</v>
      </c>
      <c r="QUE6" s="31">
        <v>900</v>
      </c>
      <c r="QUF6" s="31">
        <v>900</v>
      </c>
      <c r="QUG6" s="31">
        <v>900</v>
      </c>
      <c r="QUH6" s="31">
        <v>900</v>
      </c>
      <c r="QUI6" s="31">
        <v>900</v>
      </c>
      <c r="QUJ6" s="31">
        <v>900</v>
      </c>
      <c r="QUK6" s="31">
        <v>900</v>
      </c>
      <c r="QUL6" s="31">
        <v>900</v>
      </c>
      <c r="QUM6" s="31">
        <v>900</v>
      </c>
      <c r="QUN6" s="31">
        <v>900</v>
      </c>
      <c r="QUO6" s="31">
        <v>900</v>
      </c>
      <c r="QUP6" s="31">
        <v>900</v>
      </c>
      <c r="QUQ6" s="31">
        <v>900</v>
      </c>
      <c r="QUR6" s="31">
        <v>900</v>
      </c>
      <c r="QUS6" s="31">
        <v>900</v>
      </c>
      <c r="QUT6" s="31">
        <v>900</v>
      </c>
      <c r="QUU6" s="31">
        <v>900</v>
      </c>
      <c r="QUV6" s="31">
        <v>900</v>
      </c>
      <c r="QUW6" s="31">
        <v>900</v>
      </c>
      <c r="QUX6" s="31">
        <v>900</v>
      </c>
      <c r="QUY6" s="31">
        <v>900</v>
      </c>
      <c r="QUZ6" s="31">
        <v>900</v>
      </c>
      <c r="QVA6" s="31">
        <v>900</v>
      </c>
      <c r="QVB6" s="31">
        <v>900</v>
      </c>
      <c r="QVC6" s="31">
        <v>900</v>
      </c>
      <c r="QVD6" s="31">
        <v>900</v>
      </c>
      <c r="QVE6" s="31">
        <v>900</v>
      </c>
      <c r="QVF6" s="31">
        <v>900</v>
      </c>
      <c r="QVG6" s="31">
        <v>900</v>
      </c>
      <c r="QVH6" s="31">
        <v>900</v>
      </c>
      <c r="QVI6" s="31">
        <v>900</v>
      </c>
      <c r="QVJ6" s="31">
        <v>900</v>
      </c>
      <c r="QVK6" s="31">
        <v>900</v>
      </c>
      <c r="QVL6" s="31">
        <v>900</v>
      </c>
      <c r="QVM6" s="31">
        <v>900</v>
      </c>
      <c r="QVN6" s="31">
        <v>900</v>
      </c>
      <c r="QVO6" s="31">
        <v>900</v>
      </c>
      <c r="QVP6" s="31">
        <v>900</v>
      </c>
      <c r="QVQ6" s="31">
        <v>900</v>
      </c>
      <c r="QVR6" s="31">
        <v>900</v>
      </c>
      <c r="QVS6" s="31">
        <v>900</v>
      </c>
      <c r="QVT6" s="31">
        <v>900</v>
      </c>
      <c r="QVU6" s="31">
        <v>900</v>
      </c>
      <c r="QVV6" s="31">
        <v>900</v>
      </c>
      <c r="QVW6" s="31">
        <v>900</v>
      </c>
      <c r="QVX6" s="31">
        <v>900</v>
      </c>
      <c r="QVY6" s="31">
        <v>900</v>
      </c>
      <c r="QVZ6" s="31">
        <v>900</v>
      </c>
      <c r="QWA6" s="31">
        <v>900</v>
      </c>
      <c r="QWB6" s="31">
        <v>900</v>
      </c>
      <c r="QWC6" s="31">
        <v>900</v>
      </c>
      <c r="QWD6" s="31">
        <v>900</v>
      </c>
      <c r="QWE6" s="31">
        <v>900</v>
      </c>
      <c r="QWF6" s="31">
        <v>900</v>
      </c>
      <c r="QWG6" s="31">
        <v>900</v>
      </c>
      <c r="QWH6" s="31">
        <v>900</v>
      </c>
      <c r="QWI6" s="31">
        <v>900</v>
      </c>
      <c r="QWJ6" s="31">
        <v>900</v>
      </c>
      <c r="QWK6" s="31">
        <v>900</v>
      </c>
      <c r="QWL6" s="31">
        <v>900</v>
      </c>
      <c r="QWM6" s="31">
        <v>900</v>
      </c>
      <c r="QWN6" s="31">
        <v>900</v>
      </c>
      <c r="QWO6" s="31">
        <v>900</v>
      </c>
      <c r="QWP6" s="31">
        <v>900</v>
      </c>
      <c r="QWQ6" s="31">
        <v>900</v>
      </c>
      <c r="QWR6" s="31">
        <v>900</v>
      </c>
      <c r="QWS6" s="31">
        <v>900</v>
      </c>
      <c r="QWT6" s="31">
        <v>900</v>
      </c>
      <c r="QWU6" s="31">
        <v>900</v>
      </c>
      <c r="QWV6" s="31">
        <v>900</v>
      </c>
      <c r="QWW6" s="31">
        <v>900</v>
      </c>
      <c r="QWX6" s="31">
        <v>900</v>
      </c>
      <c r="QWY6" s="31">
        <v>900</v>
      </c>
      <c r="QWZ6" s="31">
        <v>900</v>
      </c>
      <c r="QXA6" s="31">
        <v>900</v>
      </c>
      <c r="QXB6" s="31">
        <v>900</v>
      </c>
      <c r="QXC6" s="31">
        <v>900</v>
      </c>
      <c r="QXD6" s="31">
        <v>900</v>
      </c>
      <c r="QXE6" s="31">
        <v>900</v>
      </c>
      <c r="QXF6" s="31">
        <v>900</v>
      </c>
      <c r="QXG6" s="31">
        <v>900</v>
      </c>
      <c r="QXH6" s="31">
        <v>900</v>
      </c>
      <c r="QXI6" s="31">
        <v>900</v>
      </c>
      <c r="QXJ6" s="31">
        <v>900</v>
      </c>
      <c r="QXK6" s="31">
        <v>900</v>
      </c>
      <c r="QXL6" s="31">
        <v>900</v>
      </c>
      <c r="QXM6" s="31">
        <v>900</v>
      </c>
      <c r="QXN6" s="31">
        <v>900</v>
      </c>
      <c r="QXO6" s="31">
        <v>900</v>
      </c>
      <c r="QXP6" s="31">
        <v>900</v>
      </c>
      <c r="QXQ6" s="31">
        <v>900</v>
      </c>
      <c r="QXR6" s="31">
        <v>900</v>
      </c>
      <c r="QXS6" s="31">
        <v>900</v>
      </c>
      <c r="QXT6" s="31">
        <v>900</v>
      </c>
      <c r="QXU6" s="31">
        <v>900</v>
      </c>
      <c r="QXV6" s="31">
        <v>900</v>
      </c>
      <c r="QXW6" s="31">
        <v>900</v>
      </c>
      <c r="QXX6" s="31">
        <v>900</v>
      </c>
      <c r="QXY6" s="31">
        <v>900</v>
      </c>
      <c r="QXZ6" s="31">
        <v>900</v>
      </c>
      <c r="QYA6" s="31">
        <v>900</v>
      </c>
      <c r="QYB6" s="31">
        <v>900</v>
      </c>
      <c r="QYC6" s="31">
        <v>900</v>
      </c>
      <c r="QYD6" s="31">
        <v>900</v>
      </c>
      <c r="QYE6" s="31">
        <v>900</v>
      </c>
      <c r="QYF6" s="31">
        <v>900</v>
      </c>
      <c r="QYG6" s="31">
        <v>900</v>
      </c>
      <c r="QYH6" s="31">
        <v>900</v>
      </c>
      <c r="QYI6" s="31">
        <v>900</v>
      </c>
      <c r="QYJ6" s="31">
        <v>900</v>
      </c>
      <c r="QYK6" s="31">
        <v>900</v>
      </c>
      <c r="QYL6" s="31">
        <v>900</v>
      </c>
      <c r="QYM6" s="31">
        <v>900</v>
      </c>
      <c r="QYN6" s="31">
        <v>900</v>
      </c>
      <c r="QYO6" s="31">
        <v>900</v>
      </c>
      <c r="QYP6" s="31">
        <v>900</v>
      </c>
      <c r="QYQ6" s="31">
        <v>900</v>
      </c>
      <c r="QYR6" s="31">
        <v>900</v>
      </c>
      <c r="QYS6" s="31">
        <v>900</v>
      </c>
      <c r="QYT6" s="31">
        <v>900</v>
      </c>
      <c r="QYU6" s="31">
        <v>900</v>
      </c>
      <c r="QYV6" s="31">
        <v>900</v>
      </c>
      <c r="QYW6" s="31">
        <v>900</v>
      </c>
      <c r="QYX6" s="31">
        <v>900</v>
      </c>
      <c r="QYY6" s="31">
        <v>900</v>
      </c>
      <c r="QYZ6" s="31">
        <v>900</v>
      </c>
      <c r="QZA6" s="31">
        <v>900</v>
      </c>
      <c r="QZB6" s="31">
        <v>900</v>
      </c>
      <c r="QZC6" s="31">
        <v>900</v>
      </c>
      <c r="QZD6" s="31">
        <v>900</v>
      </c>
      <c r="QZE6" s="31">
        <v>900</v>
      </c>
      <c r="QZF6" s="31">
        <v>900</v>
      </c>
      <c r="QZG6" s="31">
        <v>900</v>
      </c>
      <c r="QZH6" s="31">
        <v>900</v>
      </c>
      <c r="QZI6" s="31">
        <v>900</v>
      </c>
      <c r="QZJ6" s="31">
        <v>900</v>
      </c>
      <c r="QZK6" s="31">
        <v>900</v>
      </c>
      <c r="QZL6" s="31">
        <v>900</v>
      </c>
      <c r="QZM6" s="31">
        <v>900</v>
      </c>
      <c r="QZN6" s="31">
        <v>900</v>
      </c>
      <c r="QZO6" s="31">
        <v>900</v>
      </c>
      <c r="QZP6" s="31">
        <v>900</v>
      </c>
      <c r="QZQ6" s="31">
        <v>900</v>
      </c>
      <c r="QZR6" s="31">
        <v>900</v>
      </c>
      <c r="QZS6" s="31">
        <v>900</v>
      </c>
      <c r="QZT6" s="31">
        <v>900</v>
      </c>
      <c r="QZU6" s="31">
        <v>900</v>
      </c>
      <c r="QZV6" s="31">
        <v>900</v>
      </c>
      <c r="QZW6" s="31">
        <v>900</v>
      </c>
      <c r="QZX6" s="31">
        <v>900</v>
      </c>
      <c r="QZY6" s="31">
        <v>900</v>
      </c>
      <c r="QZZ6" s="31">
        <v>900</v>
      </c>
      <c r="RAA6" s="31">
        <v>900</v>
      </c>
      <c r="RAB6" s="31">
        <v>900</v>
      </c>
      <c r="RAC6" s="31">
        <v>900</v>
      </c>
      <c r="RAD6" s="31">
        <v>900</v>
      </c>
      <c r="RAE6" s="31">
        <v>900</v>
      </c>
      <c r="RAF6" s="31">
        <v>900</v>
      </c>
      <c r="RAG6" s="31">
        <v>900</v>
      </c>
      <c r="RAH6" s="31">
        <v>900</v>
      </c>
      <c r="RAI6" s="31">
        <v>900</v>
      </c>
      <c r="RAJ6" s="31">
        <v>900</v>
      </c>
      <c r="RAK6" s="31">
        <v>900</v>
      </c>
      <c r="RAL6" s="31">
        <v>900</v>
      </c>
      <c r="RAM6" s="31">
        <v>900</v>
      </c>
      <c r="RAN6" s="31">
        <v>900</v>
      </c>
      <c r="RAO6" s="31">
        <v>900</v>
      </c>
      <c r="RAP6" s="31">
        <v>900</v>
      </c>
      <c r="RAQ6" s="31">
        <v>900</v>
      </c>
      <c r="RAR6" s="31">
        <v>900</v>
      </c>
      <c r="RAS6" s="31">
        <v>900</v>
      </c>
      <c r="RAT6" s="31">
        <v>900</v>
      </c>
      <c r="RAU6" s="31">
        <v>900</v>
      </c>
      <c r="RAV6" s="31">
        <v>900</v>
      </c>
      <c r="RAW6" s="31">
        <v>900</v>
      </c>
      <c r="RAX6" s="31">
        <v>900</v>
      </c>
      <c r="RAY6" s="31">
        <v>900</v>
      </c>
      <c r="RAZ6" s="31">
        <v>900</v>
      </c>
      <c r="RBA6" s="31">
        <v>900</v>
      </c>
      <c r="RBB6" s="31">
        <v>900</v>
      </c>
      <c r="RBC6" s="31">
        <v>900</v>
      </c>
      <c r="RBD6" s="31">
        <v>900</v>
      </c>
      <c r="RBE6" s="31">
        <v>900</v>
      </c>
      <c r="RBF6" s="31">
        <v>900</v>
      </c>
      <c r="RBG6" s="31">
        <v>900</v>
      </c>
      <c r="RBH6" s="31">
        <v>900</v>
      </c>
      <c r="RBI6" s="31">
        <v>900</v>
      </c>
      <c r="RBJ6" s="31">
        <v>900</v>
      </c>
      <c r="RBK6" s="31">
        <v>900</v>
      </c>
      <c r="RBL6" s="31">
        <v>900</v>
      </c>
      <c r="RBM6" s="31">
        <v>900</v>
      </c>
      <c r="RBN6" s="31">
        <v>900</v>
      </c>
      <c r="RBO6" s="31">
        <v>900</v>
      </c>
      <c r="RBP6" s="31">
        <v>900</v>
      </c>
      <c r="RBQ6" s="31">
        <v>900</v>
      </c>
      <c r="RBR6" s="31">
        <v>900</v>
      </c>
      <c r="RBS6" s="31">
        <v>900</v>
      </c>
      <c r="RBT6" s="31">
        <v>900</v>
      </c>
      <c r="RBU6" s="31">
        <v>900</v>
      </c>
      <c r="RBV6" s="31">
        <v>900</v>
      </c>
      <c r="RBW6" s="31">
        <v>900</v>
      </c>
      <c r="RBX6" s="31">
        <v>900</v>
      </c>
      <c r="RBY6" s="31">
        <v>900</v>
      </c>
      <c r="RBZ6" s="31">
        <v>900</v>
      </c>
      <c r="RCA6" s="31">
        <v>900</v>
      </c>
      <c r="RCB6" s="31">
        <v>900</v>
      </c>
      <c r="RCC6" s="31">
        <v>900</v>
      </c>
      <c r="RCD6" s="31">
        <v>900</v>
      </c>
      <c r="RCE6" s="31">
        <v>900</v>
      </c>
      <c r="RCF6" s="31">
        <v>900</v>
      </c>
      <c r="RCG6" s="31">
        <v>900</v>
      </c>
      <c r="RCH6" s="31">
        <v>900</v>
      </c>
      <c r="RCI6" s="31">
        <v>900</v>
      </c>
      <c r="RCJ6" s="31">
        <v>900</v>
      </c>
      <c r="RCK6" s="31">
        <v>900</v>
      </c>
      <c r="RCL6" s="31">
        <v>900</v>
      </c>
      <c r="RCM6" s="31">
        <v>900</v>
      </c>
      <c r="RCN6" s="31">
        <v>900</v>
      </c>
      <c r="RCO6" s="31">
        <v>900</v>
      </c>
      <c r="RCP6" s="31">
        <v>900</v>
      </c>
      <c r="RCQ6" s="31">
        <v>900</v>
      </c>
      <c r="RCR6" s="31">
        <v>900</v>
      </c>
      <c r="RCS6" s="31">
        <v>900</v>
      </c>
      <c r="RCT6" s="31">
        <v>900</v>
      </c>
      <c r="RCU6" s="31">
        <v>900</v>
      </c>
      <c r="RCV6" s="31">
        <v>900</v>
      </c>
      <c r="RCW6" s="31">
        <v>900</v>
      </c>
      <c r="RCX6" s="31">
        <v>900</v>
      </c>
      <c r="RCY6" s="31">
        <v>900</v>
      </c>
      <c r="RCZ6" s="31">
        <v>900</v>
      </c>
      <c r="RDA6" s="31">
        <v>900</v>
      </c>
      <c r="RDB6" s="31">
        <v>900</v>
      </c>
      <c r="RDC6" s="31">
        <v>900</v>
      </c>
      <c r="RDD6" s="31">
        <v>900</v>
      </c>
      <c r="RDE6" s="31">
        <v>900</v>
      </c>
      <c r="RDF6" s="31">
        <v>900</v>
      </c>
      <c r="RDG6" s="31">
        <v>900</v>
      </c>
      <c r="RDH6" s="31">
        <v>900</v>
      </c>
      <c r="RDI6" s="31">
        <v>900</v>
      </c>
      <c r="RDJ6" s="31">
        <v>900</v>
      </c>
      <c r="RDK6" s="31">
        <v>900</v>
      </c>
      <c r="RDL6" s="31">
        <v>900</v>
      </c>
      <c r="RDM6" s="31">
        <v>900</v>
      </c>
      <c r="RDN6" s="31">
        <v>900</v>
      </c>
      <c r="RDO6" s="31">
        <v>900</v>
      </c>
      <c r="RDP6" s="31">
        <v>900</v>
      </c>
      <c r="RDQ6" s="31">
        <v>900</v>
      </c>
      <c r="RDR6" s="31">
        <v>900</v>
      </c>
      <c r="RDS6" s="31">
        <v>900</v>
      </c>
      <c r="RDT6" s="31">
        <v>900</v>
      </c>
      <c r="RDU6" s="31">
        <v>900</v>
      </c>
      <c r="RDV6" s="31">
        <v>900</v>
      </c>
      <c r="RDW6" s="31">
        <v>900</v>
      </c>
      <c r="RDX6" s="31">
        <v>900</v>
      </c>
      <c r="RDY6" s="31">
        <v>900</v>
      </c>
      <c r="RDZ6" s="31">
        <v>900</v>
      </c>
      <c r="REA6" s="31">
        <v>900</v>
      </c>
      <c r="REB6" s="31">
        <v>900</v>
      </c>
      <c r="REC6" s="31">
        <v>900</v>
      </c>
      <c r="RED6" s="31">
        <v>900</v>
      </c>
      <c r="REE6" s="31">
        <v>900</v>
      </c>
      <c r="REF6" s="31">
        <v>900</v>
      </c>
      <c r="REG6" s="31">
        <v>900</v>
      </c>
      <c r="REH6" s="31">
        <v>900</v>
      </c>
      <c r="REI6" s="31">
        <v>900</v>
      </c>
      <c r="REJ6" s="31">
        <v>900</v>
      </c>
      <c r="REK6" s="31">
        <v>900</v>
      </c>
      <c r="REL6" s="31">
        <v>900</v>
      </c>
      <c r="REM6" s="31">
        <v>900</v>
      </c>
      <c r="REN6" s="31">
        <v>900</v>
      </c>
      <c r="REO6" s="31">
        <v>900</v>
      </c>
      <c r="REP6" s="31">
        <v>900</v>
      </c>
      <c r="REQ6" s="31">
        <v>900</v>
      </c>
      <c r="RER6" s="31">
        <v>900</v>
      </c>
      <c r="RES6" s="31">
        <v>900</v>
      </c>
      <c r="RET6" s="31">
        <v>900</v>
      </c>
      <c r="REU6" s="31">
        <v>900</v>
      </c>
      <c r="REV6" s="31">
        <v>900</v>
      </c>
      <c r="REW6" s="31">
        <v>900</v>
      </c>
      <c r="REX6" s="31">
        <v>900</v>
      </c>
      <c r="REY6" s="31">
        <v>900</v>
      </c>
      <c r="REZ6" s="31">
        <v>900</v>
      </c>
      <c r="RFA6" s="31">
        <v>900</v>
      </c>
      <c r="RFB6" s="31">
        <v>900</v>
      </c>
      <c r="RFC6" s="31">
        <v>900</v>
      </c>
      <c r="RFD6" s="31">
        <v>900</v>
      </c>
      <c r="RFE6" s="31">
        <v>900</v>
      </c>
      <c r="RFF6" s="31">
        <v>900</v>
      </c>
      <c r="RFG6" s="31">
        <v>900</v>
      </c>
      <c r="RFH6" s="31">
        <v>900</v>
      </c>
      <c r="RFI6" s="31">
        <v>900</v>
      </c>
      <c r="RFJ6" s="31">
        <v>900</v>
      </c>
      <c r="RFK6" s="31">
        <v>900</v>
      </c>
      <c r="RFL6" s="31">
        <v>900</v>
      </c>
      <c r="RFM6" s="31">
        <v>900</v>
      </c>
      <c r="RFN6" s="31">
        <v>900</v>
      </c>
      <c r="RFO6" s="31">
        <v>900</v>
      </c>
      <c r="RFP6" s="31">
        <v>900</v>
      </c>
      <c r="RFQ6" s="31">
        <v>900</v>
      </c>
      <c r="RFR6" s="31">
        <v>900</v>
      </c>
      <c r="RFS6" s="31">
        <v>900</v>
      </c>
      <c r="RFT6" s="31">
        <v>900</v>
      </c>
      <c r="RFU6" s="31">
        <v>900</v>
      </c>
      <c r="RFV6" s="31">
        <v>900</v>
      </c>
      <c r="RFW6" s="31">
        <v>900</v>
      </c>
      <c r="RFX6" s="31">
        <v>900</v>
      </c>
      <c r="RFY6" s="31">
        <v>900</v>
      </c>
      <c r="RFZ6" s="31">
        <v>900</v>
      </c>
      <c r="RGA6" s="31">
        <v>900</v>
      </c>
      <c r="RGB6" s="31">
        <v>900</v>
      </c>
      <c r="RGC6" s="31">
        <v>900</v>
      </c>
      <c r="RGD6" s="31">
        <v>900</v>
      </c>
      <c r="RGE6" s="31">
        <v>900</v>
      </c>
      <c r="RGF6" s="31">
        <v>900</v>
      </c>
      <c r="RGG6" s="31">
        <v>900</v>
      </c>
      <c r="RGH6" s="31">
        <v>900</v>
      </c>
      <c r="RGI6" s="31">
        <v>900</v>
      </c>
      <c r="RGJ6" s="31">
        <v>900</v>
      </c>
      <c r="RGK6" s="31">
        <v>900</v>
      </c>
      <c r="RGL6" s="31">
        <v>900</v>
      </c>
      <c r="RGM6" s="31">
        <v>900</v>
      </c>
      <c r="RGN6" s="31">
        <v>900</v>
      </c>
      <c r="RGO6" s="31">
        <v>900</v>
      </c>
      <c r="RGP6" s="31">
        <v>900</v>
      </c>
      <c r="RGQ6" s="31">
        <v>900</v>
      </c>
      <c r="RGR6" s="31">
        <v>900</v>
      </c>
      <c r="RGS6" s="31">
        <v>900</v>
      </c>
      <c r="RGT6" s="31">
        <v>900</v>
      </c>
      <c r="RGU6" s="31">
        <v>900</v>
      </c>
      <c r="RGV6" s="31">
        <v>900</v>
      </c>
      <c r="RGW6" s="31">
        <v>900</v>
      </c>
      <c r="RGX6" s="31">
        <v>900</v>
      </c>
      <c r="RGY6" s="31">
        <v>900</v>
      </c>
      <c r="RGZ6" s="31">
        <v>900</v>
      </c>
      <c r="RHA6" s="31">
        <v>900</v>
      </c>
      <c r="RHB6" s="31">
        <v>900</v>
      </c>
      <c r="RHC6" s="31">
        <v>900</v>
      </c>
      <c r="RHD6" s="31">
        <v>900</v>
      </c>
      <c r="RHE6" s="31">
        <v>900</v>
      </c>
      <c r="RHF6" s="31">
        <v>900</v>
      </c>
      <c r="RHG6" s="31">
        <v>900</v>
      </c>
      <c r="RHH6" s="31">
        <v>900</v>
      </c>
      <c r="RHI6" s="31">
        <v>900</v>
      </c>
      <c r="RHJ6" s="31">
        <v>900</v>
      </c>
      <c r="RHK6" s="31">
        <v>900</v>
      </c>
      <c r="RHL6" s="31">
        <v>900</v>
      </c>
      <c r="RHM6" s="31">
        <v>900</v>
      </c>
      <c r="RHN6" s="31">
        <v>900</v>
      </c>
      <c r="RHO6" s="31">
        <v>900</v>
      </c>
      <c r="RHP6" s="31">
        <v>900</v>
      </c>
      <c r="RHQ6" s="31">
        <v>900</v>
      </c>
      <c r="RHR6" s="31">
        <v>900</v>
      </c>
      <c r="RHS6" s="31">
        <v>900</v>
      </c>
      <c r="RHT6" s="31">
        <v>900</v>
      </c>
      <c r="RHU6" s="31">
        <v>900</v>
      </c>
      <c r="RHV6" s="31">
        <v>900</v>
      </c>
      <c r="RHW6" s="31">
        <v>900</v>
      </c>
      <c r="RHX6" s="31">
        <v>900</v>
      </c>
      <c r="RHY6" s="31">
        <v>900</v>
      </c>
      <c r="RHZ6" s="31">
        <v>900</v>
      </c>
      <c r="RIA6" s="31">
        <v>900</v>
      </c>
      <c r="RIB6" s="31">
        <v>900</v>
      </c>
      <c r="RIC6" s="31">
        <v>900</v>
      </c>
      <c r="RID6" s="31">
        <v>900</v>
      </c>
      <c r="RIE6" s="31">
        <v>900</v>
      </c>
      <c r="RIF6" s="31">
        <v>900</v>
      </c>
      <c r="RIG6" s="31">
        <v>900</v>
      </c>
      <c r="RIH6" s="31">
        <v>900</v>
      </c>
      <c r="RII6" s="31">
        <v>900</v>
      </c>
      <c r="RIJ6" s="31">
        <v>900</v>
      </c>
      <c r="RIK6" s="31">
        <v>900</v>
      </c>
      <c r="RIL6" s="31">
        <v>900</v>
      </c>
      <c r="RIM6" s="31">
        <v>900</v>
      </c>
      <c r="RIN6" s="31">
        <v>900</v>
      </c>
      <c r="RIO6" s="31">
        <v>900</v>
      </c>
      <c r="RIP6" s="31">
        <v>900</v>
      </c>
      <c r="RIQ6" s="31">
        <v>900</v>
      </c>
      <c r="RIR6" s="31">
        <v>900</v>
      </c>
      <c r="RIS6" s="31">
        <v>900</v>
      </c>
      <c r="RIT6" s="31">
        <v>900</v>
      </c>
      <c r="RIU6" s="31">
        <v>900</v>
      </c>
      <c r="RIV6" s="31">
        <v>900</v>
      </c>
      <c r="RIW6" s="31">
        <v>900</v>
      </c>
      <c r="RIX6" s="31">
        <v>900</v>
      </c>
      <c r="RIY6" s="31">
        <v>900</v>
      </c>
      <c r="RIZ6" s="31">
        <v>900</v>
      </c>
      <c r="RJA6" s="31">
        <v>900</v>
      </c>
      <c r="RJB6" s="31">
        <v>900</v>
      </c>
      <c r="RJC6" s="31">
        <v>900</v>
      </c>
      <c r="RJD6" s="31">
        <v>900</v>
      </c>
      <c r="RJE6" s="31">
        <v>900</v>
      </c>
      <c r="RJF6" s="31">
        <v>900</v>
      </c>
      <c r="RJG6" s="31">
        <v>900</v>
      </c>
      <c r="RJH6" s="31">
        <v>900</v>
      </c>
      <c r="RJI6" s="31">
        <v>900</v>
      </c>
      <c r="RJJ6" s="31">
        <v>900</v>
      </c>
      <c r="RJK6" s="31">
        <v>900</v>
      </c>
      <c r="RJL6" s="31">
        <v>900</v>
      </c>
      <c r="RJM6" s="31">
        <v>900</v>
      </c>
      <c r="RJN6" s="31">
        <v>900</v>
      </c>
      <c r="RJO6" s="31">
        <v>900</v>
      </c>
      <c r="RJP6" s="31">
        <v>900</v>
      </c>
      <c r="RJQ6" s="31">
        <v>900</v>
      </c>
      <c r="RJR6" s="31">
        <v>900</v>
      </c>
      <c r="RJS6" s="31">
        <v>900</v>
      </c>
      <c r="RJT6" s="31">
        <v>900</v>
      </c>
      <c r="RJU6" s="31">
        <v>900</v>
      </c>
      <c r="RJV6" s="31">
        <v>900</v>
      </c>
      <c r="RJW6" s="31">
        <v>900</v>
      </c>
      <c r="RJX6" s="31">
        <v>900</v>
      </c>
      <c r="RJY6" s="31">
        <v>900</v>
      </c>
      <c r="RJZ6" s="31">
        <v>900</v>
      </c>
      <c r="RKA6" s="31">
        <v>900</v>
      </c>
      <c r="RKB6" s="31">
        <v>900</v>
      </c>
      <c r="RKC6" s="31">
        <v>900</v>
      </c>
      <c r="RKD6" s="31">
        <v>900</v>
      </c>
      <c r="RKE6" s="31">
        <v>900</v>
      </c>
      <c r="RKF6" s="31">
        <v>900</v>
      </c>
      <c r="RKG6" s="31">
        <v>900</v>
      </c>
      <c r="RKH6" s="31">
        <v>900</v>
      </c>
      <c r="RKI6" s="31">
        <v>900</v>
      </c>
      <c r="RKJ6" s="31">
        <v>900</v>
      </c>
      <c r="RKK6" s="31">
        <v>900</v>
      </c>
      <c r="RKL6" s="31">
        <v>900</v>
      </c>
      <c r="RKM6" s="31">
        <v>900</v>
      </c>
      <c r="RKN6" s="31">
        <v>900</v>
      </c>
      <c r="RKO6" s="31">
        <v>900</v>
      </c>
      <c r="RKP6" s="31">
        <v>900</v>
      </c>
      <c r="RKQ6" s="31">
        <v>900</v>
      </c>
      <c r="RKR6" s="31">
        <v>900</v>
      </c>
      <c r="RKS6" s="31">
        <v>900</v>
      </c>
      <c r="RKT6" s="31">
        <v>900</v>
      </c>
      <c r="RKU6" s="31">
        <v>900</v>
      </c>
      <c r="RKV6" s="31">
        <v>900</v>
      </c>
      <c r="RKW6" s="31">
        <v>900</v>
      </c>
      <c r="RKX6" s="31">
        <v>900</v>
      </c>
      <c r="RKY6" s="31">
        <v>900</v>
      </c>
      <c r="RKZ6" s="31">
        <v>900</v>
      </c>
      <c r="RLA6" s="31">
        <v>900</v>
      </c>
      <c r="RLB6" s="31">
        <v>900</v>
      </c>
      <c r="RLC6" s="31">
        <v>900</v>
      </c>
      <c r="RLD6" s="31">
        <v>900</v>
      </c>
      <c r="RLE6" s="31">
        <v>900</v>
      </c>
      <c r="RLF6" s="31">
        <v>900</v>
      </c>
      <c r="RLG6" s="31">
        <v>900</v>
      </c>
      <c r="RLH6" s="31">
        <v>900</v>
      </c>
      <c r="RLI6" s="31">
        <v>900</v>
      </c>
      <c r="RLJ6" s="31">
        <v>900</v>
      </c>
      <c r="RLK6" s="31">
        <v>900</v>
      </c>
      <c r="RLL6" s="31">
        <v>900</v>
      </c>
      <c r="RLM6" s="31">
        <v>900</v>
      </c>
      <c r="RLN6" s="31">
        <v>900</v>
      </c>
      <c r="RLO6" s="31">
        <v>900</v>
      </c>
      <c r="RLP6" s="31">
        <v>900</v>
      </c>
      <c r="RLQ6" s="31">
        <v>900</v>
      </c>
      <c r="RLR6" s="31">
        <v>900</v>
      </c>
      <c r="RLS6" s="31">
        <v>900</v>
      </c>
      <c r="RLT6" s="31">
        <v>900</v>
      </c>
      <c r="RLU6" s="31">
        <v>900</v>
      </c>
      <c r="RLV6" s="31">
        <v>900</v>
      </c>
      <c r="RLW6" s="31">
        <v>900</v>
      </c>
      <c r="RLX6" s="31">
        <v>900</v>
      </c>
      <c r="RLY6" s="31">
        <v>900</v>
      </c>
      <c r="RLZ6" s="31">
        <v>900</v>
      </c>
      <c r="RMA6" s="31">
        <v>900</v>
      </c>
      <c r="RMB6" s="31">
        <v>900</v>
      </c>
      <c r="RMC6" s="31">
        <v>900</v>
      </c>
      <c r="RMD6" s="31">
        <v>900</v>
      </c>
      <c r="RME6" s="31">
        <v>900</v>
      </c>
      <c r="RMF6" s="31">
        <v>900</v>
      </c>
      <c r="RMG6" s="31">
        <v>900</v>
      </c>
      <c r="RMH6" s="31">
        <v>900</v>
      </c>
      <c r="RMI6" s="31">
        <v>900</v>
      </c>
      <c r="RMJ6" s="31">
        <v>900</v>
      </c>
      <c r="RMK6" s="31">
        <v>900</v>
      </c>
      <c r="RML6" s="31">
        <v>900</v>
      </c>
      <c r="RMM6" s="31">
        <v>900</v>
      </c>
      <c r="RMN6" s="31">
        <v>900</v>
      </c>
      <c r="RMO6" s="31">
        <v>900</v>
      </c>
      <c r="RMP6" s="31">
        <v>900</v>
      </c>
      <c r="RMQ6" s="31">
        <v>900</v>
      </c>
      <c r="RMR6" s="31">
        <v>900</v>
      </c>
      <c r="RMS6" s="31">
        <v>900</v>
      </c>
      <c r="RMT6" s="31">
        <v>900</v>
      </c>
      <c r="RMU6" s="31">
        <v>900</v>
      </c>
      <c r="RMV6" s="31">
        <v>900</v>
      </c>
      <c r="RMW6" s="31">
        <v>900</v>
      </c>
      <c r="RMX6" s="31">
        <v>900</v>
      </c>
      <c r="RMY6" s="31">
        <v>900</v>
      </c>
      <c r="RMZ6" s="31">
        <v>900</v>
      </c>
      <c r="RNA6" s="31">
        <v>900</v>
      </c>
      <c r="RNB6" s="31">
        <v>900</v>
      </c>
      <c r="RNC6" s="31">
        <v>900</v>
      </c>
      <c r="RND6" s="31">
        <v>900</v>
      </c>
      <c r="RNE6" s="31">
        <v>900</v>
      </c>
      <c r="RNF6" s="31">
        <v>900</v>
      </c>
      <c r="RNG6" s="31">
        <v>900</v>
      </c>
      <c r="RNH6" s="31">
        <v>900</v>
      </c>
      <c r="RNI6" s="31">
        <v>900</v>
      </c>
      <c r="RNJ6" s="31">
        <v>900</v>
      </c>
      <c r="RNK6" s="31">
        <v>900</v>
      </c>
      <c r="RNL6" s="31">
        <v>900</v>
      </c>
      <c r="RNM6" s="31">
        <v>900</v>
      </c>
      <c r="RNN6" s="31">
        <v>900</v>
      </c>
      <c r="RNO6" s="31">
        <v>900</v>
      </c>
      <c r="RNP6" s="31">
        <v>900</v>
      </c>
      <c r="RNQ6" s="31">
        <v>900</v>
      </c>
      <c r="RNR6" s="31">
        <v>900</v>
      </c>
      <c r="RNS6" s="31">
        <v>900</v>
      </c>
      <c r="RNT6" s="31">
        <v>900</v>
      </c>
      <c r="RNU6" s="31">
        <v>900</v>
      </c>
      <c r="RNV6" s="31">
        <v>900</v>
      </c>
      <c r="RNW6" s="31">
        <v>900</v>
      </c>
      <c r="RNX6" s="31">
        <v>900</v>
      </c>
      <c r="RNY6" s="31">
        <v>900</v>
      </c>
      <c r="RNZ6" s="31">
        <v>900</v>
      </c>
      <c r="ROA6" s="31">
        <v>900</v>
      </c>
      <c r="ROB6" s="31">
        <v>900</v>
      </c>
      <c r="ROC6" s="31">
        <v>900</v>
      </c>
      <c r="ROD6" s="31">
        <v>900</v>
      </c>
      <c r="ROE6" s="31">
        <v>900</v>
      </c>
      <c r="ROF6" s="31">
        <v>900</v>
      </c>
      <c r="ROG6" s="31">
        <v>900</v>
      </c>
      <c r="ROH6" s="31">
        <v>900</v>
      </c>
      <c r="ROI6" s="31">
        <v>900</v>
      </c>
      <c r="ROJ6" s="31">
        <v>900</v>
      </c>
      <c r="ROK6" s="31">
        <v>900</v>
      </c>
      <c r="ROL6" s="31">
        <v>900</v>
      </c>
      <c r="ROM6" s="31">
        <v>900</v>
      </c>
      <c r="RON6" s="31">
        <v>900</v>
      </c>
      <c r="ROO6" s="31">
        <v>900</v>
      </c>
      <c r="ROP6" s="31">
        <v>900</v>
      </c>
      <c r="ROQ6" s="31">
        <v>900</v>
      </c>
      <c r="ROR6" s="31">
        <v>900</v>
      </c>
      <c r="ROS6" s="31">
        <v>900</v>
      </c>
      <c r="ROT6" s="31">
        <v>900</v>
      </c>
      <c r="ROU6" s="31">
        <v>900</v>
      </c>
      <c r="ROV6" s="31">
        <v>900</v>
      </c>
      <c r="ROW6" s="31">
        <v>900</v>
      </c>
      <c r="ROX6" s="31">
        <v>900</v>
      </c>
      <c r="ROY6" s="31">
        <v>900</v>
      </c>
      <c r="ROZ6" s="31">
        <v>900</v>
      </c>
      <c r="RPA6" s="31">
        <v>900</v>
      </c>
      <c r="RPB6" s="31">
        <v>900</v>
      </c>
      <c r="RPC6" s="31">
        <v>900</v>
      </c>
      <c r="RPD6" s="31">
        <v>900</v>
      </c>
      <c r="RPE6" s="31">
        <v>900</v>
      </c>
      <c r="RPF6" s="31">
        <v>900</v>
      </c>
      <c r="RPG6" s="31">
        <v>900</v>
      </c>
      <c r="RPH6" s="31">
        <v>900</v>
      </c>
      <c r="RPI6" s="31">
        <v>900</v>
      </c>
      <c r="RPJ6" s="31">
        <v>900</v>
      </c>
      <c r="RPK6" s="31">
        <v>900</v>
      </c>
      <c r="RPL6" s="31">
        <v>900</v>
      </c>
      <c r="RPM6" s="31">
        <v>900</v>
      </c>
      <c r="RPN6" s="31">
        <v>900</v>
      </c>
      <c r="RPO6" s="31">
        <v>900</v>
      </c>
      <c r="RPP6" s="31">
        <v>900</v>
      </c>
      <c r="RPQ6" s="31">
        <v>900</v>
      </c>
      <c r="RPR6" s="31">
        <v>900</v>
      </c>
      <c r="RPS6" s="31">
        <v>900</v>
      </c>
      <c r="RPT6" s="31">
        <v>900</v>
      </c>
      <c r="RPU6" s="31">
        <v>900</v>
      </c>
      <c r="RPV6" s="31">
        <v>900</v>
      </c>
      <c r="RPW6" s="31">
        <v>900</v>
      </c>
      <c r="RPX6" s="31">
        <v>900</v>
      </c>
      <c r="RPY6" s="31">
        <v>900</v>
      </c>
      <c r="RPZ6" s="31">
        <v>900</v>
      </c>
      <c r="RQA6" s="31">
        <v>900</v>
      </c>
      <c r="RQB6" s="31">
        <v>900</v>
      </c>
      <c r="RQC6" s="31">
        <v>900</v>
      </c>
      <c r="RQD6" s="31">
        <v>900</v>
      </c>
      <c r="RQE6" s="31">
        <v>900</v>
      </c>
      <c r="RQF6" s="31">
        <v>900</v>
      </c>
      <c r="RQG6" s="31">
        <v>900</v>
      </c>
      <c r="RQH6" s="31">
        <v>900</v>
      </c>
      <c r="RQI6" s="31">
        <v>900</v>
      </c>
      <c r="RQJ6" s="31">
        <v>900</v>
      </c>
      <c r="RQK6" s="31">
        <v>900</v>
      </c>
      <c r="RQL6" s="31">
        <v>900</v>
      </c>
      <c r="RQM6" s="31">
        <v>900</v>
      </c>
      <c r="RQN6" s="31">
        <v>900</v>
      </c>
      <c r="RQO6" s="31">
        <v>900</v>
      </c>
      <c r="RQP6" s="31">
        <v>900</v>
      </c>
      <c r="RQQ6" s="31">
        <v>900</v>
      </c>
      <c r="RQR6" s="31">
        <v>900</v>
      </c>
      <c r="RQS6" s="31">
        <v>900</v>
      </c>
      <c r="RQT6" s="31">
        <v>900</v>
      </c>
      <c r="RQU6" s="31">
        <v>900</v>
      </c>
      <c r="RQV6" s="31">
        <v>900</v>
      </c>
      <c r="RQW6" s="31">
        <v>900</v>
      </c>
      <c r="RQX6" s="31">
        <v>900</v>
      </c>
      <c r="RQY6" s="31">
        <v>900</v>
      </c>
      <c r="RQZ6" s="31">
        <v>900</v>
      </c>
      <c r="RRA6" s="31">
        <v>900</v>
      </c>
      <c r="RRB6" s="31">
        <v>900</v>
      </c>
      <c r="RRC6" s="31">
        <v>900</v>
      </c>
      <c r="RRD6" s="31">
        <v>900</v>
      </c>
      <c r="RRE6" s="31">
        <v>900</v>
      </c>
      <c r="RRF6" s="31">
        <v>900</v>
      </c>
      <c r="RRG6" s="31">
        <v>900</v>
      </c>
      <c r="RRH6" s="31">
        <v>900</v>
      </c>
      <c r="RRI6" s="31">
        <v>900</v>
      </c>
      <c r="RRJ6" s="31">
        <v>900</v>
      </c>
      <c r="RRK6" s="31">
        <v>900</v>
      </c>
      <c r="RRL6" s="31">
        <v>900</v>
      </c>
      <c r="RRM6" s="31">
        <v>900</v>
      </c>
      <c r="RRN6" s="31">
        <v>900</v>
      </c>
      <c r="RRO6" s="31">
        <v>900</v>
      </c>
      <c r="RRP6" s="31">
        <v>900</v>
      </c>
      <c r="RRQ6" s="31">
        <v>900</v>
      </c>
      <c r="RRR6" s="31">
        <v>900</v>
      </c>
      <c r="RRS6" s="31">
        <v>900</v>
      </c>
      <c r="RRT6" s="31">
        <v>900</v>
      </c>
      <c r="RRU6" s="31">
        <v>900</v>
      </c>
      <c r="RRV6" s="31">
        <v>900</v>
      </c>
      <c r="RRW6" s="31">
        <v>900</v>
      </c>
      <c r="RRX6" s="31">
        <v>900</v>
      </c>
      <c r="RRY6" s="31">
        <v>900</v>
      </c>
      <c r="RRZ6" s="31">
        <v>900</v>
      </c>
      <c r="RSA6" s="31">
        <v>900</v>
      </c>
      <c r="RSB6" s="31">
        <v>900</v>
      </c>
      <c r="RSC6" s="31">
        <v>900</v>
      </c>
      <c r="RSD6" s="31">
        <v>900</v>
      </c>
      <c r="RSE6" s="31">
        <v>900</v>
      </c>
      <c r="RSF6" s="31">
        <v>900</v>
      </c>
      <c r="RSG6" s="31">
        <v>900</v>
      </c>
      <c r="RSH6" s="31">
        <v>900</v>
      </c>
      <c r="RSI6" s="31">
        <v>900</v>
      </c>
      <c r="RSJ6" s="31">
        <v>900</v>
      </c>
      <c r="RSK6" s="31">
        <v>900</v>
      </c>
      <c r="RSL6" s="31">
        <v>900</v>
      </c>
      <c r="RSM6" s="31">
        <v>900</v>
      </c>
      <c r="RSN6" s="31">
        <v>900</v>
      </c>
      <c r="RSO6" s="31">
        <v>900</v>
      </c>
      <c r="RSP6" s="31">
        <v>900</v>
      </c>
      <c r="RSQ6" s="31">
        <v>900</v>
      </c>
      <c r="RSR6" s="31">
        <v>900</v>
      </c>
      <c r="RSS6" s="31">
        <v>900</v>
      </c>
      <c r="RST6" s="31">
        <v>900</v>
      </c>
      <c r="RSU6" s="31">
        <v>900</v>
      </c>
      <c r="RSV6" s="31">
        <v>900</v>
      </c>
      <c r="RSW6" s="31">
        <v>900</v>
      </c>
      <c r="RSX6" s="31">
        <v>900</v>
      </c>
      <c r="RSY6" s="31">
        <v>900</v>
      </c>
      <c r="RSZ6" s="31">
        <v>900</v>
      </c>
      <c r="RTA6" s="31">
        <v>900</v>
      </c>
      <c r="RTB6" s="31">
        <v>900</v>
      </c>
      <c r="RTC6" s="31">
        <v>900</v>
      </c>
      <c r="RTD6" s="31">
        <v>900</v>
      </c>
      <c r="RTE6" s="31">
        <v>900</v>
      </c>
      <c r="RTF6" s="31">
        <v>900</v>
      </c>
      <c r="RTG6" s="31">
        <v>900</v>
      </c>
      <c r="RTH6" s="31">
        <v>900</v>
      </c>
      <c r="RTI6" s="31">
        <v>900</v>
      </c>
      <c r="RTJ6" s="31">
        <v>900</v>
      </c>
      <c r="RTK6" s="31">
        <v>900</v>
      </c>
      <c r="RTL6" s="31">
        <v>900</v>
      </c>
      <c r="RTM6" s="31">
        <v>900</v>
      </c>
      <c r="RTN6" s="31">
        <v>900</v>
      </c>
      <c r="RTO6" s="31">
        <v>900</v>
      </c>
      <c r="RTP6" s="31">
        <v>900</v>
      </c>
      <c r="RTQ6" s="31">
        <v>900</v>
      </c>
      <c r="RTR6" s="31">
        <v>900</v>
      </c>
      <c r="RTS6" s="31">
        <v>900</v>
      </c>
      <c r="RTT6" s="31">
        <v>900</v>
      </c>
      <c r="RTU6" s="31">
        <v>900</v>
      </c>
      <c r="RTV6" s="31">
        <v>900</v>
      </c>
      <c r="RTW6" s="31">
        <v>900</v>
      </c>
      <c r="RTX6" s="31">
        <v>900</v>
      </c>
      <c r="RTY6" s="31">
        <v>900</v>
      </c>
      <c r="RTZ6" s="31">
        <v>900</v>
      </c>
      <c r="RUA6" s="31">
        <v>900</v>
      </c>
      <c r="RUB6" s="31">
        <v>900</v>
      </c>
      <c r="RUC6" s="31">
        <v>900</v>
      </c>
      <c r="RUD6" s="31">
        <v>900</v>
      </c>
      <c r="RUE6" s="31">
        <v>900</v>
      </c>
      <c r="RUF6" s="31">
        <v>900</v>
      </c>
      <c r="RUG6" s="31">
        <v>900</v>
      </c>
      <c r="RUH6" s="31">
        <v>900</v>
      </c>
      <c r="RUI6" s="31">
        <v>900</v>
      </c>
      <c r="RUJ6" s="31">
        <v>900</v>
      </c>
      <c r="RUK6" s="31">
        <v>900</v>
      </c>
      <c r="RUL6" s="31">
        <v>900</v>
      </c>
      <c r="RUM6" s="31">
        <v>900</v>
      </c>
      <c r="RUN6" s="31">
        <v>900</v>
      </c>
      <c r="RUO6" s="31">
        <v>900</v>
      </c>
      <c r="RUP6" s="31">
        <v>900</v>
      </c>
      <c r="RUQ6" s="31">
        <v>900</v>
      </c>
      <c r="RUR6" s="31">
        <v>900</v>
      </c>
      <c r="RUS6" s="31">
        <v>900</v>
      </c>
      <c r="RUT6" s="31">
        <v>900</v>
      </c>
      <c r="RUU6" s="31">
        <v>900</v>
      </c>
      <c r="RUV6" s="31">
        <v>900</v>
      </c>
      <c r="RUW6" s="31">
        <v>900</v>
      </c>
      <c r="RUX6" s="31">
        <v>900</v>
      </c>
      <c r="RUY6" s="31">
        <v>900</v>
      </c>
      <c r="RUZ6" s="31">
        <v>900</v>
      </c>
      <c r="RVA6" s="31">
        <v>900</v>
      </c>
      <c r="RVB6" s="31">
        <v>900</v>
      </c>
      <c r="RVC6" s="31">
        <v>900</v>
      </c>
      <c r="RVD6" s="31">
        <v>900</v>
      </c>
      <c r="RVE6" s="31">
        <v>900</v>
      </c>
      <c r="RVF6" s="31">
        <v>900</v>
      </c>
      <c r="RVG6" s="31">
        <v>900</v>
      </c>
      <c r="RVH6" s="31">
        <v>900</v>
      </c>
      <c r="RVI6" s="31">
        <v>900</v>
      </c>
      <c r="RVJ6" s="31">
        <v>900</v>
      </c>
      <c r="RVK6" s="31">
        <v>900</v>
      </c>
      <c r="RVL6" s="31">
        <v>900</v>
      </c>
      <c r="RVM6" s="31">
        <v>900</v>
      </c>
      <c r="RVN6" s="31">
        <v>900</v>
      </c>
      <c r="RVO6" s="31">
        <v>900</v>
      </c>
      <c r="RVP6" s="31">
        <v>900</v>
      </c>
      <c r="RVQ6" s="31">
        <v>900</v>
      </c>
      <c r="RVR6" s="31">
        <v>900</v>
      </c>
      <c r="RVS6" s="31">
        <v>900</v>
      </c>
      <c r="RVT6" s="31">
        <v>900</v>
      </c>
      <c r="RVU6" s="31">
        <v>900</v>
      </c>
      <c r="RVV6" s="31">
        <v>900</v>
      </c>
      <c r="RVW6" s="31">
        <v>900</v>
      </c>
      <c r="RVX6" s="31">
        <v>900</v>
      </c>
      <c r="RVY6" s="31">
        <v>900</v>
      </c>
      <c r="RVZ6" s="31">
        <v>900</v>
      </c>
      <c r="RWA6" s="31">
        <v>900</v>
      </c>
      <c r="RWB6" s="31">
        <v>900</v>
      </c>
      <c r="RWC6" s="31">
        <v>900</v>
      </c>
      <c r="RWD6" s="31">
        <v>900</v>
      </c>
      <c r="RWE6" s="31">
        <v>900</v>
      </c>
      <c r="RWF6" s="31">
        <v>900</v>
      </c>
      <c r="RWG6" s="31">
        <v>900</v>
      </c>
      <c r="RWH6" s="31">
        <v>900</v>
      </c>
      <c r="RWI6" s="31">
        <v>900</v>
      </c>
      <c r="RWJ6" s="31">
        <v>900</v>
      </c>
      <c r="RWK6" s="31">
        <v>900</v>
      </c>
      <c r="RWL6" s="31">
        <v>900</v>
      </c>
      <c r="RWM6" s="31">
        <v>900</v>
      </c>
      <c r="RWN6" s="31">
        <v>900</v>
      </c>
      <c r="RWO6" s="31">
        <v>900</v>
      </c>
      <c r="RWP6" s="31">
        <v>900</v>
      </c>
      <c r="RWQ6" s="31">
        <v>900</v>
      </c>
      <c r="RWR6" s="31">
        <v>900</v>
      </c>
      <c r="RWS6" s="31">
        <v>900</v>
      </c>
      <c r="RWT6" s="31">
        <v>900</v>
      </c>
      <c r="RWU6" s="31">
        <v>900</v>
      </c>
      <c r="RWV6" s="31">
        <v>900</v>
      </c>
      <c r="RWW6" s="31">
        <v>900</v>
      </c>
      <c r="RWX6" s="31">
        <v>900</v>
      </c>
      <c r="RWY6" s="31">
        <v>900</v>
      </c>
      <c r="RWZ6" s="31">
        <v>900</v>
      </c>
      <c r="RXA6" s="31">
        <v>900</v>
      </c>
      <c r="RXB6" s="31">
        <v>900</v>
      </c>
      <c r="RXC6" s="31">
        <v>900</v>
      </c>
      <c r="RXD6" s="31">
        <v>900</v>
      </c>
      <c r="RXE6" s="31">
        <v>900</v>
      </c>
      <c r="RXF6" s="31">
        <v>900</v>
      </c>
      <c r="RXG6" s="31">
        <v>900</v>
      </c>
      <c r="RXH6" s="31">
        <v>900</v>
      </c>
      <c r="RXI6" s="31">
        <v>900</v>
      </c>
      <c r="RXJ6" s="31">
        <v>900</v>
      </c>
      <c r="RXK6" s="31">
        <v>900</v>
      </c>
      <c r="RXL6" s="31">
        <v>900</v>
      </c>
      <c r="RXM6" s="31">
        <v>900</v>
      </c>
      <c r="RXN6" s="31">
        <v>900</v>
      </c>
      <c r="RXO6" s="31">
        <v>900</v>
      </c>
      <c r="RXP6" s="31">
        <v>900</v>
      </c>
      <c r="RXQ6" s="31">
        <v>900</v>
      </c>
      <c r="RXR6" s="31">
        <v>900</v>
      </c>
      <c r="RXS6" s="31">
        <v>900</v>
      </c>
      <c r="RXT6" s="31">
        <v>900</v>
      </c>
      <c r="RXU6" s="31">
        <v>900</v>
      </c>
      <c r="RXV6" s="31">
        <v>900</v>
      </c>
      <c r="RXW6" s="31">
        <v>900</v>
      </c>
      <c r="RXX6" s="31">
        <v>900</v>
      </c>
      <c r="RXY6" s="31">
        <v>900</v>
      </c>
      <c r="RXZ6" s="31">
        <v>900</v>
      </c>
      <c r="RYA6" s="31">
        <v>900</v>
      </c>
      <c r="RYB6" s="31">
        <v>900</v>
      </c>
      <c r="RYC6" s="31">
        <v>900</v>
      </c>
      <c r="RYD6" s="31">
        <v>900</v>
      </c>
      <c r="RYE6" s="31">
        <v>900</v>
      </c>
      <c r="RYF6" s="31">
        <v>900</v>
      </c>
      <c r="RYG6" s="31">
        <v>900</v>
      </c>
      <c r="RYH6" s="31">
        <v>900</v>
      </c>
      <c r="RYI6" s="31">
        <v>900</v>
      </c>
      <c r="RYJ6" s="31">
        <v>900</v>
      </c>
      <c r="RYK6" s="31">
        <v>900</v>
      </c>
      <c r="RYL6" s="31">
        <v>900</v>
      </c>
      <c r="RYM6" s="31">
        <v>900</v>
      </c>
      <c r="RYN6" s="31">
        <v>900</v>
      </c>
      <c r="RYO6" s="31">
        <v>900</v>
      </c>
      <c r="RYP6" s="31">
        <v>900</v>
      </c>
      <c r="RYQ6" s="31">
        <v>900</v>
      </c>
      <c r="RYR6" s="31">
        <v>900</v>
      </c>
      <c r="RYS6" s="31">
        <v>900</v>
      </c>
      <c r="RYT6" s="31">
        <v>900</v>
      </c>
      <c r="RYU6" s="31">
        <v>900</v>
      </c>
      <c r="RYV6" s="31">
        <v>900</v>
      </c>
      <c r="RYW6" s="31">
        <v>900</v>
      </c>
      <c r="RYX6" s="31">
        <v>900</v>
      </c>
      <c r="RYY6" s="31">
        <v>900</v>
      </c>
      <c r="RYZ6" s="31">
        <v>900</v>
      </c>
      <c r="RZA6" s="31">
        <v>900</v>
      </c>
      <c r="RZB6" s="31">
        <v>900</v>
      </c>
      <c r="RZC6" s="31">
        <v>900</v>
      </c>
      <c r="RZD6" s="31">
        <v>900</v>
      </c>
      <c r="RZE6" s="31">
        <v>900</v>
      </c>
      <c r="RZF6" s="31">
        <v>900</v>
      </c>
      <c r="RZG6" s="31">
        <v>900</v>
      </c>
      <c r="RZH6" s="31">
        <v>900</v>
      </c>
      <c r="RZI6" s="31">
        <v>900</v>
      </c>
      <c r="RZJ6" s="31">
        <v>900</v>
      </c>
      <c r="RZK6" s="31">
        <v>900</v>
      </c>
      <c r="RZL6" s="31">
        <v>900</v>
      </c>
      <c r="RZM6" s="31">
        <v>900</v>
      </c>
      <c r="RZN6" s="31">
        <v>900</v>
      </c>
      <c r="RZO6" s="31">
        <v>900</v>
      </c>
      <c r="RZP6" s="31">
        <v>900</v>
      </c>
      <c r="RZQ6" s="31">
        <v>900</v>
      </c>
      <c r="RZR6" s="31">
        <v>900</v>
      </c>
      <c r="RZS6" s="31">
        <v>900</v>
      </c>
      <c r="RZT6" s="31">
        <v>900</v>
      </c>
      <c r="RZU6" s="31">
        <v>900</v>
      </c>
      <c r="RZV6" s="31">
        <v>900</v>
      </c>
      <c r="RZW6" s="31">
        <v>900</v>
      </c>
      <c r="RZX6" s="31">
        <v>900</v>
      </c>
      <c r="RZY6" s="31">
        <v>900</v>
      </c>
      <c r="RZZ6" s="31">
        <v>900</v>
      </c>
      <c r="SAA6" s="31">
        <v>900</v>
      </c>
      <c r="SAB6" s="31">
        <v>900</v>
      </c>
      <c r="SAC6" s="31">
        <v>900</v>
      </c>
      <c r="SAD6" s="31">
        <v>900</v>
      </c>
      <c r="SAE6" s="31">
        <v>900</v>
      </c>
      <c r="SAF6" s="31">
        <v>900</v>
      </c>
      <c r="SAG6" s="31">
        <v>900</v>
      </c>
      <c r="SAH6" s="31">
        <v>900</v>
      </c>
      <c r="SAI6" s="31">
        <v>900</v>
      </c>
      <c r="SAJ6" s="31">
        <v>900</v>
      </c>
      <c r="SAK6" s="31">
        <v>900</v>
      </c>
      <c r="SAL6" s="31">
        <v>900</v>
      </c>
      <c r="SAM6" s="31">
        <v>900</v>
      </c>
      <c r="SAN6" s="31">
        <v>900</v>
      </c>
      <c r="SAO6" s="31">
        <v>900</v>
      </c>
      <c r="SAP6" s="31">
        <v>900</v>
      </c>
      <c r="SAQ6" s="31">
        <v>900</v>
      </c>
      <c r="SAR6" s="31">
        <v>900</v>
      </c>
      <c r="SAS6" s="31">
        <v>900</v>
      </c>
      <c r="SAT6" s="31">
        <v>900</v>
      </c>
      <c r="SAU6" s="31">
        <v>900</v>
      </c>
      <c r="SAV6" s="31">
        <v>900</v>
      </c>
      <c r="SAW6" s="31">
        <v>900</v>
      </c>
      <c r="SAX6" s="31">
        <v>900</v>
      </c>
      <c r="SAY6" s="31">
        <v>900</v>
      </c>
      <c r="SAZ6" s="31">
        <v>900</v>
      </c>
      <c r="SBA6" s="31">
        <v>900</v>
      </c>
      <c r="SBB6" s="31">
        <v>900</v>
      </c>
      <c r="SBC6" s="31">
        <v>900</v>
      </c>
      <c r="SBD6" s="31">
        <v>900</v>
      </c>
      <c r="SBE6" s="31">
        <v>900</v>
      </c>
      <c r="SBF6" s="31">
        <v>900</v>
      </c>
      <c r="SBG6" s="31">
        <v>900</v>
      </c>
      <c r="SBH6" s="31">
        <v>900</v>
      </c>
      <c r="SBI6" s="31">
        <v>900</v>
      </c>
      <c r="SBJ6" s="31">
        <v>900</v>
      </c>
      <c r="SBK6" s="31">
        <v>900</v>
      </c>
      <c r="SBL6" s="31">
        <v>900</v>
      </c>
      <c r="SBM6" s="31">
        <v>900</v>
      </c>
      <c r="SBN6" s="31">
        <v>900</v>
      </c>
      <c r="SBO6" s="31">
        <v>900</v>
      </c>
      <c r="SBP6" s="31">
        <v>900</v>
      </c>
      <c r="SBQ6" s="31">
        <v>900</v>
      </c>
      <c r="SBR6" s="31">
        <v>900</v>
      </c>
      <c r="SBS6" s="31">
        <v>900</v>
      </c>
      <c r="SBT6" s="31">
        <v>900</v>
      </c>
      <c r="SBU6" s="31">
        <v>900</v>
      </c>
      <c r="SBV6" s="31">
        <v>900</v>
      </c>
      <c r="SBW6" s="31">
        <v>900</v>
      </c>
      <c r="SBX6" s="31">
        <v>900</v>
      </c>
      <c r="SBY6" s="31">
        <v>900</v>
      </c>
      <c r="SBZ6" s="31">
        <v>900</v>
      </c>
      <c r="SCA6" s="31">
        <v>900</v>
      </c>
      <c r="SCB6" s="31">
        <v>900</v>
      </c>
      <c r="SCC6" s="31">
        <v>900</v>
      </c>
      <c r="SCD6" s="31">
        <v>900</v>
      </c>
      <c r="SCE6" s="31">
        <v>900</v>
      </c>
      <c r="SCF6" s="31">
        <v>900</v>
      </c>
      <c r="SCG6" s="31">
        <v>900</v>
      </c>
      <c r="SCH6" s="31">
        <v>900</v>
      </c>
      <c r="SCI6" s="31">
        <v>900</v>
      </c>
      <c r="SCJ6" s="31">
        <v>900</v>
      </c>
      <c r="SCK6" s="31">
        <v>900</v>
      </c>
      <c r="SCL6" s="31">
        <v>900</v>
      </c>
      <c r="SCM6" s="31">
        <v>900</v>
      </c>
      <c r="SCN6" s="31">
        <v>900</v>
      </c>
      <c r="SCO6" s="31">
        <v>900</v>
      </c>
      <c r="SCP6" s="31">
        <v>900</v>
      </c>
      <c r="SCQ6" s="31">
        <v>900</v>
      </c>
      <c r="SCR6" s="31">
        <v>900</v>
      </c>
      <c r="SCS6" s="31">
        <v>900</v>
      </c>
      <c r="SCT6" s="31">
        <v>900</v>
      </c>
      <c r="SCU6" s="31">
        <v>900</v>
      </c>
      <c r="SCV6" s="31">
        <v>900</v>
      </c>
      <c r="SCW6" s="31">
        <v>900</v>
      </c>
      <c r="SCX6" s="31">
        <v>900</v>
      </c>
      <c r="SCY6" s="31">
        <v>900</v>
      </c>
      <c r="SCZ6" s="31">
        <v>900</v>
      </c>
      <c r="SDA6" s="31">
        <v>900</v>
      </c>
      <c r="SDB6" s="31">
        <v>900</v>
      </c>
      <c r="SDC6" s="31">
        <v>900</v>
      </c>
      <c r="SDD6" s="31">
        <v>900</v>
      </c>
      <c r="SDE6" s="31">
        <v>900</v>
      </c>
      <c r="SDF6" s="31">
        <v>900</v>
      </c>
      <c r="SDG6" s="31">
        <v>900</v>
      </c>
      <c r="SDH6" s="31">
        <v>900</v>
      </c>
      <c r="SDI6" s="31">
        <v>900</v>
      </c>
      <c r="SDJ6" s="31">
        <v>900</v>
      </c>
      <c r="SDK6" s="31">
        <v>900</v>
      </c>
      <c r="SDL6" s="31">
        <v>900</v>
      </c>
      <c r="SDM6" s="31">
        <v>900</v>
      </c>
      <c r="SDN6" s="31">
        <v>900</v>
      </c>
      <c r="SDO6" s="31">
        <v>900</v>
      </c>
      <c r="SDP6" s="31">
        <v>900</v>
      </c>
      <c r="SDQ6" s="31">
        <v>900</v>
      </c>
      <c r="SDR6" s="31">
        <v>900</v>
      </c>
      <c r="SDS6" s="31">
        <v>900</v>
      </c>
      <c r="SDT6" s="31">
        <v>900</v>
      </c>
      <c r="SDU6" s="31">
        <v>900</v>
      </c>
      <c r="SDV6" s="31">
        <v>900</v>
      </c>
      <c r="SDW6" s="31">
        <v>900</v>
      </c>
      <c r="SDX6" s="31">
        <v>900</v>
      </c>
      <c r="SDY6" s="31">
        <v>900</v>
      </c>
      <c r="SDZ6" s="31">
        <v>900</v>
      </c>
      <c r="SEA6" s="31">
        <v>900</v>
      </c>
      <c r="SEB6" s="31">
        <v>900</v>
      </c>
      <c r="SEC6" s="31">
        <v>900</v>
      </c>
      <c r="SED6" s="31">
        <v>900</v>
      </c>
      <c r="SEE6" s="31">
        <v>900</v>
      </c>
      <c r="SEF6" s="31">
        <v>900</v>
      </c>
      <c r="SEG6" s="31">
        <v>900</v>
      </c>
      <c r="SEH6" s="31">
        <v>900</v>
      </c>
      <c r="SEI6" s="31">
        <v>900</v>
      </c>
      <c r="SEJ6" s="31">
        <v>900</v>
      </c>
      <c r="SEK6" s="31">
        <v>900</v>
      </c>
      <c r="SEL6" s="31">
        <v>900</v>
      </c>
      <c r="SEM6" s="31">
        <v>900</v>
      </c>
      <c r="SEN6" s="31">
        <v>900</v>
      </c>
      <c r="SEO6" s="31">
        <v>900</v>
      </c>
      <c r="SEP6" s="31">
        <v>900</v>
      </c>
      <c r="SEQ6" s="31">
        <v>900</v>
      </c>
      <c r="SER6" s="31">
        <v>900</v>
      </c>
      <c r="SES6" s="31">
        <v>900</v>
      </c>
      <c r="SET6" s="31">
        <v>900</v>
      </c>
      <c r="SEU6" s="31">
        <v>900</v>
      </c>
      <c r="SEV6" s="31">
        <v>900</v>
      </c>
      <c r="SEW6" s="31">
        <v>900</v>
      </c>
      <c r="SEX6" s="31">
        <v>900</v>
      </c>
      <c r="SEY6" s="31">
        <v>900</v>
      </c>
      <c r="SEZ6" s="31">
        <v>900</v>
      </c>
      <c r="SFA6" s="31">
        <v>900</v>
      </c>
      <c r="SFB6" s="31">
        <v>900</v>
      </c>
      <c r="SFC6" s="31">
        <v>900</v>
      </c>
      <c r="SFD6" s="31">
        <v>900</v>
      </c>
      <c r="SFE6" s="31">
        <v>900</v>
      </c>
      <c r="SFF6" s="31">
        <v>900</v>
      </c>
      <c r="SFG6" s="31">
        <v>900</v>
      </c>
      <c r="SFH6" s="31">
        <v>900</v>
      </c>
      <c r="SFI6" s="31">
        <v>900</v>
      </c>
      <c r="SFJ6" s="31">
        <v>900</v>
      </c>
      <c r="SFK6" s="31">
        <v>900</v>
      </c>
      <c r="SFL6" s="31">
        <v>900</v>
      </c>
      <c r="SFM6" s="31">
        <v>900</v>
      </c>
      <c r="SFN6" s="31">
        <v>900</v>
      </c>
      <c r="SFO6" s="31">
        <v>900</v>
      </c>
      <c r="SFP6" s="31">
        <v>900</v>
      </c>
      <c r="SFQ6" s="31">
        <v>900</v>
      </c>
      <c r="SFR6" s="31">
        <v>900</v>
      </c>
      <c r="SFS6" s="31">
        <v>900</v>
      </c>
      <c r="SFT6" s="31">
        <v>900</v>
      </c>
      <c r="SFU6" s="31">
        <v>900</v>
      </c>
      <c r="SFV6" s="31">
        <v>900</v>
      </c>
      <c r="SFW6" s="31">
        <v>900</v>
      </c>
      <c r="SFX6" s="31">
        <v>900</v>
      </c>
      <c r="SFY6" s="31">
        <v>900</v>
      </c>
      <c r="SFZ6" s="31">
        <v>900</v>
      </c>
      <c r="SGA6" s="31">
        <v>900</v>
      </c>
      <c r="SGB6" s="31">
        <v>900</v>
      </c>
      <c r="SGC6" s="31">
        <v>900</v>
      </c>
      <c r="SGD6" s="31">
        <v>900</v>
      </c>
      <c r="SGE6" s="31">
        <v>900</v>
      </c>
      <c r="SGF6" s="31">
        <v>900</v>
      </c>
      <c r="SGG6" s="31">
        <v>900</v>
      </c>
      <c r="SGH6" s="31">
        <v>900</v>
      </c>
      <c r="SGI6" s="31">
        <v>900</v>
      </c>
      <c r="SGJ6" s="31">
        <v>900</v>
      </c>
      <c r="SGK6" s="31">
        <v>900</v>
      </c>
      <c r="SGL6" s="31">
        <v>900</v>
      </c>
      <c r="SGM6" s="31">
        <v>900</v>
      </c>
      <c r="SGN6" s="31">
        <v>900</v>
      </c>
      <c r="SGO6" s="31">
        <v>900</v>
      </c>
      <c r="SGP6" s="31">
        <v>900</v>
      </c>
      <c r="SGQ6" s="31">
        <v>900</v>
      </c>
      <c r="SGR6" s="31">
        <v>900</v>
      </c>
      <c r="SGS6" s="31">
        <v>900</v>
      </c>
      <c r="SGT6" s="31">
        <v>900</v>
      </c>
      <c r="SGU6" s="31">
        <v>900</v>
      </c>
      <c r="SGV6" s="31">
        <v>900</v>
      </c>
      <c r="SGW6" s="31">
        <v>900</v>
      </c>
      <c r="SGX6" s="31">
        <v>900</v>
      </c>
      <c r="SGY6" s="31">
        <v>900</v>
      </c>
      <c r="SGZ6" s="31">
        <v>900</v>
      </c>
      <c r="SHA6" s="31">
        <v>900</v>
      </c>
      <c r="SHB6" s="31">
        <v>900</v>
      </c>
      <c r="SHC6" s="31">
        <v>900</v>
      </c>
      <c r="SHD6" s="31">
        <v>900</v>
      </c>
      <c r="SHE6" s="31">
        <v>900</v>
      </c>
      <c r="SHF6" s="31">
        <v>900</v>
      </c>
      <c r="SHG6" s="31">
        <v>900</v>
      </c>
      <c r="SHH6" s="31">
        <v>900</v>
      </c>
      <c r="SHI6" s="31">
        <v>900</v>
      </c>
      <c r="SHJ6" s="31">
        <v>900</v>
      </c>
      <c r="SHK6" s="31">
        <v>900</v>
      </c>
      <c r="SHL6" s="31">
        <v>900</v>
      </c>
      <c r="SHM6" s="31">
        <v>900</v>
      </c>
      <c r="SHN6" s="31">
        <v>900</v>
      </c>
      <c r="SHO6" s="31">
        <v>900</v>
      </c>
      <c r="SHP6" s="31">
        <v>900</v>
      </c>
      <c r="SHQ6" s="31">
        <v>900</v>
      </c>
      <c r="SHR6" s="31">
        <v>900</v>
      </c>
      <c r="SHS6" s="31">
        <v>900</v>
      </c>
      <c r="SHT6" s="31">
        <v>900</v>
      </c>
      <c r="SHU6" s="31">
        <v>900</v>
      </c>
      <c r="SHV6" s="31">
        <v>900</v>
      </c>
      <c r="SHW6" s="31">
        <v>900</v>
      </c>
      <c r="SHX6" s="31">
        <v>900</v>
      </c>
      <c r="SHY6" s="31">
        <v>900</v>
      </c>
      <c r="SHZ6" s="31">
        <v>900</v>
      </c>
      <c r="SIA6" s="31">
        <v>900</v>
      </c>
      <c r="SIB6" s="31">
        <v>900</v>
      </c>
      <c r="SIC6" s="31">
        <v>900</v>
      </c>
      <c r="SID6" s="31">
        <v>900</v>
      </c>
      <c r="SIE6" s="31">
        <v>900</v>
      </c>
      <c r="SIF6" s="31">
        <v>900</v>
      </c>
      <c r="SIG6" s="31">
        <v>900</v>
      </c>
      <c r="SIH6" s="31">
        <v>900</v>
      </c>
      <c r="SII6" s="31">
        <v>900</v>
      </c>
      <c r="SIJ6" s="31">
        <v>900</v>
      </c>
      <c r="SIK6" s="31">
        <v>900</v>
      </c>
      <c r="SIL6" s="31">
        <v>900</v>
      </c>
      <c r="SIM6" s="31">
        <v>900</v>
      </c>
      <c r="SIN6" s="31">
        <v>900</v>
      </c>
      <c r="SIO6" s="31">
        <v>900</v>
      </c>
      <c r="SIP6" s="31">
        <v>900</v>
      </c>
      <c r="SIQ6" s="31">
        <v>900</v>
      </c>
      <c r="SIR6" s="31">
        <v>900</v>
      </c>
      <c r="SIS6" s="31">
        <v>900</v>
      </c>
      <c r="SIT6" s="31">
        <v>900</v>
      </c>
      <c r="SIU6" s="31">
        <v>900</v>
      </c>
      <c r="SIV6" s="31">
        <v>900</v>
      </c>
      <c r="SIW6" s="31">
        <v>900</v>
      </c>
      <c r="SIX6" s="31">
        <v>900</v>
      </c>
      <c r="SIY6" s="31">
        <v>900</v>
      </c>
      <c r="SIZ6" s="31">
        <v>900</v>
      </c>
      <c r="SJA6" s="31">
        <v>900</v>
      </c>
      <c r="SJB6" s="31">
        <v>900</v>
      </c>
      <c r="SJC6" s="31">
        <v>900</v>
      </c>
      <c r="SJD6" s="31">
        <v>900</v>
      </c>
      <c r="SJE6" s="31">
        <v>900</v>
      </c>
      <c r="SJF6" s="31">
        <v>900</v>
      </c>
      <c r="SJG6" s="31">
        <v>900</v>
      </c>
      <c r="SJH6" s="31">
        <v>900</v>
      </c>
      <c r="SJI6" s="31">
        <v>900</v>
      </c>
      <c r="SJJ6" s="31">
        <v>900</v>
      </c>
      <c r="SJK6" s="31">
        <v>900</v>
      </c>
      <c r="SJL6" s="31">
        <v>900</v>
      </c>
      <c r="SJM6" s="31">
        <v>900</v>
      </c>
      <c r="SJN6" s="31">
        <v>900</v>
      </c>
      <c r="SJO6" s="31">
        <v>900</v>
      </c>
      <c r="SJP6" s="31">
        <v>900</v>
      </c>
      <c r="SJQ6" s="31">
        <v>900</v>
      </c>
      <c r="SJR6" s="31">
        <v>900</v>
      </c>
      <c r="SJS6" s="31">
        <v>900</v>
      </c>
      <c r="SJT6" s="31">
        <v>900</v>
      </c>
      <c r="SJU6" s="31">
        <v>900</v>
      </c>
      <c r="SJV6" s="31">
        <v>900</v>
      </c>
      <c r="SJW6" s="31">
        <v>900</v>
      </c>
      <c r="SJX6" s="31">
        <v>900</v>
      </c>
      <c r="SJY6" s="31">
        <v>900</v>
      </c>
      <c r="SJZ6" s="31">
        <v>900</v>
      </c>
      <c r="SKA6" s="31">
        <v>900</v>
      </c>
      <c r="SKB6" s="31">
        <v>900</v>
      </c>
      <c r="SKC6" s="31">
        <v>900</v>
      </c>
      <c r="SKD6" s="31">
        <v>900</v>
      </c>
      <c r="SKE6" s="31">
        <v>900</v>
      </c>
      <c r="SKF6" s="31">
        <v>900</v>
      </c>
      <c r="SKG6" s="31">
        <v>900</v>
      </c>
      <c r="SKH6" s="31">
        <v>900</v>
      </c>
      <c r="SKI6" s="31">
        <v>900</v>
      </c>
      <c r="SKJ6" s="31">
        <v>900</v>
      </c>
      <c r="SKK6" s="31">
        <v>900</v>
      </c>
      <c r="SKL6" s="31">
        <v>900</v>
      </c>
      <c r="SKM6" s="31">
        <v>900</v>
      </c>
      <c r="SKN6" s="31">
        <v>900</v>
      </c>
      <c r="SKO6" s="31">
        <v>900</v>
      </c>
      <c r="SKP6" s="31">
        <v>900</v>
      </c>
      <c r="SKQ6" s="31">
        <v>900</v>
      </c>
      <c r="SKR6" s="31">
        <v>900</v>
      </c>
      <c r="SKS6" s="31">
        <v>900</v>
      </c>
      <c r="SKT6" s="31">
        <v>900</v>
      </c>
      <c r="SKU6" s="31">
        <v>900</v>
      </c>
      <c r="SKV6" s="31">
        <v>900</v>
      </c>
      <c r="SKW6" s="31">
        <v>900</v>
      </c>
      <c r="SKX6" s="31">
        <v>900</v>
      </c>
      <c r="SKY6" s="31">
        <v>900</v>
      </c>
      <c r="SKZ6" s="31">
        <v>900</v>
      </c>
      <c r="SLA6" s="31">
        <v>900</v>
      </c>
      <c r="SLB6" s="31">
        <v>900</v>
      </c>
      <c r="SLC6" s="31">
        <v>900</v>
      </c>
      <c r="SLD6" s="31">
        <v>900</v>
      </c>
      <c r="SLE6" s="31">
        <v>900</v>
      </c>
      <c r="SLF6" s="31">
        <v>900</v>
      </c>
      <c r="SLG6" s="31">
        <v>900</v>
      </c>
      <c r="SLH6" s="31">
        <v>900</v>
      </c>
      <c r="SLI6" s="31">
        <v>900</v>
      </c>
      <c r="SLJ6" s="31">
        <v>900</v>
      </c>
      <c r="SLK6" s="31">
        <v>900</v>
      </c>
      <c r="SLL6" s="31">
        <v>900</v>
      </c>
      <c r="SLM6" s="31">
        <v>900</v>
      </c>
      <c r="SLN6" s="31">
        <v>900</v>
      </c>
      <c r="SLO6" s="31">
        <v>900</v>
      </c>
      <c r="SLP6" s="31">
        <v>900</v>
      </c>
      <c r="SLQ6" s="31">
        <v>900</v>
      </c>
      <c r="SLR6" s="31">
        <v>900</v>
      </c>
      <c r="SLS6" s="31">
        <v>900</v>
      </c>
      <c r="SLT6" s="31">
        <v>900</v>
      </c>
      <c r="SLU6" s="31">
        <v>900</v>
      </c>
      <c r="SLV6" s="31">
        <v>900</v>
      </c>
      <c r="SLW6" s="31">
        <v>900</v>
      </c>
      <c r="SLX6" s="31">
        <v>900</v>
      </c>
      <c r="SLY6" s="31">
        <v>900</v>
      </c>
      <c r="SLZ6" s="31">
        <v>900</v>
      </c>
      <c r="SMA6" s="31">
        <v>900</v>
      </c>
      <c r="SMB6" s="31">
        <v>900</v>
      </c>
      <c r="SMC6" s="31">
        <v>900</v>
      </c>
      <c r="SMD6" s="31">
        <v>900</v>
      </c>
      <c r="SME6" s="31">
        <v>900</v>
      </c>
      <c r="SMF6" s="31">
        <v>900</v>
      </c>
      <c r="SMG6" s="31">
        <v>900</v>
      </c>
      <c r="SMH6" s="31">
        <v>900</v>
      </c>
      <c r="SMI6" s="31">
        <v>900</v>
      </c>
      <c r="SMJ6" s="31">
        <v>900</v>
      </c>
      <c r="SMK6" s="31">
        <v>900</v>
      </c>
      <c r="SML6" s="31">
        <v>900</v>
      </c>
      <c r="SMM6" s="31">
        <v>900</v>
      </c>
      <c r="SMN6" s="31">
        <v>900</v>
      </c>
      <c r="SMO6" s="31">
        <v>900</v>
      </c>
      <c r="SMP6" s="31">
        <v>900</v>
      </c>
      <c r="SMQ6" s="31">
        <v>900</v>
      </c>
      <c r="SMR6" s="31">
        <v>900</v>
      </c>
      <c r="SMS6" s="31">
        <v>900</v>
      </c>
      <c r="SMT6" s="31">
        <v>900</v>
      </c>
      <c r="SMU6" s="31">
        <v>900</v>
      </c>
      <c r="SMV6" s="31">
        <v>900</v>
      </c>
      <c r="SMW6" s="31">
        <v>900</v>
      </c>
      <c r="SMX6" s="31">
        <v>900</v>
      </c>
      <c r="SMY6" s="31">
        <v>900</v>
      </c>
      <c r="SMZ6" s="31">
        <v>900</v>
      </c>
      <c r="SNA6" s="31">
        <v>900</v>
      </c>
      <c r="SNB6" s="31">
        <v>900</v>
      </c>
      <c r="SNC6" s="31">
        <v>900</v>
      </c>
      <c r="SND6" s="31">
        <v>900</v>
      </c>
      <c r="SNE6" s="31">
        <v>900</v>
      </c>
      <c r="SNF6" s="31">
        <v>900</v>
      </c>
      <c r="SNG6" s="31">
        <v>900</v>
      </c>
      <c r="SNH6" s="31">
        <v>900</v>
      </c>
      <c r="SNI6" s="31">
        <v>900</v>
      </c>
      <c r="SNJ6" s="31">
        <v>900</v>
      </c>
      <c r="SNK6" s="31">
        <v>900</v>
      </c>
      <c r="SNL6" s="31">
        <v>900</v>
      </c>
      <c r="SNM6" s="31">
        <v>900</v>
      </c>
      <c r="SNN6" s="31">
        <v>900</v>
      </c>
      <c r="SNO6" s="31">
        <v>900</v>
      </c>
      <c r="SNP6" s="31">
        <v>900</v>
      </c>
      <c r="SNQ6" s="31">
        <v>900</v>
      </c>
      <c r="SNR6" s="31">
        <v>900</v>
      </c>
      <c r="SNS6" s="31">
        <v>900</v>
      </c>
      <c r="SNT6" s="31">
        <v>900</v>
      </c>
      <c r="SNU6" s="31">
        <v>900</v>
      </c>
      <c r="SNV6" s="31">
        <v>900</v>
      </c>
      <c r="SNW6" s="31">
        <v>900</v>
      </c>
      <c r="SNX6" s="31">
        <v>900</v>
      </c>
      <c r="SNY6" s="31">
        <v>900</v>
      </c>
      <c r="SNZ6" s="31">
        <v>900</v>
      </c>
      <c r="SOA6" s="31">
        <v>900</v>
      </c>
      <c r="SOB6" s="31">
        <v>900</v>
      </c>
      <c r="SOC6" s="31">
        <v>900</v>
      </c>
      <c r="SOD6" s="31">
        <v>900</v>
      </c>
      <c r="SOE6" s="31">
        <v>900</v>
      </c>
      <c r="SOF6" s="31">
        <v>900</v>
      </c>
      <c r="SOG6" s="31">
        <v>900</v>
      </c>
      <c r="SOH6" s="31">
        <v>900</v>
      </c>
      <c r="SOI6" s="31">
        <v>900</v>
      </c>
      <c r="SOJ6" s="31">
        <v>900</v>
      </c>
      <c r="SOK6" s="31">
        <v>900</v>
      </c>
      <c r="SOL6" s="31">
        <v>900</v>
      </c>
      <c r="SOM6" s="31">
        <v>900</v>
      </c>
      <c r="SON6" s="31">
        <v>900</v>
      </c>
      <c r="SOO6" s="31">
        <v>900</v>
      </c>
      <c r="SOP6" s="31">
        <v>900</v>
      </c>
      <c r="SOQ6" s="31">
        <v>900</v>
      </c>
      <c r="SOR6" s="31">
        <v>900</v>
      </c>
      <c r="SOS6" s="31">
        <v>900</v>
      </c>
      <c r="SOT6" s="31">
        <v>900</v>
      </c>
      <c r="SOU6" s="31">
        <v>900</v>
      </c>
      <c r="SOV6" s="31">
        <v>900</v>
      </c>
      <c r="SOW6" s="31">
        <v>900</v>
      </c>
      <c r="SOX6" s="31">
        <v>900</v>
      </c>
      <c r="SOY6" s="31">
        <v>900</v>
      </c>
      <c r="SOZ6" s="31">
        <v>900</v>
      </c>
      <c r="SPA6" s="31">
        <v>900</v>
      </c>
      <c r="SPB6" s="31">
        <v>900</v>
      </c>
      <c r="SPC6" s="31">
        <v>900</v>
      </c>
      <c r="SPD6" s="31">
        <v>900</v>
      </c>
      <c r="SPE6" s="31">
        <v>900</v>
      </c>
      <c r="SPF6" s="31">
        <v>900</v>
      </c>
      <c r="SPG6" s="31">
        <v>900</v>
      </c>
      <c r="SPH6" s="31">
        <v>900</v>
      </c>
      <c r="SPI6" s="31">
        <v>900</v>
      </c>
      <c r="SPJ6" s="31">
        <v>900</v>
      </c>
      <c r="SPK6" s="31">
        <v>900</v>
      </c>
      <c r="SPL6" s="31">
        <v>900</v>
      </c>
      <c r="SPM6" s="31">
        <v>900</v>
      </c>
      <c r="SPN6" s="31">
        <v>900</v>
      </c>
      <c r="SPO6" s="31">
        <v>900</v>
      </c>
      <c r="SPP6" s="31">
        <v>900</v>
      </c>
      <c r="SPQ6" s="31">
        <v>900</v>
      </c>
      <c r="SPR6" s="31">
        <v>900</v>
      </c>
      <c r="SPS6" s="31">
        <v>900</v>
      </c>
      <c r="SPT6" s="31">
        <v>900</v>
      </c>
      <c r="SPU6" s="31">
        <v>900</v>
      </c>
      <c r="SPV6" s="31">
        <v>900</v>
      </c>
      <c r="SPW6" s="31">
        <v>900</v>
      </c>
      <c r="SPX6" s="31">
        <v>900</v>
      </c>
      <c r="SPY6" s="31">
        <v>900</v>
      </c>
      <c r="SPZ6" s="31">
        <v>900</v>
      </c>
      <c r="SQA6" s="31">
        <v>900</v>
      </c>
      <c r="SQB6" s="31">
        <v>900</v>
      </c>
      <c r="SQC6" s="31">
        <v>900</v>
      </c>
      <c r="SQD6" s="31">
        <v>900</v>
      </c>
      <c r="SQE6" s="31">
        <v>900</v>
      </c>
      <c r="SQF6" s="31">
        <v>900</v>
      </c>
      <c r="SQG6" s="31">
        <v>900</v>
      </c>
      <c r="SQH6" s="31">
        <v>900</v>
      </c>
      <c r="SQI6" s="31">
        <v>900</v>
      </c>
      <c r="SQJ6" s="31">
        <v>900</v>
      </c>
      <c r="SQK6" s="31">
        <v>900</v>
      </c>
      <c r="SQL6" s="31">
        <v>900</v>
      </c>
      <c r="SQM6" s="31">
        <v>900</v>
      </c>
      <c r="SQN6" s="31">
        <v>900</v>
      </c>
      <c r="SQO6" s="31">
        <v>900</v>
      </c>
      <c r="SQP6" s="31">
        <v>900</v>
      </c>
      <c r="SQQ6" s="31">
        <v>900</v>
      </c>
      <c r="SQR6" s="31">
        <v>900</v>
      </c>
      <c r="SQS6" s="31">
        <v>900</v>
      </c>
      <c r="SQT6" s="31">
        <v>900</v>
      </c>
      <c r="SQU6" s="31">
        <v>900</v>
      </c>
      <c r="SQV6" s="31">
        <v>900</v>
      </c>
      <c r="SQW6" s="31">
        <v>900</v>
      </c>
      <c r="SQX6" s="31">
        <v>900</v>
      </c>
      <c r="SQY6" s="31">
        <v>900</v>
      </c>
      <c r="SQZ6" s="31">
        <v>900</v>
      </c>
      <c r="SRA6" s="31">
        <v>900</v>
      </c>
      <c r="SRB6" s="31">
        <v>900</v>
      </c>
      <c r="SRC6" s="31">
        <v>900</v>
      </c>
      <c r="SRD6" s="31">
        <v>900</v>
      </c>
      <c r="SRE6" s="31">
        <v>900</v>
      </c>
      <c r="SRF6" s="31">
        <v>900</v>
      </c>
      <c r="SRG6" s="31">
        <v>900</v>
      </c>
      <c r="SRH6" s="31">
        <v>900</v>
      </c>
      <c r="SRI6" s="31">
        <v>900</v>
      </c>
      <c r="SRJ6" s="31">
        <v>900</v>
      </c>
      <c r="SRK6" s="31">
        <v>900</v>
      </c>
      <c r="SRL6" s="31">
        <v>900</v>
      </c>
      <c r="SRM6" s="31">
        <v>900</v>
      </c>
      <c r="SRN6" s="31">
        <v>900</v>
      </c>
      <c r="SRO6" s="31">
        <v>900</v>
      </c>
      <c r="SRP6" s="31">
        <v>900</v>
      </c>
      <c r="SRQ6" s="31">
        <v>900</v>
      </c>
      <c r="SRR6" s="31">
        <v>900</v>
      </c>
      <c r="SRS6" s="31">
        <v>900</v>
      </c>
      <c r="SRT6" s="31">
        <v>900</v>
      </c>
      <c r="SRU6" s="31">
        <v>900</v>
      </c>
      <c r="SRV6" s="31">
        <v>900</v>
      </c>
      <c r="SRW6" s="31">
        <v>900</v>
      </c>
      <c r="SRX6" s="31">
        <v>900</v>
      </c>
      <c r="SRY6" s="31">
        <v>900</v>
      </c>
      <c r="SRZ6" s="31">
        <v>900</v>
      </c>
      <c r="SSA6" s="31">
        <v>900</v>
      </c>
      <c r="SSB6" s="31">
        <v>900</v>
      </c>
      <c r="SSC6" s="31">
        <v>900</v>
      </c>
      <c r="SSD6" s="31">
        <v>900</v>
      </c>
      <c r="SSE6" s="31">
        <v>900</v>
      </c>
      <c r="SSF6" s="31">
        <v>900</v>
      </c>
      <c r="SSG6" s="31">
        <v>900</v>
      </c>
      <c r="SSH6" s="31">
        <v>900</v>
      </c>
      <c r="SSI6" s="31">
        <v>900</v>
      </c>
      <c r="SSJ6" s="31">
        <v>900</v>
      </c>
      <c r="SSK6" s="31">
        <v>900</v>
      </c>
      <c r="SSL6" s="31">
        <v>900</v>
      </c>
      <c r="SSM6" s="31">
        <v>900</v>
      </c>
      <c r="SSN6" s="31">
        <v>900</v>
      </c>
      <c r="SSO6" s="31">
        <v>900</v>
      </c>
      <c r="SSP6" s="31">
        <v>900</v>
      </c>
      <c r="SSQ6" s="31">
        <v>900</v>
      </c>
      <c r="SSR6" s="31">
        <v>900</v>
      </c>
      <c r="SSS6" s="31">
        <v>900</v>
      </c>
      <c r="SST6" s="31">
        <v>900</v>
      </c>
      <c r="SSU6" s="31">
        <v>900</v>
      </c>
      <c r="SSV6" s="31">
        <v>900</v>
      </c>
      <c r="SSW6" s="31">
        <v>900</v>
      </c>
      <c r="SSX6" s="31">
        <v>900</v>
      </c>
      <c r="SSY6" s="31">
        <v>900</v>
      </c>
      <c r="SSZ6" s="31">
        <v>900</v>
      </c>
      <c r="STA6" s="31">
        <v>900</v>
      </c>
      <c r="STB6" s="31">
        <v>900</v>
      </c>
      <c r="STC6" s="31">
        <v>900</v>
      </c>
      <c r="STD6" s="31">
        <v>900</v>
      </c>
      <c r="STE6" s="31">
        <v>900</v>
      </c>
      <c r="STF6" s="31">
        <v>900</v>
      </c>
      <c r="STG6" s="31">
        <v>900</v>
      </c>
      <c r="STH6" s="31">
        <v>900</v>
      </c>
      <c r="STI6" s="31">
        <v>900</v>
      </c>
      <c r="STJ6" s="31">
        <v>900</v>
      </c>
      <c r="STK6" s="31">
        <v>900</v>
      </c>
      <c r="STL6" s="31">
        <v>900</v>
      </c>
      <c r="STM6" s="31">
        <v>900</v>
      </c>
      <c r="STN6" s="31">
        <v>900</v>
      </c>
      <c r="STO6" s="31">
        <v>900</v>
      </c>
      <c r="STP6" s="31">
        <v>900</v>
      </c>
      <c r="STQ6" s="31">
        <v>900</v>
      </c>
      <c r="STR6" s="31">
        <v>900</v>
      </c>
      <c r="STS6" s="31">
        <v>900</v>
      </c>
      <c r="STT6" s="31">
        <v>900</v>
      </c>
      <c r="STU6" s="31">
        <v>900</v>
      </c>
      <c r="STV6" s="31">
        <v>900</v>
      </c>
      <c r="STW6" s="31">
        <v>900</v>
      </c>
      <c r="STX6" s="31">
        <v>900</v>
      </c>
      <c r="STY6" s="31">
        <v>900</v>
      </c>
      <c r="STZ6" s="31">
        <v>900</v>
      </c>
      <c r="SUA6" s="31">
        <v>900</v>
      </c>
      <c r="SUB6" s="31">
        <v>900</v>
      </c>
      <c r="SUC6" s="31">
        <v>900</v>
      </c>
      <c r="SUD6" s="31">
        <v>900</v>
      </c>
      <c r="SUE6" s="31">
        <v>900</v>
      </c>
      <c r="SUF6" s="31">
        <v>900</v>
      </c>
      <c r="SUG6" s="31">
        <v>900</v>
      </c>
      <c r="SUH6" s="31">
        <v>900</v>
      </c>
      <c r="SUI6" s="31">
        <v>900</v>
      </c>
      <c r="SUJ6" s="31">
        <v>900</v>
      </c>
      <c r="SUK6" s="31">
        <v>900</v>
      </c>
      <c r="SUL6" s="31">
        <v>900</v>
      </c>
      <c r="SUM6" s="31">
        <v>900</v>
      </c>
      <c r="SUN6" s="31">
        <v>900</v>
      </c>
      <c r="SUO6" s="31">
        <v>900</v>
      </c>
      <c r="SUP6" s="31">
        <v>900</v>
      </c>
      <c r="SUQ6" s="31">
        <v>900</v>
      </c>
      <c r="SUR6" s="31">
        <v>900</v>
      </c>
      <c r="SUS6" s="31">
        <v>900</v>
      </c>
      <c r="SUT6" s="31">
        <v>900</v>
      </c>
      <c r="SUU6" s="31">
        <v>900</v>
      </c>
      <c r="SUV6" s="31">
        <v>900</v>
      </c>
      <c r="SUW6" s="31">
        <v>900</v>
      </c>
      <c r="SUX6" s="31">
        <v>900</v>
      </c>
      <c r="SUY6" s="31">
        <v>900</v>
      </c>
      <c r="SUZ6" s="31">
        <v>900</v>
      </c>
      <c r="SVA6" s="31">
        <v>900</v>
      </c>
      <c r="SVB6" s="31">
        <v>900</v>
      </c>
      <c r="SVC6" s="31">
        <v>900</v>
      </c>
      <c r="SVD6" s="31">
        <v>900</v>
      </c>
      <c r="SVE6" s="31">
        <v>900</v>
      </c>
      <c r="SVF6" s="31">
        <v>900</v>
      </c>
      <c r="SVG6" s="31">
        <v>900</v>
      </c>
      <c r="SVH6" s="31">
        <v>900</v>
      </c>
      <c r="SVI6" s="31">
        <v>900</v>
      </c>
      <c r="SVJ6" s="31">
        <v>900</v>
      </c>
      <c r="SVK6" s="31">
        <v>900</v>
      </c>
      <c r="SVL6" s="31">
        <v>900</v>
      </c>
      <c r="SVM6" s="31">
        <v>900</v>
      </c>
      <c r="SVN6" s="31">
        <v>900</v>
      </c>
      <c r="SVO6" s="31">
        <v>900</v>
      </c>
      <c r="SVP6" s="31">
        <v>900</v>
      </c>
      <c r="SVQ6" s="31">
        <v>900</v>
      </c>
      <c r="SVR6" s="31">
        <v>900</v>
      </c>
      <c r="SVS6" s="31">
        <v>900</v>
      </c>
      <c r="SVT6" s="31">
        <v>900</v>
      </c>
      <c r="SVU6" s="31">
        <v>900</v>
      </c>
      <c r="SVV6" s="31">
        <v>900</v>
      </c>
      <c r="SVW6" s="31">
        <v>900</v>
      </c>
      <c r="SVX6" s="31">
        <v>900</v>
      </c>
      <c r="SVY6" s="31">
        <v>900</v>
      </c>
      <c r="SVZ6" s="31">
        <v>900</v>
      </c>
      <c r="SWA6" s="31">
        <v>900</v>
      </c>
      <c r="SWB6" s="31">
        <v>900</v>
      </c>
      <c r="SWC6" s="31">
        <v>900</v>
      </c>
      <c r="SWD6" s="31">
        <v>900</v>
      </c>
      <c r="SWE6" s="31">
        <v>900</v>
      </c>
      <c r="SWF6" s="31">
        <v>900</v>
      </c>
      <c r="SWG6" s="31">
        <v>900</v>
      </c>
      <c r="SWH6" s="31">
        <v>900</v>
      </c>
      <c r="SWI6" s="31">
        <v>900</v>
      </c>
      <c r="SWJ6" s="31">
        <v>900</v>
      </c>
      <c r="SWK6" s="31">
        <v>900</v>
      </c>
      <c r="SWL6" s="31">
        <v>900</v>
      </c>
      <c r="SWM6" s="31">
        <v>900</v>
      </c>
      <c r="SWN6" s="31">
        <v>900</v>
      </c>
      <c r="SWO6" s="31">
        <v>900</v>
      </c>
      <c r="SWP6" s="31">
        <v>900</v>
      </c>
      <c r="SWQ6" s="31">
        <v>900</v>
      </c>
      <c r="SWR6" s="31">
        <v>900</v>
      </c>
      <c r="SWS6" s="31">
        <v>900</v>
      </c>
      <c r="SWT6" s="31">
        <v>900</v>
      </c>
      <c r="SWU6" s="31">
        <v>900</v>
      </c>
      <c r="SWV6" s="31">
        <v>900</v>
      </c>
      <c r="SWW6" s="31">
        <v>900</v>
      </c>
      <c r="SWX6" s="31">
        <v>900</v>
      </c>
      <c r="SWY6" s="31">
        <v>900</v>
      </c>
      <c r="SWZ6" s="31">
        <v>900</v>
      </c>
      <c r="SXA6" s="31">
        <v>900</v>
      </c>
      <c r="SXB6" s="31">
        <v>900</v>
      </c>
      <c r="SXC6" s="31">
        <v>900</v>
      </c>
      <c r="SXD6" s="31">
        <v>900</v>
      </c>
      <c r="SXE6" s="31">
        <v>900</v>
      </c>
      <c r="SXF6" s="31">
        <v>900</v>
      </c>
      <c r="SXG6" s="31">
        <v>900</v>
      </c>
      <c r="SXH6" s="31">
        <v>900</v>
      </c>
      <c r="SXI6" s="31">
        <v>900</v>
      </c>
      <c r="SXJ6" s="31">
        <v>900</v>
      </c>
      <c r="SXK6" s="31">
        <v>900</v>
      </c>
      <c r="SXL6" s="31">
        <v>900</v>
      </c>
      <c r="SXM6" s="31">
        <v>900</v>
      </c>
      <c r="SXN6" s="31">
        <v>900</v>
      </c>
      <c r="SXO6" s="31">
        <v>900</v>
      </c>
      <c r="SXP6" s="31">
        <v>900</v>
      </c>
      <c r="SXQ6" s="31">
        <v>900</v>
      </c>
      <c r="SXR6" s="31">
        <v>900</v>
      </c>
      <c r="SXS6" s="31">
        <v>900</v>
      </c>
      <c r="SXT6" s="31">
        <v>900</v>
      </c>
      <c r="SXU6" s="31">
        <v>900</v>
      </c>
      <c r="SXV6" s="31">
        <v>900</v>
      </c>
      <c r="SXW6" s="31">
        <v>900</v>
      </c>
      <c r="SXX6" s="31">
        <v>900</v>
      </c>
      <c r="SXY6" s="31">
        <v>900</v>
      </c>
      <c r="SXZ6" s="31">
        <v>900</v>
      </c>
      <c r="SYA6" s="31">
        <v>900</v>
      </c>
      <c r="SYB6" s="31">
        <v>900</v>
      </c>
      <c r="SYC6" s="31">
        <v>900</v>
      </c>
      <c r="SYD6" s="31">
        <v>900</v>
      </c>
      <c r="SYE6" s="31">
        <v>900</v>
      </c>
      <c r="SYF6" s="31">
        <v>900</v>
      </c>
      <c r="SYG6" s="31">
        <v>900</v>
      </c>
      <c r="SYH6" s="31">
        <v>900</v>
      </c>
      <c r="SYI6" s="31">
        <v>900</v>
      </c>
      <c r="SYJ6" s="31">
        <v>900</v>
      </c>
      <c r="SYK6" s="31">
        <v>900</v>
      </c>
      <c r="SYL6" s="31">
        <v>900</v>
      </c>
      <c r="SYM6" s="31">
        <v>900</v>
      </c>
      <c r="SYN6" s="31">
        <v>900</v>
      </c>
      <c r="SYO6" s="31">
        <v>900</v>
      </c>
      <c r="SYP6" s="31">
        <v>900</v>
      </c>
      <c r="SYQ6" s="31">
        <v>900</v>
      </c>
      <c r="SYR6" s="31">
        <v>900</v>
      </c>
      <c r="SYS6" s="31">
        <v>900</v>
      </c>
      <c r="SYT6" s="31">
        <v>900</v>
      </c>
      <c r="SYU6" s="31">
        <v>900</v>
      </c>
      <c r="SYV6" s="31">
        <v>900</v>
      </c>
      <c r="SYW6" s="31">
        <v>900</v>
      </c>
      <c r="SYX6" s="31">
        <v>900</v>
      </c>
      <c r="SYY6" s="31">
        <v>900</v>
      </c>
      <c r="SYZ6" s="31">
        <v>900</v>
      </c>
      <c r="SZA6" s="31">
        <v>900</v>
      </c>
      <c r="SZB6" s="31">
        <v>900</v>
      </c>
      <c r="SZC6" s="31">
        <v>900</v>
      </c>
      <c r="SZD6" s="31">
        <v>900</v>
      </c>
      <c r="SZE6" s="31">
        <v>900</v>
      </c>
      <c r="SZF6" s="31">
        <v>900</v>
      </c>
      <c r="SZG6" s="31">
        <v>900</v>
      </c>
      <c r="SZH6" s="31">
        <v>900</v>
      </c>
      <c r="SZI6" s="31">
        <v>900</v>
      </c>
      <c r="SZJ6" s="31">
        <v>900</v>
      </c>
      <c r="SZK6" s="31">
        <v>900</v>
      </c>
      <c r="SZL6" s="31">
        <v>900</v>
      </c>
      <c r="SZM6" s="31">
        <v>900</v>
      </c>
      <c r="SZN6" s="31">
        <v>900</v>
      </c>
      <c r="SZO6" s="31">
        <v>900</v>
      </c>
      <c r="SZP6" s="31">
        <v>900</v>
      </c>
      <c r="SZQ6" s="31">
        <v>900</v>
      </c>
      <c r="SZR6" s="31">
        <v>900</v>
      </c>
      <c r="SZS6" s="31">
        <v>900</v>
      </c>
      <c r="SZT6" s="31">
        <v>900</v>
      </c>
      <c r="SZU6" s="31">
        <v>900</v>
      </c>
      <c r="SZV6" s="31">
        <v>900</v>
      </c>
      <c r="SZW6" s="31">
        <v>900</v>
      </c>
      <c r="SZX6" s="31">
        <v>900</v>
      </c>
      <c r="SZY6" s="31">
        <v>900</v>
      </c>
      <c r="SZZ6" s="31">
        <v>900</v>
      </c>
      <c r="TAA6" s="31">
        <v>900</v>
      </c>
      <c r="TAB6" s="31">
        <v>900</v>
      </c>
      <c r="TAC6" s="31">
        <v>900</v>
      </c>
      <c r="TAD6" s="31">
        <v>900</v>
      </c>
      <c r="TAE6" s="31">
        <v>900</v>
      </c>
      <c r="TAF6" s="31">
        <v>900</v>
      </c>
      <c r="TAG6" s="31">
        <v>900</v>
      </c>
      <c r="TAH6" s="31">
        <v>900</v>
      </c>
      <c r="TAI6" s="31">
        <v>900</v>
      </c>
      <c r="TAJ6" s="31">
        <v>900</v>
      </c>
      <c r="TAK6" s="31">
        <v>900</v>
      </c>
      <c r="TAL6" s="31">
        <v>900</v>
      </c>
      <c r="TAM6" s="31">
        <v>900</v>
      </c>
      <c r="TAN6" s="31">
        <v>900</v>
      </c>
      <c r="TAO6" s="31">
        <v>900</v>
      </c>
      <c r="TAP6" s="31">
        <v>900</v>
      </c>
      <c r="TAQ6" s="31">
        <v>900</v>
      </c>
      <c r="TAR6" s="31">
        <v>900</v>
      </c>
      <c r="TAS6" s="31">
        <v>900</v>
      </c>
      <c r="TAT6" s="31">
        <v>900</v>
      </c>
      <c r="TAU6" s="31">
        <v>900</v>
      </c>
      <c r="TAV6" s="31">
        <v>900</v>
      </c>
      <c r="TAW6" s="31">
        <v>900</v>
      </c>
      <c r="TAX6" s="31">
        <v>900</v>
      </c>
      <c r="TAY6" s="31">
        <v>900</v>
      </c>
      <c r="TAZ6" s="31">
        <v>900</v>
      </c>
      <c r="TBA6" s="31">
        <v>900</v>
      </c>
      <c r="TBB6" s="31">
        <v>900</v>
      </c>
      <c r="TBC6" s="31">
        <v>900</v>
      </c>
      <c r="TBD6" s="31">
        <v>900</v>
      </c>
      <c r="TBE6" s="31">
        <v>900</v>
      </c>
      <c r="TBF6" s="31">
        <v>900</v>
      </c>
      <c r="TBG6" s="31">
        <v>900</v>
      </c>
      <c r="TBH6" s="31">
        <v>900</v>
      </c>
      <c r="TBI6" s="31">
        <v>900</v>
      </c>
      <c r="TBJ6" s="31">
        <v>900</v>
      </c>
      <c r="TBK6" s="31">
        <v>900</v>
      </c>
      <c r="TBL6" s="31">
        <v>900</v>
      </c>
      <c r="TBM6" s="31">
        <v>900</v>
      </c>
      <c r="TBN6" s="31">
        <v>900</v>
      </c>
      <c r="TBO6" s="31">
        <v>900</v>
      </c>
      <c r="TBP6" s="31">
        <v>900</v>
      </c>
      <c r="TBQ6" s="31">
        <v>900</v>
      </c>
      <c r="TBR6" s="31">
        <v>900</v>
      </c>
      <c r="TBS6" s="31">
        <v>900</v>
      </c>
      <c r="TBT6" s="31">
        <v>900</v>
      </c>
      <c r="TBU6" s="31">
        <v>900</v>
      </c>
      <c r="TBV6" s="31">
        <v>900</v>
      </c>
      <c r="TBW6" s="31">
        <v>900</v>
      </c>
      <c r="TBX6" s="31">
        <v>900</v>
      </c>
      <c r="TBY6" s="31">
        <v>900</v>
      </c>
      <c r="TBZ6" s="31">
        <v>900</v>
      </c>
      <c r="TCA6" s="31">
        <v>900</v>
      </c>
      <c r="TCB6" s="31">
        <v>900</v>
      </c>
      <c r="TCC6" s="31">
        <v>900</v>
      </c>
      <c r="TCD6" s="31">
        <v>900</v>
      </c>
      <c r="TCE6" s="31">
        <v>900</v>
      </c>
      <c r="TCF6" s="31">
        <v>900</v>
      </c>
      <c r="TCG6" s="31">
        <v>900</v>
      </c>
      <c r="TCH6" s="31">
        <v>900</v>
      </c>
      <c r="TCI6" s="31">
        <v>900</v>
      </c>
      <c r="TCJ6" s="31">
        <v>900</v>
      </c>
      <c r="TCK6" s="31">
        <v>900</v>
      </c>
      <c r="TCL6" s="31">
        <v>900</v>
      </c>
      <c r="TCM6" s="31">
        <v>900</v>
      </c>
      <c r="TCN6" s="31">
        <v>900</v>
      </c>
      <c r="TCO6" s="31">
        <v>900</v>
      </c>
      <c r="TCP6" s="31">
        <v>900</v>
      </c>
      <c r="TCQ6" s="31">
        <v>900</v>
      </c>
      <c r="TCR6" s="31">
        <v>900</v>
      </c>
      <c r="TCS6" s="31">
        <v>900</v>
      </c>
      <c r="TCT6" s="31">
        <v>900</v>
      </c>
      <c r="TCU6" s="31">
        <v>900</v>
      </c>
      <c r="TCV6" s="31">
        <v>900</v>
      </c>
      <c r="TCW6" s="31">
        <v>900</v>
      </c>
      <c r="TCX6" s="31">
        <v>900</v>
      </c>
      <c r="TCY6" s="31">
        <v>900</v>
      </c>
      <c r="TCZ6" s="31">
        <v>900</v>
      </c>
      <c r="TDA6" s="31">
        <v>900</v>
      </c>
      <c r="TDB6" s="31">
        <v>900</v>
      </c>
      <c r="TDC6" s="31">
        <v>900</v>
      </c>
      <c r="TDD6" s="31">
        <v>900</v>
      </c>
      <c r="TDE6" s="31">
        <v>900</v>
      </c>
      <c r="TDF6" s="31">
        <v>900</v>
      </c>
      <c r="TDG6" s="31">
        <v>900</v>
      </c>
      <c r="TDH6" s="31">
        <v>900</v>
      </c>
      <c r="TDI6" s="31">
        <v>900</v>
      </c>
      <c r="TDJ6" s="31">
        <v>900</v>
      </c>
      <c r="TDK6" s="31">
        <v>900</v>
      </c>
      <c r="TDL6" s="31">
        <v>900</v>
      </c>
      <c r="TDM6" s="31">
        <v>900</v>
      </c>
      <c r="TDN6" s="31">
        <v>900</v>
      </c>
      <c r="TDO6" s="31">
        <v>900</v>
      </c>
      <c r="TDP6" s="31">
        <v>900</v>
      </c>
      <c r="TDQ6" s="31">
        <v>900</v>
      </c>
      <c r="TDR6" s="31">
        <v>900</v>
      </c>
      <c r="TDS6" s="31">
        <v>900</v>
      </c>
      <c r="TDT6" s="31">
        <v>900</v>
      </c>
      <c r="TDU6" s="31">
        <v>900</v>
      </c>
      <c r="TDV6" s="31">
        <v>900</v>
      </c>
      <c r="TDW6" s="31">
        <v>900</v>
      </c>
      <c r="TDX6" s="31">
        <v>900</v>
      </c>
      <c r="TDY6" s="31">
        <v>900</v>
      </c>
      <c r="TDZ6" s="31">
        <v>900</v>
      </c>
      <c r="TEA6" s="31">
        <v>900</v>
      </c>
      <c r="TEB6" s="31">
        <v>900</v>
      </c>
      <c r="TEC6" s="31">
        <v>900</v>
      </c>
      <c r="TED6" s="31">
        <v>900</v>
      </c>
      <c r="TEE6" s="31">
        <v>900</v>
      </c>
      <c r="TEF6" s="31">
        <v>900</v>
      </c>
      <c r="TEG6" s="31">
        <v>900</v>
      </c>
      <c r="TEH6" s="31">
        <v>900</v>
      </c>
      <c r="TEI6" s="31">
        <v>900</v>
      </c>
      <c r="TEJ6" s="31">
        <v>900</v>
      </c>
      <c r="TEK6" s="31">
        <v>900</v>
      </c>
      <c r="TEL6" s="31">
        <v>900</v>
      </c>
      <c r="TEM6" s="31">
        <v>900</v>
      </c>
      <c r="TEN6" s="31">
        <v>900</v>
      </c>
      <c r="TEO6" s="31">
        <v>900</v>
      </c>
      <c r="TEP6" s="31">
        <v>900</v>
      </c>
      <c r="TEQ6" s="31">
        <v>900</v>
      </c>
      <c r="TER6" s="31">
        <v>900</v>
      </c>
      <c r="TES6" s="31">
        <v>900</v>
      </c>
      <c r="TET6" s="31">
        <v>900</v>
      </c>
      <c r="TEU6" s="31">
        <v>900</v>
      </c>
      <c r="TEV6" s="31">
        <v>900</v>
      </c>
      <c r="TEW6" s="31">
        <v>900</v>
      </c>
      <c r="TEX6" s="31">
        <v>900</v>
      </c>
      <c r="TEY6" s="31">
        <v>900</v>
      </c>
      <c r="TEZ6" s="31">
        <v>900</v>
      </c>
      <c r="TFA6" s="31">
        <v>900</v>
      </c>
      <c r="TFB6" s="31">
        <v>900</v>
      </c>
      <c r="TFC6" s="31">
        <v>900</v>
      </c>
      <c r="TFD6" s="31">
        <v>900</v>
      </c>
      <c r="TFE6" s="31">
        <v>900</v>
      </c>
      <c r="TFF6" s="31">
        <v>900</v>
      </c>
      <c r="TFG6" s="31">
        <v>900</v>
      </c>
      <c r="TFH6" s="31">
        <v>900</v>
      </c>
      <c r="TFI6" s="31">
        <v>900</v>
      </c>
      <c r="TFJ6" s="31">
        <v>900</v>
      </c>
      <c r="TFK6" s="31">
        <v>900</v>
      </c>
      <c r="TFL6" s="31">
        <v>900</v>
      </c>
      <c r="TFM6" s="31">
        <v>900</v>
      </c>
      <c r="TFN6" s="31">
        <v>900</v>
      </c>
      <c r="TFO6" s="31">
        <v>900</v>
      </c>
      <c r="TFP6" s="31">
        <v>900</v>
      </c>
      <c r="TFQ6" s="31">
        <v>900</v>
      </c>
      <c r="TFR6" s="31">
        <v>900</v>
      </c>
      <c r="TFS6" s="31">
        <v>900</v>
      </c>
      <c r="TFT6" s="31">
        <v>900</v>
      </c>
      <c r="TFU6" s="31">
        <v>900</v>
      </c>
      <c r="TFV6" s="31">
        <v>900</v>
      </c>
      <c r="TFW6" s="31">
        <v>900</v>
      </c>
      <c r="TFX6" s="31">
        <v>900</v>
      </c>
      <c r="TFY6" s="31">
        <v>900</v>
      </c>
      <c r="TFZ6" s="31">
        <v>900</v>
      </c>
      <c r="TGA6" s="31">
        <v>900</v>
      </c>
      <c r="TGB6" s="31">
        <v>900</v>
      </c>
      <c r="TGC6" s="31">
        <v>900</v>
      </c>
      <c r="TGD6" s="31">
        <v>900</v>
      </c>
      <c r="TGE6" s="31">
        <v>900</v>
      </c>
      <c r="TGF6" s="31">
        <v>900</v>
      </c>
      <c r="TGG6" s="31">
        <v>900</v>
      </c>
      <c r="TGH6" s="31">
        <v>900</v>
      </c>
      <c r="TGI6" s="31">
        <v>900</v>
      </c>
      <c r="TGJ6" s="31">
        <v>900</v>
      </c>
      <c r="TGK6" s="31">
        <v>900</v>
      </c>
      <c r="TGL6" s="31">
        <v>900</v>
      </c>
      <c r="TGM6" s="31">
        <v>900</v>
      </c>
      <c r="TGN6" s="31">
        <v>900</v>
      </c>
      <c r="TGO6" s="31">
        <v>900</v>
      </c>
      <c r="TGP6" s="31">
        <v>900</v>
      </c>
      <c r="TGQ6" s="31">
        <v>900</v>
      </c>
      <c r="TGR6" s="31">
        <v>900</v>
      </c>
      <c r="TGS6" s="31">
        <v>900</v>
      </c>
      <c r="TGT6" s="31">
        <v>900</v>
      </c>
      <c r="TGU6" s="31">
        <v>900</v>
      </c>
      <c r="TGV6" s="31">
        <v>900</v>
      </c>
      <c r="TGW6" s="31">
        <v>900</v>
      </c>
      <c r="TGX6" s="31">
        <v>900</v>
      </c>
      <c r="TGY6" s="31">
        <v>900</v>
      </c>
      <c r="TGZ6" s="31">
        <v>900</v>
      </c>
      <c r="THA6" s="31">
        <v>900</v>
      </c>
      <c r="THB6" s="31">
        <v>900</v>
      </c>
      <c r="THC6" s="31">
        <v>900</v>
      </c>
      <c r="THD6" s="31">
        <v>900</v>
      </c>
      <c r="THE6" s="31">
        <v>900</v>
      </c>
      <c r="THF6" s="31">
        <v>900</v>
      </c>
      <c r="THG6" s="31">
        <v>900</v>
      </c>
      <c r="THH6" s="31">
        <v>900</v>
      </c>
      <c r="THI6" s="31">
        <v>900</v>
      </c>
      <c r="THJ6" s="31">
        <v>900</v>
      </c>
      <c r="THK6" s="31">
        <v>900</v>
      </c>
      <c r="THL6" s="31">
        <v>900</v>
      </c>
      <c r="THM6" s="31">
        <v>900</v>
      </c>
      <c r="THN6" s="31">
        <v>900</v>
      </c>
      <c r="THO6" s="31">
        <v>900</v>
      </c>
      <c r="THP6" s="31">
        <v>900</v>
      </c>
      <c r="THQ6" s="31">
        <v>900</v>
      </c>
      <c r="THR6" s="31">
        <v>900</v>
      </c>
      <c r="THS6" s="31">
        <v>900</v>
      </c>
      <c r="THT6" s="31">
        <v>900</v>
      </c>
      <c r="THU6" s="31">
        <v>900</v>
      </c>
      <c r="THV6" s="31">
        <v>900</v>
      </c>
      <c r="THW6" s="31">
        <v>900</v>
      </c>
      <c r="THX6" s="31">
        <v>900</v>
      </c>
      <c r="THY6" s="31">
        <v>900</v>
      </c>
      <c r="THZ6" s="31">
        <v>900</v>
      </c>
      <c r="TIA6" s="31">
        <v>900</v>
      </c>
      <c r="TIB6" s="31">
        <v>900</v>
      </c>
      <c r="TIC6" s="31">
        <v>900</v>
      </c>
      <c r="TID6" s="31">
        <v>900</v>
      </c>
      <c r="TIE6" s="31">
        <v>900</v>
      </c>
      <c r="TIF6" s="31">
        <v>900</v>
      </c>
      <c r="TIG6" s="31">
        <v>900</v>
      </c>
      <c r="TIH6" s="31">
        <v>900</v>
      </c>
      <c r="TII6" s="31">
        <v>900</v>
      </c>
      <c r="TIJ6" s="31">
        <v>900</v>
      </c>
      <c r="TIK6" s="31">
        <v>900</v>
      </c>
      <c r="TIL6" s="31">
        <v>900</v>
      </c>
      <c r="TIM6" s="31">
        <v>900</v>
      </c>
      <c r="TIN6" s="31">
        <v>900</v>
      </c>
      <c r="TIO6" s="31">
        <v>900</v>
      </c>
      <c r="TIP6" s="31">
        <v>900</v>
      </c>
      <c r="TIQ6" s="31">
        <v>900</v>
      </c>
      <c r="TIR6" s="31">
        <v>900</v>
      </c>
      <c r="TIS6" s="31">
        <v>900</v>
      </c>
      <c r="TIT6" s="31">
        <v>900</v>
      </c>
      <c r="TIU6" s="31">
        <v>900</v>
      </c>
      <c r="TIV6" s="31">
        <v>900</v>
      </c>
      <c r="TIW6" s="31">
        <v>900</v>
      </c>
      <c r="TIX6" s="31">
        <v>900</v>
      </c>
      <c r="TIY6" s="31">
        <v>900</v>
      </c>
      <c r="TIZ6" s="31">
        <v>900</v>
      </c>
      <c r="TJA6" s="31">
        <v>900</v>
      </c>
      <c r="TJB6" s="31">
        <v>900</v>
      </c>
      <c r="TJC6" s="31">
        <v>900</v>
      </c>
      <c r="TJD6" s="31">
        <v>900</v>
      </c>
      <c r="TJE6" s="31">
        <v>900</v>
      </c>
      <c r="TJF6" s="31">
        <v>900</v>
      </c>
      <c r="TJG6" s="31">
        <v>900</v>
      </c>
      <c r="TJH6" s="31">
        <v>900</v>
      </c>
      <c r="TJI6" s="31">
        <v>900</v>
      </c>
      <c r="TJJ6" s="31">
        <v>900</v>
      </c>
      <c r="TJK6" s="31">
        <v>900</v>
      </c>
      <c r="TJL6" s="31">
        <v>900</v>
      </c>
      <c r="TJM6" s="31">
        <v>900</v>
      </c>
      <c r="TJN6" s="31">
        <v>900</v>
      </c>
      <c r="TJO6" s="31">
        <v>900</v>
      </c>
      <c r="TJP6" s="31">
        <v>900</v>
      </c>
      <c r="TJQ6" s="31">
        <v>900</v>
      </c>
      <c r="TJR6" s="31">
        <v>900</v>
      </c>
      <c r="TJS6" s="31">
        <v>900</v>
      </c>
      <c r="TJT6" s="31">
        <v>900</v>
      </c>
      <c r="TJU6" s="31">
        <v>900</v>
      </c>
      <c r="TJV6" s="31">
        <v>900</v>
      </c>
      <c r="TJW6" s="31">
        <v>900</v>
      </c>
      <c r="TJX6" s="31">
        <v>900</v>
      </c>
      <c r="TJY6" s="31">
        <v>900</v>
      </c>
      <c r="TJZ6" s="31">
        <v>900</v>
      </c>
      <c r="TKA6" s="31">
        <v>900</v>
      </c>
      <c r="TKB6" s="31">
        <v>900</v>
      </c>
      <c r="TKC6" s="31">
        <v>900</v>
      </c>
      <c r="TKD6" s="31">
        <v>900</v>
      </c>
      <c r="TKE6" s="31">
        <v>900</v>
      </c>
      <c r="TKF6" s="31">
        <v>900</v>
      </c>
      <c r="TKG6" s="31">
        <v>900</v>
      </c>
      <c r="TKH6" s="31">
        <v>900</v>
      </c>
      <c r="TKI6" s="31">
        <v>900</v>
      </c>
      <c r="TKJ6" s="31">
        <v>900</v>
      </c>
      <c r="TKK6" s="31">
        <v>900</v>
      </c>
      <c r="TKL6" s="31">
        <v>900</v>
      </c>
      <c r="TKM6" s="31">
        <v>900</v>
      </c>
      <c r="TKN6" s="31">
        <v>900</v>
      </c>
      <c r="TKO6" s="31">
        <v>900</v>
      </c>
      <c r="TKP6" s="31">
        <v>900</v>
      </c>
      <c r="TKQ6" s="31">
        <v>900</v>
      </c>
      <c r="TKR6" s="31">
        <v>900</v>
      </c>
      <c r="TKS6" s="31">
        <v>900</v>
      </c>
      <c r="TKT6" s="31">
        <v>900</v>
      </c>
      <c r="TKU6" s="31">
        <v>900</v>
      </c>
      <c r="TKV6" s="31">
        <v>900</v>
      </c>
      <c r="TKW6" s="31">
        <v>900</v>
      </c>
      <c r="TKX6" s="31">
        <v>900</v>
      </c>
      <c r="TKY6" s="31">
        <v>900</v>
      </c>
      <c r="TKZ6" s="31">
        <v>900</v>
      </c>
      <c r="TLA6" s="31">
        <v>900</v>
      </c>
      <c r="TLB6" s="31">
        <v>900</v>
      </c>
      <c r="TLC6" s="31">
        <v>900</v>
      </c>
      <c r="TLD6" s="31">
        <v>900</v>
      </c>
      <c r="TLE6" s="31">
        <v>900</v>
      </c>
      <c r="TLF6" s="31">
        <v>900</v>
      </c>
      <c r="TLG6" s="31">
        <v>900</v>
      </c>
      <c r="TLH6" s="31">
        <v>900</v>
      </c>
      <c r="TLI6" s="31">
        <v>900</v>
      </c>
      <c r="TLJ6" s="31">
        <v>900</v>
      </c>
      <c r="TLK6" s="31">
        <v>900</v>
      </c>
      <c r="TLL6" s="31">
        <v>900</v>
      </c>
      <c r="TLM6" s="31">
        <v>900</v>
      </c>
      <c r="TLN6" s="31">
        <v>900</v>
      </c>
      <c r="TLO6" s="31">
        <v>900</v>
      </c>
      <c r="TLP6" s="31">
        <v>900</v>
      </c>
      <c r="TLQ6" s="31">
        <v>900</v>
      </c>
      <c r="TLR6" s="31">
        <v>900</v>
      </c>
      <c r="TLS6" s="31">
        <v>900</v>
      </c>
      <c r="TLT6" s="31">
        <v>900</v>
      </c>
      <c r="TLU6" s="31">
        <v>900</v>
      </c>
      <c r="TLV6" s="31">
        <v>900</v>
      </c>
      <c r="TLW6" s="31">
        <v>900</v>
      </c>
      <c r="TLX6" s="31">
        <v>900</v>
      </c>
      <c r="TLY6" s="31">
        <v>900</v>
      </c>
      <c r="TLZ6" s="31">
        <v>900</v>
      </c>
      <c r="TMA6" s="31">
        <v>900</v>
      </c>
      <c r="TMB6" s="31">
        <v>900</v>
      </c>
      <c r="TMC6" s="31">
        <v>900</v>
      </c>
      <c r="TMD6" s="31">
        <v>900</v>
      </c>
      <c r="TME6" s="31">
        <v>900</v>
      </c>
      <c r="TMF6" s="31">
        <v>900</v>
      </c>
      <c r="TMG6" s="31">
        <v>900</v>
      </c>
      <c r="TMH6" s="31">
        <v>900</v>
      </c>
      <c r="TMI6" s="31">
        <v>900</v>
      </c>
      <c r="TMJ6" s="31">
        <v>900</v>
      </c>
      <c r="TMK6" s="31">
        <v>900</v>
      </c>
      <c r="TML6" s="31">
        <v>900</v>
      </c>
      <c r="TMM6" s="31">
        <v>900</v>
      </c>
      <c r="TMN6" s="31">
        <v>900</v>
      </c>
      <c r="TMO6" s="31">
        <v>900</v>
      </c>
      <c r="TMP6" s="31">
        <v>900</v>
      </c>
      <c r="TMQ6" s="31">
        <v>900</v>
      </c>
      <c r="TMR6" s="31">
        <v>900</v>
      </c>
      <c r="TMS6" s="31">
        <v>900</v>
      </c>
      <c r="TMT6" s="31">
        <v>900</v>
      </c>
      <c r="TMU6" s="31">
        <v>900</v>
      </c>
      <c r="TMV6" s="31">
        <v>900</v>
      </c>
      <c r="TMW6" s="31">
        <v>900</v>
      </c>
      <c r="TMX6" s="31">
        <v>900</v>
      </c>
      <c r="TMY6" s="31">
        <v>900</v>
      </c>
      <c r="TMZ6" s="31">
        <v>900</v>
      </c>
      <c r="TNA6" s="31">
        <v>900</v>
      </c>
      <c r="TNB6" s="31">
        <v>900</v>
      </c>
      <c r="TNC6" s="31">
        <v>900</v>
      </c>
      <c r="TND6" s="31">
        <v>900</v>
      </c>
      <c r="TNE6" s="31">
        <v>900</v>
      </c>
      <c r="TNF6" s="31">
        <v>900</v>
      </c>
      <c r="TNG6" s="31">
        <v>900</v>
      </c>
      <c r="TNH6" s="31">
        <v>900</v>
      </c>
      <c r="TNI6" s="31">
        <v>900</v>
      </c>
      <c r="TNJ6" s="31">
        <v>900</v>
      </c>
      <c r="TNK6" s="31">
        <v>900</v>
      </c>
      <c r="TNL6" s="31">
        <v>900</v>
      </c>
      <c r="TNM6" s="31">
        <v>900</v>
      </c>
      <c r="TNN6" s="31">
        <v>900</v>
      </c>
      <c r="TNO6" s="31">
        <v>900</v>
      </c>
      <c r="TNP6" s="31">
        <v>900</v>
      </c>
      <c r="TNQ6" s="31">
        <v>900</v>
      </c>
      <c r="TNR6" s="31">
        <v>900</v>
      </c>
      <c r="TNS6" s="31">
        <v>900</v>
      </c>
      <c r="TNT6" s="31">
        <v>900</v>
      </c>
      <c r="TNU6" s="31">
        <v>900</v>
      </c>
      <c r="TNV6" s="31">
        <v>900</v>
      </c>
      <c r="TNW6" s="31">
        <v>900</v>
      </c>
      <c r="TNX6" s="31">
        <v>900</v>
      </c>
      <c r="TNY6" s="31">
        <v>900</v>
      </c>
      <c r="TNZ6" s="31">
        <v>900</v>
      </c>
      <c r="TOA6" s="31">
        <v>900</v>
      </c>
      <c r="TOB6" s="31">
        <v>900</v>
      </c>
      <c r="TOC6" s="31">
        <v>900</v>
      </c>
      <c r="TOD6" s="31">
        <v>900</v>
      </c>
      <c r="TOE6" s="31">
        <v>900</v>
      </c>
      <c r="TOF6" s="31">
        <v>900</v>
      </c>
      <c r="TOG6" s="31">
        <v>900</v>
      </c>
      <c r="TOH6" s="31">
        <v>900</v>
      </c>
      <c r="TOI6" s="31">
        <v>900</v>
      </c>
      <c r="TOJ6" s="31">
        <v>900</v>
      </c>
      <c r="TOK6" s="31">
        <v>900</v>
      </c>
      <c r="TOL6" s="31">
        <v>900</v>
      </c>
      <c r="TOM6" s="31">
        <v>900</v>
      </c>
      <c r="TON6" s="31">
        <v>900</v>
      </c>
      <c r="TOO6" s="31">
        <v>900</v>
      </c>
      <c r="TOP6" s="31">
        <v>900</v>
      </c>
      <c r="TOQ6" s="31">
        <v>900</v>
      </c>
      <c r="TOR6" s="31">
        <v>900</v>
      </c>
      <c r="TOS6" s="31">
        <v>900</v>
      </c>
      <c r="TOT6" s="31">
        <v>900</v>
      </c>
      <c r="TOU6" s="31">
        <v>900</v>
      </c>
      <c r="TOV6" s="31">
        <v>900</v>
      </c>
      <c r="TOW6" s="31">
        <v>900</v>
      </c>
      <c r="TOX6" s="31">
        <v>900</v>
      </c>
      <c r="TOY6" s="31">
        <v>900</v>
      </c>
      <c r="TOZ6" s="31">
        <v>900</v>
      </c>
      <c r="TPA6" s="31">
        <v>900</v>
      </c>
      <c r="TPB6" s="31">
        <v>900</v>
      </c>
      <c r="TPC6" s="31">
        <v>900</v>
      </c>
      <c r="TPD6" s="31">
        <v>900</v>
      </c>
      <c r="TPE6" s="31">
        <v>900</v>
      </c>
      <c r="TPF6" s="31">
        <v>900</v>
      </c>
      <c r="TPG6" s="31">
        <v>900</v>
      </c>
      <c r="TPH6" s="31">
        <v>900</v>
      </c>
      <c r="TPI6" s="31">
        <v>900</v>
      </c>
      <c r="TPJ6" s="31">
        <v>900</v>
      </c>
      <c r="TPK6" s="31">
        <v>900</v>
      </c>
      <c r="TPL6" s="31">
        <v>900</v>
      </c>
      <c r="TPM6" s="31">
        <v>900</v>
      </c>
      <c r="TPN6" s="31">
        <v>900</v>
      </c>
      <c r="TPO6" s="31">
        <v>900</v>
      </c>
      <c r="TPP6" s="31">
        <v>900</v>
      </c>
      <c r="TPQ6" s="31">
        <v>900</v>
      </c>
      <c r="TPR6" s="31">
        <v>900</v>
      </c>
      <c r="TPS6" s="31">
        <v>900</v>
      </c>
      <c r="TPT6" s="31">
        <v>900</v>
      </c>
      <c r="TPU6" s="31">
        <v>900</v>
      </c>
      <c r="TPV6" s="31">
        <v>900</v>
      </c>
      <c r="TPW6" s="31">
        <v>900</v>
      </c>
      <c r="TPX6" s="31">
        <v>900</v>
      </c>
      <c r="TPY6" s="31">
        <v>900</v>
      </c>
      <c r="TPZ6" s="31">
        <v>900</v>
      </c>
      <c r="TQA6" s="31">
        <v>900</v>
      </c>
      <c r="TQB6" s="31">
        <v>900</v>
      </c>
      <c r="TQC6" s="31">
        <v>900</v>
      </c>
      <c r="TQD6" s="31">
        <v>900</v>
      </c>
      <c r="TQE6" s="31">
        <v>900</v>
      </c>
      <c r="TQF6" s="31">
        <v>900</v>
      </c>
      <c r="TQG6" s="31">
        <v>900</v>
      </c>
      <c r="TQH6" s="31">
        <v>900</v>
      </c>
      <c r="TQI6" s="31">
        <v>900</v>
      </c>
      <c r="TQJ6" s="31">
        <v>900</v>
      </c>
      <c r="TQK6" s="31">
        <v>900</v>
      </c>
      <c r="TQL6" s="31">
        <v>900</v>
      </c>
      <c r="TQM6" s="31">
        <v>900</v>
      </c>
      <c r="TQN6" s="31">
        <v>900</v>
      </c>
      <c r="TQO6" s="31">
        <v>900</v>
      </c>
      <c r="TQP6" s="31">
        <v>900</v>
      </c>
      <c r="TQQ6" s="31">
        <v>900</v>
      </c>
      <c r="TQR6" s="31">
        <v>900</v>
      </c>
      <c r="TQS6" s="31">
        <v>900</v>
      </c>
      <c r="TQT6" s="31">
        <v>900</v>
      </c>
      <c r="TQU6" s="31">
        <v>900</v>
      </c>
      <c r="TQV6" s="31">
        <v>900</v>
      </c>
      <c r="TQW6" s="31">
        <v>900</v>
      </c>
      <c r="TQX6" s="31">
        <v>900</v>
      </c>
      <c r="TQY6" s="31">
        <v>900</v>
      </c>
      <c r="TQZ6" s="31">
        <v>900</v>
      </c>
      <c r="TRA6" s="31">
        <v>900</v>
      </c>
      <c r="TRB6" s="31">
        <v>900</v>
      </c>
      <c r="TRC6" s="31">
        <v>900</v>
      </c>
      <c r="TRD6" s="31">
        <v>900</v>
      </c>
      <c r="TRE6" s="31">
        <v>900</v>
      </c>
      <c r="TRF6" s="31">
        <v>900</v>
      </c>
      <c r="TRG6" s="31">
        <v>900</v>
      </c>
      <c r="TRH6" s="31">
        <v>900</v>
      </c>
      <c r="TRI6" s="31">
        <v>900</v>
      </c>
      <c r="TRJ6" s="31">
        <v>900</v>
      </c>
      <c r="TRK6" s="31">
        <v>900</v>
      </c>
      <c r="TRL6" s="31">
        <v>900</v>
      </c>
      <c r="TRM6" s="31">
        <v>900</v>
      </c>
      <c r="TRN6" s="31">
        <v>900</v>
      </c>
      <c r="TRO6" s="31">
        <v>900</v>
      </c>
      <c r="TRP6" s="31">
        <v>900</v>
      </c>
      <c r="TRQ6" s="31">
        <v>900</v>
      </c>
      <c r="TRR6" s="31">
        <v>900</v>
      </c>
      <c r="TRS6" s="31">
        <v>900</v>
      </c>
      <c r="TRT6" s="31">
        <v>900</v>
      </c>
      <c r="TRU6" s="31">
        <v>900</v>
      </c>
      <c r="TRV6" s="31">
        <v>900</v>
      </c>
      <c r="TRW6" s="31">
        <v>900</v>
      </c>
      <c r="TRX6" s="31">
        <v>900</v>
      </c>
      <c r="TRY6" s="31">
        <v>900</v>
      </c>
      <c r="TRZ6" s="31">
        <v>900</v>
      </c>
      <c r="TSA6" s="31">
        <v>900</v>
      </c>
      <c r="TSB6" s="31">
        <v>900</v>
      </c>
      <c r="TSC6" s="31">
        <v>900</v>
      </c>
      <c r="TSD6" s="31">
        <v>900</v>
      </c>
      <c r="TSE6" s="31">
        <v>900</v>
      </c>
      <c r="TSF6" s="31">
        <v>900</v>
      </c>
      <c r="TSG6" s="31">
        <v>900</v>
      </c>
      <c r="TSH6" s="31">
        <v>900</v>
      </c>
      <c r="TSI6" s="31">
        <v>900</v>
      </c>
      <c r="TSJ6" s="31">
        <v>900</v>
      </c>
      <c r="TSK6" s="31">
        <v>900</v>
      </c>
      <c r="TSL6" s="31">
        <v>900</v>
      </c>
      <c r="TSM6" s="31">
        <v>900</v>
      </c>
      <c r="TSN6" s="31">
        <v>900</v>
      </c>
      <c r="TSO6" s="31">
        <v>900</v>
      </c>
      <c r="TSP6" s="31">
        <v>900</v>
      </c>
      <c r="TSQ6" s="31">
        <v>900</v>
      </c>
      <c r="TSR6" s="31">
        <v>900</v>
      </c>
      <c r="TSS6" s="31">
        <v>900</v>
      </c>
      <c r="TST6" s="31">
        <v>900</v>
      </c>
      <c r="TSU6" s="31">
        <v>900</v>
      </c>
      <c r="TSV6" s="31">
        <v>900</v>
      </c>
      <c r="TSW6" s="31">
        <v>900</v>
      </c>
      <c r="TSX6" s="31">
        <v>900</v>
      </c>
      <c r="TSY6" s="31">
        <v>900</v>
      </c>
      <c r="TSZ6" s="31">
        <v>900</v>
      </c>
      <c r="TTA6" s="31">
        <v>900</v>
      </c>
      <c r="TTB6" s="31">
        <v>900</v>
      </c>
      <c r="TTC6" s="31">
        <v>900</v>
      </c>
      <c r="TTD6" s="31">
        <v>900</v>
      </c>
      <c r="TTE6" s="31">
        <v>900</v>
      </c>
      <c r="TTF6" s="31">
        <v>900</v>
      </c>
      <c r="TTG6" s="31">
        <v>900</v>
      </c>
      <c r="TTH6" s="31">
        <v>900</v>
      </c>
      <c r="TTI6" s="31">
        <v>900</v>
      </c>
      <c r="TTJ6" s="31">
        <v>900</v>
      </c>
      <c r="TTK6" s="31">
        <v>900</v>
      </c>
      <c r="TTL6" s="31">
        <v>900</v>
      </c>
      <c r="TTM6" s="31">
        <v>900</v>
      </c>
      <c r="TTN6" s="31">
        <v>900</v>
      </c>
      <c r="TTO6" s="31">
        <v>900</v>
      </c>
      <c r="TTP6" s="31">
        <v>900</v>
      </c>
      <c r="TTQ6" s="31">
        <v>900</v>
      </c>
      <c r="TTR6" s="31">
        <v>900</v>
      </c>
      <c r="TTS6" s="31">
        <v>900</v>
      </c>
      <c r="TTT6" s="31">
        <v>900</v>
      </c>
      <c r="TTU6" s="31">
        <v>900</v>
      </c>
      <c r="TTV6" s="31">
        <v>900</v>
      </c>
      <c r="TTW6" s="31">
        <v>900</v>
      </c>
      <c r="TTX6" s="31">
        <v>900</v>
      </c>
      <c r="TTY6" s="31">
        <v>900</v>
      </c>
      <c r="TTZ6" s="31">
        <v>900</v>
      </c>
      <c r="TUA6" s="31">
        <v>900</v>
      </c>
      <c r="TUB6" s="31">
        <v>900</v>
      </c>
      <c r="TUC6" s="31">
        <v>900</v>
      </c>
      <c r="TUD6" s="31">
        <v>900</v>
      </c>
      <c r="TUE6" s="31">
        <v>900</v>
      </c>
      <c r="TUF6" s="31">
        <v>900</v>
      </c>
      <c r="TUG6" s="31">
        <v>900</v>
      </c>
      <c r="TUH6" s="31">
        <v>900</v>
      </c>
      <c r="TUI6" s="31">
        <v>900</v>
      </c>
      <c r="TUJ6" s="31">
        <v>900</v>
      </c>
      <c r="TUK6" s="31">
        <v>900</v>
      </c>
      <c r="TUL6" s="31">
        <v>900</v>
      </c>
      <c r="TUM6" s="31">
        <v>900</v>
      </c>
      <c r="TUN6" s="31">
        <v>900</v>
      </c>
      <c r="TUO6" s="31">
        <v>900</v>
      </c>
      <c r="TUP6" s="31">
        <v>900</v>
      </c>
      <c r="TUQ6" s="31">
        <v>900</v>
      </c>
      <c r="TUR6" s="31">
        <v>900</v>
      </c>
      <c r="TUS6" s="31">
        <v>900</v>
      </c>
      <c r="TUT6" s="31">
        <v>900</v>
      </c>
      <c r="TUU6" s="31">
        <v>900</v>
      </c>
      <c r="TUV6" s="31">
        <v>900</v>
      </c>
      <c r="TUW6" s="31">
        <v>900</v>
      </c>
      <c r="TUX6" s="31">
        <v>900</v>
      </c>
      <c r="TUY6" s="31">
        <v>900</v>
      </c>
      <c r="TUZ6" s="31">
        <v>900</v>
      </c>
      <c r="TVA6" s="31">
        <v>900</v>
      </c>
      <c r="TVB6" s="31">
        <v>900</v>
      </c>
      <c r="TVC6" s="31">
        <v>900</v>
      </c>
      <c r="TVD6" s="31">
        <v>900</v>
      </c>
      <c r="TVE6" s="31">
        <v>900</v>
      </c>
      <c r="TVF6" s="31">
        <v>900</v>
      </c>
      <c r="TVG6" s="31">
        <v>900</v>
      </c>
      <c r="TVH6" s="31">
        <v>900</v>
      </c>
      <c r="TVI6" s="31">
        <v>900</v>
      </c>
      <c r="TVJ6" s="31">
        <v>900</v>
      </c>
      <c r="TVK6" s="31">
        <v>900</v>
      </c>
      <c r="TVL6" s="31">
        <v>900</v>
      </c>
      <c r="TVM6" s="31">
        <v>900</v>
      </c>
      <c r="TVN6" s="31">
        <v>900</v>
      </c>
      <c r="TVO6" s="31">
        <v>900</v>
      </c>
      <c r="TVP6" s="31">
        <v>900</v>
      </c>
      <c r="TVQ6" s="31">
        <v>900</v>
      </c>
      <c r="TVR6" s="31">
        <v>900</v>
      </c>
      <c r="TVS6" s="31">
        <v>900</v>
      </c>
      <c r="TVT6" s="31">
        <v>900</v>
      </c>
      <c r="TVU6" s="31">
        <v>900</v>
      </c>
      <c r="TVV6" s="31">
        <v>900</v>
      </c>
      <c r="TVW6" s="31">
        <v>900</v>
      </c>
      <c r="TVX6" s="31">
        <v>900</v>
      </c>
      <c r="TVY6" s="31">
        <v>900</v>
      </c>
      <c r="TVZ6" s="31">
        <v>900</v>
      </c>
      <c r="TWA6" s="31">
        <v>900</v>
      </c>
      <c r="TWB6" s="31">
        <v>900</v>
      </c>
      <c r="TWC6" s="31">
        <v>900</v>
      </c>
      <c r="TWD6" s="31">
        <v>900</v>
      </c>
      <c r="TWE6" s="31">
        <v>900</v>
      </c>
      <c r="TWF6" s="31">
        <v>900</v>
      </c>
      <c r="TWG6" s="31">
        <v>900</v>
      </c>
      <c r="TWH6" s="31">
        <v>900</v>
      </c>
      <c r="TWI6" s="31">
        <v>900</v>
      </c>
      <c r="TWJ6" s="31">
        <v>900</v>
      </c>
      <c r="TWK6" s="31">
        <v>900</v>
      </c>
      <c r="TWL6" s="31">
        <v>900</v>
      </c>
      <c r="TWM6" s="31">
        <v>900</v>
      </c>
      <c r="TWN6" s="31">
        <v>900</v>
      </c>
      <c r="TWO6" s="31">
        <v>900</v>
      </c>
      <c r="TWP6" s="31">
        <v>900</v>
      </c>
      <c r="TWQ6" s="31">
        <v>900</v>
      </c>
      <c r="TWR6" s="31">
        <v>900</v>
      </c>
      <c r="TWS6" s="31">
        <v>900</v>
      </c>
      <c r="TWT6" s="31">
        <v>900</v>
      </c>
      <c r="TWU6" s="31">
        <v>900</v>
      </c>
      <c r="TWV6" s="31">
        <v>900</v>
      </c>
      <c r="TWW6" s="31">
        <v>900</v>
      </c>
      <c r="TWX6" s="31">
        <v>900</v>
      </c>
      <c r="TWY6" s="31">
        <v>900</v>
      </c>
      <c r="TWZ6" s="31">
        <v>900</v>
      </c>
      <c r="TXA6" s="31">
        <v>900</v>
      </c>
      <c r="TXB6" s="31">
        <v>900</v>
      </c>
      <c r="TXC6" s="31">
        <v>900</v>
      </c>
      <c r="TXD6" s="31">
        <v>900</v>
      </c>
      <c r="TXE6" s="31">
        <v>900</v>
      </c>
      <c r="TXF6" s="31">
        <v>900</v>
      </c>
      <c r="TXG6" s="31">
        <v>900</v>
      </c>
      <c r="TXH6" s="31">
        <v>900</v>
      </c>
      <c r="TXI6" s="31">
        <v>900</v>
      </c>
      <c r="TXJ6" s="31">
        <v>900</v>
      </c>
      <c r="TXK6" s="31">
        <v>900</v>
      </c>
      <c r="TXL6" s="31">
        <v>900</v>
      </c>
      <c r="TXM6" s="31">
        <v>900</v>
      </c>
      <c r="TXN6" s="31">
        <v>900</v>
      </c>
      <c r="TXO6" s="31">
        <v>900</v>
      </c>
      <c r="TXP6" s="31">
        <v>900</v>
      </c>
      <c r="TXQ6" s="31">
        <v>900</v>
      </c>
      <c r="TXR6" s="31">
        <v>900</v>
      </c>
      <c r="TXS6" s="31">
        <v>900</v>
      </c>
      <c r="TXT6" s="31">
        <v>900</v>
      </c>
      <c r="TXU6" s="31">
        <v>900</v>
      </c>
      <c r="TXV6" s="31">
        <v>900</v>
      </c>
      <c r="TXW6" s="31">
        <v>900</v>
      </c>
      <c r="TXX6" s="31">
        <v>900</v>
      </c>
      <c r="TXY6" s="31">
        <v>900</v>
      </c>
      <c r="TXZ6" s="31">
        <v>900</v>
      </c>
      <c r="TYA6" s="31">
        <v>900</v>
      </c>
      <c r="TYB6" s="31">
        <v>900</v>
      </c>
      <c r="TYC6" s="31">
        <v>900</v>
      </c>
      <c r="TYD6" s="31">
        <v>900</v>
      </c>
      <c r="TYE6" s="31">
        <v>900</v>
      </c>
      <c r="TYF6" s="31">
        <v>900</v>
      </c>
      <c r="TYG6" s="31">
        <v>900</v>
      </c>
      <c r="TYH6" s="31">
        <v>900</v>
      </c>
      <c r="TYI6" s="31">
        <v>900</v>
      </c>
      <c r="TYJ6" s="31">
        <v>900</v>
      </c>
      <c r="TYK6" s="31">
        <v>900</v>
      </c>
      <c r="TYL6" s="31">
        <v>900</v>
      </c>
      <c r="TYM6" s="31">
        <v>900</v>
      </c>
      <c r="TYN6" s="31">
        <v>900</v>
      </c>
      <c r="TYO6" s="31">
        <v>900</v>
      </c>
      <c r="TYP6" s="31">
        <v>900</v>
      </c>
      <c r="TYQ6" s="31">
        <v>900</v>
      </c>
      <c r="TYR6" s="31">
        <v>900</v>
      </c>
      <c r="TYS6" s="31">
        <v>900</v>
      </c>
      <c r="TYT6" s="31">
        <v>900</v>
      </c>
      <c r="TYU6" s="31">
        <v>900</v>
      </c>
      <c r="TYV6" s="31">
        <v>900</v>
      </c>
      <c r="TYW6" s="31">
        <v>900</v>
      </c>
      <c r="TYX6" s="31">
        <v>900</v>
      </c>
      <c r="TYY6" s="31">
        <v>900</v>
      </c>
      <c r="TYZ6" s="31">
        <v>900</v>
      </c>
      <c r="TZA6" s="31">
        <v>900</v>
      </c>
      <c r="TZB6" s="31">
        <v>900</v>
      </c>
      <c r="TZC6" s="31">
        <v>900</v>
      </c>
      <c r="TZD6" s="31">
        <v>900</v>
      </c>
      <c r="TZE6" s="31">
        <v>900</v>
      </c>
      <c r="TZF6" s="31">
        <v>900</v>
      </c>
      <c r="TZG6" s="31">
        <v>900</v>
      </c>
      <c r="TZH6" s="31">
        <v>900</v>
      </c>
      <c r="TZI6" s="31">
        <v>900</v>
      </c>
      <c r="TZJ6" s="31">
        <v>900</v>
      </c>
      <c r="TZK6" s="31">
        <v>900</v>
      </c>
      <c r="TZL6" s="31">
        <v>900</v>
      </c>
      <c r="TZM6" s="31">
        <v>900</v>
      </c>
      <c r="TZN6" s="31">
        <v>900</v>
      </c>
      <c r="TZO6" s="31">
        <v>900</v>
      </c>
      <c r="TZP6" s="31">
        <v>900</v>
      </c>
      <c r="TZQ6" s="31">
        <v>900</v>
      </c>
      <c r="TZR6" s="31">
        <v>900</v>
      </c>
      <c r="TZS6" s="31">
        <v>900</v>
      </c>
      <c r="TZT6" s="31">
        <v>900</v>
      </c>
      <c r="TZU6" s="31">
        <v>900</v>
      </c>
      <c r="TZV6" s="31">
        <v>900</v>
      </c>
      <c r="TZW6" s="31">
        <v>900</v>
      </c>
      <c r="TZX6" s="31">
        <v>900</v>
      </c>
      <c r="TZY6" s="31">
        <v>900</v>
      </c>
      <c r="TZZ6" s="31">
        <v>900</v>
      </c>
      <c r="UAA6" s="31">
        <v>900</v>
      </c>
      <c r="UAB6" s="31">
        <v>900</v>
      </c>
      <c r="UAC6" s="31">
        <v>900</v>
      </c>
      <c r="UAD6" s="31">
        <v>900</v>
      </c>
      <c r="UAE6" s="31">
        <v>900</v>
      </c>
      <c r="UAF6" s="31">
        <v>900</v>
      </c>
      <c r="UAG6" s="31">
        <v>900</v>
      </c>
      <c r="UAH6" s="31">
        <v>900</v>
      </c>
      <c r="UAI6" s="31">
        <v>900</v>
      </c>
      <c r="UAJ6" s="31">
        <v>900</v>
      </c>
      <c r="UAK6" s="31">
        <v>900</v>
      </c>
      <c r="UAL6" s="31">
        <v>900</v>
      </c>
      <c r="UAM6" s="31">
        <v>900</v>
      </c>
      <c r="UAN6" s="31">
        <v>900</v>
      </c>
      <c r="UAO6" s="31">
        <v>900</v>
      </c>
      <c r="UAP6" s="31">
        <v>900</v>
      </c>
      <c r="UAQ6" s="31">
        <v>900</v>
      </c>
      <c r="UAR6" s="31">
        <v>900</v>
      </c>
      <c r="UAS6" s="31">
        <v>900</v>
      </c>
      <c r="UAT6" s="31">
        <v>900</v>
      </c>
      <c r="UAU6" s="31">
        <v>900</v>
      </c>
      <c r="UAV6" s="31">
        <v>900</v>
      </c>
      <c r="UAW6" s="31">
        <v>900</v>
      </c>
      <c r="UAX6" s="31">
        <v>900</v>
      </c>
      <c r="UAY6" s="31">
        <v>900</v>
      </c>
      <c r="UAZ6" s="31">
        <v>900</v>
      </c>
      <c r="UBA6" s="31">
        <v>900</v>
      </c>
      <c r="UBB6" s="31">
        <v>900</v>
      </c>
      <c r="UBC6" s="31">
        <v>900</v>
      </c>
      <c r="UBD6" s="31">
        <v>900</v>
      </c>
      <c r="UBE6" s="31">
        <v>900</v>
      </c>
      <c r="UBF6" s="31">
        <v>900</v>
      </c>
      <c r="UBG6" s="31">
        <v>900</v>
      </c>
      <c r="UBH6" s="31">
        <v>900</v>
      </c>
      <c r="UBI6" s="31">
        <v>900</v>
      </c>
      <c r="UBJ6" s="31">
        <v>900</v>
      </c>
      <c r="UBK6" s="31">
        <v>900</v>
      </c>
      <c r="UBL6" s="31">
        <v>900</v>
      </c>
      <c r="UBM6" s="31">
        <v>900</v>
      </c>
      <c r="UBN6" s="31">
        <v>900</v>
      </c>
      <c r="UBO6" s="31">
        <v>900</v>
      </c>
      <c r="UBP6" s="31">
        <v>900</v>
      </c>
      <c r="UBQ6" s="31">
        <v>900</v>
      </c>
      <c r="UBR6" s="31">
        <v>900</v>
      </c>
      <c r="UBS6" s="31">
        <v>900</v>
      </c>
      <c r="UBT6" s="31">
        <v>900</v>
      </c>
      <c r="UBU6" s="31">
        <v>900</v>
      </c>
      <c r="UBV6" s="31">
        <v>900</v>
      </c>
      <c r="UBW6" s="31">
        <v>900</v>
      </c>
      <c r="UBX6" s="31">
        <v>900</v>
      </c>
      <c r="UBY6" s="31">
        <v>900</v>
      </c>
      <c r="UBZ6" s="31">
        <v>900</v>
      </c>
      <c r="UCA6" s="31">
        <v>900</v>
      </c>
      <c r="UCB6" s="31">
        <v>900</v>
      </c>
      <c r="UCC6" s="31">
        <v>900</v>
      </c>
      <c r="UCD6" s="31">
        <v>900</v>
      </c>
      <c r="UCE6" s="31">
        <v>900</v>
      </c>
      <c r="UCF6" s="31">
        <v>900</v>
      </c>
      <c r="UCG6" s="31">
        <v>900</v>
      </c>
      <c r="UCH6" s="31">
        <v>900</v>
      </c>
      <c r="UCI6" s="31">
        <v>900</v>
      </c>
      <c r="UCJ6" s="31">
        <v>900</v>
      </c>
      <c r="UCK6" s="31">
        <v>900</v>
      </c>
      <c r="UCL6" s="31">
        <v>900</v>
      </c>
      <c r="UCM6" s="31">
        <v>900</v>
      </c>
      <c r="UCN6" s="31">
        <v>900</v>
      </c>
      <c r="UCO6" s="31">
        <v>900</v>
      </c>
      <c r="UCP6" s="31">
        <v>900</v>
      </c>
      <c r="UCQ6" s="31">
        <v>900</v>
      </c>
      <c r="UCR6" s="31">
        <v>900</v>
      </c>
      <c r="UCS6" s="31">
        <v>900</v>
      </c>
      <c r="UCT6" s="31">
        <v>900</v>
      </c>
      <c r="UCU6" s="31">
        <v>900</v>
      </c>
      <c r="UCV6" s="31">
        <v>900</v>
      </c>
      <c r="UCW6" s="31">
        <v>900</v>
      </c>
      <c r="UCX6" s="31">
        <v>900</v>
      </c>
      <c r="UCY6" s="31">
        <v>900</v>
      </c>
      <c r="UCZ6" s="31">
        <v>900</v>
      </c>
      <c r="UDA6" s="31">
        <v>900</v>
      </c>
      <c r="UDB6" s="31">
        <v>900</v>
      </c>
      <c r="UDC6" s="31">
        <v>900</v>
      </c>
      <c r="UDD6" s="31">
        <v>900</v>
      </c>
      <c r="UDE6" s="31">
        <v>900</v>
      </c>
      <c r="UDF6" s="31">
        <v>900</v>
      </c>
      <c r="UDG6" s="31">
        <v>900</v>
      </c>
      <c r="UDH6" s="31">
        <v>900</v>
      </c>
      <c r="UDI6" s="31">
        <v>900</v>
      </c>
      <c r="UDJ6" s="31">
        <v>900</v>
      </c>
      <c r="UDK6" s="31">
        <v>900</v>
      </c>
      <c r="UDL6" s="31">
        <v>900</v>
      </c>
      <c r="UDM6" s="31">
        <v>900</v>
      </c>
      <c r="UDN6" s="31">
        <v>900</v>
      </c>
      <c r="UDO6" s="31">
        <v>900</v>
      </c>
      <c r="UDP6" s="31">
        <v>900</v>
      </c>
      <c r="UDQ6" s="31">
        <v>900</v>
      </c>
      <c r="UDR6" s="31">
        <v>900</v>
      </c>
      <c r="UDS6" s="31">
        <v>900</v>
      </c>
      <c r="UDT6" s="31">
        <v>900</v>
      </c>
      <c r="UDU6" s="31">
        <v>900</v>
      </c>
      <c r="UDV6" s="31">
        <v>900</v>
      </c>
      <c r="UDW6" s="31">
        <v>900</v>
      </c>
      <c r="UDX6" s="31">
        <v>900</v>
      </c>
      <c r="UDY6" s="31">
        <v>900</v>
      </c>
      <c r="UDZ6" s="31">
        <v>900</v>
      </c>
      <c r="UEA6" s="31">
        <v>900</v>
      </c>
      <c r="UEB6" s="31">
        <v>900</v>
      </c>
      <c r="UEC6" s="31">
        <v>900</v>
      </c>
      <c r="UED6" s="31">
        <v>900</v>
      </c>
      <c r="UEE6" s="31">
        <v>900</v>
      </c>
      <c r="UEF6" s="31">
        <v>900</v>
      </c>
      <c r="UEG6" s="31">
        <v>900</v>
      </c>
      <c r="UEH6" s="31">
        <v>900</v>
      </c>
      <c r="UEI6" s="31">
        <v>900</v>
      </c>
      <c r="UEJ6" s="31">
        <v>900</v>
      </c>
      <c r="UEK6" s="31">
        <v>900</v>
      </c>
      <c r="UEL6" s="31">
        <v>900</v>
      </c>
      <c r="UEM6" s="31">
        <v>900</v>
      </c>
      <c r="UEN6" s="31">
        <v>900</v>
      </c>
      <c r="UEO6" s="31">
        <v>900</v>
      </c>
      <c r="UEP6" s="31">
        <v>900</v>
      </c>
      <c r="UEQ6" s="31">
        <v>900</v>
      </c>
      <c r="UER6" s="31">
        <v>900</v>
      </c>
      <c r="UES6" s="31">
        <v>900</v>
      </c>
      <c r="UET6" s="31">
        <v>900</v>
      </c>
      <c r="UEU6" s="31">
        <v>900</v>
      </c>
      <c r="UEV6" s="31">
        <v>900</v>
      </c>
      <c r="UEW6" s="31">
        <v>900</v>
      </c>
      <c r="UEX6" s="31">
        <v>900</v>
      </c>
      <c r="UEY6" s="31">
        <v>900</v>
      </c>
      <c r="UEZ6" s="31">
        <v>900</v>
      </c>
      <c r="UFA6" s="31">
        <v>900</v>
      </c>
      <c r="UFB6" s="31">
        <v>900</v>
      </c>
      <c r="UFC6" s="31">
        <v>900</v>
      </c>
      <c r="UFD6" s="31">
        <v>900</v>
      </c>
      <c r="UFE6" s="31">
        <v>900</v>
      </c>
      <c r="UFF6" s="31">
        <v>900</v>
      </c>
      <c r="UFG6" s="31">
        <v>900</v>
      </c>
      <c r="UFH6" s="31">
        <v>900</v>
      </c>
      <c r="UFI6" s="31">
        <v>900</v>
      </c>
      <c r="UFJ6" s="31">
        <v>900</v>
      </c>
      <c r="UFK6" s="31">
        <v>900</v>
      </c>
      <c r="UFL6" s="31">
        <v>900</v>
      </c>
      <c r="UFM6" s="31">
        <v>900</v>
      </c>
      <c r="UFN6" s="31">
        <v>900</v>
      </c>
      <c r="UFO6" s="31">
        <v>900</v>
      </c>
      <c r="UFP6" s="31">
        <v>900</v>
      </c>
      <c r="UFQ6" s="31">
        <v>900</v>
      </c>
      <c r="UFR6" s="31">
        <v>900</v>
      </c>
      <c r="UFS6" s="31">
        <v>900</v>
      </c>
      <c r="UFT6" s="31">
        <v>900</v>
      </c>
      <c r="UFU6" s="31">
        <v>900</v>
      </c>
      <c r="UFV6" s="31">
        <v>900</v>
      </c>
      <c r="UFW6" s="31">
        <v>900</v>
      </c>
      <c r="UFX6" s="31">
        <v>900</v>
      </c>
      <c r="UFY6" s="31">
        <v>900</v>
      </c>
      <c r="UFZ6" s="31">
        <v>900</v>
      </c>
      <c r="UGA6" s="31">
        <v>900</v>
      </c>
      <c r="UGB6" s="31">
        <v>900</v>
      </c>
      <c r="UGC6" s="31">
        <v>900</v>
      </c>
      <c r="UGD6" s="31">
        <v>900</v>
      </c>
      <c r="UGE6" s="31">
        <v>900</v>
      </c>
      <c r="UGF6" s="31">
        <v>900</v>
      </c>
      <c r="UGG6" s="31">
        <v>900</v>
      </c>
      <c r="UGH6" s="31">
        <v>900</v>
      </c>
      <c r="UGI6" s="31">
        <v>900</v>
      </c>
      <c r="UGJ6" s="31">
        <v>900</v>
      </c>
      <c r="UGK6" s="31">
        <v>900</v>
      </c>
      <c r="UGL6" s="31">
        <v>900</v>
      </c>
      <c r="UGM6" s="31">
        <v>900</v>
      </c>
      <c r="UGN6" s="31">
        <v>900</v>
      </c>
      <c r="UGO6" s="31">
        <v>900</v>
      </c>
      <c r="UGP6" s="31">
        <v>900</v>
      </c>
      <c r="UGQ6" s="31">
        <v>900</v>
      </c>
      <c r="UGR6" s="31">
        <v>900</v>
      </c>
      <c r="UGS6" s="31">
        <v>900</v>
      </c>
      <c r="UGT6" s="31">
        <v>900</v>
      </c>
      <c r="UGU6" s="31">
        <v>900</v>
      </c>
      <c r="UGV6" s="31">
        <v>900</v>
      </c>
      <c r="UGW6" s="31">
        <v>900</v>
      </c>
      <c r="UGX6" s="31">
        <v>900</v>
      </c>
      <c r="UGY6" s="31">
        <v>900</v>
      </c>
      <c r="UGZ6" s="31">
        <v>900</v>
      </c>
      <c r="UHA6" s="31">
        <v>900</v>
      </c>
      <c r="UHB6" s="31">
        <v>900</v>
      </c>
      <c r="UHC6" s="31">
        <v>900</v>
      </c>
      <c r="UHD6" s="31">
        <v>900</v>
      </c>
      <c r="UHE6" s="31">
        <v>900</v>
      </c>
      <c r="UHF6" s="31">
        <v>900</v>
      </c>
      <c r="UHG6" s="31">
        <v>900</v>
      </c>
      <c r="UHH6" s="31">
        <v>900</v>
      </c>
      <c r="UHI6" s="31">
        <v>900</v>
      </c>
      <c r="UHJ6" s="31">
        <v>900</v>
      </c>
      <c r="UHK6" s="31">
        <v>900</v>
      </c>
      <c r="UHL6" s="31">
        <v>900</v>
      </c>
      <c r="UHM6" s="31">
        <v>900</v>
      </c>
      <c r="UHN6" s="31">
        <v>900</v>
      </c>
      <c r="UHO6" s="31">
        <v>900</v>
      </c>
      <c r="UHP6" s="31">
        <v>900</v>
      </c>
      <c r="UHQ6" s="31">
        <v>900</v>
      </c>
      <c r="UHR6" s="31">
        <v>900</v>
      </c>
      <c r="UHS6" s="31">
        <v>900</v>
      </c>
      <c r="UHT6" s="31">
        <v>900</v>
      </c>
      <c r="UHU6" s="31">
        <v>900</v>
      </c>
      <c r="UHV6" s="31">
        <v>900</v>
      </c>
      <c r="UHW6" s="31">
        <v>900</v>
      </c>
      <c r="UHX6" s="31">
        <v>900</v>
      </c>
      <c r="UHY6" s="31">
        <v>900</v>
      </c>
      <c r="UHZ6" s="31">
        <v>900</v>
      </c>
      <c r="UIA6" s="31">
        <v>900</v>
      </c>
      <c r="UIB6" s="31">
        <v>900</v>
      </c>
      <c r="UIC6" s="31">
        <v>900</v>
      </c>
      <c r="UID6" s="31">
        <v>900</v>
      </c>
      <c r="UIE6" s="31">
        <v>900</v>
      </c>
      <c r="UIF6" s="31">
        <v>900</v>
      </c>
      <c r="UIG6" s="31">
        <v>900</v>
      </c>
      <c r="UIH6" s="31">
        <v>900</v>
      </c>
      <c r="UII6" s="31">
        <v>900</v>
      </c>
      <c r="UIJ6" s="31">
        <v>900</v>
      </c>
      <c r="UIK6" s="31">
        <v>900</v>
      </c>
      <c r="UIL6" s="31">
        <v>900</v>
      </c>
      <c r="UIM6" s="31">
        <v>900</v>
      </c>
      <c r="UIN6" s="31">
        <v>900</v>
      </c>
      <c r="UIO6" s="31">
        <v>900</v>
      </c>
      <c r="UIP6" s="31">
        <v>900</v>
      </c>
      <c r="UIQ6" s="31">
        <v>900</v>
      </c>
      <c r="UIR6" s="31">
        <v>900</v>
      </c>
      <c r="UIS6" s="31">
        <v>900</v>
      </c>
      <c r="UIT6" s="31">
        <v>900</v>
      </c>
      <c r="UIU6" s="31">
        <v>900</v>
      </c>
      <c r="UIV6" s="31">
        <v>900</v>
      </c>
      <c r="UIW6" s="31">
        <v>900</v>
      </c>
      <c r="UIX6" s="31">
        <v>900</v>
      </c>
      <c r="UIY6" s="31">
        <v>900</v>
      </c>
      <c r="UIZ6" s="31">
        <v>900</v>
      </c>
      <c r="UJA6" s="31">
        <v>900</v>
      </c>
      <c r="UJB6" s="31">
        <v>900</v>
      </c>
      <c r="UJC6" s="31">
        <v>900</v>
      </c>
      <c r="UJD6" s="31">
        <v>900</v>
      </c>
      <c r="UJE6" s="31">
        <v>900</v>
      </c>
      <c r="UJF6" s="31">
        <v>900</v>
      </c>
      <c r="UJG6" s="31">
        <v>900</v>
      </c>
      <c r="UJH6" s="31">
        <v>900</v>
      </c>
      <c r="UJI6" s="31">
        <v>900</v>
      </c>
      <c r="UJJ6" s="31">
        <v>900</v>
      </c>
      <c r="UJK6" s="31">
        <v>900</v>
      </c>
      <c r="UJL6" s="31">
        <v>900</v>
      </c>
      <c r="UJM6" s="31">
        <v>900</v>
      </c>
      <c r="UJN6" s="31">
        <v>900</v>
      </c>
      <c r="UJO6" s="31">
        <v>900</v>
      </c>
      <c r="UJP6" s="31">
        <v>900</v>
      </c>
      <c r="UJQ6" s="31">
        <v>900</v>
      </c>
      <c r="UJR6" s="31">
        <v>900</v>
      </c>
      <c r="UJS6" s="31">
        <v>900</v>
      </c>
      <c r="UJT6" s="31">
        <v>900</v>
      </c>
      <c r="UJU6" s="31">
        <v>900</v>
      </c>
      <c r="UJV6" s="31">
        <v>900</v>
      </c>
      <c r="UJW6" s="31">
        <v>900</v>
      </c>
      <c r="UJX6" s="31">
        <v>900</v>
      </c>
      <c r="UJY6" s="31">
        <v>900</v>
      </c>
      <c r="UJZ6" s="31">
        <v>900</v>
      </c>
      <c r="UKA6" s="31">
        <v>900</v>
      </c>
      <c r="UKB6" s="31">
        <v>900</v>
      </c>
      <c r="UKC6" s="31">
        <v>900</v>
      </c>
      <c r="UKD6" s="31">
        <v>900</v>
      </c>
      <c r="UKE6" s="31">
        <v>900</v>
      </c>
      <c r="UKF6" s="31">
        <v>900</v>
      </c>
      <c r="UKG6" s="31">
        <v>900</v>
      </c>
      <c r="UKH6" s="31">
        <v>900</v>
      </c>
      <c r="UKI6" s="31">
        <v>900</v>
      </c>
      <c r="UKJ6" s="31">
        <v>900</v>
      </c>
      <c r="UKK6" s="31">
        <v>900</v>
      </c>
      <c r="UKL6" s="31">
        <v>900</v>
      </c>
      <c r="UKM6" s="31">
        <v>900</v>
      </c>
      <c r="UKN6" s="31">
        <v>900</v>
      </c>
      <c r="UKO6" s="31">
        <v>900</v>
      </c>
      <c r="UKP6" s="31">
        <v>900</v>
      </c>
      <c r="UKQ6" s="31">
        <v>900</v>
      </c>
      <c r="UKR6" s="31">
        <v>900</v>
      </c>
      <c r="UKS6" s="31">
        <v>900</v>
      </c>
      <c r="UKT6" s="31">
        <v>900</v>
      </c>
      <c r="UKU6" s="31">
        <v>900</v>
      </c>
      <c r="UKV6" s="31">
        <v>900</v>
      </c>
      <c r="UKW6" s="31">
        <v>900</v>
      </c>
      <c r="UKX6" s="31">
        <v>900</v>
      </c>
      <c r="UKY6" s="31">
        <v>900</v>
      </c>
      <c r="UKZ6" s="31">
        <v>900</v>
      </c>
      <c r="ULA6" s="31">
        <v>900</v>
      </c>
      <c r="ULB6" s="31">
        <v>900</v>
      </c>
      <c r="ULC6" s="31">
        <v>900</v>
      </c>
      <c r="ULD6" s="31">
        <v>900</v>
      </c>
      <c r="ULE6" s="31">
        <v>900</v>
      </c>
      <c r="ULF6" s="31">
        <v>900</v>
      </c>
      <c r="ULG6" s="31">
        <v>900</v>
      </c>
      <c r="ULH6" s="31">
        <v>900</v>
      </c>
      <c r="ULI6" s="31">
        <v>900</v>
      </c>
      <c r="ULJ6" s="31">
        <v>900</v>
      </c>
      <c r="ULK6" s="31">
        <v>900</v>
      </c>
      <c r="ULL6" s="31">
        <v>900</v>
      </c>
      <c r="ULM6" s="31">
        <v>900</v>
      </c>
      <c r="ULN6" s="31">
        <v>900</v>
      </c>
      <c r="ULO6" s="31">
        <v>900</v>
      </c>
      <c r="ULP6" s="31">
        <v>900</v>
      </c>
      <c r="ULQ6" s="31">
        <v>900</v>
      </c>
      <c r="ULR6" s="31">
        <v>900</v>
      </c>
      <c r="ULS6" s="31">
        <v>900</v>
      </c>
      <c r="ULT6" s="31">
        <v>900</v>
      </c>
      <c r="ULU6" s="31">
        <v>900</v>
      </c>
      <c r="ULV6" s="31">
        <v>900</v>
      </c>
      <c r="ULW6" s="31">
        <v>900</v>
      </c>
      <c r="ULX6" s="31">
        <v>900</v>
      </c>
      <c r="ULY6" s="31">
        <v>900</v>
      </c>
      <c r="ULZ6" s="31">
        <v>900</v>
      </c>
      <c r="UMA6" s="31">
        <v>900</v>
      </c>
      <c r="UMB6" s="31">
        <v>900</v>
      </c>
      <c r="UMC6" s="31">
        <v>900</v>
      </c>
      <c r="UMD6" s="31">
        <v>900</v>
      </c>
      <c r="UME6" s="31">
        <v>900</v>
      </c>
      <c r="UMF6" s="31">
        <v>900</v>
      </c>
      <c r="UMG6" s="31">
        <v>900</v>
      </c>
      <c r="UMH6" s="31">
        <v>900</v>
      </c>
      <c r="UMI6" s="31">
        <v>900</v>
      </c>
      <c r="UMJ6" s="31">
        <v>900</v>
      </c>
      <c r="UMK6" s="31">
        <v>900</v>
      </c>
      <c r="UML6" s="31">
        <v>900</v>
      </c>
      <c r="UMM6" s="31">
        <v>900</v>
      </c>
      <c r="UMN6" s="31">
        <v>900</v>
      </c>
      <c r="UMO6" s="31">
        <v>900</v>
      </c>
      <c r="UMP6" s="31">
        <v>900</v>
      </c>
      <c r="UMQ6" s="31">
        <v>900</v>
      </c>
      <c r="UMR6" s="31">
        <v>900</v>
      </c>
      <c r="UMS6" s="31">
        <v>900</v>
      </c>
      <c r="UMT6" s="31">
        <v>900</v>
      </c>
      <c r="UMU6" s="31">
        <v>900</v>
      </c>
      <c r="UMV6" s="31">
        <v>900</v>
      </c>
      <c r="UMW6" s="31">
        <v>900</v>
      </c>
      <c r="UMX6" s="31">
        <v>900</v>
      </c>
      <c r="UMY6" s="31">
        <v>900</v>
      </c>
      <c r="UMZ6" s="31">
        <v>900</v>
      </c>
      <c r="UNA6" s="31">
        <v>900</v>
      </c>
      <c r="UNB6" s="31">
        <v>900</v>
      </c>
      <c r="UNC6" s="31">
        <v>900</v>
      </c>
      <c r="UND6" s="31">
        <v>900</v>
      </c>
      <c r="UNE6" s="31">
        <v>900</v>
      </c>
      <c r="UNF6" s="31">
        <v>900</v>
      </c>
      <c r="UNG6" s="31">
        <v>900</v>
      </c>
      <c r="UNH6" s="31">
        <v>900</v>
      </c>
      <c r="UNI6" s="31">
        <v>900</v>
      </c>
      <c r="UNJ6" s="31">
        <v>900</v>
      </c>
      <c r="UNK6" s="31">
        <v>900</v>
      </c>
      <c r="UNL6" s="31">
        <v>900</v>
      </c>
      <c r="UNM6" s="31">
        <v>900</v>
      </c>
      <c r="UNN6" s="31">
        <v>900</v>
      </c>
      <c r="UNO6" s="31">
        <v>900</v>
      </c>
      <c r="UNP6" s="31">
        <v>900</v>
      </c>
      <c r="UNQ6" s="31">
        <v>900</v>
      </c>
      <c r="UNR6" s="31">
        <v>900</v>
      </c>
      <c r="UNS6" s="31">
        <v>900</v>
      </c>
      <c r="UNT6" s="31">
        <v>900</v>
      </c>
      <c r="UNU6" s="31">
        <v>900</v>
      </c>
      <c r="UNV6" s="31">
        <v>900</v>
      </c>
      <c r="UNW6" s="31">
        <v>900</v>
      </c>
      <c r="UNX6" s="31">
        <v>900</v>
      </c>
      <c r="UNY6" s="31">
        <v>900</v>
      </c>
      <c r="UNZ6" s="31">
        <v>900</v>
      </c>
      <c r="UOA6" s="31">
        <v>900</v>
      </c>
      <c r="UOB6" s="31">
        <v>900</v>
      </c>
      <c r="UOC6" s="31">
        <v>900</v>
      </c>
      <c r="UOD6" s="31">
        <v>900</v>
      </c>
      <c r="UOE6" s="31">
        <v>900</v>
      </c>
      <c r="UOF6" s="31">
        <v>900</v>
      </c>
      <c r="UOG6" s="31">
        <v>900</v>
      </c>
      <c r="UOH6" s="31">
        <v>900</v>
      </c>
      <c r="UOI6" s="31">
        <v>900</v>
      </c>
      <c r="UOJ6" s="31">
        <v>900</v>
      </c>
      <c r="UOK6" s="31">
        <v>900</v>
      </c>
      <c r="UOL6" s="31">
        <v>900</v>
      </c>
      <c r="UOM6" s="31">
        <v>900</v>
      </c>
      <c r="UON6" s="31">
        <v>900</v>
      </c>
      <c r="UOO6" s="31">
        <v>900</v>
      </c>
      <c r="UOP6" s="31">
        <v>900</v>
      </c>
      <c r="UOQ6" s="31">
        <v>900</v>
      </c>
      <c r="UOR6" s="31">
        <v>900</v>
      </c>
      <c r="UOS6" s="31">
        <v>900</v>
      </c>
      <c r="UOT6" s="31">
        <v>900</v>
      </c>
      <c r="UOU6" s="31">
        <v>900</v>
      </c>
      <c r="UOV6" s="31">
        <v>900</v>
      </c>
      <c r="UOW6" s="31">
        <v>900</v>
      </c>
      <c r="UOX6" s="31">
        <v>900</v>
      </c>
      <c r="UOY6" s="31">
        <v>900</v>
      </c>
      <c r="UOZ6" s="31">
        <v>900</v>
      </c>
      <c r="UPA6" s="31">
        <v>900</v>
      </c>
      <c r="UPB6" s="31">
        <v>900</v>
      </c>
      <c r="UPC6" s="31">
        <v>900</v>
      </c>
      <c r="UPD6" s="31">
        <v>900</v>
      </c>
      <c r="UPE6" s="31">
        <v>900</v>
      </c>
      <c r="UPF6" s="31">
        <v>900</v>
      </c>
      <c r="UPG6" s="31">
        <v>900</v>
      </c>
      <c r="UPH6" s="31">
        <v>900</v>
      </c>
      <c r="UPI6" s="31">
        <v>900</v>
      </c>
      <c r="UPJ6" s="31">
        <v>900</v>
      </c>
      <c r="UPK6" s="31">
        <v>900</v>
      </c>
      <c r="UPL6" s="31">
        <v>900</v>
      </c>
      <c r="UPM6" s="31">
        <v>900</v>
      </c>
      <c r="UPN6" s="31">
        <v>900</v>
      </c>
      <c r="UPO6" s="31">
        <v>900</v>
      </c>
      <c r="UPP6" s="31">
        <v>900</v>
      </c>
      <c r="UPQ6" s="31">
        <v>900</v>
      </c>
      <c r="UPR6" s="31">
        <v>900</v>
      </c>
      <c r="UPS6" s="31">
        <v>900</v>
      </c>
      <c r="UPT6" s="31">
        <v>900</v>
      </c>
      <c r="UPU6" s="31">
        <v>900</v>
      </c>
      <c r="UPV6" s="31">
        <v>900</v>
      </c>
      <c r="UPW6" s="31">
        <v>900</v>
      </c>
      <c r="UPX6" s="31">
        <v>900</v>
      </c>
      <c r="UPY6" s="31">
        <v>900</v>
      </c>
      <c r="UPZ6" s="31">
        <v>900</v>
      </c>
      <c r="UQA6" s="31">
        <v>900</v>
      </c>
      <c r="UQB6" s="31">
        <v>900</v>
      </c>
      <c r="UQC6" s="31">
        <v>900</v>
      </c>
      <c r="UQD6" s="31">
        <v>900</v>
      </c>
      <c r="UQE6" s="31">
        <v>900</v>
      </c>
      <c r="UQF6" s="31">
        <v>900</v>
      </c>
      <c r="UQG6" s="31">
        <v>900</v>
      </c>
      <c r="UQH6" s="31">
        <v>900</v>
      </c>
      <c r="UQI6" s="31">
        <v>900</v>
      </c>
      <c r="UQJ6" s="31">
        <v>900</v>
      </c>
      <c r="UQK6" s="31">
        <v>900</v>
      </c>
      <c r="UQL6" s="31">
        <v>900</v>
      </c>
      <c r="UQM6" s="31">
        <v>900</v>
      </c>
      <c r="UQN6" s="31">
        <v>900</v>
      </c>
      <c r="UQO6" s="31">
        <v>900</v>
      </c>
      <c r="UQP6" s="31">
        <v>900</v>
      </c>
      <c r="UQQ6" s="31">
        <v>900</v>
      </c>
      <c r="UQR6" s="31">
        <v>900</v>
      </c>
      <c r="UQS6" s="31">
        <v>900</v>
      </c>
      <c r="UQT6" s="31">
        <v>900</v>
      </c>
      <c r="UQU6" s="31">
        <v>900</v>
      </c>
      <c r="UQV6" s="31">
        <v>900</v>
      </c>
      <c r="UQW6" s="31">
        <v>900</v>
      </c>
      <c r="UQX6" s="31">
        <v>900</v>
      </c>
      <c r="UQY6" s="31">
        <v>900</v>
      </c>
      <c r="UQZ6" s="31">
        <v>900</v>
      </c>
      <c r="URA6" s="31">
        <v>900</v>
      </c>
      <c r="URB6" s="31">
        <v>900</v>
      </c>
      <c r="URC6" s="31">
        <v>900</v>
      </c>
      <c r="URD6" s="31">
        <v>900</v>
      </c>
      <c r="URE6" s="31">
        <v>900</v>
      </c>
      <c r="URF6" s="31">
        <v>900</v>
      </c>
      <c r="URG6" s="31">
        <v>900</v>
      </c>
      <c r="URH6" s="31">
        <v>900</v>
      </c>
      <c r="URI6" s="31">
        <v>900</v>
      </c>
      <c r="URJ6" s="31">
        <v>900</v>
      </c>
      <c r="URK6" s="31">
        <v>900</v>
      </c>
      <c r="URL6" s="31">
        <v>900</v>
      </c>
      <c r="URM6" s="31">
        <v>900</v>
      </c>
      <c r="URN6" s="31">
        <v>900</v>
      </c>
      <c r="URO6" s="31">
        <v>900</v>
      </c>
      <c r="URP6" s="31">
        <v>900</v>
      </c>
      <c r="URQ6" s="31">
        <v>900</v>
      </c>
      <c r="URR6" s="31">
        <v>900</v>
      </c>
      <c r="URS6" s="31">
        <v>900</v>
      </c>
      <c r="URT6" s="31">
        <v>900</v>
      </c>
      <c r="URU6" s="31">
        <v>900</v>
      </c>
      <c r="URV6" s="31">
        <v>900</v>
      </c>
      <c r="URW6" s="31">
        <v>900</v>
      </c>
      <c r="URX6" s="31">
        <v>900</v>
      </c>
      <c r="URY6" s="31">
        <v>900</v>
      </c>
      <c r="URZ6" s="31">
        <v>900</v>
      </c>
      <c r="USA6" s="31">
        <v>900</v>
      </c>
      <c r="USB6" s="31">
        <v>900</v>
      </c>
      <c r="USC6" s="31">
        <v>900</v>
      </c>
      <c r="USD6" s="31">
        <v>900</v>
      </c>
      <c r="USE6" s="31">
        <v>900</v>
      </c>
      <c r="USF6" s="31">
        <v>900</v>
      </c>
      <c r="USG6" s="31">
        <v>900</v>
      </c>
      <c r="USH6" s="31">
        <v>900</v>
      </c>
      <c r="USI6" s="31">
        <v>900</v>
      </c>
      <c r="USJ6" s="31">
        <v>900</v>
      </c>
      <c r="USK6" s="31">
        <v>900</v>
      </c>
      <c r="USL6" s="31">
        <v>900</v>
      </c>
      <c r="USM6" s="31">
        <v>900</v>
      </c>
      <c r="USN6" s="31">
        <v>900</v>
      </c>
      <c r="USO6" s="31">
        <v>900</v>
      </c>
      <c r="USP6" s="31">
        <v>900</v>
      </c>
      <c r="USQ6" s="31">
        <v>900</v>
      </c>
      <c r="USR6" s="31">
        <v>900</v>
      </c>
      <c r="USS6" s="31">
        <v>900</v>
      </c>
      <c r="UST6" s="31">
        <v>900</v>
      </c>
      <c r="USU6" s="31">
        <v>900</v>
      </c>
      <c r="USV6" s="31">
        <v>900</v>
      </c>
      <c r="USW6" s="31">
        <v>900</v>
      </c>
      <c r="USX6" s="31">
        <v>900</v>
      </c>
      <c r="USY6" s="31">
        <v>900</v>
      </c>
      <c r="USZ6" s="31">
        <v>900</v>
      </c>
      <c r="UTA6" s="31">
        <v>900</v>
      </c>
      <c r="UTB6" s="31">
        <v>900</v>
      </c>
      <c r="UTC6" s="31">
        <v>900</v>
      </c>
      <c r="UTD6" s="31">
        <v>900</v>
      </c>
      <c r="UTE6" s="31">
        <v>900</v>
      </c>
      <c r="UTF6" s="31">
        <v>900</v>
      </c>
      <c r="UTG6" s="31">
        <v>900</v>
      </c>
      <c r="UTH6" s="31">
        <v>900</v>
      </c>
      <c r="UTI6" s="31">
        <v>900</v>
      </c>
      <c r="UTJ6" s="31">
        <v>900</v>
      </c>
      <c r="UTK6" s="31">
        <v>900</v>
      </c>
      <c r="UTL6" s="31">
        <v>900</v>
      </c>
      <c r="UTM6" s="31">
        <v>900</v>
      </c>
      <c r="UTN6" s="31">
        <v>900</v>
      </c>
      <c r="UTO6" s="31">
        <v>900</v>
      </c>
      <c r="UTP6" s="31">
        <v>900</v>
      </c>
      <c r="UTQ6" s="31">
        <v>900</v>
      </c>
      <c r="UTR6" s="31">
        <v>900</v>
      </c>
      <c r="UTS6" s="31">
        <v>900</v>
      </c>
      <c r="UTT6" s="31">
        <v>900</v>
      </c>
      <c r="UTU6" s="31">
        <v>900</v>
      </c>
      <c r="UTV6" s="31">
        <v>900</v>
      </c>
      <c r="UTW6" s="31">
        <v>900</v>
      </c>
      <c r="UTX6" s="31">
        <v>900</v>
      </c>
      <c r="UTY6" s="31">
        <v>900</v>
      </c>
      <c r="UTZ6" s="31">
        <v>900</v>
      </c>
      <c r="UUA6" s="31">
        <v>900</v>
      </c>
      <c r="UUB6" s="31">
        <v>900</v>
      </c>
      <c r="UUC6" s="31">
        <v>900</v>
      </c>
      <c r="UUD6" s="31">
        <v>900</v>
      </c>
      <c r="UUE6" s="31">
        <v>900</v>
      </c>
      <c r="UUF6" s="31">
        <v>900</v>
      </c>
      <c r="UUG6" s="31">
        <v>900</v>
      </c>
      <c r="UUH6" s="31">
        <v>900</v>
      </c>
      <c r="UUI6" s="31">
        <v>900</v>
      </c>
      <c r="UUJ6" s="31">
        <v>900</v>
      </c>
      <c r="UUK6" s="31">
        <v>900</v>
      </c>
      <c r="UUL6" s="31">
        <v>900</v>
      </c>
      <c r="UUM6" s="31">
        <v>900</v>
      </c>
      <c r="UUN6" s="31">
        <v>900</v>
      </c>
      <c r="UUO6" s="31">
        <v>900</v>
      </c>
      <c r="UUP6" s="31">
        <v>900</v>
      </c>
      <c r="UUQ6" s="31">
        <v>900</v>
      </c>
      <c r="UUR6" s="31">
        <v>900</v>
      </c>
      <c r="UUS6" s="31">
        <v>900</v>
      </c>
      <c r="UUT6" s="31">
        <v>900</v>
      </c>
      <c r="UUU6" s="31">
        <v>900</v>
      </c>
      <c r="UUV6" s="31">
        <v>900</v>
      </c>
      <c r="UUW6" s="31">
        <v>900</v>
      </c>
      <c r="UUX6" s="31">
        <v>900</v>
      </c>
      <c r="UUY6" s="31">
        <v>900</v>
      </c>
      <c r="UUZ6" s="31">
        <v>900</v>
      </c>
      <c r="UVA6" s="31">
        <v>900</v>
      </c>
      <c r="UVB6" s="31">
        <v>900</v>
      </c>
      <c r="UVC6" s="31">
        <v>900</v>
      </c>
      <c r="UVD6" s="31">
        <v>900</v>
      </c>
      <c r="UVE6" s="31">
        <v>900</v>
      </c>
      <c r="UVF6" s="31">
        <v>900</v>
      </c>
      <c r="UVG6" s="31">
        <v>900</v>
      </c>
      <c r="UVH6" s="31">
        <v>900</v>
      </c>
      <c r="UVI6" s="31">
        <v>900</v>
      </c>
      <c r="UVJ6" s="31">
        <v>900</v>
      </c>
      <c r="UVK6" s="31">
        <v>900</v>
      </c>
      <c r="UVL6" s="31">
        <v>900</v>
      </c>
      <c r="UVM6" s="31">
        <v>900</v>
      </c>
      <c r="UVN6" s="31">
        <v>900</v>
      </c>
      <c r="UVO6" s="31">
        <v>900</v>
      </c>
      <c r="UVP6" s="31">
        <v>900</v>
      </c>
      <c r="UVQ6" s="31">
        <v>900</v>
      </c>
      <c r="UVR6" s="31">
        <v>900</v>
      </c>
      <c r="UVS6" s="31">
        <v>900</v>
      </c>
      <c r="UVT6" s="31">
        <v>900</v>
      </c>
      <c r="UVU6" s="31">
        <v>900</v>
      </c>
      <c r="UVV6" s="31">
        <v>900</v>
      </c>
      <c r="UVW6" s="31">
        <v>900</v>
      </c>
      <c r="UVX6" s="31">
        <v>900</v>
      </c>
      <c r="UVY6" s="31">
        <v>900</v>
      </c>
      <c r="UVZ6" s="31">
        <v>900</v>
      </c>
      <c r="UWA6" s="31">
        <v>900</v>
      </c>
      <c r="UWB6" s="31">
        <v>900</v>
      </c>
      <c r="UWC6" s="31">
        <v>900</v>
      </c>
      <c r="UWD6" s="31">
        <v>900</v>
      </c>
      <c r="UWE6" s="31">
        <v>900</v>
      </c>
      <c r="UWF6" s="31">
        <v>900</v>
      </c>
      <c r="UWG6" s="31">
        <v>900</v>
      </c>
      <c r="UWH6" s="31">
        <v>900</v>
      </c>
      <c r="UWI6" s="31">
        <v>900</v>
      </c>
      <c r="UWJ6" s="31">
        <v>900</v>
      </c>
      <c r="UWK6" s="31">
        <v>900</v>
      </c>
      <c r="UWL6" s="31">
        <v>900</v>
      </c>
      <c r="UWM6" s="31">
        <v>900</v>
      </c>
      <c r="UWN6" s="31">
        <v>900</v>
      </c>
      <c r="UWO6" s="31">
        <v>900</v>
      </c>
      <c r="UWP6" s="31">
        <v>900</v>
      </c>
      <c r="UWQ6" s="31">
        <v>900</v>
      </c>
      <c r="UWR6" s="31">
        <v>900</v>
      </c>
      <c r="UWS6" s="31">
        <v>900</v>
      </c>
      <c r="UWT6" s="31">
        <v>900</v>
      </c>
      <c r="UWU6" s="31">
        <v>900</v>
      </c>
      <c r="UWV6" s="31">
        <v>900</v>
      </c>
      <c r="UWW6" s="31">
        <v>900</v>
      </c>
      <c r="UWX6" s="31">
        <v>900</v>
      </c>
      <c r="UWY6" s="31">
        <v>900</v>
      </c>
      <c r="UWZ6" s="31">
        <v>900</v>
      </c>
      <c r="UXA6" s="31">
        <v>900</v>
      </c>
      <c r="UXB6" s="31">
        <v>900</v>
      </c>
      <c r="UXC6" s="31">
        <v>900</v>
      </c>
      <c r="UXD6" s="31">
        <v>900</v>
      </c>
      <c r="UXE6" s="31">
        <v>900</v>
      </c>
      <c r="UXF6" s="31">
        <v>900</v>
      </c>
      <c r="UXG6" s="31">
        <v>900</v>
      </c>
      <c r="UXH6" s="31">
        <v>900</v>
      </c>
      <c r="UXI6" s="31">
        <v>900</v>
      </c>
      <c r="UXJ6" s="31">
        <v>900</v>
      </c>
      <c r="UXK6" s="31">
        <v>900</v>
      </c>
      <c r="UXL6" s="31">
        <v>900</v>
      </c>
      <c r="UXM6" s="31">
        <v>900</v>
      </c>
      <c r="UXN6" s="31">
        <v>900</v>
      </c>
      <c r="UXO6" s="31">
        <v>900</v>
      </c>
      <c r="UXP6" s="31">
        <v>900</v>
      </c>
      <c r="UXQ6" s="31">
        <v>900</v>
      </c>
      <c r="UXR6" s="31">
        <v>900</v>
      </c>
      <c r="UXS6" s="31">
        <v>900</v>
      </c>
      <c r="UXT6" s="31">
        <v>900</v>
      </c>
      <c r="UXU6" s="31">
        <v>900</v>
      </c>
      <c r="UXV6" s="31">
        <v>900</v>
      </c>
      <c r="UXW6" s="31">
        <v>900</v>
      </c>
      <c r="UXX6" s="31">
        <v>900</v>
      </c>
      <c r="UXY6" s="31">
        <v>900</v>
      </c>
      <c r="UXZ6" s="31">
        <v>900</v>
      </c>
      <c r="UYA6" s="31">
        <v>900</v>
      </c>
      <c r="UYB6" s="31">
        <v>900</v>
      </c>
      <c r="UYC6" s="31">
        <v>900</v>
      </c>
      <c r="UYD6" s="31">
        <v>900</v>
      </c>
      <c r="UYE6" s="31">
        <v>900</v>
      </c>
      <c r="UYF6" s="31">
        <v>900</v>
      </c>
      <c r="UYG6" s="31">
        <v>900</v>
      </c>
      <c r="UYH6" s="31">
        <v>900</v>
      </c>
      <c r="UYI6" s="31">
        <v>900</v>
      </c>
      <c r="UYJ6" s="31">
        <v>900</v>
      </c>
      <c r="UYK6" s="31">
        <v>900</v>
      </c>
      <c r="UYL6" s="31">
        <v>900</v>
      </c>
      <c r="UYM6" s="31">
        <v>900</v>
      </c>
      <c r="UYN6" s="31">
        <v>900</v>
      </c>
      <c r="UYO6" s="31">
        <v>900</v>
      </c>
      <c r="UYP6" s="31">
        <v>900</v>
      </c>
      <c r="UYQ6" s="31">
        <v>900</v>
      </c>
      <c r="UYR6" s="31">
        <v>900</v>
      </c>
      <c r="UYS6" s="31">
        <v>900</v>
      </c>
      <c r="UYT6" s="31">
        <v>900</v>
      </c>
      <c r="UYU6" s="31">
        <v>900</v>
      </c>
      <c r="UYV6" s="31">
        <v>900</v>
      </c>
      <c r="UYW6" s="31">
        <v>900</v>
      </c>
      <c r="UYX6" s="31">
        <v>900</v>
      </c>
      <c r="UYY6" s="31">
        <v>900</v>
      </c>
      <c r="UYZ6" s="31">
        <v>900</v>
      </c>
      <c r="UZA6" s="31">
        <v>900</v>
      </c>
      <c r="UZB6" s="31">
        <v>900</v>
      </c>
      <c r="UZC6" s="31">
        <v>900</v>
      </c>
      <c r="UZD6" s="31">
        <v>900</v>
      </c>
      <c r="UZE6" s="31">
        <v>900</v>
      </c>
      <c r="UZF6" s="31">
        <v>900</v>
      </c>
      <c r="UZG6" s="31">
        <v>900</v>
      </c>
      <c r="UZH6" s="31">
        <v>900</v>
      </c>
      <c r="UZI6" s="31">
        <v>900</v>
      </c>
      <c r="UZJ6" s="31">
        <v>900</v>
      </c>
      <c r="UZK6" s="31">
        <v>900</v>
      </c>
      <c r="UZL6" s="31">
        <v>900</v>
      </c>
      <c r="UZM6" s="31">
        <v>900</v>
      </c>
      <c r="UZN6" s="31">
        <v>900</v>
      </c>
      <c r="UZO6" s="31">
        <v>900</v>
      </c>
      <c r="UZP6" s="31">
        <v>900</v>
      </c>
      <c r="UZQ6" s="31">
        <v>900</v>
      </c>
      <c r="UZR6" s="31">
        <v>900</v>
      </c>
      <c r="UZS6" s="31">
        <v>900</v>
      </c>
      <c r="UZT6" s="31">
        <v>900</v>
      </c>
      <c r="UZU6" s="31">
        <v>900</v>
      </c>
      <c r="UZV6" s="31">
        <v>900</v>
      </c>
      <c r="UZW6" s="31">
        <v>900</v>
      </c>
      <c r="UZX6" s="31">
        <v>900</v>
      </c>
      <c r="UZY6" s="31">
        <v>900</v>
      </c>
      <c r="UZZ6" s="31">
        <v>900</v>
      </c>
      <c r="VAA6" s="31">
        <v>900</v>
      </c>
      <c r="VAB6" s="31">
        <v>900</v>
      </c>
      <c r="VAC6" s="31">
        <v>900</v>
      </c>
      <c r="VAD6" s="31">
        <v>900</v>
      </c>
      <c r="VAE6" s="31">
        <v>900</v>
      </c>
      <c r="VAF6" s="31">
        <v>900</v>
      </c>
      <c r="VAG6" s="31">
        <v>900</v>
      </c>
      <c r="VAH6" s="31">
        <v>900</v>
      </c>
      <c r="VAI6" s="31">
        <v>900</v>
      </c>
      <c r="VAJ6" s="31">
        <v>900</v>
      </c>
      <c r="VAK6" s="31">
        <v>900</v>
      </c>
      <c r="VAL6" s="31">
        <v>900</v>
      </c>
      <c r="VAM6" s="31">
        <v>900</v>
      </c>
      <c r="VAN6" s="31">
        <v>900</v>
      </c>
      <c r="VAO6" s="31">
        <v>900</v>
      </c>
      <c r="VAP6" s="31">
        <v>900</v>
      </c>
      <c r="VAQ6" s="31">
        <v>900</v>
      </c>
      <c r="VAR6" s="31">
        <v>900</v>
      </c>
      <c r="VAS6" s="31">
        <v>900</v>
      </c>
      <c r="VAT6" s="31">
        <v>900</v>
      </c>
      <c r="VAU6" s="31">
        <v>900</v>
      </c>
      <c r="VAV6" s="31">
        <v>900</v>
      </c>
      <c r="VAW6" s="31">
        <v>900</v>
      </c>
      <c r="VAX6" s="31">
        <v>900</v>
      </c>
      <c r="VAY6" s="31">
        <v>900</v>
      </c>
      <c r="VAZ6" s="31">
        <v>900</v>
      </c>
      <c r="VBA6" s="31">
        <v>900</v>
      </c>
      <c r="VBB6" s="31">
        <v>900</v>
      </c>
      <c r="VBC6" s="31">
        <v>900</v>
      </c>
      <c r="VBD6" s="31">
        <v>900</v>
      </c>
      <c r="VBE6" s="31">
        <v>900</v>
      </c>
      <c r="VBF6" s="31">
        <v>900</v>
      </c>
      <c r="VBG6" s="31">
        <v>900</v>
      </c>
      <c r="VBH6" s="31">
        <v>900</v>
      </c>
      <c r="VBI6" s="31">
        <v>900</v>
      </c>
      <c r="VBJ6" s="31">
        <v>900</v>
      </c>
      <c r="VBK6" s="31">
        <v>900</v>
      </c>
      <c r="VBL6" s="31">
        <v>900</v>
      </c>
      <c r="VBM6" s="31">
        <v>900</v>
      </c>
      <c r="VBN6" s="31">
        <v>900</v>
      </c>
      <c r="VBO6" s="31">
        <v>900</v>
      </c>
      <c r="VBP6" s="31">
        <v>900</v>
      </c>
      <c r="VBQ6" s="31">
        <v>900</v>
      </c>
      <c r="VBR6" s="31">
        <v>900</v>
      </c>
      <c r="VBS6" s="31">
        <v>900</v>
      </c>
      <c r="VBT6" s="31">
        <v>900</v>
      </c>
      <c r="VBU6" s="31">
        <v>900</v>
      </c>
      <c r="VBV6" s="31">
        <v>900</v>
      </c>
      <c r="VBW6" s="31">
        <v>900</v>
      </c>
      <c r="VBX6" s="31">
        <v>900</v>
      </c>
      <c r="VBY6" s="31">
        <v>900</v>
      </c>
      <c r="VBZ6" s="31">
        <v>900</v>
      </c>
      <c r="VCA6" s="31">
        <v>900</v>
      </c>
      <c r="VCB6" s="31">
        <v>900</v>
      </c>
      <c r="VCC6" s="31">
        <v>900</v>
      </c>
      <c r="VCD6" s="31">
        <v>900</v>
      </c>
      <c r="VCE6" s="31">
        <v>900</v>
      </c>
      <c r="VCF6" s="31">
        <v>900</v>
      </c>
      <c r="VCG6" s="31">
        <v>900</v>
      </c>
      <c r="VCH6" s="31">
        <v>900</v>
      </c>
      <c r="VCI6" s="31">
        <v>900</v>
      </c>
      <c r="VCJ6" s="31">
        <v>900</v>
      </c>
      <c r="VCK6" s="31">
        <v>900</v>
      </c>
      <c r="VCL6" s="31">
        <v>900</v>
      </c>
      <c r="VCM6" s="31">
        <v>900</v>
      </c>
      <c r="VCN6" s="31">
        <v>900</v>
      </c>
      <c r="VCO6" s="31">
        <v>900</v>
      </c>
      <c r="VCP6" s="31">
        <v>900</v>
      </c>
      <c r="VCQ6" s="31">
        <v>900</v>
      </c>
      <c r="VCR6" s="31">
        <v>900</v>
      </c>
      <c r="VCS6" s="31">
        <v>900</v>
      </c>
      <c r="VCT6" s="31">
        <v>900</v>
      </c>
      <c r="VCU6" s="31">
        <v>900</v>
      </c>
      <c r="VCV6" s="31">
        <v>900</v>
      </c>
      <c r="VCW6" s="31">
        <v>900</v>
      </c>
      <c r="VCX6" s="31">
        <v>900</v>
      </c>
      <c r="VCY6" s="31">
        <v>900</v>
      </c>
      <c r="VCZ6" s="31">
        <v>900</v>
      </c>
      <c r="VDA6" s="31">
        <v>900</v>
      </c>
      <c r="VDB6" s="31">
        <v>900</v>
      </c>
      <c r="VDC6" s="31">
        <v>900</v>
      </c>
      <c r="VDD6" s="31">
        <v>900</v>
      </c>
      <c r="VDE6" s="31">
        <v>900</v>
      </c>
      <c r="VDF6" s="31">
        <v>900</v>
      </c>
      <c r="VDG6" s="31">
        <v>900</v>
      </c>
      <c r="VDH6" s="31">
        <v>900</v>
      </c>
      <c r="VDI6" s="31">
        <v>900</v>
      </c>
      <c r="VDJ6" s="31">
        <v>900</v>
      </c>
      <c r="VDK6" s="31">
        <v>900</v>
      </c>
      <c r="VDL6" s="31">
        <v>900</v>
      </c>
      <c r="VDM6" s="31">
        <v>900</v>
      </c>
      <c r="VDN6" s="31">
        <v>900</v>
      </c>
      <c r="VDO6" s="31">
        <v>900</v>
      </c>
      <c r="VDP6" s="31">
        <v>900</v>
      </c>
      <c r="VDQ6" s="31">
        <v>900</v>
      </c>
      <c r="VDR6" s="31">
        <v>900</v>
      </c>
      <c r="VDS6" s="31">
        <v>900</v>
      </c>
      <c r="VDT6" s="31">
        <v>900</v>
      </c>
      <c r="VDU6" s="31">
        <v>900</v>
      </c>
      <c r="VDV6" s="31">
        <v>900</v>
      </c>
      <c r="VDW6" s="31">
        <v>900</v>
      </c>
      <c r="VDX6" s="31">
        <v>900</v>
      </c>
      <c r="VDY6" s="31">
        <v>900</v>
      </c>
      <c r="VDZ6" s="31">
        <v>900</v>
      </c>
      <c r="VEA6" s="31">
        <v>900</v>
      </c>
      <c r="VEB6" s="31">
        <v>900</v>
      </c>
      <c r="VEC6" s="31">
        <v>900</v>
      </c>
      <c r="VED6" s="31">
        <v>900</v>
      </c>
      <c r="VEE6" s="31">
        <v>900</v>
      </c>
      <c r="VEF6" s="31">
        <v>900</v>
      </c>
      <c r="VEG6" s="31">
        <v>900</v>
      </c>
      <c r="VEH6" s="31">
        <v>900</v>
      </c>
      <c r="VEI6" s="31">
        <v>900</v>
      </c>
      <c r="VEJ6" s="31">
        <v>900</v>
      </c>
      <c r="VEK6" s="31">
        <v>900</v>
      </c>
      <c r="VEL6" s="31">
        <v>900</v>
      </c>
      <c r="VEM6" s="31">
        <v>900</v>
      </c>
      <c r="VEN6" s="31">
        <v>900</v>
      </c>
      <c r="VEO6" s="31">
        <v>900</v>
      </c>
      <c r="VEP6" s="31">
        <v>900</v>
      </c>
      <c r="VEQ6" s="31">
        <v>900</v>
      </c>
      <c r="VER6" s="31">
        <v>900</v>
      </c>
      <c r="VES6" s="31">
        <v>900</v>
      </c>
      <c r="VET6" s="31">
        <v>900</v>
      </c>
      <c r="VEU6" s="31">
        <v>900</v>
      </c>
      <c r="VEV6" s="31">
        <v>900</v>
      </c>
      <c r="VEW6" s="31">
        <v>900</v>
      </c>
      <c r="VEX6" s="31">
        <v>900</v>
      </c>
      <c r="VEY6" s="31">
        <v>900</v>
      </c>
      <c r="VEZ6" s="31">
        <v>900</v>
      </c>
      <c r="VFA6" s="31">
        <v>900</v>
      </c>
      <c r="VFB6" s="31">
        <v>900</v>
      </c>
      <c r="VFC6" s="31">
        <v>900</v>
      </c>
      <c r="VFD6" s="31">
        <v>900</v>
      </c>
      <c r="VFE6" s="31">
        <v>900</v>
      </c>
      <c r="VFF6" s="31">
        <v>900</v>
      </c>
      <c r="VFG6" s="31">
        <v>900</v>
      </c>
      <c r="VFH6" s="31">
        <v>900</v>
      </c>
      <c r="VFI6" s="31">
        <v>900</v>
      </c>
      <c r="VFJ6" s="31">
        <v>900</v>
      </c>
      <c r="VFK6" s="31">
        <v>900</v>
      </c>
      <c r="VFL6" s="31">
        <v>900</v>
      </c>
      <c r="VFM6" s="31">
        <v>900</v>
      </c>
      <c r="VFN6" s="31">
        <v>900</v>
      </c>
      <c r="VFO6" s="31">
        <v>900</v>
      </c>
      <c r="VFP6" s="31">
        <v>900</v>
      </c>
      <c r="VFQ6" s="31">
        <v>900</v>
      </c>
      <c r="VFR6" s="31">
        <v>900</v>
      </c>
      <c r="VFS6" s="31">
        <v>900</v>
      </c>
      <c r="VFT6" s="31">
        <v>900</v>
      </c>
      <c r="VFU6" s="31">
        <v>900</v>
      </c>
      <c r="VFV6" s="31">
        <v>900</v>
      </c>
      <c r="VFW6" s="31">
        <v>900</v>
      </c>
      <c r="VFX6" s="31">
        <v>900</v>
      </c>
      <c r="VFY6" s="31">
        <v>900</v>
      </c>
      <c r="VFZ6" s="31">
        <v>900</v>
      </c>
      <c r="VGA6" s="31">
        <v>900</v>
      </c>
      <c r="VGB6" s="31">
        <v>900</v>
      </c>
      <c r="VGC6" s="31">
        <v>900</v>
      </c>
      <c r="VGD6" s="31">
        <v>900</v>
      </c>
      <c r="VGE6" s="31">
        <v>900</v>
      </c>
      <c r="VGF6" s="31">
        <v>900</v>
      </c>
      <c r="VGG6" s="31">
        <v>900</v>
      </c>
      <c r="VGH6" s="31">
        <v>900</v>
      </c>
      <c r="VGI6" s="31">
        <v>900</v>
      </c>
      <c r="VGJ6" s="31">
        <v>900</v>
      </c>
      <c r="VGK6" s="31">
        <v>900</v>
      </c>
      <c r="VGL6" s="31">
        <v>900</v>
      </c>
      <c r="VGM6" s="31">
        <v>900</v>
      </c>
      <c r="VGN6" s="31">
        <v>900</v>
      </c>
      <c r="VGO6" s="31">
        <v>900</v>
      </c>
      <c r="VGP6" s="31">
        <v>900</v>
      </c>
      <c r="VGQ6" s="31">
        <v>900</v>
      </c>
      <c r="VGR6" s="31">
        <v>900</v>
      </c>
      <c r="VGS6" s="31">
        <v>900</v>
      </c>
      <c r="VGT6" s="31">
        <v>900</v>
      </c>
      <c r="VGU6" s="31">
        <v>900</v>
      </c>
      <c r="VGV6" s="31">
        <v>900</v>
      </c>
      <c r="VGW6" s="31">
        <v>900</v>
      </c>
      <c r="VGX6" s="31">
        <v>900</v>
      </c>
      <c r="VGY6" s="31">
        <v>900</v>
      </c>
      <c r="VGZ6" s="31">
        <v>900</v>
      </c>
      <c r="VHA6" s="31">
        <v>900</v>
      </c>
      <c r="VHB6" s="31">
        <v>900</v>
      </c>
      <c r="VHC6" s="31">
        <v>900</v>
      </c>
      <c r="VHD6" s="31">
        <v>900</v>
      </c>
      <c r="VHE6" s="31">
        <v>900</v>
      </c>
      <c r="VHF6" s="31">
        <v>900</v>
      </c>
      <c r="VHG6" s="31">
        <v>900</v>
      </c>
      <c r="VHH6" s="31">
        <v>900</v>
      </c>
      <c r="VHI6" s="31">
        <v>900</v>
      </c>
      <c r="VHJ6" s="31">
        <v>900</v>
      </c>
      <c r="VHK6" s="31">
        <v>900</v>
      </c>
      <c r="VHL6" s="31">
        <v>900</v>
      </c>
      <c r="VHM6" s="31">
        <v>900</v>
      </c>
      <c r="VHN6" s="31">
        <v>900</v>
      </c>
      <c r="VHO6" s="31">
        <v>900</v>
      </c>
      <c r="VHP6" s="31">
        <v>900</v>
      </c>
      <c r="VHQ6" s="31">
        <v>900</v>
      </c>
      <c r="VHR6" s="31">
        <v>900</v>
      </c>
      <c r="VHS6" s="31">
        <v>900</v>
      </c>
      <c r="VHT6" s="31">
        <v>900</v>
      </c>
      <c r="VHU6" s="31">
        <v>900</v>
      </c>
      <c r="VHV6" s="31">
        <v>900</v>
      </c>
      <c r="VHW6" s="31">
        <v>900</v>
      </c>
      <c r="VHX6" s="31">
        <v>900</v>
      </c>
      <c r="VHY6" s="31">
        <v>900</v>
      </c>
      <c r="VHZ6" s="31">
        <v>900</v>
      </c>
      <c r="VIA6" s="31">
        <v>900</v>
      </c>
      <c r="VIB6" s="31">
        <v>900</v>
      </c>
      <c r="VIC6" s="31">
        <v>900</v>
      </c>
      <c r="VID6" s="31">
        <v>900</v>
      </c>
      <c r="VIE6" s="31">
        <v>900</v>
      </c>
      <c r="VIF6" s="31">
        <v>900</v>
      </c>
      <c r="VIG6" s="31">
        <v>900</v>
      </c>
      <c r="VIH6" s="31">
        <v>900</v>
      </c>
      <c r="VII6" s="31">
        <v>900</v>
      </c>
      <c r="VIJ6" s="31">
        <v>900</v>
      </c>
      <c r="VIK6" s="31">
        <v>900</v>
      </c>
      <c r="VIL6" s="31">
        <v>900</v>
      </c>
      <c r="VIM6" s="31">
        <v>900</v>
      </c>
      <c r="VIN6" s="31">
        <v>900</v>
      </c>
      <c r="VIO6" s="31">
        <v>900</v>
      </c>
      <c r="VIP6" s="31">
        <v>900</v>
      </c>
      <c r="VIQ6" s="31">
        <v>900</v>
      </c>
      <c r="VIR6" s="31">
        <v>900</v>
      </c>
      <c r="VIS6" s="31">
        <v>900</v>
      </c>
      <c r="VIT6" s="31">
        <v>900</v>
      </c>
      <c r="VIU6" s="31">
        <v>900</v>
      </c>
      <c r="VIV6" s="31">
        <v>900</v>
      </c>
      <c r="VIW6" s="31">
        <v>900</v>
      </c>
      <c r="VIX6" s="31">
        <v>900</v>
      </c>
      <c r="VIY6" s="31">
        <v>900</v>
      </c>
      <c r="VIZ6" s="31">
        <v>900</v>
      </c>
      <c r="VJA6" s="31">
        <v>900</v>
      </c>
      <c r="VJB6" s="31">
        <v>900</v>
      </c>
      <c r="VJC6" s="31">
        <v>900</v>
      </c>
      <c r="VJD6" s="31">
        <v>900</v>
      </c>
      <c r="VJE6" s="31">
        <v>900</v>
      </c>
      <c r="VJF6" s="31">
        <v>900</v>
      </c>
      <c r="VJG6" s="31">
        <v>900</v>
      </c>
      <c r="VJH6" s="31">
        <v>900</v>
      </c>
      <c r="VJI6" s="31">
        <v>900</v>
      </c>
      <c r="VJJ6" s="31">
        <v>900</v>
      </c>
      <c r="VJK6" s="31">
        <v>900</v>
      </c>
      <c r="VJL6" s="31">
        <v>900</v>
      </c>
      <c r="VJM6" s="31">
        <v>900</v>
      </c>
      <c r="VJN6" s="31">
        <v>900</v>
      </c>
      <c r="VJO6" s="31">
        <v>900</v>
      </c>
      <c r="VJP6" s="31">
        <v>900</v>
      </c>
      <c r="VJQ6" s="31">
        <v>900</v>
      </c>
      <c r="VJR6" s="31">
        <v>900</v>
      </c>
      <c r="VJS6" s="31">
        <v>900</v>
      </c>
      <c r="VJT6" s="31">
        <v>900</v>
      </c>
      <c r="VJU6" s="31">
        <v>900</v>
      </c>
      <c r="VJV6" s="31">
        <v>900</v>
      </c>
      <c r="VJW6" s="31">
        <v>900</v>
      </c>
      <c r="VJX6" s="31">
        <v>900</v>
      </c>
      <c r="VJY6" s="31">
        <v>900</v>
      </c>
      <c r="VJZ6" s="31">
        <v>900</v>
      </c>
      <c r="VKA6" s="31">
        <v>900</v>
      </c>
      <c r="VKB6" s="31">
        <v>900</v>
      </c>
      <c r="VKC6" s="31">
        <v>900</v>
      </c>
      <c r="VKD6" s="31">
        <v>900</v>
      </c>
      <c r="VKE6" s="31">
        <v>900</v>
      </c>
      <c r="VKF6" s="31">
        <v>900</v>
      </c>
      <c r="VKG6" s="31">
        <v>900</v>
      </c>
      <c r="VKH6" s="31">
        <v>900</v>
      </c>
      <c r="VKI6" s="31">
        <v>900</v>
      </c>
      <c r="VKJ6" s="31">
        <v>900</v>
      </c>
      <c r="VKK6" s="31">
        <v>900</v>
      </c>
      <c r="VKL6" s="31">
        <v>900</v>
      </c>
      <c r="VKM6" s="31">
        <v>900</v>
      </c>
      <c r="VKN6" s="31">
        <v>900</v>
      </c>
      <c r="VKO6" s="31">
        <v>900</v>
      </c>
      <c r="VKP6" s="31">
        <v>900</v>
      </c>
      <c r="VKQ6" s="31">
        <v>900</v>
      </c>
      <c r="VKR6" s="31">
        <v>900</v>
      </c>
      <c r="VKS6" s="31">
        <v>900</v>
      </c>
      <c r="VKT6" s="31">
        <v>900</v>
      </c>
      <c r="VKU6" s="31">
        <v>900</v>
      </c>
      <c r="VKV6" s="31">
        <v>900</v>
      </c>
      <c r="VKW6" s="31">
        <v>900</v>
      </c>
      <c r="VKX6" s="31">
        <v>900</v>
      </c>
      <c r="VKY6" s="31">
        <v>900</v>
      </c>
      <c r="VKZ6" s="31">
        <v>900</v>
      </c>
      <c r="VLA6" s="31">
        <v>900</v>
      </c>
      <c r="VLB6" s="31">
        <v>900</v>
      </c>
      <c r="VLC6" s="31">
        <v>900</v>
      </c>
      <c r="VLD6" s="31">
        <v>900</v>
      </c>
      <c r="VLE6" s="31">
        <v>900</v>
      </c>
      <c r="VLF6" s="31">
        <v>900</v>
      </c>
      <c r="VLG6" s="31">
        <v>900</v>
      </c>
      <c r="VLH6" s="31">
        <v>900</v>
      </c>
      <c r="VLI6" s="31">
        <v>900</v>
      </c>
      <c r="VLJ6" s="31">
        <v>900</v>
      </c>
      <c r="VLK6" s="31">
        <v>900</v>
      </c>
      <c r="VLL6" s="31">
        <v>900</v>
      </c>
      <c r="VLM6" s="31">
        <v>900</v>
      </c>
      <c r="VLN6" s="31">
        <v>900</v>
      </c>
      <c r="VLO6" s="31">
        <v>900</v>
      </c>
      <c r="VLP6" s="31">
        <v>900</v>
      </c>
      <c r="VLQ6" s="31">
        <v>900</v>
      </c>
      <c r="VLR6" s="31">
        <v>900</v>
      </c>
      <c r="VLS6" s="31">
        <v>900</v>
      </c>
      <c r="VLT6" s="31">
        <v>900</v>
      </c>
      <c r="VLU6" s="31">
        <v>900</v>
      </c>
      <c r="VLV6" s="31">
        <v>900</v>
      </c>
      <c r="VLW6" s="31">
        <v>900</v>
      </c>
      <c r="VLX6" s="31">
        <v>900</v>
      </c>
      <c r="VLY6" s="31">
        <v>900</v>
      </c>
      <c r="VLZ6" s="31">
        <v>900</v>
      </c>
      <c r="VMA6" s="31">
        <v>900</v>
      </c>
      <c r="VMB6" s="31">
        <v>900</v>
      </c>
      <c r="VMC6" s="31">
        <v>900</v>
      </c>
      <c r="VMD6" s="31">
        <v>900</v>
      </c>
      <c r="VME6" s="31">
        <v>900</v>
      </c>
      <c r="VMF6" s="31">
        <v>900</v>
      </c>
      <c r="VMG6" s="31">
        <v>900</v>
      </c>
      <c r="VMH6" s="31">
        <v>900</v>
      </c>
      <c r="VMI6" s="31">
        <v>900</v>
      </c>
      <c r="VMJ6" s="31">
        <v>900</v>
      </c>
      <c r="VMK6" s="31">
        <v>900</v>
      </c>
      <c r="VML6" s="31">
        <v>900</v>
      </c>
      <c r="VMM6" s="31">
        <v>900</v>
      </c>
      <c r="VMN6" s="31">
        <v>900</v>
      </c>
      <c r="VMO6" s="31">
        <v>900</v>
      </c>
      <c r="VMP6" s="31">
        <v>900</v>
      </c>
      <c r="VMQ6" s="31">
        <v>900</v>
      </c>
      <c r="VMR6" s="31">
        <v>900</v>
      </c>
      <c r="VMS6" s="31">
        <v>900</v>
      </c>
      <c r="VMT6" s="31">
        <v>900</v>
      </c>
      <c r="VMU6" s="31">
        <v>900</v>
      </c>
      <c r="VMV6" s="31">
        <v>900</v>
      </c>
      <c r="VMW6" s="31">
        <v>900</v>
      </c>
      <c r="VMX6" s="31">
        <v>900</v>
      </c>
      <c r="VMY6" s="31">
        <v>900</v>
      </c>
      <c r="VMZ6" s="31">
        <v>900</v>
      </c>
      <c r="VNA6" s="31">
        <v>900</v>
      </c>
      <c r="VNB6" s="31">
        <v>900</v>
      </c>
      <c r="VNC6" s="31">
        <v>900</v>
      </c>
      <c r="VND6" s="31">
        <v>900</v>
      </c>
      <c r="VNE6" s="31">
        <v>900</v>
      </c>
      <c r="VNF6" s="31">
        <v>900</v>
      </c>
      <c r="VNG6" s="31">
        <v>900</v>
      </c>
      <c r="VNH6" s="31">
        <v>900</v>
      </c>
      <c r="VNI6" s="31">
        <v>900</v>
      </c>
      <c r="VNJ6" s="31">
        <v>900</v>
      </c>
      <c r="VNK6" s="31">
        <v>900</v>
      </c>
      <c r="VNL6" s="31">
        <v>900</v>
      </c>
      <c r="VNM6" s="31">
        <v>900</v>
      </c>
      <c r="VNN6" s="31">
        <v>900</v>
      </c>
      <c r="VNO6" s="31">
        <v>900</v>
      </c>
      <c r="VNP6" s="31">
        <v>900</v>
      </c>
      <c r="VNQ6" s="31">
        <v>900</v>
      </c>
      <c r="VNR6" s="31">
        <v>900</v>
      </c>
      <c r="VNS6" s="31">
        <v>900</v>
      </c>
      <c r="VNT6" s="31">
        <v>900</v>
      </c>
      <c r="VNU6" s="31">
        <v>900</v>
      </c>
      <c r="VNV6" s="31">
        <v>900</v>
      </c>
      <c r="VNW6" s="31">
        <v>900</v>
      </c>
      <c r="VNX6" s="31">
        <v>900</v>
      </c>
      <c r="VNY6" s="31">
        <v>900</v>
      </c>
      <c r="VNZ6" s="31">
        <v>900</v>
      </c>
      <c r="VOA6" s="31">
        <v>900</v>
      </c>
      <c r="VOB6" s="31">
        <v>900</v>
      </c>
      <c r="VOC6" s="31">
        <v>900</v>
      </c>
      <c r="VOD6" s="31">
        <v>900</v>
      </c>
      <c r="VOE6" s="31">
        <v>900</v>
      </c>
      <c r="VOF6" s="31">
        <v>900</v>
      </c>
      <c r="VOG6" s="31">
        <v>900</v>
      </c>
      <c r="VOH6" s="31">
        <v>900</v>
      </c>
      <c r="VOI6" s="31">
        <v>900</v>
      </c>
      <c r="VOJ6" s="31">
        <v>900</v>
      </c>
      <c r="VOK6" s="31">
        <v>900</v>
      </c>
      <c r="VOL6" s="31">
        <v>900</v>
      </c>
      <c r="VOM6" s="31">
        <v>900</v>
      </c>
      <c r="VON6" s="31">
        <v>900</v>
      </c>
      <c r="VOO6" s="31">
        <v>900</v>
      </c>
      <c r="VOP6" s="31">
        <v>900</v>
      </c>
      <c r="VOQ6" s="31">
        <v>900</v>
      </c>
      <c r="VOR6" s="31">
        <v>900</v>
      </c>
      <c r="VOS6" s="31">
        <v>900</v>
      </c>
      <c r="VOT6" s="31">
        <v>900</v>
      </c>
      <c r="VOU6" s="31">
        <v>900</v>
      </c>
      <c r="VOV6" s="31">
        <v>900</v>
      </c>
      <c r="VOW6" s="31">
        <v>900</v>
      </c>
      <c r="VOX6" s="31">
        <v>900</v>
      </c>
      <c r="VOY6" s="31">
        <v>900</v>
      </c>
      <c r="VOZ6" s="31">
        <v>900</v>
      </c>
      <c r="VPA6" s="31">
        <v>900</v>
      </c>
      <c r="VPB6" s="31">
        <v>900</v>
      </c>
      <c r="VPC6" s="31">
        <v>900</v>
      </c>
      <c r="VPD6" s="31">
        <v>900</v>
      </c>
      <c r="VPE6" s="31">
        <v>900</v>
      </c>
      <c r="VPF6" s="31">
        <v>900</v>
      </c>
      <c r="VPG6" s="31">
        <v>900</v>
      </c>
      <c r="VPH6" s="31">
        <v>900</v>
      </c>
      <c r="VPI6" s="31">
        <v>900</v>
      </c>
      <c r="VPJ6" s="31">
        <v>900</v>
      </c>
      <c r="VPK6" s="31">
        <v>900</v>
      </c>
      <c r="VPL6" s="31">
        <v>900</v>
      </c>
      <c r="VPM6" s="31">
        <v>900</v>
      </c>
      <c r="VPN6" s="31">
        <v>900</v>
      </c>
      <c r="VPO6" s="31">
        <v>900</v>
      </c>
      <c r="VPP6" s="31">
        <v>900</v>
      </c>
      <c r="VPQ6" s="31">
        <v>900</v>
      </c>
      <c r="VPR6" s="31">
        <v>900</v>
      </c>
      <c r="VPS6" s="31">
        <v>900</v>
      </c>
      <c r="VPT6" s="31">
        <v>900</v>
      </c>
      <c r="VPU6" s="31">
        <v>900</v>
      </c>
      <c r="VPV6" s="31">
        <v>900</v>
      </c>
      <c r="VPW6" s="31">
        <v>900</v>
      </c>
      <c r="VPX6" s="31">
        <v>900</v>
      </c>
      <c r="VPY6" s="31">
        <v>900</v>
      </c>
      <c r="VPZ6" s="31">
        <v>900</v>
      </c>
      <c r="VQA6" s="31">
        <v>900</v>
      </c>
      <c r="VQB6" s="31">
        <v>900</v>
      </c>
      <c r="VQC6" s="31">
        <v>900</v>
      </c>
      <c r="VQD6" s="31">
        <v>900</v>
      </c>
      <c r="VQE6" s="31">
        <v>900</v>
      </c>
      <c r="VQF6" s="31">
        <v>900</v>
      </c>
      <c r="VQG6" s="31">
        <v>900</v>
      </c>
      <c r="VQH6" s="31">
        <v>900</v>
      </c>
      <c r="VQI6" s="31">
        <v>900</v>
      </c>
      <c r="VQJ6" s="31">
        <v>900</v>
      </c>
      <c r="VQK6" s="31">
        <v>900</v>
      </c>
      <c r="VQL6" s="31">
        <v>900</v>
      </c>
      <c r="VQM6" s="31">
        <v>900</v>
      </c>
      <c r="VQN6" s="31">
        <v>900</v>
      </c>
      <c r="VQO6" s="31">
        <v>900</v>
      </c>
      <c r="VQP6" s="31">
        <v>900</v>
      </c>
      <c r="VQQ6" s="31">
        <v>900</v>
      </c>
      <c r="VQR6" s="31">
        <v>900</v>
      </c>
      <c r="VQS6" s="31">
        <v>900</v>
      </c>
      <c r="VQT6" s="31">
        <v>900</v>
      </c>
      <c r="VQU6" s="31">
        <v>900</v>
      </c>
      <c r="VQV6" s="31">
        <v>900</v>
      </c>
      <c r="VQW6" s="31">
        <v>900</v>
      </c>
      <c r="VQX6" s="31">
        <v>900</v>
      </c>
      <c r="VQY6" s="31">
        <v>900</v>
      </c>
      <c r="VQZ6" s="31">
        <v>900</v>
      </c>
      <c r="VRA6" s="31">
        <v>900</v>
      </c>
      <c r="VRB6" s="31">
        <v>900</v>
      </c>
      <c r="VRC6" s="31">
        <v>900</v>
      </c>
      <c r="VRD6" s="31">
        <v>900</v>
      </c>
      <c r="VRE6" s="31">
        <v>900</v>
      </c>
      <c r="VRF6" s="31">
        <v>900</v>
      </c>
      <c r="VRG6" s="31">
        <v>900</v>
      </c>
      <c r="VRH6" s="31">
        <v>900</v>
      </c>
      <c r="VRI6" s="31">
        <v>900</v>
      </c>
      <c r="VRJ6" s="31">
        <v>900</v>
      </c>
      <c r="VRK6" s="31">
        <v>900</v>
      </c>
      <c r="VRL6" s="31">
        <v>900</v>
      </c>
      <c r="VRM6" s="31">
        <v>900</v>
      </c>
      <c r="VRN6" s="31">
        <v>900</v>
      </c>
      <c r="VRO6" s="31">
        <v>900</v>
      </c>
      <c r="VRP6" s="31">
        <v>900</v>
      </c>
      <c r="VRQ6" s="31">
        <v>900</v>
      </c>
      <c r="VRR6" s="31">
        <v>900</v>
      </c>
      <c r="VRS6" s="31">
        <v>900</v>
      </c>
      <c r="VRT6" s="31">
        <v>900</v>
      </c>
      <c r="VRU6" s="31">
        <v>900</v>
      </c>
      <c r="VRV6" s="31">
        <v>900</v>
      </c>
      <c r="VRW6" s="31">
        <v>900</v>
      </c>
      <c r="VRX6" s="31">
        <v>900</v>
      </c>
      <c r="VRY6" s="31">
        <v>900</v>
      </c>
      <c r="VRZ6" s="31">
        <v>900</v>
      </c>
      <c r="VSA6" s="31">
        <v>900</v>
      </c>
      <c r="VSB6" s="31">
        <v>900</v>
      </c>
      <c r="VSC6" s="31">
        <v>900</v>
      </c>
      <c r="VSD6" s="31">
        <v>900</v>
      </c>
      <c r="VSE6" s="31">
        <v>900</v>
      </c>
      <c r="VSF6" s="31">
        <v>900</v>
      </c>
      <c r="VSG6" s="31">
        <v>900</v>
      </c>
      <c r="VSH6" s="31">
        <v>900</v>
      </c>
      <c r="VSI6" s="31">
        <v>900</v>
      </c>
      <c r="VSJ6" s="31">
        <v>900</v>
      </c>
      <c r="VSK6" s="31">
        <v>900</v>
      </c>
      <c r="VSL6" s="31">
        <v>900</v>
      </c>
      <c r="VSM6" s="31">
        <v>900</v>
      </c>
      <c r="VSN6" s="31">
        <v>900</v>
      </c>
      <c r="VSO6" s="31">
        <v>900</v>
      </c>
      <c r="VSP6" s="31">
        <v>900</v>
      </c>
      <c r="VSQ6" s="31">
        <v>900</v>
      </c>
      <c r="VSR6" s="31">
        <v>900</v>
      </c>
      <c r="VSS6" s="31">
        <v>900</v>
      </c>
      <c r="VST6" s="31">
        <v>900</v>
      </c>
      <c r="VSU6" s="31">
        <v>900</v>
      </c>
      <c r="VSV6" s="31">
        <v>900</v>
      </c>
      <c r="VSW6" s="31">
        <v>900</v>
      </c>
      <c r="VSX6" s="31">
        <v>900</v>
      </c>
      <c r="VSY6" s="31">
        <v>900</v>
      </c>
      <c r="VSZ6" s="31">
        <v>900</v>
      </c>
      <c r="VTA6" s="31">
        <v>900</v>
      </c>
      <c r="VTB6" s="31">
        <v>900</v>
      </c>
      <c r="VTC6" s="31">
        <v>900</v>
      </c>
      <c r="VTD6" s="31">
        <v>900</v>
      </c>
      <c r="VTE6" s="31">
        <v>900</v>
      </c>
      <c r="VTF6" s="31">
        <v>900</v>
      </c>
      <c r="VTG6" s="31">
        <v>900</v>
      </c>
      <c r="VTH6" s="31">
        <v>900</v>
      </c>
      <c r="VTI6" s="31">
        <v>900</v>
      </c>
      <c r="VTJ6" s="31">
        <v>900</v>
      </c>
      <c r="VTK6" s="31">
        <v>900</v>
      </c>
      <c r="VTL6" s="31">
        <v>900</v>
      </c>
      <c r="VTM6" s="31">
        <v>900</v>
      </c>
      <c r="VTN6" s="31">
        <v>900</v>
      </c>
      <c r="VTO6" s="31">
        <v>900</v>
      </c>
      <c r="VTP6" s="31">
        <v>900</v>
      </c>
      <c r="VTQ6" s="31">
        <v>900</v>
      </c>
      <c r="VTR6" s="31">
        <v>900</v>
      </c>
      <c r="VTS6" s="31">
        <v>900</v>
      </c>
      <c r="VTT6" s="31">
        <v>900</v>
      </c>
      <c r="VTU6" s="31">
        <v>900</v>
      </c>
      <c r="VTV6" s="31">
        <v>900</v>
      </c>
      <c r="VTW6" s="31">
        <v>900</v>
      </c>
      <c r="VTX6" s="31">
        <v>900</v>
      </c>
      <c r="VTY6" s="31">
        <v>900</v>
      </c>
      <c r="VTZ6" s="31">
        <v>900</v>
      </c>
      <c r="VUA6" s="31">
        <v>900</v>
      </c>
      <c r="VUB6" s="31">
        <v>900</v>
      </c>
      <c r="VUC6" s="31">
        <v>900</v>
      </c>
      <c r="VUD6" s="31">
        <v>900</v>
      </c>
      <c r="VUE6" s="31">
        <v>900</v>
      </c>
      <c r="VUF6" s="31">
        <v>900</v>
      </c>
      <c r="VUG6" s="31">
        <v>900</v>
      </c>
      <c r="VUH6" s="31">
        <v>900</v>
      </c>
      <c r="VUI6" s="31">
        <v>900</v>
      </c>
      <c r="VUJ6" s="31">
        <v>900</v>
      </c>
      <c r="VUK6" s="31">
        <v>900</v>
      </c>
      <c r="VUL6" s="31">
        <v>900</v>
      </c>
      <c r="VUM6" s="31">
        <v>900</v>
      </c>
      <c r="VUN6" s="31">
        <v>900</v>
      </c>
      <c r="VUO6" s="31">
        <v>900</v>
      </c>
      <c r="VUP6" s="31">
        <v>900</v>
      </c>
      <c r="VUQ6" s="31">
        <v>900</v>
      </c>
      <c r="VUR6" s="31">
        <v>900</v>
      </c>
      <c r="VUS6" s="31">
        <v>900</v>
      </c>
      <c r="VUT6" s="31">
        <v>900</v>
      </c>
      <c r="VUU6" s="31">
        <v>900</v>
      </c>
      <c r="VUV6" s="31">
        <v>900</v>
      </c>
      <c r="VUW6" s="31">
        <v>900</v>
      </c>
      <c r="VUX6" s="31">
        <v>900</v>
      </c>
      <c r="VUY6" s="31">
        <v>900</v>
      </c>
      <c r="VUZ6" s="31">
        <v>900</v>
      </c>
      <c r="VVA6" s="31">
        <v>900</v>
      </c>
      <c r="VVB6" s="31">
        <v>900</v>
      </c>
      <c r="VVC6" s="31">
        <v>900</v>
      </c>
      <c r="VVD6" s="31">
        <v>900</v>
      </c>
      <c r="VVE6" s="31">
        <v>900</v>
      </c>
      <c r="VVF6" s="31">
        <v>900</v>
      </c>
      <c r="VVG6" s="31">
        <v>900</v>
      </c>
      <c r="VVH6" s="31">
        <v>900</v>
      </c>
      <c r="VVI6" s="31">
        <v>900</v>
      </c>
      <c r="VVJ6" s="31">
        <v>900</v>
      </c>
      <c r="VVK6" s="31">
        <v>900</v>
      </c>
      <c r="VVL6" s="31">
        <v>900</v>
      </c>
      <c r="VVM6" s="31">
        <v>900</v>
      </c>
      <c r="VVN6" s="31">
        <v>900</v>
      </c>
      <c r="VVO6" s="31">
        <v>900</v>
      </c>
      <c r="VVP6" s="31">
        <v>900</v>
      </c>
      <c r="VVQ6" s="31">
        <v>900</v>
      </c>
      <c r="VVR6" s="31">
        <v>900</v>
      </c>
      <c r="VVS6" s="31">
        <v>900</v>
      </c>
      <c r="VVT6" s="31">
        <v>900</v>
      </c>
      <c r="VVU6" s="31">
        <v>900</v>
      </c>
      <c r="VVV6" s="31">
        <v>900</v>
      </c>
      <c r="VVW6" s="31">
        <v>900</v>
      </c>
      <c r="VVX6" s="31">
        <v>900</v>
      </c>
      <c r="VVY6" s="31">
        <v>900</v>
      </c>
      <c r="VVZ6" s="31">
        <v>900</v>
      </c>
      <c r="VWA6" s="31">
        <v>900</v>
      </c>
      <c r="VWB6" s="31">
        <v>900</v>
      </c>
      <c r="VWC6" s="31">
        <v>900</v>
      </c>
      <c r="VWD6" s="31">
        <v>900</v>
      </c>
      <c r="VWE6" s="31">
        <v>900</v>
      </c>
      <c r="VWF6" s="31">
        <v>900</v>
      </c>
      <c r="VWG6" s="31">
        <v>900</v>
      </c>
      <c r="VWH6" s="31">
        <v>900</v>
      </c>
      <c r="VWI6" s="31">
        <v>900</v>
      </c>
      <c r="VWJ6" s="31">
        <v>900</v>
      </c>
      <c r="VWK6" s="31">
        <v>900</v>
      </c>
      <c r="VWL6" s="31">
        <v>900</v>
      </c>
      <c r="VWM6" s="31">
        <v>900</v>
      </c>
      <c r="VWN6" s="31">
        <v>900</v>
      </c>
      <c r="VWO6" s="31">
        <v>900</v>
      </c>
      <c r="VWP6" s="31">
        <v>900</v>
      </c>
      <c r="VWQ6" s="31">
        <v>900</v>
      </c>
      <c r="VWR6" s="31">
        <v>900</v>
      </c>
      <c r="VWS6" s="31">
        <v>900</v>
      </c>
      <c r="VWT6" s="31">
        <v>900</v>
      </c>
      <c r="VWU6" s="31">
        <v>900</v>
      </c>
      <c r="VWV6" s="31">
        <v>900</v>
      </c>
      <c r="VWW6" s="31">
        <v>900</v>
      </c>
      <c r="VWX6" s="31">
        <v>900</v>
      </c>
      <c r="VWY6" s="31">
        <v>900</v>
      </c>
      <c r="VWZ6" s="31">
        <v>900</v>
      </c>
      <c r="VXA6" s="31">
        <v>900</v>
      </c>
      <c r="VXB6" s="31">
        <v>900</v>
      </c>
      <c r="VXC6" s="31">
        <v>900</v>
      </c>
      <c r="VXD6" s="31">
        <v>900</v>
      </c>
      <c r="VXE6" s="31">
        <v>900</v>
      </c>
      <c r="VXF6" s="31">
        <v>900</v>
      </c>
      <c r="VXG6" s="31">
        <v>900</v>
      </c>
      <c r="VXH6" s="31">
        <v>900</v>
      </c>
      <c r="VXI6" s="31">
        <v>900</v>
      </c>
      <c r="VXJ6" s="31">
        <v>900</v>
      </c>
      <c r="VXK6" s="31">
        <v>900</v>
      </c>
      <c r="VXL6" s="31">
        <v>900</v>
      </c>
      <c r="VXM6" s="31">
        <v>900</v>
      </c>
      <c r="VXN6" s="31">
        <v>900</v>
      </c>
      <c r="VXO6" s="31">
        <v>900</v>
      </c>
      <c r="VXP6" s="31">
        <v>900</v>
      </c>
      <c r="VXQ6" s="31">
        <v>900</v>
      </c>
      <c r="VXR6" s="31">
        <v>900</v>
      </c>
      <c r="VXS6" s="31">
        <v>900</v>
      </c>
      <c r="VXT6" s="31">
        <v>900</v>
      </c>
      <c r="VXU6" s="31">
        <v>900</v>
      </c>
      <c r="VXV6" s="31">
        <v>900</v>
      </c>
      <c r="VXW6" s="31">
        <v>900</v>
      </c>
      <c r="VXX6" s="31">
        <v>900</v>
      </c>
      <c r="VXY6" s="31">
        <v>900</v>
      </c>
      <c r="VXZ6" s="31">
        <v>900</v>
      </c>
      <c r="VYA6" s="31">
        <v>900</v>
      </c>
      <c r="VYB6" s="31">
        <v>900</v>
      </c>
      <c r="VYC6" s="31">
        <v>900</v>
      </c>
      <c r="VYD6" s="31">
        <v>900</v>
      </c>
      <c r="VYE6" s="31">
        <v>900</v>
      </c>
      <c r="VYF6" s="31">
        <v>900</v>
      </c>
      <c r="VYG6" s="31">
        <v>900</v>
      </c>
      <c r="VYH6" s="31">
        <v>900</v>
      </c>
      <c r="VYI6" s="31">
        <v>900</v>
      </c>
      <c r="VYJ6" s="31">
        <v>900</v>
      </c>
      <c r="VYK6" s="31">
        <v>900</v>
      </c>
      <c r="VYL6" s="31">
        <v>900</v>
      </c>
      <c r="VYM6" s="31">
        <v>900</v>
      </c>
      <c r="VYN6" s="31">
        <v>900</v>
      </c>
      <c r="VYO6" s="31">
        <v>900</v>
      </c>
      <c r="VYP6" s="31">
        <v>900</v>
      </c>
      <c r="VYQ6" s="31">
        <v>900</v>
      </c>
      <c r="VYR6" s="31">
        <v>900</v>
      </c>
      <c r="VYS6" s="31">
        <v>900</v>
      </c>
      <c r="VYT6" s="31">
        <v>900</v>
      </c>
      <c r="VYU6" s="31">
        <v>900</v>
      </c>
      <c r="VYV6" s="31">
        <v>900</v>
      </c>
      <c r="VYW6" s="31">
        <v>900</v>
      </c>
      <c r="VYX6" s="31">
        <v>900</v>
      </c>
      <c r="VYY6" s="31">
        <v>900</v>
      </c>
      <c r="VYZ6" s="31">
        <v>900</v>
      </c>
      <c r="VZA6" s="31">
        <v>900</v>
      </c>
      <c r="VZB6" s="31">
        <v>900</v>
      </c>
      <c r="VZC6" s="31">
        <v>900</v>
      </c>
      <c r="VZD6" s="31">
        <v>900</v>
      </c>
      <c r="VZE6" s="31">
        <v>900</v>
      </c>
      <c r="VZF6" s="31">
        <v>900</v>
      </c>
      <c r="VZG6" s="31">
        <v>900</v>
      </c>
      <c r="VZH6" s="31">
        <v>900</v>
      </c>
      <c r="VZI6" s="31">
        <v>900</v>
      </c>
      <c r="VZJ6" s="31">
        <v>900</v>
      </c>
      <c r="VZK6" s="31">
        <v>900</v>
      </c>
      <c r="VZL6" s="31">
        <v>900</v>
      </c>
      <c r="VZM6" s="31">
        <v>900</v>
      </c>
      <c r="VZN6" s="31">
        <v>900</v>
      </c>
      <c r="VZO6" s="31">
        <v>900</v>
      </c>
      <c r="VZP6" s="31">
        <v>900</v>
      </c>
      <c r="VZQ6" s="31">
        <v>900</v>
      </c>
      <c r="VZR6" s="31">
        <v>900</v>
      </c>
      <c r="VZS6" s="31">
        <v>900</v>
      </c>
      <c r="VZT6" s="31">
        <v>900</v>
      </c>
      <c r="VZU6" s="31">
        <v>900</v>
      </c>
      <c r="VZV6" s="31">
        <v>900</v>
      </c>
      <c r="VZW6" s="31">
        <v>900</v>
      </c>
      <c r="VZX6" s="31">
        <v>900</v>
      </c>
      <c r="VZY6" s="31">
        <v>900</v>
      </c>
      <c r="VZZ6" s="31">
        <v>900</v>
      </c>
      <c r="WAA6" s="31">
        <v>900</v>
      </c>
      <c r="WAB6" s="31">
        <v>900</v>
      </c>
      <c r="WAC6" s="31">
        <v>900</v>
      </c>
      <c r="WAD6" s="31">
        <v>900</v>
      </c>
      <c r="WAE6" s="31">
        <v>900</v>
      </c>
      <c r="WAF6" s="31">
        <v>900</v>
      </c>
      <c r="WAG6" s="31">
        <v>900</v>
      </c>
      <c r="WAH6" s="31">
        <v>900</v>
      </c>
      <c r="WAI6" s="31">
        <v>900</v>
      </c>
      <c r="WAJ6" s="31">
        <v>900</v>
      </c>
      <c r="WAK6" s="31">
        <v>900</v>
      </c>
      <c r="WAL6" s="31">
        <v>900</v>
      </c>
      <c r="WAM6" s="31">
        <v>900</v>
      </c>
      <c r="WAN6" s="31">
        <v>900</v>
      </c>
      <c r="WAO6" s="31">
        <v>900</v>
      </c>
      <c r="WAP6" s="31">
        <v>900</v>
      </c>
      <c r="WAQ6" s="31">
        <v>900</v>
      </c>
      <c r="WAR6" s="31">
        <v>900</v>
      </c>
      <c r="WAS6" s="31">
        <v>900</v>
      </c>
      <c r="WAT6" s="31">
        <v>900</v>
      </c>
      <c r="WAU6" s="31">
        <v>900</v>
      </c>
      <c r="WAV6" s="31">
        <v>900</v>
      </c>
      <c r="WAW6" s="31">
        <v>900</v>
      </c>
      <c r="WAX6" s="31">
        <v>900</v>
      </c>
      <c r="WAY6" s="31">
        <v>900</v>
      </c>
      <c r="WAZ6" s="31">
        <v>900</v>
      </c>
      <c r="WBA6" s="31">
        <v>900</v>
      </c>
      <c r="WBB6" s="31">
        <v>900</v>
      </c>
      <c r="WBC6" s="31">
        <v>900</v>
      </c>
      <c r="WBD6" s="31">
        <v>900</v>
      </c>
      <c r="WBE6" s="31">
        <v>900</v>
      </c>
      <c r="WBF6" s="31">
        <v>900</v>
      </c>
      <c r="WBG6" s="31">
        <v>900</v>
      </c>
      <c r="WBH6" s="31">
        <v>900</v>
      </c>
      <c r="WBI6" s="31">
        <v>900</v>
      </c>
      <c r="WBJ6" s="31">
        <v>900</v>
      </c>
      <c r="WBK6" s="31">
        <v>900</v>
      </c>
      <c r="WBL6" s="31">
        <v>900</v>
      </c>
      <c r="WBM6" s="31">
        <v>900</v>
      </c>
      <c r="WBN6" s="31">
        <v>900</v>
      </c>
      <c r="WBO6" s="31">
        <v>900</v>
      </c>
      <c r="WBP6" s="31">
        <v>900</v>
      </c>
      <c r="WBQ6" s="31">
        <v>900</v>
      </c>
      <c r="WBR6" s="31">
        <v>900</v>
      </c>
      <c r="WBS6" s="31">
        <v>900</v>
      </c>
      <c r="WBT6" s="31">
        <v>900</v>
      </c>
      <c r="WBU6" s="31">
        <v>900</v>
      </c>
      <c r="WBV6" s="31">
        <v>900</v>
      </c>
      <c r="WBW6" s="31">
        <v>900</v>
      </c>
      <c r="WBX6" s="31">
        <v>900</v>
      </c>
      <c r="WBY6" s="31">
        <v>900</v>
      </c>
      <c r="WBZ6" s="31">
        <v>900</v>
      </c>
      <c r="WCA6" s="31">
        <v>900</v>
      </c>
      <c r="WCB6" s="31">
        <v>900</v>
      </c>
      <c r="WCC6" s="31">
        <v>900</v>
      </c>
      <c r="WCD6" s="31">
        <v>900</v>
      </c>
      <c r="WCE6" s="31">
        <v>900</v>
      </c>
      <c r="WCF6" s="31">
        <v>900</v>
      </c>
      <c r="WCG6" s="31">
        <v>900</v>
      </c>
      <c r="WCH6" s="31">
        <v>900</v>
      </c>
      <c r="WCI6" s="31">
        <v>900</v>
      </c>
      <c r="WCJ6" s="31">
        <v>900</v>
      </c>
      <c r="WCK6" s="31">
        <v>900</v>
      </c>
      <c r="WCL6" s="31">
        <v>900</v>
      </c>
      <c r="WCM6" s="31">
        <v>900</v>
      </c>
      <c r="WCN6" s="31">
        <v>900</v>
      </c>
      <c r="WCO6" s="31">
        <v>900</v>
      </c>
      <c r="WCP6" s="31">
        <v>900</v>
      </c>
      <c r="WCQ6" s="31">
        <v>900</v>
      </c>
      <c r="WCR6" s="31">
        <v>900</v>
      </c>
      <c r="WCS6" s="31">
        <v>900</v>
      </c>
      <c r="WCT6" s="31">
        <v>900</v>
      </c>
      <c r="WCU6" s="31">
        <v>900</v>
      </c>
      <c r="WCV6" s="31">
        <v>900</v>
      </c>
      <c r="WCW6" s="31">
        <v>900</v>
      </c>
      <c r="WCX6" s="31">
        <v>900</v>
      </c>
      <c r="WCY6" s="31">
        <v>900</v>
      </c>
      <c r="WCZ6" s="31">
        <v>900</v>
      </c>
      <c r="WDA6" s="31">
        <v>900</v>
      </c>
      <c r="WDB6" s="31">
        <v>900</v>
      </c>
      <c r="WDC6" s="31">
        <v>900</v>
      </c>
      <c r="WDD6" s="31">
        <v>900</v>
      </c>
      <c r="WDE6" s="31">
        <v>900</v>
      </c>
      <c r="WDF6" s="31">
        <v>900</v>
      </c>
      <c r="WDG6" s="31">
        <v>900</v>
      </c>
      <c r="WDH6" s="31">
        <v>900</v>
      </c>
      <c r="WDI6" s="31">
        <v>900</v>
      </c>
      <c r="WDJ6" s="31">
        <v>900</v>
      </c>
      <c r="WDK6" s="31">
        <v>900</v>
      </c>
      <c r="WDL6" s="31">
        <v>900</v>
      </c>
      <c r="WDM6" s="31">
        <v>900</v>
      </c>
      <c r="WDN6" s="31">
        <v>900</v>
      </c>
      <c r="WDO6" s="31">
        <v>900</v>
      </c>
      <c r="WDP6" s="31">
        <v>900</v>
      </c>
      <c r="WDQ6" s="31">
        <v>900</v>
      </c>
      <c r="WDR6" s="31">
        <v>900</v>
      </c>
      <c r="WDS6" s="31">
        <v>900</v>
      </c>
      <c r="WDT6" s="31">
        <v>900</v>
      </c>
      <c r="WDU6" s="31">
        <v>900</v>
      </c>
      <c r="WDV6" s="31">
        <v>900</v>
      </c>
      <c r="WDW6" s="31">
        <v>900</v>
      </c>
      <c r="WDX6" s="31">
        <v>900</v>
      </c>
      <c r="WDY6" s="31">
        <v>900</v>
      </c>
      <c r="WDZ6" s="31">
        <v>900</v>
      </c>
      <c r="WEA6" s="31">
        <v>900</v>
      </c>
    </row>
    <row r="7" spans="1:15679" s="32" customFormat="1" ht="16.5" thickBot="1" x14ac:dyDescent="0.3">
      <c r="A7" s="593"/>
      <c r="B7" s="85" t="s">
        <v>367</v>
      </c>
      <c r="C7" s="86" t="s">
        <v>447</v>
      </c>
      <c r="D7" s="100" t="str">
        <f>IFERROR(D8/D5,"")</f>
        <v/>
      </c>
      <c r="E7" s="100" t="str">
        <f t="shared" ref="E7:BR7" si="42">IFERROR(E8/E5,"")</f>
        <v/>
      </c>
      <c r="F7" s="100" t="str">
        <f t="shared" si="42"/>
        <v/>
      </c>
      <c r="G7" s="100" t="str">
        <f t="shared" si="42"/>
        <v/>
      </c>
      <c r="H7" s="100" t="str">
        <f t="shared" si="42"/>
        <v/>
      </c>
      <c r="I7" s="100" t="str">
        <f t="shared" si="42"/>
        <v/>
      </c>
      <c r="J7" s="100" t="str">
        <f t="shared" si="42"/>
        <v/>
      </c>
      <c r="K7" s="100" t="e">
        <f>K8/K5</f>
        <v>#DIV/0!</v>
      </c>
      <c r="L7" s="100" t="str">
        <f>IFERROR(L8/L5,"")</f>
        <v/>
      </c>
      <c r="M7" s="100" t="str">
        <f t="shared" si="42"/>
        <v/>
      </c>
      <c r="N7" s="100" t="str">
        <f t="shared" si="42"/>
        <v/>
      </c>
      <c r="O7" s="100" t="str">
        <f t="shared" si="42"/>
        <v/>
      </c>
      <c r="P7" s="100" t="str">
        <f t="shared" si="42"/>
        <v/>
      </c>
      <c r="Q7" s="100" t="str">
        <f t="shared" si="42"/>
        <v/>
      </c>
      <c r="R7" s="100" t="str">
        <f t="shared" si="42"/>
        <v/>
      </c>
      <c r="S7" s="100" t="e">
        <f>S8/S5</f>
        <v>#DIV/0!</v>
      </c>
      <c r="T7" s="100" t="str">
        <f>IFERROR(T8/T5,"")</f>
        <v/>
      </c>
      <c r="U7" s="100" t="str">
        <f t="shared" si="42"/>
        <v/>
      </c>
      <c r="V7" s="100" t="str">
        <f t="shared" si="42"/>
        <v/>
      </c>
      <c r="W7" s="100" t="str">
        <f t="shared" si="42"/>
        <v/>
      </c>
      <c r="X7" s="100" t="str">
        <f t="shared" si="42"/>
        <v/>
      </c>
      <c r="Y7" s="100" t="str">
        <f t="shared" si="42"/>
        <v/>
      </c>
      <c r="Z7" s="100" t="str">
        <f t="shared" si="42"/>
        <v/>
      </c>
      <c r="AA7" s="100" t="e">
        <f>AA8/AA5</f>
        <v>#DIV/0!</v>
      </c>
      <c r="AB7" s="100" t="str">
        <f>IFERROR(AB8/AB5,"")</f>
        <v/>
      </c>
      <c r="AC7" s="100" t="str">
        <f t="shared" si="42"/>
        <v/>
      </c>
      <c r="AD7" s="100" t="str">
        <f t="shared" si="42"/>
        <v/>
      </c>
      <c r="AE7" s="100" t="str">
        <f t="shared" si="42"/>
        <v/>
      </c>
      <c r="AF7" s="100" t="str">
        <f t="shared" si="42"/>
        <v/>
      </c>
      <c r="AG7" s="100" t="str">
        <f t="shared" si="42"/>
        <v/>
      </c>
      <c r="AH7" s="100" t="str">
        <f t="shared" si="42"/>
        <v/>
      </c>
      <c r="AI7" s="100" t="e">
        <f>AI8/AI5</f>
        <v>#DIV/0!</v>
      </c>
      <c r="AJ7" s="100" t="str">
        <f>IFERROR(AJ8/AJ5,"")</f>
        <v/>
      </c>
      <c r="AK7" s="100" t="str">
        <f t="shared" si="42"/>
        <v/>
      </c>
      <c r="AL7" s="100" t="str">
        <f t="shared" si="42"/>
        <v/>
      </c>
      <c r="AM7" s="100" t="str">
        <f t="shared" si="42"/>
        <v/>
      </c>
      <c r="AN7" s="100" t="str">
        <f t="shared" si="42"/>
        <v/>
      </c>
      <c r="AO7" s="100" t="str">
        <f t="shared" si="42"/>
        <v/>
      </c>
      <c r="AP7" s="100" t="str">
        <f t="shared" si="42"/>
        <v/>
      </c>
      <c r="AQ7" s="100" t="e">
        <f>AQ8/AQ5</f>
        <v>#DIV/0!</v>
      </c>
      <c r="AR7" s="100" t="str">
        <f>IFERROR(AR8/AR5,"")</f>
        <v/>
      </c>
      <c r="AS7" s="100" t="str">
        <f t="shared" si="42"/>
        <v/>
      </c>
      <c r="AT7" s="100" t="str">
        <f t="shared" si="42"/>
        <v/>
      </c>
      <c r="AU7" s="100" t="str">
        <f t="shared" si="42"/>
        <v/>
      </c>
      <c r="AV7" s="100" t="str">
        <f t="shared" si="42"/>
        <v/>
      </c>
      <c r="AW7" s="100" t="str">
        <f t="shared" si="42"/>
        <v/>
      </c>
      <c r="AX7" s="100" t="str">
        <f t="shared" si="42"/>
        <v/>
      </c>
      <c r="AY7" s="100" t="e">
        <f>AY8/AY5</f>
        <v>#DIV/0!</v>
      </c>
      <c r="AZ7" s="100" t="str">
        <f>IFERROR(AZ8/AZ5,"")</f>
        <v/>
      </c>
      <c r="BA7" s="100" t="str">
        <f t="shared" si="42"/>
        <v/>
      </c>
      <c r="BB7" s="100" t="str">
        <f t="shared" si="42"/>
        <v/>
      </c>
      <c r="BC7" s="100" t="str">
        <f t="shared" si="42"/>
        <v/>
      </c>
      <c r="BD7" s="100" t="str">
        <f t="shared" si="42"/>
        <v/>
      </c>
      <c r="BE7" s="100" t="str">
        <f t="shared" si="42"/>
        <v/>
      </c>
      <c r="BF7" s="100" t="str">
        <f t="shared" si="42"/>
        <v/>
      </c>
      <c r="BG7" s="100" t="e">
        <f>BG8/BG5</f>
        <v>#DIV/0!</v>
      </c>
      <c r="BH7" s="100" t="str">
        <f>IFERROR(BH8/BH5,"")</f>
        <v/>
      </c>
      <c r="BI7" s="100" t="str">
        <f t="shared" si="42"/>
        <v/>
      </c>
      <c r="BJ7" s="100" t="str">
        <f t="shared" si="42"/>
        <v/>
      </c>
      <c r="BK7" s="100" t="str">
        <f t="shared" si="42"/>
        <v/>
      </c>
      <c r="BL7" s="100" t="str">
        <f t="shared" si="42"/>
        <v/>
      </c>
      <c r="BM7" s="100" t="str">
        <f t="shared" si="42"/>
        <v/>
      </c>
      <c r="BN7" s="100" t="str">
        <f t="shared" si="42"/>
        <v/>
      </c>
      <c r="BO7" s="100" t="e">
        <f>BO8/BO5</f>
        <v>#DIV/0!</v>
      </c>
      <c r="BP7" s="100" t="str">
        <f>IFERROR(BP8/BP5,"")</f>
        <v/>
      </c>
      <c r="BQ7" s="100" t="str">
        <f t="shared" si="42"/>
        <v/>
      </c>
      <c r="BR7" s="100" t="str">
        <f t="shared" si="42"/>
        <v/>
      </c>
      <c r="BS7" s="100" t="str">
        <f t="shared" ref="BS7:ED7" si="43">IFERROR(BS8/BS5,"")</f>
        <v/>
      </c>
      <c r="BT7" s="100" t="str">
        <f t="shared" si="43"/>
        <v/>
      </c>
      <c r="BU7" s="100" t="str">
        <f t="shared" si="43"/>
        <v/>
      </c>
      <c r="BV7" s="100" t="str">
        <f t="shared" si="43"/>
        <v/>
      </c>
      <c r="BW7" s="100" t="e">
        <f>BW8/BW5</f>
        <v>#DIV/0!</v>
      </c>
      <c r="BX7" s="100" t="str">
        <f>IFERROR(BX8/BX5,"")</f>
        <v/>
      </c>
      <c r="BY7" s="100" t="str">
        <f t="shared" si="43"/>
        <v/>
      </c>
      <c r="BZ7" s="100" t="str">
        <f t="shared" si="43"/>
        <v/>
      </c>
      <c r="CA7" s="100" t="str">
        <f t="shared" si="43"/>
        <v/>
      </c>
      <c r="CB7" s="100" t="str">
        <f t="shared" si="43"/>
        <v/>
      </c>
      <c r="CC7" s="100" t="str">
        <f t="shared" si="43"/>
        <v/>
      </c>
      <c r="CD7" s="100" t="str">
        <f t="shared" si="43"/>
        <v/>
      </c>
      <c r="CE7" s="100" t="e">
        <f>CE8/CE5</f>
        <v>#DIV/0!</v>
      </c>
      <c r="CF7" s="100" t="str">
        <f>IFERROR(CF8/CF5,"")</f>
        <v/>
      </c>
      <c r="CG7" s="100" t="str">
        <f t="shared" si="43"/>
        <v/>
      </c>
      <c r="CH7" s="100" t="str">
        <f t="shared" si="43"/>
        <v/>
      </c>
      <c r="CI7" s="100" t="str">
        <f t="shared" si="43"/>
        <v/>
      </c>
      <c r="CJ7" s="100" t="str">
        <f t="shared" si="43"/>
        <v/>
      </c>
      <c r="CK7" s="100" t="str">
        <f t="shared" si="43"/>
        <v/>
      </c>
      <c r="CL7" s="100" t="str">
        <f t="shared" si="43"/>
        <v/>
      </c>
      <c r="CM7" s="100" t="e">
        <f>CM8/CM5</f>
        <v>#DIV/0!</v>
      </c>
      <c r="CN7" s="100" t="str">
        <f>IFERROR(CN8/CN5,"")</f>
        <v/>
      </c>
      <c r="CO7" s="100" t="str">
        <f t="shared" si="43"/>
        <v/>
      </c>
      <c r="CP7" s="100" t="str">
        <f t="shared" si="43"/>
        <v/>
      </c>
      <c r="CQ7" s="100" t="str">
        <f t="shared" si="43"/>
        <v/>
      </c>
      <c r="CR7" s="100" t="str">
        <f t="shared" si="43"/>
        <v/>
      </c>
      <c r="CS7" s="100" t="str">
        <f t="shared" si="43"/>
        <v/>
      </c>
      <c r="CT7" s="100" t="str">
        <f t="shared" si="43"/>
        <v/>
      </c>
      <c r="CU7" s="100" t="e">
        <f>CU8/CU5</f>
        <v>#DIV/0!</v>
      </c>
      <c r="CV7" s="100" t="str">
        <f>IFERROR(CV8/CV5,"")</f>
        <v/>
      </c>
      <c r="CW7" s="100" t="str">
        <f t="shared" si="43"/>
        <v/>
      </c>
      <c r="CX7" s="100" t="str">
        <f t="shared" si="43"/>
        <v/>
      </c>
      <c r="CY7" s="100" t="str">
        <f t="shared" si="43"/>
        <v/>
      </c>
      <c r="CZ7" s="100" t="str">
        <f t="shared" si="43"/>
        <v/>
      </c>
      <c r="DA7" s="100" t="str">
        <f t="shared" si="43"/>
        <v/>
      </c>
      <c r="DB7" s="100" t="str">
        <f t="shared" si="43"/>
        <v/>
      </c>
      <c r="DC7" s="100" t="e">
        <f>DC8/DC5</f>
        <v>#DIV/0!</v>
      </c>
      <c r="DD7" s="100" t="str">
        <f>IFERROR(DD8/DD5,"")</f>
        <v/>
      </c>
      <c r="DE7" s="100" t="str">
        <f t="shared" si="43"/>
        <v/>
      </c>
      <c r="DF7" s="100" t="str">
        <f t="shared" si="43"/>
        <v/>
      </c>
      <c r="DG7" s="100" t="str">
        <f t="shared" si="43"/>
        <v/>
      </c>
      <c r="DH7" s="100" t="str">
        <f t="shared" si="43"/>
        <v/>
      </c>
      <c r="DI7" s="100" t="str">
        <f t="shared" si="43"/>
        <v/>
      </c>
      <c r="DJ7" s="100" t="str">
        <f t="shared" si="43"/>
        <v/>
      </c>
      <c r="DK7" s="100" t="e">
        <f>DK8/DK5</f>
        <v>#DIV/0!</v>
      </c>
      <c r="DL7" s="100" t="str">
        <f>IFERROR(DL8/DL5,"")</f>
        <v/>
      </c>
      <c r="DM7" s="100" t="str">
        <f t="shared" si="43"/>
        <v/>
      </c>
      <c r="DN7" s="100" t="str">
        <f t="shared" si="43"/>
        <v/>
      </c>
      <c r="DO7" s="100" t="str">
        <f t="shared" si="43"/>
        <v/>
      </c>
      <c r="DP7" s="100" t="str">
        <f t="shared" si="43"/>
        <v/>
      </c>
      <c r="DQ7" s="100" t="str">
        <f t="shared" si="43"/>
        <v/>
      </c>
      <c r="DR7" s="100" t="str">
        <f t="shared" si="43"/>
        <v/>
      </c>
      <c r="DS7" s="100" t="e">
        <f>DS8/DS5</f>
        <v>#DIV/0!</v>
      </c>
      <c r="DT7" s="100" t="str">
        <f>IFERROR(DT8/DT5,"")</f>
        <v/>
      </c>
      <c r="DU7" s="100" t="str">
        <f t="shared" si="43"/>
        <v/>
      </c>
      <c r="DV7" s="100" t="str">
        <f t="shared" si="43"/>
        <v/>
      </c>
      <c r="DW7" s="100" t="str">
        <f t="shared" si="43"/>
        <v/>
      </c>
      <c r="DX7" s="100" t="str">
        <f t="shared" si="43"/>
        <v/>
      </c>
      <c r="DY7" s="100" t="str">
        <f t="shared" si="43"/>
        <v/>
      </c>
      <c r="DZ7" s="100" t="str">
        <f t="shared" si="43"/>
        <v/>
      </c>
      <c r="EA7" s="100" t="e">
        <f>EA8/EA5</f>
        <v>#DIV/0!</v>
      </c>
      <c r="EB7" s="100" t="str">
        <f>IFERROR(EB8/EB5,"")</f>
        <v/>
      </c>
      <c r="EC7" s="100" t="str">
        <f t="shared" si="43"/>
        <v/>
      </c>
      <c r="ED7" s="100" t="str">
        <f t="shared" si="43"/>
        <v/>
      </c>
      <c r="EE7" s="100" t="str">
        <f t="shared" ref="EE7:GP7" si="44">IFERROR(EE8/EE5,"")</f>
        <v/>
      </c>
      <c r="EF7" s="100" t="str">
        <f t="shared" si="44"/>
        <v/>
      </c>
      <c r="EG7" s="100" t="str">
        <f t="shared" si="44"/>
        <v/>
      </c>
      <c r="EH7" s="100" t="str">
        <f t="shared" si="44"/>
        <v/>
      </c>
      <c r="EI7" s="100" t="e">
        <f>EI8/EI5</f>
        <v>#DIV/0!</v>
      </c>
      <c r="EJ7" s="100" t="str">
        <f>IFERROR(EJ8/EJ5,"")</f>
        <v/>
      </c>
      <c r="EK7" s="100" t="str">
        <f t="shared" si="44"/>
        <v/>
      </c>
      <c r="EL7" s="100" t="str">
        <f t="shared" si="44"/>
        <v/>
      </c>
      <c r="EM7" s="100" t="str">
        <f t="shared" si="44"/>
        <v/>
      </c>
      <c r="EN7" s="100" t="str">
        <f t="shared" si="44"/>
        <v/>
      </c>
      <c r="EO7" s="100" t="str">
        <f t="shared" si="44"/>
        <v/>
      </c>
      <c r="EP7" s="100" t="str">
        <f t="shared" si="44"/>
        <v/>
      </c>
      <c r="EQ7" s="100" t="e">
        <f>EQ8/EQ5</f>
        <v>#DIV/0!</v>
      </c>
      <c r="ER7" s="100" t="str">
        <f>IFERROR(ER8/ER5,"")</f>
        <v/>
      </c>
      <c r="ES7" s="100" t="str">
        <f t="shared" si="44"/>
        <v/>
      </c>
      <c r="ET7" s="100" t="str">
        <f t="shared" si="44"/>
        <v/>
      </c>
      <c r="EU7" s="100" t="str">
        <f t="shared" si="44"/>
        <v/>
      </c>
      <c r="EV7" s="100" t="str">
        <f t="shared" si="44"/>
        <v/>
      </c>
      <c r="EW7" s="100" t="str">
        <f t="shared" si="44"/>
        <v/>
      </c>
      <c r="EX7" s="100" t="str">
        <f t="shared" si="44"/>
        <v/>
      </c>
      <c r="EY7" s="100" t="e">
        <f>EY8/EY5</f>
        <v>#DIV/0!</v>
      </c>
      <c r="EZ7" s="100" t="str">
        <f>IFERROR(EZ8/EZ5,"")</f>
        <v/>
      </c>
      <c r="FA7" s="100" t="str">
        <f t="shared" si="44"/>
        <v/>
      </c>
      <c r="FB7" s="100" t="str">
        <f t="shared" si="44"/>
        <v/>
      </c>
      <c r="FC7" s="100" t="str">
        <f t="shared" si="44"/>
        <v/>
      </c>
      <c r="FD7" s="100" t="str">
        <f t="shared" si="44"/>
        <v/>
      </c>
      <c r="FE7" s="100" t="str">
        <f t="shared" si="44"/>
        <v/>
      </c>
      <c r="FF7" s="100" t="str">
        <f t="shared" si="44"/>
        <v/>
      </c>
      <c r="FG7" s="100" t="e">
        <f>FG8/FG5</f>
        <v>#DIV/0!</v>
      </c>
      <c r="FH7" s="100" t="str">
        <f>IFERROR(FH8/FH5,"")</f>
        <v/>
      </c>
      <c r="FI7" s="100" t="str">
        <f t="shared" si="44"/>
        <v/>
      </c>
      <c r="FJ7" s="100" t="str">
        <f t="shared" si="44"/>
        <v/>
      </c>
      <c r="FK7" s="100" t="str">
        <f t="shared" si="44"/>
        <v/>
      </c>
      <c r="FL7" s="100" t="str">
        <f t="shared" si="44"/>
        <v/>
      </c>
      <c r="FM7" s="100" t="str">
        <f t="shared" si="44"/>
        <v/>
      </c>
      <c r="FN7" s="100" t="str">
        <f t="shared" si="44"/>
        <v/>
      </c>
      <c r="FO7" s="100" t="e">
        <f>FO8/FO5</f>
        <v>#DIV/0!</v>
      </c>
      <c r="FP7" s="100" t="str">
        <f>IFERROR(FP8/FP5,"")</f>
        <v/>
      </c>
      <c r="FQ7" s="100" t="str">
        <f t="shared" si="44"/>
        <v/>
      </c>
      <c r="FR7" s="100" t="str">
        <f t="shared" si="44"/>
        <v/>
      </c>
      <c r="FS7" s="100" t="str">
        <f t="shared" si="44"/>
        <v/>
      </c>
      <c r="FT7" s="100" t="str">
        <f t="shared" si="44"/>
        <v/>
      </c>
      <c r="FU7" s="100" t="str">
        <f t="shared" si="44"/>
        <v/>
      </c>
      <c r="FV7" s="100" t="str">
        <f t="shared" si="44"/>
        <v/>
      </c>
      <c r="FW7" s="100" t="e">
        <f>FW8/FW5</f>
        <v>#DIV/0!</v>
      </c>
      <c r="FX7" s="100" t="str">
        <f>IFERROR(FX8/FX5,"")</f>
        <v/>
      </c>
      <c r="FY7" s="100" t="str">
        <f t="shared" si="44"/>
        <v/>
      </c>
      <c r="FZ7" s="100" t="str">
        <f t="shared" si="44"/>
        <v/>
      </c>
      <c r="GA7" s="100" t="str">
        <f t="shared" si="44"/>
        <v/>
      </c>
      <c r="GB7" s="100" t="str">
        <f t="shared" si="44"/>
        <v/>
      </c>
      <c r="GC7" s="100" t="str">
        <f t="shared" si="44"/>
        <v/>
      </c>
      <c r="GD7" s="100" t="str">
        <f t="shared" si="44"/>
        <v/>
      </c>
      <c r="GE7" s="100" t="e">
        <f>GE8/GE5</f>
        <v>#DIV/0!</v>
      </c>
      <c r="GF7" s="100" t="str">
        <f>IFERROR(GF8/GF5,"")</f>
        <v/>
      </c>
      <c r="GG7" s="100" t="str">
        <f t="shared" si="44"/>
        <v/>
      </c>
      <c r="GH7" s="100" t="str">
        <f t="shared" si="44"/>
        <v/>
      </c>
      <c r="GI7" s="100" t="str">
        <f t="shared" si="44"/>
        <v/>
      </c>
      <c r="GJ7" s="100" t="str">
        <f t="shared" si="44"/>
        <v/>
      </c>
      <c r="GK7" s="100" t="str">
        <f t="shared" si="44"/>
        <v/>
      </c>
      <c r="GL7" s="100" t="str">
        <f t="shared" si="44"/>
        <v/>
      </c>
      <c r="GM7" s="100" t="e">
        <f>GM8/GM5</f>
        <v>#DIV/0!</v>
      </c>
      <c r="GN7" s="100" t="str">
        <f>IFERROR(GN8/GN5,"")</f>
        <v/>
      </c>
      <c r="GO7" s="100" t="str">
        <f t="shared" si="44"/>
        <v/>
      </c>
      <c r="GP7" s="100" t="str">
        <f t="shared" si="44"/>
        <v/>
      </c>
      <c r="GQ7" s="100" t="str">
        <f t="shared" ref="GQ7:JB7" si="45">IFERROR(GQ8/GQ5,"")</f>
        <v/>
      </c>
      <c r="GR7" s="100" t="str">
        <f t="shared" si="45"/>
        <v/>
      </c>
      <c r="GS7" s="100" t="str">
        <f t="shared" si="45"/>
        <v/>
      </c>
      <c r="GT7" s="100" t="str">
        <f t="shared" si="45"/>
        <v/>
      </c>
      <c r="GU7" s="100" t="e">
        <f>GU8/GU5</f>
        <v>#DIV/0!</v>
      </c>
      <c r="GV7" s="100" t="str">
        <f>IFERROR(GV8/GV5,"")</f>
        <v/>
      </c>
      <c r="GW7" s="100" t="str">
        <f t="shared" si="45"/>
        <v/>
      </c>
      <c r="GX7" s="100" t="str">
        <f t="shared" si="45"/>
        <v/>
      </c>
      <c r="GY7" s="100" t="str">
        <f t="shared" si="45"/>
        <v/>
      </c>
      <c r="GZ7" s="100" t="str">
        <f t="shared" si="45"/>
        <v/>
      </c>
      <c r="HA7" s="100" t="str">
        <f t="shared" si="45"/>
        <v/>
      </c>
      <c r="HB7" s="100" t="str">
        <f t="shared" si="45"/>
        <v/>
      </c>
      <c r="HC7" s="100" t="e">
        <f>HC8/HC5</f>
        <v>#DIV/0!</v>
      </c>
      <c r="HD7" s="100" t="str">
        <f>IFERROR(HD8/HD5,"")</f>
        <v/>
      </c>
      <c r="HE7" s="100" t="str">
        <f t="shared" si="45"/>
        <v/>
      </c>
      <c r="HF7" s="100" t="str">
        <f t="shared" si="45"/>
        <v/>
      </c>
      <c r="HG7" s="100" t="str">
        <f t="shared" si="45"/>
        <v/>
      </c>
      <c r="HH7" s="100" t="str">
        <f t="shared" si="45"/>
        <v/>
      </c>
      <c r="HI7" s="100" t="str">
        <f t="shared" si="45"/>
        <v/>
      </c>
      <c r="HJ7" s="100" t="str">
        <f t="shared" si="45"/>
        <v/>
      </c>
      <c r="HK7" s="100" t="e">
        <f>HK8/HK5</f>
        <v>#DIV/0!</v>
      </c>
      <c r="HL7" s="100" t="str">
        <f>IFERROR(HL8/HL5,"")</f>
        <v/>
      </c>
      <c r="HM7" s="100" t="str">
        <f t="shared" si="45"/>
        <v/>
      </c>
      <c r="HN7" s="100" t="str">
        <f t="shared" si="45"/>
        <v/>
      </c>
      <c r="HO7" s="100" t="str">
        <f t="shared" si="45"/>
        <v/>
      </c>
      <c r="HP7" s="100" t="str">
        <f t="shared" si="45"/>
        <v/>
      </c>
      <c r="HQ7" s="100" t="str">
        <f t="shared" si="45"/>
        <v/>
      </c>
      <c r="HR7" s="100" t="str">
        <f t="shared" si="45"/>
        <v/>
      </c>
      <c r="HS7" s="100" t="e">
        <f>HS8/HS5</f>
        <v>#DIV/0!</v>
      </c>
      <c r="HT7" s="100" t="str">
        <f>IFERROR(HT8/HT5,"")</f>
        <v/>
      </c>
      <c r="HU7" s="100" t="str">
        <f t="shared" si="45"/>
        <v/>
      </c>
      <c r="HV7" s="100" t="str">
        <f t="shared" si="45"/>
        <v/>
      </c>
      <c r="HW7" s="100" t="str">
        <f t="shared" si="45"/>
        <v/>
      </c>
      <c r="HX7" s="100" t="str">
        <f t="shared" si="45"/>
        <v/>
      </c>
      <c r="HY7" s="100" t="str">
        <f t="shared" si="45"/>
        <v/>
      </c>
      <c r="HZ7" s="100" t="str">
        <f t="shared" si="45"/>
        <v/>
      </c>
      <c r="IA7" s="100" t="e">
        <f>IA8/IA5</f>
        <v>#DIV/0!</v>
      </c>
      <c r="IB7" s="100" t="str">
        <f>IFERROR(IB8/IB5,"")</f>
        <v/>
      </c>
      <c r="IC7" s="100" t="str">
        <f t="shared" si="45"/>
        <v/>
      </c>
      <c r="ID7" s="100" t="str">
        <f t="shared" si="45"/>
        <v/>
      </c>
      <c r="IE7" s="100" t="str">
        <f t="shared" si="45"/>
        <v/>
      </c>
      <c r="IF7" s="100" t="str">
        <f t="shared" si="45"/>
        <v/>
      </c>
      <c r="IG7" s="100" t="str">
        <f t="shared" si="45"/>
        <v/>
      </c>
      <c r="IH7" s="100" t="str">
        <f t="shared" si="45"/>
        <v/>
      </c>
      <c r="II7" s="100" t="e">
        <f>II8/II5</f>
        <v>#DIV/0!</v>
      </c>
      <c r="IJ7" s="100" t="str">
        <f>IFERROR(IJ8/IJ5,"")</f>
        <v/>
      </c>
      <c r="IK7" s="100" t="str">
        <f t="shared" si="45"/>
        <v/>
      </c>
      <c r="IL7" s="100" t="str">
        <f t="shared" si="45"/>
        <v/>
      </c>
      <c r="IM7" s="100" t="str">
        <f t="shared" si="45"/>
        <v/>
      </c>
      <c r="IN7" s="100" t="str">
        <f t="shared" si="45"/>
        <v/>
      </c>
      <c r="IO7" s="100" t="str">
        <f t="shared" si="45"/>
        <v/>
      </c>
      <c r="IP7" s="100" t="str">
        <f t="shared" si="45"/>
        <v/>
      </c>
      <c r="IQ7" s="100" t="e">
        <f>IQ8/IQ5</f>
        <v>#DIV/0!</v>
      </c>
      <c r="IR7" s="100" t="str">
        <f>IFERROR(IR8/IR5,"")</f>
        <v/>
      </c>
      <c r="IS7" s="100" t="str">
        <f t="shared" si="45"/>
        <v/>
      </c>
      <c r="IT7" s="100" t="str">
        <f t="shared" si="45"/>
        <v/>
      </c>
      <c r="IU7" s="100" t="str">
        <f t="shared" si="45"/>
        <v/>
      </c>
      <c r="IV7" s="100" t="str">
        <f t="shared" si="45"/>
        <v/>
      </c>
      <c r="IW7" s="100" t="str">
        <f t="shared" si="45"/>
        <v/>
      </c>
      <c r="IX7" s="100" t="str">
        <f t="shared" si="45"/>
        <v/>
      </c>
      <c r="IY7" s="100" t="e">
        <f>IY8/IY5</f>
        <v>#DIV/0!</v>
      </c>
      <c r="IZ7" s="100" t="str">
        <f>IFERROR(IZ8/IZ5,"")</f>
        <v/>
      </c>
      <c r="JA7" s="100" t="str">
        <f t="shared" si="45"/>
        <v/>
      </c>
      <c r="JB7" s="100" t="str">
        <f t="shared" si="45"/>
        <v/>
      </c>
      <c r="JC7" s="100" t="str">
        <f t="shared" ref="JC7:LN7" si="46">IFERROR(JC8/JC5,"")</f>
        <v/>
      </c>
      <c r="JD7" s="100" t="str">
        <f t="shared" si="46"/>
        <v/>
      </c>
      <c r="JE7" s="100" t="str">
        <f t="shared" si="46"/>
        <v/>
      </c>
      <c r="JF7" s="100" t="str">
        <f t="shared" si="46"/>
        <v/>
      </c>
      <c r="JG7" s="100" t="e">
        <f>JG8/JG5</f>
        <v>#DIV/0!</v>
      </c>
      <c r="JH7" s="100" t="str">
        <f>IFERROR(JH8/JH5,"")</f>
        <v/>
      </c>
      <c r="JI7" s="100" t="str">
        <f t="shared" si="46"/>
        <v/>
      </c>
      <c r="JJ7" s="100" t="str">
        <f t="shared" si="46"/>
        <v/>
      </c>
      <c r="JK7" s="100" t="str">
        <f t="shared" si="46"/>
        <v/>
      </c>
      <c r="JL7" s="100" t="str">
        <f t="shared" si="46"/>
        <v/>
      </c>
      <c r="JM7" s="100" t="str">
        <f t="shared" si="46"/>
        <v/>
      </c>
      <c r="JN7" s="100" t="str">
        <f t="shared" si="46"/>
        <v/>
      </c>
      <c r="JO7" s="100" t="e">
        <f>JO8/JO5</f>
        <v>#DIV/0!</v>
      </c>
      <c r="JP7" s="100" t="str">
        <f>IFERROR(JP8/JP5,"")</f>
        <v/>
      </c>
      <c r="JQ7" s="100" t="str">
        <f t="shared" si="46"/>
        <v/>
      </c>
      <c r="JR7" s="100" t="str">
        <f t="shared" si="46"/>
        <v/>
      </c>
      <c r="JS7" s="100" t="str">
        <f t="shared" si="46"/>
        <v/>
      </c>
      <c r="JT7" s="100" t="str">
        <f t="shared" si="46"/>
        <v/>
      </c>
      <c r="JU7" s="100" t="str">
        <f t="shared" si="46"/>
        <v/>
      </c>
      <c r="JV7" s="100" t="str">
        <f t="shared" si="46"/>
        <v/>
      </c>
      <c r="JW7" s="100" t="e">
        <f>JW8/JW5</f>
        <v>#DIV/0!</v>
      </c>
      <c r="JX7" s="100" t="str">
        <f>IFERROR(JX8/JX5,"")</f>
        <v/>
      </c>
      <c r="JY7" s="100" t="str">
        <f t="shared" si="46"/>
        <v/>
      </c>
      <c r="JZ7" s="100" t="str">
        <f t="shared" si="46"/>
        <v/>
      </c>
      <c r="KA7" s="100" t="str">
        <f t="shared" si="46"/>
        <v/>
      </c>
      <c r="KB7" s="100" t="str">
        <f t="shared" si="46"/>
        <v/>
      </c>
      <c r="KC7" s="100" t="str">
        <f t="shared" si="46"/>
        <v/>
      </c>
      <c r="KD7" s="100" t="str">
        <f t="shared" si="46"/>
        <v/>
      </c>
      <c r="KE7" s="100" t="e">
        <f>KE8/KE5</f>
        <v>#DIV/0!</v>
      </c>
      <c r="KF7" s="100" t="str">
        <f>IFERROR(KF8/KF5,"")</f>
        <v/>
      </c>
      <c r="KG7" s="100" t="str">
        <f t="shared" si="46"/>
        <v/>
      </c>
      <c r="KH7" s="100" t="str">
        <f t="shared" si="46"/>
        <v/>
      </c>
      <c r="KI7" s="100" t="str">
        <f t="shared" si="46"/>
        <v/>
      </c>
      <c r="KJ7" s="100" t="str">
        <f t="shared" si="46"/>
        <v/>
      </c>
      <c r="KK7" s="100" t="str">
        <f t="shared" si="46"/>
        <v/>
      </c>
      <c r="KL7" s="100" t="str">
        <f t="shared" si="46"/>
        <v/>
      </c>
      <c r="KM7" s="100" t="e">
        <f>KM8/KM5</f>
        <v>#DIV/0!</v>
      </c>
      <c r="KN7" s="100" t="str">
        <f>IFERROR(KN8/KN5,"")</f>
        <v/>
      </c>
      <c r="KO7" s="100" t="str">
        <f t="shared" si="46"/>
        <v/>
      </c>
      <c r="KP7" s="100" t="str">
        <f t="shared" si="46"/>
        <v/>
      </c>
      <c r="KQ7" s="100" t="str">
        <f t="shared" si="46"/>
        <v/>
      </c>
      <c r="KR7" s="100" t="str">
        <f t="shared" si="46"/>
        <v/>
      </c>
      <c r="KS7" s="100" t="str">
        <f t="shared" si="46"/>
        <v/>
      </c>
      <c r="KT7" s="100" t="str">
        <f t="shared" si="46"/>
        <v/>
      </c>
      <c r="KU7" s="100" t="e">
        <f>KU8/KU5</f>
        <v>#DIV/0!</v>
      </c>
      <c r="KV7" s="100" t="str">
        <f>IFERROR(KV8/KV5,"")</f>
        <v/>
      </c>
      <c r="KW7" s="100" t="str">
        <f t="shared" si="46"/>
        <v/>
      </c>
      <c r="KX7" s="100" t="str">
        <f t="shared" si="46"/>
        <v/>
      </c>
      <c r="KY7" s="100" t="str">
        <f t="shared" si="46"/>
        <v/>
      </c>
      <c r="KZ7" s="100" t="str">
        <f t="shared" si="46"/>
        <v/>
      </c>
      <c r="LA7" s="100" t="str">
        <f t="shared" si="46"/>
        <v/>
      </c>
      <c r="LB7" s="100" t="str">
        <f t="shared" si="46"/>
        <v/>
      </c>
      <c r="LC7" s="100" t="e">
        <f>LC8/LC5</f>
        <v>#DIV/0!</v>
      </c>
      <c r="LD7" s="100" t="str">
        <f>IFERROR(LD8/LD5,"")</f>
        <v/>
      </c>
      <c r="LE7" s="100" t="str">
        <f t="shared" si="46"/>
        <v/>
      </c>
      <c r="LF7" s="100" t="str">
        <f t="shared" si="46"/>
        <v/>
      </c>
      <c r="LG7" s="100" t="str">
        <f t="shared" si="46"/>
        <v/>
      </c>
      <c r="LH7" s="100" t="str">
        <f t="shared" si="46"/>
        <v/>
      </c>
      <c r="LI7" s="100" t="str">
        <f t="shared" si="46"/>
        <v/>
      </c>
      <c r="LJ7" s="100" t="str">
        <f t="shared" si="46"/>
        <v/>
      </c>
      <c r="LK7" s="100" t="e">
        <f>LK8/LK5</f>
        <v>#DIV/0!</v>
      </c>
      <c r="LL7" s="100" t="str">
        <f>IFERROR(LL8/LL5,"")</f>
        <v/>
      </c>
      <c r="LM7" s="100" t="str">
        <f t="shared" si="46"/>
        <v/>
      </c>
      <c r="LN7" s="100" t="str">
        <f t="shared" si="46"/>
        <v/>
      </c>
      <c r="LO7" s="100" t="str">
        <f t="shared" ref="LO7:NZ7" si="47">IFERROR(LO8/LO5,"")</f>
        <v/>
      </c>
      <c r="LP7" s="100" t="str">
        <f t="shared" si="47"/>
        <v/>
      </c>
      <c r="LQ7" s="100" t="str">
        <f t="shared" si="47"/>
        <v/>
      </c>
      <c r="LR7" s="100" t="str">
        <f t="shared" si="47"/>
        <v/>
      </c>
      <c r="LS7" s="100" t="e">
        <f>LS8/LS5</f>
        <v>#DIV/0!</v>
      </c>
      <c r="LT7" s="100" t="str">
        <f>IFERROR(LT8/LT5,"")</f>
        <v/>
      </c>
      <c r="LU7" s="100" t="str">
        <f t="shared" si="47"/>
        <v/>
      </c>
      <c r="LV7" s="100" t="str">
        <f t="shared" si="47"/>
        <v/>
      </c>
      <c r="LW7" s="100" t="str">
        <f t="shared" si="47"/>
        <v/>
      </c>
      <c r="LX7" s="100" t="str">
        <f t="shared" si="47"/>
        <v/>
      </c>
      <c r="LY7" s="100" t="str">
        <f t="shared" si="47"/>
        <v/>
      </c>
      <c r="LZ7" s="100" t="str">
        <f t="shared" si="47"/>
        <v/>
      </c>
      <c r="MA7" s="100" t="e">
        <f>MA8/MA5</f>
        <v>#DIV/0!</v>
      </c>
      <c r="MB7" s="100" t="str">
        <f>IFERROR(MB8/MB5,"")</f>
        <v/>
      </c>
      <c r="MC7" s="100" t="str">
        <f t="shared" si="47"/>
        <v/>
      </c>
      <c r="MD7" s="100" t="str">
        <f t="shared" si="47"/>
        <v/>
      </c>
      <c r="ME7" s="100" t="str">
        <f t="shared" si="47"/>
        <v/>
      </c>
      <c r="MF7" s="100" t="str">
        <f t="shared" si="47"/>
        <v/>
      </c>
      <c r="MG7" s="100" t="str">
        <f t="shared" si="47"/>
        <v/>
      </c>
      <c r="MH7" s="100" t="str">
        <f t="shared" si="47"/>
        <v/>
      </c>
      <c r="MI7" s="100" t="e">
        <f>MI8/MI5</f>
        <v>#DIV/0!</v>
      </c>
      <c r="MJ7" s="100" t="str">
        <f>IFERROR(MJ8/MJ5,"")</f>
        <v/>
      </c>
      <c r="MK7" s="100" t="str">
        <f t="shared" si="47"/>
        <v/>
      </c>
      <c r="ML7" s="100" t="str">
        <f t="shared" si="47"/>
        <v/>
      </c>
      <c r="MM7" s="100" t="str">
        <f t="shared" si="47"/>
        <v/>
      </c>
      <c r="MN7" s="100" t="str">
        <f t="shared" si="47"/>
        <v/>
      </c>
      <c r="MO7" s="100" t="str">
        <f t="shared" si="47"/>
        <v/>
      </c>
      <c r="MP7" s="100" t="str">
        <f t="shared" si="47"/>
        <v/>
      </c>
      <c r="MQ7" s="100" t="e">
        <f>MQ8/MQ5</f>
        <v>#DIV/0!</v>
      </c>
      <c r="MR7" s="100" t="str">
        <f>IFERROR(MR8/MR5,"")</f>
        <v/>
      </c>
      <c r="MS7" s="100" t="str">
        <f t="shared" si="47"/>
        <v/>
      </c>
      <c r="MT7" s="100" t="str">
        <f t="shared" si="47"/>
        <v/>
      </c>
      <c r="MU7" s="100" t="str">
        <f t="shared" si="47"/>
        <v/>
      </c>
      <c r="MV7" s="100" t="str">
        <f t="shared" si="47"/>
        <v/>
      </c>
      <c r="MW7" s="100" t="str">
        <f t="shared" si="47"/>
        <v/>
      </c>
      <c r="MX7" s="100" t="str">
        <f t="shared" si="47"/>
        <v/>
      </c>
      <c r="MY7" s="100" t="e">
        <f>MY8/MY5</f>
        <v>#DIV/0!</v>
      </c>
      <c r="MZ7" s="100" t="str">
        <f>IFERROR(MZ8/MZ5,"")</f>
        <v/>
      </c>
      <c r="NA7" s="100" t="str">
        <f t="shared" si="47"/>
        <v/>
      </c>
      <c r="NB7" s="100" t="str">
        <f t="shared" si="47"/>
        <v/>
      </c>
      <c r="NC7" s="100" t="str">
        <f t="shared" si="47"/>
        <v/>
      </c>
      <c r="ND7" s="100" t="str">
        <f t="shared" si="47"/>
        <v/>
      </c>
      <c r="NE7" s="100" t="str">
        <f t="shared" si="47"/>
        <v/>
      </c>
      <c r="NF7" s="100" t="str">
        <f t="shared" si="47"/>
        <v/>
      </c>
      <c r="NG7" s="100" t="e">
        <f>NG8/NG5</f>
        <v>#DIV/0!</v>
      </c>
      <c r="NH7" s="100" t="str">
        <f>IFERROR(NH8/NH5,"")</f>
        <v/>
      </c>
      <c r="NI7" s="100" t="str">
        <f t="shared" si="47"/>
        <v/>
      </c>
      <c r="NJ7" s="100" t="str">
        <f t="shared" si="47"/>
        <v/>
      </c>
      <c r="NK7" s="100" t="str">
        <f t="shared" si="47"/>
        <v/>
      </c>
      <c r="NL7" s="100" t="str">
        <f t="shared" si="47"/>
        <v/>
      </c>
      <c r="NM7" s="100" t="str">
        <f t="shared" si="47"/>
        <v/>
      </c>
      <c r="NN7" s="100" t="str">
        <f t="shared" si="47"/>
        <v/>
      </c>
      <c r="NO7" s="100" t="e">
        <f>NO8/NO5</f>
        <v>#DIV/0!</v>
      </c>
      <c r="NP7" s="100" t="str">
        <f>IFERROR(NP8/NP5,"")</f>
        <v/>
      </c>
      <c r="NQ7" s="100" t="str">
        <f t="shared" si="47"/>
        <v/>
      </c>
      <c r="NR7" s="100" t="str">
        <f t="shared" si="47"/>
        <v/>
      </c>
      <c r="NS7" s="100" t="str">
        <f t="shared" si="47"/>
        <v/>
      </c>
      <c r="NT7" s="100" t="str">
        <f t="shared" si="47"/>
        <v/>
      </c>
      <c r="NU7" s="100" t="str">
        <f t="shared" si="47"/>
        <v/>
      </c>
      <c r="NV7" s="100" t="str">
        <f t="shared" si="47"/>
        <v/>
      </c>
      <c r="NW7" s="100" t="e">
        <f>NW8/NW5</f>
        <v>#DIV/0!</v>
      </c>
      <c r="NX7" s="69" t="str">
        <f>IFERROR(NX8/NX5,"")</f>
        <v/>
      </c>
      <c r="NY7" s="69" t="str">
        <f t="shared" si="47"/>
        <v/>
      </c>
      <c r="NZ7" s="69" t="str">
        <f t="shared" si="47"/>
        <v/>
      </c>
      <c r="OA7" s="69" t="str">
        <f t="shared" ref="OA7:OL7" si="48">IFERROR(OA8/OA5,"")</f>
        <v/>
      </c>
      <c r="OB7" s="69" t="str">
        <f t="shared" si="48"/>
        <v/>
      </c>
      <c r="OC7" s="69" t="str">
        <f t="shared" si="48"/>
        <v/>
      </c>
      <c r="OD7" s="69" t="str">
        <f t="shared" si="48"/>
        <v/>
      </c>
      <c r="OE7" s="69" t="e">
        <f>OE8/OE5</f>
        <v>#DIV/0!</v>
      </c>
      <c r="OF7" s="69" t="str">
        <f>IFERROR(OF8/OF5,"")</f>
        <v/>
      </c>
      <c r="OG7" s="69" t="str">
        <f t="shared" si="48"/>
        <v/>
      </c>
      <c r="OH7" s="69" t="str">
        <f t="shared" si="48"/>
        <v/>
      </c>
      <c r="OI7" s="69" t="str">
        <f t="shared" si="48"/>
        <v/>
      </c>
      <c r="OJ7" s="69" t="str">
        <f t="shared" si="48"/>
        <v/>
      </c>
      <c r="OK7" s="69" t="str">
        <f t="shared" si="48"/>
        <v/>
      </c>
      <c r="OL7" s="87" t="str">
        <f t="shared" si="48"/>
        <v/>
      </c>
      <c r="OM7" s="79"/>
      <c r="ON7" s="79"/>
      <c r="OO7" s="79"/>
      <c r="OP7" s="79"/>
      <c r="OQ7" s="79"/>
      <c r="OR7" s="79"/>
      <c r="OS7" s="79"/>
      <c r="OT7" s="79"/>
      <c r="OU7" s="79"/>
      <c r="OV7" s="79"/>
      <c r="OW7" s="79"/>
      <c r="OX7" s="79"/>
      <c r="OY7" s="79"/>
      <c r="OZ7" s="79"/>
      <c r="PA7" s="79"/>
      <c r="PB7" s="79"/>
      <c r="PC7" s="79"/>
      <c r="PD7" s="79"/>
      <c r="PE7" s="79"/>
      <c r="PF7" s="79"/>
      <c r="PG7" s="79"/>
      <c r="PH7" s="79"/>
      <c r="PI7" s="79"/>
      <c r="PJ7" s="79"/>
      <c r="PK7" s="79"/>
      <c r="PL7" s="79"/>
      <c r="PM7" s="79"/>
      <c r="PN7" s="79"/>
      <c r="PO7" s="79"/>
      <c r="PP7" s="79"/>
      <c r="PQ7" s="79"/>
      <c r="PR7" s="79"/>
      <c r="PS7" s="79"/>
      <c r="PT7" s="79"/>
      <c r="PU7" s="79"/>
      <c r="PV7" s="79"/>
      <c r="PW7" s="79"/>
      <c r="PX7" s="79"/>
      <c r="PY7" s="79"/>
      <c r="PZ7" s="79"/>
    </row>
    <row r="8" spans="1:15679" ht="15.75" x14ac:dyDescent="0.25">
      <c r="A8" s="593"/>
      <c r="B8" s="80"/>
      <c r="C8" s="88" t="s">
        <v>440</v>
      </c>
      <c r="D8" s="100" t="str">
        <f>IFERROR(VLOOKUP(D4,#REF!,9,FALSE),"")</f>
        <v/>
      </c>
      <c r="E8" s="100" t="str">
        <f>IFERROR(VLOOKUP(E4,#REF!,9,FALSE),"")</f>
        <v/>
      </c>
      <c r="F8" s="100" t="str">
        <f>IFERROR(VLOOKUP(F4,#REF!,9,FALSE),"")</f>
        <v/>
      </c>
      <c r="G8" s="100" t="str">
        <f>IFERROR(VLOOKUP(G4,#REF!,9,FALSE),"")</f>
        <v/>
      </c>
      <c r="H8" s="100" t="str">
        <f>IFERROR(VLOOKUP(H4,#REF!,9,FALSE),"")</f>
        <v/>
      </c>
      <c r="I8" s="100" t="str">
        <f>IFERROR(VLOOKUP(I4,#REF!,9,FALSE),"")</f>
        <v/>
      </c>
      <c r="J8" s="100" t="str">
        <f>IFERROR(VLOOKUP(J4,#REF!,9,FALSE),"")</f>
        <v/>
      </c>
      <c r="K8" s="100">
        <f>SUM(D8:J8)</f>
        <v>0</v>
      </c>
      <c r="L8" s="100" t="str">
        <f>IFERROR(VLOOKUP(L4,#REF!,9,FALSE),"")</f>
        <v/>
      </c>
      <c r="M8" s="100" t="str">
        <f>IFERROR(VLOOKUP(M4,#REF!,9,FALSE),"")</f>
        <v/>
      </c>
      <c r="N8" s="100" t="str">
        <f>IFERROR(VLOOKUP(N4,#REF!,9,FALSE),"")</f>
        <v/>
      </c>
      <c r="O8" s="100" t="str">
        <f>IFERROR(VLOOKUP(O4,#REF!,9,FALSE),"")</f>
        <v/>
      </c>
      <c r="P8" s="100" t="str">
        <f>IFERROR(VLOOKUP(P4,#REF!,9,FALSE),"")</f>
        <v/>
      </c>
      <c r="Q8" s="100" t="str">
        <f>IFERROR(VLOOKUP(Q4,#REF!,9,FALSE),"")</f>
        <v/>
      </c>
      <c r="R8" s="100" t="str">
        <f>IFERROR(VLOOKUP(R4,#REF!,9,FALSE),"")</f>
        <v/>
      </c>
      <c r="S8" s="100">
        <f t="shared" ref="S8:S16" si="49">SUM(L8:R8)</f>
        <v>0</v>
      </c>
      <c r="T8" s="100" t="str">
        <f>IFERROR(VLOOKUP(T4,#REF!,9,FALSE),"")</f>
        <v/>
      </c>
      <c r="U8" s="100" t="str">
        <f>IFERROR(VLOOKUP(U4,#REF!,9,FALSE),"")</f>
        <v/>
      </c>
      <c r="V8" s="100" t="str">
        <f>IFERROR(VLOOKUP(V4,#REF!,9,FALSE),"")</f>
        <v/>
      </c>
      <c r="W8" s="100" t="str">
        <f>IFERROR(VLOOKUP(W4,#REF!,9,FALSE),"")</f>
        <v/>
      </c>
      <c r="X8" s="100" t="str">
        <f>IFERROR(VLOOKUP(X4,#REF!,9,FALSE),"")</f>
        <v/>
      </c>
      <c r="Y8" s="100" t="str">
        <f>IFERROR(VLOOKUP(Y4,#REF!,9,FALSE),"")</f>
        <v/>
      </c>
      <c r="Z8" s="100" t="str">
        <f>IFERROR(VLOOKUP(Z4,#REF!,9,FALSE),"")</f>
        <v/>
      </c>
      <c r="AA8" s="100">
        <f t="shared" ref="AA8:AA16" si="50">SUM(T8:Z8)</f>
        <v>0</v>
      </c>
      <c r="AB8" s="100" t="str">
        <f>IFERROR(VLOOKUP(AB4,#REF!,9,FALSE),"")</f>
        <v/>
      </c>
      <c r="AC8" s="100" t="str">
        <f>IFERROR(VLOOKUP(AC4,#REF!,9,FALSE),"")</f>
        <v/>
      </c>
      <c r="AD8" s="100" t="str">
        <f>IFERROR(VLOOKUP(AD4,#REF!,9,FALSE),"")</f>
        <v/>
      </c>
      <c r="AE8" s="100" t="str">
        <f>IFERROR(VLOOKUP(AE4,#REF!,9,FALSE),"")</f>
        <v/>
      </c>
      <c r="AF8" s="100" t="str">
        <f>IFERROR(VLOOKUP(AF4,#REF!,9,FALSE),"")</f>
        <v/>
      </c>
      <c r="AG8" s="100" t="str">
        <f>IFERROR(VLOOKUP(AG4,#REF!,9,FALSE),"")</f>
        <v/>
      </c>
      <c r="AH8" s="100" t="str">
        <f>IFERROR(VLOOKUP(AH4,#REF!,9,FALSE),"")</f>
        <v/>
      </c>
      <c r="AI8" s="100">
        <f t="shared" ref="AI8:AI16" si="51">SUM(AB8:AH8)</f>
        <v>0</v>
      </c>
      <c r="AJ8" s="100" t="str">
        <f>IFERROR(VLOOKUP(AJ4,#REF!,9,FALSE),"")</f>
        <v/>
      </c>
      <c r="AK8" s="100" t="str">
        <f>IFERROR(VLOOKUP(AK4,#REF!,9,FALSE),"")</f>
        <v/>
      </c>
      <c r="AL8" s="100" t="str">
        <f>IFERROR(VLOOKUP(AL4,#REF!,9,FALSE),"")</f>
        <v/>
      </c>
      <c r="AM8" s="100" t="str">
        <f>IFERROR(VLOOKUP(AM4,#REF!,9,FALSE),"")</f>
        <v/>
      </c>
      <c r="AN8" s="100" t="str">
        <f>IFERROR(VLOOKUP(AN4,#REF!,9,FALSE),"")</f>
        <v/>
      </c>
      <c r="AO8" s="100" t="str">
        <f>IFERROR(VLOOKUP(AO4,#REF!,9,FALSE),"")</f>
        <v/>
      </c>
      <c r="AP8" s="100" t="str">
        <f>IFERROR(VLOOKUP(AP4,#REF!,9,FALSE),"")</f>
        <v/>
      </c>
      <c r="AQ8" s="100">
        <f t="shared" ref="AQ8:AQ16" si="52">SUM(AJ8:AP8)</f>
        <v>0</v>
      </c>
      <c r="AR8" s="100" t="str">
        <f>IFERROR(VLOOKUP(AR4,#REF!,9,FALSE),"")</f>
        <v/>
      </c>
      <c r="AS8" s="100" t="str">
        <f>IFERROR(VLOOKUP(AS4,#REF!,9,FALSE),"")</f>
        <v/>
      </c>
      <c r="AT8" s="100" t="str">
        <f>IFERROR(VLOOKUP(AT4,#REF!,9,FALSE),"")</f>
        <v/>
      </c>
      <c r="AU8" s="100" t="str">
        <f>IFERROR(VLOOKUP(AU4,#REF!,9,FALSE),"")</f>
        <v/>
      </c>
      <c r="AV8" s="100" t="str">
        <f>IFERROR(VLOOKUP(AV4,#REF!,9,FALSE),"")</f>
        <v/>
      </c>
      <c r="AW8" s="100" t="str">
        <f>IFERROR(VLOOKUP(AW4,#REF!,9,FALSE),"")</f>
        <v/>
      </c>
      <c r="AX8" s="100" t="str">
        <f>IFERROR(VLOOKUP(AX4,#REF!,9,FALSE),"")</f>
        <v/>
      </c>
      <c r="AY8" s="100">
        <f t="shared" ref="AY8:AY16" si="53">SUM(AR8:AX8)</f>
        <v>0</v>
      </c>
      <c r="AZ8" s="100" t="str">
        <f>IFERROR(VLOOKUP(AZ4,#REF!,9,FALSE),"")</f>
        <v/>
      </c>
      <c r="BA8" s="100" t="str">
        <f>IFERROR(VLOOKUP(BA4,#REF!,9,FALSE),"")</f>
        <v/>
      </c>
      <c r="BB8" s="100" t="str">
        <f>IFERROR(VLOOKUP(BB4,#REF!,9,FALSE),"")</f>
        <v/>
      </c>
      <c r="BC8" s="100" t="str">
        <f>IFERROR(VLOOKUP(BC4,#REF!,9,FALSE),"")</f>
        <v/>
      </c>
      <c r="BD8" s="100" t="str">
        <f>IFERROR(VLOOKUP(BD4,#REF!,9,FALSE),"")</f>
        <v/>
      </c>
      <c r="BE8" s="100" t="str">
        <f>IFERROR(VLOOKUP(BE4,#REF!,9,FALSE),"")</f>
        <v/>
      </c>
      <c r="BF8" s="100" t="str">
        <f>IFERROR(VLOOKUP(BF4,#REF!,9,FALSE),"")</f>
        <v/>
      </c>
      <c r="BG8" s="100">
        <f t="shared" ref="BG8:BG16" si="54">SUM(AZ8:BF8)</f>
        <v>0</v>
      </c>
      <c r="BH8" s="100" t="str">
        <f>IFERROR(VLOOKUP(BH4,#REF!,9,FALSE),"")</f>
        <v/>
      </c>
      <c r="BI8" s="100" t="str">
        <f>IFERROR(VLOOKUP(BI4,#REF!,9,FALSE),"")</f>
        <v/>
      </c>
      <c r="BJ8" s="100" t="str">
        <f>IFERROR(VLOOKUP(BJ4,#REF!,9,FALSE),"")</f>
        <v/>
      </c>
      <c r="BK8" s="100" t="str">
        <f>IFERROR(VLOOKUP(BK4,#REF!,9,FALSE),"")</f>
        <v/>
      </c>
      <c r="BL8" s="100" t="str">
        <f>IFERROR(VLOOKUP(BL4,#REF!,9,FALSE),"")</f>
        <v/>
      </c>
      <c r="BM8" s="100" t="str">
        <f>IFERROR(VLOOKUP(BM4,#REF!,9,FALSE),"")</f>
        <v/>
      </c>
      <c r="BN8" s="100" t="str">
        <f>IFERROR(VLOOKUP(BN4,#REF!,9,FALSE),"")</f>
        <v/>
      </c>
      <c r="BO8" s="100">
        <f t="shared" ref="BO8:BO16" si="55">SUM(BH8:BN8)</f>
        <v>0</v>
      </c>
      <c r="BP8" s="100" t="str">
        <f>IFERROR(VLOOKUP(BP4,#REF!,9,FALSE),"")</f>
        <v/>
      </c>
      <c r="BQ8" s="100" t="str">
        <f>IFERROR(VLOOKUP(BQ4,#REF!,9,FALSE),"")</f>
        <v/>
      </c>
      <c r="BR8" s="100" t="str">
        <f>IFERROR(VLOOKUP(BR4,#REF!,9,FALSE),"")</f>
        <v/>
      </c>
      <c r="BS8" s="100" t="str">
        <f>IFERROR(VLOOKUP(BS4,#REF!,9,FALSE),"")</f>
        <v/>
      </c>
      <c r="BT8" s="100" t="str">
        <f>IFERROR(VLOOKUP(BT4,#REF!,9,FALSE),"")</f>
        <v/>
      </c>
      <c r="BU8" s="100" t="str">
        <f>IFERROR(VLOOKUP(BU4,#REF!,9,FALSE),"")</f>
        <v/>
      </c>
      <c r="BV8" s="100" t="str">
        <f>IFERROR(VLOOKUP(BV4,#REF!,9,FALSE),"")</f>
        <v/>
      </c>
      <c r="BW8" s="100">
        <f t="shared" ref="BW8:BW16" si="56">SUM(BP8:BV8)</f>
        <v>0</v>
      </c>
      <c r="BX8" s="100" t="str">
        <f>IFERROR(VLOOKUP(BX4,#REF!,9,FALSE),"")</f>
        <v/>
      </c>
      <c r="BY8" s="100" t="str">
        <f>IFERROR(VLOOKUP(BY4,#REF!,9,FALSE),"")</f>
        <v/>
      </c>
      <c r="BZ8" s="100" t="str">
        <f>IFERROR(VLOOKUP(BZ4,#REF!,9,FALSE),"")</f>
        <v/>
      </c>
      <c r="CA8" s="100" t="str">
        <f>IFERROR(VLOOKUP(CA4,#REF!,9,FALSE),"")</f>
        <v/>
      </c>
      <c r="CB8" s="100" t="str">
        <f>IFERROR(VLOOKUP(CB4,#REF!,9,FALSE),"")</f>
        <v/>
      </c>
      <c r="CC8" s="100" t="str">
        <f>IFERROR(VLOOKUP(CC4,#REF!,9,FALSE),"")</f>
        <v/>
      </c>
      <c r="CD8" s="100" t="str">
        <f>IFERROR(VLOOKUP(CD4,#REF!,9,FALSE),"")</f>
        <v/>
      </c>
      <c r="CE8" s="100">
        <f t="shared" ref="CE8:CE16" si="57">SUM(BX8:CD8)</f>
        <v>0</v>
      </c>
      <c r="CF8" s="100" t="str">
        <f>IFERROR(VLOOKUP(CF4,#REF!,9,FALSE),"")</f>
        <v/>
      </c>
      <c r="CG8" s="100" t="str">
        <f>IFERROR(VLOOKUP(CG4,#REF!,9,FALSE),"")</f>
        <v/>
      </c>
      <c r="CH8" s="100" t="str">
        <f>IFERROR(VLOOKUP(CH4,#REF!,9,FALSE),"")</f>
        <v/>
      </c>
      <c r="CI8" s="100" t="str">
        <f>IFERROR(VLOOKUP(CI4,#REF!,9,FALSE),"")</f>
        <v/>
      </c>
      <c r="CJ8" s="100" t="str">
        <f>IFERROR(VLOOKUP(CJ4,#REF!,9,FALSE),"")</f>
        <v/>
      </c>
      <c r="CK8" s="100" t="str">
        <f>IFERROR(VLOOKUP(CK4,#REF!,9,FALSE),"")</f>
        <v/>
      </c>
      <c r="CL8" s="100" t="str">
        <f>IFERROR(VLOOKUP(CL4,#REF!,9,FALSE),"")</f>
        <v/>
      </c>
      <c r="CM8" s="100">
        <f t="shared" ref="CM8:CM16" si="58">SUM(CF8:CL8)</f>
        <v>0</v>
      </c>
      <c r="CN8" s="100" t="str">
        <f>IFERROR(VLOOKUP(CN4,#REF!,9,FALSE),"")</f>
        <v/>
      </c>
      <c r="CO8" s="100" t="str">
        <f>IFERROR(VLOOKUP(CO4,#REF!,9,FALSE),"")</f>
        <v/>
      </c>
      <c r="CP8" s="100" t="str">
        <f>IFERROR(VLOOKUP(CP4,#REF!,9,FALSE),"")</f>
        <v/>
      </c>
      <c r="CQ8" s="100" t="str">
        <f>IFERROR(VLOOKUP(CQ4,#REF!,9,FALSE),"")</f>
        <v/>
      </c>
      <c r="CR8" s="100" t="str">
        <f>IFERROR(VLOOKUP(CR4,#REF!,9,FALSE),"")</f>
        <v/>
      </c>
      <c r="CS8" s="100" t="str">
        <f>IFERROR(VLOOKUP(CS4,#REF!,9,FALSE),"")</f>
        <v/>
      </c>
      <c r="CT8" s="100" t="str">
        <f>IFERROR(VLOOKUP(CT4,#REF!,9,FALSE),"")</f>
        <v/>
      </c>
      <c r="CU8" s="100">
        <f t="shared" ref="CU8:CU16" si="59">SUM(CN8:CT8)</f>
        <v>0</v>
      </c>
      <c r="CV8" s="100" t="str">
        <f>IFERROR(VLOOKUP(CV4,#REF!,9,FALSE),"")</f>
        <v/>
      </c>
      <c r="CW8" s="100" t="str">
        <f>IFERROR(VLOOKUP(CW4,#REF!,9,FALSE),"")</f>
        <v/>
      </c>
      <c r="CX8" s="100" t="str">
        <f>IFERROR(VLOOKUP(CX4,#REF!,9,FALSE),"")</f>
        <v/>
      </c>
      <c r="CY8" s="100" t="str">
        <f>IFERROR(VLOOKUP(CY4,#REF!,9,FALSE),"")</f>
        <v/>
      </c>
      <c r="CZ8" s="100" t="str">
        <f>IFERROR(VLOOKUP(CZ4,#REF!,9,FALSE),"")</f>
        <v/>
      </c>
      <c r="DA8" s="100" t="str">
        <f>IFERROR(VLOOKUP(DA4,#REF!,9,FALSE),"")</f>
        <v/>
      </c>
      <c r="DB8" s="100" t="str">
        <f>IFERROR(VLOOKUP(DB4,#REF!,9,FALSE),"")</f>
        <v/>
      </c>
      <c r="DC8" s="100">
        <f t="shared" ref="DC8:DC16" si="60">SUM(CV8:DB8)</f>
        <v>0</v>
      </c>
      <c r="DD8" s="100" t="str">
        <f>IFERROR(VLOOKUP(DD4,#REF!,9,FALSE),"")</f>
        <v/>
      </c>
      <c r="DE8" s="100" t="str">
        <f>IFERROR(VLOOKUP(DE4,#REF!,9,FALSE),"")</f>
        <v/>
      </c>
      <c r="DF8" s="100" t="str">
        <f>IFERROR(VLOOKUP(DF4,#REF!,9,FALSE),"")</f>
        <v/>
      </c>
      <c r="DG8" s="100" t="str">
        <f>IFERROR(VLOOKUP(DG4,#REF!,9,FALSE),"")</f>
        <v/>
      </c>
      <c r="DH8" s="100" t="str">
        <f>IFERROR(VLOOKUP(DH4,#REF!,9,FALSE),"")</f>
        <v/>
      </c>
      <c r="DI8" s="100" t="str">
        <f>IFERROR(VLOOKUP(DI4,#REF!,9,FALSE),"")</f>
        <v/>
      </c>
      <c r="DJ8" s="100" t="str">
        <f>IFERROR(VLOOKUP(DJ4,#REF!,9,FALSE),"")</f>
        <v/>
      </c>
      <c r="DK8" s="100">
        <f t="shared" ref="DK8:DK16" si="61">SUM(DD8:DJ8)</f>
        <v>0</v>
      </c>
      <c r="DL8" s="100" t="str">
        <f>IFERROR(VLOOKUP(DL4,#REF!,9,FALSE),"")</f>
        <v/>
      </c>
      <c r="DM8" s="100" t="str">
        <f>IFERROR(VLOOKUP(DM4,#REF!,9,FALSE),"")</f>
        <v/>
      </c>
      <c r="DN8" s="100" t="str">
        <f>IFERROR(VLOOKUP(DN4,#REF!,9,FALSE),"")</f>
        <v/>
      </c>
      <c r="DO8" s="100" t="str">
        <f>IFERROR(VLOOKUP(DO4,#REF!,9,FALSE),"")</f>
        <v/>
      </c>
      <c r="DP8" s="100" t="str">
        <f>IFERROR(VLOOKUP(DP4,#REF!,9,FALSE),"")</f>
        <v/>
      </c>
      <c r="DQ8" s="100" t="str">
        <f>IFERROR(VLOOKUP(DQ4,#REF!,9,FALSE),"")</f>
        <v/>
      </c>
      <c r="DR8" s="100" t="str">
        <f>IFERROR(VLOOKUP(DR4,#REF!,9,FALSE),"")</f>
        <v/>
      </c>
      <c r="DS8" s="100">
        <f t="shared" ref="DS8:DS16" si="62">SUM(DL8:DR8)</f>
        <v>0</v>
      </c>
      <c r="DT8" s="100" t="str">
        <f>IFERROR(VLOOKUP(DT4,#REF!,9,FALSE),"")</f>
        <v/>
      </c>
      <c r="DU8" s="100" t="str">
        <f>IFERROR(VLOOKUP(DU4,#REF!,9,FALSE),"")</f>
        <v/>
      </c>
      <c r="DV8" s="100" t="str">
        <f>IFERROR(VLOOKUP(DV4,#REF!,9,FALSE),"")</f>
        <v/>
      </c>
      <c r="DW8" s="100" t="str">
        <f>IFERROR(VLOOKUP(DW4,#REF!,9,FALSE),"")</f>
        <v/>
      </c>
      <c r="DX8" s="100" t="str">
        <f>IFERROR(VLOOKUP(DX4,#REF!,9,FALSE),"")</f>
        <v/>
      </c>
      <c r="DY8" s="100" t="str">
        <f>IFERROR(VLOOKUP(DY4,#REF!,9,FALSE),"")</f>
        <v/>
      </c>
      <c r="DZ8" s="100" t="str">
        <f>IFERROR(VLOOKUP(DZ4,#REF!,9,FALSE),"")</f>
        <v/>
      </c>
      <c r="EA8" s="100">
        <f t="shared" ref="EA8:EA16" si="63">SUM(DT8:DZ8)</f>
        <v>0</v>
      </c>
      <c r="EB8" s="100" t="str">
        <f>IFERROR(VLOOKUP(EB4,#REF!,9,FALSE),"")</f>
        <v/>
      </c>
      <c r="EC8" s="100" t="str">
        <f>IFERROR(VLOOKUP(EC4,#REF!,9,FALSE),"")</f>
        <v/>
      </c>
      <c r="ED8" s="100" t="str">
        <f>IFERROR(VLOOKUP(ED4,#REF!,9,FALSE),"")</f>
        <v/>
      </c>
      <c r="EE8" s="100" t="str">
        <f>IFERROR(VLOOKUP(EE4,#REF!,9,FALSE),"")</f>
        <v/>
      </c>
      <c r="EF8" s="100" t="str">
        <f>IFERROR(VLOOKUP(EF4,#REF!,9,FALSE),"")</f>
        <v/>
      </c>
      <c r="EG8" s="100" t="str">
        <f>IFERROR(VLOOKUP(EG4,#REF!,9,FALSE),"")</f>
        <v/>
      </c>
      <c r="EH8" s="100" t="str">
        <f>IFERROR(VLOOKUP(EH4,#REF!,9,FALSE),"")</f>
        <v/>
      </c>
      <c r="EI8" s="100">
        <f t="shared" ref="EI8:EI16" si="64">SUM(EB8:EH8)</f>
        <v>0</v>
      </c>
      <c r="EJ8" s="100" t="str">
        <f>IFERROR(VLOOKUP(EJ4,#REF!,9,FALSE),"")</f>
        <v/>
      </c>
      <c r="EK8" s="100" t="str">
        <f>IFERROR(VLOOKUP(EK4,#REF!,9,FALSE),"")</f>
        <v/>
      </c>
      <c r="EL8" s="100" t="str">
        <f>IFERROR(VLOOKUP(EL4,#REF!,9,FALSE),"")</f>
        <v/>
      </c>
      <c r="EM8" s="100" t="str">
        <f>IFERROR(VLOOKUP(EM4,#REF!,9,FALSE),"")</f>
        <v/>
      </c>
      <c r="EN8" s="100" t="str">
        <f>IFERROR(VLOOKUP(EN4,#REF!,9,FALSE),"")</f>
        <v/>
      </c>
      <c r="EO8" s="100" t="str">
        <f>IFERROR(VLOOKUP(EO4,#REF!,9,FALSE),"")</f>
        <v/>
      </c>
      <c r="EP8" s="100" t="str">
        <f>IFERROR(VLOOKUP(EP4,#REF!,9,FALSE),"")</f>
        <v/>
      </c>
      <c r="EQ8" s="100">
        <f t="shared" ref="EQ8:EQ16" si="65">SUM(EJ8:EP8)</f>
        <v>0</v>
      </c>
      <c r="ER8" s="100" t="str">
        <f>IFERROR(VLOOKUP(ER4,#REF!,9,FALSE),"")</f>
        <v/>
      </c>
      <c r="ES8" s="100" t="str">
        <f>IFERROR(VLOOKUP(ES4,#REF!,9,FALSE),"")</f>
        <v/>
      </c>
      <c r="ET8" s="100" t="str">
        <f>IFERROR(VLOOKUP(ET4,#REF!,9,FALSE),"")</f>
        <v/>
      </c>
      <c r="EU8" s="100" t="str">
        <f>IFERROR(VLOOKUP(EU4,#REF!,9,FALSE),"")</f>
        <v/>
      </c>
      <c r="EV8" s="100" t="str">
        <f>IFERROR(VLOOKUP(EV4,#REF!,9,FALSE),"")</f>
        <v/>
      </c>
      <c r="EW8" s="100" t="str">
        <f>IFERROR(VLOOKUP(EW4,#REF!,9,FALSE),"")</f>
        <v/>
      </c>
      <c r="EX8" s="100" t="str">
        <f>IFERROR(VLOOKUP(EX4,#REF!,9,FALSE),"")</f>
        <v/>
      </c>
      <c r="EY8" s="100">
        <f t="shared" ref="EY8:EY16" si="66">SUM(ER8:EX8)</f>
        <v>0</v>
      </c>
      <c r="EZ8" s="100" t="str">
        <f>IFERROR(VLOOKUP(EZ4,#REF!,9,FALSE),"")</f>
        <v/>
      </c>
      <c r="FA8" s="100" t="str">
        <f>IFERROR(VLOOKUP(FA4,#REF!,9,FALSE),"")</f>
        <v/>
      </c>
      <c r="FB8" s="100" t="str">
        <f>IFERROR(VLOOKUP(FB4,#REF!,9,FALSE),"")</f>
        <v/>
      </c>
      <c r="FC8" s="100" t="str">
        <f>IFERROR(VLOOKUP(FC4,#REF!,9,FALSE),"")</f>
        <v/>
      </c>
      <c r="FD8" s="100" t="str">
        <f>IFERROR(VLOOKUP(FD4,#REF!,9,FALSE),"")</f>
        <v/>
      </c>
      <c r="FE8" s="100" t="str">
        <f>IFERROR(VLOOKUP(FE4,#REF!,9,FALSE),"")</f>
        <v/>
      </c>
      <c r="FF8" s="100" t="str">
        <f>IFERROR(VLOOKUP(FF4,#REF!,9,FALSE),"")</f>
        <v/>
      </c>
      <c r="FG8" s="100">
        <f t="shared" ref="FG8:FG16" si="67">SUM(EZ8:FF8)</f>
        <v>0</v>
      </c>
      <c r="FH8" s="100" t="str">
        <f>IFERROR(VLOOKUP(FH4,#REF!,9,FALSE),"")</f>
        <v/>
      </c>
      <c r="FI8" s="100" t="str">
        <f>IFERROR(VLOOKUP(FI4,#REF!,9,FALSE),"")</f>
        <v/>
      </c>
      <c r="FJ8" s="100" t="str">
        <f>IFERROR(VLOOKUP(FJ4,#REF!,9,FALSE),"")</f>
        <v/>
      </c>
      <c r="FK8" s="100" t="str">
        <f>IFERROR(VLOOKUP(FK4,#REF!,9,FALSE),"")</f>
        <v/>
      </c>
      <c r="FL8" s="100" t="str">
        <f>IFERROR(VLOOKUP(FL4,#REF!,9,FALSE),"")</f>
        <v/>
      </c>
      <c r="FM8" s="100" t="str">
        <f>IFERROR(VLOOKUP(FM4,#REF!,9,FALSE),"")</f>
        <v/>
      </c>
      <c r="FN8" s="100" t="str">
        <f>IFERROR(VLOOKUP(FN4,#REF!,9,FALSE),"")</f>
        <v/>
      </c>
      <c r="FO8" s="100">
        <f t="shared" ref="FO8:FO16" si="68">SUM(FH8:FN8)</f>
        <v>0</v>
      </c>
      <c r="FP8" s="100" t="str">
        <f>IFERROR(VLOOKUP(FP4,#REF!,9,FALSE),"")</f>
        <v/>
      </c>
      <c r="FQ8" s="100" t="str">
        <f>IFERROR(VLOOKUP(FQ4,#REF!,9,FALSE),"")</f>
        <v/>
      </c>
      <c r="FR8" s="100" t="str">
        <f>IFERROR(VLOOKUP(FR4,#REF!,9,FALSE),"")</f>
        <v/>
      </c>
      <c r="FS8" s="100" t="str">
        <f>IFERROR(VLOOKUP(FS4,#REF!,9,FALSE),"")</f>
        <v/>
      </c>
      <c r="FT8" s="100" t="str">
        <f>IFERROR(VLOOKUP(FT4,#REF!,9,FALSE),"")</f>
        <v/>
      </c>
      <c r="FU8" s="100" t="str">
        <f>IFERROR(VLOOKUP(FU4,#REF!,9,FALSE),"")</f>
        <v/>
      </c>
      <c r="FV8" s="100" t="str">
        <f>IFERROR(VLOOKUP(FV4,#REF!,9,FALSE),"")</f>
        <v/>
      </c>
      <c r="FW8" s="100">
        <f t="shared" ref="FW8:FW16" si="69">SUM(FP8:FV8)</f>
        <v>0</v>
      </c>
      <c r="FX8" s="100" t="str">
        <f>IFERROR(VLOOKUP(FX4,#REF!,9,FALSE),"")</f>
        <v/>
      </c>
      <c r="FY8" s="100" t="str">
        <f>IFERROR(VLOOKUP(FY4,#REF!,9,FALSE),"")</f>
        <v/>
      </c>
      <c r="FZ8" s="100" t="str">
        <f>IFERROR(VLOOKUP(FZ4,#REF!,9,FALSE),"")</f>
        <v/>
      </c>
      <c r="GA8" s="100" t="str">
        <f>IFERROR(VLOOKUP(GA4,#REF!,9,FALSE),"")</f>
        <v/>
      </c>
      <c r="GB8" s="100" t="str">
        <f>IFERROR(VLOOKUP(GB4,#REF!,9,FALSE),"")</f>
        <v/>
      </c>
      <c r="GC8" s="100" t="str">
        <f>IFERROR(VLOOKUP(GC4,#REF!,9,FALSE),"")</f>
        <v/>
      </c>
      <c r="GD8" s="100" t="str">
        <f>IFERROR(VLOOKUP(GD4,#REF!,9,FALSE),"")</f>
        <v/>
      </c>
      <c r="GE8" s="100">
        <f t="shared" ref="GE8:GE16" si="70">SUM(FX8:GD8)</f>
        <v>0</v>
      </c>
      <c r="GF8" s="100" t="str">
        <f>IFERROR(VLOOKUP(GF4,#REF!,9,FALSE),"")</f>
        <v/>
      </c>
      <c r="GG8" s="100" t="str">
        <f>IFERROR(VLOOKUP(GG4,#REF!,9,FALSE),"")</f>
        <v/>
      </c>
      <c r="GH8" s="100" t="str">
        <f>IFERROR(VLOOKUP(GH4,#REF!,9,FALSE),"")</f>
        <v/>
      </c>
      <c r="GI8" s="100" t="str">
        <f>IFERROR(VLOOKUP(GI4,#REF!,9,FALSE),"")</f>
        <v/>
      </c>
      <c r="GJ8" s="100" t="str">
        <f>IFERROR(VLOOKUP(GJ4,#REF!,9,FALSE),"")</f>
        <v/>
      </c>
      <c r="GK8" s="100" t="str">
        <f>IFERROR(VLOOKUP(GK4,#REF!,9,FALSE),"")</f>
        <v/>
      </c>
      <c r="GL8" s="100" t="str">
        <f>IFERROR(VLOOKUP(GL4,#REF!,9,FALSE),"")</f>
        <v/>
      </c>
      <c r="GM8" s="100">
        <f t="shared" ref="GM8:GM16" si="71">SUM(GF8:GL8)</f>
        <v>0</v>
      </c>
      <c r="GN8" s="100" t="str">
        <f>IFERROR(VLOOKUP(GN4,#REF!,9,FALSE),"")</f>
        <v/>
      </c>
      <c r="GO8" s="100" t="str">
        <f>IFERROR(VLOOKUP(GO4,#REF!,9,FALSE),"")</f>
        <v/>
      </c>
      <c r="GP8" s="100" t="str">
        <f>IFERROR(VLOOKUP(GP4,#REF!,9,FALSE),"")</f>
        <v/>
      </c>
      <c r="GQ8" s="100" t="str">
        <f>IFERROR(VLOOKUP(GQ4,#REF!,9,FALSE),"")</f>
        <v/>
      </c>
      <c r="GR8" s="100" t="str">
        <f>IFERROR(VLOOKUP(GR4,#REF!,9,FALSE),"")</f>
        <v/>
      </c>
      <c r="GS8" s="100" t="str">
        <f>IFERROR(VLOOKUP(GS4,#REF!,9,FALSE),"")</f>
        <v/>
      </c>
      <c r="GT8" s="100" t="str">
        <f>IFERROR(VLOOKUP(GT4,#REF!,9,FALSE),"")</f>
        <v/>
      </c>
      <c r="GU8" s="100">
        <f t="shared" ref="GU8:GU16" si="72">SUM(GN8:GT8)</f>
        <v>0</v>
      </c>
      <c r="GV8" s="100" t="str">
        <f>IFERROR(VLOOKUP(GV4,#REF!,9,FALSE),"")</f>
        <v/>
      </c>
      <c r="GW8" s="100" t="str">
        <f>IFERROR(VLOOKUP(GW4,#REF!,9,FALSE),"")</f>
        <v/>
      </c>
      <c r="GX8" s="100" t="str">
        <f>IFERROR(VLOOKUP(GX4,#REF!,9,FALSE),"")</f>
        <v/>
      </c>
      <c r="GY8" s="100" t="str">
        <f>IFERROR(VLOOKUP(GY4,#REF!,9,FALSE),"")</f>
        <v/>
      </c>
      <c r="GZ8" s="100" t="str">
        <f>IFERROR(VLOOKUP(GZ4,#REF!,9,FALSE),"")</f>
        <v/>
      </c>
      <c r="HA8" s="100" t="str">
        <f>IFERROR(VLOOKUP(HA4,#REF!,9,FALSE),"")</f>
        <v/>
      </c>
      <c r="HB8" s="100" t="str">
        <f>IFERROR(VLOOKUP(HB4,#REF!,9,FALSE),"")</f>
        <v/>
      </c>
      <c r="HC8" s="100">
        <f t="shared" ref="HC8:HC16" si="73">SUM(GV8:HB8)</f>
        <v>0</v>
      </c>
      <c r="HD8" s="100" t="str">
        <f>IFERROR(VLOOKUP(HD4,#REF!,9,FALSE),"")</f>
        <v/>
      </c>
      <c r="HE8" s="100" t="str">
        <f>IFERROR(VLOOKUP(HE4,#REF!,9,FALSE),"")</f>
        <v/>
      </c>
      <c r="HF8" s="100" t="str">
        <f>IFERROR(VLOOKUP(HF4,#REF!,9,FALSE),"")</f>
        <v/>
      </c>
      <c r="HG8" s="100" t="str">
        <f>IFERROR(VLOOKUP(HG4,#REF!,9,FALSE),"")</f>
        <v/>
      </c>
      <c r="HH8" s="100" t="str">
        <f>IFERROR(VLOOKUP(HH4,#REF!,9,FALSE),"")</f>
        <v/>
      </c>
      <c r="HI8" s="100" t="str">
        <f>IFERROR(VLOOKUP(HI4,#REF!,9,FALSE),"")</f>
        <v/>
      </c>
      <c r="HJ8" s="100" t="str">
        <f>IFERROR(VLOOKUP(HJ4,#REF!,9,FALSE),"")</f>
        <v/>
      </c>
      <c r="HK8" s="100">
        <f t="shared" ref="HK8:HK16" si="74">SUM(HD8:HJ8)</f>
        <v>0</v>
      </c>
      <c r="HL8" s="100" t="str">
        <f>IFERROR(VLOOKUP(HL4,#REF!,9,FALSE),"")</f>
        <v/>
      </c>
      <c r="HM8" s="100" t="str">
        <f>IFERROR(VLOOKUP(HM4,#REF!,9,FALSE),"")</f>
        <v/>
      </c>
      <c r="HN8" s="100" t="str">
        <f>IFERROR(VLOOKUP(HN4,#REF!,9,FALSE),"")</f>
        <v/>
      </c>
      <c r="HO8" s="100" t="str">
        <f>IFERROR(VLOOKUP(HO4,#REF!,9,FALSE),"")</f>
        <v/>
      </c>
      <c r="HP8" s="100" t="str">
        <f>IFERROR(VLOOKUP(HP4,#REF!,9,FALSE),"")</f>
        <v/>
      </c>
      <c r="HQ8" s="100" t="str">
        <f>IFERROR(VLOOKUP(HQ4,#REF!,9,FALSE),"")</f>
        <v/>
      </c>
      <c r="HR8" s="100" t="str">
        <f>IFERROR(VLOOKUP(HR4,#REF!,9,FALSE),"")</f>
        <v/>
      </c>
      <c r="HS8" s="100">
        <f t="shared" ref="HS8:HS16" si="75">SUM(HL8:HR8)</f>
        <v>0</v>
      </c>
      <c r="HT8" s="100" t="str">
        <f>IFERROR(VLOOKUP(HT4,#REF!,9,FALSE),"")</f>
        <v/>
      </c>
      <c r="HU8" s="100" t="str">
        <f>IFERROR(VLOOKUP(HU4,#REF!,9,FALSE),"")</f>
        <v/>
      </c>
      <c r="HV8" s="100" t="str">
        <f>IFERROR(VLOOKUP(HV4,#REF!,9,FALSE),"")</f>
        <v/>
      </c>
      <c r="HW8" s="100" t="str">
        <f>IFERROR(VLOOKUP(HW4,#REF!,9,FALSE),"")</f>
        <v/>
      </c>
      <c r="HX8" s="100" t="str">
        <f>IFERROR(VLOOKUP(HX4,#REF!,9,FALSE),"")</f>
        <v/>
      </c>
      <c r="HY8" s="100" t="str">
        <f>IFERROR(VLOOKUP(HY4,#REF!,9,FALSE),"")</f>
        <v/>
      </c>
      <c r="HZ8" s="100" t="str">
        <f>IFERROR(VLOOKUP(HZ4,#REF!,9,FALSE),"")</f>
        <v/>
      </c>
      <c r="IA8" s="100">
        <f t="shared" ref="IA8:IA16" si="76">SUM(HT8:HZ8)</f>
        <v>0</v>
      </c>
      <c r="IB8" s="100" t="str">
        <f>IFERROR(VLOOKUP(IB4,#REF!,9,FALSE),"")</f>
        <v/>
      </c>
      <c r="IC8" s="100" t="str">
        <f>IFERROR(VLOOKUP(IC4,#REF!,9,FALSE),"")</f>
        <v/>
      </c>
      <c r="ID8" s="100" t="str">
        <f>IFERROR(VLOOKUP(ID4,#REF!,9,FALSE),"")</f>
        <v/>
      </c>
      <c r="IE8" s="100" t="str">
        <f>IFERROR(VLOOKUP(IE4,#REF!,9,FALSE),"")</f>
        <v/>
      </c>
      <c r="IF8" s="100" t="str">
        <f>IFERROR(VLOOKUP(IF4,#REF!,9,FALSE),"")</f>
        <v/>
      </c>
      <c r="IG8" s="100" t="str">
        <f>IFERROR(VLOOKUP(IG4,#REF!,9,FALSE),"")</f>
        <v/>
      </c>
      <c r="IH8" s="100" t="str">
        <f>IFERROR(VLOOKUP(IH4,#REF!,9,FALSE),"")</f>
        <v/>
      </c>
      <c r="II8" s="100">
        <f t="shared" ref="II8:II16" si="77">SUM(IB8:IH8)</f>
        <v>0</v>
      </c>
      <c r="IJ8" s="100" t="str">
        <f>IFERROR(VLOOKUP(IJ4,#REF!,9,FALSE),"")</f>
        <v/>
      </c>
      <c r="IK8" s="100" t="str">
        <f>IFERROR(VLOOKUP(IK4,#REF!,9,FALSE),"")</f>
        <v/>
      </c>
      <c r="IL8" s="100" t="str">
        <f>IFERROR(VLOOKUP(IL4,#REF!,9,FALSE),"")</f>
        <v/>
      </c>
      <c r="IM8" s="100" t="str">
        <f>IFERROR(VLOOKUP(IM4,#REF!,9,FALSE),"")</f>
        <v/>
      </c>
      <c r="IN8" s="100" t="str">
        <f>IFERROR(VLOOKUP(IN4,#REF!,9,FALSE),"")</f>
        <v/>
      </c>
      <c r="IO8" s="100" t="str">
        <f>IFERROR(VLOOKUP(IO4,#REF!,9,FALSE),"")</f>
        <v/>
      </c>
      <c r="IP8" s="100" t="str">
        <f>IFERROR(VLOOKUP(IP4,#REF!,9,FALSE),"")</f>
        <v/>
      </c>
      <c r="IQ8" s="100">
        <f t="shared" ref="IQ8:IQ16" si="78">SUM(IJ8:IP8)</f>
        <v>0</v>
      </c>
      <c r="IR8" s="100" t="str">
        <f>IFERROR(VLOOKUP(IR4,#REF!,9,FALSE),"")</f>
        <v/>
      </c>
      <c r="IS8" s="100" t="str">
        <f>IFERROR(VLOOKUP(IS4,#REF!,9,FALSE),"")</f>
        <v/>
      </c>
      <c r="IT8" s="100" t="str">
        <f>IFERROR(VLOOKUP(IT4,#REF!,9,FALSE),"")</f>
        <v/>
      </c>
      <c r="IU8" s="100" t="str">
        <f>IFERROR(VLOOKUP(IU4,#REF!,9,FALSE),"")</f>
        <v/>
      </c>
      <c r="IV8" s="100" t="str">
        <f>IFERROR(VLOOKUP(IV4,#REF!,9,FALSE),"")</f>
        <v/>
      </c>
      <c r="IW8" s="100" t="str">
        <f>IFERROR(VLOOKUP(IW4,#REF!,9,FALSE),"")</f>
        <v/>
      </c>
      <c r="IX8" s="100" t="str">
        <f>IFERROR(VLOOKUP(IX4,#REF!,9,FALSE),"")</f>
        <v/>
      </c>
      <c r="IY8" s="100">
        <f t="shared" ref="IY8:IY16" si="79">SUM(IR8:IX8)</f>
        <v>0</v>
      </c>
      <c r="IZ8" s="100" t="str">
        <f>IFERROR(VLOOKUP(IZ4,#REF!,9,FALSE),"")</f>
        <v/>
      </c>
      <c r="JA8" s="100" t="str">
        <f>IFERROR(VLOOKUP(JA4,#REF!,9,FALSE),"")</f>
        <v/>
      </c>
      <c r="JB8" s="100" t="str">
        <f>IFERROR(VLOOKUP(JB4,#REF!,9,FALSE),"")</f>
        <v/>
      </c>
      <c r="JC8" s="100" t="str">
        <f>IFERROR(VLOOKUP(JC4,#REF!,9,FALSE),"")</f>
        <v/>
      </c>
      <c r="JD8" s="100" t="str">
        <f>IFERROR(VLOOKUP(JD4,#REF!,9,FALSE),"")</f>
        <v/>
      </c>
      <c r="JE8" s="100" t="str">
        <f>IFERROR(VLOOKUP(JE4,#REF!,9,FALSE),"")</f>
        <v/>
      </c>
      <c r="JF8" s="100" t="str">
        <f>IFERROR(VLOOKUP(JF4,#REF!,9,FALSE),"")</f>
        <v/>
      </c>
      <c r="JG8" s="100">
        <f t="shared" ref="JG8:JG16" si="80">SUM(IZ8:JF8)</f>
        <v>0</v>
      </c>
      <c r="JH8" s="100" t="str">
        <f>IFERROR(VLOOKUP(JH4,#REF!,9,FALSE),"")</f>
        <v/>
      </c>
      <c r="JI8" s="100" t="str">
        <f>IFERROR(VLOOKUP(JI4,#REF!,9,FALSE),"")</f>
        <v/>
      </c>
      <c r="JJ8" s="100" t="str">
        <f>IFERROR(VLOOKUP(JJ4,#REF!,9,FALSE),"")</f>
        <v/>
      </c>
      <c r="JK8" s="100" t="str">
        <f>IFERROR(VLOOKUP(JK4,#REF!,9,FALSE),"")</f>
        <v/>
      </c>
      <c r="JL8" s="100" t="str">
        <f>IFERROR(VLOOKUP(JL4,#REF!,9,FALSE),"")</f>
        <v/>
      </c>
      <c r="JM8" s="100" t="str">
        <f>IFERROR(VLOOKUP(JM4,#REF!,9,FALSE),"")</f>
        <v/>
      </c>
      <c r="JN8" s="100" t="str">
        <f>IFERROR(VLOOKUP(JN4,#REF!,9,FALSE),"")</f>
        <v/>
      </c>
      <c r="JO8" s="100">
        <f t="shared" ref="JO8:JO16" si="81">SUM(JH8:JN8)</f>
        <v>0</v>
      </c>
      <c r="JP8" s="100" t="str">
        <f>IFERROR(VLOOKUP(JP4,#REF!,9,FALSE),"")</f>
        <v/>
      </c>
      <c r="JQ8" s="100" t="str">
        <f>IFERROR(VLOOKUP(JQ4,#REF!,9,FALSE),"")</f>
        <v/>
      </c>
      <c r="JR8" s="100" t="str">
        <f>IFERROR(VLOOKUP(JR4,#REF!,9,FALSE),"")</f>
        <v/>
      </c>
      <c r="JS8" s="100" t="str">
        <f>IFERROR(VLOOKUP(JS4,#REF!,9,FALSE),"")</f>
        <v/>
      </c>
      <c r="JT8" s="100" t="str">
        <f>IFERROR(VLOOKUP(JT4,#REF!,9,FALSE),"")</f>
        <v/>
      </c>
      <c r="JU8" s="100" t="str">
        <f>IFERROR(VLOOKUP(JU4,#REF!,9,FALSE),"")</f>
        <v/>
      </c>
      <c r="JV8" s="100" t="str">
        <f>IFERROR(VLOOKUP(JV4,#REF!,9,FALSE),"")</f>
        <v/>
      </c>
      <c r="JW8" s="100">
        <f t="shared" ref="JW8:JW16" si="82">SUM(JP8:JV8)</f>
        <v>0</v>
      </c>
      <c r="JX8" s="100" t="str">
        <f>IFERROR(VLOOKUP(JX4,#REF!,9,FALSE),"")</f>
        <v/>
      </c>
      <c r="JY8" s="100" t="str">
        <f>IFERROR(VLOOKUP(JY4,#REF!,9,FALSE),"")</f>
        <v/>
      </c>
      <c r="JZ8" s="100" t="str">
        <f>IFERROR(VLOOKUP(JZ4,#REF!,9,FALSE),"")</f>
        <v/>
      </c>
      <c r="KA8" s="100" t="str">
        <f>IFERROR(VLOOKUP(KA4,#REF!,9,FALSE),"")</f>
        <v/>
      </c>
      <c r="KB8" s="100" t="str">
        <f>IFERROR(VLOOKUP(KB4,#REF!,9,FALSE),"")</f>
        <v/>
      </c>
      <c r="KC8" s="100" t="str">
        <f>IFERROR(VLOOKUP(KC4,#REF!,9,FALSE),"")</f>
        <v/>
      </c>
      <c r="KD8" s="100" t="str">
        <f>IFERROR(VLOOKUP(KD4,#REF!,9,FALSE),"")</f>
        <v/>
      </c>
      <c r="KE8" s="100">
        <f t="shared" ref="KE8:KE16" si="83">SUM(JX8:KD8)</f>
        <v>0</v>
      </c>
      <c r="KF8" s="100" t="str">
        <f>IFERROR(VLOOKUP(KF4,#REF!,9,FALSE),"")</f>
        <v/>
      </c>
      <c r="KG8" s="100" t="str">
        <f>IFERROR(VLOOKUP(KG4,#REF!,9,FALSE),"")</f>
        <v/>
      </c>
      <c r="KH8" s="100" t="str">
        <f>IFERROR(VLOOKUP(KH4,#REF!,9,FALSE),"")</f>
        <v/>
      </c>
      <c r="KI8" s="100" t="str">
        <f>IFERROR(VLOOKUP(KI4,#REF!,9,FALSE),"")</f>
        <v/>
      </c>
      <c r="KJ8" s="100" t="str">
        <f>IFERROR(VLOOKUP(KJ4,#REF!,9,FALSE),"")</f>
        <v/>
      </c>
      <c r="KK8" s="100" t="str">
        <f>IFERROR(VLOOKUP(KK4,#REF!,9,FALSE),"")</f>
        <v/>
      </c>
      <c r="KL8" s="100" t="str">
        <f>IFERROR(VLOOKUP(KL4,#REF!,9,FALSE),"")</f>
        <v/>
      </c>
      <c r="KM8" s="100">
        <f t="shared" ref="KM8:KM16" si="84">SUM(KF8:KL8)</f>
        <v>0</v>
      </c>
      <c r="KN8" s="100" t="str">
        <f>IFERROR(VLOOKUP(KN4,#REF!,9,FALSE),"")</f>
        <v/>
      </c>
      <c r="KO8" s="100" t="str">
        <f>IFERROR(VLOOKUP(KO4,#REF!,9,FALSE),"")</f>
        <v/>
      </c>
      <c r="KP8" s="100" t="str">
        <f>IFERROR(VLOOKUP(KP4,#REF!,9,FALSE),"")</f>
        <v/>
      </c>
      <c r="KQ8" s="100" t="str">
        <f>IFERROR(VLOOKUP(KQ4,#REF!,9,FALSE),"")</f>
        <v/>
      </c>
      <c r="KR8" s="100" t="str">
        <f>IFERROR(VLOOKUP(KR4,#REF!,9,FALSE),"")</f>
        <v/>
      </c>
      <c r="KS8" s="100" t="str">
        <f>IFERROR(VLOOKUP(KS4,#REF!,9,FALSE),"")</f>
        <v/>
      </c>
      <c r="KT8" s="100" t="str">
        <f>IFERROR(VLOOKUP(KT4,#REF!,9,FALSE),"")</f>
        <v/>
      </c>
      <c r="KU8" s="100">
        <f t="shared" ref="KU8:KU16" si="85">SUM(KN8:KT8)</f>
        <v>0</v>
      </c>
      <c r="KV8" s="100" t="str">
        <f>IFERROR(VLOOKUP(KV4,#REF!,9,FALSE),"")</f>
        <v/>
      </c>
      <c r="KW8" s="100" t="str">
        <f>IFERROR(VLOOKUP(KW4,#REF!,9,FALSE),"")</f>
        <v/>
      </c>
      <c r="KX8" s="100" t="str">
        <f>IFERROR(VLOOKUP(KX4,#REF!,9,FALSE),"")</f>
        <v/>
      </c>
      <c r="KY8" s="100" t="str">
        <f>IFERROR(VLOOKUP(KY4,#REF!,9,FALSE),"")</f>
        <v/>
      </c>
      <c r="KZ8" s="100" t="str">
        <f>IFERROR(VLOOKUP(KZ4,#REF!,9,FALSE),"")</f>
        <v/>
      </c>
      <c r="LA8" s="100" t="str">
        <f>IFERROR(VLOOKUP(LA4,#REF!,9,FALSE),"")</f>
        <v/>
      </c>
      <c r="LB8" s="100" t="str">
        <f>IFERROR(VLOOKUP(LB4,#REF!,9,FALSE),"")</f>
        <v/>
      </c>
      <c r="LC8" s="100">
        <f t="shared" ref="LC8:LC16" si="86">SUM(KV8:LB8)</f>
        <v>0</v>
      </c>
      <c r="LD8" s="100" t="str">
        <f>IFERROR(VLOOKUP(LD4,#REF!,9,FALSE),"")</f>
        <v/>
      </c>
      <c r="LE8" s="100" t="str">
        <f>IFERROR(VLOOKUP(LE4,#REF!,9,FALSE),"")</f>
        <v/>
      </c>
      <c r="LF8" s="100" t="str">
        <f>IFERROR(VLOOKUP(LF4,#REF!,9,FALSE),"")</f>
        <v/>
      </c>
      <c r="LG8" s="100" t="str">
        <f>IFERROR(VLOOKUP(LG4,#REF!,9,FALSE),"")</f>
        <v/>
      </c>
      <c r="LH8" s="100" t="str">
        <f>IFERROR(VLOOKUP(LH4,#REF!,9,FALSE),"")</f>
        <v/>
      </c>
      <c r="LI8" s="100" t="str">
        <f>IFERROR(VLOOKUP(LI4,#REF!,9,FALSE),"")</f>
        <v/>
      </c>
      <c r="LJ8" s="100" t="str">
        <f>IFERROR(VLOOKUP(LJ4,#REF!,9,FALSE),"")</f>
        <v/>
      </c>
      <c r="LK8" s="100">
        <f t="shared" ref="LK8:LK16" si="87">SUM(LD8:LJ8)</f>
        <v>0</v>
      </c>
      <c r="LL8" s="100" t="str">
        <f>IFERROR(VLOOKUP(LL4,#REF!,9,FALSE),"")</f>
        <v/>
      </c>
      <c r="LM8" s="100" t="str">
        <f>IFERROR(VLOOKUP(LM4,#REF!,9,FALSE),"")</f>
        <v/>
      </c>
      <c r="LN8" s="100" t="str">
        <f>IFERROR(VLOOKUP(LN4,#REF!,9,FALSE),"")</f>
        <v/>
      </c>
      <c r="LO8" s="100" t="str">
        <f>IFERROR(VLOOKUP(LO4,#REF!,9,FALSE),"")</f>
        <v/>
      </c>
      <c r="LP8" s="100" t="str">
        <f>IFERROR(VLOOKUP(LP4,#REF!,9,FALSE),"")</f>
        <v/>
      </c>
      <c r="LQ8" s="100" t="str">
        <f>IFERROR(VLOOKUP(LQ4,#REF!,9,FALSE),"")</f>
        <v/>
      </c>
      <c r="LR8" s="100" t="str">
        <f>IFERROR(VLOOKUP(LR4,#REF!,9,FALSE),"")</f>
        <v/>
      </c>
      <c r="LS8" s="100">
        <f t="shared" ref="LS8:LS16" si="88">SUM(LL8:LR8)</f>
        <v>0</v>
      </c>
      <c r="LT8" s="100" t="str">
        <f>IFERROR(VLOOKUP(LT4,#REF!,9,FALSE),"")</f>
        <v/>
      </c>
      <c r="LU8" s="100" t="str">
        <f>IFERROR(VLOOKUP(LU4,#REF!,9,FALSE),"")</f>
        <v/>
      </c>
      <c r="LV8" s="100" t="str">
        <f>IFERROR(VLOOKUP(LV4,#REF!,9,FALSE),"")</f>
        <v/>
      </c>
      <c r="LW8" s="100" t="str">
        <f>IFERROR(VLOOKUP(LW4,#REF!,9,FALSE),"")</f>
        <v/>
      </c>
      <c r="LX8" s="100" t="str">
        <f>IFERROR(VLOOKUP(LX4,#REF!,9,FALSE),"")</f>
        <v/>
      </c>
      <c r="LY8" s="100" t="str">
        <f>IFERROR(VLOOKUP(LY4,#REF!,9,FALSE),"")</f>
        <v/>
      </c>
      <c r="LZ8" s="100" t="str">
        <f>IFERROR(VLOOKUP(LZ4,#REF!,9,FALSE),"")</f>
        <v/>
      </c>
      <c r="MA8" s="100">
        <f t="shared" ref="MA8:MA16" si="89">SUM(LT8:LZ8)</f>
        <v>0</v>
      </c>
      <c r="MB8" s="100" t="str">
        <f>IFERROR(VLOOKUP(MB4,#REF!,9,FALSE),"")</f>
        <v/>
      </c>
      <c r="MC8" s="100" t="str">
        <f>IFERROR(VLOOKUP(MC4,#REF!,9,FALSE),"")</f>
        <v/>
      </c>
      <c r="MD8" s="100" t="str">
        <f>IFERROR(VLOOKUP(MD4,#REF!,9,FALSE),"")</f>
        <v/>
      </c>
      <c r="ME8" s="100" t="str">
        <f>IFERROR(VLOOKUP(ME4,#REF!,9,FALSE),"")</f>
        <v/>
      </c>
      <c r="MF8" s="100" t="str">
        <f>IFERROR(VLOOKUP(MF4,#REF!,9,FALSE),"")</f>
        <v/>
      </c>
      <c r="MG8" s="100" t="str">
        <f>IFERROR(VLOOKUP(MG4,#REF!,9,FALSE),"")</f>
        <v/>
      </c>
      <c r="MH8" s="100" t="str">
        <f>IFERROR(VLOOKUP(MH4,#REF!,9,FALSE),"")</f>
        <v/>
      </c>
      <c r="MI8" s="100">
        <f t="shared" ref="MI8:MI16" si="90">SUM(MB8:MH8)</f>
        <v>0</v>
      </c>
      <c r="MJ8" s="100" t="str">
        <f>IFERROR(VLOOKUP(MJ4,#REF!,9,FALSE),"")</f>
        <v/>
      </c>
      <c r="MK8" s="100" t="str">
        <f>IFERROR(VLOOKUP(MK4,#REF!,9,FALSE),"")</f>
        <v/>
      </c>
      <c r="ML8" s="100" t="str">
        <f>IFERROR(VLOOKUP(ML4,#REF!,9,FALSE),"")</f>
        <v/>
      </c>
      <c r="MM8" s="100" t="str">
        <f>IFERROR(VLOOKUP(MM4,#REF!,9,FALSE),"")</f>
        <v/>
      </c>
      <c r="MN8" s="100" t="str">
        <f>IFERROR(VLOOKUP(MN4,#REF!,9,FALSE),"")</f>
        <v/>
      </c>
      <c r="MO8" s="100" t="str">
        <f>IFERROR(VLOOKUP(MO4,#REF!,9,FALSE),"")</f>
        <v/>
      </c>
      <c r="MP8" s="100" t="str">
        <f>IFERROR(VLOOKUP(MP4,#REF!,9,FALSE),"")</f>
        <v/>
      </c>
      <c r="MQ8" s="100">
        <f t="shared" ref="MQ8:MQ16" si="91">SUM(MJ8:MP8)</f>
        <v>0</v>
      </c>
      <c r="MR8" s="100" t="str">
        <f>IFERROR(VLOOKUP(MR4,#REF!,9,FALSE),"")</f>
        <v/>
      </c>
      <c r="MS8" s="100" t="str">
        <f>IFERROR(VLOOKUP(MS4,#REF!,9,FALSE),"")</f>
        <v/>
      </c>
      <c r="MT8" s="100" t="str">
        <f>IFERROR(VLOOKUP(MT4,#REF!,9,FALSE),"")</f>
        <v/>
      </c>
      <c r="MU8" s="100" t="str">
        <f>IFERROR(VLOOKUP(MU4,#REF!,9,FALSE),"")</f>
        <v/>
      </c>
      <c r="MV8" s="100" t="str">
        <f>IFERROR(VLOOKUP(MV4,#REF!,9,FALSE),"")</f>
        <v/>
      </c>
      <c r="MW8" s="100" t="str">
        <f>IFERROR(VLOOKUP(MW4,#REF!,9,FALSE),"")</f>
        <v/>
      </c>
      <c r="MX8" s="100" t="str">
        <f>IFERROR(VLOOKUP(MX4,#REF!,9,FALSE),"")</f>
        <v/>
      </c>
      <c r="MY8" s="100">
        <f t="shared" ref="MY8:MY16" si="92">SUM(MR8:MX8)</f>
        <v>0</v>
      </c>
      <c r="MZ8" s="100" t="str">
        <f>IFERROR(VLOOKUP(MZ4,#REF!,9,FALSE),"")</f>
        <v/>
      </c>
      <c r="NA8" s="100" t="str">
        <f>IFERROR(VLOOKUP(NA4,#REF!,9,FALSE),"")</f>
        <v/>
      </c>
      <c r="NB8" s="100" t="str">
        <f>IFERROR(VLOOKUP(NB4,#REF!,9,FALSE),"")</f>
        <v/>
      </c>
      <c r="NC8" s="100" t="str">
        <f>IFERROR(VLOOKUP(NC4,#REF!,9,FALSE),"")</f>
        <v/>
      </c>
      <c r="ND8" s="100" t="str">
        <f>IFERROR(VLOOKUP(ND4,#REF!,9,FALSE),"")</f>
        <v/>
      </c>
      <c r="NE8" s="100" t="str">
        <f>IFERROR(VLOOKUP(NE4,#REF!,9,FALSE),"")</f>
        <v/>
      </c>
      <c r="NF8" s="100" t="str">
        <f>IFERROR(VLOOKUP(NF4,#REF!,9,FALSE),"")</f>
        <v/>
      </c>
      <c r="NG8" s="100">
        <f t="shared" ref="NG8:NG16" si="93">SUM(MZ8:NF8)</f>
        <v>0</v>
      </c>
      <c r="NH8" s="100" t="str">
        <f>IFERROR(VLOOKUP(NH4,#REF!,9,FALSE),"")</f>
        <v/>
      </c>
      <c r="NI8" s="100" t="str">
        <f>IFERROR(VLOOKUP(NI4,#REF!,9,FALSE),"")</f>
        <v/>
      </c>
      <c r="NJ8" s="100" t="str">
        <f>IFERROR(VLOOKUP(NJ4,#REF!,9,FALSE),"")</f>
        <v/>
      </c>
      <c r="NK8" s="100" t="str">
        <f>IFERROR(VLOOKUP(NK4,#REF!,9,FALSE),"")</f>
        <v/>
      </c>
      <c r="NL8" s="100" t="str">
        <f>IFERROR(VLOOKUP(NL4,#REF!,9,FALSE),"")</f>
        <v/>
      </c>
      <c r="NM8" s="100" t="str">
        <f>IFERROR(VLOOKUP(NM4,#REF!,9,FALSE),"")</f>
        <v/>
      </c>
      <c r="NN8" s="100" t="str">
        <f>IFERROR(VLOOKUP(NN4,#REF!,9,FALSE),"")</f>
        <v/>
      </c>
      <c r="NO8" s="100">
        <f t="shared" ref="NO8:NO16" si="94">SUM(NH8:NN8)</f>
        <v>0</v>
      </c>
      <c r="NP8" s="100" t="str">
        <f>IFERROR(VLOOKUP(NP4,#REF!,9,FALSE),"")</f>
        <v/>
      </c>
      <c r="NQ8" s="100" t="str">
        <f>IFERROR(VLOOKUP(NQ4,#REF!,9,FALSE),"")</f>
        <v/>
      </c>
      <c r="NR8" s="100" t="str">
        <f>IFERROR(VLOOKUP(NR4,#REF!,9,FALSE),"")</f>
        <v/>
      </c>
      <c r="NS8" s="100" t="str">
        <f>IFERROR(VLOOKUP(NS4,#REF!,9,FALSE),"")</f>
        <v/>
      </c>
      <c r="NT8" s="100" t="str">
        <f>IFERROR(VLOOKUP(NT4,#REF!,9,FALSE),"")</f>
        <v/>
      </c>
      <c r="NU8" s="100" t="str">
        <f>IFERROR(VLOOKUP(NU4,#REF!,9,FALSE),"")</f>
        <v/>
      </c>
      <c r="NV8" s="100" t="str">
        <f>IFERROR(VLOOKUP(NV4,#REF!,9,FALSE),"")</f>
        <v/>
      </c>
      <c r="NW8" s="100">
        <f t="shared" ref="NW8:NW16" si="95">SUM(NP8:NV8)</f>
        <v>0</v>
      </c>
    </row>
    <row r="9" spans="1:15679" ht="15.75" x14ac:dyDescent="0.25">
      <c r="A9" s="593"/>
      <c r="B9" s="80"/>
      <c r="C9" s="88" t="s">
        <v>441</v>
      </c>
      <c r="D9" s="100" t="str">
        <f>IFERROR(VLOOKUP(D4,#REF!,5,FALSE),"")</f>
        <v/>
      </c>
      <c r="E9" s="100" t="str">
        <f>IFERROR(VLOOKUP(E4,#REF!,5,FALSE),"")</f>
        <v/>
      </c>
      <c r="F9" s="100" t="str">
        <f>IFERROR(VLOOKUP(F4,#REF!,5,FALSE),"")</f>
        <v/>
      </c>
      <c r="G9" s="100" t="str">
        <f>IFERROR(VLOOKUP(G4,#REF!,5,FALSE),"")</f>
        <v/>
      </c>
      <c r="H9" s="100" t="str">
        <f>IFERROR(VLOOKUP(H4,#REF!,5,FALSE),"")</f>
        <v/>
      </c>
      <c r="I9" s="100" t="str">
        <f>IFERROR(VLOOKUP(I4,#REF!,5,FALSE),"")</f>
        <v/>
      </c>
      <c r="J9" s="100" t="str">
        <f>IFERROR(VLOOKUP(J4,#REF!,5,FALSE),"")</f>
        <v/>
      </c>
      <c r="K9" s="100">
        <f>SUM(D9:J9)</f>
        <v>0</v>
      </c>
      <c r="L9" s="100" t="str">
        <f>IFERROR(VLOOKUP(L4,#REF!,5,FALSE),"")</f>
        <v/>
      </c>
      <c r="M9" s="100" t="str">
        <f>IFERROR(VLOOKUP(M4,#REF!,5,FALSE),"")</f>
        <v/>
      </c>
      <c r="N9" s="100" t="str">
        <f>IFERROR(VLOOKUP(N4,#REF!,5,FALSE),"")</f>
        <v/>
      </c>
      <c r="O9" s="100" t="str">
        <f>IFERROR(VLOOKUP(O4,#REF!,5,FALSE),"")</f>
        <v/>
      </c>
      <c r="P9" s="100" t="str">
        <f>IFERROR(VLOOKUP(P4,#REF!,5,FALSE),"")</f>
        <v/>
      </c>
      <c r="Q9" s="100" t="str">
        <f>IFERROR(VLOOKUP(Q4,#REF!,5,FALSE),"")</f>
        <v/>
      </c>
      <c r="R9" s="100" t="str">
        <f>IFERROR(VLOOKUP(R4,#REF!,5,FALSE),"")</f>
        <v/>
      </c>
      <c r="S9" s="100">
        <f t="shared" si="49"/>
        <v>0</v>
      </c>
      <c r="T9" s="100" t="str">
        <f>IFERROR(VLOOKUP(T4,#REF!,5,FALSE),"")</f>
        <v/>
      </c>
      <c r="U9" s="100" t="str">
        <f>IFERROR(VLOOKUP(U4,#REF!,5,FALSE),"")</f>
        <v/>
      </c>
      <c r="V9" s="100" t="str">
        <f>IFERROR(VLOOKUP(V4,#REF!,5,FALSE),"")</f>
        <v/>
      </c>
      <c r="W9" s="100" t="str">
        <f>IFERROR(VLOOKUP(W4,#REF!,5,FALSE),"")</f>
        <v/>
      </c>
      <c r="X9" s="100" t="str">
        <f>IFERROR(VLOOKUP(X4,#REF!,5,FALSE),"")</f>
        <v/>
      </c>
      <c r="Y9" s="100" t="str">
        <f>IFERROR(VLOOKUP(Y4,#REF!,5,FALSE),"")</f>
        <v/>
      </c>
      <c r="Z9" s="100" t="str">
        <f>IFERROR(VLOOKUP(Z4,#REF!,5,FALSE),"")</f>
        <v/>
      </c>
      <c r="AA9" s="100">
        <f t="shared" si="50"/>
        <v>0</v>
      </c>
      <c r="AB9" s="100" t="str">
        <f>IFERROR(VLOOKUP(AB4,#REF!,5,FALSE),"")</f>
        <v/>
      </c>
      <c r="AC9" s="100" t="str">
        <f>IFERROR(VLOOKUP(AC4,#REF!,5,FALSE),"")</f>
        <v/>
      </c>
      <c r="AD9" s="100" t="str">
        <f>IFERROR(VLOOKUP(AD4,#REF!,5,FALSE),"")</f>
        <v/>
      </c>
      <c r="AE9" s="100" t="str">
        <f>IFERROR(VLOOKUP(AE4,#REF!,5,FALSE),"")</f>
        <v/>
      </c>
      <c r="AF9" s="100" t="str">
        <f>IFERROR(VLOOKUP(AF4,#REF!,5,FALSE),"")</f>
        <v/>
      </c>
      <c r="AG9" s="100" t="str">
        <f>IFERROR(VLOOKUP(AG4,#REF!,5,FALSE),"")</f>
        <v/>
      </c>
      <c r="AH9" s="100" t="str">
        <f>IFERROR(VLOOKUP(AH4,#REF!,5,FALSE),"")</f>
        <v/>
      </c>
      <c r="AI9" s="100">
        <f t="shared" si="51"/>
        <v>0</v>
      </c>
      <c r="AJ9" s="100" t="str">
        <f>IFERROR(VLOOKUP(AJ4,#REF!,5,FALSE),"")</f>
        <v/>
      </c>
      <c r="AK9" s="100" t="str">
        <f>IFERROR(VLOOKUP(AK4,#REF!,5,FALSE),"")</f>
        <v/>
      </c>
      <c r="AL9" s="100" t="str">
        <f>IFERROR(VLOOKUP(AL4,#REF!,5,FALSE),"")</f>
        <v/>
      </c>
      <c r="AM9" s="100" t="str">
        <f>IFERROR(VLOOKUP(AM4,#REF!,5,FALSE),"")</f>
        <v/>
      </c>
      <c r="AN9" s="100" t="str">
        <f>IFERROR(VLOOKUP(AN4,#REF!,5,FALSE),"")</f>
        <v/>
      </c>
      <c r="AO9" s="100" t="str">
        <f>IFERROR(VLOOKUP(AO4,#REF!,5,FALSE),"")</f>
        <v/>
      </c>
      <c r="AP9" s="100" t="str">
        <f>IFERROR(VLOOKUP(AP4,#REF!,5,FALSE),"")</f>
        <v/>
      </c>
      <c r="AQ9" s="100">
        <f t="shared" si="52"/>
        <v>0</v>
      </c>
      <c r="AR9" s="100" t="str">
        <f>IFERROR(VLOOKUP(AR4,#REF!,5,FALSE),"")</f>
        <v/>
      </c>
      <c r="AS9" s="100" t="str">
        <f>IFERROR(VLOOKUP(AS4,#REF!,5,FALSE),"")</f>
        <v/>
      </c>
      <c r="AT9" s="100" t="str">
        <f>IFERROR(VLOOKUP(AT4,#REF!,5,FALSE),"")</f>
        <v/>
      </c>
      <c r="AU9" s="100" t="str">
        <f>IFERROR(VLOOKUP(AU4,#REF!,5,FALSE),"")</f>
        <v/>
      </c>
      <c r="AV9" s="100" t="str">
        <f>IFERROR(VLOOKUP(AV4,#REF!,5,FALSE),"")</f>
        <v/>
      </c>
      <c r="AW9" s="100" t="str">
        <f>IFERROR(VLOOKUP(AW4,#REF!,5,FALSE),"")</f>
        <v/>
      </c>
      <c r="AX9" s="100" t="str">
        <f>IFERROR(VLOOKUP(AX4,#REF!,5,FALSE),"")</f>
        <v/>
      </c>
      <c r="AY9" s="100">
        <f t="shared" si="53"/>
        <v>0</v>
      </c>
      <c r="AZ9" s="100" t="str">
        <f>IFERROR(VLOOKUP(AZ4,#REF!,5,FALSE),"")</f>
        <v/>
      </c>
      <c r="BA9" s="100" t="str">
        <f>IFERROR(VLOOKUP(BA4,#REF!,5,FALSE),"")</f>
        <v/>
      </c>
      <c r="BB9" s="100" t="str">
        <f>IFERROR(VLOOKUP(BB4,#REF!,5,FALSE),"")</f>
        <v/>
      </c>
      <c r="BC9" s="100" t="str">
        <f>IFERROR(VLOOKUP(BC4,#REF!,5,FALSE),"")</f>
        <v/>
      </c>
      <c r="BD9" s="100" t="str">
        <f>IFERROR(VLOOKUP(BD4,#REF!,5,FALSE),"")</f>
        <v/>
      </c>
      <c r="BE9" s="100" t="str">
        <f>IFERROR(VLOOKUP(BE4,#REF!,5,FALSE),"")</f>
        <v/>
      </c>
      <c r="BF9" s="100" t="str">
        <f>IFERROR(VLOOKUP(BF4,#REF!,5,FALSE),"")</f>
        <v/>
      </c>
      <c r="BG9" s="100">
        <f t="shared" si="54"/>
        <v>0</v>
      </c>
      <c r="BH9" s="100" t="str">
        <f>IFERROR(VLOOKUP(BH4,#REF!,5,FALSE),"")</f>
        <v/>
      </c>
      <c r="BI9" s="100" t="str">
        <f>IFERROR(VLOOKUP(BI4,#REF!,5,FALSE),"")</f>
        <v/>
      </c>
      <c r="BJ9" s="100" t="str">
        <f>IFERROR(VLOOKUP(BJ4,#REF!,5,FALSE),"")</f>
        <v/>
      </c>
      <c r="BK9" s="100" t="str">
        <f>IFERROR(VLOOKUP(BK4,#REF!,5,FALSE),"")</f>
        <v/>
      </c>
      <c r="BL9" s="100" t="str">
        <f>IFERROR(VLOOKUP(BL4,#REF!,5,FALSE),"")</f>
        <v/>
      </c>
      <c r="BM9" s="100" t="str">
        <f>IFERROR(VLOOKUP(BM4,#REF!,5,FALSE),"")</f>
        <v/>
      </c>
      <c r="BN9" s="100" t="str">
        <f>IFERROR(VLOOKUP(BN4,#REF!,5,FALSE),"")</f>
        <v/>
      </c>
      <c r="BO9" s="100">
        <f t="shared" si="55"/>
        <v>0</v>
      </c>
      <c r="BP9" s="100" t="str">
        <f>IFERROR(VLOOKUP(BP4,#REF!,5,FALSE),"")</f>
        <v/>
      </c>
      <c r="BQ9" s="100" t="str">
        <f>IFERROR(VLOOKUP(BQ4,#REF!,5,FALSE),"")</f>
        <v/>
      </c>
      <c r="BR9" s="100" t="str">
        <f>IFERROR(VLOOKUP(BR4,#REF!,5,FALSE),"")</f>
        <v/>
      </c>
      <c r="BS9" s="100" t="str">
        <f>IFERROR(VLOOKUP(BS4,#REF!,5,FALSE),"")</f>
        <v/>
      </c>
      <c r="BT9" s="100" t="str">
        <f>IFERROR(VLOOKUP(BT4,#REF!,5,FALSE),"")</f>
        <v/>
      </c>
      <c r="BU9" s="100" t="str">
        <f>IFERROR(VLOOKUP(BU4,#REF!,5,FALSE),"")</f>
        <v/>
      </c>
      <c r="BV9" s="100" t="str">
        <f>IFERROR(VLOOKUP(BV4,#REF!,5,FALSE),"")</f>
        <v/>
      </c>
      <c r="BW9" s="100">
        <f t="shared" si="56"/>
        <v>0</v>
      </c>
      <c r="BX9" s="100" t="str">
        <f>IFERROR(VLOOKUP(BX4,#REF!,5,FALSE),"")</f>
        <v/>
      </c>
      <c r="BY9" s="100" t="str">
        <f>IFERROR(VLOOKUP(BY4,#REF!,5,FALSE),"")</f>
        <v/>
      </c>
      <c r="BZ9" s="100" t="str">
        <f>IFERROR(VLOOKUP(BZ4,#REF!,5,FALSE),"")</f>
        <v/>
      </c>
      <c r="CA9" s="100" t="str">
        <f>IFERROR(VLOOKUP(CA4,#REF!,5,FALSE),"")</f>
        <v/>
      </c>
      <c r="CB9" s="100" t="str">
        <f>IFERROR(VLOOKUP(CB4,#REF!,5,FALSE),"")</f>
        <v/>
      </c>
      <c r="CC9" s="100" t="str">
        <f>IFERROR(VLOOKUP(CC4,#REF!,5,FALSE),"")</f>
        <v/>
      </c>
      <c r="CD9" s="100" t="str">
        <f>IFERROR(VLOOKUP(CD4,#REF!,5,FALSE),"")</f>
        <v/>
      </c>
      <c r="CE9" s="100">
        <f t="shared" si="57"/>
        <v>0</v>
      </c>
      <c r="CF9" s="100" t="str">
        <f>IFERROR(VLOOKUP(CF4,#REF!,5,FALSE),"")</f>
        <v/>
      </c>
      <c r="CG9" s="100" t="str">
        <f>IFERROR(VLOOKUP(CG4,#REF!,5,FALSE),"")</f>
        <v/>
      </c>
      <c r="CH9" s="100" t="str">
        <f>IFERROR(VLOOKUP(CH4,#REF!,5,FALSE),"")</f>
        <v/>
      </c>
      <c r="CI9" s="100" t="str">
        <f>IFERROR(VLOOKUP(CI4,#REF!,5,FALSE),"")</f>
        <v/>
      </c>
      <c r="CJ9" s="100" t="str">
        <f>IFERROR(VLOOKUP(CJ4,#REF!,5,FALSE),"")</f>
        <v/>
      </c>
      <c r="CK9" s="100" t="str">
        <f>IFERROR(VLOOKUP(CK4,#REF!,5,FALSE),"")</f>
        <v/>
      </c>
      <c r="CL9" s="100" t="str">
        <f>IFERROR(VLOOKUP(CL4,#REF!,5,FALSE),"")</f>
        <v/>
      </c>
      <c r="CM9" s="100">
        <f t="shared" si="58"/>
        <v>0</v>
      </c>
      <c r="CN9" s="100" t="str">
        <f>IFERROR(VLOOKUP(CN4,#REF!,5,FALSE),"")</f>
        <v/>
      </c>
      <c r="CO9" s="100" t="str">
        <f>IFERROR(VLOOKUP(CO4,#REF!,5,FALSE),"")</f>
        <v/>
      </c>
      <c r="CP9" s="100" t="str">
        <f>IFERROR(VLOOKUP(CP4,#REF!,5,FALSE),"")</f>
        <v/>
      </c>
      <c r="CQ9" s="100" t="str">
        <f>IFERROR(VLOOKUP(CQ4,#REF!,5,FALSE),"")</f>
        <v/>
      </c>
      <c r="CR9" s="100" t="str">
        <f>IFERROR(VLOOKUP(CR4,#REF!,5,FALSE),"")</f>
        <v/>
      </c>
      <c r="CS9" s="100" t="str">
        <f>IFERROR(VLOOKUP(CS4,#REF!,5,FALSE),"")</f>
        <v/>
      </c>
      <c r="CT9" s="100" t="str">
        <f>IFERROR(VLOOKUP(CT4,#REF!,5,FALSE),"")</f>
        <v/>
      </c>
      <c r="CU9" s="100">
        <f t="shared" si="59"/>
        <v>0</v>
      </c>
      <c r="CV9" s="100" t="str">
        <f>IFERROR(VLOOKUP(CV4,#REF!,5,FALSE),"")</f>
        <v/>
      </c>
      <c r="CW9" s="100" t="str">
        <f>IFERROR(VLOOKUP(CW4,#REF!,5,FALSE),"")</f>
        <v/>
      </c>
      <c r="CX9" s="100" t="str">
        <f>IFERROR(VLOOKUP(CX4,#REF!,5,FALSE),"")</f>
        <v/>
      </c>
      <c r="CY9" s="100" t="str">
        <f>IFERROR(VLOOKUP(CY4,#REF!,5,FALSE),"")</f>
        <v/>
      </c>
      <c r="CZ9" s="100" t="str">
        <f>IFERROR(VLOOKUP(CZ4,#REF!,5,FALSE),"")</f>
        <v/>
      </c>
      <c r="DA9" s="100" t="str">
        <f>IFERROR(VLOOKUP(DA4,#REF!,5,FALSE),"")</f>
        <v/>
      </c>
      <c r="DB9" s="100" t="str">
        <f>IFERROR(VLOOKUP(DB4,#REF!,5,FALSE),"")</f>
        <v/>
      </c>
      <c r="DC9" s="100">
        <f t="shared" si="60"/>
        <v>0</v>
      </c>
      <c r="DD9" s="100" t="str">
        <f>IFERROR(VLOOKUP(DD4,#REF!,5,FALSE),"")</f>
        <v/>
      </c>
      <c r="DE9" s="100" t="str">
        <f>IFERROR(VLOOKUP(DE4,#REF!,5,FALSE),"")</f>
        <v/>
      </c>
      <c r="DF9" s="100" t="str">
        <f>IFERROR(VLOOKUP(DF4,#REF!,5,FALSE),"")</f>
        <v/>
      </c>
      <c r="DG9" s="100" t="str">
        <f>IFERROR(VLOOKUP(DG4,#REF!,5,FALSE),"")</f>
        <v/>
      </c>
      <c r="DH9" s="100" t="str">
        <f>IFERROR(VLOOKUP(DH4,#REF!,5,FALSE),"")</f>
        <v/>
      </c>
      <c r="DI9" s="100" t="str">
        <f>IFERROR(VLOOKUP(DI4,#REF!,5,FALSE),"")</f>
        <v/>
      </c>
      <c r="DJ9" s="100" t="str">
        <f>IFERROR(VLOOKUP(DJ4,#REF!,5,FALSE),"")</f>
        <v/>
      </c>
      <c r="DK9" s="100">
        <f t="shared" si="61"/>
        <v>0</v>
      </c>
      <c r="DL9" s="100" t="str">
        <f>IFERROR(VLOOKUP(DL4,#REF!,5,FALSE),"")</f>
        <v/>
      </c>
      <c r="DM9" s="100" t="str">
        <f>IFERROR(VLOOKUP(DM4,#REF!,5,FALSE),"")</f>
        <v/>
      </c>
      <c r="DN9" s="100" t="str">
        <f>IFERROR(VLOOKUP(DN4,#REF!,5,FALSE),"")</f>
        <v/>
      </c>
      <c r="DO9" s="100" t="str">
        <f>IFERROR(VLOOKUP(DO4,#REF!,5,FALSE),"")</f>
        <v/>
      </c>
      <c r="DP9" s="100" t="str">
        <f>IFERROR(VLOOKUP(DP4,#REF!,5,FALSE),"")</f>
        <v/>
      </c>
      <c r="DQ9" s="100" t="str">
        <f>IFERROR(VLOOKUP(DQ4,#REF!,5,FALSE),"")</f>
        <v/>
      </c>
      <c r="DR9" s="100" t="str">
        <f>IFERROR(VLOOKUP(DR4,#REF!,5,FALSE),"")</f>
        <v/>
      </c>
      <c r="DS9" s="100">
        <f t="shared" si="62"/>
        <v>0</v>
      </c>
      <c r="DT9" s="100" t="str">
        <f>IFERROR(VLOOKUP(DT4,#REF!,5,FALSE),"")</f>
        <v/>
      </c>
      <c r="DU9" s="100" t="str">
        <f>IFERROR(VLOOKUP(DU4,#REF!,5,FALSE),"")</f>
        <v/>
      </c>
      <c r="DV9" s="100" t="str">
        <f>IFERROR(VLOOKUP(DV4,#REF!,5,FALSE),"")</f>
        <v/>
      </c>
      <c r="DW9" s="100" t="str">
        <f>IFERROR(VLOOKUP(DW4,#REF!,5,FALSE),"")</f>
        <v/>
      </c>
      <c r="DX9" s="100" t="str">
        <f>IFERROR(VLOOKUP(DX4,#REF!,5,FALSE),"")</f>
        <v/>
      </c>
      <c r="DY9" s="100" t="str">
        <f>IFERROR(VLOOKUP(DY4,#REF!,5,FALSE),"")</f>
        <v/>
      </c>
      <c r="DZ9" s="100" t="str">
        <f>IFERROR(VLOOKUP(DZ4,#REF!,5,FALSE),"")</f>
        <v/>
      </c>
      <c r="EA9" s="100">
        <f t="shared" si="63"/>
        <v>0</v>
      </c>
      <c r="EB9" s="100" t="str">
        <f>IFERROR(VLOOKUP(EB4,#REF!,5,FALSE),"")</f>
        <v/>
      </c>
      <c r="EC9" s="100" t="str">
        <f>IFERROR(VLOOKUP(EC4,#REF!,5,FALSE),"")</f>
        <v/>
      </c>
      <c r="ED9" s="100" t="str">
        <f>IFERROR(VLOOKUP(ED4,#REF!,5,FALSE),"")</f>
        <v/>
      </c>
      <c r="EE9" s="100" t="str">
        <f>IFERROR(VLOOKUP(EE4,#REF!,5,FALSE),"")</f>
        <v/>
      </c>
      <c r="EF9" s="100" t="str">
        <f>IFERROR(VLOOKUP(EF4,#REF!,5,FALSE),"")</f>
        <v/>
      </c>
      <c r="EG9" s="100" t="str">
        <f>IFERROR(VLOOKUP(EG4,#REF!,5,FALSE),"")</f>
        <v/>
      </c>
      <c r="EH9" s="100" t="str">
        <f>IFERROR(VLOOKUP(EH4,#REF!,5,FALSE),"")</f>
        <v/>
      </c>
      <c r="EI9" s="100">
        <f t="shared" si="64"/>
        <v>0</v>
      </c>
      <c r="EJ9" s="100" t="str">
        <f>IFERROR(VLOOKUP(EJ4,#REF!,5,FALSE),"")</f>
        <v/>
      </c>
      <c r="EK9" s="100" t="str">
        <f>IFERROR(VLOOKUP(EK4,#REF!,5,FALSE),"")</f>
        <v/>
      </c>
      <c r="EL9" s="100" t="str">
        <f>IFERROR(VLOOKUP(EL4,#REF!,5,FALSE),"")</f>
        <v/>
      </c>
      <c r="EM9" s="100" t="str">
        <f>IFERROR(VLOOKUP(EM4,#REF!,5,FALSE),"")</f>
        <v/>
      </c>
      <c r="EN9" s="100" t="str">
        <f>IFERROR(VLOOKUP(EN4,#REF!,5,FALSE),"")</f>
        <v/>
      </c>
      <c r="EO9" s="100" t="str">
        <f>IFERROR(VLOOKUP(EO4,#REF!,5,FALSE),"")</f>
        <v/>
      </c>
      <c r="EP9" s="100" t="str">
        <f>IFERROR(VLOOKUP(EP4,#REF!,5,FALSE),"")</f>
        <v/>
      </c>
      <c r="EQ9" s="100">
        <f t="shared" si="65"/>
        <v>0</v>
      </c>
      <c r="ER9" s="100" t="str">
        <f>IFERROR(VLOOKUP(ER4,#REF!,5,FALSE),"")</f>
        <v/>
      </c>
      <c r="ES9" s="100" t="str">
        <f>IFERROR(VLOOKUP(ES4,#REF!,5,FALSE),"")</f>
        <v/>
      </c>
      <c r="ET9" s="100" t="str">
        <f>IFERROR(VLOOKUP(ET4,#REF!,5,FALSE),"")</f>
        <v/>
      </c>
      <c r="EU9" s="100" t="str">
        <f>IFERROR(VLOOKUP(EU4,#REF!,5,FALSE),"")</f>
        <v/>
      </c>
      <c r="EV9" s="100" t="str">
        <f>IFERROR(VLOOKUP(EV4,#REF!,5,FALSE),"")</f>
        <v/>
      </c>
      <c r="EW9" s="100" t="str">
        <f>IFERROR(VLOOKUP(EW4,#REF!,5,FALSE),"")</f>
        <v/>
      </c>
      <c r="EX9" s="100" t="str">
        <f>IFERROR(VLOOKUP(EX4,#REF!,5,FALSE),"")</f>
        <v/>
      </c>
      <c r="EY9" s="100">
        <f t="shared" si="66"/>
        <v>0</v>
      </c>
      <c r="EZ9" s="100" t="str">
        <f>IFERROR(VLOOKUP(EZ4,#REF!,5,FALSE),"")</f>
        <v/>
      </c>
      <c r="FA9" s="100" t="str">
        <f>IFERROR(VLOOKUP(FA4,#REF!,5,FALSE),"")</f>
        <v/>
      </c>
      <c r="FB9" s="100" t="str">
        <f>IFERROR(VLOOKUP(FB4,#REF!,5,FALSE),"")</f>
        <v/>
      </c>
      <c r="FC9" s="100" t="str">
        <f>IFERROR(VLOOKUP(FC4,#REF!,5,FALSE),"")</f>
        <v/>
      </c>
      <c r="FD9" s="100" t="str">
        <f>IFERROR(VLOOKUP(FD4,#REF!,5,FALSE),"")</f>
        <v/>
      </c>
      <c r="FE9" s="100" t="str">
        <f>IFERROR(VLOOKUP(FE4,#REF!,5,FALSE),"")</f>
        <v/>
      </c>
      <c r="FF9" s="100" t="str">
        <f>IFERROR(VLOOKUP(FF4,#REF!,5,FALSE),"")</f>
        <v/>
      </c>
      <c r="FG9" s="100">
        <f t="shared" si="67"/>
        <v>0</v>
      </c>
      <c r="FH9" s="100" t="str">
        <f>IFERROR(VLOOKUP(FH4,#REF!,5,FALSE),"")</f>
        <v/>
      </c>
      <c r="FI9" s="100" t="str">
        <f>IFERROR(VLOOKUP(FI4,#REF!,5,FALSE),"")</f>
        <v/>
      </c>
      <c r="FJ9" s="100" t="str">
        <f>IFERROR(VLOOKUP(FJ4,#REF!,5,FALSE),"")</f>
        <v/>
      </c>
      <c r="FK9" s="100" t="str">
        <f>IFERROR(VLOOKUP(FK4,#REF!,5,FALSE),"")</f>
        <v/>
      </c>
      <c r="FL9" s="100" t="str">
        <f>IFERROR(VLOOKUP(FL4,#REF!,5,FALSE),"")</f>
        <v/>
      </c>
      <c r="FM9" s="100" t="str">
        <f>IFERROR(VLOOKUP(FM4,#REF!,5,FALSE),"")</f>
        <v/>
      </c>
      <c r="FN9" s="100" t="str">
        <f>IFERROR(VLOOKUP(FN4,#REF!,5,FALSE),"")</f>
        <v/>
      </c>
      <c r="FO9" s="100">
        <f t="shared" si="68"/>
        <v>0</v>
      </c>
      <c r="FP9" s="100" t="str">
        <f>IFERROR(VLOOKUP(FP4,#REF!,5,FALSE),"")</f>
        <v/>
      </c>
      <c r="FQ9" s="100" t="str">
        <f>IFERROR(VLOOKUP(FQ4,#REF!,5,FALSE),"")</f>
        <v/>
      </c>
      <c r="FR9" s="100" t="str">
        <f>IFERROR(VLOOKUP(FR4,#REF!,5,FALSE),"")</f>
        <v/>
      </c>
      <c r="FS9" s="100" t="str">
        <f>IFERROR(VLOOKUP(FS4,#REF!,5,FALSE),"")</f>
        <v/>
      </c>
      <c r="FT9" s="100" t="str">
        <f>IFERROR(VLOOKUP(FT4,#REF!,5,FALSE),"")</f>
        <v/>
      </c>
      <c r="FU9" s="100" t="str">
        <f>IFERROR(VLOOKUP(FU4,#REF!,5,FALSE),"")</f>
        <v/>
      </c>
      <c r="FV9" s="100" t="str">
        <f>IFERROR(VLOOKUP(FV4,#REF!,5,FALSE),"")</f>
        <v/>
      </c>
      <c r="FW9" s="100">
        <f t="shared" si="69"/>
        <v>0</v>
      </c>
      <c r="FX9" s="100" t="str">
        <f>IFERROR(VLOOKUP(FX4,#REF!,5,FALSE),"")</f>
        <v/>
      </c>
      <c r="FY9" s="100" t="str">
        <f>IFERROR(VLOOKUP(FY4,#REF!,5,FALSE),"")</f>
        <v/>
      </c>
      <c r="FZ9" s="100" t="str">
        <f>IFERROR(VLOOKUP(FZ4,#REF!,5,FALSE),"")</f>
        <v/>
      </c>
      <c r="GA9" s="100" t="str">
        <f>IFERROR(VLOOKUP(GA4,#REF!,5,FALSE),"")</f>
        <v/>
      </c>
      <c r="GB9" s="100" t="str">
        <f>IFERROR(VLOOKUP(GB4,#REF!,5,FALSE),"")</f>
        <v/>
      </c>
      <c r="GC9" s="100" t="str">
        <f>IFERROR(VLOOKUP(GC4,#REF!,5,FALSE),"")</f>
        <v/>
      </c>
      <c r="GD9" s="100" t="str">
        <f>IFERROR(VLOOKUP(GD4,#REF!,5,FALSE),"")</f>
        <v/>
      </c>
      <c r="GE9" s="100">
        <f t="shared" si="70"/>
        <v>0</v>
      </c>
      <c r="GF9" s="100" t="str">
        <f>IFERROR(VLOOKUP(GF4,#REF!,5,FALSE),"")</f>
        <v/>
      </c>
      <c r="GG9" s="100" t="str">
        <f>IFERROR(VLOOKUP(GG4,#REF!,5,FALSE),"")</f>
        <v/>
      </c>
      <c r="GH9" s="100" t="str">
        <f>IFERROR(VLOOKUP(GH4,#REF!,5,FALSE),"")</f>
        <v/>
      </c>
      <c r="GI9" s="100" t="str">
        <f>IFERROR(VLOOKUP(GI4,#REF!,5,FALSE),"")</f>
        <v/>
      </c>
      <c r="GJ9" s="100" t="str">
        <f>IFERROR(VLOOKUP(GJ4,#REF!,5,FALSE),"")</f>
        <v/>
      </c>
      <c r="GK9" s="100" t="str">
        <f>IFERROR(VLOOKUP(GK4,#REF!,5,FALSE),"")</f>
        <v/>
      </c>
      <c r="GL9" s="100" t="str">
        <f>IFERROR(VLOOKUP(GL4,#REF!,5,FALSE),"")</f>
        <v/>
      </c>
      <c r="GM9" s="100">
        <f t="shared" si="71"/>
        <v>0</v>
      </c>
      <c r="GN9" s="100" t="str">
        <f>IFERROR(VLOOKUP(GN4,#REF!,5,FALSE),"")</f>
        <v/>
      </c>
      <c r="GO9" s="100" t="str">
        <f>IFERROR(VLOOKUP(GO4,#REF!,5,FALSE),"")</f>
        <v/>
      </c>
      <c r="GP9" s="100" t="str">
        <f>IFERROR(VLOOKUP(GP4,#REF!,5,FALSE),"")</f>
        <v/>
      </c>
      <c r="GQ9" s="100" t="str">
        <f>IFERROR(VLOOKUP(GQ4,#REF!,5,FALSE),"")</f>
        <v/>
      </c>
      <c r="GR9" s="100" t="str">
        <f>IFERROR(VLOOKUP(GR4,#REF!,5,FALSE),"")</f>
        <v/>
      </c>
      <c r="GS9" s="100" t="str">
        <f>IFERROR(VLOOKUP(GS4,#REF!,5,FALSE),"")</f>
        <v/>
      </c>
      <c r="GT9" s="100" t="str">
        <f>IFERROR(VLOOKUP(GT4,#REF!,5,FALSE),"")</f>
        <v/>
      </c>
      <c r="GU9" s="100">
        <f t="shared" si="72"/>
        <v>0</v>
      </c>
      <c r="GV9" s="100" t="str">
        <f>IFERROR(VLOOKUP(GV4,#REF!,5,FALSE),"")</f>
        <v/>
      </c>
      <c r="GW9" s="100" t="str">
        <f>IFERROR(VLOOKUP(GW4,#REF!,5,FALSE),"")</f>
        <v/>
      </c>
      <c r="GX9" s="100" t="str">
        <f>IFERROR(VLOOKUP(GX4,#REF!,5,FALSE),"")</f>
        <v/>
      </c>
      <c r="GY9" s="100" t="str">
        <f>IFERROR(VLOOKUP(GY4,#REF!,5,FALSE),"")</f>
        <v/>
      </c>
      <c r="GZ9" s="100" t="str">
        <f>IFERROR(VLOOKUP(GZ4,#REF!,5,FALSE),"")</f>
        <v/>
      </c>
      <c r="HA9" s="100" t="str">
        <f>IFERROR(VLOOKUP(HA4,#REF!,5,FALSE),"")</f>
        <v/>
      </c>
      <c r="HB9" s="100" t="str">
        <f>IFERROR(VLOOKUP(HB4,#REF!,5,FALSE),"")</f>
        <v/>
      </c>
      <c r="HC9" s="100">
        <f t="shared" si="73"/>
        <v>0</v>
      </c>
      <c r="HD9" s="100" t="str">
        <f>IFERROR(VLOOKUP(HD4,#REF!,5,FALSE),"")</f>
        <v/>
      </c>
      <c r="HE9" s="100" t="str">
        <f>IFERROR(VLOOKUP(HE4,#REF!,5,FALSE),"")</f>
        <v/>
      </c>
      <c r="HF9" s="100" t="str">
        <f>IFERROR(VLOOKUP(HF4,#REF!,5,FALSE),"")</f>
        <v/>
      </c>
      <c r="HG9" s="100" t="str">
        <f>IFERROR(VLOOKUP(HG4,#REF!,5,FALSE),"")</f>
        <v/>
      </c>
      <c r="HH9" s="100" t="str">
        <f>IFERROR(VLOOKUP(HH4,#REF!,5,FALSE),"")</f>
        <v/>
      </c>
      <c r="HI9" s="100" t="str">
        <f>IFERROR(VLOOKUP(HI4,#REF!,5,FALSE),"")</f>
        <v/>
      </c>
      <c r="HJ9" s="100" t="str">
        <f>IFERROR(VLOOKUP(HJ4,#REF!,5,FALSE),"")</f>
        <v/>
      </c>
      <c r="HK9" s="100">
        <f t="shared" si="74"/>
        <v>0</v>
      </c>
      <c r="HL9" s="100" t="str">
        <f>IFERROR(VLOOKUP(HL4,#REF!,5,FALSE),"")</f>
        <v/>
      </c>
      <c r="HM9" s="100" t="str">
        <f>IFERROR(VLOOKUP(HM4,#REF!,5,FALSE),"")</f>
        <v/>
      </c>
      <c r="HN9" s="100" t="str">
        <f>IFERROR(VLOOKUP(HN4,#REF!,5,FALSE),"")</f>
        <v/>
      </c>
      <c r="HO9" s="100" t="str">
        <f>IFERROR(VLOOKUP(HO4,#REF!,5,FALSE),"")</f>
        <v/>
      </c>
      <c r="HP9" s="100" t="str">
        <f>IFERROR(VLOOKUP(HP4,#REF!,5,FALSE),"")</f>
        <v/>
      </c>
      <c r="HQ9" s="100" t="str">
        <f>IFERROR(VLOOKUP(HQ4,#REF!,5,FALSE),"")</f>
        <v/>
      </c>
      <c r="HR9" s="100" t="str">
        <f>IFERROR(VLOOKUP(HR4,#REF!,5,FALSE),"")</f>
        <v/>
      </c>
      <c r="HS9" s="100">
        <f t="shared" si="75"/>
        <v>0</v>
      </c>
      <c r="HT9" s="100" t="str">
        <f>IFERROR(VLOOKUP(HT4,#REF!,5,FALSE),"")</f>
        <v/>
      </c>
      <c r="HU9" s="100" t="str">
        <f>IFERROR(VLOOKUP(HU4,#REF!,5,FALSE),"")</f>
        <v/>
      </c>
      <c r="HV9" s="100" t="str">
        <f>IFERROR(VLOOKUP(HV4,#REF!,5,FALSE),"")</f>
        <v/>
      </c>
      <c r="HW9" s="100" t="str">
        <f>IFERROR(VLOOKUP(HW4,#REF!,5,FALSE),"")</f>
        <v/>
      </c>
      <c r="HX9" s="100" t="str">
        <f>IFERROR(VLOOKUP(HX4,#REF!,5,FALSE),"")</f>
        <v/>
      </c>
      <c r="HY9" s="100" t="str">
        <f>IFERROR(VLOOKUP(HY4,#REF!,5,FALSE),"")</f>
        <v/>
      </c>
      <c r="HZ9" s="100" t="str">
        <f>IFERROR(VLOOKUP(HZ4,#REF!,5,FALSE),"")</f>
        <v/>
      </c>
      <c r="IA9" s="100">
        <f t="shared" si="76"/>
        <v>0</v>
      </c>
      <c r="IB9" s="100" t="str">
        <f>IFERROR(VLOOKUP(IB4,#REF!,5,FALSE),"")</f>
        <v/>
      </c>
      <c r="IC9" s="100" t="str">
        <f>IFERROR(VLOOKUP(IC4,#REF!,5,FALSE),"")</f>
        <v/>
      </c>
      <c r="ID9" s="100" t="str">
        <f>IFERROR(VLOOKUP(ID4,#REF!,5,FALSE),"")</f>
        <v/>
      </c>
      <c r="IE9" s="100" t="str">
        <f>IFERROR(VLOOKUP(IE4,#REF!,5,FALSE),"")</f>
        <v/>
      </c>
      <c r="IF9" s="100" t="str">
        <f>IFERROR(VLOOKUP(IF4,#REF!,5,FALSE),"")</f>
        <v/>
      </c>
      <c r="IG9" s="100" t="str">
        <f>IFERROR(VLOOKUP(IG4,#REF!,5,FALSE),"")</f>
        <v/>
      </c>
      <c r="IH9" s="100" t="str">
        <f>IFERROR(VLOOKUP(IH4,#REF!,5,FALSE),"")</f>
        <v/>
      </c>
      <c r="II9" s="100">
        <f t="shared" si="77"/>
        <v>0</v>
      </c>
      <c r="IJ9" s="100" t="str">
        <f>IFERROR(VLOOKUP(IJ4,#REF!,5,FALSE),"")</f>
        <v/>
      </c>
      <c r="IK9" s="100" t="str">
        <f>IFERROR(VLOOKUP(IK4,#REF!,5,FALSE),"")</f>
        <v/>
      </c>
      <c r="IL9" s="100" t="str">
        <f>IFERROR(VLOOKUP(IL4,#REF!,5,FALSE),"")</f>
        <v/>
      </c>
      <c r="IM9" s="100" t="str">
        <f>IFERROR(VLOOKUP(IM4,#REF!,5,FALSE),"")</f>
        <v/>
      </c>
      <c r="IN9" s="100" t="str">
        <f>IFERROR(VLOOKUP(IN4,#REF!,5,FALSE),"")</f>
        <v/>
      </c>
      <c r="IO9" s="100" t="str">
        <f>IFERROR(VLOOKUP(IO4,#REF!,5,FALSE),"")</f>
        <v/>
      </c>
      <c r="IP9" s="100" t="str">
        <f>IFERROR(VLOOKUP(IP4,#REF!,5,FALSE),"")</f>
        <v/>
      </c>
      <c r="IQ9" s="100">
        <f t="shared" si="78"/>
        <v>0</v>
      </c>
      <c r="IR9" s="100" t="str">
        <f>IFERROR(VLOOKUP(IR4,#REF!,5,FALSE),"")</f>
        <v/>
      </c>
      <c r="IS9" s="100" t="str">
        <f>IFERROR(VLOOKUP(IS4,#REF!,5,FALSE),"")</f>
        <v/>
      </c>
      <c r="IT9" s="100" t="str">
        <f>IFERROR(VLOOKUP(IT4,#REF!,5,FALSE),"")</f>
        <v/>
      </c>
      <c r="IU9" s="100" t="str">
        <f>IFERROR(VLOOKUP(IU4,#REF!,5,FALSE),"")</f>
        <v/>
      </c>
      <c r="IV9" s="100" t="str">
        <f>IFERROR(VLOOKUP(IV4,#REF!,5,FALSE),"")</f>
        <v/>
      </c>
      <c r="IW9" s="100" t="str">
        <f>IFERROR(VLOOKUP(IW4,#REF!,5,FALSE),"")</f>
        <v/>
      </c>
      <c r="IX9" s="100" t="str">
        <f>IFERROR(VLOOKUP(IX4,#REF!,5,FALSE),"")</f>
        <v/>
      </c>
      <c r="IY9" s="100">
        <f t="shared" si="79"/>
        <v>0</v>
      </c>
      <c r="IZ9" s="100" t="str">
        <f>IFERROR(VLOOKUP(IZ4,#REF!,5,FALSE),"")</f>
        <v/>
      </c>
      <c r="JA9" s="100" t="str">
        <f>IFERROR(VLOOKUP(JA4,#REF!,5,FALSE),"")</f>
        <v/>
      </c>
      <c r="JB9" s="100" t="str">
        <f>IFERROR(VLOOKUP(JB4,#REF!,5,FALSE),"")</f>
        <v/>
      </c>
      <c r="JC9" s="100" t="str">
        <f>IFERROR(VLOOKUP(JC4,#REF!,5,FALSE),"")</f>
        <v/>
      </c>
      <c r="JD9" s="100" t="str">
        <f>IFERROR(VLOOKUP(JD4,#REF!,5,FALSE),"")</f>
        <v/>
      </c>
      <c r="JE9" s="100" t="str">
        <f>IFERROR(VLOOKUP(JE4,#REF!,5,FALSE),"")</f>
        <v/>
      </c>
      <c r="JF9" s="100" t="str">
        <f>IFERROR(VLOOKUP(JF4,#REF!,5,FALSE),"")</f>
        <v/>
      </c>
      <c r="JG9" s="100">
        <f t="shared" si="80"/>
        <v>0</v>
      </c>
      <c r="JH9" s="100" t="str">
        <f>IFERROR(VLOOKUP(JH4,#REF!,5,FALSE),"")</f>
        <v/>
      </c>
      <c r="JI9" s="100" t="str">
        <f>IFERROR(VLOOKUP(JI4,#REF!,5,FALSE),"")</f>
        <v/>
      </c>
      <c r="JJ9" s="100" t="str">
        <f>IFERROR(VLOOKUP(JJ4,#REF!,5,FALSE),"")</f>
        <v/>
      </c>
      <c r="JK9" s="100" t="str">
        <f>IFERROR(VLOOKUP(JK4,#REF!,5,FALSE),"")</f>
        <v/>
      </c>
      <c r="JL9" s="100" t="str">
        <f>IFERROR(VLOOKUP(JL4,#REF!,5,FALSE),"")</f>
        <v/>
      </c>
      <c r="JM9" s="100" t="str">
        <f>IFERROR(VLOOKUP(JM4,#REF!,5,FALSE),"")</f>
        <v/>
      </c>
      <c r="JN9" s="100" t="str">
        <f>IFERROR(VLOOKUP(JN4,#REF!,5,FALSE),"")</f>
        <v/>
      </c>
      <c r="JO9" s="100">
        <f t="shared" si="81"/>
        <v>0</v>
      </c>
      <c r="JP9" s="100" t="str">
        <f>IFERROR(VLOOKUP(JP4,#REF!,5,FALSE),"")</f>
        <v/>
      </c>
      <c r="JQ9" s="100" t="str">
        <f>IFERROR(VLOOKUP(JQ4,#REF!,5,FALSE),"")</f>
        <v/>
      </c>
      <c r="JR9" s="100" t="str">
        <f>IFERROR(VLOOKUP(JR4,#REF!,5,FALSE),"")</f>
        <v/>
      </c>
      <c r="JS9" s="100" t="str">
        <f>IFERROR(VLOOKUP(JS4,#REF!,5,FALSE),"")</f>
        <v/>
      </c>
      <c r="JT9" s="100" t="str">
        <f>IFERROR(VLOOKUP(JT4,#REF!,5,FALSE),"")</f>
        <v/>
      </c>
      <c r="JU9" s="100" t="str">
        <f>IFERROR(VLOOKUP(JU4,#REF!,5,FALSE),"")</f>
        <v/>
      </c>
      <c r="JV9" s="100" t="str">
        <f>IFERROR(VLOOKUP(JV4,#REF!,5,FALSE),"")</f>
        <v/>
      </c>
      <c r="JW9" s="100">
        <f t="shared" si="82"/>
        <v>0</v>
      </c>
      <c r="JX9" s="100" t="str">
        <f>IFERROR(VLOOKUP(JX4,#REF!,5,FALSE),"")</f>
        <v/>
      </c>
      <c r="JY9" s="100" t="str">
        <f>IFERROR(VLOOKUP(JY4,#REF!,5,FALSE),"")</f>
        <v/>
      </c>
      <c r="JZ9" s="100" t="str">
        <f>IFERROR(VLOOKUP(JZ4,#REF!,5,FALSE),"")</f>
        <v/>
      </c>
      <c r="KA9" s="100" t="str">
        <f>IFERROR(VLOOKUP(KA4,#REF!,5,FALSE),"")</f>
        <v/>
      </c>
      <c r="KB9" s="100" t="str">
        <f>IFERROR(VLOOKUP(KB4,#REF!,5,FALSE),"")</f>
        <v/>
      </c>
      <c r="KC9" s="100" t="str">
        <f>IFERROR(VLOOKUP(KC4,#REF!,5,FALSE),"")</f>
        <v/>
      </c>
      <c r="KD9" s="100" t="str">
        <f>IFERROR(VLOOKUP(KD4,#REF!,5,FALSE),"")</f>
        <v/>
      </c>
      <c r="KE9" s="100">
        <f t="shared" si="83"/>
        <v>0</v>
      </c>
      <c r="KF9" s="100" t="str">
        <f>IFERROR(VLOOKUP(KF4,#REF!,5,FALSE),"")</f>
        <v/>
      </c>
      <c r="KG9" s="100" t="str">
        <f>IFERROR(VLOOKUP(KG4,#REF!,5,FALSE),"")</f>
        <v/>
      </c>
      <c r="KH9" s="100" t="str">
        <f>IFERROR(VLOOKUP(KH4,#REF!,5,FALSE),"")</f>
        <v/>
      </c>
      <c r="KI9" s="100" t="str">
        <f>IFERROR(VLOOKUP(KI4,#REF!,5,FALSE),"")</f>
        <v/>
      </c>
      <c r="KJ9" s="100" t="str">
        <f>IFERROR(VLOOKUP(KJ4,#REF!,5,FALSE),"")</f>
        <v/>
      </c>
      <c r="KK9" s="100" t="str">
        <f>IFERROR(VLOOKUP(KK4,#REF!,5,FALSE),"")</f>
        <v/>
      </c>
      <c r="KL9" s="100" t="str">
        <f>IFERROR(VLOOKUP(KL4,#REF!,5,FALSE),"")</f>
        <v/>
      </c>
      <c r="KM9" s="100">
        <f t="shared" si="84"/>
        <v>0</v>
      </c>
      <c r="KN9" s="100" t="str">
        <f>IFERROR(VLOOKUP(KN4,#REF!,5,FALSE),"")</f>
        <v/>
      </c>
      <c r="KO9" s="100" t="str">
        <f>IFERROR(VLOOKUP(KO4,#REF!,5,FALSE),"")</f>
        <v/>
      </c>
      <c r="KP9" s="100" t="str">
        <f>IFERROR(VLOOKUP(KP4,#REF!,5,FALSE),"")</f>
        <v/>
      </c>
      <c r="KQ9" s="100" t="str">
        <f>IFERROR(VLOOKUP(KQ4,#REF!,5,FALSE),"")</f>
        <v/>
      </c>
      <c r="KR9" s="100" t="str">
        <f>IFERROR(VLOOKUP(KR4,#REF!,5,FALSE),"")</f>
        <v/>
      </c>
      <c r="KS9" s="100" t="str">
        <f>IFERROR(VLOOKUP(KS4,#REF!,5,FALSE),"")</f>
        <v/>
      </c>
      <c r="KT9" s="100" t="str">
        <f>IFERROR(VLOOKUP(KT4,#REF!,5,FALSE),"")</f>
        <v/>
      </c>
      <c r="KU9" s="100">
        <f t="shared" si="85"/>
        <v>0</v>
      </c>
      <c r="KV9" s="100" t="str">
        <f>IFERROR(VLOOKUP(KV4,#REF!,5,FALSE),"")</f>
        <v/>
      </c>
      <c r="KW9" s="100" t="str">
        <f>IFERROR(VLOOKUP(KW4,#REF!,5,FALSE),"")</f>
        <v/>
      </c>
      <c r="KX9" s="100" t="str">
        <f>IFERROR(VLOOKUP(KX4,#REF!,5,FALSE),"")</f>
        <v/>
      </c>
      <c r="KY9" s="100" t="str">
        <f>IFERROR(VLOOKUP(KY4,#REF!,5,FALSE),"")</f>
        <v/>
      </c>
      <c r="KZ9" s="100" t="str">
        <f>IFERROR(VLOOKUP(KZ4,#REF!,5,FALSE),"")</f>
        <v/>
      </c>
      <c r="LA9" s="100" t="str">
        <f>IFERROR(VLOOKUP(LA4,#REF!,5,FALSE),"")</f>
        <v/>
      </c>
      <c r="LB9" s="100" t="str">
        <f>IFERROR(VLOOKUP(LB4,#REF!,5,FALSE),"")</f>
        <v/>
      </c>
      <c r="LC9" s="100">
        <f t="shared" si="86"/>
        <v>0</v>
      </c>
      <c r="LD9" s="100" t="str">
        <f>IFERROR(VLOOKUP(LD4,#REF!,5,FALSE),"")</f>
        <v/>
      </c>
      <c r="LE9" s="100" t="str">
        <f>IFERROR(VLOOKUP(LE4,#REF!,5,FALSE),"")</f>
        <v/>
      </c>
      <c r="LF9" s="100" t="str">
        <f>IFERROR(VLOOKUP(LF4,#REF!,5,FALSE),"")</f>
        <v/>
      </c>
      <c r="LG9" s="100" t="str">
        <f>IFERROR(VLOOKUP(LG4,#REF!,5,FALSE),"")</f>
        <v/>
      </c>
      <c r="LH9" s="100" t="str">
        <f>IFERROR(VLOOKUP(LH4,#REF!,5,FALSE),"")</f>
        <v/>
      </c>
      <c r="LI9" s="100" t="str">
        <f>IFERROR(VLOOKUP(LI4,#REF!,5,FALSE),"")</f>
        <v/>
      </c>
      <c r="LJ9" s="100" t="str">
        <f>IFERROR(VLOOKUP(LJ4,#REF!,5,FALSE),"")</f>
        <v/>
      </c>
      <c r="LK9" s="100">
        <f t="shared" si="87"/>
        <v>0</v>
      </c>
      <c r="LL9" s="100" t="str">
        <f>IFERROR(VLOOKUP(LL4,#REF!,5,FALSE),"")</f>
        <v/>
      </c>
      <c r="LM9" s="100" t="str">
        <f>IFERROR(VLOOKUP(LM4,#REF!,5,FALSE),"")</f>
        <v/>
      </c>
      <c r="LN9" s="100" t="str">
        <f>IFERROR(VLOOKUP(LN4,#REF!,5,FALSE),"")</f>
        <v/>
      </c>
      <c r="LO9" s="100" t="str">
        <f>IFERROR(VLOOKUP(LO4,#REF!,5,FALSE),"")</f>
        <v/>
      </c>
      <c r="LP9" s="100" t="str">
        <f>IFERROR(VLOOKUP(LP4,#REF!,5,FALSE),"")</f>
        <v/>
      </c>
      <c r="LQ9" s="100" t="str">
        <f>IFERROR(VLOOKUP(LQ4,#REF!,5,FALSE),"")</f>
        <v/>
      </c>
      <c r="LR9" s="100" t="str">
        <f>IFERROR(VLOOKUP(LR4,#REF!,5,FALSE),"")</f>
        <v/>
      </c>
      <c r="LS9" s="100">
        <f t="shared" si="88"/>
        <v>0</v>
      </c>
      <c r="LT9" s="100" t="str">
        <f>IFERROR(VLOOKUP(LT4,#REF!,5,FALSE),"")</f>
        <v/>
      </c>
      <c r="LU9" s="100" t="str">
        <f>IFERROR(VLOOKUP(LU4,#REF!,5,FALSE),"")</f>
        <v/>
      </c>
      <c r="LV9" s="100" t="str">
        <f>IFERROR(VLOOKUP(LV4,#REF!,5,FALSE),"")</f>
        <v/>
      </c>
      <c r="LW9" s="100" t="str">
        <f>IFERROR(VLOOKUP(LW4,#REF!,5,FALSE),"")</f>
        <v/>
      </c>
      <c r="LX9" s="100" t="str">
        <f>IFERROR(VLOOKUP(LX4,#REF!,5,FALSE),"")</f>
        <v/>
      </c>
      <c r="LY9" s="100" t="str">
        <f>IFERROR(VLOOKUP(LY4,#REF!,5,FALSE),"")</f>
        <v/>
      </c>
      <c r="LZ9" s="100" t="str">
        <f>IFERROR(VLOOKUP(LZ4,#REF!,5,FALSE),"")</f>
        <v/>
      </c>
      <c r="MA9" s="100">
        <f t="shared" si="89"/>
        <v>0</v>
      </c>
      <c r="MB9" s="100" t="str">
        <f>IFERROR(VLOOKUP(MB4,#REF!,5,FALSE),"")</f>
        <v/>
      </c>
      <c r="MC9" s="100" t="str">
        <f>IFERROR(VLOOKUP(MC4,#REF!,5,FALSE),"")</f>
        <v/>
      </c>
      <c r="MD9" s="100" t="str">
        <f>IFERROR(VLOOKUP(MD4,#REF!,5,FALSE),"")</f>
        <v/>
      </c>
      <c r="ME9" s="100" t="str">
        <f>IFERROR(VLOOKUP(ME4,#REF!,5,FALSE),"")</f>
        <v/>
      </c>
      <c r="MF9" s="100" t="str">
        <f>IFERROR(VLOOKUP(MF4,#REF!,5,FALSE),"")</f>
        <v/>
      </c>
      <c r="MG9" s="100" t="str">
        <f>IFERROR(VLOOKUP(MG4,#REF!,5,FALSE),"")</f>
        <v/>
      </c>
      <c r="MH9" s="100" t="str">
        <f>IFERROR(VLOOKUP(MH4,#REF!,5,FALSE),"")</f>
        <v/>
      </c>
      <c r="MI9" s="100">
        <f t="shared" si="90"/>
        <v>0</v>
      </c>
      <c r="MJ9" s="100" t="str">
        <f>IFERROR(VLOOKUP(MJ4,#REF!,5,FALSE),"")</f>
        <v/>
      </c>
      <c r="MK9" s="100" t="str">
        <f>IFERROR(VLOOKUP(MK4,#REF!,5,FALSE),"")</f>
        <v/>
      </c>
      <c r="ML9" s="100" t="str">
        <f>IFERROR(VLOOKUP(ML4,#REF!,5,FALSE),"")</f>
        <v/>
      </c>
      <c r="MM9" s="100" t="str">
        <f>IFERROR(VLOOKUP(MM4,#REF!,5,FALSE),"")</f>
        <v/>
      </c>
      <c r="MN9" s="100" t="str">
        <f>IFERROR(VLOOKUP(MN4,#REF!,5,FALSE),"")</f>
        <v/>
      </c>
      <c r="MO9" s="100" t="str">
        <f>IFERROR(VLOOKUP(MO4,#REF!,5,FALSE),"")</f>
        <v/>
      </c>
      <c r="MP9" s="100" t="str">
        <f>IFERROR(VLOOKUP(MP4,#REF!,5,FALSE),"")</f>
        <v/>
      </c>
      <c r="MQ9" s="100">
        <f t="shared" si="91"/>
        <v>0</v>
      </c>
      <c r="MR9" s="100" t="str">
        <f>IFERROR(VLOOKUP(MR4,#REF!,5,FALSE),"")</f>
        <v/>
      </c>
      <c r="MS9" s="100" t="str">
        <f>IFERROR(VLOOKUP(MS4,#REF!,5,FALSE),"")</f>
        <v/>
      </c>
      <c r="MT9" s="100" t="str">
        <f>IFERROR(VLOOKUP(MT4,#REF!,5,FALSE),"")</f>
        <v/>
      </c>
      <c r="MU9" s="100" t="str">
        <f>IFERROR(VLOOKUP(MU4,#REF!,5,FALSE),"")</f>
        <v/>
      </c>
      <c r="MV9" s="100" t="str">
        <f>IFERROR(VLOOKUP(MV4,#REF!,5,FALSE),"")</f>
        <v/>
      </c>
      <c r="MW9" s="100" t="str">
        <f>IFERROR(VLOOKUP(MW4,#REF!,5,FALSE),"")</f>
        <v/>
      </c>
      <c r="MX9" s="100" t="str">
        <f>IFERROR(VLOOKUP(MX4,#REF!,5,FALSE),"")</f>
        <v/>
      </c>
      <c r="MY9" s="100">
        <f t="shared" si="92"/>
        <v>0</v>
      </c>
      <c r="MZ9" s="100" t="str">
        <f>IFERROR(VLOOKUP(MZ4,#REF!,5,FALSE),"")</f>
        <v/>
      </c>
      <c r="NA9" s="100" t="str">
        <f>IFERROR(VLOOKUP(NA4,#REF!,5,FALSE),"")</f>
        <v/>
      </c>
      <c r="NB9" s="100" t="str">
        <f>IFERROR(VLOOKUP(NB4,#REF!,5,FALSE),"")</f>
        <v/>
      </c>
      <c r="NC9" s="100" t="str">
        <f>IFERROR(VLOOKUP(NC4,#REF!,5,FALSE),"")</f>
        <v/>
      </c>
      <c r="ND9" s="100" t="str">
        <f>IFERROR(VLOOKUP(ND4,#REF!,5,FALSE),"")</f>
        <v/>
      </c>
      <c r="NE9" s="100" t="str">
        <f>IFERROR(VLOOKUP(NE4,#REF!,5,FALSE),"")</f>
        <v/>
      </c>
      <c r="NF9" s="100" t="str">
        <f>IFERROR(VLOOKUP(NF4,#REF!,5,FALSE),"")</f>
        <v/>
      </c>
      <c r="NG9" s="100">
        <f t="shared" si="93"/>
        <v>0</v>
      </c>
      <c r="NH9" s="100" t="str">
        <f>IFERROR(VLOOKUP(NH4,#REF!,5,FALSE),"")</f>
        <v/>
      </c>
      <c r="NI9" s="100" t="str">
        <f>IFERROR(VLOOKUP(NI4,#REF!,5,FALSE),"")</f>
        <v/>
      </c>
      <c r="NJ9" s="100" t="str">
        <f>IFERROR(VLOOKUP(NJ4,#REF!,5,FALSE),"")</f>
        <v/>
      </c>
      <c r="NK9" s="100" t="str">
        <f>IFERROR(VLOOKUP(NK4,#REF!,5,FALSE),"")</f>
        <v/>
      </c>
      <c r="NL9" s="100" t="str">
        <f>IFERROR(VLOOKUP(NL4,#REF!,5,FALSE),"")</f>
        <v/>
      </c>
      <c r="NM9" s="100" t="str">
        <f>IFERROR(VLOOKUP(NM4,#REF!,5,FALSE),"")</f>
        <v/>
      </c>
      <c r="NN9" s="100" t="str">
        <f>IFERROR(VLOOKUP(NN4,#REF!,5,FALSE),"")</f>
        <v/>
      </c>
      <c r="NO9" s="100">
        <f t="shared" si="94"/>
        <v>0</v>
      </c>
      <c r="NP9" s="100" t="str">
        <f>IFERROR(VLOOKUP(NP4,#REF!,5,FALSE),"")</f>
        <v/>
      </c>
      <c r="NQ9" s="100" t="str">
        <f>IFERROR(VLOOKUP(NQ4,#REF!,5,FALSE),"")</f>
        <v/>
      </c>
      <c r="NR9" s="100" t="str">
        <f>IFERROR(VLOOKUP(NR4,#REF!,5,FALSE),"")</f>
        <v/>
      </c>
      <c r="NS9" s="100" t="str">
        <f>IFERROR(VLOOKUP(NS4,#REF!,5,FALSE),"")</f>
        <v/>
      </c>
      <c r="NT9" s="100" t="str">
        <f>IFERROR(VLOOKUP(NT4,#REF!,5,FALSE),"")</f>
        <v/>
      </c>
      <c r="NU9" s="100" t="str">
        <f>IFERROR(VLOOKUP(NU4,#REF!,5,FALSE),"")</f>
        <v/>
      </c>
      <c r="NV9" s="100" t="str">
        <f>IFERROR(VLOOKUP(NV4,#REF!,5,FALSE),"")</f>
        <v/>
      </c>
      <c r="NW9" s="100">
        <f t="shared" si="95"/>
        <v>0</v>
      </c>
    </row>
    <row r="10" spans="1:15679" ht="16.5" thickBot="1" x14ac:dyDescent="0.3">
      <c r="A10" s="593"/>
      <c r="B10" s="80"/>
      <c r="C10" s="89" t="s">
        <v>368</v>
      </c>
      <c r="D10" s="139">
        <f>SUMIFS('les arrets'!$G:$G,'les arrets'!$B:$B,KPI!D4,'les arrets'!$J:$J,"Mecanique")</f>
        <v>0</v>
      </c>
      <c r="E10" s="139">
        <f>SUMIFS('les arrets'!$G:$G,'les arrets'!$B:$B,KPI!E4,'les arrets'!$J:$J,"Mecanique")</f>
        <v>0</v>
      </c>
      <c r="F10" s="139">
        <f>SUMIFS('les arrets'!$G:$G,'les arrets'!$B:$B,KPI!F4,'les arrets'!$J:$J,"Mecanique")</f>
        <v>0</v>
      </c>
      <c r="G10" s="139">
        <f>SUMIFS('les arrets'!$G:$G,'les arrets'!$B:$B,KPI!G4,'les arrets'!$J:$J,"Mecanique")</f>
        <v>0</v>
      </c>
      <c r="H10" s="139">
        <f>SUMIFS('les arrets'!$G:$G,'les arrets'!$B:$B,KPI!H4,'les arrets'!$J:$J,"Mecanique")</f>
        <v>0</v>
      </c>
      <c r="I10" s="139">
        <f>SUMIFS('les arrets'!$G:$G,'les arrets'!$B:$B,KPI!I4,'les arrets'!$J:$J,"Mecanique")</f>
        <v>0</v>
      </c>
      <c r="J10" s="139">
        <f>SUMIFS('les arrets'!$G:$G,'les arrets'!$B:$B,KPI!J4,'les arrets'!$J:$J,"Mecanique")</f>
        <v>0</v>
      </c>
      <c r="K10" s="100">
        <f t="shared" ref="K10:K16" si="96">SUM(D10:J10)</f>
        <v>0</v>
      </c>
      <c r="L10" s="139">
        <f>SUMIFS('les arrets'!$G:$G,'les arrets'!$B:$B,KPI!L4,'les arrets'!$J:$J,"Mecanique")</f>
        <v>0</v>
      </c>
      <c r="M10" s="139">
        <f>SUMIFS('les arrets'!$G:$G,'les arrets'!$B:$B,KPI!M4,'les arrets'!$J:$J,"Mecanique")</f>
        <v>0</v>
      </c>
      <c r="N10" s="139">
        <f>SUMIFS('les arrets'!$G:$G,'les arrets'!$B:$B,KPI!N4,'les arrets'!$J:$J,"Mecanique")</f>
        <v>0</v>
      </c>
      <c r="O10" s="139">
        <f>SUMIFS('les arrets'!$G:$G,'les arrets'!$B:$B,KPI!O4,'les arrets'!$J:$J,"Mecanique")</f>
        <v>0</v>
      </c>
      <c r="P10" s="139">
        <f>SUMIFS('les arrets'!$G:$G,'les arrets'!$B:$B,KPI!P4,'les arrets'!$J:$J,"Mecanique")</f>
        <v>0</v>
      </c>
      <c r="Q10" s="139">
        <f>SUMIFS('les arrets'!$G:$G,'les arrets'!$B:$B,KPI!Q4,'les arrets'!$J:$J,"Mecanique")</f>
        <v>0</v>
      </c>
      <c r="R10" s="139">
        <f>SUMIFS('les arrets'!$G:$G,'les arrets'!$B:$B,KPI!R4,'les arrets'!$J:$J,"Mecanique")</f>
        <v>0</v>
      </c>
      <c r="S10" s="100">
        <f t="shared" si="49"/>
        <v>0</v>
      </c>
      <c r="T10" s="139">
        <f>SUMIFS('les arrets'!$G:$G,'les arrets'!$B:$B,KPI!T4,'les arrets'!$J:$J,"Mecanique")</f>
        <v>0</v>
      </c>
      <c r="U10" s="139">
        <f>SUMIFS('les arrets'!$G:$G,'les arrets'!$B:$B,KPI!U4,'les arrets'!$J:$J,"Mecanique")</f>
        <v>0</v>
      </c>
      <c r="V10" s="139">
        <f>SUMIFS('les arrets'!$G:$G,'les arrets'!$B:$B,KPI!V4,'les arrets'!$J:$J,"Mecanique")</f>
        <v>0</v>
      </c>
      <c r="W10" s="139">
        <f>SUMIFS('les arrets'!$G:$G,'les arrets'!$B:$B,KPI!W4,'les arrets'!$J:$J,"Mecanique")</f>
        <v>0</v>
      </c>
      <c r="X10" s="139">
        <f>SUMIFS('les arrets'!$G:$G,'les arrets'!$B:$B,KPI!X4,'les arrets'!$J:$J,"Mecanique")</f>
        <v>0</v>
      </c>
      <c r="Y10" s="139">
        <f>SUMIFS('les arrets'!$G:$G,'les arrets'!$B:$B,KPI!Y4,'les arrets'!$J:$J,"Mecanique")</f>
        <v>0</v>
      </c>
      <c r="Z10" s="139">
        <f>SUMIFS('les arrets'!$G:$G,'les arrets'!$B:$B,KPI!Z4,'les arrets'!$J:$J,"Mecanique")</f>
        <v>0</v>
      </c>
      <c r="AA10" s="100">
        <f t="shared" si="50"/>
        <v>0</v>
      </c>
      <c r="AB10" s="139">
        <f>SUMIFS('les arrets'!$G:$G,'les arrets'!$B:$B,KPI!AB4,'les arrets'!$J:$J,"Mecanique")</f>
        <v>0</v>
      </c>
      <c r="AC10" s="139">
        <f>SUMIFS('les arrets'!$G:$G,'les arrets'!$B:$B,KPI!AC4,'les arrets'!$J:$J,"Mecanique")</f>
        <v>0</v>
      </c>
      <c r="AD10" s="139">
        <f>SUMIFS('les arrets'!$G:$G,'les arrets'!$B:$B,KPI!AD4,'les arrets'!$J:$J,"Mecanique")</f>
        <v>0</v>
      </c>
      <c r="AE10" s="139">
        <f>SUMIFS('les arrets'!$G:$G,'les arrets'!$B:$B,KPI!AE4,'les arrets'!$J:$J,"Mecanique")</f>
        <v>0</v>
      </c>
      <c r="AF10" s="139">
        <f>SUMIFS('les arrets'!$G:$G,'les arrets'!$B:$B,KPI!AF4,'les arrets'!$J:$J,"Mecanique")</f>
        <v>0</v>
      </c>
      <c r="AG10" s="139">
        <f>SUMIFS('les arrets'!$G:$G,'les arrets'!$B:$B,KPI!AG4,'les arrets'!$J:$J,"Mecanique")</f>
        <v>0</v>
      </c>
      <c r="AH10" s="139">
        <f>SUMIFS('les arrets'!$G:$G,'les arrets'!$B:$B,KPI!AH4,'les arrets'!$J:$J,"Mecanique")</f>
        <v>0</v>
      </c>
      <c r="AI10" s="100">
        <f t="shared" si="51"/>
        <v>0</v>
      </c>
      <c r="AJ10" s="139">
        <f>SUMIFS('les arrets'!$G:$G,'les arrets'!$B:$B,KPI!AJ4,'les arrets'!$J:$J,"Mecanique")</f>
        <v>0</v>
      </c>
      <c r="AK10" s="139">
        <f>SUMIFS('les arrets'!$G:$G,'les arrets'!$B:$B,KPI!AK4,'les arrets'!$J:$J,"Mecanique")</f>
        <v>0</v>
      </c>
      <c r="AL10" s="139">
        <f>SUMIFS('les arrets'!$G:$G,'les arrets'!$B:$B,KPI!AL4,'les arrets'!$J:$J,"Mecanique")</f>
        <v>0</v>
      </c>
      <c r="AM10" s="139">
        <f>SUMIFS('les arrets'!$G:$G,'les arrets'!$B:$B,KPI!AM4,'les arrets'!$J:$J,"Mecanique")</f>
        <v>0</v>
      </c>
      <c r="AN10" s="139">
        <f>SUMIFS('les arrets'!$G:$G,'les arrets'!$B:$B,KPI!AN4,'les arrets'!$J:$J,"Mecanique")</f>
        <v>0</v>
      </c>
      <c r="AO10" s="139">
        <f>SUMIFS('les arrets'!$G:$G,'les arrets'!$B:$B,KPI!AO4,'les arrets'!$J:$J,"Mecanique")</f>
        <v>0</v>
      </c>
      <c r="AP10" s="139">
        <f>SUMIFS('les arrets'!$G:$G,'les arrets'!$B:$B,KPI!AP4,'les arrets'!$J:$J,"Mecanique")</f>
        <v>0</v>
      </c>
      <c r="AQ10" s="100">
        <f t="shared" si="52"/>
        <v>0</v>
      </c>
      <c r="AR10" s="139">
        <f>SUMIFS('les arrets'!$G:$G,'les arrets'!$B:$B,KPI!AR4,'les arrets'!$J:$J,"Mecanique")</f>
        <v>0</v>
      </c>
      <c r="AS10" s="139">
        <f>SUMIFS('les arrets'!$G:$G,'les arrets'!$B:$B,KPI!AS4,'les arrets'!$J:$J,"Mecanique")</f>
        <v>0</v>
      </c>
      <c r="AT10" s="139">
        <f>SUMIFS('les arrets'!$G:$G,'les arrets'!$B:$B,KPI!AT4,'les arrets'!$J:$J,"Mecanique")</f>
        <v>0</v>
      </c>
      <c r="AU10" s="139">
        <f>SUMIFS('les arrets'!$G:$G,'les arrets'!$B:$B,KPI!AU4,'les arrets'!$J:$J,"Mecanique")</f>
        <v>0</v>
      </c>
      <c r="AV10" s="139">
        <f>SUMIFS('les arrets'!$G:$G,'les arrets'!$B:$B,KPI!AV4,'les arrets'!$J:$J,"Mecanique")</f>
        <v>0</v>
      </c>
      <c r="AW10" s="139">
        <f>SUMIFS('les arrets'!$G:$G,'les arrets'!$B:$B,KPI!AW4,'les arrets'!$J:$J,"Mecanique")</f>
        <v>0</v>
      </c>
      <c r="AX10" s="139">
        <f>SUMIFS('les arrets'!$G:$G,'les arrets'!$B:$B,KPI!AX4,'les arrets'!$J:$J,"Mecanique")</f>
        <v>0</v>
      </c>
      <c r="AY10" s="100">
        <f t="shared" si="53"/>
        <v>0</v>
      </c>
      <c r="AZ10" s="139">
        <f>SUMIFS('les arrets'!$G:$G,'les arrets'!$B:$B,KPI!AZ4,'les arrets'!$J:$J,"Mecanique")</f>
        <v>0</v>
      </c>
      <c r="BA10" s="139">
        <f>SUMIFS('les arrets'!$G:$G,'les arrets'!$B:$B,KPI!BA4,'les arrets'!$J:$J,"Mecanique")</f>
        <v>0</v>
      </c>
      <c r="BB10" s="139">
        <f>SUMIFS('les arrets'!$G:$G,'les arrets'!$B:$B,KPI!BB4,'les arrets'!$J:$J,"Mecanique")</f>
        <v>0</v>
      </c>
      <c r="BC10" s="139">
        <f>SUMIFS('les arrets'!$G:$G,'les arrets'!$B:$B,KPI!BC4,'les arrets'!$J:$J,"Mecanique")</f>
        <v>0</v>
      </c>
      <c r="BD10" s="139">
        <f>SUMIFS('les arrets'!$G:$G,'les arrets'!$B:$B,KPI!BD4,'les arrets'!$J:$J,"Mecanique")</f>
        <v>0</v>
      </c>
      <c r="BE10" s="139">
        <f>SUMIFS('les arrets'!$G:$G,'les arrets'!$B:$B,KPI!BE4,'les arrets'!$J:$J,"Mecanique")</f>
        <v>0</v>
      </c>
      <c r="BF10" s="139">
        <f>SUMIFS('les arrets'!$G:$G,'les arrets'!$B:$B,KPI!BF4,'les arrets'!$J:$J,"Mecanique")</f>
        <v>0</v>
      </c>
      <c r="BG10" s="100">
        <f t="shared" si="54"/>
        <v>0</v>
      </c>
      <c r="BH10" s="139">
        <f>SUMIFS('les arrets'!$G:$G,'les arrets'!$B:$B,KPI!BH4,'les arrets'!$J:$J,"Mecanique")</f>
        <v>0</v>
      </c>
      <c r="BI10" s="139">
        <f>SUMIFS('les arrets'!$G:$G,'les arrets'!$B:$B,KPI!BI4,'les arrets'!$J:$J,"Mecanique")</f>
        <v>0</v>
      </c>
      <c r="BJ10" s="139">
        <f>SUMIFS('les arrets'!$G:$G,'les arrets'!$B:$B,KPI!BJ4,'les arrets'!$J:$J,"Mecanique")</f>
        <v>0</v>
      </c>
      <c r="BK10" s="139">
        <f>SUMIFS('les arrets'!$G:$G,'les arrets'!$B:$B,KPI!BK4,'les arrets'!$J:$J,"Mecanique")</f>
        <v>0</v>
      </c>
      <c r="BL10" s="139">
        <f>SUMIFS('les arrets'!$G:$G,'les arrets'!$B:$B,KPI!BL4,'les arrets'!$J:$J,"Mecanique")</f>
        <v>0</v>
      </c>
      <c r="BM10" s="139">
        <f>SUMIFS('les arrets'!$G:$G,'les arrets'!$B:$B,KPI!BM4,'les arrets'!$J:$J,"Mecanique")</f>
        <v>0</v>
      </c>
      <c r="BN10" s="139">
        <f>SUMIFS('les arrets'!$G:$G,'les arrets'!$B:$B,KPI!BN4,'les arrets'!$J:$J,"Mecanique")</f>
        <v>0</v>
      </c>
      <c r="BO10" s="100">
        <f t="shared" si="55"/>
        <v>0</v>
      </c>
      <c r="BP10" s="139">
        <f>SUMIFS('les arrets'!$G:$G,'les arrets'!$B:$B,KPI!BP4,'les arrets'!$J:$J,"Mecanique")</f>
        <v>0</v>
      </c>
      <c r="BQ10" s="139">
        <f>SUMIFS('les arrets'!$G:$G,'les arrets'!$B:$B,KPI!BQ4,'les arrets'!$J:$J,"Mecanique")</f>
        <v>0</v>
      </c>
      <c r="BR10" s="139">
        <f>SUMIFS('les arrets'!$G:$G,'les arrets'!$B:$B,KPI!BR4,'les arrets'!$J:$J,"Mecanique")</f>
        <v>0</v>
      </c>
      <c r="BS10" s="139">
        <f>SUMIFS('les arrets'!$G:$G,'les arrets'!$B:$B,KPI!BS4,'les arrets'!$J:$J,"Mecanique")</f>
        <v>0</v>
      </c>
      <c r="BT10" s="139">
        <f>SUMIFS('les arrets'!$G:$G,'les arrets'!$B:$B,KPI!BT4,'les arrets'!$J:$J,"Mecanique")</f>
        <v>0</v>
      </c>
      <c r="BU10" s="139">
        <f>SUMIFS('les arrets'!$G:$G,'les arrets'!$B:$B,KPI!BU4,'les arrets'!$J:$J,"Mecanique")</f>
        <v>0</v>
      </c>
      <c r="BV10" s="139">
        <f>SUMIFS('les arrets'!$G:$G,'les arrets'!$B:$B,KPI!BV4,'les arrets'!$J:$J,"Mecanique")</f>
        <v>0</v>
      </c>
      <c r="BW10" s="100">
        <f t="shared" si="56"/>
        <v>0</v>
      </c>
      <c r="BX10" s="139">
        <f>SUMIFS('les arrets'!$G:$G,'les arrets'!$B:$B,KPI!BX4,'les arrets'!$J:$J,"Mecanique")</f>
        <v>0</v>
      </c>
      <c r="BY10" s="139">
        <f>SUMIFS('les arrets'!$G:$G,'les arrets'!$B:$B,KPI!BY4,'les arrets'!$J:$J,"Mecanique")</f>
        <v>0</v>
      </c>
      <c r="BZ10" s="139">
        <f>SUMIFS('les arrets'!$G:$G,'les arrets'!$B:$B,KPI!BZ4,'les arrets'!$J:$J,"Mecanique")</f>
        <v>0</v>
      </c>
      <c r="CA10" s="139">
        <f>SUMIFS('les arrets'!$G:$G,'les arrets'!$B:$B,KPI!CA4,'les arrets'!$J:$J,"Mecanique")</f>
        <v>0</v>
      </c>
      <c r="CB10" s="139">
        <f>SUMIFS('les arrets'!$G:$G,'les arrets'!$B:$B,KPI!CB4,'les arrets'!$J:$J,"Mecanique")</f>
        <v>0</v>
      </c>
      <c r="CC10" s="139">
        <f>SUMIFS('les arrets'!$G:$G,'les arrets'!$B:$B,KPI!CC4,'les arrets'!$J:$J,"Mecanique")</f>
        <v>0</v>
      </c>
      <c r="CD10" s="139">
        <f>SUMIFS('les arrets'!$G:$G,'les arrets'!$B:$B,KPI!CD4,'les arrets'!$J:$J,"Mecanique")</f>
        <v>0</v>
      </c>
      <c r="CE10" s="100">
        <f t="shared" si="57"/>
        <v>0</v>
      </c>
      <c r="CF10" s="139">
        <f>SUMIFS('les arrets'!$G:$G,'les arrets'!$B:$B,KPI!CF4,'les arrets'!$J:$J,"Mecanique")</f>
        <v>0</v>
      </c>
      <c r="CG10" s="139">
        <f>SUMIFS('les arrets'!$G:$G,'les arrets'!$B:$B,KPI!CG4,'les arrets'!$J:$J,"Mecanique")</f>
        <v>0</v>
      </c>
      <c r="CH10" s="139">
        <f>SUMIFS('les arrets'!$G:$G,'les arrets'!$B:$B,KPI!CH4,'les arrets'!$J:$J,"Mecanique")</f>
        <v>0</v>
      </c>
      <c r="CI10" s="139">
        <f>SUMIFS('les arrets'!$G:$G,'les arrets'!$B:$B,KPI!CI4,'les arrets'!$J:$J,"Mecanique")</f>
        <v>0</v>
      </c>
      <c r="CJ10" s="139">
        <f>SUMIFS('les arrets'!$G:$G,'les arrets'!$B:$B,KPI!CJ4,'les arrets'!$J:$J,"Mecanique")</f>
        <v>0</v>
      </c>
      <c r="CK10" s="139">
        <f>SUMIFS('les arrets'!$G:$G,'les arrets'!$B:$B,KPI!CK4,'les arrets'!$J:$J,"Mecanique")</f>
        <v>0</v>
      </c>
      <c r="CL10" s="139">
        <f>SUMIFS('les arrets'!$G:$G,'les arrets'!$B:$B,KPI!CL4,'les arrets'!$J:$J,"Mecanique")</f>
        <v>0</v>
      </c>
      <c r="CM10" s="100">
        <f t="shared" si="58"/>
        <v>0</v>
      </c>
      <c r="CN10" s="139">
        <f>SUMIFS('les arrets'!$G:$G,'les arrets'!$B:$B,KPI!CN4,'les arrets'!$J:$J,"Mecanique")</f>
        <v>0</v>
      </c>
      <c r="CO10" s="139">
        <f>SUMIFS('les arrets'!$G:$G,'les arrets'!$B:$B,KPI!CO4,'les arrets'!$J:$J,"Mecanique")</f>
        <v>0</v>
      </c>
      <c r="CP10" s="139">
        <f>SUMIFS('les arrets'!$G:$G,'les arrets'!$B:$B,KPI!CP4,'les arrets'!$J:$J,"Mecanique")</f>
        <v>0</v>
      </c>
      <c r="CQ10" s="139">
        <f>SUMIFS('les arrets'!$G:$G,'les arrets'!$B:$B,KPI!CQ4,'les arrets'!$J:$J,"Mecanique")</f>
        <v>0</v>
      </c>
      <c r="CR10" s="139">
        <f>SUMIFS('les arrets'!$G:$G,'les arrets'!$B:$B,KPI!CR4,'les arrets'!$J:$J,"Mecanique")</f>
        <v>0</v>
      </c>
      <c r="CS10" s="139">
        <f>SUMIFS('les arrets'!$G:$G,'les arrets'!$B:$B,KPI!CS4,'les arrets'!$J:$J,"Mecanique")</f>
        <v>0</v>
      </c>
      <c r="CT10" s="139">
        <f>SUMIFS('les arrets'!$G:$G,'les arrets'!$B:$B,KPI!CT4,'les arrets'!$J:$J,"Mecanique")</f>
        <v>0</v>
      </c>
      <c r="CU10" s="100">
        <f t="shared" si="59"/>
        <v>0</v>
      </c>
      <c r="CV10" s="139">
        <f>SUMIFS('les arrets'!$G:$G,'les arrets'!$B:$B,KPI!CV4,'les arrets'!$J:$J,"Mecanique")</f>
        <v>0</v>
      </c>
      <c r="CW10" s="139">
        <f>SUMIFS('les arrets'!$G:$G,'les arrets'!$B:$B,KPI!CW4,'les arrets'!$J:$J,"Mecanique")</f>
        <v>0</v>
      </c>
      <c r="CX10" s="139">
        <f>SUMIFS('les arrets'!$G:$G,'les arrets'!$B:$B,KPI!CX4,'les arrets'!$J:$J,"Mecanique")</f>
        <v>0</v>
      </c>
      <c r="CY10" s="139">
        <f>SUMIFS('les arrets'!$G:$G,'les arrets'!$B:$B,KPI!CY4,'les arrets'!$J:$J,"Mecanique")</f>
        <v>0</v>
      </c>
      <c r="CZ10" s="139">
        <f>SUMIFS('les arrets'!$G:$G,'les arrets'!$B:$B,KPI!CZ4,'les arrets'!$J:$J,"Mecanique")</f>
        <v>0</v>
      </c>
      <c r="DA10" s="139">
        <f>SUMIFS('les arrets'!$G:$G,'les arrets'!$B:$B,KPI!DA4,'les arrets'!$J:$J,"Mecanique")</f>
        <v>0</v>
      </c>
      <c r="DB10" s="139">
        <f>SUMIFS('les arrets'!$G:$G,'les arrets'!$B:$B,KPI!DB4,'les arrets'!$J:$J,"Mecanique")</f>
        <v>0</v>
      </c>
      <c r="DC10" s="100">
        <f t="shared" si="60"/>
        <v>0</v>
      </c>
      <c r="DD10" s="139">
        <f>SUMIFS('les arrets'!$G:$G,'les arrets'!$B:$B,KPI!DD4,'les arrets'!$J:$J,"Mecanique")</f>
        <v>0</v>
      </c>
      <c r="DE10" s="139">
        <f>SUMIFS('les arrets'!$G:$G,'les arrets'!$B:$B,KPI!DE4,'les arrets'!$J:$J,"Mecanique")</f>
        <v>0</v>
      </c>
      <c r="DF10" s="139">
        <f>SUMIFS('les arrets'!$G:$G,'les arrets'!$B:$B,KPI!DF4,'les arrets'!$J:$J,"Mecanique")</f>
        <v>0</v>
      </c>
      <c r="DG10" s="139">
        <f>SUMIFS('les arrets'!$G:$G,'les arrets'!$B:$B,KPI!DG4,'les arrets'!$J:$J,"Mecanique")</f>
        <v>0</v>
      </c>
      <c r="DH10" s="139">
        <f>SUMIFS('les arrets'!$G:$G,'les arrets'!$B:$B,KPI!DH4,'les arrets'!$J:$J,"Mecanique")</f>
        <v>0</v>
      </c>
      <c r="DI10" s="139">
        <f>SUMIFS('les arrets'!$G:$G,'les arrets'!$B:$B,KPI!DI4,'les arrets'!$J:$J,"Mecanique")</f>
        <v>0</v>
      </c>
      <c r="DJ10" s="139">
        <f>SUMIFS('les arrets'!$G:$G,'les arrets'!$B:$B,KPI!DJ4,'les arrets'!$J:$J,"Mecanique")</f>
        <v>0</v>
      </c>
      <c r="DK10" s="100">
        <f t="shared" si="61"/>
        <v>0</v>
      </c>
      <c r="DL10" s="139">
        <f>SUMIFS('les arrets'!$G:$G,'les arrets'!$B:$B,KPI!DL4,'les arrets'!$J:$J,"Mecanique")</f>
        <v>0</v>
      </c>
      <c r="DM10" s="139">
        <f>SUMIFS('les arrets'!$G:$G,'les arrets'!$B:$B,KPI!DM4,'les arrets'!$J:$J,"Mecanique")</f>
        <v>0</v>
      </c>
      <c r="DN10" s="139">
        <f>SUMIFS('les arrets'!$G:$G,'les arrets'!$B:$B,KPI!DN4,'les arrets'!$J:$J,"Mecanique")</f>
        <v>0</v>
      </c>
      <c r="DO10" s="139">
        <f>SUMIFS('les arrets'!$G:$G,'les arrets'!$B:$B,KPI!DO4,'les arrets'!$J:$J,"Mecanique")</f>
        <v>0</v>
      </c>
      <c r="DP10" s="139">
        <f>SUMIFS('les arrets'!$G:$G,'les arrets'!$B:$B,KPI!DP4,'les arrets'!$J:$J,"Mecanique")</f>
        <v>0</v>
      </c>
      <c r="DQ10" s="139">
        <f>SUMIFS('les arrets'!$G:$G,'les arrets'!$B:$B,KPI!DQ4,'les arrets'!$J:$J,"Mecanique")</f>
        <v>0</v>
      </c>
      <c r="DR10" s="139">
        <f>SUMIFS('les arrets'!$G:$G,'les arrets'!$B:$B,KPI!DR4,'les arrets'!$J:$J,"Mecanique")</f>
        <v>0</v>
      </c>
      <c r="DS10" s="100">
        <f t="shared" si="62"/>
        <v>0</v>
      </c>
      <c r="DT10" s="139">
        <f>SUMIFS('les arrets'!$G:$G,'les arrets'!$B:$B,KPI!DT4,'les arrets'!$J:$J,"Mecanique")</f>
        <v>0</v>
      </c>
      <c r="DU10" s="139">
        <f>SUMIFS('les arrets'!$G:$G,'les arrets'!$B:$B,KPI!DU4,'les arrets'!$J:$J,"Mecanique")</f>
        <v>0</v>
      </c>
      <c r="DV10" s="139">
        <f>SUMIFS('les arrets'!$G:$G,'les arrets'!$B:$B,KPI!DV4,'les arrets'!$J:$J,"Mecanique")</f>
        <v>0</v>
      </c>
      <c r="DW10" s="139">
        <f>SUMIFS('les arrets'!$G:$G,'les arrets'!$B:$B,KPI!DW4,'les arrets'!$J:$J,"Mecanique")</f>
        <v>0</v>
      </c>
      <c r="DX10" s="139">
        <f>SUMIFS('les arrets'!$G:$G,'les arrets'!$B:$B,KPI!DX4,'les arrets'!$J:$J,"Mecanique")</f>
        <v>0</v>
      </c>
      <c r="DY10" s="139">
        <f>SUMIFS('les arrets'!$G:$G,'les arrets'!$B:$B,KPI!DY4,'les arrets'!$J:$J,"Mecanique")</f>
        <v>0</v>
      </c>
      <c r="DZ10" s="139">
        <f>SUMIFS('les arrets'!$G:$G,'les arrets'!$B:$B,KPI!DZ4,'les arrets'!$J:$J,"Mecanique")</f>
        <v>0</v>
      </c>
      <c r="EA10" s="100">
        <f t="shared" si="63"/>
        <v>0</v>
      </c>
      <c r="EB10" s="139">
        <f>SUMIFS('les arrets'!$G:$G,'les arrets'!$B:$B,KPI!EB4,'les arrets'!$J:$J,"Mecanique")</f>
        <v>0</v>
      </c>
      <c r="EC10" s="139">
        <f>SUMIFS('les arrets'!$G:$G,'les arrets'!$B:$B,KPI!EC4,'les arrets'!$J:$J,"Mecanique")</f>
        <v>0</v>
      </c>
      <c r="ED10" s="139">
        <f>SUMIFS('les arrets'!$G:$G,'les arrets'!$B:$B,KPI!ED4,'les arrets'!$J:$J,"Mecanique")</f>
        <v>0</v>
      </c>
      <c r="EE10" s="139">
        <f>SUMIFS('les arrets'!$G:$G,'les arrets'!$B:$B,KPI!EE4,'les arrets'!$J:$J,"Mecanique")</f>
        <v>0</v>
      </c>
      <c r="EF10" s="139">
        <f>SUMIFS('les arrets'!$G:$G,'les arrets'!$B:$B,KPI!EF4,'les arrets'!$J:$J,"Mecanique")</f>
        <v>0</v>
      </c>
      <c r="EG10" s="139">
        <f>SUMIFS('les arrets'!$G:$G,'les arrets'!$B:$B,KPI!EG4,'les arrets'!$J:$J,"Mecanique")</f>
        <v>0</v>
      </c>
      <c r="EH10" s="139">
        <f>SUMIFS('les arrets'!$G:$G,'les arrets'!$B:$B,KPI!EH4,'les arrets'!$J:$J,"Mecanique")</f>
        <v>0</v>
      </c>
      <c r="EI10" s="100">
        <f t="shared" si="64"/>
        <v>0</v>
      </c>
      <c r="EJ10" s="139">
        <f>SUMIFS('les arrets'!$G:$G,'les arrets'!$B:$B,KPI!EJ4,'les arrets'!$J:$J,"Mecanique")</f>
        <v>0</v>
      </c>
      <c r="EK10" s="139">
        <f>SUMIFS('les arrets'!$G:$G,'les arrets'!$B:$B,KPI!EK4,'les arrets'!$J:$J,"Mecanique")</f>
        <v>0</v>
      </c>
      <c r="EL10" s="139">
        <f>SUMIFS('les arrets'!$G:$G,'les arrets'!$B:$B,KPI!EL4,'les arrets'!$J:$J,"Mecanique")</f>
        <v>0</v>
      </c>
      <c r="EM10" s="139">
        <f>SUMIFS('les arrets'!$G:$G,'les arrets'!$B:$B,KPI!EM4,'les arrets'!$J:$J,"Mecanique")</f>
        <v>0</v>
      </c>
      <c r="EN10" s="139">
        <f>SUMIFS('les arrets'!$G:$G,'les arrets'!$B:$B,KPI!EN4,'les arrets'!$J:$J,"Mecanique")</f>
        <v>0</v>
      </c>
      <c r="EO10" s="139">
        <f>SUMIFS('les arrets'!$G:$G,'les arrets'!$B:$B,KPI!EO4,'les arrets'!$J:$J,"Mecanique")</f>
        <v>0</v>
      </c>
      <c r="EP10" s="139">
        <f>SUMIFS('les arrets'!$G:$G,'les arrets'!$B:$B,KPI!EP4,'les arrets'!$J:$J,"Mecanique")</f>
        <v>0</v>
      </c>
      <c r="EQ10" s="100">
        <f t="shared" si="65"/>
        <v>0</v>
      </c>
      <c r="ER10" s="139">
        <f>SUMIFS('les arrets'!$G:$G,'les arrets'!$B:$B,KPI!ER4,'les arrets'!$J:$J,"Mecanique")</f>
        <v>0</v>
      </c>
      <c r="ES10" s="139">
        <f>SUMIFS('les arrets'!$G:$G,'les arrets'!$B:$B,KPI!ES4,'les arrets'!$J:$J,"Mecanique")</f>
        <v>0</v>
      </c>
      <c r="ET10" s="139">
        <f>SUMIFS('les arrets'!$G:$G,'les arrets'!$B:$B,KPI!ET4,'les arrets'!$J:$J,"Mecanique")</f>
        <v>0</v>
      </c>
      <c r="EU10" s="139">
        <f>SUMIFS('les arrets'!$G:$G,'les arrets'!$B:$B,KPI!EU4,'les arrets'!$J:$J,"Mecanique")</f>
        <v>0</v>
      </c>
      <c r="EV10" s="139">
        <f>SUMIFS('les arrets'!$G:$G,'les arrets'!$B:$B,KPI!EV4,'les arrets'!$J:$J,"Mecanique")</f>
        <v>0</v>
      </c>
      <c r="EW10" s="139">
        <f>SUMIFS('les arrets'!$G:$G,'les arrets'!$B:$B,KPI!EW4,'les arrets'!$J:$J,"Mecanique")</f>
        <v>0</v>
      </c>
      <c r="EX10" s="139">
        <f>SUMIFS('les arrets'!$G:$G,'les arrets'!$B:$B,KPI!EX4,'les arrets'!$J:$J,"Mecanique")</f>
        <v>0</v>
      </c>
      <c r="EY10" s="100">
        <f t="shared" si="66"/>
        <v>0</v>
      </c>
      <c r="EZ10" s="139">
        <f>SUMIFS('les arrets'!$G:$G,'les arrets'!$B:$B,KPI!EZ4,'les arrets'!$J:$J,"Mecanique")</f>
        <v>0</v>
      </c>
      <c r="FA10" s="139">
        <f>SUMIFS('les arrets'!$G:$G,'les arrets'!$B:$B,KPI!FA4,'les arrets'!$J:$J,"Mecanique")</f>
        <v>0</v>
      </c>
      <c r="FB10" s="139">
        <f>SUMIFS('les arrets'!$G:$G,'les arrets'!$B:$B,KPI!FB4,'les arrets'!$J:$J,"Mecanique")</f>
        <v>0</v>
      </c>
      <c r="FC10" s="139">
        <f>SUMIFS('les arrets'!$G:$G,'les arrets'!$B:$B,KPI!FC4,'les arrets'!$J:$J,"Mecanique")</f>
        <v>0</v>
      </c>
      <c r="FD10" s="139">
        <f>SUMIFS('les arrets'!$G:$G,'les arrets'!$B:$B,KPI!FD4,'les arrets'!$J:$J,"Mecanique")</f>
        <v>0</v>
      </c>
      <c r="FE10" s="139">
        <f>SUMIFS('les arrets'!$G:$G,'les arrets'!$B:$B,KPI!FE4,'les arrets'!$J:$J,"Mecanique")</f>
        <v>0</v>
      </c>
      <c r="FF10" s="139">
        <f>SUMIFS('les arrets'!$G:$G,'les arrets'!$B:$B,KPI!FF4,'les arrets'!$J:$J,"Mecanique")</f>
        <v>0</v>
      </c>
      <c r="FG10" s="100">
        <f t="shared" si="67"/>
        <v>0</v>
      </c>
      <c r="FH10" s="139">
        <f>SUMIFS('les arrets'!$G:$G,'les arrets'!$B:$B,KPI!FH4,'les arrets'!$J:$J,"Mecanique")</f>
        <v>0</v>
      </c>
      <c r="FI10" s="139">
        <f>SUMIFS('les arrets'!$G:$G,'les arrets'!$B:$B,KPI!FI4,'les arrets'!$J:$J,"Mecanique")</f>
        <v>0</v>
      </c>
      <c r="FJ10" s="139">
        <f>SUMIFS('les arrets'!$G:$G,'les arrets'!$B:$B,KPI!FJ4,'les arrets'!$J:$J,"Mecanique")</f>
        <v>0</v>
      </c>
      <c r="FK10" s="139">
        <f>SUMIFS('les arrets'!$G:$G,'les arrets'!$B:$B,KPI!FK4,'les arrets'!$J:$J,"Mecanique")</f>
        <v>0</v>
      </c>
      <c r="FL10" s="139">
        <f>SUMIFS('les arrets'!$G:$G,'les arrets'!$B:$B,KPI!FL4,'les arrets'!$J:$J,"Mecanique")</f>
        <v>0</v>
      </c>
      <c r="FM10" s="139">
        <f>SUMIFS('les arrets'!$G:$G,'les arrets'!$B:$B,KPI!FM4,'les arrets'!$J:$J,"Mecanique")</f>
        <v>0</v>
      </c>
      <c r="FN10" s="139">
        <f>SUMIFS('les arrets'!$G:$G,'les arrets'!$B:$B,KPI!FN4,'les arrets'!$J:$J,"Mecanique")</f>
        <v>0</v>
      </c>
      <c r="FO10" s="100">
        <f t="shared" si="68"/>
        <v>0</v>
      </c>
      <c r="FP10" s="139">
        <f>SUMIFS('les arrets'!$G:$G,'les arrets'!$B:$B,KPI!FP4,'les arrets'!$J:$J,"Mecanique")</f>
        <v>0</v>
      </c>
      <c r="FQ10" s="139">
        <f>SUMIFS('les arrets'!$G:$G,'les arrets'!$B:$B,KPI!FQ4,'les arrets'!$J:$J,"Mecanique")</f>
        <v>0</v>
      </c>
      <c r="FR10" s="139">
        <f>SUMIFS('les arrets'!$G:$G,'les arrets'!$B:$B,KPI!FR4,'les arrets'!$J:$J,"Mecanique")</f>
        <v>0</v>
      </c>
      <c r="FS10" s="139">
        <f>SUMIFS('les arrets'!$G:$G,'les arrets'!$B:$B,KPI!FS4,'les arrets'!$J:$J,"Mecanique")</f>
        <v>0</v>
      </c>
      <c r="FT10" s="139">
        <f>SUMIFS('les arrets'!$G:$G,'les arrets'!$B:$B,KPI!FT4,'les arrets'!$J:$J,"Mecanique")</f>
        <v>0</v>
      </c>
      <c r="FU10" s="139">
        <f>SUMIFS('les arrets'!$G:$G,'les arrets'!$B:$B,KPI!FU4,'les arrets'!$J:$J,"Mecanique")</f>
        <v>0</v>
      </c>
      <c r="FV10" s="139">
        <f>SUMIFS('les arrets'!$G:$G,'les arrets'!$B:$B,KPI!FV4,'les arrets'!$J:$J,"Mecanique")</f>
        <v>0</v>
      </c>
      <c r="FW10" s="100">
        <f t="shared" si="69"/>
        <v>0</v>
      </c>
      <c r="FX10" s="139">
        <f>SUMIFS('les arrets'!$G:$G,'les arrets'!$B:$B,KPI!FX4,'les arrets'!$J:$J,"Mecanique")</f>
        <v>0</v>
      </c>
      <c r="FY10" s="139">
        <f>SUMIFS('les arrets'!$G:$G,'les arrets'!$B:$B,KPI!FY4,'les arrets'!$J:$J,"Mecanique")</f>
        <v>0</v>
      </c>
      <c r="FZ10" s="139">
        <f>SUMIFS('les arrets'!$G:$G,'les arrets'!$B:$B,KPI!FZ4,'les arrets'!$J:$J,"Mecanique")</f>
        <v>0</v>
      </c>
      <c r="GA10" s="139">
        <f>SUMIFS('les arrets'!$G:$G,'les arrets'!$B:$B,KPI!GA4,'les arrets'!$J:$J,"Mecanique")</f>
        <v>0</v>
      </c>
      <c r="GB10" s="139">
        <f>SUMIFS('les arrets'!$G:$G,'les arrets'!$B:$B,KPI!GB4,'les arrets'!$J:$J,"Mecanique")</f>
        <v>0</v>
      </c>
      <c r="GC10" s="139">
        <f>SUMIFS('les arrets'!$G:$G,'les arrets'!$B:$B,KPI!GC4,'les arrets'!$J:$J,"Mecanique")</f>
        <v>0</v>
      </c>
      <c r="GD10" s="139">
        <f>SUMIFS('les arrets'!$G:$G,'les arrets'!$B:$B,KPI!GD4,'les arrets'!$J:$J,"Mecanique")</f>
        <v>0</v>
      </c>
      <c r="GE10" s="100">
        <f t="shared" si="70"/>
        <v>0</v>
      </c>
      <c r="GF10" s="139">
        <f>SUMIFS('les arrets'!$G:$G,'les arrets'!$B:$B,KPI!GF4,'les arrets'!$J:$J,"Mecanique")</f>
        <v>0</v>
      </c>
      <c r="GG10" s="139">
        <f>SUMIFS('les arrets'!$G:$G,'les arrets'!$B:$B,KPI!GG4,'les arrets'!$J:$J,"Mecanique")</f>
        <v>0</v>
      </c>
      <c r="GH10" s="139">
        <f>SUMIFS('les arrets'!$G:$G,'les arrets'!$B:$B,KPI!GH4,'les arrets'!$J:$J,"Mecanique")</f>
        <v>0</v>
      </c>
      <c r="GI10" s="139">
        <f>SUMIFS('les arrets'!$G:$G,'les arrets'!$B:$B,KPI!GI4,'les arrets'!$J:$J,"Mecanique")</f>
        <v>0</v>
      </c>
      <c r="GJ10" s="139">
        <f>SUMIFS('les arrets'!$G:$G,'les arrets'!$B:$B,KPI!GJ4,'les arrets'!$J:$J,"Mecanique")</f>
        <v>0</v>
      </c>
      <c r="GK10" s="139">
        <f>SUMIFS('les arrets'!$G:$G,'les arrets'!$B:$B,KPI!GK4,'les arrets'!$J:$J,"Mecanique")</f>
        <v>0</v>
      </c>
      <c r="GL10" s="139">
        <f>SUMIFS('les arrets'!$G:$G,'les arrets'!$B:$B,KPI!GL4,'les arrets'!$J:$J,"Mecanique")</f>
        <v>0</v>
      </c>
      <c r="GM10" s="100">
        <f t="shared" si="71"/>
        <v>0</v>
      </c>
      <c r="GN10" s="139">
        <f>SUMIFS('les arrets'!$G:$G,'les arrets'!$B:$B,KPI!GN4,'les arrets'!$J:$J,"Mecanique")</f>
        <v>0</v>
      </c>
      <c r="GO10" s="139">
        <f>SUMIFS('les arrets'!$G:$G,'les arrets'!$B:$B,KPI!GO4,'les arrets'!$J:$J,"Mecanique")</f>
        <v>0</v>
      </c>
      <c r="GP10" s="139">
        <f>SUMIFS('les arrets'!$G:$G,'les arrets'!$B:$B,KPI!GP4,'les arrets'!$J:$J,"Mecanique")</f>
        <v>0</v>
      </c>
      <c r="GQ10" s="139">
        <f>SUMIFS('les arrets'!$G:$G,'les arrets'!$B:$B,KPI!GQ4,'les arrets'!$J:$J,"Mecanique")</f>
        <v>0</v>
      </c>
      <c r="GR10" s="139">
        <f>SUMIFS('les arrets'!$G:$G,'les arrets'!$B:$B,KPI!GR4,'les arrets'!$J:$J,"Mecanique")</f>
        <v>0</v>
      </c>
      <c r="GS10" s="139">
        <f>SUMIFS('les arrets'!$G:$G,'les arrets'!$B:$B,KPI!GS4,'les arrets'!$J:$J,"Mecanique")</f>
        <v>0</v>
      </c>
      <c r="GT10" s="139">
        <f>SUMIFS('les arrets'!$G:$G,'les arrets'!$B:$B,KPI!GT4,'les arrets'!$J:$J,"Mecanique")</f>
        <v>0</v>
      </c>
      <c r="GU10" s="100">
        <f t="shared" si="72"/>
        <v>0</v>
      </c>
      <c r="GV10" s="139">
        <f>SUMIFS('les arrets'!$G:$G,'les arrets'!$B:$B,KPI!GV4,'les arrets'!$J:$J,"Mecanique")</f>
        <v>0</v>
      </c>
      <c r="GW10" s="139">
        <f>SUMIFS('les arrets'!$G:$G,'les arrets'!$B:$B,KPI!GW4,'les arrets'!$J:$J,"Mecanique")</f>
        <v>0</v>
      </c>
      <c r="GX10" s="139">
        <f>SUMIFS('les arrets'!$G:$G,'les arrets'!$B:$B,KPI!GX4,'les arrets'!$J:$J,"Mecanique")</f>
        <v>0</v>
      </c>
      <c r="GY10" s="139">
        <f>SUMIFS('les arrets'!$G:$G,'les arrets'!$B:$B,KPI!GY4,'les arrets'!$J:$J,"Mecanique")</f>
        <v>0</v>
      </c>
      <c r="GZ10" s="139">
        <f>SUMIFS('les arrets'!$G:$G,'les arrets'!$B:$B,KPI!GZ4,'les arrets'!$J:$J,"Mecanique")</f>
        <v>0</v>
      </c>
      <c r="HA10" s="139">
        <f>SUMIFS('les arrets'!$G:$G,'les arrets'!$B:$B,KPI!HA4,'les arrets'!$J:$J,"Mecanique")</f>
        <v>0</v>
      </c>
      <c r="HB10" s="139">
        <f>SUMIFS('les arrets'!$G:$G,'les arrets'!$B:$B,KPI!HB4,'les arrets'!$J:$J,"Mecanique")</f>
        <v>0</v>
      </c>
      <c r="HC10" s="100">
        <f t="shared" si="73"/>
        <v>0</v>
      </c>
      <c r="HD10" s="139">
        <f>SUMIFS('les arrets'!$G:$G,'les arrets'!$B:$B,KPI!HD4,'les arrets'!$J:$J,"Mecanique")</f>
        <v>0</v>
      </c>
      <c r="HE10" s="139">
        <f>SUMIFS('les arrets'!$G:$G,'les arrets'!$B:$B,KPI!HE4,'les arrets'!$J:$J,"Mecanique")</f>
        <v>0</v>
      </c>
      <c r="HF10" s="139">
        <f>SUMIFS('les arrets'!$G:$G,'les arrets'!$B:$B,KPI!HF4,'les arrets'!$J:$J,"Mecanique")</f>
        <v>0</v>
      </c>
      <c r="HG10" s="139">
        <f>SUMIFS('les arrets'!$G:$G,'les arrets'!$B:$B,KPI!HG4,'les arrets'!$J:$J,"Mecanique")</f>
        <v>0</v>
      </c>
      <c r="HH10" s="139">
        <f>SUMIFS('les arrets'!$G:$G,'les arrets'!$B:$B,KPI!HH4,'les arrets'!$J:$J,"Mecanique")</f>
        <v>0</v>
      </c>
      <c r="HI10" s="139">
        <f>SUMIFS('les arrets'!$G:$G,'les arrets'!$B:$B,KPI!HI4,'les arrets'!$J:$J,"Mecanique")</f>
        <v>0</v>
      </c>
      <c r="HJ10" s="139">
        <f>SUMIFS('les arrets'!$G:$G,'les arrets'!$B:$B,KPI!HJ4,'les arrets'!$J:$J,"Mecanique")</f>
        <v>0</v>
      </c>
      <c r="HK10" s="100">
        <f t="shared" si="74"/>
        <v>0</v>
      </c>
      <c r="HL10" s="139">
        <f>SUMIFS('les arrets'!$G:$G,'les arrets'!$B:$B,KPI!HL4,'les arrets'!$J:$J,"Mecanique")</f>
        <v>0</v>
      </c>
      <c r="HM10" s="139">
        <f>SUMIFS('les arrets'!$G:$G,'les arrets'!$B:$B,KPI!HM4,'les arrets'!$J:$J,"Mecanique")</f>
        <v>0</v>
      </c>
      <c r="HN10" s="139">
        <f>SUMIFS('les arrets'!$G:$G,'les arrets'!$B:$B,KPI!HN4,'les arrets'!$J:$J,"Mecanique")</f>
        <v>0</v>
      </c>
      <c r="HO10" s="139">
        <f>SUMIFS('les arrets'!$G:$G,'les arrets'!$B:$B,KPI!HO4,'les arrets'!$J:$J,"Mecanique")</f>
        <v>0</v>
      </c>
      <c r="HP10" s="139">
        <f>SUMIFS('les arrets'!$G:$G,'les arrets'!$B:$B,KPI!HP4,'les arrets'!$J:$J,"Mecanique")</f>
        <v>0</v>
      </c>
      <c r="HQ10" s="139">
        <f>SUMIFS('les arrets'!$G:$G,'les arrets'!$B:$B,KPI!HQ4,'les arrets'!$J:$J,"Mecanique")</f>
        <v>0</v>
      </c>
      <c r="HR10" s="139">
        <f>SUMIFS('les arrets'!$G:$G,'les arrets'!$B:$B,KPI!HR4,'les arrets'!$J:$J,"Mecanique")</f>
        <v>0</v>
      </c>
      <c r="HS10" s="100">
        <f t="shared" si="75"/>
        <v>0</v>
      </c>
      <c r="HT10" s="139">
        <f>SUMIFS('les arrets'!$G:$G,'les arrets'!$B:$B,KPI!HT4,'les arrets'!$J:$J,"Mecanique")</f>
        <v>0</v>
      </c>
      <c r="HU10" s="139">
        <f>SUMIFS('les arrets'!$G:$G,'les arrets'!$B:$B,KPI!HU4,'les arrets'!$J:$J,"Mecanique")</f>
        <v>0</v>
      </c>
      <c r="HV10" s="139">
        <f>SUMIFS('les arrets'!$G:$G,'les arrets'!$B:$B,KPI!HV4,'les arrets'!$J:$J,"Mecanique")</f>
        <v>0</v>
      </c>
      <c r="HW10" s="139">
        <f>SUMIFS('les arrets'!$G:$G,'les arrets'!$B:$B,KPI!HW4,'les arrets'!$J:$J,"Mecanique")</f>
        <v>0</v>
      </c>
      <c r="HX10" s="139">
        <f>SUMIFS('les arrets'!$G:$G,'les arrets'!$B:$B,KPI!HX4,'les arrets'!$J:$J,"Mecanique")</f>
        <v>0</v>
      </c>
      <c r="HY10" s="139">
        <f>SUMIFS('les arrets'!$G:$G,'les arrets'!$B:$B,KPI!HY4,'les arrets'!$J:$J,"Mecanique")</f>
        <v>0</v>
      </c>
      <c r="HZ10" s="139">
        <f>SUMIFS('les arrets'!$G:$G,'les arrets'!$B:$B,KPI!HZ4,'les arrets'!$J:$J,"Mecanique")</f>
        <v>0</v>
      </c>
      <c r="IA10" s="100">
        <f t="shared" si="76"/>
        <v>0</v>
      </c>
      <c r="IB10" s="139">
        <f>SUMIFS('les arrets'!$G:$G,'les arrets'!$B:$B,KPI!IB4,'les arrets'!$J:$J,"Mecanique")</f>
        <v>0</v>
      </c>
      <c r="IC10" s="139">
        <f>SUMIFS('les arrets'!$G:$G,'les arrets'!$B:$B,KPI!IC4,'les arrets'!$J:$J,"Mecanique")</f>
        <v>0</v>
      </c>
      <c r="ID10" s="139">
        <f>SUMIFS('les arrets'!$G:$G,'les arrets'!$B:$B,KPI!ID4,'les arrets'!$J:$J,"Mecanique")</f>
        <v>0</v>
      </c>
      <c r="IE10" s="139">
        <f>SUMIFS('les arrets'!$G:$G,'les arrets'!$B:$B,KPI!IE4,'les arrets'!$J:$J,"Mecanique")</f>
        <v>0</v>
      </c>
      <c r="IF10" s="139">
        <f>SUMIFS('les arrets'!$G:$G,'les arrets'!$B:$B,KPI!IF4,'les arrets'!$J:$J,"Mecanique")</f>
        <v>0</v>
      </c>
      <c r="IG10" s="139">
        <f>SUMIFS('les arrets'!$G:$G,'les arrets'!$B:$B,KPI!IG4,'les arrets'!$J:$J,"Mecanique")</f>
        <v>0</v>
      </c>
      <c r="IH10" s="139">
        <f>SUMIFS('les arrets'!$G:$G,'les arrets'!$B:$B,KPI!IH4,'les arrets'!$J:$J,"Mecanique")</f>
        <v>0</v>
      </c>
      <c r="II10" s="100">
        <f t="shared" si="77"/>
        <v>0</v>
      </c>
      <c r="IJ10" s="139">
        <f>SUMIFS('les arrets'!$G:$G,'les arrets'!$B:$B,KPI!IJ4,'les arrets'!$J:$J,"Mecanique")</f>
        <v>0</v>
      </c>
      <c r="IK10" s="139">
        <f>SUMIFS('les arrets'!$G:$G,'les arrets'!$B:$B,KPI!IK4,'les arrets'!$J:$J,"Mecanique")</f>
        <v>0</v>
      </c>
      <c r="IL10" s="139">
        <f>SUMIFS('les arrets'!$G:$G,'les arrets'!$B:$B,KPI!IL4,'les arrets'!$J:$J,"Mecanique")</f>
        <v>0</v>
      </c>
      <c r="IM10" s="139">
        <f>SUMIFS('les arrets'!$G:$G,'les arrets'!$B:$B,KPI!IM4,'les arrets'!$J:$J,"Mecanique")</f>
        <v>0</v>
      </c>
      <c r="IN10" s="139">
        <f>SUMIFS('les arrets'!$G:$G,'les arrets'!$B:$B,KPI!IN4,'les arrets'!$J:$J,"Mecanique")</f>
        <v>0</v>
      </c>
      <c r="IO10" s="139">
        <f>SUMIFS('les arrets'!$G:$G,'les arrets'!$B:$B,KPI!IO4,'les arrets'!$J:$J,"Mecanique")</f>
        <v>0</v>
      </c>
      <c r="IP10" s="139">
        <f>SUMIFS('les arrets'!$G:$G,'les arrets'!$B:$B,KPI!IP4,'les arrets'!$J:$J,"Mecanique")</f>
        <v>0</v>
      </c>
      <c r="IQ10" s="100">
        <f t="shared" si="78"/>
        <v>0</v>
      </c>
      <c r="IR10" s="139">
        <f>SUMIFS('les arrets'!$G:$G,'les arrets'!$B:$B,KPI!IR4,'les arrets'!$J:$J,"Mecanique")</f>
        <v>0</v>
      </c>
      <c r="IS10" s="139">
        <f>SUMIFS('les arrets'!$G:$G,'les arrets'!$B:$B,KPI!IS4,'les arrets'!$J:$J,"Mecanique")</f>
        <v>0</v>
      </c>
      <c r="IT10" s="139">
        <f>SUMIFS('les arrets'!$G:$G,'les arrets'!$B:$B,KPI!IT4,'les arrets'!$J:$J,"Mecanique")</f>
        <v>0</v>
      </c>
      <c r="IU10" s="139">
        <f>SUMIFS('les arrets'!$G:$G,'les arrets'!$B:$B,KPI!IU4,'les arrets'!$J:$J,"Mecanique")</f>
        <v>0</v>
      </c>
      <c r="IV10" s="139">
        <f>SUMIFS('les arrets'!$G:$G,'les arrets'!$B:$B,KPI!IV4,'les arrets'!$J:$J,"Mecanique")</f>
        <v>0</v>
      </c>
      <c r="IW10" s="139">
        <f>SUMIFS('les arrets'!$G:$G,'les arrets'!$B:$B,KPI!IW4,'les arrets'!$J:$J,"Mecanique")</f>
        <v>0</v>
      </c>
      <c r="IX10" s="139">
        <f>SUMIFS('les arrets'!$G:$G,'les arrets'!$B:$B,KPI!IX4,'les arrets'!$J:$J,"Mecanique")</f>
        <v>0</v>
      </c>
      <c r="IY10" s="100">
        <f t="shared" si="79"/>
        <v>0</v>
      </c>
      <c r="IZ10" s="139">
        <f>SUMIFS('les arrets'!$G:$G,'les arrets'!$B:$B,KPI!IZ4,'les arrets'!$J:$J,"Mecanique")</f>
        <v>0</v>
      </c>
      <c r="JA10" s="139">
        <f>SUMIFS('les arrets'!$G:$G,'les arrets'!$B:$B,KPI!JA4,'les arrets'!$J:$J,"Mecanique")</f>
        <v>0</v>
      </c>
      <c r="JB10" s="139">
        <f>SUMIFS('les arrets'!$G:$G,'les arrets'!$B:$B,KPI!JB4,'les arrets'!$J:$J,"Mecanique")</f>
        <v>0</v>
      </c>
      <c r="JC10" s="139">
        <f>SUMIFS('les arrets'!$G:$G,'les arrets'!$B:$B,KPI!JC4,'les arrets'!$J:$J,"Mecanique")</f>
        <v>0</v>
      </c>
      <c r="JD10" s="139">
        <f>SUMIFS('les arrets'!$G:$G,'les arrets'!$B:$B,KPI!JD4,'les arrets'!$J:$J,"Mecanique")</f>
        <v>0</v>
      </c>
      <c r="JE10" s="139">
        <f>SUMIFS('les arrets'!$G:$G,'les arrets'!$B:$B,KPI!JE4,'les arrets'!$J:$J,"Mecanique")</f>
        <v>0</v>
      </c>
      <c r="JF10" s="139">
        <f>SUMIFS('les arrets'!$G:$G,'les arrets'!$B:$B,KPI!JF4,'les arrets'!$J:$J,"Mecanique")</f>
        <v>0</v>
      </c>
      <c r="JG10" s="100">
        <f t="shared" si="80"/>
        <v>0</v>
      </c>
      <c r="JH10" s="139">
        <f>SUMIFS('les arrets'!$G:$G,'les arrets'!$B:$B,KPI!JH4,'les arrets'!$J:$J,"Mecanique")</f>
        <v>0</v>
      </c>
      <c r="JI10" s="139">
        <f>SUMIFS('les arrets'!$G:$G,'les arrets'!$B:$B,KPI!JI4,'les arrets'!$J:$J,"Mecanique")</f>
        <v>0</v>
      </c>
      <c r="JJ10" s="139">
        <f>SUMIFS('les arrets'!$G:$G,'les arrets'!$B:$B,KPI!JJ4,'les arrets'!$J:$J,"Mecanique")</f>
        <v>0</v>
      </c>
      <c r="JK10" s="139">
        <f>SUMIFS('les arrets'!$G:$G,'les arrets'!$B:$B,KPI!JK4,'les arrets'!$J:$J,"Mecanique")</f>
        <v>0</v>
      </c>
      <c r="JL10" s="139">
        <f>SUMIFS('les arrets'!$G:$G,'les arrets'!$B:$B,KPI!JL4,'les arrets'!$J:$J,"Mecanique")</f>
        <v>0</v>
      </c>
      <c r="JM10" s="139">
        <f>SUMIFS('les arrets'!$G:$G,'les arrets'!$B:$B,KPI!JM4,'les arrets'!$J:$J,"Mecanique")</f>
        <v>0</v>
      </c>
      <c r="JN10" s="139">
        <f>SUMIFS('les arrets'!$G:$G,'les arrets'!$B:$B,KPI!JN4,'les arrets'!$J:$J,"Mecanique")</f>
        <v>0</v>
      </c>
      <c r="JO10" s="100">
        <f t="shared" si="81"/>
        <v>0</v>
      </c>
      <c r="JP10" s="139">
        <f>SUMIFS('les arrets'!$G:$G,'les arrets'!$B:$B,KPI!JP4,'les arrets'!$J:$J,"Mecanique")</f>
        <v>0</v>
      </c>
      <c r="JQ10" s="139">
        <f>SUMIFS('les arrets'!$G:$G,'les arrets'!$B:$B,KPI!JQ4,'les arrets'!$J:$J,"Mecanique")</f>
        <v>0</v>
      </c>
      <c r="JR10" s="139">
        <f>SUMIFS('les arrets'!$G:$G,'les arrets'!$B:$B,KPI!JR4,'les arrets'!$J:$J,"Mecanique")</f>
        <v>0</v>
      </c>
      <c r="JS10" s="139">
        <f>SUMIFS('les arrets'!$G:$G,'les arrets'!$B:$B,KPI!JS4,'les arrets'!$J:$J,"Mecanique")</f>
        <v>0</v>
      </c>
      <c r="JT10" s="139">
        <f>SUMIFS('les arrets'!$G:$G,'les arrets'!$B:$B,KPI!JT4,'les arrets'!$J:$J,"Mecanique")</f>
        <v>0</v>
      </c>
      <c r="JU10" s="139">
        <f>SUMIFS('les arrets'!$G:$G,'les arrets'!$B:$B,KPI!JU4,'les arrets'!$J:$J,"Mecanique")</f>
        <v>0</v>
      </c>
      <c r="JV10" s="139">
        <f>SUMIFS('les arrets'!$G:$G,'les arrets'!$B:$B,KPI!JV4,'les arrets'!$J:$J,"Mecanique")</f>
        <v>0</v>
      </c>
      <c r="JW10" s="100">
        <f t="shared" si="82"/>
        <v>0</v>
      </c>
      <c r="JX10" s="139">
        <f>SUMIFS('les arrets'!$G:$G,'les arrets'!$B:$B,KPI!JX4,'les arrets'!$J:$J,"Mecanique")</f>
        <v>0</v>
      </c>
      <c r="JY10" s="139">
        <f>SUMIFS('les arrets'!$G:$G,'les arrets'!$B:$B,KPI!JY4,'les arrets'!$J:$J,"Mecanique")</f>
        <v>0</v>
      </c>
      <c r="JZ10" s="139">
        <f>SUMIFS('les arrets'!$G:$G,'les arrets'!$B:$B,KPI!JZ4,'les arrets'!$J:$J,"Mecanique")</f>
        <v>0</v>
      </c>
      <c r="KA10" s="139">
        <f>SUMIFS('les arrets'!$G:$G,'les arrets'!$B:$B,KPI!KA4,'les arrets'!$J:$J,"Mecanique")</f>
        <v>0</v>
      </c>
      <c r="KB10" s="139">
        <f>SUMIFS('les arrets'!$G:$G,'les arrets'!$B:$B,KPI!KB4,'les arrets'!$J:$J,"Mecanique")</f>
        <v>0</v>
      </c>
      <c r="KC10" s="139">
        <f>SUMIFS('les arrets'!$G:$G,'les arrets'!$B:$B,KPI!KC4,'les arrets'!$J:$J,"Mecanique")</f>
        <v>0</v>
      </c>
      <c r="KD10" s="139">
        <f>SUMIFS('les arrets'!$G:$G,'les arrets'!$B:$B,KPI!KD4,'les arrets'!$J:$J,"Mecanique")</f>
        <v>0</v>
      </c>
      <c r="KE10" s="100">
        <f t="shared" si="83"/>
        <v>0</v>
      </c>
      <c r="KF10" s="139">
        <f>SUMIFS('les arrets'!$G:$G,'les arrets'!$B:$B,KPI!KF4,'les arrets'!$J:$J,"Mecanique")</f>
        <v>0</v>
      </c>
      <c r="KG10" s="139">
        <f>SUMIFS('les arrets'!$G:$G,'les arrets'!$B:$B,KPI!KG4,'les arrets'!$J:$J,"Mecanique")</f>
        <v>0</v>
      </c>
      <c r="KH10" s="139">
        <f>SUMIFS('les arrets'!$G:$G,'les arrets'!$B:$B,KPI!KH4,'les arrets'!$J:$J,"Mecanique")</f>
        <v>0</v>
      </c>
      <c r="KI10" s="139">
        <f>SUMIFS('les arrets'!$G:$G,'les arrets'!$B:$B,KPI!KI4,'les arrets'!$J:$J,"Mecanique")</f>
        <v>0</v>
      </c>
      <c r="KJ10" s="139">
        <f>SUMIFS('les arrets'!$G:$G,'les arrets'!$B:$B,KPI!KJ4,'les arrets'!$J:$J,"Mecanique")</f>
        <v>0</v>
      </c>
      <c r="KK10" s="139">
        <f>SUMIFS('les arrets'!$G:$G,'les arrets'!$B:$B,KPI!KK4,'les arrets'!$J:$J,"Mecanique")</f>
        <v>0</v>
      </c>
      <c r="KL10" s="139">
        <f>SUMIFS('les arrets'!$G:$G,'les arrets'!$B:$B,KPI!KL4,'les arrets'!$J:$J,"Mecanique")</f>
        <v>0</v>
      </c>
      <c r="KM10" s="100">
        <f t="shared" si="84"/>
        <v>0</v>
      </c>
      <c r="KN10" s="139">
        <f>SUMIFS('les arrets'!$G:$G,'les arrets'!$B:$B,KPI!KN4,'les arrets'!$J:$J,"Mecanique")</f>
        <v>0</v>
      </c>
      <c r="KO10" s="139">
        <f>SUMIFS('les arrets'!$G:$G,'les arrets'!$B:$B,KPI!KO4,'les arrets'!$J:$J,"Mecanique")</f>
        <v>0</v>
      </c>
      <c r="KP10" s="139">
        <f>SUMIFS('les arrets'!$G:$G,'les arrets'!$B:$B,KPI!KP4,'les arrets'!$J:$J,"Mecanique")</f>
        <v>0</v>
      </c>
      <c r="KQ10" s="139">
        <f>SUMIFS('les arrets'!$G:$G,'les arrets'!$B:$B,KPI!KQ4,'les arrets'!$J:$J,"Mecanique")</f>
        <v>0</v>
      </c>
      <c r="KR10" s="139">
        <f>SUMIFS('les arrets'!$G:$G,'les arrets'!$B:$B,KPI!KR4,'les arrets'!$J:$J,"Mecanique")</f>
        <v>0</v>
      </c>
      <c r="KS10" s="139">
        <f>SUMIFS('les arrets'!$G:$G,'les arrets'!$B:$B,KPI!KS4,'les arrets'!$J:$J,"Mecanique")</f>
        <v>0</v>
      </c>
      <c r="KT10" s="139">
        <f>SUMIFS('les arrets'!$G:$G,'les arrets'!$B:$B,KPI!KT4,'les arrets'!$J:$J,"Mecanique")</f>
        <v>0</v>
      </c>
      <c r="KU10" s="100">
        <f t="shared" si="85"/>
        <v>0</v>
      </c>
      <c r="KV10" s="139">
        <f>SUMIFS('les arrets'!$G:$G,'les arrets'!$B:$B,KPI!KV4,'les arrets'!$J:$J,"Mecanique")</f>
        <v>0</v>
      </c>
      <c r="KW10" s="139">
        <f>SUMIFS('les arrets'!$G:$G,'les arrets'!$B:$B,KPI!KW4,'les arrets'!$J:$J,"Mecanique")</f>
        <v>0</v>
      </c>
      <c r="KX10" s="139">
        <f>SUMIFS('les arrets'!$G:$G,'les arrets'!$B:$B,KPI!KX4,'les arrets'!$J:$J,"Mecanique")</f>
        <v>0</v>
      </c>
      <c r="KY10" s="139">
        <f>SUMIFS('les arrets'!$G:$G,'les arrets'!$B:$B,KPI!KY4,'les arrets'!$J:$J,"Mecanique")</f>
        <v>0</v>
      </c>
      <c r="KZ10" s="139">
        <f>SUMIFS('les arrets'!$G:$G,'les arrets'!$B:$B,KPI!KZ4,'les arrets'!$J:$J,"Mecanique")</f>
        <v>0</v>
      </c>
      <c r="LA10" s="139">
        <f>SUMIFS('les arrets'!$G:$G,'les arrets'!$B:$B,KPI!LA4,'les arrets'!$J:$J,"Mecanique")</f>
        <v>0</v>
      </c>
      <c r="LB10" s="139">
        <f>SUMIFS('les arrets'!$G:$G,'les arrets'!$B:$B,KPI!LB4,'les arrets'!$J:$J,"Mecanique")</f>
        <v>0</v>
      </c>
      <c r="LC10" s="100">
        <f t="shared" si="86"/>
        <v>0</v>
      </c>
      <c r="LD10" s="139">
        <f>SUMIFS('les arrets'!$G:$G,'les arrets'!$B:$B,KPI!LD4,'les arrets'!$J:$J,"Mecanique")</f>
        <v>0</v>
      </c>
      <c r="LE10" s="139">
        <f>SUMIFS('les arrets'!$G:$G,'les arrets'!$B:$B,KPI!LE4,'les arrets'!$J:$J,"Mecanique")</f>
        <v>0</v>
      </c>
      <c r="LF10" s="139">
        <f>SUMIFS('les arrets'!$G:$G,'les arrets'!$B:$B,KPI!LF4,'les arrets'!$J:$J,"Mecanique")</f>
        <v>0</v>
      </c>
      <c r="LG10" s="139">
        <f>SUMIFS('les arrets'!$G:$G,'les arrets'!$B:$B,KPI!LG4,'les arrets'!$J:$J,"Mecanique")</f>
        <v>0</v>
      </c>
      <c r="LH10" s="139">
        <f>SUMIFS('les arrets'!$G:$G,'les arrets'!$B:$B,KPI!LH4,'les arrets'!$J:$J,"Mecanique")</f>
        <v>0</v>
      </c>
      <c r="LI10" s="139">
        <f>SUMIFS('les arrets'!$G:$G,'les arrets'!$B:$B,KPI!LI4,'les arrets'!$J:$J,"Mecanique")</f>
        <v>0</v>
      </c>
      <c r="LJ10" s="139">
        <f>SUMIFS('les arrets'!$G:$G,'les arrets'!$B:$B,KPI!LJ4,'les arrets'!$J:$J,"Mecanique")</f>
        <v>0</v>
      </c>
      <c r="LK10" s="100">
        <f t="shared" si="87"/>
        <v>0</v>
      </c>
      <c r="LL10" s="139">
        <f>SUMIFS('les arrets'!$G:$G,'les arrets'!$B:$B,KPI!LL4,'les arrets'!$J:$J,"Mecanique")</f>
        <v>0</v>
      </c>
      <c r="LM10" s="139">
        <f>SUMIFS('les arrets'!$G:$G,'les arrets'!$B:$B,KPI!LM4,'les arrets'!$J:$J,"Mecanique")</f>
        <v>0</v>
      </c>
      <c r="LN10" s="139">
        <f>SUMIFS('les arrets'!$G:$G,'les arrets'!$B:$B,KPI!LN4,'les arrets'!$J:$J,"Mecanique")</f>
        <v>0</v>
      </c>
      <c r="LO10" s="139">
        <f>SUMIFS('les arrets'!$G:$G,'les arrets'!$B:$B,KPI!LO4,'les arrets'!$J:$J,"Mecanique")</f>
        <v>0</v>
      </c>
      <c r="LP10" s="139">
        <f>SUMIFS('les arrets'!$G:$G,'les arrets'!$B:$B,KPI!LP4,'les arrets'!$J:$J,"Mecanique")</f>
        <v>0</v>
      </c>
      <c r="LQ10" s="139">
        <f>SUMIFS('les arrets'!$G:$G,'les arrets'!$B:$B,KPI!LQ4,'les arrets'!$J:$J,"Mecanique")</f>
        <v>0</v>
      </c>
      <c r="LR10" s="139">
        <f>SUMIFS('les arrets'!$G:$G,'les arrets'!$B:$B,KPI!LR4,'les arrets'!$J:$J,"Mecanique")</f>
        <v>0</v>
      </c>
      <c r="LS10" s="100">
        <f t="shared" si="88"/>
        <v>0</v>
      </c>
      <c r="LT10" s="139">
        <f>SUMIFS('les arrets'!$G:$G,'les arrets'!$B:$B,KPI!LT4,'les arrets'!$J:$J,"Mecanique")</f>
        <v>0</v>
      </c>
      <c r="LU10" s="139">
        <f>SUMIFS('les arrets'!$G:$G,'les arrets'!$B:$B,KPI!LU4,'les arrets'!$J:$J,"Mecanique")</f>
        <v>0</v>
      </c>
      <c r="LV10" s="139">
        <f>SUMIFS('les arrets'!$G:$G,'les arrets'!$B:$B,KPI!LV4,'les arrets'!$J:$J,"Mecanique")</f>
        <v>0</v>
      </c>
      <c r="LW10" s="139">
        <f>SUMIFS('les arrets'!$G:$G,'les arrets'!$B:$B,KPI!LW4,'les arrets'!$J:$J,"Mecanique")</f>
        <v>0</v>
      </c>
      <c r="LX10" s="139">
        <f>SUMIFS('les arrets'!$G:$G,'les arrets'!$B:$B,KPI!LX4,'les arrets'!$J:$J,"Mecanique")</f>
        <v>0</v>
      </c>
      <c r="LY10" s="139">
        <f>SUMIFS('les arrets'!$G:$G,'les arrets'!$B:$B,KPI!LY4,'les arrets'!$J:$J,"Mecanique")</f>
        <v>0</v>
      </c>
      <c r="LZ10" s="139">
        <f>SUMIFS('les arrets'!$G:$G,'les arrets'!$B:$B,KPI!LZ4,'les arrets'!$J:$J,"Mecanique")</f>
        <v>0</v>
      </c>
      <c r="MA10" s="100">
        <f t="shared" si="89"/>
        <v>0</v>
      </c>
      <c r="MB10" s="139">
        <f>SUMIFS('les arrets'!$G:$G,'les arrets'!$B:$B,KPI!MB4,'les arrets'!$J:$J,"Mecanique")</f>
        <v>0</v>
      </c>
      <c r="MC10" s="139">
        <f>SUMIFS('les arrets'!$G:$G,'les arrets'!$B:$B,KPI!MC4,'les arrets'!$J:$J,"Mecanique")</f>
        <v>0</v>
      </c>
      <c r="MD10" s="139">
        <f>SUMIFS('les arrets'!$G:$G,'les arrets'!$B:$B,KPI!MD4,'les arrets'!$J:$J,"Mecanique")</f>
        <v>0</v>
      </c>
      <c r="ME10" s="139">
        <f>SUMIFS('les arrets'!$G:$G,'les arrets'!$B:$B,KPI!ME4,'les arrets'!$J:$J,"Mecanique")</f>
        <v>0</v>
      </c>
      <c r="MF10" s="139">
        <f>SUMIFS('les arrets'!$G:$G,'les arrets'!$B:$B,KPI!MF4,'les arrets'!$J:$J,"Mecanique")</f>
        <v>0</v>
      </c>
      <c r="MG10" s="139">
        <f>SUMIFS('les arrets'!$G:$G,'les arrets'!$B:$B,KPI!MG4,'les arrets'!$J:$J,"Mecanique")</f>
        <v>0</v>
      </c>
      <c r="MH10" s="139">
        <f>SUMIFS('les arrets'!$G:$G,'les arrets'!$B:$B,KPI!MH4,'les arrets'!$J:$J,"Mecanique")</f>
        <v>0</v>
      </c>
      <c r="MI10" s="100">
        <f t="shared" si="90"/>
        <v>0</v>
      </c>
      <c r="MJ10" s="139">
        <f>SUMIFS('les arrets'!$G:$G,'les arrets'!$B:$B,KPI!MJ4,'les arrets'!$J:$J,"Mecanique")</f>
        <v>0</v>
      </c>
      <c r="MK10" s="139">
        <f>SUMIFS('les arrets'!$G:$G,'les arrets'!$B:$B,KPI!MK4,'les arrets'!$J:$J,"Mecanique")</f>
        <v>0</v>
      </c>
      <c r="ML10" s="139">
        <f>SUMIFS('les arrets'!$G:$G,'les arrets'!$B:$B,KPI!ML4,'les arrets'!$J:$J,"Mecanique")</f>
        <v>0</v>
      </c>
      <c r="MM10" s="139">
        <f>SUMIFS('les arrets'!$G:$G,'les arrets'!$B:$B,KPI!MM4,'les arrets'!$J:$J,"Mecanique")</f>
        <v>0</v>
      </c>
      <c r="MN10" s="139">
        <f>SUMIFS('les arrets'!$G:$G,'les arrets'!$B:$B,KPI!MN4,'les arrets'!$J:$J,"Mecanique")</f>
        <v>0</v>
      </c>
      <c r="MO10" s="139">
        <f>SUMIFS('les arrets'!$G:$G,'les arrets'!$B:$B,KPI!MO4,'les arrets'!$J:$J,"Mecanique")</f>
        <v>0</v>
      </c>
      <c r="MP10" s="139">
        <f>SUMIFS('les arrets'!$G:$G,'les arrets'!$B:$B,KPI!MP4,'les arrets'!$J:$J,"Mecanique")</f>
        <v>0</v>
      </c>
      <c r="MQ10" s="100">
        <f t="shared" si="91"/>
        <v>0</v>
      </c>
      <c r="MR10" s="139">
        <f>SUMIFS('les arrets'!$G:$G,'les arrets'!$B:$B,KPI!MR4,'les arrets'!$J:$J,"Mecanique")</f>
        <v>0</v>
      </c>
      <c r="MS10" s="139">
        <f>SUMIFS('les arrets'!$G:$G,'les arrets'!$B:$B,KPI!MS4,'les arrets'!$J:$J,"Mecanique")</f>
        <v>0</v>
      </c>
      <c r="MT10" s="139">
        <f>SUMIFS('les arrets'!$G:$G,'les arrets'!$B:$B,KPI!MT4,'les arrets'!$J:$J,"Mecanique")</f>
        <v>0</v>
      </c>
      <c r="MU10" s="139">
        <f>SUMIFS('les arrets'!$G:$G,'les arrets'!$B:$B,KPI!MU4,'les arrets'!$J:$J,"Mecanique")</f>
        <v>0</v>
      </c>
      <c r="MV10" s="139">
        <f>SUMIFS('les arrets'!$G:$G,'les arrets'!$B:$B,KPI!MV4,'les arrets'!$J:$J,"Mecanique")</f>
        <v>0</v>
      </c>
      <c r="MW10" s="139">
        <f>SUMIFS('les arrets'!$G:$G,'les arrets'!$B:$B,KPI!MW4,'les arrets'!$J:$J,"Mecanique")</f>
        <v>0</v>
      </c>
      <c r="MX10" s="139">
        <f>SUMIFS('les arrets'!$G:$G,'les arrets'!$B:$B,KPI!MX4,'les arrets'!$J:$J,"Mecanique")</f>
        <v>0</v>
      </c>
      <c r="MY10" s="100">
        <f t="shared" si="92"/>
        <v>0</v>
      </c>
      <c r="MZ10" s="139">
        <f>SUMIFS('les arrets'!$G:$G,'les arrets'!$B:$B,KPI!MZ4,'les arrets'!$J:$J,"Mecanique")</f>
        <v>0</v>
      </c>
      <c r="NA10" s="139">
        <f>SUMIFS('les arrets'!$G:$G,'les arrets'!$B:$B,KPI!NA4,'les arrets'!$J:$J,"Mecanique")</f>
        <v>0</v>
      </c>
      <c r="NB10" s="139">
        <f>SUMIFS('les arrets'!$G:$G,'les arrets'!$B:$B,KPI!NB4,'les arrets'!$J:$J,"Mecanique")</f>
        <v>0</v>
      </c>
      <c r="NC10" s="139">
        <f>SUMIFS('les arrets'!$G:$G,'les arrets'!$B:$B,KPI!NC4,'les arrets'!$J:$J,"Mecanique")</f>
        <v>0</v>
      </c>
      <c r="ND10" s="139">
        <f>SUMIFS('les arrets'!$G:$G,'les arrets'!$B:$B,KPI!ND4,'les arrets'!$J:$J,"Mecanique")</f>
        <v>0</v>
      </c>
      <c r="NE10" s="139">
        <f>SUMIFS('les arrets'!$G:$G,'les arrets'!$B:$B,KPI!NE4,'les arrets'!$J:$J,"Mecanique")</f>
        <v>0</v>
      </c>
      <c r="NF10" s="139">
        <f>SUMIFS('les arrets'!$G:$G,'les arrets'!$B:$B,KPI!NF4,'les arrets'!$J:$J,"Mecanique")</f>
        <v>0</v>
      </c>
      <c r="NG10" s="100">
        <f t="shared" si="93"/>
        <v>0</v>
      </c>
      <c r="NH10" s="139">
        <f>SUMIFS('les arrets'!$G:$G,'les arrets'!$B:$B,KPI!NH4,'les arrets'!$J:$J,"Mecanique")</f>
        <v>0</v>
      </c>
      <c r="NI10" s="139">
        <f>SUMIFS('les arrets'!$G:$G,'les arrets'!$B:$B,KPI!NI4,'les arrets'!$J:$J,"Mecanique")</f>
        <v>0</v>
      </c>
      <c r="NJ10" s="139">
        <f>SUMIFS('les arrets'!$G:$G,'les arrets'!$B:$B,KPI!NJ4,'les arrets'!$J:$J,"Mecanique")</f>
        <v>0</v>
      </c>
      <c r="NK10" s="139">
        <f>SUMIFS('les arrets'!$G:$G,'les arrets'!$B:$B,KPI!NK4,'les arrets'!$J:$J,"Mecanique")</f>
        <v>0</v>
      </c>
      <c r="NL10" s="139">
        <f>SUMIFS('les arrets'!$G:$G,'les arrets'!$B:$B,KPI!NL4,'les arrets'!$J:$J,"Mecanique")</f>
        <v>0</v>
      </c>
      <c r="NM10" s="139">
        <f>SUMIFS('les arrets'!$G:$G,'les arrets'!$B:$B,KPI!NM4,'les arrets'!$J:$J,"Mecanique")</f>
        <v>0</v>
      </c>
      <c r="NN10" s="139">
        <f>SUMIFS('les arrets'!$G:$G,'les arrets'!$B:$B,KPI!NN4,'les arrets'!$J:$J,"Mecanique")</f>
        <v>0</v>
      </c>
      <c r="NO10" s="100">
        <f t="shared" si="94"/>
        <v>0</v>
      </c>
      <c r="NP10" s="139">
        <f>SUMIFS('les arrets'!$G:$G,'les arrets'!$B:$B,KPI!NP4,'les arrets'!$J:$J,"Mecanique")</f>
        <v>0</v>
      </c>
      <c r="NQ10" s="139">
        <f>SUMIFS('les arrets'!$G:$G,'les arrets'!$B:$B,KPI!NQ4,'les arrets'!$J:$J,"Mecanique")</f>
        <v>0</v>
      </c>
      <c r="NR10" s="139">
        <f>SUMIFS('les arrets'!$G:$G,'les arrets'!$B:$B,KPI!NR4,'les arrets'!$J:$J,"Mecanique")</f>
        <v>0</v>
      </c>
      <c r="NS10" s="139">
        <f>SUMIFS('les arrets'!$G:$G,'les arrets'!$B:$B,KPI!NS4,'les arrets'!$J:$J,"Mecanique")</f>
        <v>0</v>
      </c>
      <c r="NT10" s="139">
        <f>SUMIFS('les arrets'!$G:$G,'les arrets'!$B:$B,KPI!NT4,'les arrets'!$J:$J,"Mecanique")</f>
        <v>0</v>
      </c>
      <c r="NU10" s="139">
        <f>SUMIFS('les arrets'!$G:$G,'les arrets'!$B:$B,KPI!NU4,'les arrets'!$J:$J,"Mecanique")</f>
        <v>0</v>
      </c>
      <c r="NV10" s="139">
        <f>SUMIFS('les arrets'!$G:$G,'les arrets'!$B:$B,KPI!NV4,'les arrets'!$J:$J,"Mecanique")</f>
        <v>0</v>
      </c>
      <c r="NW10" s="100">
        <f t="shared" si="95"/>
        <v>0</v>
      </c>
    </row>
    <row r="11" spans="1:15679" ht="15.75" x14ac:dyDescent="0.25">
      <c r="A11" s="593"/>
      <c r="B11" s="80"/>
      <c r="C11" s="88" t="s">
        <v>369</v>
      </c>
      <c r="D11" s="139">
        <f>SUMIFS('les arrets'!$G:$G,'les arrets'!$B:$B,KPI!D4,'les arrets'!$J:$J,"Electrique")</f>
        <v>0</v>
      </c>
      <c r="E11" s="139">
        <f>SUMIFS('les arrets'!$G:$G,'les arrets'!$B:$B,KPI!E4,'les arrets'!$J:$J,"Electrique")</f>
        <v>0</v>
      </c>
      <c r="F11" s="139">
        <f>SUMIFS('les arrets'!$G:$G,'les arrets'!$B:$B,KPI!F4,'les arrets'!$J:$J,"Electrique")</f>
        <v>0</v>
      </c>
      <c r="G11" s="139">
        <f>SUMIFS('les arrets'!$G:$G,'les arrets'!$B:$B,KPI!G4,'les arrets'!$J:$J,"Electrique")</f>
        <v>0</v>
      </c>
      <c r="H11" s="139">
        <f>SUMIFS('les arrets'!$G:$G,'les arrets'!$B:$B,KPI!H4,'les arrets'!$J:$J,"Electrique")</f>
        <v>0</v>
      </c>
      <c r="I11" s="139">
        <f>SUMIFS('les arrets'!$G:$G,'les arrets'!$B:$B,KPI!I4,'les arrets'!$J:$J,"Electrique")</f>
        <v>0</v>
      </c>
      <c r="J11" s="139">
        <f>SUMIFS('les arrets'!$G:$G,'les arrets'!$B:$B,KPI!J4,'les arrets'!$J:$J,"Electrique")</f>
        <v>0</v>
      </c>
      <c r="K11" s="100">
        <f t="shared" si="96"/>
        <v>0</v>
      </c>
      <c r="L11" s="139">
        <f>SUMIFS('les arrets'!$G:$G,'les arrets'!$B:$B,KPI!L4,'les arrets'!$J:$J,"Electrique")</f>
        <v>0</v>
      </c>
      <c r="M11" s="139">
        <f>SUMIFS('les arrets'!$G:$G,'les arrets'!$B:$B,KPI!M4,'les arrets'!$J:$J,"Electrique")</f>
        <v>0</v>
      </c>
      <c r="N11" s="139">
        <f>SUMIFS('les arrets'!$G:$G,'les arrets'!$B:$B,KPI!N4,'les arrets'!$J:$J,"Electrique")</f>
        <v>0</v>
      </c>
      <c r="O11" s="139">
        <f>SUMIFS('les arrets'!$G:$G,'les arrets'!$B:$B,KPI!O4,'les arrets'!$J:$J,"Electrique")</f>
        <v>0</v>
      </c>
      <c r="P11" s="139">
        <f>SUMIFS('les arrets'!$G:$G,'les arrets'!$B:$B,KPI!P4,'les arrets'!$J:$J,"Electrique")</f>
        <v>0</v>
      </c>
      <c r="Q11" s="139">
        <f>SUMIFS('les arrets'!$G:$G,'les arrets'!$B:$B,KPI!Q4,'les arrets'!$J:$J,"Electrique")</f>
        <v>0</v>
      </c>
      <c r="R11" s="139">
        <f>SUMIFS('les arrets'!$G:$G,'les arrets'!$B:$B,KPI!R4,'les arrets'!$J:$J,"Electrique")</f>
        <v>0</v>
      </c>
      <c r="S11" s="100">
        <f t="shared" si="49"/>
        <v>0</v>
      </c>
      <c r="T11" s="139">
        <f>SUMIFS('les arrets'!$G:$G,'les arrets'!$B:$B,KPI!T4,'les arrets'!$J:$J,"Electrique")</f>
        <v>0</v>
      </c>
      <c r="U11" s="139">
        <f>SUMIFS('les arrets'!$G:$G,'les arrets'!$B:$B,KPI!U4,'les arrets'!$J:$J,"Electrique")</f>
        <v>0</v>
      </c>
      <c r="V11" s="139">
        <f>SUMIFS('les arrets'!$G:$G,'les arrets'!$B:$B,KPI!V4,'les arrets'!$J:$J,"Electrique")</f>
        <v>0</v>
      </c>
      <c r="W11" s="139">
        <f>SUMIFS('les arrets'!$G:$G,'les arrets'!$B:$B,KPI!W4,'les arrets'!$J:$J,"Electrique")</f>
        <v>0</v>
      </c>
      <c r="X11" s="139">
        <f>SUMIFS('les arrets'!$G:$G,'les arrets'!$B:$B,KPI!X4,'les arrets'!$J:$J,"Electrique")</f>
        <v>0</v>
      </c>
      <c r="Y11" s="139">
        <f>SUMIFS('les arrets'!$G:$G,'les arrets'!$B:$B,KPI!Y4,'les arrets'!$J:$J,"Electrique")</f>
        <v>0</v>
      </c>
      <c r="Z11" s="139">
        <f>SUMIFS('les arrets'!$G:$G,'les arrets'!$B:$B,KPI!Z4,'les arrets'!$J:$J,"Electrique")</f>
        <v>0</v>
      </c>
      <c r="AA11" s="100">
        <f t="shared" si="50"/>
        <v>0</v>
      </c>
      <c r="AB11" s="139">
        <f>SUMIFS('les arrets'!$G:$G,'les arrets'!$B:$B,KPI!AB4,'les arrets'!$J:$J,"Electrique")</f>
        <v>0</v>
      </c>
      <c r="AC11" s="139">
        <f>SUMIFS('les arrets'!$G:$G,'les arrets'!$B:$B,KPI!AC4,'les arrets'!$J:$J,"Electrique")</f>
        <v>0</v>
      </c>
      <c r="AD11" s="139">
        <f>SUMIFS('les arrets'!$G:$G,'les arrets'!$B:$B,KPI!AD4,'les arrets'!$J:$J,"Electrique")</f>
        <v>0</v>
      </c>
      <c r="AE11" s="139">
        <f>SUMIFS('les arrets'!$G:$G,'les arrets'!$B:$B,KPI!AE4,'les arrets'!$J:$J,"Electrique")</f>
        <v>0</v>
      </c>
      <c r="AF11" s="139">
        <f>SUMIFS('les arrets'!$G:$G,'les arrets'!$B:$B,KPI!AF4,'les arrets'!$J:$J,"Electrique")</f>
        <v>0</v>
      </c>
      <c r="AG11" s="139">
        <f>SUMIFS('les arrets'!$G:$G,'les arrets'!$B:$B,KPI!AG4,'les arrets'!$J:$J,"Electrique")</f>
        <v>0</v>
      </c>
      <c r="AH11" s="139">
        <f>SUMIFS('les arrets'!$G:$G,'les arrets'!$B:$B,KPI!AH4,'les arrets'!$J:$J,"Electrique")</f>
        <v>0</v>
      </c>
      <c r="AI11" s="100">
        <f t="shared" si="51"/>
        <v>0</v>
      </c>
      <c r="AJ11" s="139">
        <f>SUMIFS('les arrets'!$G:$G,'les arrets'!$B:$B,KPI!AJ4,'les arrets'!$J:$J,"Electrique")</f>
        <v>0</v>
      </c>
      <c r="AK11" s="139">
        <f>SUMIFS('les arrets'!$G:$G,'les arrets'!$B:$B,KPI!AK4,'les arrets'!$J:$J,"Electrique")</f>
        <v>0</v>
      </c>
      <c r="AL11" s="139">
        <f>SUMIFS('les arrets'!$G:$G,'les arrets'!$B:$B,KPI!AL4,'les arrets'!$J:$J,"Electrique")</f>
        <v>0</v>
      </c>
      <c r="AM11" s="139">
        <f>SUMIFS('les arrets'!$G:$G,'les arrets'!$B:$B,KPI!AM4,'les arrets'!$J:$J,"Electrique")</f>
        <v>0</v>
      </c>
      <c r="AN11" s="139">
        <f>SUMIFS('les arrets'!$G:$G,'les arrets'!$B:$B,KPI!AN4,'les arrets'!$J:$J,"Electrique")</f>
        <v>0</v>
      </c>
      <c r="AO11" s="139">
        <f>SUMIFS('les arrets'!$G:$G,'les arrets'!$B:$B,KPI!AO4,'les arrets'!$J:$J,"Electrique")</f>
        <v>0</v>
      </c>
      <c r="AP11" s="139">
        <f>SUMIFS('les arrets'!$G:$G,'les arrets'!$B:$B,KPI!AP4,'les arrets'!$J:$J,"Electrique")</f>
        <v>0</v>
      </c>
      <c r="AQ11" s="100">
        <f t="shared" si="52"/>
        <v>0</v>
      </c>
      <c r="AR11" s="139">
        <f>SUMIFS('les arrets'!$G:$G,'les arrets'!$B:$B,KPI!AR4,'les arrets'!$J:$J,"Electrique")</f>
        <v>0</v>
      </c>
      <c r="AS11" s="139">
        <f>SUMIFS('les arrets'!$G:$G,'les arrets'!$B:$B,KPI!AS4,'les arrets'!$J:$J,"Electrique")</f>
        <v>0</v>
      </c>
      <c r="AT11" s="139">
        <f>SUMIFS('les arrets'!$G:$G,'les arrets'!$B:$B,KPI!AT4,'les arrets'!$J:$J,"Electrique")</f>
        <v>0</v>
      </c>
      <c r="AU11" s="139">
        <f>SUMIFS('les arrets'!$G:$G,'les arrets'!$B:$B,KPI!AU4,'les arrets'!$J:$J,"Electrique")</f>
        <v>0</v>
      </c>
      <c r="AV11" s="139">
        <f>SUMIFS('les arrets'!$G:$G,'les arrets'!$B:$B,KPI!AV4,'les arrets'!$J:$J,"Electrique")</f>
        <v>0</v>
      </c>
      <c r="AW11" s="139">
        <f>SUMIFS('les arrets'!$G:$G,'les arrets'!$B:$B,KPI!AW4,'les arrets'!$J:$J,"Electrique")</f>
        <v>0</v>
      </c>
      <c r="AX11" s="139">
        <f>SUMIFS('les arrets'!$G:$G,'les arrets'!$B:$B,KPI!AX4,'les arrets'!$J:$J,"Electrique")</f>
        <v>0</v>
      </c>
      <c r="AY11" s="100">
        <f t="shared" si="53"/>
        <v>0</v>
      </c>
      <c r="AZ11" s="139">
        <f>SUMIFS('les arrets'!$G:$G,'les arrets'!$B:$B,KPI!AZ4,'les arrets'!$J:$J,"Electrique")</f>
        <v>0</v>
      </c>
      <c r="BA11" s="139">
        <f>SUMIFS('les arrets'!$G:$G,'les arrets'!$B:$B,KPI!BA4,'les arrets'!$J:$J,"Electrique")</f>
        <v>0</v>
      </c>
      <c r="BB11" s="139">
        <f>SUMIFS('les arrets'!$G:$G,'les arrets'!$B:$B,KPI!BB4,'les arrets'!$J:$J,"Electrique")</f>
        <v>0</v>
      </c>
      <c r="BC11" s="139">
        <f>SUMIFS('les arrets'!$G:$G,'les arrets'!$B:$B,KPI!BC4,'les arrets'!$J:$J,"Electrique")</f>
        <v>0</v>
      </c>
      <c r="BD11" s="139">
        <f>SUMIFS('les arrets'!$G:$G,'les arrets'!$B:$B,KPI!BD4,'les arrets'!$J:$J,"Electrique")</f>
        <v>0</v>
      </c>
      <c r="BE11" s="139">
        <f>SUMIFS('les arrets'!$G:$G,'les arrets'!$B:$B,KPI!BE4,'les arrets'!$J:$J,"Electrique")</f>
        <v>0</v>
      </c>
      <c r="BF11" s="139">
        <f>SUMIFS('les arrets'!$G:$G,'les arrets'!$B:$B,KPI!BF4,'les arrets'!$J:$J,"Electrique")</f>
        <v>0</v>
      </c>
      <c r="BG11" s="100">
        <f t="shared" si="54"/>
        <v>0</v>
      </c>
      <c r="BH11" s="139">
        <f>SUMIFS('les arrets'!$G:$G,'les arrets'!$B:$B,KPI!BH4,'les arrets'!$J:$J,"Electrique")</f>
        <v>0</v>
      </c>
      <c r="BI11" s="139">
        <f>SUMIFS('les arrets'!$G:$G,'les arrets'!$B:$B,KPI!BI4,'les arrets'!$J:$J,"Electrique")</f>
        <v>0</v>
      </c>
      <c r="BJ11" s="139">
        <f>SUMIFS('les arrets'!$G:$G,'les arrets'!$B:$B,KPI!BJ4,'les arrets'!$J:$J,"Electrique")</f>
        <v>0</v>
      </c>
      <c r="BK11" s="139">
        <f>SUMIFS('les arrets'!$G:$G,'les arrets'!$B:$B,KPI!BK4,'les arrets'!$J:$J,"Electrique")</f>
        <v>0</v>
      </c>
      <c r="BL11" s="139">
        <f>SUMIFS('les arrets'!$G:$G,'les arrets'!$B:$B,KPI!BL4,'les arrets'!$J:$J,"Electrique")</f>
        <v>0</v>
      </c>
      <c r="BM11" s="139">
        <f>SUMIFS('les arrets'!$G:$G,'les arrets'!$B:$B,KPI!BM4,'les arrets'!$J:$J,"Electrique")</f>
        <v>0</v>
      </c>
      <c r="BN11" s="139">
        <f>SUMIFS('les arrets'!$G:$G,'les arrets'!$B:$B,KPI!BN4,'les arrets'!$J:$J,"Electrique")</f>
        <v>0</v>
      </c>
      <c r="BO11" s="100">
        <f t="shared" si="55"/>
        <v>0</v>
      </c>
      <c r="BP11" s="139">
        <f>SUMIFS('les arrets'!$G:$G,'les arrets'!$B:$B,KPI!BP4,'les arrets'!$J:$J,"Electrique")</f>
        <v>0</v>
      </c>
      <c r="BQ11" s="139">
        <f>SUMIFS('les arrets'!$G:$G,'les arrets'!$B:$B,KPI!BQ4,'les arrets'!$J:$J,"Electrique")</f>
        <v>0</v>
      </c>
      <c r="BR11" s="139">
        <f>SUMIFS('les arrets'!$G:$G,'les arrets'!$B:$B,KPI!BR4,'les arrets'!$J:$J,"Electrique")</f>
        <v>0</v>
      </c>
      <c r="BS11" s="139">
        <f>SUMIFS('les arrets'!$G:$G,'les arrets'!$B:$B,KPI!BS4,'les arrets'!$J:$J,"Electrique")</f>
        <v>0</v>
      </c>
      <c r="BT11" s="139">
        <f>SUMIFS('les arrets'!$G:$G,'les arrets'!$B:$B,KPI!BT4,'les arrets'!$J:$J,"Electrique")</f>
        <v>0</v>
      </c>
      <c r="BU11" s="139">
        <f>SUMIFS('les arrets'!$G:$G,'les arrets'!$B:$B,KPI!BU4,'les arrets'!$J:$J,"Electrique")</f>
        <v>0</v>
      </c>
      <c r="BV11" s="139">
        <f>SUMIFS('les arrets'!$G:$G,'les arrets'!$B:$B,KPI!BV4,'les arrets'!$J:$J,"Electrique")</f>
        <v>0</v>
      </c>
      <c r="BW11" s="100">
        <f t="shared" si="56"/>
        <v>0</v>
      </c>
      <c r="BX11" s="139">
        <f>SUMIFS('les arrets'!$G:$G,'les arrets'!$B:$B,KPI!BX4,'les arrets'!$J:$J,"Electrique")</f>
        <v>0</v>
      </c>
      <c r="BY11" s="139">
        <f>SUMIFS('les arrets'!$G:$G,'les arrets'!$B:$B,KPI!BY4,'les arrets'!$J:$J,"Electrique")</f>
        <v>0</v>
      </c>
      <c r="BZ11" s="139">
        <f>SUMIFS('les arrets'!$G:$G,'les arrets'!$B:$B,KPI!BZ4,'les arrets'!$J:$J,"Electrique")</f>
        <v>0</v>
      </c>
      <c r="CA11" s="139">
        <f>SUMIFS('les arrets'!$G:$G,'les arrets'!$B:$B,KPI!CA4,'les arrets'!$J:$J,"Electrique")</f>
        <v>0</v>
      </c>
      <c r="CB11" s="139">
        <f>SUMIFS('les arrets'!$G:$G,'les arrets'!$B:$B,KPI!CB4,'les arrets'!$J:$J,"Electrique")</f>
        <v>0</v>
      </c>
      <c r="CC11" s="139">
        <f>SUMIFS('les arrets'!$G:$G,'les arrets'!$B:$B,KPI!CC4,'les arrets'!$J:$J,"Electrique")</f>
        <v>0</v>
      </c>
      <c r="CD11" s="139">
        <f>SUMIFS('les arrets'!$G:$G,'les arrets'!$B:$B,KPI!CD4,'les arrets'!$J:$J,"Electrique")</f>
        <v>0</v>
      </c>
      <c r="CE11" s="100">
        <f t="shared" si="57"/>
        <v>0</v>
      </c>
      <c r="CF11" s="139">
        <f>SUMIFS('les arrets'!$G:$G,'les arrets'!$B:$B,KPI!CF4,'les arrets'!$J:$J,"Electrique")</f>
        <v>0</v>
      </c>
      <c r="CG11" s="139">
        <f>SUMIFS('les arrets'!$G:$G,'les arrets'!$B:$B,KPI!CG4,'les arrets'!$J:$J,"Electrique")</f>
        <v>0</v>
      </c>
      <c r="CH11" s="139">
        <f>SUMIFS('les arrets'!$G:$G,'les arrets'!$B:$B,KPI!CH4,'les arrets'!$J:$J,"Electrique")</f>
        <v>0</v>
      </c>
      <c r="CI11" s="139">
        <f>SUMIFS('les arrets'!$G:$G,'les arrets'!$B:$B,KPI!CI4,'les arrets'!$J:$J,"Electrique")</f>
        <v>0</v>
      </c>
      <c r="CJ11" s="139">
        <f>SUMIFS('les arrets'!$G:$G,'les arrets'!$B:$B,KPI!CJ4,'les arrets'!$J:$J,"Electrique")</f>
        <v>0</v>
      </c>
      <c r="CK11" s="139">
        <f>SUMIFS('les arrets'!$G:$G,'les arrets'!$B:$B,KPI!CK4,'les arrets'!$J:$J,"Electrique")</f>
        <v>0</v>
      </c>
      <c r="CL11" s="139">
        <f>SUMIFS('les arrets'!$G:$G,'les arrets'!$B:$B,KPI!CL4,'les arrets'!$J:$J,"Electrique")</f>
        <v>0</v>
      </c>
      <c r="CM11" s="100">
        <f t="shared" si="58"/>
        <v>0</v>
      </c>
      <c r="CN11" s="139">
        <f>SUMIFS('les arrets'!$G:$G,'les arrets'!$B:$B,KPI!CN4,'les arrets'!$J:$J,"Electrique")</f>
        <v>0</v>
      </c>
      <c r="CO11" s="139">
        <f>SUMIFS('les arrets'!$G:$G,'les arrets'!$B:$B,KPI!CO4,'les arrets'!$J:$J,"Electrique")</f>
        <v>0</v>
      </c>
      <c r="CP11" s="139">
        <f>SUMIFS('les arrets'!$G:$G,'les arrets'!$B:$B,KPI!CP4,'les arrets'!$J:$J,"Electrique")</f>
        <v>0</v>
      </c>
      <c r="CQ11" s="139">
        <f>SUMIFS('les arrets'!$G:$G,'les arrets'!$B:$B,KPI!CQ4,'les arrets'!$J:$J,"Electrique")</f>
        <v>0</v>
      </c>
      <c r="CR11" s="139">
        <f>SUMIFS('les arrets'!$G:$G,'les arrets'!$B:$B,KPI!CR4,'les arrets'!$J:$J,"Electrique")</f>
        <v>0</v>
      </c>
      <c r="CS11" s="139">
        <f>SUMIFS('les arrets'!$G:$G,'les arrets'!$B:$B,KPI!CS4,'les arrets'!$J:$J,"Electrique")</f>
        <v>0</v>
      </c>
      <c r="CT11" s="139">
        <f>SUMIFS('les arrets'!$G:$G,'les arrets'!$B:$B,KPI!CT4,'les arrets'!$J:$J,"Electrique")</f>
        <v>0</v>
      </c>
      <c r="CU11" s="100">
        <f t="shared" si="59"/>
        <v>0</v>
      </c>
      <c r="CV11" s="139">
        <f>SUMIFS('les arrets'!$G:$G,'les arrets'!$B:$B,KPI!CV4,'les arrets'!$J:$J,"Electrique")</f>
        <v>0</v>
      </c>
      <c r="CW11" s="139">
        <f>SUMIFS('les arrets'!$G:$G,'les arrets'!$B:$B,KPI!CW4,'les arrets'!$J:$J,"Electrique")</f>
        <v>0</v>
      </c>
      <c r="CX11" s="139">
        <f>SUMIFS('les arrets'!$G:$G,'les arrets'!$B:$B,KPI!CX4,'les arrets'!$J:$J,"Electrique")</f>
        <v>0</v>
      </c>
      <c r="CY11" s="139">
        <f>SUMIFS('les arrets'!$G:$G,'les arrets'!$B:$B,KPI!CY4,'les arrets'!$J:$J,"Electrique")</f>
        <v>0</v>
      </c>
      <c r="CZ11" s="139">
        <f>SUMIFS('les arrets'!$G:$G,'les arrets'!$B:$B,KPI!CZ4,'les arrets'!$J:$J,"Electrique")</f>
        <v>0</v>
      </c>
      <c r="DA11" s="139">
        <f>SUMIFS('les arrets'!$G:$G,'les arrets'!$B:$B,KPI!DA4,'les arrets'!$J:$J,"Electrique")</f>
        <v>0</v>
      </c>
      <c r="DB11" s="139">
        <f>SUMIFS('les arrets'!$G:$G,'les arrets'!$B:$B,KPI!DB4,'les arrets'!$J:$J,"Electrique")</f>
        <v>0</v>
      </c>
      <c r="DC11" s="100">
        <f t="shared" si="60"/>
        <v>0</v>
      </c>
      <c r="DD11" s="139">
        <f>SUMIFS('les arrets'!$G:$G,'les arrets'!$B:$B,KPI!DD4,'les arrets'!$J:$J,"Electrique")</f>
        <v>0</v>
      </c>
      <c r="DE11" s="139">
        <f>SUMIFS('les arrets'!$G:$G,'les arrets'!$B:$B,KPI!DE4,'les arrets'!$J:$J,"Electrique")</f>
        <v>0</v>
      </c>
      <c r="DF11" s="139">
        <f>SUMIFS('les arrets'!$G:$G,'les arrets'!$B:$B,KPI!DF4,'les arrets'!$J:$J,"Electrique")</f>
        <v>0</v>
      </c>
      <c r="DG11" s="139">
        <f>SUMIFS('les arrets'!$G:$G,'les arrets'!$B:$B,KPI!DG4,'les arrets'!$J:$J,"Electrique")</f>
        <v>0</v>
      </c>
      <c r="DH11" s="139">
        <f>SUMIFS('les arrets'!$G:$G,'les arrets'!$B:$B,KPI!DH4,'les arrets'!$J:$J,"Electrique")</f>
        <v>0</v>
      </c>
      <c r="DI11" s="139">
        <f>SUMIFS('les arrets'!$G:$G,'les arrets'!$B:$B,KPI!DI4,'les arrets'!$J:$J,"Electrique")</f>
        <v>0</v>
      </c>
      <c r="DJ11" s="139">
        <f>SUMIFS('les arrets'!$G:$G,'les arrets'!$B:$B,KPI!DJ4,'les arrets'!$J:$J,"Electrique")</f>
        <v>0</v>
      </c>
      <c r="DK11" s="100">
        <f t="shared" si="61"/>
        <v>0</v>
      </c>
      <c r="DL11" s="139">
        <f>SUMIFS('les arrets'!$G:$G,'les arrets'!$B:$B,KPI!DL4,'les arrets'!$J:$J,"Electrique")</f>
        <v>0</v>
      </c>
      <c r="DM11" s="139">
        <f>SUMIFS('les arrets'!$G:$G,'les arrets'!$B:$B,KPI!DM4,'les arrets'!$J:$J,"Electrique")</f>
        <v>0</v>
      </c>
      <c r="DN11" s="139">
        <f>SUMIFS('les arrets'!$G:$G,'les arrets'!$B:$B,KPI!DN4,'les arrets'!$J:$J,"Electrique")</f>
        <v>0</v>
      </c>
      <c r="DO11" s="139">
        <f>SUMIFS('les arrets'!$G:$G,'les arrets'!$B:$B,KPI!DO4,'les arrets'!$J:$J,"Electrique")</f>
        <v>0</v>
      </c>
      <c r="DP11" s="139">
        <f>SUMIFS('les arrets'!$G:$G,'les arrets'!$B:$B,KPI!DP4,'les arrets'!$J:$J,"Electrique")</f>
        <v>0</v>
      </c>
      <c r="DQ11" s="139">
        <f>SUMIFS('les arrets'!$G:$G,'les arrets'!$B:$B,KPI!DQ4,'les arrets'!$J:$J,"Electrique")</f>
        <v>0</v>
      </c>
      <c r="DR11" s="139">
        <f>SUMIFS('les arrets'!$G:$G,'les arrets'!$B:$B,KPI!DR4,'les arrets'!$J:$J,"Electrique")</f>
        <v>0</v>
      </c>
      <c r="DS11" s="100">
        <f t="shared" si="62"/>
        <v>0</v>
      </c>
      <c r="DT11" s="139">
        <f>SUMIFS('les arrets'!$G:$G,'les arrets'!$B:$B,KPI!DT4,'les arrets'!$J:$J,"Electrique")</f>
        <v>0</v>
      </c>
      <c r="DU11" s="139">
        <f>SUMIFS('les arrets'!$G:$G,'les arrets'!$B:$B,KPI!DU4,'les arrets'!$J:$J,"Electrique")</f>
        <v>0</v>
      </c>
      <c r="DV11" s="139">
        <f>SUMIFS('les arrets'!$G:$G,'les arrets'!$B:$B,KPI!DV4,'les arrets'!$J:$J,"Electrique")</f>
        <v>0</v>
      </c>
      <c r="DW11" s="139">
        <f>SUMIFS('les arrets'!$G:$G,'les arrets'!$B:$B,KPI!DW4,'les arrets'!$J:$J,"Electrique")</f>
        <v>0</v>
      </c>
      <c r="DX11" s="139">
        <f>SUMIFS('les arrets'!$G:$G,'les arrets'!$B:$B,KPI!DX4,'les arrets'!$J:$J,"Electrique")</f>
        <v>0</v>
      </c>
      <c r="DY11" s="139">
        <f>SUMIFS('les arrets'!$G:$G,'les arrets'!$B:$B,KPI!DY4,'les arrets'!$J:$J,"Electrique")</f>
        <v>0</v>
      </c>
      <c r="DZ11" s="139">
        <f>SUMIFS('les arrets'!$G:$G,'les arrets'!$B:$B,KPI!DZ4,'les arrets'!$J:$J,"Electrique")</f>
        <v>0</v>
      </c>
      <c r="EA11" s="100">
        <f t="shared" si="63"/>
        <v>0</v>
      </c>
      <c r="EB11" s="139">
        <f>SUMIFS('les arrets'!$G:$G,'les arrets'!$B:$B,KPI!EB4,'les arrets'!$J:$J,"Electrique")</f>
        <v>0</v>
      </c>
      <c r="EC11" s="139">
        <f>SUMIFS('les arrets'!$G:$G,'les arrets'!$B:$B,KPI!EC4,'les arrets'!$J:$J,"Electrique")</f>
        <v>0</v>
      </c>
      <c r="ED11" s="139">
        <f>SUMIFS('les arrets'!$G:$G,'les arrets'!$B:$B,KPI!ED4,'les arrets'!$J:$J,"Electrique")</f>
        <v>0</v>
      </c>
      <c r="EE11" s="139">
        <f>SUMIFS('les arrets'!$G:$G,'les arrets'!$B:$B,KPI!EE4,'les arrets'!$J:$J,"Electrique")</f>
        <v>0</v>
      </c>
      <c r="EF11" s="139">
        <f>SUMIFS('les arrets'!$G:$G,'les arrets'!$B:$B,KPI!EF4,'les arrets'!$J:$J,"Electrique")</f>
        <v>0</v>
      </c>
      <c r="EG11" s="139">
        <f>SUMIFS('les arrets'!$G:$G,'les arrets'!$B:$B,KPI!EG4,'les arrets'!$J:$J,"Electrique")</f>
        <v>0</v>
      </c>
      <c r="EH11" s="139">
        <f>SUMIFS('les arrets'!$G:$G,'les arrets'!$B:$B,KPI!EH4,'les arrets'!$J:$J,"Electrique")</f>
        <v>0</v>
      </c>
      <c r="EI11" s="100">
        <f t="shared" si="64"/>
        <v>0</v>
      </c>
      <c r="EJ11" s="139">
        <f>SUMIFS('les arrets'!$G:$G,'les arrets'!$B:$B,KPI!EJ4,'les arrets'!$J:$J,"Electrique")</f>
        <v>0</v>
      </c>
      <c r="EK11" s="139">
        <f>SUMIFS('les arrets'!$G:$G,'les arrets'!$B:$B,KPI!EK4,'les arrets'!$J:$J,"Electrique")</f>
        <v>0</v>
      </c>
      <c r="EL11" s="139">
        <f>SUMIFS('les arrets'!$G:$G,'les arrets'!$B:$B,KPI!EL4,'les arrets'!$J:$J,"Electrique")</f>
        <v>0</v>
      </c>
      <c r="EM11" s="139">
        <f>SUMIFS('les arrets'!$G:$G,'les arrets'!$B:$B,KPI!EM4,'les arrets'!$J:$J,"Electrique")</f>
        <v>0</v>
      </c>
      <c r="EN11" s="139">
        <f>SUMIFS('les arrets'!$G:$G,'les arrets'!$B:$B,KPI!EN4,'les arrets'!$J:$J,"Electrique")</f>
        <v>0</v>
      </c>
      <c r="EO11" s="139">
        <f>SUMIFS('les arrets'!$G:$G,'les arrets'!$B:$B,KPI!EO4,'les arrets'!$J:$J,"Electrique")</f>
        <v>0</v>
      </c>
      <c r="EP11" s="139">
        <f>SUMIFS('les arrets'!$G:$G,'les arrets'!$B:$B,KPI!EP4,'les arrets'!$J:$J,"Electrique")</f>
        <v>0</v>
      </c>
      <c r="EQ11" s="100">
        <f t="shared" si="65"/>
        <v>0</v>
      </c>
      <c r="ER11" s="139">
        <f>SUMIFS('les arrets'!$G:$G,'les arrets'!$B:$B,KPI!ER4,'les arrets'!$J:$J,"Electrique")</f>
        <v>0</v>
      </c>
      <c r="ES11" s="139">
        <f>SUMIFS('les arrets'!$G:$G,'les arrets'!$B:$B,KPI!ES4,'les arrets'!$J:$J,"Electrique")</f>
        <v>0</v>
      </c>
      <c r="ET11" s="139">
        <f>SUMIFS('les arrets'!$G:$G,'les arrets'!$B:$B,KPI!ET4,'les arrets'!$J:$J,"Electrique")</f>
        <v>0</v>
      </c>
      <c r="EU11" s="139">
        <f>SUMIFS('les arrets'!$G:$G,'les arrets'!$B:$B,KPI!EU4,'les arrets'!$J:$J,"Electrique")</f>
        <v>0</v>
      </c>
      <c r="EV11" s="139">
        <f>SUMIFS('les arrets'!$G:$G,'les arrets'!$B:$B,KPI!EV4,'les arrets'!$J:$J,"Electrique")</f>
        <v>0</v>
      </c>
      <c r="EW11" s="139">
        <f>SUMIFS('les arrets'!$G:$G,'les arrets'!$B:$B,KPI!EW4,'les arrets'!$J:$J,"Electrique")</f>
        <v>0</v>
      </c>
      <c r="EX11" s="139">
        <f>SUMIFS('les arrets'!$G:$G,'les arrets'!$B:$B,KPI!EX4,'les arrets'!$J:$J,"Electrique")</f>
        <v>0</v>
      </c>
      <c r="EY11" s="100">
        <f t="shared" si="66"/>
        <v>0</v>
      </c>
      <c r="EZ11" s="139">
        <f>SUMIFS('les arrets'!$G:$G,'les arrets'!$B:$B,KPI!EZ4,'les arrets'!$J:$J,"Electrique")</f>
        <v>0</v>
      </c>
      <c r="FA11" s="139">
        <f>SUMIFS('les arrets'!$G:$G,'les arrets'!$B:$B,KPI!FA4,'les arrets'!$J:$J,"Electrique")</f>
        <v>0</v>
      </c>
      <c r="FB11" s="139">
        <f>SUMIFS('les arrets'!$G:$G,'les arrets'!$B:$B,KPI!FB4,'les arrets'!$J:$J,"Electrique")</f>
        <v>0</v>
      </c>
      <c r="FC11" s="139">
        <f>SUMIFS('les arrets'!$G:$G,'les arrets'!$B:$B,KPI!FC4,'les arrets'!$J:$J,"Electrique")</f>
        <v>0</v>
      </c>
      <c r="FD11" s="139">
        <f>SUMIFS('les arrets'!$G:$G,'les arrets'!$B:$B,KPI!FD4,'les arrets'!$J:$J,"Electrique")</f>
        <v>0</v>
      </c>
      <c r="FE11" s="139">
        <f>SUMIFS('les arrets'!$G:$G,'les arrets'!$B:$B,KPI!FE4,'les arrets'!$J:$J,"Electrique")</f>
        <v>0</v>
      </c>
      <c r="FF11" s="139">
        <f>SUMIFS('les arrets'!$G:$G,'les arrets'!$B:$B,KPI!FF4,'les arrets'!$J:$J,"Electrique")</f>
        <v>0</v>
      </c>
      <c r="FG11" s="100">
        <f t="shared" si="67"/>
        <v>0</v>
      </c>
      <c r="FH11" s="139">
        <f>SUMIFS('les arrets'!$G:$G,'les arrets'!$B:$B,KPI!FH4,'les arrets'!$J:$J,"Electrique")</f>
        <v>0</v>
      </c>
      <c r="FI11" s="139">
        <f>SUMIFS('les arrets'!$G:$G,'les arrets'!$B:$B,KPI!FI4,'les arrets'!$J:$J,"Electrique")</f>
        <v>0</v>
      </c>
      <c r="FJ11" s="139">
        <f>SUMIFS('les arrets'!$G:$G,'les arrets'!$B:$B,KPI!FJ4,'les arrets'!$J:$J,"Electrique")</f>
        <v>0</v>
      </c>
      <c r="FK11" s="139">
        <f>SUMIFS('les arrets'!$G:$G,'les arrets'!$B:$B,KPI!FK4,'les arrets'!$J:$J,"Electrique")</f>
        <v>0</v>
      </c>
      <c r="FL11" s="139">
        <f>SUMIFS('les arrets'!$G:$G,'les arrets'!$B:$B,KPI!FL4,'les arrets'!$J:$J,"Electrique")</f>
        <v>0</v>
      </c>
      <c r="FM11" s="139">
        <f>SUMIFS('les arrets'!$G:$G,'les arrets'!$B:$B,KPI!FM4,'les arrets'!$J:$J,"Electrique")</f>
        <v>0</v>
      </c>
      <c r="FN11" s="139">
        <f>SUMIFS('les arrets'!$G:$G,'les arrets'!$B:$B,KPI!FN4,'les arrets'!$J:$J,"Electrique")</f>
        <v>0</v>
      </c>
      <c r="FO11" s="100">
        <f t="shared" si="68"/>
        <v>0</v>
      </c>
      <c r="FP11" s="139">
        <f>SUMIFS('les arrets'!$G:$G,'les arrets'!$B:$B,KPI!FP4,'les arrets'!$J:$J,"Electrique")</f>
        <v>0</v>
      </c>
      <c r="FQ11" s="139">
        <f>SUMIFS('les arrets'!$G:$G,'les arrets'!$B:$B,KPI!FQ4,'les arrets'!$J:$J,"Electrique")</f>
        <v>0</v>
      </c>
      <c r="FR11" s="139">
        <f>SUMIFS('les arrets'!$G:$G,'les arrets'!$B:$B,KPI!FR4,'les arrets'!$J:$J,"Electrique")</f>
        <v>0</v>
      </c>
      <c r="FS11" s="139">
        <f>SUMIFS('les arrets'!$G:$G,'les arrets'!$B:$B,KPI!FS4,'les arrets'!$J:$J,"Electrique")</f>
        <v>0</v>
      </c>
      <c r="FT11" s="139">
        <f>SUMIFS('les arrets'!$G:$G,'les arrets'!$B:$B,KPI!FT4,'les arrets'!$J:$J,"Electrique")</f>
        <v>0</v>
      </c>
      <c r="FU11" s="139">
        <f>SUMIFS('les arrets'!$G:$G,'les arrets'!$B:$B,KPI!FU4,'les arrets'!$J:$J,"Electrique")</f>
        <v>0</v>
      </c>
      <c r="FV11" s="139">
        <f>SUMIFS('les arrets'!$G:$G,'les arrets'!$B:$B,KPI!FV4,'les arrets'!$J:$J,"Electrique")</f>
        <v>0</v>
      </c>
      <c r="FW11" s="100">
        <f t="shared" si="69"/>
        <v>0</v>
      </c>
      <c r="FX11" s="139">
        <f>SUMIFS('les arrets'!$G:$G,'les arrets'!$B:$B,KPI!FX4,'les arrets'!$J:$J,"Electrique")</f>
        <v>0</v>
      </c>
      <c r="FY11" s="139">
        <f>SUMIFS('les arrets'!$G:$G,'les arrets'!$B:$B,KPI!FY4,'les arrets'!$J:$J,"Electrique")</f>
        <v>0</v>
      </c>
      <c r="FZ11" s="139">
        <f>SUMIFS('les arrets'!$G:$G,'les arrets'!$B:$B,KPI!FZ4,'les arrets'!$J:$J,"Electrique")</f>
        <v>0</v>
      </c>
      <c r="GA11" s="139">
        <f>SUMIFS('les arrets'!$G:$G,'les arrets'!$B:$B,KPI!GA4,'les arrets'!$J:$J,"Electrique")</f>
        <v>0</v>
      </c>
      <c r="GB11" s="139">
        <f>SUMIFS('les arrets'!$G:$G,'les arrets'!$B:$B,KPI!GB4,'les arrets'!$J:$J,"Electrique")</f>
        <v>0</v>
      </c>
      <c r="GC11" s="139">
        <f>SUMIFS('les arrets'!$G:$G,'les arrets'!$B:$B,KPI!GC4,'les arrets'!$J:$J,"Electrique")</f>
        <v>0</v>
      </c>
      <c r="GD11" s="139">
        <f>SUMIFS('les arrets'!$G:$G,'les arrets'!$B:$B,KPI!GD4,'les arrets'!$J:$J,"Electrique")</f>
        <v>0</v>
      </c>
      <c r="GE11" s="100">
        <f t="shared" si="70"/>
        <v>0</v>
      </c>
      <c r="GF11" s="139">
        <f>SUMIFS('les arrets'!$G:$G,'les arrets'!$B:$B,KPI!GF4,'les arrets'!$J:$J,"Electrique")</f>
        <v>0</v>
      </c>
      <c r="GG11" s="139">
        <f>SUMIFS('les arrets'!$G:$G,'les arrets'!$B:$B,KPI!GG4,'les arrets'!$J:$J,"Electrique")</f>
        <v>0</v>
      </c>
      <c r="GH11" s="139">
        <f>SUMIFS('les arrets'!$G:$G,'les arrets'!$B:$B,KPI!GH4,'les arrets'!$J:$J,"Electrique")</f>
        <v>0</v>
      </c>
      <c r="GI11" s="139">
        <f>SUMIFS('les arrets'!$G:$G,'les arrets'!$B:$B,KPI!GI4,'les arrets'!$J:$J,"Electrique")</f>
        <v>0</v>
      </c>
      <c r="GJ11" s="139">
        <f>SUMIFS('les arrets'!$G:$G,'les arrets'!$B:$B,KPI!GJ4,'les arrets'!$J:$J,"Electrique")</f>
        <v>0</v>
      </c>
      <c r="GK11" s="139">
        <f>SUMIFS('les arrets'!$G:$G,'les arrets'!$B:$B,KPI!GK4,'les arrets'!$J:$J,"Electrique")</f>
        <v>0</v>
      </c>
      <c r="GL11" s="139">
        <f>SUMIFS('les arrets'!$G:$G,'les arrets'!$B:$B,KPI!GL4,'les arrets'!$J:$J,"Electrique")</f>
        <v>0</v>
      </c>
      <c r="GM11" s="100">
        <f t="shared" si="71"/>
        <v>0</v>
      </c>
      <c r="GN11" s="139">
        <f>SUMIFS('les arrets'!$G:$G,'les arrets'!$B:$B,KPI!GN4,'les arrets'!$J:$J,"Electrique")</f>
        <v>0</v>
      </c>
      <c r="GO11" s="139">
        <f>SUMIFS('les arrets'!$G:$G,'les arrets'!$B:$B,KPI!GO4,'les arrets'!$J:$J,"Electrique")</f>
        <v>0</v>
      </c>
      <c r="GP11" s="139">
        <f>SUMIFS('les arrets'!$G:$G,'les arrets'!$B:$B,KPI!GP4,'les arrets'!$J:$J,"Electrique")</f>
        <v>0</v>
      </c>
      <c r="GQ11" s="139">
        <f>SUMIFS('les arrets'!$G:$G,'les arrets'!$B:$B,KPI!GQ4,'les arrets'!$J:$J,"Electrique")</f>
        <v>0</v>
      </c>
      <c r="GR11" s="139">
        <f>SUMIFS('les arrets'!$G:$G,'les arrets'!$B:$B,KPI!GR4,'les arrets'!$J:$J,"Electrique")</f>
        <v>0</v>
      </c>
      <c r="GS11" s="139">
        <f>SUMIFS('les arrets'!$G:$G,'les arrets'!$B:$B,KPI!GS4,'les arrets'!$J:$J,"Electrique")</f>
        <v>0</v>
      </c>
      <c r="GT11" s="139">
        <f>SUMIFS('les arrets'!$G:$G,'les arrets'!$B:$B,KPI!GT4,'les arrets'!$J:$J,"Electrique")</f>
        <v>0</v>
      </c>
      <c r="GU11" s="100">
        <f t="shared" si="72"/>
        <v>0</v>
      </c>
      <c r="GV11" s="139">
        <f>SUMIFS('les arrets'!$G:$G,'les arrets'!$B:$B,KPI!GV4,'les arrets'!$J:$J,"Electrique")</f>
        <v>0</v>
      </c>
      <c r="GW11" s="139">
        <f>SUMIFS('les arrets'!$G:$G,'les arrets'!$B:$B,KPI!GW4,'les arrets'!$J:$J,"Electrique")</f>
        <v>0</v>
      </c>
      <c r="GX11" s="139">
        <f>SUMIFS('les arrets'!$G:$G,'les arrets'!$B:$B,KPI!GX4,'les arrets'!$J:$J,"Electrique")</f>
        <v>0</v>
      </c>
      <c r="GY11" s="139">
        <f>SUMIFS('les arrets'!$G:$G,'les arrets'!$B:$B,KPI!GY4,'les arrets'!$J:$J,"Electrique")</f>
        <v>0</v>
      </c>
      <c r="GZ11" s="139">
        <f>SUMIFS('les arrets'!$G:$G,'les arrets'!$B:$B,KPI!GZ4,'les arrets'!$J:$J,"Electrique")</f>
        <v>0</v>
      </c>
      <c r="HA11" s="139">
        <f>SUMIFS('les arrets'!$G:$G,'les arrets'!$B:$B,KPI!HA4,'les arrets'!$J:$J,"Electrique")</f>
        <v>0</v>
      </c>
      <c r="HB11" s="139">
        <f>SUMIFS('les arrets'!$G:$G,'les arrets'!$B:$B,KPI!HB4,'les arrets'!$J:$J,"Electrique")</f>
        <v>0</v>
      </c>
      <c r="HC11" s="100">
        <f t="shared" si="73"/>
        <v>0</v>
      </c>
      <c r="HD11" s="139">
        <f>SUMIFS('les arrets'!$G:$G,'les arrets'!$B:$B,KPI!HD4,'les arrets'!$J:$J,"Electrique")</f>
        <v>0</v>
      </c>
      <c r="HE11" s="139">
        <f>SUMIFS('les arrets'!$G:$G,'les arrets'!$B:$B,KPI!HE4,'les arrets'!$J:$J,"Electrique")</f>
        <v>0</v>
      </c>
      <c r="HF11" s="139">
        <f>SUMIFS('les arrets'!$G:$G,'les arrets'!$B:$B,KPI!HF4,'les arrets'!$J:$J,"Electrique")</f>
        <v>0</v>
      </c>
      <c r="HG11" s="139">
        <f>SUMIFS('les arrets'!$G:$G,'les arrets'!$B:$B,KPI!HG4,'les arrets'!$J:$J,"Electrique")</f>
        <v>0</v>
      </c>
      <c r="HH11" s="139">
        <f>SUMIFS('les arrets'!$G:$G,'les arrets'!$B:$B,KPI!HH4,'les arrets'!$J:$J,"Electrique")</f>
        <v>0</v>
      </c>
      <c r="HI11" s="139">
        <f>SUMIFS('les arrets'!$G:$G,'les arrets'!$B:$B,KPI!HI4,'les arrets'!$J:$J,"Electrique")</f>
        <v>0</v>
      </c>
      <c r="HJ11" s="139">
        <f>SUMIFS('les arrets'!$G:$G,'les arrets'!$B:$B,KPI!HJ4,'les arrets'!$J:$J,"Electrique")</f>
        <v>0</v>
      </c>
      <c r="HK11" s="100">
        <f t="shared" si="74"/>
        <v>0</v>
      </c>
      <c r="HL11" s="139">
        <f>SUMIFS('les arrets'!$G:$G,'les arrets'!$B:$B,KPI!HL4,'les arrets'!$J:$J,"Electrique")</f>
        <v>0</v>
      </c>
      <c r="HM11" s="139">
        <f>SUMIFS('les arrets'!$G:$G,'les arrets'!$B:$B,KPI!HM4,'les arrets'!$J:$J,"Electrique")</f>
        <v>0</v>
      </c>
      <c r="HN11" s="139">
        <f>SUMIFS('les arrets'!$G:$G,'les arrets'!$B:$B,KPI!HN4,'les arrets'!$J:$J,"Electrique")</f>
        <v>0</v>
      </c>
      <c r="HO11" s="139">
        <f>SUMIFS('les arrets'!$G:$G,'les arrets'!$B:$B,KPI!HO4,'les arrets'!$J:$J,"Electrique")</f>
        <v>0</v>
      </c>
      <c r="HP11" s="139">
        <f>SUMIFS('les arrets'!$G:$G,'les arrets'!$B:$B,KPI!HP4,'les arrets'!$J:$J,"Electrique")</f>
        <v>0</v>
      </c>
      <c r="HQ11" s="139">
        <f>SUMIFS('les arrets'!$G:$G,'les arrets'!$B:$B,KPI!HQ4,'les arrets'!$J:$J,"Electrique")</f>
        <v>0</v>
      </c>
      <c r="HR11" s="139">
        <f>SUMIFS('les arrets'!$G:$G,'les arrets'!$B:$B,KPI!HR4,'les arrets'!$J:$J,"Electrique")</f>
        <v>0</v>
      </c>
      <c r="HS11" s="100">
        <f t="shared" si="75"/>
        <v>0</v>
      </c>
      <c r="HT11" s="139">
        <f>SUMIFS('les arrets'!$G:$G,'les arrets'!$B:$B,KPI!HT4,'les arrets'!$J:$J,"Electrique")</f>
        <v>0</v>
      </c>
      <c r="HU11" s="139">
        <f>SUMIFS('les arrets'!$G:$G,'les arrets'!$B:$B,KPI!HU4,'les arrets'!$J:$J,"Electrique")</f>
        <v>0</v>
      </c>
      <c r="HV11" s="139">
        <f>SUMIFS('les arrets'!$G:$G,'les arrets'!$B:$B,KPI!HV4,'les arrets'!$J:$J,"Electrique")</f>
        <v>0</v>
      </c>
      <c r="HW11" s="139">
        <f>SUMIFS('les arrets'!$G:$G,'les arrets'!$B:$B,KPI!HW4,'les arrets'!$J:$J,"Electrique")</f>
        <v>0</v>
      </c>
      <c r="HX11" s="139">
        <f>SUMIFS('les arrets'!$G:$G,'les arrets'!$B:$B,KPI!HX4,'les arrets'!$J:$J,"Electrique")</f>
        <v>0</v>
      </c>
      <c r="HY11" s="139">
        <f>SUMIFS('les arrets'!$G:$G,'les arrets'!$B:$B,KPI!HY4,'les arrets'!$J:$J,"Electrique")</f>
        <v>0</v>
      </c>
      <c r="HZ11" s="139">
        <f>SUMIFS('les arrets'!$G:$G,'les arrets'!$B:$B,KPI!HZ4,'les arrets'!$J:$J,"Electrique")</f>
        <v>0</v>
      </c>
      <c r="IA11" s="100">
        <f t="shared" si="76"/>
        <v>0</v>
      </c>
      <c r="IB11" s="139">
        <f>SUMIFS('les arrets'!$G:$G,'les arrets'!$B:$B,KPI!IB4,'les arrets'!$J:$J,"Electrique")</f>
        <v>0</v>
      </c>
      <c r="IC11" s="139">
        <f>SUMIFS('les arrets'!$G:$G,'les arrets'!$B:$B,KPI!IC4,'les arrets'!$J:$J,"Electrique")</f>
        <v>0</v>
      </c>
      <c r="ID11" s="139">
        <f>SUMIFS('les arrets'!$G:$G,'les arrets'!$B:$B,KPI!ID4,'les arrets'!$J:$J,"Electrique")</f>
        <v>0</v>
      </c>
      <c r="IE11" s="139">
        <f>SUMIFS('les arrets'!$G:$G,'les arrets'!$B:$B,KPI!IE4,'les arrets'!$J:$J,"Electrique")</f>
        <v>0</v>
      </c>
      <c r="IF11" s="139">
        <f>SUMIFS('les arrets'!$G:$G,'les arrets'!$B:$B,KPI!IF4,'les arrets'!$J:$J,"Electrique")</f>
        <v>0</v>
      </c>
      <c r="IG11" s="139">
        <f>SUMIFS('les arrets'!$G:$G,'les arrets'!$B:$B,KPI!IG4,'les arrets'!$J:$J,"Electrique")</f>
        <v>0</v>
      </c>
      <c r="IH11" s="139">
        <f>SUMIFS('les arrets'!$G:$G,'les arrets'!$B:$B,KPI!IH4,'les arrets'!$J:$J,"Electrique")</f>
        <v>0</v>
      </c>
      <c r="II11" s="100">
        <f t="shared" si="77"/>
        <v>0</v>
      </c>
      <c r="IJ11" s="139">
        <f>SUMIFS('les arrets'!$G:$G,'les arrets'!$B:$B,KPI!IJ4,'les arrets'!$J:$J,"Electrique")</f>
        <v>0</v>
      </c>
      <c r="IK11" s="139">
        <f>SUMIFS('les arrets'!$G:$G,'les arrets'!$B:$B,KPI!IK4,'les arrets'!$J:$J,"Electrique")</f>
        <v>0</v>
      </c>
      <c r="IL11" s="139">
        <f>SUMIFS('les arrets'!$G:$G,'les arrets'!$B:$B,KPI!IL4,'les arrets'!$J:$J,"Electrique")</f>
        <v>0</v>
      </c>
      <c r="IM11" s="139">
        <f>SUMIFS('les arrets'!$G:$G,'les arrets'!$B:$B,KPI!IM4,'les arrets'!$J:$J,"Electrique")</f>
        <v>0</v>
      </c>
      <c r="IN11" s="139">
        <f>SUMIFS('les arrets'!$G:$G,'les arrets'!$B:$B,KPI!IN4,'les arrets'!$J:$J,"Electrique")</f>
        <v>0</v>
      </c>
      <c r="IO11" s="139">
        <f>SUMIFS('les arrets'!$G:$G,'les arrets'!$B:$B,KPI!IO4,'les arrets'!$J:$J,"Electrique")</f>
        <v>0</v>
      </c>
      <c r="IP11" s="139">
        <f>SUMIFS('les arrets'!$G:$G,'les arrets'!$B:$B,KPI!IP4,'les arrets'!$J:$J,"Electrique")</f>
        <v>0</v>
      </c>
      <c r="IQ11" s="100">
        <f t="shared" si="78"/>
        <v>0</v>
      </c>
      <c r="IR11" s="139">
        <f>SUMIFS('les arrets'!$G:$G,'les arrets'!$B:$B,KPI!IR4,'les arrets'!$J:$J,"Electrique")</f>
        <v>0</v>
      </c>
      <c r="IS11" s="139">
        <f>SUMIFS('les arrets'!$G:$G,'les arrets'!$B:$B,KPI!IS4,'les arrets'!$J:$J,"Electrique")</f>
        <v>0</v>
      </c>
      <c r="IT11" s="139">
        <f>SUMIFS('les arrets'!$G:$G,'les arrets'!$B:$B,KPI!IT4,'les arrets'!$J:$J,"Electrique")</f>
        <v>0</v>
      </c>
      <c r="IU11" s="139">
        <f>SUMIFS('les arrets'!$G:$G,'les arrets'!$B:$B,KPI!IU4,'les arrets'!$J:$J,"Electrique")</f>
        <v>0</v>
      </c>
      <c r="IV11" s="139">
        <f>SUMIFS('les arrets'!$G:$G,'les arrets'!$B:$B,KPI!IV4,'les arrets'!$J:$J,"Electrique")</f>
        <v>0</v>
      </c>
      <c r="IW11" s="139">
        <f>SUMIFS('les arrets'!$G:$G,'les arrets'!$B:$B,KPI!IW4,'les arrets'!$J:$J,"Electrique")</f>
        <v>0</v>
      </c>
      <c r="IX11" s="139">
        <f>SUMIFS('les arrets'!$G:$G,'les arrets'!$B:$B,KPI!IX4,'les arrets'!$J:$J,"Electrique")</f>
        <v>0</v>
      </c>
      <c r="IY11" s="100">
        <f t="shared" si="79"/>
        <v>0</v>
      </c>
      <c r="IZ11" s="139">
        <f>SUMIFS('les arrets'!$G:$G,'les arrets'!$B:$B,KPI!IZ4,'les arrets'!$J:$J,"Electrique")</f>
        <v>0</v>
      </c>
      <c r="JA11" s="139">
        <f>SUMIFS('les arrets'!$G:$G,'les arrets'!$B:$B,KPI!JA4,'les arrets'!$J:$J,"Electrique")</f>
        <v>0</v>
      </c>
      <c r="JB11" s="139">
        <f>SUMIFS('les arrets'!$G:$G,'les arrets'!$B:$B,KPI!JB4,'les arrets'!$J:$J,"Electrique")</f>
        <v>0</v>
      </c>
      <c r="JC11" s="139">
        <f>SUMIFS('les arrets'!$G:$G,'les arrets'!$B:$B,KPI!JC4,'les arrets'!$J:$J,"Electrique")</f>
        <v>0</v>
      </c>
      <c r="JD11" s="139">
        <f>SUMIFS('les arrets'!$G:$G,'les arrets'!$B:$B,KPI!JD4,'les arrets'!$J:$J,"Electrique")</f>
        <v>0</v>
      </c>
      <c r="JE11" s="139">
        <f>SUMIFS('les arrets'!$G:$G,'les arrets'!$B:$B,KPI!JE4,'les arrets'!$J:$J,"Electrique")</f>
        <v>0</v>
      </c>
      <c r="JF11" s="139">
        <f>SUMIFS('les arrets'!$G:$G,'les arrets'!$B:$B,KPI!JF4,'les arrets'!$J:$J,"Electrique")</f>
        <v>0</v>
      </c>
      <c r="JG11" s="100">
        <f t="shared" si="80"/>
        <v>0</v>
      </c>
      <c r="JH11" s="139">
        <f>SUMIFS('les arrets'!$G:$G,'les arrets'!$B:$B,KPI!JH4,'les arrets'!$J:$J,"Electrique")</f>
        <v>0</v>
      </c>
      <c r="JI11" s="139">
        <f>SUMIFS('les arrets'!$G:$G,'les arrets'!$B:$B,KPI!JI4,'les arrets'!$J:$J,"Electrique")</f>
        <v>0</v>
      </c>
      <c r="JJ11" s="139">
        <f>SUMIFS('les arrets'!$G:$G,'les arrets'!$B:$B,KPI!JJ4,'les arrets'!$J:$J,"Electrique")</f>
        <v>0</v>
      </c>
      <c r="JK11" s="139">
        <f>SUMIFS('les arrets'!$G:$G,'les arrets'!$B:$B,KPI!JK4,'les arrets'!$J:$J,"Electrique")</f>
        <v>0</v>
      </c>
      <c r="JL11" s="139">
        <f>SUMIFS('les arrets'!$G:$G,'les arrets'!$B:$B,KPI!JL4,'les arrets'!$J:$J,"Electrique")</f>
        <v>0</v>
      </c>
      <c r="JM11" s="139">
        <f>SUMIFS('les arrets'!$G:$G,'les arrets'!$B:$B,KPI!JM4,'les arrets'!$J:$J,"Electrique")</f>
        <v>0</v>
      </c>
      <c r="JN11" s="139">
        <f>SUMIFS('les arrets'!$G:$G,'les arrets'!$B:$B,KPI!JN4,'les arrets'!$J:$J,"Electrique")</f>
        <v>0</v>
      </c>
      <c r="JO11" s="100">
        <f t="shared" si="81"/>
        <v>0</v>
      </c>
      <c r="JP11" s="139">
        <f>SUMIFS('les arrets'!$G:$G,'les arrets'!$B:$B,KPI!JP4,'les arrets'!$J:$J,"Electrique")</f>
        <v>0</v>
      </c>
      <c r="JQ11" s="139">
        <f>SUMIFS('les arrets'!$G:$G,'les arrets'!$B:$B,KPI!JQ4,'les arrets'!$J:$J,"Electrique")</f>
        <v>0</v>
      </c>
      <c r="JR11" s="139">
        <f>SUMIFS('les arrets'!$G:$G,'les arrets'!$B:$B,KPI!JR4,'les arrets'!$J:$J,"Electrique")</f>
        <v>0</v>
      </c>
      <c r="JS11" s="139">
        <f>SUMIFS('les arrets'!$G:$G,'les arrets'!$B:$B,KPI!JS4,'les arrets'!$J:$J,"Electrique")</f>
        <v>0</v>
      </c>
      <c r="JT11" s="139">
        <f>SUMIFS('les arrets'!$G:$G,'les arrets'!$B:$B,KPI!JT4,'les arrets'!$J:$J,"Electrique")</f>
        <v>0</v>
      </c>
      <c r="JU11" s="139">
        <f>SUMIFS('les arrets'!$G:$G,'les arrets'!$B:$B,KPI!JU4,'les arrets'!$J:$J,"Electrique")</f>
        <v>0</v>
      </c>
      <c r="JV11" s="139">
        <f>SUMIFS('les arrets'!$G:$G,'les arrets'!$B:$B,KPI!JV4,'les arrets'!$J:$J,"Electrique")</f>
        <v>0</v>
      </c>
      <c r="JW11" s="100">
        <f t="shared" si="82"/>
        <v>0</v>
      </c>
      <c r="JX11" s="139">
        <f>SUMIFS('les arrets'!$G:$G,'les arrets'!$B:$B,KPI!JX4,'les arrets'!$J:$J,"Electrique")</f>
        <v>0</v>
      </c>
      <c r="JY11" s="139">
        <f>SUMIFS('les arrets'!$G:$G,'les arrets'!$B:$B,KPI!JY4,'les arrets'!$J:$J,"Electrique")</f>
        <v>0</v>
      </c>
      <c r="JZ11" s="139">
        <f>SUMIFS('les arrets'!$G:$G,'les arrets'!$B:$B,KPI!JZ4,'les arrets'!$J:$J,"Electrique")</f>
        <v>0</v>
      </c>
      <c r="KA11" s="139">
        <f>SUMIFS('les arrets'!$G:$G,'les arrets'!$B:$B,KPI!KA4,'les arrets'!$J:$J,"Electrique")</f>
        <v>0</v>
      </c>
      <c r="KB11" s="139">
        <f>SUMIFS('les arrets'!$G:$G,'les arrets'!$B:$B,KPI!KB4,'les arrets'!$J:$J,"Electrique")</f>
        <v>0</v>
      </c>
      <c r="KC11" s="139">
        <f>SUMIFS('les arrets'!$G:$G,'les arrets'!$B:$B,KPI!KC4,'les arrets'!$J:$J,"Electrique")</f>
        <v>0</v>
      </c>
      <c r="KD11" s="139">
        <f>SUMIFS('les arrets'!$G:$G,'les arrets'!$B:$B,KPI!KD4,'les arrets'!$J:$J,"Electrique")</f>
        <v>0</v>
      </c>
      <c r="KE11" s="100">
        <f t="shared" si="83"/>
        <v>0</v>
      </c>
      <c r="KF11" s="139">
        <f>SUMIFS('les arrets'!$G:$G,'les arrets'!$B:$B,KPI!KF4,'les arrets'!$J:$J,"Electrique")</f>
        <v>0</v>
      </c>
      <c r="KG11" s="139">
        <f>SUMIFS('les arrets'!$G:$G,'les arrets'!$B:$B,KPI!KG4,'les arrets'!$J:$J,"Electrique")</f>
        <v>0</v>
      </c>
      <c r="KH11" s="139">
        <f>SUMIFS('les arrets'!$G:$G,'les arrets'!$B:$B,KPI!KH4,'les arrets'!$J:$J,"Electrique")</f>
        <v>0</v>
      </c>
      <c r="KI11" s="139">
        <f>SUMIFS('les arrets'!$G:$G,'les arrets'!$B:$B,KPI!KI4,'les arrets'!$J:$J,"Electrique")</f>
        <v>0</v>
      </c>
      <c r="KJ11" s="139">
        <f>SUMIFS('les arrets'!$G:$G,'les arrets'!$B:$B,KPI!KJ4,'les arrets'!$J:$J,"Electrique")</f>
        <v>0</v>
      </c>
      <c r="KK11" s="139">
        <f>SUMIFS('les arrets'!$G:$G,'les arrets'!$B:$B,KPI!KK4,'les arrets'!$J:$J,"Electrique")</f>
        <v>0</v>
      </c>
      <c r="KL11" s="139">
        <f>SUMIFS('les arrets'!$G:$G,'les arrets'!$B:$B,KPI!KL4,'les arrets'!$J:$J,"Electrique")</f>
        <v>0</v>
      </c>
      <c r="KM11" s="100">
        <f t="shared" si="84"/>
        <v>0</v>
      </c>
      <c r="KN11" s="139">
        <f>SUMIFS('les arrets'!$G:$G,'les arrets'!$B:$B,KPI!KN4,'les arrets'!$J:$J,"Electrique")</f>
        <v>0</v>
      </c>
      <c r="KO11" s="139">
        <f>SUMIFS('les arrets'!$G:$G,'les arrets'!$B:$B,KPI!KO4,'les arrets'!$J:$J,"Electrique")</f>
        <v>0</v>
      </c>
      <c r="KP11" s="139">
        <f>SUMIFS('les arrets'!$G:$G,'les arrets'!$B:$B,KPI!KP4,'les arrets'!$J:$J,"Electrique")</f>
        <v>0</v>
      </c>
      <c r="KQ11" s="139">
        <f>SUMIFS('les arrets'!$G:$G,'les arrets'!$B:$B,KPI!KQ4,'les arrets'!$J:$J,"Electrique")</f>
        <v>0</v>
      </c>
      <c r="KR11" s="139">
        <f>SUMIFS('les arrets'!$G:$G,'les arrets'!$B:$B,KPI!KR4,'les arrets'!$J:$J,"Electrique")</f>
        <v>0</v>
      </c>
      <c r="KS11" s="139">
        <f>SUMIFS('les arrets'!$G:$G,'les arrets'!$B:$B,KPI!KS4,'les arrets'!$J:$J,"Electrique")</f>
        <v>0</v>
      </c>
      <c r="KT11" s="139">
        <f>SUMIFS('les arrets'!$G:$G,'les arrets'!$B:$B,KPI!KT4,'les arrets'!$J:$J,"Electrique")</f>
        <v>0</v>
      </c>
      <c r="KU11" s="100">
        <f t="shared" si="85"/>
        <v>0</v>
      </c>
      <c r="KV11" s="139">
        <f>SUMIFS('les arrets'!$G:$G,'les arrets'!$B:$B,KPI!KV4,'les arrets'!$J:$J,"Electrique")</f>
        <v>0</v>
      </c>
      <c r="KW11" s="139">
        <f>SUMIFS('les arrets'!$G:$G,'les arrets'!$B:$B,KPI!KW4,'les arrets'!$J:$J,"Electrique")</f>
        <v>0</v>
      </c>
      <c r="KX11" s="139">
        <f>SUMIFS('les arrets'!$G:$G,'les arrets'!$B:$B,KPI!KX4,'les arrets'!$J:$J,"Electrique")</f>
        <v>0</v>
      </c>
      <c r="KY11" s="139">
        <f>SUMIFS('les arrets'!$G:$G,'les arrets'!$B:$B,KPI!KY4,'les arrets'!$J:$J,"Electrique")</f>
        <v>0</v>
      </c>
      <c r="KZ11" s="139">
        <f>SUMIFS('les arrets'!$G:$G,'les arrets'!$B:$B,KPI!KZ4,'les arrets'!$J:$J,"Electrique")</f>
        <v>0</v>
      </c>
      <c r="LA11" s="139">
        <f>SUMIFS('les arrets'!$G:$G,'les arrets'!$B:$B,KPI!LA4,'les arrets'!$J:$J,"Electrique")</f>
        <v>0</v>
      </c>
      <c r="LB11" s="139">
        <f>SUMIFS('les arrets'!$G:$G,'les arrets'!$B:$B,KPI!LB4,'les arrets'!$J:$J,"Electrique")</f>
        <v>0</v>
      </c>
      <c r="LC11" s="100">
        <f t="shared" si="86"/>
        <v>0</v>
      </c>
      <c r="LD11" s="139">
        <f>SUMIFS('les arrets'!$G:$G,'les arrets'!$B:$B,KPI!LD4,'les arrets'!$J:$J,"Electrique")</f>
        <v>0</v>
      </c>
      <c r="LE11" s="139">
        <f>SUMIFS('les arrets'!$G:$G,'les arrets'!$B:$B,KPI!LE4,'les arrets'!$J:$J,"Electrique")</f>
        <v>0</v>
      </c>
      <c r="LF11" s="139">
        <f>SUMIFS('les arrets'!$G:$G,'les arrets'!$B:$B,KPI!LF4,'les arrets'!$J:$J,"Electrique")</f>
        <v>0</v>
      </c>
      <c r="LG11" s="139">
        <f>SUMIFS('les arrets'!$G:$G,'les arrets'!$B:$B,KPI!LG4,'les arrets'!$J:$J,"Electrique")</f>
        <v>0</v>
      </c>
      <c r="LH11" s="139">
        <f>SUMIFS('les arrets'!$G:$G,'les arrets'!$B:$B,KPI!LH4,'les arrets'!$J:$J,"Electrique")</f>
        <v>0</v>
      </c>
      <c r="LI11" s="139">
        <f>SUMIFS('les arrets'!$G:$G,'les arrets'!$B:$B,KPI!LI4,'les arrets'!$J:$J,"Electrique")</f>
        <v>0</v>
      </c>
      <c r="LJ11" s="139">
        <f>SUMIFS('les arrets'!$G:$G,'les arrets'!$B:$B,KPI!LJ4,'les arrets'!$J:$J,"Electrique")</f>
        <v>0</v>
      </c>
      <c r="LK11" s="100">
        <f t="shared" si="87"/>
        <v>0</v>
      </c>
      <c r="LL11" s="139">
        <f>SUMIFS('les arrets'!$G:$G,'les arrets'!$B:$B,KPI!LL4,'les arrets'!$J:$J,"Electrique")</f>
        <v>0</v>
      </c>
      <c r="LM11" s="139">
        <f>SUMIFS('les arrets'!$G:$G,'les arrets'!$B:$B,KPI!LM4,'les arrets'!$J:$J,"Electrique")</f>
        <v>0</v>
      </c>
      <c r="LN11" s="139">
        <f>SUMIFS('les arrets'!$G:$G,'les arrets'!$B:$B,KPI!LN4,'les arrets'!$J:$J,"Electrique")</f>
        <v>0</v>
      </c>
      <c r="LO11" s="139">
        <f>SUMIFS('les arrets'!$G:$G,'les arrets'!$B:$B,KPI!LO4,'les arrets'!$J:$J,"Electrique")</f>
        <v>0</v>
      </c>
      <c r="LP11" s="139">
        <f>SUMIFS('les arrets'!$G:$G,'les arrets'!$B:$B,KPI!LP4,'les arrets'!$J:$J,"Electrique")</f>
        <v>0</v>
      </c>
      <c r="LQ11" s="139">
        <f>SUMIFS('les arrets'!$G:$G,'les arrets'!$B:$B,KPI!LQ4,'les arrets'!$J:$J,"Electrique")</f>
        <v>0</v>
      </c>
      <c r="LR11" s="139">
        <f>SUMIFS('les arrets'!$G:$G,'les arrets'!$B:$B,KPI!LR4,'les arrets'!$J:$J,"Electrique")</f>
        <v>0</v>
      </c>
      <c r="LS11" s="100">
        <f t="shared" si="88"/>
        <v>0</v>
      </c>
      <c r="LT11" s="139">
        <f>SUMIFS('les arrets'!$G:$G,'les arrets'!$B:$B,KPI!LT4,'les arrets'!$J:$J,"Electrique")</f>
        <v>0</v>
      </c>
      <c r="LU11" s="139">
        <f>SUMIFS('les arrets'!$G:$G,'les arrets'!$B:$B,KPI!LU4,'les arrets'!$J:$J,"Electrique")</f>
        <v>0</v>
      </c>
      <c r="LV11" s="139">
        <f>SUMIFS('les arrets'!$G:$G,'les arrets'!$B:$B,KPI!LV4,'les arrets'!$J:$J,"Electrique")</f>
        <v>0</v>
      </c>
      <c r="LW11" s="139">
        <f>SUMIFS('les arrets'!$G:$G,'les arrets'!$B:$B,KPI!LW4,'les arrets'!$J:$J,"Electrique")</f>
        <v>0</v>
      </c>
      <c r="LX11" s="139">
        <f>SUMIFS('les arrets'!$G:$G,'les arrets'!$B:$B,KPI!LX4,'les arrets'!$J:$J,"Electrique")</f>
        <v>0</v>
      </c>
      <c r="LY11" s="139">
        <f>SUMIFS('les arrets'!$G:$G,'les arrets'!$B:$B,KPI!LY4,'les arrets'!$J:$J,"Electrique")</f>
        <v>0</v>
      </c>
      <c r="LZ11" s="139">
        <f>SUMIFS('les arrets'!$G:$G,'les arrets'!$B:$B,KPI!LZ4,'les arrets'!$J:$J,"Electrique")</f>
        <v>0</v>
      </c>
      <c r="MA11" s="100">
        <f t="shared" si="89"/>
        <v>0</v>
      </c>
      <c r="MB11" s="139">
        <f>SUMIFS('les arrets'!$G:$G,'les arrets'!$B:$B,KPI!MB4,'les arrets'!$J:$J,"Electrique")</f>
        <v>0</v>
      </c>
      <c r="MC11" s="139">
        <f>SUMIFS('les arrets'!$G:$G,'les arrets'!$B:$B,KPI!MC4,'les arrets'!$J:$J,"Electrique")</f>
        <v>0</v>
      </c>
      <c r="MD11" s="139">
        <f>SUMIFS('les arrets'!$G:$G,'les arrets'!$B:$B,KPI!MD4,'les arrets'!$J:$J,"Electrique")</f>
        <v>0</v>
      </c>
      <c r="ME11" s="139">
        <f>SUMIFS('les arrets'!$G:$G,'les arrets'!$B:$B,KPI!ME4,'les arrets'!$J:$J,"Electrique")</f>
        <v>0</v>
      </c>
      <c r="MF11" s="139">
        <f>SUMIFS('les arrets'!$G:$G,'les arrets'!$B:$B,KPI!MF4,'les arrets'!$J:$J,"Electrique")</f>
        <v>0</v>
      </c>
      <c r="MG11" s="139">
        <f>SUMIFS('les arrets'!$G:$G,'les arrets'!$B:$B,KPI!MG4,'les arrets'!$J:$J,"Electrique")</f>
        <v>0</v>
      </c>
      <c r="MH11" s="139">
        <f>SUMIFS('les arrets'!$G:$G,'les arrets'!$B:$B,KPI!MH4,'les arrets'!$J:$J,"Electrique")</f>
        <v>0</v>
      </c>
      <c r="MI11" s="100">
        <f t="shared" si="90"/>
        <v>0</v>
      </c>
      <c r="MJ11" s="139">
        <f>SUMIFS('les arrets'!$G:$G,'les arrets'!$B:$B,KPI!MJ4,'les arrets'!$J:$J,"Electrique")</f>
        <v>0</v>
      </c>
      <c r="MK11" s="139">
        <f>SUMIFS('les arrets'!$G:$G,'les arrets'!$B:$B,KPI!MK4,'les arrets'!$J:$J,"Electrique")</f>
        <v>0</v>
      </c>
      <c r="ML11" s="139">
        <f>SUMIFS('les arrets'!$G:$G,'les arrets'!$B:$B,KPI!ML4,'les arrets'!$J:$J,"Electrique")</f>
        <v>0</v>
      </c>
      <c r="MM11" s="139">
        <f>SUMIFS('les arrets'!$G:$G,'les arrets'!$B:$B,KPI!MM4,'les arrets'!$J:$J,"Electrique")</f>
        <v>0</v>
      </c>
      <c r="MN11" s="139">
        <f>SUMIFS('les arrets'!$G:$G,'les arrets'!$B:$B,KPI!MN4,'les arrets'!$J:$J,"Electrique")</f>
        <v>0</v>
      </c>
      <c r="MO11" s="139">
        <f>SUMIFS('les arrets'!$G:$G,'les arrets'!$B:$B,KPI!MO4,'les arrets'!$J:$J,"Electrique")</f>
        <v>0</v>
      </c>
      <c r="MP11" s="139">
        <f>SUMIFS('les arrets'!$G:$G,'les arrets'!$B:$B,KPI!MP4,'les arrets'!$J:$J,"Electrique")</f>
        <v>0</v>
      </c>
      <c r="MQ11" s="100">
        <f t="shared" si="91"/>
        <v>0</v>
      </c>
      <c r="MR11" s="139">
        <f>SUMIFS('les arrets'!$G:$G,'les arrets'!$B:$B,KPI!MR4,'les arrets'!$J:$J,"Electrique")</f>
        <v>0</v>
      </c>
      <c r="MS11" s="139">
        <f>SUMIFS('les arrets'!$G:$G,'les arrets'!$B:$B,KPI!MS4,'les arrets'!$J:$J,"Electrique")</f>
        <v>0</v>
      </c>
      <c r="MT11" s="139">
        <f>SUMIFS('les arrets'!$G:$G,'les arrets'!$B:$B,KPI!MT4,'les arrets'!$J:$J,"Electrique")</f>
        <v>0</v>
      </c>
      <c r="MU11" s="139">
        <f>SUMIFS('les arrets'!$G:$G,'les arrets'!$B:$B,KPI!MU4,'les arrets'!$J:$J,"Electrique")</f>
        <v>0</v>
      </c>
      <c r="MV11" s="139">
        <f>SUMIFS('les arrets'!$G:$G,'les arrets'!$B:$B,KPI!MV4,'les arrets'!$J:$J,"Electrique")</f>
        <v>0</v>
      </c>
      <c r="MW11" s="139">
        <f>SUMIFS('les arrets'!$G:$G,'les arrets'!$B:$B,KPI!MW4,'les arrets'!$J:$J,"Electrique")</f>
        <v>0</v>
      </c>
      <c r="MX11" s="139">
        <f>SUMIFS('les arrets'!$G:$G,'les arrets'!$B:$B,KPI!MX4,'les arrets'!$J:$J,"Electrique")</f>
        <v>0</v>
      </c>
      <c r="MY11" s="100">
        <f t="shared" si="92"/>
        <v>0</v>
      </c>
      <c r="MZ11" s="139">
        <f>SUMIFS('les arrets'!$G:$G,'les arrets'!$B:$B,KPI!MZ4,'les arrets'!$J:$J,"Electrique")</f>
        <v>0</v>
      </c>
      <c r="NA11" s="139">
        <f>SUMIFS('les arrets'!$G:$G,'les arrets'!$B:$B,KPI!NA4,'les arrets'!$J:$J,"Electrique")</f>
        <v>0</v>
      </c>
      <c r="NB11" s="139">
        <f>SUMIFS('les arrets'!$G:$G,'les arrets'!$B:$B,KPI!NB4,'les arrets'!$J:$J,"Electrique")</f>
        <v>0</v>
      </c>
      <c r="NC11" s="139">
        <f>SUMIFS('les arrets'!$G:$G,'les arrets'!$B:$B,KPI!NC4,'les arrets'!$J:$J,"Electrique")</f>
        <v>0</v>
      </c>
      <c r="ND11" s="139">
        <f>SUMIFS('les arrets'!$G:$G,'les arrets'!$B:$B,KPI!ND4,'les arrets'!$J:$J,"Electrique")</f>
        <v>0</v>
      </c>
      <c r="NE11" s="139">
        <f>SUMIFS('les arrets'!$G:$G,'les arrets'!$B:$B,KPI!NE4,'les arrets'!$J:$J,"Electrique")</f>
        <v>0</v>
      </c>
      <c r="NF11" s="139">
        <f>SUMIFS('les arrets'!$G:$G,'les arrets'!$B:$B,KPI!NF4,'les arrets'!$J:$J,"Electrique")</f>
        <v>0</v>
      </c>
      <c r="NG11" s="100">
        <f t="shared" si="93"/>
        <v>0</v>
      </c>
      <c r="NH11" s="139">
        <f>SUMIFS('les arrets'!$G:$G,'les arrets'!$B:$B,KPI!NH4,'les arrets'!$J:$J,"Electrique")</f>
        <v>0</v>
      </c>
      <c r="NI11" s="139">
        <f>SUMIFS('les arrets'!$G:$G,'les arrets'!$B:$B,KPI!NI4,'les arrets'!$J:$J,"Electrique")</f>
        <v>0</v>
      </c>
      <c r="NJ11" s="139">
        <f>SUMIFS('les arrets'!$G:$G,'les arrets'!$B:$B,KPI!NJ4,'les arrets'!$J:$J,"Electrique")</f>
        <v>0</v>
      </c>
      <c r="NK11" s="139">
        <f>SUMIFS('les arrets'!$G:$G,'les arrets'!$B:$B,KPI!NK4,'les arrets'!$J:$J,"Electrique")</f>
        <v>0</v>
      </c>
      <c r="NL11" s="139">
        <f>SUMIFS('les arrets'!$G:$G,'les arrets'!$B:$B,KPI!NL4,'les arrets'!$J:$J,"Electrique")</f>
        <v>0</v>
      </c>
      <c r="NM11" s="139">
        <f>SUMIFS('les arrets'!$G:$G,'les arrets'!$B:$B,KPI!NM4,'les arrets'!$J:$J,"Electrique")</f>
        <v>0</v>
      </c>
      <c r="NN11" s="139">
        <f>SUMIFS('les arrets'!$G:$G,'les arrets'!$B:$B,KPI!NN4,'les arrets'!$J:$J,"Electrique")</f>
        <v>0</v>
      </c>
      <c r="NO11" s="100">
        <f t="shared" si="94"/>
        <v>0</v>
      </c>
      <c r="NP11" s="139">
        <f>SUMIFS('les arrets'!$G:$G,'les arrets'!$B:$B,KPI!NP4,'les arrets'!$J:$J,"Electrique")</f>
        <v>0</v>
      </c>
      <c r="NQ11" s="139">
        <f>SUMIFS('les arrets'!$G:$G,'les arrets'!$B:$B,KPI!NQ4,'les arrets'!$J:$J,"Electrique")</f>
        <v>0</v>
      </c>
      <c r="NR11" s="139">
        <f>SUMIFS('les arrets'!$G:$G,'les arrets'!$B:$B,KPI!NR4,'les arrets'!$J:$J,"Electrique")</f>
        <v>0</v>
      </c>
      <c r="NS11" s="139">
        <f>SUMIFS('les arrets'!$G:$G,'les arrets'!$B:$B,KPI!NS4,'les arrets'!$J:$J,"Electrique")</f>
        <v>0</v>
      </c>
      <c r="NT11" s="139">
        <f>SUMIFS('les arrets'!$G:$G,'les arrets'!$B:$B,KPI!NT4,'les arrets'!$J:$J,"Electrique")</f>
        <v>0</v>
      </c>
      <c r="NU11" s="139">
        <f>SUMIFS('les arrets'!$G:$G,'les arrets'!$B:$B,KPI!NU4,'les arrets'!$J:$J,"Electrique")</f>
        <v>0</v>
      </c>
      <c r="NV11" s="139">
        <f>SUMIFS('les arrets'!$G:$G,'les arrets'!$B:$B,KPI!NV4,'les arrets'!$J:$J,"Electrique")</f>
        <v>0</v>
      </c>
      <c r="NW11" s="100">
        <f t="shared" si="95"/>
        <v>0</v>
      </c>
    </row>
    <row r="12" spans="1:15679" ht="15.75" x14ac:dyDescent="0.25">
      <c r="A12" s="593"/>
      <c r="B12" s="80"/>
      <c r="C12" s="90" t="s">
        <v>370</v>
      </c>
      <c r="D12" s="139">
        <f>SUMIFS('les arrets'!$G:$G,'les arrets'!$B:$B,KPI!D4,'les arrets'!$J:$J,"Electronique")</f>
        <v>0</v>
      </c>
      <c r="E12" s="139">
        <f>SUMIFS('les arrets'!$G:$G,'les arrets'!$B:$B,KPI!E4,'les arrets'!$J:$J,"Electronique")</f>
        <v>0</v>
      </c>
      <c r="F12" s="139">
        <f>SUMIFS('les arrets'!$G:$G,'les arrets'!$B:$B,KPI!F4,'les arrets'!$J:$J,"Electronique")</f>
        <v>0</v>
      </c>
      <c r="G12" s="139">
        <f>SUMIFS('les arrets'!$G:$G,'les arrets'!$B:$B,KPI!G4,'les arrets'!$J:$J,"Electronique")</f>
        <v>0</v>
      </c>
      <c r="H12" s="139">
        <f>SUMIFS('les arrets'!$G:$G,'les arrets'!$B:$B,KPI!H4,'les arrets'!$J:$J,"Electronique")</f>
        <v>0</v>
      </c>
      <c r="I12" s="139">
        <f>SUMIFS('les arrets'!$G:$G,'les arrets'!$B:$B,KPI!I4,'les arrets'!$J:$J,"Electronique")</f>
        <v>0</v>
      </c>
      <c r="J12" s="139">
        <f>SUMIFS('les arrets'!$G:$G,'les arrets'!$B:$B,KPI!J4,'les arrets'!$J:$J,"Electronique")</f>
        <v>0</v>
      </c>
      <c r="K12" s="100">
        <f t="shared" si="96"/>
        <v>0</v>
      </c>
      <c r="L12" s="139">
        <f>SUMIFS('les arrets'!$G:$G,'les arrets'!$B:$B,KPI!L4,'les arrets'!$J:$J,"Electronique")</f>
        <v>0</v>
      </c>
      <c r="M12" s="139">
        <f>SUMIFS('les arrets'!$G:$G,'les arrets'!$B:$B,KPI!M4,'les arrets'!$J:$J,"Electronique")</f>
        <v>0</v>
      </c>
      <c r="N12" s="139">
        <f>SUMIFS('les arrets'!$G:$G,'les arrets'!$B:$B,KPI!N4,'les arrets'!$J:$J,"Electronique")</f>
        <v>0</v>
      </c>
      <c r="O12" s="139">
        <f>SUMIFS('les arrets'!$G:$G,'les arrets'!$B:$B,KPI!O4,'les arrets'!$J:$J,"Electronique")</f>
        <v>0</v>
      </c>
      <c r="P12" s="139">
        <f>SUMIFS('les arrets'!$G:$G,'les arrets'!$B:$B,KPI!P4,'les arrets'!$J:$J,"Electronique")</f>
        <v>0</v>
      </c>
      <c r="Q12" s="139">
        <f>SUMIFS('les arrets'!$G:$G,'les arrets'!$B:$B,KPI!Q4,'les arrets'!$J:$J,"Electronique")</f>
        <v>0</v>
      </c>
      <c r="R12" s="139">
        <f>SUMIFS('les arrets'!$G:$G,'les arrets'!$B:$B,KPI!R4,'les arrets'!$J:$J,"Electronique")</f>
        <v>0</v>
      </c>
      <c r="S12" s="100">
        <f t="shared" si="49"/>
        <v>0</v>
      </c>
      <c r="T12" s="139">
        <f>SUMIFS('les arrets'!$G:$G,'les arrets'!$B:$B,KPI!T4,'les arrets'!$J:$J,"Electronique")</f>
        <v>0</v>
      </c>
      <c r="U12" s="139">
        <f>SUMIFS('les arrets'!$G:$G,'les arrets'!$B:$B,KPI!U4,'les arrets'!$J:$J,"Electronique")</f>
        <v>0</v>
      </c>
      <c r="V12" s="139">
        <f>SUMIFS('les arrets'!$G:$G,'les arrets'!$B:$B,KPI!V4,'les arrets'!$J:$J,"Electronique")</f>
        <v>0</v>
      </c>
      <c r="W12" s="139">
        <f>SUMIFS('les arrets'!$G:$G,'les arrets'!$B:$B,KPI!W4,'les arrets'!$J:$J,"Electronique")</f>
        <v>0</v>
      </c>
      <c r="X12" s="139">
        <f>SUMIFS('les arrets'!$G:$G,'les arrets'!$B:$B,KPI!X4,'les arrets'!$J:$J,"Electronique")</f>
        <v>0</v>
      </c>
      <c r="Y12" s="139">
        <f>SUMIFS('les arrets'!$G:$G,'les arrets'!$B:$B,KPI!Y4,'les arrets'!$J:$J,"Electronique")</f>
        <v>0</v>
      </c>
      <c r="Z12" s="139">
        <f>SUMIFS('les arrets'!$G:$G,'les arrets'!$B:$B,KPI!Z4,'les arrets'!$J:$J,"Electronique")</f>
        <v>0</v>
      </c>
      <c r="AA12" s="100">
        <f t="shared" si="50"/>
        <v>0</v>
      </c>
      <c r="AB12" s="139">
        <f>SUMIFS('les arrets'!$G:$G,'les arrets'!$B:$B,KPI!AB4,'les arrets'!$J:$J,"Electronique")</f>
        <v>0</v>
      </c>
      <c r="AC12" s="139">
        <f>SUMIFS('les arrets'!$G:$G,'les arrets'!$B:$B,KPI!AC4,'les arrets'!$J:$J,"Electronique")</f>
        <v>0</v>
      </c>
      <c r="AD12" s="139">
        <f>SUMIFS('les arrets'!$G:$G,'les arrets'!$B:$B,KPI!AD4,'les arrets'!$J:$J,"Electronique")</f>
        <v>0</v>
      </c>
      <c r="AE12" s="139">
        <f>SUMIFS('les arrets'!$G:$G,'les arrets'!$B:$B,KPI!AE4,'les arrets'!$J:$J,"Electronique")</f>
        <v>0</v>
      </c>
      <c r="AF12" s="139">
        <f>SUMIFS('les arrets'!$G:$G,'les arrets'!$B:$B,KPI!AF4,'les arrets'!$J:$J,"Electronique")</f>
        <v>0</v>
      </c>
      <c r="AG12" s="139">
        <f>SUMIFS('les arrets'!$G:$G,'les arrets'!$B:$B,KPI!AG4,'les arrets'!$J:$J,"Electronique")</f>
        <v>0</v>
      </c>
      <c r="AH12" s="139">
        <f>SUMIFS('les arrets'!$G:$G,'les arrets'!$B:$B,KPI!AH4,'les arrets'!$J:$J,"Electronique")</f>
        <v>0</v>
      </c>
      <c r="AI12" s="100">
        <f t="shared" si="51"/>
        <v>0</v>
      </c>
      <c r="AJ12" s="139">
        <f>SUMIFS('les arrets'!$G:$G,'les arrets'!$B:$B,KPI!AJ4,'les arrets'!$J:$J,"Electronique")</f>
        <v>0</v>
      </c>
      <c r="AK12" s="139">
        <f>SUMIFS('les arrets'!$G:$G,'les arrets'!$B:$B,KPI!AK4,'les arrets'!$J:$J,"Electronique")</f>
        <v>0</v>
      </c>
      <c r="AL12" s="139">
        <f>SUMIFS('les arrets'!$G:$G,'les arrets'!$B:$B,KPI!AL4,'les arrets'!$J:$J,"Electronique")</f>
        <v>0</v>
      </c>
      <c r="AM12" s="139">
        <f>SUMIFS('les arrets'!$G:$G,'les arrets'!$B:$B,KPI!AM4,'les arrets'!$J:$J,"Electronique")</f>
        <v>0</v>
      </c>
      <c r="AN12" s="139">
        <f>SUMIFS('les arrets'!$G:$G,'les arrets'!$B:$B,KPI!AN4,'les arrets'!$J:$J,"Electronique")</f>
        <v>0</v>
      </c>
      <c r="AO12" s="139">
        <f>SUMIFS('les arrets'!$G:$G,'les arrets'!$B:$B,KPI!AO4,'les arrets'!$J:$J,"Electronique")</f>
        <v>0</v>
      </c>
      <c r="AP12" s="139">
        <f>SUMIFS('les arrets'!$G:$G,'les arrets'!$B:$B,KPI!AP4,'les arrets'!$J:$J,"Electronique")</f>
        <v>0</v>
      </c>
      <c r="AQ12" s="100">
        <f t="shared" si="52"/>
        <v>0</v>
      </c>
      <c r="AR12" s="139">
        <f>SUMIFS('les arrets'!$G:$G,'les arrets'!$B:$B,KPI!AR4,'les arrets'!$J:$J,"Electronique")</f>
        <v>0</v>
      </c>
      <c r="AS12" s="139">
        <f>SUMIFS('les arrets'!$G:$G,'les arrets'!$B:$B,KPI!AS4,'les arrets'!$J:$J,"Electronique")</f>
        <v>0</v>
      </c>
      <c r="AT12" s="139">
        <f>SUMIFS('les arrets'!$G:$G,'les arrets'!$B:$B,KPI!AT4,'les arrets'!$J:$J,"Electronique")</f>
        <v>0</v>
      </c>
      <c r="AU12" s="139">
        <f>SUMIFS('les arrets'!$G:$G,'les arrets'!$B:$B,KPI!AU4,'les arrets'!$J:$J,"Electronique")</f>
        <v>0</v>
      </c>
      <c r="AV12" s="139">
        <f>SUMIFS('les arrets'!$G:$G,'les arrets'!$B:$B,KPI!AV4,'les arrets'!$J:$J,"Electronique")</f>
        <v>0</v>
      </c>
      <c r="AW12" s="139">
        <f>SUMIFS('les arrets'!$G:$G,'les arrets'!$B:$B,KPI!AW4,'les arrets'!$J:$J,"Electronique")</f>
        <v>0</v>
      </c>
      <c r="AX12" s="139">
        <f>SUMIFS('les arrets'!$G:$G,'les arrets'!$B:$B,KPI!AX4,'les arrets'!$J:$J,"Electronique")</f>
        <v>0</v>
      </c>
      <c r="AY12" s="100">
        <f t="shared" si="53"/>
        <v>0</v>
      </c>
      <c r="AZ12" s="139">
        <f>SUMIFS('les arrets'!$G:$G,'les arrets'!$B:$B,KPI!AZ4,'les arrets'!$J:$J,"Electronique")</f>
        <v>0</v>
      </c>
      <c r="BA12" s="139">
        <f>SUMIFS('les arrets'!$G:$G,'les arrets'!$B:$B,KPI!BA4,'les arrets'!$J:$J,"Electronique")</f>
        <v>0</v>
      </c>
      <c r="BB12" s="139">
        <f>SUMIFS('les arrets'!$G:$G,'les arrets'!$B:$B,KPI!BB4,'les arrets'!$J:$J,"Electronique")</f>
        <v>0</v>
      </c>
      <c r="BC12" s="139">
        <f>SUMIFS('les arrets'!$G:$G,'les arrets'!$B:$B,KPI!BC4,'les arrets'!$J:$J,"Electronique")</f>
        <v>0</v>
      </c>
      <c r="BD12" s="139">
        <f>SUMIFS('les arrets'!$G:$G,'les arrets'!$B:$B,KPI!BD4,'les arrets'!$J:$J,"Electronique")</f>
        <v>0</v>
      </c>
      <c r="BE12" s="139">
        <f>SUMIFS('les arrets'!$G:$G,'les arrets'!$B:$B,KPI!BE4,'les arrets'!$J:$J,"Electronique")</f>
        <v>0</v>
      </c>
      <c r="BF12" s="139">
        <f>SUMIFS('les arrets'!$G:$G,'les arrets'!$B:$B,KPI!BF4,'les arrets'!$J:$J,"Electronique")</f>
        <v>0</v>
      </c>
      <c r="BG12" s="100">
        <f t="shared" si="54"/>
        <v>0</v>
      </c>
      <c r="BH12" s="139">
        <f>SUMIFS('les arrets'!$G:$G,'les arrets'!$B:$B,KPI!BH4,'les arrets'!$J:$J,"Electronique")</f>
        <v>0</v>
      </c>
      <c r="BI12" s="139">
        <f>SUMIFS('les arrets'!$G:$G,'les arrets'!$B:$B,KPI!BI4,'les arrets'!$J:$J,"Electronique")</f>
        <v>0</v>
      </c>
      <c r="BJ12" s="139">
        <f>SUMIFS('les arrets'!$G:$G,'les arrets'!$B:$B,KPI!BJ4,'les arrets'!$J:$J,"Electronique")</f>
        <v>0</v>
      </c>
      <c r="BK12" s="139">
        <f>SUMIFS('les arrets'!$G:$G,'les arrets'!$B:$B,KPI!BK4,'les arrets'!$J:$J,"Electronique")</f>
        <v>0</v>
      </c>
      <c r="BL12" s="139">
        <f>SUMIFS('les arrets'!$G:$G,'les arrets'!$B:$B,KPI!BL4,'les arrets'!$J:$J,"Electronique")</f>
        <v>0</v>
      </c>
      <c r="BM12" s="139">
        <f>SUMIFS('les arrets'!$G:$G,'les arrets'!$B:$B,KPI!BM4,'les arrets'!$J:$J,"Electronique")</f>
        <v>0</v>
      </c>
      <c r="BN12" s="139">
        <f>SUMIFS('les arrets'!$G:$G,'les arrets'!$B:$B,KPI!BN4,'les arrets'!$J:$J,"Electronique")</f>
        <v>0</v>
      </c>
      <c r="BO12" s="100">
        <f t="shared" si="55"/>
        <v>0</v>
      </c>
      <c r="BP12" s="139">
        <f>SUMIFS('les arrets'!$G:$G,'les arrets'!$B:$B,KPI!BP4,'les arrets'!$J:$J,"Electronique")</f>
        <v>0</v>
      </c>
      <c r="BQ12" s="139">
        <f>SUMIFS('les arrets'!$G:$G,'les arrets'!$B:$B,KPI!BQ4,'les arrets'!$J:$J,"Electronique")</f>
        <v>0</v>
      </c>
      <c r="BR12" s="139">
        <f>SUMIFS('les arrets'!$G:$G,'les arrets'!$B:$B,KPI!BR4,'les arrets'!$J:$J,"Electronique")</f>
        <v>0</v>
      </c>
      <c r="BS12" s="139">
        <f>SUMIFS('les arrets'!$G:$G,'les arrets'!$B:$B,KPI!BS4,'les arrets'!$J:$J,"Electronique")</f>
        <v>0</v>
      </c>
      <c r="BT12" s="139">
        <f>SUMIFS('les arrets'!$G:$G,'les arrets'!$B:$B,KPI!BT4,'les arrets'!$J:$J,"Electronique")</f>
        <v>0</v>
      </c>
      <c r="BU12" s="139">
        <f>SUMIFS('les arrets'!$G:$G,'les arrets'!$B:$B,KPI!BU4,'les arrets'!$J:$J,"Electronique")</f>
        <v>0</v>
      </c>
      <c r="BV12" s="139">
        <f>SUMIFS('les arrets'!$G:$G,'les arrets'!$B:$B,KPI!BV4,'les arrets'!$J:$J,"Electronique")</f>
        <v>0</v>
      </c>
      <c r="BW12" s="100">
        <f t="shared" si="56"/>
        <v>0</v>
      </c>
      <c r="BX12" s="139">
        <f>SUMIFS('les arrets'!$G:$G,'les arrets'!$B:$B,KPI!BX4,'les arrets'!$J:$J,"Electronique")</f>
        <v>0</v>
      </c>
      <c r="BY12" s="139">
        <f>SUMIFS('les arrets'!$G:$G,'les arrets'!$B:$B,KPI!BY4,'les arrets'!$J:$J,"Electronique")</f>
        <v>0</v>
      </c>
      <c r="BZ12" s="139">
        <f>SUMIFS('les arrets'!$G:$G,'les arrets'!$B:$B,KPI!BZ4,'les arrets'!$J:$J,"Electronique")</f>
        <v>0</v>
      </c>
      <c r="CA12" s="139">
        <f>SUMIFS('les arrets'!$G:$G,'les arrets'!$B:$B,KPI!CA4,'les arrets'!$J:$J,"Electronique")</f>
        <v>0</v>
      </c>
      <c r="CB12" s="139">
        <f>SUMIFS('les arrets'!$G:$G,'les arrets'!$B:$B,KPI!CB4,'les arrets'!$J:$J,"Electronique")</f>
        <v>0</v>
      </c>
      <c r="CC12" s="139">
        <f>SUMIFS('les arrets'!$G:$G,'les arrets'!$B:$B,KPI!CC4,'les arrets'!$J:$J,"Electronique")</f>
        <v>0</v>
      </c>
      <c r="CD12" s="139">
        <f>SUMIFS('les arrets'!$G:$G,'les arrets'!$B:$B,KPI!CD4,'les arrets'!$J:$J,"Electronique")</f>
        <v>0</v>
      </c>
      <c r="CE12" s="100">
        <f t="shared" si="57"/>
        <v>0</v>
      </c>
      <c r="CF12" s="139">
        <f>SUMIFS('les arrets'!$G:$G,'les arrets'!$B:$B,KPI!CF4,'les arrets'!$J:$J,"Electronique")</f>
        <v>0</v>
      </c>
      <c r="CG12" s="139">
        <f>SUMIFS('les arrets'!$G:$G,'les arrets'!$B:$B,KPI!CG4,'les arrets'!$J:$J,"Electronique")</f>
        <v>0</v>
      </c>
      <c r="CH12" s="139">
        <f>SUMIFS('les arrets'!$G:$G,'les arrets'!$B:$B,KPI!CH4,'les arrets'!$J:$J,"Electronique")</f>
        <v>0</v>
      </c>
      <c r="CI12" s="139">
        <f>SUMIFS('les arrets'!$G:$G,'les arrets'!$B:$B,KPI!CI4,'les arrets'!$J:$J,"Electronique")</f>
        <v>0</v>
      </c>
      <c r="CJ12" s="139">
        <f>SUMIFS('les arrets'!$G:$G,'les arrets'!$B:$B,KPI!CJ4,'les arrets'!$J:$J,"Electronique")</f>
        <v>0</v>
      </c>
      <c r="CK12" s="139">
        <f>SUMIFS('les arrets'!$G:$G,'les arrets'!$B:$B,KPI!CK4,'les arrets'!$J:$J,"Electronique")</f>
        <v>0</v>
      </c>
      <c r="CL12" s="139">
        <f>SUMIFS('les arrets'!$G:$G,'les arrets'!$B:$B,KPI!CL4,'les arrets'!$J:$J,"Electronique")</f>
        <v>0</v>
      </c>
      <c r="CM12" s="100">
        <f t="shared" si="58"/>
        <v>0</v>
      </c>
      <c r="CN12" s="139">
        <f>SUMIFS('les arrets'!$G:$G,'les arrets'!$B:$B,KPI!CN4,'les arrets'!$J:$J,"Electronique")</f>
        <v>0</v>
      </c>
      <c r="CO12" s="139">
        <f>SUMIFS('les arrets'!$G:$G,'les arrets'!$B:$B,KPI!CO4,'les arrets'!$J:$J,"Electronique")</f>
        <v>0</v>
      </c>
      <c r="CP12" s="139">
        <f>SUMIFS('les arrets'!$G:$G,'les arrets'!$B:$B,KPI!CP4,'les arrets'!$J:$J,"Electronique")</f>
        <v>0</v>
      </c>
      <c r="CQ12" s="139">
        <f>SUMIFS('les arrets'!$G:$G,'les arrets'!$B:$B,KPI!CQ4,'les arrets'!$J:$J,"Electronique")</f>
        <v>0</v>
      </c>
      <c r="CR12" s="139">
        <f>SUMIFS('les arrets'!$G:$G,'les arrets'!$B:$B,KPI!CR4,'les arrets'!$J:$J,"Electronique")</f>
        <v>0</v>
      </c>
      <c r="CS12" s="139">
        <f>SUMIFS('les arrets'!$G:$G,'les arrets'!$B:$B,KPI!CS4,'les arrets'!$J:$J,"Electronique")</f>
        <v>0</v>
      </c>
      <c r="CT12" s="139">
        <f>SUMIFS('les arrets'!$G:$G,'les arrets'!$B:$B,KPI!CT4,'les arrets'!$J:$J,"Electronique")</f>
        <v>0</v>
      </c>
      <c r="CU12" s="100">
        <f t="shared" si="59"/>
        <v>0</v>
      </c>
      <c r="CV12" s="139">
        <f>SUMIFS('les arrets'!$G:$G,'les arrets'!$B:$B,KPI!CV4,'les arrets'!$J:$J,"Electronique")</f>
        <v>0</v>
      </c>
      <c r="CW12" s="139">
        <f>SUMIFS('les arrets'!$G:$G,'les arrets'!$B:$B,KPI!CW4,'les arrets'!$J:$J,"Electronique")</f>
        <v>0</v>
      </c>
      <c r="CX12" s="139">
        <f>SUMIFS('les arrets'!$G:$G,'les arrets'!$B:$B,KPI!CX4,'les arrets'!$J:$J,"Electronique")</f>
        <v>0</v>
      </c>
      <c r="CY12" s="139">
        <f>SUMIFS('les arrets'!$G:$G,'les arrets'!$B:$B,KPI!CY4,'les arrets'!$J:$J,"Electronique")</f>
        <v>0</v>
      </c>
      <c r="CZ12" s="139">
        <f>SUMIFS('les arrets'!$G:$G,'les arrets'!$B:$B,KPI!CZ4,'les arrets'!$J:$J,"Electronique")</f>
        <v>0</v>
      </c>
      <c r="DA12" s="139">
        <f>SUMIFS('les arrets'!$G:$G,'les arrets'!$B:$B,KPI!DA4,'les arrets'!$J:$J,"Electronique")</f>
        <v>0</v>
      </c>
      <c r="DB12" s="139">
        <f>SUMIFS('les arrets'!$G:$G,'les arrets'!$B:$B,KPI!DB4,'les arrets'!$J:$J,"Electronique")</f>
        <v>0</v>
      </c>
      <c r="DC12" s="100">
        <f t="shared" si="60"/>
        <v>0</v>
      </c>
      <c r="DD12" s="139">
        <f>SUMIFS('les arrets'!$G:$G,'les arrets'!$B:$B,KPI!DD4,'les arrets'!$J:$J,"Electronique")</f>
        <v>0</v>
      </c>
      <c r="DE12" s="139">
        <f>SUMIFS('les arrets'!$G:$G,'les arrets'!$B:$B,KPI!DE4,'les arrets'!$J:$J,"Electronique")</f>
        <v>0</v>
      </c>
      <c r="DF12" s="139">
        <f>SUMIFS('les arrets'!$G:$G,'les arrets'!$B:$B,KPI!DF4,'les arrets'!$J:$J,"Electronique")</f>
        <v>0</v>
      </c>
      <c r="DG12" s="139">
        <f>SUMIFS('les arrets'!$G:$G,'les arrets'!$B:$B,KPI!DG4,'les arrets'!$J:$J,"Electronique")</f>
        <v>0</v>
      </c>
      <c r="DH12" s="139">
        <f>SUMIFS('les arrets'!$G:$G,'les arrets'!$B:$B,KPI!DH4,'les arrets'!$J:$J,"Electronique")</f>
        <v>0</v>
      </c>
      <c r="DI12" s="139">
        <f>SUMIFS('les arrets'!$G:$G,'les arrets'!$B:$B,KPI!DI4,'les arrets'!$J:$J,"Electronique")</f>
        <v>0</v>
      </c>
      <c r="DJ12" s="139">
        <f>SUMIFS('les arrets'!$G:$G,'les arrets'!$B:$B,KPI!DJ4,'les arrets'!$J:$J,"Electronique")</f>
        <v>0</v>
      </c>
      <c r="DK12" s="100">
        <f t="shared" si="61"/>
        <v>0</v>
      </c>
      <c r="DL12" s="139">
        <f>SUMIFS('les arrets'!$G:$G,'les arrets'!$B:$B,KPI!DL4,'les arrets'!$J:$J,"Electronique")</f>
        <v>0</v>
      </c>
      <c r="DM12" s="139">
        <f>SUMIFS('les arrets'!$G:$G,'les arrets'!$B:$B,KPI!DM4,'les arrets'!$J:$J,"Electronique")</f>
        <v>0</v>
      </c>
      <c r="DN12" s="139">
        <f>SUMIFS('les arrets'!$G:$G,'les arrets'!$B:$B,KPI!DN4,'les arrets'!$J:$J,"Electronique")</f>
        <v>0</v>
      </c>
      <c r="DO12" s="139">
        <f>SUMIFS('les arrets'!$G:$G,'les arrets'!$B:$B,KPI!DO4,'les arrets'!$J:$J,"Electronique")</f>
        <v>0</v>
      </c>
      <c r="DP12" s="139">
        <f>SUMIFS('les arrets'!$G:$G,'les arrets'!$B:$B,KPI!DP4,'les arrets'!$J:$J,"Electronique")</f>
        <v>0</v>
      </c>
      <c r="DQ12" s="139">
        <f>SUMIFS('les arrets'!$G:$G,'les arrets'!$B:$B,KPI!DQ4,'les arrets'!$J:$J,"Electronique")</f>
        <v>0</v>
      </c>
      <c r="DR12" s="139">
        <f>SUMIFS('les arrets'!$G:$G,'les arrets'!$B:$B,KPI!DR4,'les arrets'!$J:$J,"Electronique")</f>
        <v>0</v>
      </c>
      <c r="DS12" s="100">
        <f t="shared" si="62"/>
        <v>0</v>
      </c>
      <c r="DT12" s="139">
        <f>SUMIFS('les arrets'!$G:$G,'les arrets'!$B:$B,KPI!DT4,'les arrets'!$J:$J,"Electronique")</f>
        <v>0</v>
      </c>
      <c r="DU12" s="139">
        <f>SUMIFS('les arrets'!$G:$G,'les arrets'!$B:$B,KPI!DU4,'les arrets'!$J:$J,"Electronique")</f>
        <v>0</v>
      </c>
      <c r="DV12" s="139">
        <f>SUMIFS('les arrets'!$G:$G,'les arrets'!$B:$B,KPI!DV4,'les arrets'!$J:$J,"Electronique")</f>
        <v>0</v>
      </c>
      <c r="DW12" s="139">
        <f>SUMIFS('les arrets'!$G:$G,'les arrets'!$B:$B,KPI!DW4,'les arrets'!$J:$J,"Electronique")</f>
        <v>0</v>
      </c>
      <c r="DX12" s="139">
        <f>SUMIFS('les arrets'!$G:$G,'les arrets'!$B:$B,KPI!DX4,'les arrets'!$J:$J,"Electronique")</f>
        <v>0</v>
      </c>
      <c r="DY12" s="139">
        <f>SUMIFS('les arrets'!$G:$G,'les arrets'!$B:$B,KPI!DY4,'les arrets'!$J:$J,"Electronique")</f>
        <v>0</v>
      </c>
      <c r="DZ12" s="139">
        <f>SUMIFS('les arrets'!$G:$G,'les arrets'!$B:$B,KPI!DZ4,'les arrets'!$J:$J,"Electronique")</f>
        <v>0</v>
      </c>
      <c r="EA12" s="100">
        <f t="shared" si="63"/>
        <v>0</v>
      </c>
      <c r="EB12" s="139">
        <f>SUMIFS('les arrets'!$G:$G,'les arrets'!$B:$B,KPI!EB4,'les arrets'!$J:$J,"Electronique")</f>
        <v>0</v>
      </c>
      <c r="EC12" s="139">
        <f>SUMIFS('les arrets'!$G:$G,'les arrets'!$B:$B,KPI!EC4,'les arrets'!$J:$J,"Electronique")</f>
        <v>0</v>
      </c>
      <c r="ED12" s="139">
        <f>SUMIFS('les arrets'!$G:$G,'les arrets'!$B:$B,KPI!ED4,'les arrets'!$J:$J,"Electronique")</f>
        <v>0</v>
      </c>
      <c r="EE12" s="139">
        <f>SUMIFS('les arrets'!$G:$G,'les arrets'!$B:$B,KPI!EE4,'les arrets'!$J:$J,"Electronique")</f>
        <v>0</v>
      </c>
      <c r="EF12" s="139">
        <f>SUMIFS('les arrets'!$G:$G,'les arrets'!$B:$B,KPI!EF4,'les arrets'!$J:$J,"Electronique")</f>
        <v>0</v>
      </c>
      <c r="EG12" s="139">
        <f>SUMIFS('les arrets'!$G:$G,'les arrets'!$B:$B,KPI!EG4,'les arrets'!$J:$J,"Electronique")</f>
        <v>0</v>
      </c>
      <c r="EH12" s="139">
        <f>SUMIFS('les arrets'!$G:$G,'les arrets'!$B:$B,KPI!EH4,'les arrets'!$J:$J,"Electronique")</f>
        <v>0</v>
      </c>
      <c r="EI12" s="100">
        <f t="shared" si="64"/>
        <v>0</v>
      </c>
      <c r="EJ12" s="139">
        <f>SUMIFS('les arrets'!$G:$G,'les arrets'!$B:$B,KPI!EJ4,'les arrets'!$J:$J,"Electronique")</f>
        <v>0</v>
      </c>
      <c r="EK12" s="139">
        <f>SUMIFS('les arrets'!$G:$G,'les arrets'!$B:$B,KPI!EK4,'les arrets'!$J:$J,"Electronique")</f>
        <v>0</v>
      </c>
      <c r="EL12" s="139">
        <f>SUMIFS('les arrets'!$G:$G,'les arrets'!$B:$B,KPI!EL4,'les arrets'!$J:$J,"Electronique")</f>
        <v>0</v>
      </c>
      <c r="EM12" s="139">
        <f>SUMIFS('les arrets'!$G:$G,'les arrets'!$B:$B,KPI!EM4,'les arrets'!$J:$J,"Electronique")</f>
        <v>0</v>
      </c>
      <c r="EN12" s="139">
        <f>SUMIFS('les arrets'!$G:$G,'les arrets'!$B:$B,KPI!EN4,'les arrets'!$J:$J,"Electronique")</f>
        <v>0</v>
      </c>
      <c r="EO12" s="139">
        <f>SUMIFS('les arrets'!$G:$G,'les arrets'!$B:$B,KPI!EO4,'les arrets'!$J:$J,"Electronique")</f>
        <v>0</v>
      </c>
      <c r="EP12" s="139">
        <f>SUMIFS('les arrets'!$G:$G,'les arrets'!$B:$B,KPI!EP4,'les arrets'!$J:$J,"Electronique")</f>
        <v>0</v>
      </c>
      <c r="EQ12" s="100">
        <f t="shared" si="65"/>
        <v>0</v>
      </c>
      <c r="ER12" s="139">
        <f>SUMIFS('les arrets'!$G:$G,'les arrets'!$B:$B,KPI!ER4,'les arrets'!$J:$J,"Electronique")</f>
        <v>0</v>
      </c>
      <c r="ES12" s="139">
        <f>SUMIFS('les arrets'!$G:$G,'les arrets'!$B:$B,KPI!ES4,'les arrets'!$J:$J,"Electronique")</f>
        <v>0</v>
      </c>
      <c r="ET12" s="139">
        <f>SUMIFS('les arrets'!$G:$G,'les arrets'!$B:$B,KPI!ET4,'les arrets'!$J:$J,"Electronique")</f>
        <v>0</v>
      </c>
      <c r="EU12" s="139">
        <f>SUMIFS('les arrets'!$G:$G,'les arrets'!$B:$B,KPI!EU4,'les arrets'!$J:$J,"Electronique")</f>
        <v>0</v>
      </c>
      <c r="EV12" s="139">
        <f>SUMIFS('les arrets'!$G:$G,'les arrets'!$B:$B,KPI!EV4,'les arrets'!$J:$J,"Electronique")</f>
        <v>0</v>
      </c>
      <c r="EW12" s="139">
        <f>SUMIFS('les arrets'!$G:$G,'les arrets'!$B:$B,KPI!EW4,'les arrets'!$J:$J,"Electronique")</f>
        <v>0</v>
      </c>
      <c r="EX12" s="139">
        <f>SUMIFS('les arrets'!$G:$G,'les arrets'!$B:$B,KPI!EX4,'les arrets'!$J:$J,"Electronique")</f>
        <v>0</v>
      </c>
      <c r="EY12" s="100">
        <f t="shared" si="66"/>
        <v>0</v>
      </c>
      <c r="EZ12" s="139">
        <f>SUMIFS('les arrets'!$G:$G,'les arrets'!$B:$B,KPI!EZ4,'les arrets'!$J:$J,"Electronique")</f>
        <v>0</v>
      </c>
      <c r="FA12" s="139">
        <f>SUMIFS('les arrets'!$G:$G,'les arrets'!$B:$B,KPI!FA4,'les arrets'!$J:$J,"Electronique")</f>
        <v>0</v>
      </c>
      <c r="FB12" s="139">
        <f>SUMIFS('les arrets'!$G:$G,'les arrets'!$B:$B,KPI!FB4,'les arrets'!$J:$J,"Electronique")</f>
        <v>0</v>
      </c>
      <c r="FC12" s="139">
        <f>SUMIFS('les arrets'!$G:$G,'les arrets'!$B:$B,KPI!FC4,'les arrets'!$J:$J,"Electronique")</f>
        <v>0</v>
      </c>
      <c r="FD12" s="139">
        <f>SUMIFS('les arrets'!$G:$G,'les arrets'!$B:$B,KPI!FD4,'les arrets'!$J:$J,"Electronique")</f>
        <v>0</v>
      </c>
      <c r="FE12" s="139">
        <f>SUMIFS('les arrets'!$G:$G,'les arrets'!$B:$B,KPI!FE4,'les arrets'!$J:$J,"Electronique")</f>
        <v>0</v>
      </c>
      <c r="FF12" s="139">
        <f>SUMIFS('les arrets'!$G:$G,'les arrets'!$B:$B,KPI!FF4,'les arrets'!$J:$J,"Electronique")</f>
        <v>0</v>
      </c>
      <c r="FG12" s="100">
        <f t="shared" si="67"/>
        <v>0</v>
      </c>
      <c r="FH12" s="139">
        <f>SUMIFS('les arrets'!$G:$G,'les arrets'!$B:$B,KPI!FH4,'les arrets'!$J:$J,"Electronique")</f>
        <v>0</v>
      </c>
      <c r="FI12" s="139">
        <f>SUMIFS('les arrets'!$G:$G,'les arrets'!$B:$B,KPI!FI4,'les arrets'!$J:$J,"Electronique")</f>
        <v>0</v>
      </c>
      <c r="FJ12" s="139">
        <f>SUMIFS('les arrets'!$G:$G,'les arrets'!$B:$B,KPI!FJ4,'les arrets'!$J:$J,"Electronique")</f>
        <v>0</v>
      </c>
      <c r="FK12" s="139">
        <f>SUMIFS('les arrets'!$G:$G,'les arrets'!$B:$B,KPI!FK4,'les arrets'!$J:$J,"Electronique")</f>
        <v>0</v>
      </c>
      <c r="FL12" s="139">
        <f>SUMIFS('les arrets'!$G:$G,'les arrets'!$B:$B,KPI!FL4,'les arrets'!$J:$J,"Electronique")</f>
        <v>0</v>
      </c>
      <c r="FM12" s="139">
        <f>SUMIFS('les arrets'!$G:$G,'les arrets'!$B:$B,KPI!FM4,'les arrets'!$J:$J,"Electronique")</f>
        <v>0</v>
      </c>
      <c r="FN12" s="139">
        <f>SUMIFS('les arrets'!$G:$G,'les arrets'!$B:$B,KPI!FN4,'les arrets'!$J:$J,"Electronique")</f>
        <v>0</v>
      </c>
      <c r="FO12" s="100">
        <f t="shared" si="68"/>
        <v>0</v>
      </c>
      <c r="FP12" s="139">
        <f>SUMIFS('les arrets'!$G:$G,'les arrets'!$B:$B,KPI!FP4,'les arrets'!$J:$J,"Electronique")</f>
        <v>0</v>
      </c>
      <c r="FQ12" s="139">
        <f>SUMIFS('les arrets'!$G:$G,'les arrets'!$B:$B,KPI!FQ4,'les arrets'!$J:$J,"Electronique")</f>
        <v>0</v>
      </c>
      <c r="FR12" s="139">
        <f>SUMIFS('les arrets'!$G:$G,'les arrets'!$B:$B,KPI!FR4,'les arrets'!$J:$J,"Electronique")</f>
        <v>0</v>
      </c>
      <c r="FS12" s="139">
        <f>SUMIFS('les arrets'!$G:$G,'les arrets'!$B:$B,KPI!FS4,'les arrets'!$J:$J,"Electronique")</f>
        <v>0</v>
      </c>
      <c r="FT12" s="139">
        <f>SUMIFS('les arrets'!$G:$G,'les arrets'!$B:$B,KPI!FT4,'les arrets'!$J:$J,"Electronique")</f>
        <v>0</v>
      </c>
      <c r="FU12" s="139">
        <f>SUMIFS('les arrets'!$G:$G,'les arrets'!$B:$B,KPI!FU4,'les arrets'!$J:$J,"Electronique")</f>
        <v>0</v>
      </c>
      <c r="FV12" s="139">
        <f>SUMIFS('les arrets'!$G:$G,'les arrets'!$B:$B,KPI!FV4,'les arrets'!$J:$J,"Electronique")</f>
        <v>0</v>
      </c>
      <c r="FW12" s="100">
        <f t="shared" si="69"/>
        <v>0</v>
      </c>
      <c r="FX12" s="139">
        <f>SUMIFS('les arrets'!$G:$G,'les arrets'!$B:$B,KPI!FX4,'les arrets'!$J:$J,"Electronique")</f>
        <v>0</v>
      </c>
      <c r="FY12" s="139">
        <f>SUMIFS('les arrets'!$G:$G,'les arrets'!$B:$B,KPI!FY4,'les arrets'!$J:$J,"Electronique")</f>
        <v>0</v>
      </c>
      <c r="FZ12" s="139">
        <f>SUMIFS('les arrets'!$G:$G,'les arrets'!$B:$B,KPI!FZ4,'les arrets'!$J:$J,"Electronique")</f>
        <v>0</v>
      </c>
      <c r="GA12" s="139">
        <f>SUMIFS('les arrets'!$G:$G,'les arrets'!$B:$B,KPI!GA4,'les arrets'!$J:$J,"Electronique")</f>
        <v>0</v>
      </c>
      <c r="GB12" s="139">
        <f>SUMIFS('les arrets'!$G:$G,'les arrets'!$B:$B,KPI!GB4,'les arrets'!$J:$J,"Electronique")</f>
        <v>0</v>
      </c>
      <c r="GC12" s="139">
        <f>SUMIFS('les arrets'!$G:$G,'les arrets'!$B:$B,KPI!GC4,'les arrets'!$J:$J,"Electronique")</f>
        <v>0</v>
      </c>
      <c r="GD12" s="139">
        <f>SUMIFS('les arrets'!$G:$G,'les arrets'!$B:$B,KPI!GD4,'les arrets'!$J:$J,"Electronique")</f>
        <v>0</v>
      </c>
      <c r="GE12" s="100">
        <f t="shared" si="70"/>
        <v>0</v>
      </c>
      <c r="GF12" s="139">
        <f>SUMIFS('les arrets'!$G:$G,'les arrets'!$B:$B,KPI!GF4,'les arrets'!$J:$J,"Electronique")</f>
        <v>0</v>
      </c>
      <c r="GG12" s="139">
        <f>SUMIFS('les arrets'!$G:$G,'les arrets'!$B:$B,KPI!GG4,'les arrets'!$J:$J,"Electronique")</f>
        <v>0</v>
      </c>
      <c r="GH12" s="139">
        <f>SUMIFS('les arrets'!$G:$G,'les arrets'!$B:$B,KPI!GH4,'les arrets'!$J:$J,"Electronique")</f>
        <v>0</v>
      </c>
      <c r="GI12" s="139">
        <f>SUMIFS('les arrets'!$G:$G,'les arrets'!$B:$B,KPI!GI4,'les arrets'!$J:$J,"Electronique")</f>
        <v>0</v>
      </c>
      <c r="GJ12" s="139">
        <f>SUMIFS('les arrets'!$G:$G,'les arrets'!$B:$B,KPI!GJ4,'les arrets'!$J:$J,"Electronique")</f>
        <v>0</v>
      </c>
      <c r="GK12" s="139">
        <f>SUMIFS('les arrets'!$G:$G,'les arrets'!$B:$B,KPI!GK4,'les arrets'!$J:$J,"Electronique")</f>
        <v>0</v>
      </c>
      <c r="GL12" s="139">
        <f>SUMIFS('les arrets'!$G:$G,'les arrets'!$B:$B,KPI!GL4,'les arrets'!$J:$J,"Electronique")</f>
        <v>0</v>
      </c>
      <c r="GM12" s="100">
        <f t="shared" si="71"/>
        <v>0</v>
      </c>
      <c r="GN12" s="139">
        <f>SUMIFS('les arrets'!$G:$G,'les arrets'!$B:$B,KPI!GN4,'les arrets'!$J:$J,"Electronique")</f>
        <v>0</v>
      </c>
      <c r="GO12" s="139">
        <f>SUMIFS('les arrets'!$G:$G,'les arrets'!$B:$B,KPI!GO4,'les arrets'!$J:$J,"Electronique")</f>
        <v>0</v>
      </c>
      <c r="GP12" s="139">
        <f>SUMIFS('les arrets'!$G:$G,'les arrets'!$B:$B,KPI!GP4,'les arrets'!$J:$J,"Electronique")</f>
        <v>0</v>
      </c>
      <c r="GQ12" s="139">
        <f>SUMIFS('les arrets'!$G:$G,'les arrets'!$B:$B,KPI!GQ4,'les arrets'!$J:$J,"Electronique")</f>
        <v>0</v>
      </c>
      <c r="GR12" s="139">
        <f>SUMIFS('les arrets'!$G:$G,'les arrets'!$B:$B,KPI!GR4,'les arrets'!$J:$J,"Electronique")</f>
        <v>0</v>
      </c>
      <c r="GS12" s="139">
        <f>SUMIFS('les arrets'!$G:$G,'les arrets'!$B:$B,KPI!GS4,'les arrets'!$J:$J,"Electronique")</f>
        <v>0</v>
      </c>
      <c r="GT12" s="139">
        <f>SUMIFS('les arrets'!$G:$G,'les arrets'!$B:$B,KPI!GT4,'les arrets'!$J:$J,"Electronique")</f>
        <v>0</v>
      </c>
      <c r="GU12" s="100">
        <f t="shared" si="72"/>
        <v>0</v>
      </c>
      <c r="GV12" s="139">
        <f>SUMIFS('les arrets'!$G:$G,'les arrets'!$B:$B,KPI!GV4,'les arrets'!$J:$J,"Electronique")</f>
        <v>0</v>
      </c>
      <c r="GW12" s="139">
        <f>SUMIFS('les arrets'!$G:$G,'les arrets'!$B:$B,KPI!GW4,'les arrets'!$J:$J,"Electronique")</f>
        <v>0</v>
      </c>
      <c r="GX12" s="139">
        <f>SUMIFS('les arrets'!$G:$G,'les arrets'!$B:$B,KPI!GX4,'les arrets'!$J:$J,"Electronique")</f>
        <v>0</v>
      </c>
      <c r="GY12" s="139">
        <f>SUMIFS('les arrets'!$G:$G,'les arrets'!$B:$B,KPI!GY4,'les arrets'!$J:$J,"Electronique")</f>
        <v>0</v>
      </c>
      <c r="GZ12" s="139">
        <f>SUMIFS('les arrets'!$G:$G,'les arrets'!$B:$B,KPI!GZ4,'les arrets'!$J:$J,"Electronique")</f>
        <v>0</v>
      </c>
      <c r="HA12" s="139">
        <f>SUMIFS('les arrets'!$G:$G,'les arrets'!$B:$B,KPI!HA4,'les arrets'!$J:$J,"Electronique")</f>
        <v>0</v>
      </c>
      <c r="HB12" s="139">
        <f>SUMIFS('les arrets'!$G:$G,'les arrets'!$B:$B,KPI!HB4,'les arrets'!$J:$J,"Electronique")</f>
        <v>0</v>
      </c>
      <c r="HC12" s="100">
        <f t="shared" si="73"/>
        <v>0</v>
      </c>
      <c r="HD12" s="139">
        <f>SUMIFS('les arrets'!$G:$G,'les arrets'!$B:$B,KPI!HD4,'les arrets'!$J:$J,"Electronique")</f>
        <v>0</v>
      </c>
      <c r="HE12" s="139">
        <f>SUMIFS('les arrets'!$G:$G,'les arrets'!$B:$B,KPI!HE4,'les arrets'!$J:$J,"Electronique")</f>
        <v>0</v>
      </c>
      <c r="HF12" s="139">
        <f>SUMIFS('les arrets'!$G:$G,'les arrets'!$B:$B,KPI!HF4,'les arrets'!$J:$J,"Electronique")</f>
        <v>0</v>
      </c>
      <c r="HG12" s="139">
        <f>SUMIFS('les arrets'!$G:$G,'les arrets'!$B:$B,KPI!HG4,'les arrets'!$J:$J,"Electronique")</f>
        <v>0</v>
      </c>
      <c r="HH12" s="139">
        <f>SUMIFS('les arrets'!$G:$G,'les arrets'!$B:$B,KPI!HH4,'les arrets'!$J:$J,"Electronique")</f>
        <v>0</v>
      </c>
      <c r="HI12" s="139">
        <f>SUMIFS('les arrets'!$G:$G,'les arrets'!$B:$B,KPI!HI4,'les arrets'!$J:$J,"Electronique")</f>
        <v>0</v>
      </c>
      <c r="HJ12" s="139">
        <f>SUMIFS('les arrets'!$G:$G,'les arrets'!$B:$B,KPI!HJ4,'les arrets'!$J:$J,"Electronique")</f>
        <v>0</v>
      </c>
      <c r="HK12" s="100">
        <f t="shared" si="74"/>
        <v>0</v>
      </c>
      <c r="HL12" s="139">
        <f>SUMIFS('les arrets'!$G:$G,'les arrets'!$B:$B,KPI!HL4,'les arrets'!$J:$J,"Electronique")</f>
        <v>0</v>
      </c>
      <c r="HM12" s="139">
        <f>SUMIFS('les arrets'!$G:$G,'les arrets'!$B:$B,KPI!HM4,'les arrets'!$J:$J,"Electronique")</f>
        <v>0</v>
      </c>
      <c r="HN12" s="139">
        <f>SUMIFS('les arrets'!$G:$G,'les arrets'!$B:$B,KPI!HN4,'les arrets'!$J:$J,"Electronique")</f>
        <v>0</v>
      </c>
      <c r="HO12" s="139">
        <f>SUMIFS('les arrets'!$G:$G,'les arrets'!$B:$B,KPI!HO4,'les arrets'!$J:$J,"Electronique")</f>
        <v>0</v>
      </c>
      <c r="HP12" s="139">
        <f>SUMIFS('les arrets'!$G:$G,'les arrets'!$B:$B,KPI!HP4,'les arrets'!$J:$J,"Electronique")</f>
        <v>0</v>
      </c>
      <c r="HQ12" s="139">
        <f>SUMIFS('les arrets'!$G:$G,'les arrets'!$B:$B,KPI!HQ4,'les arrets'!$J:$J,"Electronique")</f>
        <v>0</v>
      </c>
      <c r="HR12" s="139">
        <f>SUMIFS('les arrets'!$G:$G,'les arrets'!$B:$B,KPI!HR4,'les arrets'!$J:$J,"Electronique")</f>
        <v>0</v>
      </c>
      <c r="HS12" s="100">
        <f t="shared" si="75"/>
        <v>0</v>
      </c>
      <c r="HT12" s="139">
        <f>SUMIFS('les arrets'!$G:$G,'les arrets'!$B:$B,KPI!HT4,'les arrets'!$J:$J,"Electronique")</f>
        <v>0</v>
      </c>
      <c r="HU12" s="139">
        <f>SUMIFS('les arrets'!$G:$G,'les arrets'!$B:$B,KPI!HU4,'les arrets'!$J:$J,"Electronique")</f>
        <v>0</v>
      </c>
      <c r="HV12" s="139">
        <f>SUMIFS('les arrets'!$G:$G,'les arrets'!$B:$B,KPI!HV4,'les arrets'!$J:$J,"Electronique")</f>
        <v>0</v>
      </c>
      <c r="HW12" s="139">
        <f>SUMIFS('les arrets'!$G:$G,'les arrets'!$B:$B,KPI!HW4,'les arrets'!$J:$J,"Electronique")</f>
        <v>0</v>
      </c>
      <c r="HX12" s="139">
        <f>SUMIFS('les arrets'!$G:$G,'les arrets'!$B:$B,KPI!HX4,'les arrets'!$J:$J,"Electronique")</f>
        <v>0</v>
      </c>
      <c r="HY12" s="139">
        <f>SUMIFS('les arrets'!$G:$G,'les arrets'!$B:$B,KPI!HY4,'les arrets'!$J:$J,"Electronique")</f>
        <v>0</v>
      </c>
      <c r="HZ12" s="139">
        <f>SUMIFS('les arrets'!$G:$G,'les arrets'!$B:$B,KPI!HZ4,'les arrets'!$J:$J,"Electronique")</f>
        <v>0</v>
      </c>
      <c r="IA12" s="100">
        <f t="shared" si="76"/>
        <v>0</v>
      </c>
      <c r="IB12" s="139">
        <f>SUMIFS('les arrets'!$G:$G,'les arrets'!$B:$B,KPI!IB4,'les arrets'!$J:$J,"Electronique")</f>
        <v>0</v>
      </c>
      <c r="IC12" s="139">
        <f>SUMIFS('les arrets'!$G:$G,'les arrets'!$B:$B,KPI!IC4,'les arrets'!$J:$J,"Electronique")</f>
        <v>0</v>
      </c>
      <c r="ID12" s="139">
        <f>SUMIFS('les arrets'!$G:$G,'les arrets'!$B:$B,KPI!ID4,'les arrets'!$J:$J,"Electronique")</f>
        <v>0</v>
      </c>
      <c r="IE12" s="139">
        <f>SUMIFS('les arrets'!$G:$G,'les arrets'!$B:$B,KPI!IE4,'les arrets'!$J:$J,"Electronique")</f>
        <v>0</v>
      </c>
      <c r="IF12" s="139">
        <f>SUMIFS('les arrets'!$G:$G,'les arrets'!$B:$B,KPI!IF4,'les arrets'!$J:$J,"Electronique")</f>
        <v>0</v>
      </c>
      <c r="IG12" s="139">
        <f>SUMIFS('les arrets'!$G:$G,'les arrets'!$B:$B,KPI!IG4,'les arrets'!$J:$J,"Electronique")</f>
        <v>0</v>
      </c>
      <c r="IH12" s="139">
        <f>SUMIFS('les arrets'!$G:$G,'les arrets'!$B:$B,KPI!IH4,'les arrets'!$J:$J,"Electronique")</f>
        <v>0</v>
      </c>
      <c r="II12" s="100">
        <f t="shared" si="77"/>
        <v>0</v>
      </c>
      <c r="IJ12" s="139">
        <f>SUMIFS('les arrets'!$G:$G,'les arrets'!$B:$B,KPI!IJ4,'les arrets'!$J:$J,"Electronique")</f>
        <v>0</v>
      </c>
      <c r="IK12" s="139">
        <f>SUMIFS('les arrets'!$G:$G,'les arrets'!$B:$B,KPI!IK4,'les arrets'!$J:$J,"Electronique")</f>
        <v>0</v>
      </c>
      <c r="IL12" s="139">
        <f>SUMIFS('les arrets'!$G:$G,'les arrets'!$B:$B,KPI!IL4,'les arrets'!$J:$J,"Electronique")</f>
        <v>0</v>
      </c>
      <c r="IM12" s="139">
        <f>SUMIFS('les arrets'!$G:$G,'les arrets'!$B:$B,KPI!IM4,'les arrets'!$J:$J,"Electronique")</f>
        <v>0</v>
      </c>
      <c r="IN12" s="139">
        <f>SUMIFS('les arrets'!$G:$G,'les arrets'!$B:$B,KPI!IN4,'les arrets'!$J:$J,"Electronique")</f>
        <v>0</v>
      </c>
      <c r="IO12" s="139">
        <f>SUMIFS('les arrets'!$G:$G,'les arrets'!$B:$B,KPI!IO4,'les arrets'!$J:$J,"Electronique")</f>
        <v>0</v>
      </c>
      <c r="IP12" s="139">
        <f>SUMIFS('les arrets'!$G:$G,'les arrets'!$B:$B,KPI!IP4,'les arrets'!$J:$J,"Electronique")</f>
        <v>0</v>
      </c>
      <c r="IQ12" s="100">
        <f t="shared" si="78"/>
        <v>0</v>
      </c>
      <c r="IR12" s="139">
        <f>SUMIFS('les arrets'!$G:$G,'les arrets'!$B:$B,KPI!IR4,'les arrets'!$J:$J,"Electronique")</f>
        <v>0</v>
      </c>
      <c r="IS12" s="139">
        <f>SUMIFS('les arrets'!$G:$G,'les arrets'!$B:$B,KPI!IS4,'les arrets'!$J:$J,"Electronique")</f>
        <v>0</v>
      </c>
      <c r="IT12" s="139">
        <f>SUMIFS('les arrets'!$G:$G,'les arrets'!$B:$B,KPI!IT4,'les arrets'!$J:$J,"Electronique")</f>
        <v>0</v>
      </c>
      <c r="IU12" s="139">
        <f>SUMIFS('les arrets'!$G:$G,'les arrets'!$B:$B,KPI!IU4,'les arrets'!$J:$J,"Electronique")</f>
        <v>0</v>
      </c>
      <c r="IV12" s="139">
        <f>SUMIFS('les arrets'!$G:$G,'les arrets'!$B:$B,KPI!IV4,'les arrets'!$J:$J,"Electronique")</f>
        <v>0</v>
      </c>
      <c r="IW12" s="139">
        <f>SUMIFS('les arrets'!$G:$G,'les arrets'!$B:$B,KPI!IW4,'les arrets'!$J:$J,"Electronique")</f>
        <v>0</v>
      </c>
      <c r="IX12" s="139">
        <f>SUMIFS('les arrets'!$G:$G,'les arrets'!$B:$B,KPI!IX4,'les arrets'!$J:$J,"Electronique")</f>
        <v>0</v>
      </c>
      <c r="IY12" s="100">
        <f t="shared" si="79"/>
        <v>0</v>
      </c>
      <c r="IZ12" s="139">
        <f>SUMIFS('les arrets'!$G:$G,'les arrets'!$B:$B,KPI!IZ4,'les arrets'!$J:$J,"Electronique")</f>
        <v>0</v>
      </c>
      <c r="JA12" s="139">
        <f>SUMIFS('les arrets'!$G:$G,'les arrets'!$B:$B,KPI!JA4,'les arrets'!$J:$J,"Electronique")</f>
        <v>0</v>
      </c>
      <c r="JB12" s="139">
        <f>SUMIFS('les arrets'!$G:$G,'les arrets'!$B:$B,KPI!JB4,'les arrets'!$J:$J,"Electronique")</f>
        <v>0</v>
      </c>
      <c r="JC12" s="139">
        <f>SUMIFS('les arrets'!$G:$G,'les arrets'!$B:$B,KPI!JC4,'les arrets'!$J:$J,"Electronique")</f>
        <v>0</v>
      </c>
      <c r="JD12" s="139">
        <f>SUMIFS('les arrets'!$G:$G,'les arrets'!$B:$B,KPI!JD4,'les arrets'!$J:$J,"Electronique")</f>
        <v>0</v>
      </c>
      <c r="JE12" s="139">
        <f>SUMIFS('les arrets'!$G:$G,'les arrets'!$B:$B,KPI!JE4,'les arrets'!$J:$J,"Electronique")</f>
        <v>0</v>
      </c>
      <c r="JF12" s="139">
        <f>SUMIFS('les arrets'!$G:$G,'les arrets'!$B:$B,KPI!JF4,'les arrets'!$J:$J,"Electronique")</f>
        <v>0</v>
      </c>
      <c r="JG12" s="100">
        <f t="shared" si="80"/>
        <v>0</v>
      </c>
      <c r="JH12" s="139">
        <f>SUMIFS('les arrets'!$G:$G,'les arrets'!$B:$B,KPI!JH4,'les arrets'!$J:$J,"Electronique")</f>
        <v>0</v>
      </c>
      <c r="JI12" s="139">
        <f>SUMIFS('les arrets'!$G:$G,'les arrets'!$B:$B,KPI!JI4,'les arrets'!$J:$J,"Electronique")</f>
        <v>0</v>
      </c>
      <c r="JJ12" s="139">
        <f>SUMIFS('les arrets'!$G:$G,'les arrets'!$B:$B,KPI!JJ4,'les arrets'!$J:$J,"Electronique")</f>
        <v>0</v>
      </c>
      <c r="JK12" s="139">
        <f>SUMIFS('les arrets'!$G:$G,'les arrets'!$B:$B,KPI!JK4,'les arrets'!$J:$J,"Electronique")</f>
        <v>0</v>
      </c>
      <c r="JL12" s="139">
        <f>SUMIFS('les arrets'!$G:$G,'les arrets'!$B:$B,KPI!JL4,'les arrets'!$J:$J,"Electronique")</f>
        <v>0</v>
      </c>
      <c r="JM12" s="139">
        <f>SUMIFS('les arrets'!$G:$G,'les arrets'!$B:$B,KPI!JM4,'les arrets'!$J:$J,"Electronique")</f>
        <v>0</v>
      </c>
      <c r="JN12" s="139">
        <f>SUMIFS('les arrets'!$G:$G,'les arrets'!$B:$B,KPI!JN4,'les arrets'!$J:$J,"Electronique")</f>
        <v>0</v>
      </c>
      <c r="JO12" s="100">
        <f t="shared" si="81"/>
        <v>0</v>
      </c>
      <c r="JP12" s="139">
        <f>SUMIFS('les arrets'!$G:$G,'les arrets'!$B:$B,KPI!JP4,'les arrets'!$J:$J,"Electronique")</f>
        <v>0</v>
      </c>
      <c r="JQ12" s="139">
        <f>SUMIFS('les arrets'!$G:$G,'les arrets'!$B:$B,KPI!JQ4,'les arrets'!$J:$J,"Electronique")</f>
        <v>0</v>
      </c>
      <c r="JR12" s="139">
        <f>SUMIFS('les arrets'!$G:$G,'les arrets'!$B:$B,KPI!JR4,'les arrets'!$J:$J,"Electronique")</f>
        <v>0</v>
      </c>
      <c r="JS12" s="139">
        <f>SUMIFS('les arrets'!$G:$G,'les arrets'!$B:$B,KPI!JS4,'les arrets'!$J:$J,"Electronique")</f>
        <v>0</v>
      </c>
      <c r="JT12" s="139">
        <f>SUMIFS('les arrets'!$G:$G,'les arrets'!$B:$B,KPI!JT4,'les arrets'!$J:$J,"Electronique")</f>
        <v>0</v>
      </c>
      <c r="JU12" s="139">
        <f>SUMIFS('les arrets'!$G:$G,'les arrets'!$B:$B,KPI!JU4,'les arrets'!$J:$J,"Electronique")</f>
        <v>0</v>
      </c>
      <c r="JV12" s="139">
        <f>SUMIFS('les arrets'!$G:$G,'les arrets'!$B:$B,KPI!JV4,'les arrets'!$J:$J,"Electronique")</f>
        <v>0</v>
      </c>
      <c r="JW12" s="100">
        <f t="shared" si="82"/>
        <v>0</v>
      </c>
      <c r="JX12" s="139">
        <f>SUMIFS('les arrets'!$G:$G,'les arrets'!$B:$B,KPI!JX4,'les arrets'!$J:$J,"Electronique")</f>
        <v>0</v>
      </c>
      <c r="JY12" s="139">
        <f>SUMIFS('les arrets'!$G:$G,'les arrets'!$B:$B,KPI!JY4,'les arrets'!$J:$J,"Electronique")</f>
        <v>0</v>
      </c>
      <c r="JZ12" s="139">
        <f>SUMIFS('les arrets'!$G:$G,'les arrets'!$B:$B,KPI!JZ4,'les arrets'!$J:$J,"Electronique")</f>
        <v>0</v>
      </c>
      <c r="KA12" s="139">
        <f>SUMIFS('les arrets'!$G:$G,'les arrets'!$B:$B,KPI!KA4,'les arrets'!$J:$J,"Electronique")</f>
        <v>0</v>
      </c>
      <c r="KB12" s="139">
        <f>SUMIFS('les arrets'!$G:$G,'les arrets'!$B:$B,KPI!KB4,'les arrets'!$J:$J,"Electronique")</f>
        <v>0</v>
      </c>
      <c r="KC12" s="139">
        <f>SUMIFS('les arrets'!$G:$G,'les arrets'!$B:$B,KPI!KC4,'les arrets'!$J:$J,"Electronique")</f>
        <v>0</v>
      </c>
      <c r="KD12" s="139">
        <f>SUMIFS('les arrets'!$G:$G,'les arrets'!$B:$B,KPI!KD4,'les arrets'!$J:$J,"Electronique")</f>
        <v>0</v>
      </c>
      <c r="KE12" s="100">
        <f t="shared" si="83"/>
        <v>0</v>
      </c>
      <c r="KF12" s="139">
        <f>SUMIFS('les arrets'!$G:$G,'les arrets'!$B:$B,KPI!KF4,'les arrets'!$J:$J,"Electronique")</f>
        <v>0</v>
      </c>
      <c r="KG12" s="139">
        <f>SUMIFS('les arrets'!$G:$G,'les arrets'!$B:$B,KPI!KG4,'les arrets'!$J:$J,"Electronique")</f>
        <v>0</v>
      </c>
      <c r="KH12" s="139">
        <f>SUMIFS('les arrets'!$G:$G,'les arrets'!$B:$B,KPI!KH4,'les arrets'!$J:$J,"Electronique")</f>
        <v>0</v>
      </c>
      <c r="KI12" s="139">
        <f>SUMIFS('les arrets'!$G:$G,'les arrets'!$B:$B,KPI!KI4,'les arrets'!$J:$J,"Electronique")</f>
        <v>0</v>
      </c>
      <c r="KJ12" s="139">
        <f>SUMIFS('les arrets'!$G:$G,'les arrets'!$B:$B,KPI!KJ4,'les arrets'!$J:$J,"Electronique")</f>
        <v>0</v>
      </c>
      <c r="KK12" s="139">
        <f>SUMIFS('les arrets'!$G:$G,'les arrets'!$B:$B,KPI!KK4,'les arrets'!$J:$J,"Electronique")</f>
        <v>0</v>
      </c>
      <c r="KL12" s="139">
        <f>SUMIFS('les arrets'!$G:$G,'les arrets'!$B:$B,KPI!KL4,'les arrets'!$J:$J,"Electronique")</f>
        <v>0</v>
      </c>
      <c r="KM12" s="100">
        <f t="shared" si="84"/>
        <v>0</v>
      </c>
      <c r="KN12" s="139">
        <f>SUMIFS('les arrets'!$G:$G,'les arrets'!$B:$B,KPI!KN4,'les arrets'!$J:$J,"Electronique")</f>
        <v>0</v>
      </c>
      <c r="KO12" s="139">
        <f>SUMIFS('les arrets'!$G:$G,'les arrets'!$B:$B,KPI!KO4,'les arrets'!$J:$J,"Electronique")</f>
        <v>0</v>
      </c>
      <c r="KP12" s="139">
        <f>SUMIFS('les arrets'!$G:$G,'les arrets'!$B:$B,KPI!KP4,'les arrets'!$J:$J,"Electronique")</f>
        <v>0</v>
      </c>
      <c r="KQ12" s="139">
        <f>SUMIFS('les arrets'!$G:$G,'les arrets'!$B:$B,KPI!KQ4,'les arrets'!$J:$J,"Electronique")</f>
        <v>0</v>
      </c>
      <c r="KR12" s="139">
        <f>SUMIFS('les arrets'!$G:$G,'les arrets'!$B:$B,KPI!KR4,'les arrets'!$J:$J,"Electronique")</f>
        <v>0</v>
      </c>
      <c r="KS12" s="139">
        <f>SUMIFS('les arrets'!$G:$G,'les arrets'!$B:$B,KPI!KS4,'les arrets'!$J:$J,"Electronique")</f>
        <v>0</v>
      </c>
      <c r="KT12" s="139">
        <f>SUMIFS('les arrets'!$G:$G,'les arrets'!$B:$B,KPI!KT4,'les arrets'!$J:$J,"Electronique")</f>
        <v>0</v>
      </c>
      <c r="KU12" s="100">
        <f t="shared" si="85"/>
        <v>0</v>
      </c>
      <c r="KV12" s="139">
        <f>SUMIFS('les arrets'!$G:$G,'les arrets'!$B:$B,KPI!KV4,'les arrets'!$J:$J,"Electronique")</f>
        <v>0</v>
      </c>
      <c r="KW12" s="139">
        <f>SUMIFS('les arrets'!$G:$G,'les arrets'!$B:$B,KPI!KW4,'les arrets'!$J:$J,"Electronique")</f>
        <v>0</v>
      </c>
      <c r="KX12" s="139">
        <f>SUMIFS('les arrets'!$G:$G,'les arrets'!$B:$B,KPI!KX4,'les arrets'!$J:$J,"Electronique")</f>
        <v>0</v>
      </c>
      <c r="KY12" s="139">
        <f>SUMIFS('les arrets'!$G:$G,'les arrets'!$B:$B,KPI!KY4,'les arrets'!$J:$J,"Electronique")</f>
        <v>0</v>
      </c>
      <c r="KZ12" s="139">
        <f>SUMIFS('les arrets'!$G:$G,'les arrets'!$B:$B,KPI!KZ4,'les arrets'!$J:$J,"Electronique")</f>
        <v>0</v>
      </c>
      <c r="LA12" s="139">
        <f>SUMIFS('les arrets'!$G:$G,'les arrets'!$B:$B,KPI!LA4,'les arrets'!$J:$J,"Electronique")</f>
        <v>0</v>
      </c>
      <c r="LB12" s="139">
        <f>SUMIFS('les arrets'!$G:$G,'les arrets'!$B:$B,KPI!LB4,'les arrets'!$J:$J,"Electronique")</f>
        <v>0</v>
      </c>
      <c r="LC12" s="100">
        <f t="shared" si="86"/>
        <v>0</v>
      </c>
      <c r="LD12" s="139">
        <f>SUMIFS('les arrets'!$G:$G,'les arrets'!$B:$B,KPI!LD4,'les arrets'!$J:$J,"Electronique")</f>
        <v>0</v>
      </c>
      <c r="LE12" s="139">
        <f>SUMIFS('les arrets'!$G:$G,'les arrets'!$B:$B,KPI!LE4,'les arrets'!$J:$J,"Electronique")</f>
        <v>0</v>
      </c>
      <c r="LF12" s="139">
        <f>SUMIFS('les arrets'!$G:$G,'les arrets'!$B:$B,KPI!LF4,'les arrets'!$J:$J,"Electronique")</f>
        <v>0</v>
      </c>
      <c r="LG12" s="139">
        <f>SUMIFS('les arrets'!$G:$G,'les arrets'!$B:$B,KPI!LG4,'les arrets'!$J:$J,"Electronique")</f>
        <v>0</v>
      </c>
      <c r="LH12" s="139">
        <f>SUMIFS('les arrets'!$G:$G,'les arrets'!$B:$B,KPI!LH4,'les arrets'!$J:$J,"Electronique")</f>
        <v>0</v>
      </c>
      <c r="LI12" s="139">
        <f>SUMIFS('les arrets'!$G:$G,'les arrets'!$B:$B,KPI!LI4,'les arrets'!$J:$J,"Electronique")</f>
        <v>0</v>
      </c>
      <c r="LJ12" s="139">
        <f>SUMIFS('les arrets'!$G:$G,'les arrets'!$B:$B,KPI!LJ4,'les arrets'!$J:$J,"Electronique")</f>
        <v>0</v>
      </c>
      <c r="LK12" s="100">
        <f t="shared" si="87"/>
        <v>0</v>
      </c>
      <c r="LL12" s="139">
        <f>SUMIFS('les arrets'!$G:$G,'les arrets'!$B:$B,KPI!LL4,'les arrets'!$J:$J,"Electronique")</f>
        <v>0</v>
      </c>
      <c r="LM12" s="139">
        <f>SUMIFS('les arrets'!$G:$G,'les arrets'!$B:$B,KPI!LM4,'les arrets'!$J:$J,"Electronique")</f>
        <v>0</v>
      </c>
      <c r="LN12" s="139">
        <f>SUMIFS('les arrets'!$G:$G,'les arrets'!$B:$B,KPI!LN4,'les arrets'!$J:$J,"Electronique")</f>
        <v>0</v>
      </c>
      <c r="LO12" s="139">
        <f>SUMIFS('les arrets'!$G:$G,'les arrets'!$B:$B,KPI!LO4,'les arrets'!$J:$J,"Electronique")</f>
        <v>0</v>
      </c>
      <c r="LP12" s="139">
        <f>SUMIFS('les arrets'!$G:$G,'les arrets'!$B:$B,KPI!LP4,'les arrets'!$J:$J,"Electronique")</f>
        <v>0</v>
      </c>
      <c r="LQ12" s="139">
        <f>SUMIFS('les arrets'!$G:$G,'les arrets'!$B:$B,KPI!LQ4,'les arrets'!$J:$J,"Electronique")</f>
        <v>0</v>
      </c>
      <c r="LR12" s="139">
        <f>SUMIFS('les arrets'!$G:$G,'les arrets'!$B:$B,KPI!LR4,'les arrets'!$J:$J,"Electronique")</f>
        <v>0</v>
      </c>
      <c r="LS12" s="100">
        <f t="shared" si="88"/>
        <v>0</v>
      </c>
      <c r="LT12" s="139">
        <f>SUMIFS('les arrets'!$G:$G,'les arrets'!$B:$B,KPI!LT4,'les arrets'!$J:$J,"Electronique")</f>
        <v>0</v>
      </c>
      <c r="LU12" s="139">
        <f>SUMIFS('les arrets'!$G:$G,'les arrets'!$B:$B,KPI!LU4,'les arrets'!$J:$J,"Electronique")</f>
        <v>0</v>
      </c>
      <c r="LV12" s="139">
        <f>SUMIFS('les arrets'!$G:$G,'les arrets'!$B:$B,KPI!LV4,'les arrets'!$J:$J,"Electronique")</f>
        <v>0</v>
      </c>
      <c r="LW12" s="139">
        <f>SUMIFS('les arrets'!$G:$G,'les arrets'!$B:$B,KPI!LW4,'les arrets'!$J:$J,"Electronique")</f>
        <v>0</v>
      </c>
      <c r="LX12" s="139">
        <f>SUMIFS('les arrets'!$G:$G,'les arrets'!$B:$B,KPI!LX4,'les arrets'!$J:$J,"Electronique")</f>
        <v>0</v>
      </c>
      <c r="LY12" s="139">
        <f>SUMIFS('les arrets'!$G:$G,'les arrets'!$B:$B,KPI!LY4,'les arrets'!$J:$J,"Electronique")</f>
        <v>0</v>
      </c>
      <c r="LZ12" s="139">
        <f>SUMIFS('les arrets'!$G:$G,'les arrets'!$B:$B,KPI!LZ4,'les arrets'!$J:$J,"Electronique")</f>
        <v>0</v>
      </c>
      <c r="MA12" s="100">
        <f t="shared" si="89"/>
        <v>0</v>
      </c>
      <c r="MB12" s="139">
        <f>SUMIFS('les arrets'!$G:$G,'les arrets'!$B:$B,KPI!MB4,'les arrets'!$J:$J,"Electronique")</f>
        <v>0</v>
      </c>
      <c r="MC12" s="139">
        <f>SUMIFS('les arrets'!$G:$G,'les arrets'!$B:$B,KPI!MC4,'les arrets'!$J:$J,"Electronique")</f>
        <v>0</v>
      </c>
      <c r="MD12" s="139">
        <f>SUMIFS('les arrets'!$G:$G,'les arrets'!$B:$B,KPI!MD4,'les arrets'!$J:$J,"Electronique")</f>
        <v>0</v>
      </c>
      <c r="ME12" s="139">
        <f>SUMIFS('les arrets'!$G:$G,'les arrets'!$B:$B,KPI!ME4,'les arrets'!$J:$J,"Electronique")</f>
        <v>0</v>
      </c>
      <c r="MF12" s="139">
        <f>SUMIFS('les arrets'!$G:$G,'les arrets'!$B:$B,KPI!MF4,'les arrets'!$J:$J,"Electronique")</f>
        <v>0</v>
      </c>
      <c r="MG12" s="139">
        <f>SUMIFS('les arrets'!$G:$G,'les arrets'!$B:$B,KPI!MG4,'les arrets'!$J:$J,"Electronique")</f>
        <v>0</v>
      </c>
      <c r="MH12" s="139">
        <f>SUMIFS('les arrets'!$G:$G,'les arrets'!$B:$B,KPI!MH4,'les arrets'!$J:$J,"Electronique")</f>
        <v>0</v>
      </c>
      <c r="MI12" s="100">
        <f t="shared" si="90"/>
        <v>0</v>
      </c>
      <c r="MJ12" s="139">
        <f>SUMIFS('les arrets'!$G:$G,'les arrets'!$B:$B,KPI!MJ4,'les arrets'!$J:$J,"Electronique")</f>
        <v>0</v>
      </c>
      <c r="MK12" s="139">
        <f>SUMIFS('les arrets'!$G:$G,'les arrets'!$B:$B,KPI!MK4,'les arrets'!$J:$J,"Electronique")</f>
        <v>0</v>
      </c>
      <c r="ML12" s="139">
        <f>SUMIFS('les arrets'!$G:$G,'les arrets'!$B:$B,KPI!ML4,'les arrets'!$J:$J,"Electronique")</f>
        <v>0</v>
      </c>
      <c r="MM12" s="139">
        <f>SUMIFS('les arrets'!$G:$G,'les arrets'!$B:$B,KPI!MM4,'les arrets'!$J:$J,"Electronique")</f>
        <v>0</v>
      </c>
      <c r="MN12" s="139">
        <f>SUMIFS('les arrets'!$G:$G,'les arrets'!$B:$B,KPI!MN4,'les arrets'!$J:$J,"Electronique")</f>
        <v>0</v>
      </c>
      <c r="MO12" s="139">
        <f>SUMIFS('les arrets'!$G:$G,'les arrets'!$B:$B,KPI!MO4,'les arrets'!$J:$J,"Electronique")</f>
        <v>0</v>
      </c>
      <c r="MP12" s="139">
        <f>SUMIFS('les arrets'!$G:$G,'les arrets'!$B:$B,KPI!MP4,'les arrets'!$J:$J,"Electronique")</f>
        <v>0</v>
      </c>
      <c r="MQ12" s="100">
        <f t="shared" si="91"/>
        <v>0</v>
      </c>
      <c r="MR12" s="139">
        <f>SUMIFS('les arrets'!$G:$G,'les arrets'!$B:$B,KPI!MR4,'les arrets'!$J:$J,"Electronique")</f>
        <v>0</v>
      </c>
      <c r="MS12" s="139">
        <f>SUMIFS('les arrets'!$G:$G,'les arrets'!$B:$B,KPI!MS4,'les arrets'!$J:$J,"Electronique")</f>
        <v>0</v>
      </c>
      <c r="MT12" s="139">
        <f>SUMIFS('les arrets'!$G:$G,'les arrets'!$B:$B,KPI!MT4,'les arrets'!$J:$J,"Electronique")</f>
        <v>0</v>
      </c>
      <c r="MU12" s="139">
        <f>SUMIFS('les arrets'!$G:$G,'les arrets'!$B:$B,KPI!MU4,'les arrets'!$J:$J,"Electronique")</f>
        <v>0</v>
      </c>
      <c r="MV12" s="139">
        <f>SUMIFS('les arrets'!$G:$G,'les arrets'!$B:$B,KPI!MV4,'les arrets'!$J:$J,"Electronique")</f>
        <v>0</v>
      </c>
      <c r="MW12" s="139">
        <f>SUMIFS('les arrets'!$G:$G,'les arrets'!$B:$B,KPI!MW4,'les arrets'!$J:$J,"Electronique")</f>
        <v>0</v>
      </c>
      <c r="MX12" s="139">
        <f>SUMIFS('les arrets'!$G:$G,'les arrets'!$B:$B,KPI!MX4,'les arrets'!$J:$J,"Electronique")</f>
        <v>0</v>
      </c>
      <c r="MY12" s="100">
        <f t="shared" si="92"/>
        <v>0</v>
      </c>
      <c r="MZ12" s="139">
        <f>SUMIFS('les arrets'!$G:$G,'les arrets'!$B:$B,KPI!MZ4,'les arrets'!$J:$J,"Electronique")</f>
        <v>0</v>
      </c>
      <c r="NA12" s="139">
        <f>SUMIFS('les arrets'!$G:$G,'les arrets'!$B:$B,KPI!NA4,'les arrets'!$J:$J,"Electronique")</f>
        <v>0</v>
      </c>
      <c r="NB12" s="139">
        <f>SUMIFS('les arrets'!$G:$G,'les arrets'!$B:$B,KPI!NB4,'les arrets'!$J:$J,"Electronique")</f>
        <v>0</v>
      </c>
      <c r="NC12" s="139">
        <f>SUMIFS('les arrets'!$G:$G,'les arrets'!$B:$B,KPI!NC4,'les arrets'!$J:$J,"Electronique")</f>
        <v>0</v>
      </c>
      <c r="ND12" s="139">
        <f>SUMIFS('les arrets'!$G:$G,'les arrets'!$B:$B,KPI!ND4,'les arrets'!$J:$J,"Electronique")</f>
        <v>0</v>
      </c>
      <c r="NE12" s="139">
        <f>SUMIFS('les arrets'!$G:$G,'les arrets'!$B:$B,KPI!NE4,'les arrets'!$J:$J,"Electronique")</f>
        <v>0</v>
      </c>
      <c r="NF12" s="139">
        <f>SUMIFS('les arrets'!$G:$G,'les arrets'!$B:$B,KPI!NF4,'les arrets'!$J:$J,"Electronique")</f>
        <v>0</v>
      </c>
      <c r="NG12" s="100">
        <f t="shared" si="93"/>
        <v>0</v>
      </c>
      <c r="NH12" s="139">
        <f>SUMIFS('les arrets'!$G:$G,'les arrets'!$B:$B,KPI!NH4,'les arrets'!$J:$J,"Electronique")</f>
        <v>0</v>
      </c>
      <c r="NI12" s="139">
        <f>SUMIFS('les arrets'!$G:$G,'les arrets'!$B:$B,KPI!NI4,'les arrets'!$J:$J,"Electronique")</f>
        <v>0</v>
      </c>
      <c r="NJ12" s="139">
        <f>SUMIFS('les arrets'!$G:$G,'les arrets'!$B:$B,KPI!NJ4,'les arrets'!$J:$J,"Electronique")</f>
        <v>0</v>
      </c>
      <c r="NK12" s="139">
        <f>SUMIFS('les arrets'!$G:$G,'les arrets'!$B:$B,KPI!NK4,'les arrets'!$J:$J,"Electronique")</f>
        <v>0</v>
      </c>
      <c r="NL12" s="139">
        <f>SUMIFS('les arrets'!$G:$G,'les arrets'!$B:$B,KPI!NL4,'les arrets'!$J:$J,"Electronique")</f>
        <v>0</v>
      </c>
      <c r="NM12" s="139">
        <f>SUMIFS('les arrets'!$G:$G,'les arrets'!$B:$B,KPI!NM4,'les arrets'!$J:$J,"Electronique")</f>
        <v>0</v>
      </c>
      <c r="NN12" s="139">
        <f>SUMIFS('les arrets'!$G:$G,'les arrets'!$B:$B,KPI!NN4,'les arrets'!$J:$J,"Electronique")</f>
        <v>0</v>
      </c>
      <c r="NO12" s="100">
        <f t="shared" si="94"/>
        <v>0</v>
      </c>
      <c r="NP12" s="139">
        <f>SUMIFS('les arrets'!$G:$G,'les arrets'!$B:$B,KPI!NP4,'les arrets'!$J:$J,"Electronique")</f>
        <v>0</v>
      </c>
      <c r="NQ12" s="139">
        <f>SUMIFS('les arrets'!$G:$G,'les arrets'!$B:$B,KPI!NQ4,'les arrets'!$J:$J,"Electronique")</f>
        <v>0</v>
      </c>
      <c r="NR12" s="139">
        <f>SUMIFS('les arrets'!$G:$G,'les arrets'!$B:$B,KPI!NR4,'les arrets'!$J:$J,"Electronique")</f>
        <v>0</v>
      </c>
      <c r="NS12" s="139">
        <f>SUMIFS('les arrets'!$G:$G,'les arrets'!$B:$B,KPI!NS4,'les arrets'!$J:$J,"Electronique")</f>
        <v>0</v>
      </c>
      <c r="NT12" s="139">
        <f>SUMIFS('les arrets'!$G:$G,'les arrets'!$B:$B,KPI!NT4,'les arrets'!$J:$J,"Electronique")</f>
        <v>0</v>
      </c>
      <c r="NU12" s="139">
        <f>SUMIFS('les arrets'!$G:$G,'les arrets'!$B:$B,KPI!NU4,'les arrets'!$J:$J,"Electronique")</f>
        <v>0</v>
      </c>
      <c r="NV12" s="139">
        <f>SUMIFS('les arrets'!$G:$G,'les arrets'!$B:$B,KPI!NV4,'les arrets'!$J:$J,"Electronique")</f>
        <v>0</v>
      </c>
      <c r="NW12" s="100">
        <f t="shared" si="95"/>
        <v>0</v>
      </c>
    </row>
    <row r="13" spans="1:15679" ht="15.75" x14ac:dyDescent="0.25">
      <c r="A13" s="593"/>
      <c r="B13" s="80"/>
      <c r="C13" s="90" t="s">
        <v>371</v>
      </c>
      <c r="D13" s="139"/>
      <c r="E13" s="139">
        <f>SUMIFS('les arrets'!$G:$G,'les arrets'!$B:$B,KPI!E4,'les arrets'!$J:$J,"Exploitation")</f>
        <v>0</v>
      </c>
      <c r="F13" s="139">
        <f>SUMIFS('les arrets'!$G:$G,'les arrets'!$B:$B,KPI!F4,'les arrets'!$J:$J,"Exploitation")</f>
        <v>0</v>
      </c>
      <c r="G13" s="139">
        <f>SUMIFS('les arrets'!$G:$G,'les arrets'!$B:$B,KPI!G4,'les arrets'!$J:$J,"Exploitation")</f>
        <v>0</v>
      </c>
      <c r="H13" s="139">
        <f>SUMIFS('les arrets'!$G:$G,'les arrets'!$B:$B,KPI!H4,'les arrets'!$J:$J,"Exploitation")</f>
        <v>0</v>
      </c>
      <c r="I13" s="139">
        <f>SUMIFS('les arrets'!$G:$G,'les arrets'!$B:$B,KPI!I4,'les arrets'!$J:$J,"Exploitation")</f>
        <v>0</v>
      </c>
      <c r="J13" s="139">
        <f>SUMIFS('les arrets'!$G:$G,'les arrets'!$B:$B,KPI!J4,'les arrets'!$J:$J,"Exploitation")</f>
        <v>0</v>
      </c>
      <c r="K13" s="100">
        <f t="shared" si="96"/>
        <v>0</v>
      </c>
      <c r="L13" s="139">
        <f>SUMIFS('les arrets'!$G:$G,'les arrets'!$B:$B,KPI!L4,'les arrets'!$J:$J,"Exploitation")</f>
        <v>0</v>
      </c>
      <c r="M13" s="139">
        <f>SUMIFS('les arrets'!$G:$G,'les arrets'!$B:$B,KPI!M4,'les arrets'!$J:$J,"Exploitation")</f>
        <v>0</v>
      </c>
      <c r="N13" s="139">
        <f>SUMIFS('les arrets'!$G:$G,'les arrets'!$B:$B,KPI!N4,'les arrets'!$J:$J,"Exploitation")</f>
        <v>0</v>
      </c>
      <c r="O13" s="139">
        <f>SUMIFS('les arrets'!$G:$G,'les arrets'!$B:$B,KPI!O4,'les arrets'!$J:$J,"Exploitation")</f>
        <v>0</v>
      </c>
      <c r="P13" s="139">
        <f>SUMIFS('les arrets'!$G:$G,'les arrets'!$B:$B,KPI!P4,'les arrets'!$J:$J,"Exploitation")</f>
        <v>0</v>
      </c>
      <c r="Q13" s="139">
        <f>SUMIFS('les arrets'!$G:$G,'les arrets'!$B:$B,KPI!Q4,'les arrets'!$J:$J,"Exploitation")</f>
        <v>0</v>
      </c>
      <c r="R13" s="139">
        <f>SUMIFS('les arrets'!$G:$G,'les arrets'!$B:$B,KPI!R4,'les arrets'!$J:$J,"Exploitation")</f>
        <v>0</v>
      </c>
      <c r="S13" s="100">
        <f t="shared" si="49"/>
        <v>0</v>
      </c>
      <c r="T13" s="139">
        <f>SUMIFS('les arrets'!$G:$G,'les arrets'!$B:$B,KPI!T4,'les arrets'!$J:$J,"Exploitation")</f>
        <v>0</v>
      </c>
      <c r="U13" s="139">
        <f>SUMIFS('les arrets'!$G:$G,'les arrets'!$B:$B,KPI!U4,'les arrets'!$J:$J,"Exploitation")</f>
        <v>0</v>
      </c>
      <c r="V13" s="139">
        <f>SUMIFS('les arrets'!$G:$G,'les arrets'!$B:$B,KPI!V4,'les arrets'!$J:$J,"Exploitation")</f>
        <v>0</v>
      </c>
      <c r="W13" s="139">
        <f>SUMIFS('les arrets'!$G:$G,'les arrets'!$B:$B,KPI!W4,'les arrets'!$J:$J,"Exploitation")</f>
        <v>0</v>
      </c>
      <c r="X13" s="139">
        <f>SUMIFS('les arrets'!$G:$G,'les arrets'!$B:$B,KPI!X4,'les arrets'!$J:$J,"Exploitation")</f>
        <v>0</v>
      </c>
      <c r="Y13" s="139">
        <f>SUMIFS('les arrets'!$G:$G,'les arrets'!$B:$B,KPI!Y4,'les arrets'!$J:$J,"Exploitation")</f>
        <v>0</v>
      </c>
      <c r="Z13" s="139">
        <f>SUMIFS('les arrets'!$G:$G,'les arrets'!$B:$B,KPI!Z4,'les arrets'!$J:$J,"Exploitation")</f>
        <v>0</v>
      </c>
      <c r="AA13" s="100">
        <f t="shared" si="50"/>
        <v>0</v>
      </c>
      <c r="AB13" s="139">
        <f>SUMIFS('les arrets'!$G:$G,'les arrets'!$B:$B,KPI!AB4,'les arrets'!$J:$J,"Exploitation")</f>
        <v>0</v>
      </c>
      <c r="AC13" s="139">
        <f>SUMIFS('les arrets'!$G:$G,'les arrets'!$B:$B,KPI!AC4,'les arrets'!$J:$J,"Exploitation")</f>
        <v>0</v>
      </c>
      <c r="AD13" s="139">
        <f>SUMIFS('les arrets'!$G:$G,'les arrets'!$B:$B,KPI!AD4,'les arrets'!$J:$J,"Exploitation")</f>
        <v>0</v>
      </c>
      <c r="AE13" s="139">
        <f>SUMIFS('les arrets'!$G:$G,'les arrets'!$B:$B,KPI!AE4,'les arrets'!$J:$J,"Exploitation")</f>
        <v>0</v>
      </c>
      <c r="AF13" s="139">
        <f>SUMIFS('les arrets'!$G:$G,'les arrets'!$B:$B,KPI!AF4,'les arrets'!$J:$J,"Exploitation")</f>
        <v>0</v>
      </c>
      <c r="AG13" s="139">
        <f>SUMIFS('les arrets'!$G:$G,'les arrets'!$B:$B,KPI!AG4,'les arrets'!$J:$J,"Exploitation")</f>
        <v>0</v>
      </c>
      <c r="AH13" s="139">
        <f>SUMIFS('les arrets'!$G:$G,'les arrets'!$B:$B,KPI!AH4,'les arrets'!$J:$J,"Exploitation")</f>
        <v>0</v>
      </c>
      <c r="AI13" s="100">
        <f t="shared" si="51"/>
        <v>0</v>
      </c>
      <c r="AJ13" s="139">
        <f>SUMIFS('les arrets'!$G:$G,'les arrets'!$B:$B,KPI!AJ4,'les arrets'!$J:$J,"Exploitation")</f>
        <v>0</v>
      </c>
      <c r="AK13" s="139">
        <f>SUMIFS('les arrets'!$G:$G,'les arrets'!$B:$B,KPI!AK4,'les arrets'!$J:$J,"Exploitation")</f>
        <v>0</v>
      </c>
      <c r="AL13" s="139">
        <f>SUMIFS('les arrets'!$G:$G,'les arrets'!$B:$B,KPI!AL4,'les arrets'!$J:$J,"Exploitation")</f>
        <v>0</v>
      </c>
      <c r="AM13" s="139">
        <f>SUMIFS('les arrets'!$G:$G,'les arrets'!$B:$B,KPI!AM4,'les arrets'!$J:$J,"Exploitation")</f>
        <v>0</v>
      </c>
      <c r="AN13" s="139">
        <f>SUMIFS('les arrets'!$G:$G,'les arrets'!$B:$B,KPI!AN4,'les arrets'!$J:$J,"Exploitation")</f>
        <v>0</v>
      </c>
      <c r="AO13" s="139">
        <f>SUMIFS('les arrets'!$G:$G,'les arrets'!$B:$B,KPI!AO4,'les arrets'!$J:$J,"Exploitation")</f>
        <v>0</v>
      </c>
      <c r="AP13" s="139">
        <f>SUMIFS('les arrets'!$G:$G,'les arrets'!$B:$B,KPI!AP4,'les arrets'!$J:$J,"Exploitation")</f>
        <v>0</v>
      </c>
      <c r="AQ13" s="100">
        <f t="shared" si="52"/>
        <v>0</v>
      </c>
      <c r="AR13" s="139">
        <f>SUMIFS('les arrets'!$G:$G,'les arrets'!$B:$B,KPI!AR4,'les arrets'!$J:$J,"Exploitation")</f>
        <v>0</v>
      </c>
      <c r="AS13" s="139">
        <f>SUMIFS('les arrets'!$G:$G,'les arrets'!$B:$B,KPI!AS4,'les arrets'!$J:$J,"Exploitation")</f>
        <v>0</v>
      </c>
      <c r="AT13" s="139">
        <f>SUMIFS('les arrets'!$G:$G,'les arrets'!$B:$B,KPI!AT4,'les arrets'!$J:$J,"Exploitation")</f>
        <v>0</v>
      </c>
      <c r="AU13" s="139">
        <f>SUMIFS('les arrets'!$G:$G,'les arrets'!$B:$B,KPI!AU4,'les arrets'!$J:$J,"Exploitation")</f>
        <v>0</v>
      </c>
      <c r="AV13" s="139">
        <f>SUMIFS('les arrets'!$G:$G,'les arrets'!$B:$B,KPI!AV4,'les arrets'!$J:$J,"Exploitation")</f>
        <v>0</v>
      </c>
      <c r="AW13" s="139">
        <f>SUMIFS('les arrets'!$G:$G,'les arrets'!$B:$B,KPI!AW4,'les arrets'!$J:$J,"Exploitation")</f>
        <v>0</v>
      </c>
      <c r="AX13" s="139">
        <f>SUMIFS('les arrets'!$G:$G,'les arrets'!$B:$B,KPI!AX4,'les arrets'!$J:$J,"Exploitation")</f>
        <v>0</v>
      </c>
      <c r="AY13" s="100">
        <f t="shared" si="53"/>
        <v>0</v>
      </c>
      <c r="AZ13" s="139">
        <f>SUMIFS('les arrets'!$G:$G,'les arrets'!$B:$B,KPI!AZ4,'les arrets'!$J:$J,"Exploitation")</f>
        <v>0</v>
      </c>
      <c r="BA13" s="139">
        <f>SUMIFS('les arrets'!$G:$G,'les arrets'!$B:$B,KPI!BA4,'les arrets'!$J:$J,"Exploitation")</f>
        <v>0</v>
      </c>
      <c r="BB13" s="139">
        <f>SUMIFS('les arrets'!$G:$G,'les arrets'!$B:$B,KPI!BB4,'les arrets'!$J:$J,"Exploitation")</f>
        <v>0</v>
      </c>
      <c r="BC13" s="139">
        <f>SUMIFS('les arrets'!$G:$G,'les arrets'!$B:$B,KPI!BC4,'les arrets'!$J:$J,"Exploitation")</f>
        <v>0</v>
      </c>
      <c r="BD13" s="139">
        <f>SUMIFS('les arrets'!$G:$G,'les arrets'!$B:$B,KPI!BD4,'les arrets'!$J:$J,"Exploitation")</f>
        <v>0</v>
      </c>
      <c r="BE13" s="139">
        <f>SUMIFS('les arrets'!$G:$G,'les arrets'!$B:$B,KPI!BE4,'les arrets'!$J:$J,"Exploitation")</f>
        <v>0</v>
      </c>
      <c r="BF13" s="139">
        <f>SUMIFS('les arrets'!$G:$G,'les arrets'!$B:$B,KPI!BF4,'les arrets'!$J:$J,"Exploitation")</f>
        <v>0</v>
      </c>
      <c r="BG13" s="100">
        <f t="shared" si="54"/>
        <v>0</v>
      </c>
      <c r="BH13" s="139">
        <f>SUMIFS('les arrets'!$G:$G,'les arrets'!$B:$B,KPI!BH4,'les arrets'!$J:$J,"Exploitation")</f>
        <v>0</v>
      </c>
      <c r="BI13" s="139">
        <f>SUMIFS('les arrets'!$G:$G,'les arrets'!$B:$B,KPI!BI4,'les arrets'!$J:$J,"Exploitation")</f>
        <v>0</v>
      </c>
      <c r="BJ13" s="139">
        <f>SUMIFS('les arrets'!$G:$G,'les arrets'!$B:$B,KPI!BJ4,'les arrets'!$J:$J,"Exploitation")</f>
        <v>0</v>
      </c>
      <c r="BK13" s="139">
        <f>SUMIFS('les arrets'!$G:$G,'les arrets'!$B:$B,KPI!BK4,'les arrets'!$J:$J,"Exploitation")</f>
        <v>0</v>
      </c>
      <c r="BL13" s="139">
        <f>SUMIFS('les arrets'!$G:$G,'les arrets'!$B:$B,KPI!BL4,'les arrets'!$J:$J,"Exploitation")</f>
        <v>0</v>
      </c>
      <c r="BM13" s="139">
        <f>SUMIFS('les arrets'!$G:$G,'les arrets'!$B:$B,KPI!BM4,'les arrets'!$J:$J,"Exploitation")</f>
        <v>0</v>
      </c>
      <c r="BN13" s="139">
        <f>SUMIFS('les arrets'!$G:$G,'les arrets'!$B:$B,KPI!BN4,'les arrets'!$J:$J,"Exploitation")</f>
        <v>0</v>
      </c>
      <c r="BO13" s="100">
        <f t="shared" si="55"/>
        <v>0</v>
      </c>
      <c r="BP13" s="139">
        <f>SUMIFS('les arrets'!$G:$G,'les arrets'!$B:$B,KPI!BP4,'les arrets'!$J:$J,"Exploitation")</f>
        <v>0</v>
      </c>
      <c r="BQ13" s="139">
        <f>SUMIFS('les arrets'!$G:$G,'les arrets'!$B:$B,KPI!BQ4,'les arrets'!$J:$J,"Exploitation")</f>
        <v>0</v>
      </c>
      <c r="BR13" s="139">
        <f>SUMIFS('les arrets'!$G:$G,'les arrets'!$B:$B,KPI!BR4,'les arrets'!$J:$J,"Exploitation")</f>
        <v>0</v>
      </c>
      <c r="BS13" s="139">
        <f>SUMIFS('les arrets'!$G:$G,'les arrets'!$B:$B,KPI!BS4,'les arrets'!$J:$J,"Exploitation")</f>
        <v>0</v>
      </c>
      <c r="BT13" s="139">
        <f>SUMIFS('les arrets'!$G:$G,'les arrets'!$B:$B,KPI!BT4,'les arrets'!$J:$J,"Exploitation")</f>
        <v>0</v>
      </c>
      <c r="BU13" s="139">
        <f>SUMIFS('les arrets'!$G:$G,'les arrets'!$B:$B,KPI!BU4,'les arrets'!$J:$J,"Exploitation")</f>
        <v>0</v>
      </c>
      <c r="BV13" s="139">
        <f>SUMIFS('les arrets'!$G:$G,'les arrets'!$B:$B,KPI!BV4,'les arrets'!$J:$J,"Exploitation")</f>
        <v>0</v>
      </c>
      <c r="BW13" s="100">
        <f t="shared" si="56"/>
        <v>0</v>
      </c>
      <c r="BX13" s="139">
        <f>SUMIFS('les arrets'!$G:$G,'les arrets'!$B:$B,KPI!BX4,'les arrets'!$J:$J,"Exploitation")</f>
        <v>0</v>
      </c>
      <c r="BY13" s="139">
        <f>SUMIFS('les arrets'!$G:$G,'les arrets'!$B:$B,KPI!BY4,'les arrets'!$J:$J,"Exploitation")</f>
        <v>0</v>
      </c>
      <c r="BZ13" s="139">
        <f>SUMIFS('les arrets'!$G:$G,'les arrets'!$B:$B,KPI!BZ4,'les arrets'!$J:$J,"Exploitation")</f>
        <v>0</v>
      </c>
      <c r="CA13" s="139">
        <f>SUMIFS('les arrets'!$G:$G,'les arrets'!$B:$B,KPI!CA4,'les arrets'!$J:$J,"Exploitation")</f>
        <v>0</v>
      </c>
      <c r="CB13" s="139">
        <f>SUMIFS('les arrets'!$G:$G,'les arrets'!$B:$B,KPI!CB4,'les arrets'!$J:$J,"Exploitation")</f>
        <v>0</v>
      </c>
      <c r="CC13" s="139">
        <f>SUMIFS('les arrets'!$G:$G,'les arrets'!$B:$B,KPI!CC4,'les arrets'!$J:$J,"Exploitation")</f>
        <v>0</v>
      </c>
      <c r="CD13" s="139">
        <f>SUMIFS('les arrets'!$G:$G,'les arrets'!$B:$B,KPI!CD4,'les arrets'!$J:$J,"Exploitation")</f>
        <v>0</v>
      </c>
      <c r="CE13" s="100">
        <f t="shared" si="57"/>
        <v>0</v>
      </c>
      <c r="CF13" s="139">
        <f>SUMIFS('les arrets'!$G:$G,'les arrets'!$B:$B,KPI!CF4,'les arrets'!$J:$J,"Exploitation")</f>
        <v>0</v>
      </c>
      <c r="CG13" s="139">
        <f>SUMIFS('les arrets'!$G:$G,'les arrets'!$B:$B,KPI!CG4,'les arrets'!$J:$J,"Exploitation")</f>
        <v>0</v>
      </c>
      <c r="CH13" s="139">
        <f>SUMIFS('les arrets'!$G:$G,'les arrets'!$B:$B,KPI!CH4,'les arrets'!$J:$J,"Exploitation")</f>
        <v>0</v>
      </c>
      <c r="CI13" s="139">
        <f>SUMIFS('les arrets'!$G:$G,'les arrets'!$B:$B,KPI!CI4,'les arrets'!$J:$J,"Exploitation")</f>
        <v>0</v>
      </c>
      <c r="CJ13" s="139">
        <f>SUMIFS('les arrets'!$G:$G,'les arrets'!$B:$B,KPI!CJ4,'les arrets'!$J:$J,"Exploitation")</f>
        <v>0</v>
      </c>
      <c r="CK13" s="139">
        <f>SUMIFS('les arrets'!$G:$G,'les arrets'!$B:$B,KPI!CK4,'les arrets'!$J:$J,"Exploitation")</f>
        <v>0</v>
      </c>
      <c r="CL13" s="139">
        <f>SUMIFS('les arrets'!$G:$G,'les arrets'!$B:$B,KPI!CL4,'les arrets'!$J:$J,"Exploitation")</f>
        <v>0</v>
      </c>
      <c r="CM13" s="100">
        <f t="shared" si="58"/>
        <v>0</v>
      </c>
      <c r="CN13" s="139">
        <f>SUMIFS('les arrets'!$G:$G,'les arrets'!$B:$B,KPI!CN4,'les arrets'!$J:$J,"Exploitation")</f>
        <v>0</v>
      </c>
      <c r="CO13" s="139">
        <f>SUMIFS('les arrets'!$G:$G,'les arrets'!$B:$B,KPI!CO4,'les arrets'!$J:$J,"Exploitation")</f>
        <v>0</v>
      </c>
      <c r="CP13" s="139">
        <f>SUMIFS('les arrets'!$G:$G,'les arrets'!$B:$B,KPI!CP4,'les arrets'!$J:$J,"Exploitation")</f>
        <v>0</v>
      </c>
      <c r="CQ13" s="139">
        <f>SUMIFS('les arrets'!$G:$G,'les arrets'!$B:$B,KPI!CQ4,'les arrets'!$J:$J,"Exploitation")</f>
        <v>0</v>
      </c>
      <c r="CR13" s="139">
        <f>SUMIFS('les arrets'!$G:$G,'les arrets'!$B:$B,KPI!CR4,'les arrets'!$J:$J,"Exploitation")</f>
        <v>0</v>
      </c>
      <c r="CS13" s="139">
        <f>SUMIFS('les arrets'!$G:$G,'les arrets'!$B:$B,KPI!CS4,'les arrets'!$J:$J,"Exploitation")</f>
        <v>0</v>
      </c>
      <c r="CT13" s="139">
        <f>SUMIFS('les arrets'!$G:$G,'les arrets'!$B:$B,KPI!CT4,'les arrets'!$J:$J,"Exploitation")</f>
        <v>0</v>
      </c>
      <c r="CU13" s="100">
        <f t="shared" si="59"/>
        <v>0</v>
      </c>
      <c r="CV13" s="139">
        <f>SUMIFS('les arrets'!$G:$G,'les arrets'!$B:$B,KPI!CV4,'les arrets'!$J:$J,"Exploitation")</f>
        <v>0</v>
      </c>
      <c r="CW13" s="139">
        <f>SUMIFS('les arrets'!$G:$G,'les arrets'!$B:$B,KPI!CW4,'les arrets'!$J:$J,"Exploitation")</f>
        <v>0</v>
      </c>
      <c r="CX13" s="139">
        <f>SUMIFS('les arrets'!$G:$G,'les arrets'!$B:$B,KPI!CX4,'les arrets'!$J:$J,"Exploitation")</f>
        <v>0</v>
      </c>
      <c r="CY13" s="139">
        <f>SUMIFS('les arrets'!$G:$G,'les arrets'!$B:$B,KPI!CY4,'les arrets'!$J:$J,"Exploitation")</f>
        <v>0</v>
      </c>
      <c r="CZ13" s="139">
        <f>SUMIFS('les arrets'!$G:$G,'les arrets'!$B:$B,KPI!CZ4,'les arrets'!$J:$J,"Exploitation")</f>
        <v>0</v>
      </c>
      <c r="DA13" s="139">
        <f>SUMIFS('les arrets'!$G:$G,'les arrets'!$B:$B,KPI!DA4,'les arrets'!$J:$J,"Exploitation")</f>
        <v>0</v>
      </c>
      <c r="DB13" s="139">
        <f>SUMIFS('les arrets'!$G:$G,'les arrets'!$B:$B,KPI!DB4,'les arrets'!$J:$J,"Exploitation")</f>
        <v>0</v>
      </c>
      <c r="DC13" s="100">
        <f t="shared" si="60"/>
        <v>0</v>
      </c>
      <c r="DD13" s="139">
        <f>SUMIFS('les arrets'!$G:$G,'les arrets'!$B:$B,KPI!DD4,'les arrets'!$J:$J,"Exploitation")</f>
        <v>0</v>
      </c>
      <c r="DE13" s="139">
        <f>SUMIFS('les arrets'!$G:$G,'les arrets'!$B:$B,KPI!DE4,'les arrets'!$J:$J,"Exploitation")</f>
        <v>0</v>
      </c>
      <c r="DF13" s="139">
        <f>SUMIFS('les arrets'!$G:$G,'les arrets'!$B:$B,KPI!DF4,'les arrets'!$J:$J,"Exploitation")</f>
        <v>0</v>
      </c>
      <c r="DG13" s="139">
        <f>SUMIFS('les arrets'!$G:$G,'les arrets'!$B:$B,KPI!DG4,'les arrets'!$J:$J,"Exploitation")</f>
        <v>0</v>
      </c>
      <c r="DH13" s="139">
        <f>SUMIFS('les arrets'!$G:$G,'les arrets'!$B:$B,KPI!DH4,'les arrets'!$J:$J,"Exploitation")</f>
        <v>0</v>
      </c>
      <c r="DI13" s="139">
        <f>SUMIFS('les arrets'!$G:$G,'les arrets'!$B:$B,KPI!DI4,'les arrets'!$J:$J,"Exploitation")</f>
        <v>0</v>
      </c>
      <c r="DJ13" s="139">
        <f>SUMIFS('les arrets'!$G:$G,'les arrets'!$B:$B,KPI!DJ4,'les arrets'!$J:$J,"Exploitation")</f>
        <v>0</v>
      </c>
      <c r="DK13" s="100">
        <f t="shared" si="61"/>
        <v>0</v>
      </c>
      <c r="DL13" s="139">
        <f>SUMIFS('les arrets'!$G:$G,'les arrets'!$B:$B,KPI!DL4,'les arrets'!$J:$J,"Exploitation")</f>
        <v>0</v>
      </c>
      <c r="DM13" s="139">
        <f>SUMIFS('les arrets'!$G:$G,'les arrets'!$B:$B,KPI!DM4,'les arrets'!$J:$J,"Exploitation")</f>
        <v>0</v>
      </c>
      <c r="DN13" s="139">
        <f>SUMIFS('les arrets'!$G:$G,'les arrets'!$B:$B,KPI!DN4,'les arrets'!$J:$J,"Exploitation")</f>
        <v>0</v>
      </c>
      <c r="DO13" s="139">
        <f>SUMIFS('les arrets'!$G:$G,'les arrets'!$B:$B,KPI!DO4,'les arrets'!$J:$J,"Exploitation")</f>
        <v>0</v>
      </c>
      <c r="DP13" s="139">
        <f>SUMIFS('les arrets'!$G:$G,'les arrets'!$B:$B,KPI!DP4,'les arrets'!$J:$J,"Exploitation")</f>
        <v>0</v>
      </c>
      <c r="DQ13" s="139">
        <f>SUMIFS('les arrets'!$G:$G,'les arrets'!$B:$B,KPI!DQ4,'les arrets'!$J:$J,"Exploitation")</f>
        <v>0</v>
      </c>
      <c r="DR13" s="139">
        <f>SUMIFS('les arrets'!$G:$G,'les arrets'!$B:$B,KPI!DR4,'les arrets'!$J:$J,"Exploitation")</f>
        <v>0</v>
      </c>
      <c r="DS13" s="100">
        <f t="shared" si="62"/>
        <v>0</v>
      </c>
      <c r="DT13" s="139">
        <f>SUMIFS('les arrets'!$G:$G,'les arrets'!$B:$B,KPI!DT4,'les arrets'!$J:$J,"Exploitation")</f>
        <v>0</v>
      </c>
      <c r="DU13" s="139">
        <f>SUMIFS('les arrets'!$G:$G,'les arrets'!$B:$B,KPI!DU4,'les arrets'!$J:$J,"Exploitation")</f>
        <v>0</v>
      </c>
      <c r="DV13" s="139">
        <f>SUMIFS('les arrets'!$G:$G,'les arrets'!$B:$B,KPI!DV4,'les arrets'!$J:$J,"Exploitation")</f>
        <v>0</v>
      </c>
      <c r="DW13" s="139">
        <f>SUMIFS('les arrets'!$G:$G,'les arrets'!$B:$B,KPI!DW4,'les arrets'!$J:$J,"Exploitation")</f>
        <v>0</v>
      </c>
      <c r="DX13" s="139">
        <f>SUMIFS('les arrets'!$G:$G,'les arrets'!$B:$B,KPI!DX4,'les arrets'!$J:$J,"Exploitation")</f>
        <v>0</v>
      </c>
      <c r="DY13" s="139">
        <f>SUMIFS('les arrets'!$G:$G,'les arrets'!$B:$B,KPI!DY4,'les arrets'!$J:$J,"Exploitation")</f>
        <v>0</v>
      </c>
      <c r="DZ13" s="139">
        <f>SUMIFS('les arrets'!$G:$G,'les arrets'!$B:$B,KPI!DZ4,'les arrets'!$J:$J,"Exploitation")</f>
        <v>0</v>
      </c>
      <c r="EA13" s="100">
        <f t="shared" si="63"/>
        <v>0</v>
      </c>
      <c r="EB13" s="139">
        <f>SUMIFS('les arrets'!$G:$G,'les arrets'!$B:$B,KPI!EB4,'les arrets'!$J:$J,"Exploitation")</f>
        <v>0</v>
      </c>
      <c r="EC13" s="139">
        <f>SUMIFS('les arrets'!$G:$G,'les arrets'!$B:$B,KPI!EC4,'les arrets'!$J:$J,"Exploitation")</f>
        <v>0</v>
      </c>
      <c r="ED13" s="139">
        <f>SUMIFS('les arrets'!$G:$G,'les arrets'!$B:$B,KPI!ED4,'les arrets'!$J:$J,"Exploitation")</f>
        <v>0</v>
      </c>
      <c r="EE13" s="139">
        <f>SUMIFS('les arrets'!$G:$G,'les arrets'!$B:$B,KPI!EE4,'les arrets'!$J:$J,"Exploitation")</f>
        <v>0</v>
      </c>
      <c r="EF13" s="139">
        <f>SUMIFS('les arrets'!$G:$G,'les arrets'!$B:$B,KPI!EF4,'les arrets'!$J:$J,"Exploitation")</f>
        <v>0</v>
      </c>
      <c r="EG13" s="139">
        <f>SUMIFS('les arrets'!$G:$G,'les arrets'!$B:$B,KPI!EG4,'les arrets'!$J:$J,"Exploitation")</f>
        <v>0</v>
      </c>
      <c r="EH13" s="139">
        <f>SUMIFS('les arrets'!$G:$G,'les arrets'!$B:$B,KPI!EH4,'les arrets'!$J:$J,"Exploitation")</f>
        <v>0</v>
      </c>
      <c r="EI13" s="100">
        <f t="shared" si="64"/>
        <v>0</v>
      </c>
      <c r="EJ13" s="139">
        <f>SUMIFS('les arrets'!$G:$G,'les arrets'!$B:$B,KPI!EJ4,'les arrets'!$J:$J,"Exploitation")</f>
        <v>0</v>
      </c>
      <c r="EK13" s="139">
        <f>SUMIFS('les arrets'!$G:$G,'les arrets'!$B:$B,KPI!EK4,'les arrets'!$J:$J,"Exploitation")</f>
        <v>0</v>
      </c>
      <c r="EL13" s="139">
        <f>SUMIFS('les arrets'!$G:$G,'les arrets'!$B:$B,KPI!EL4,'les arrets'!$J:$J,"Exploitation")</f>
        <v>0</v>
      </c>
      <c r="EM13" s="139">
        <f>SUMIFS('les arrets'!$G:$G,'les arrets'!$B:$B,KPI!EM4,'les arrets'!$J:$J,"Exploitation")</f>
        <v>0</v>
      </c>
      <c r="EN13" s="139">
        <f>SUMIFS('les arrets'!$G:$G,'les arrets'!$B:$B,KPI!EN4,'les arrets'!$J:$J,"Exploitation")</f>
        <v>0</v>
      </c>
      <c r="EO13" s="139">
        <f>SUMIFS('les arrets'!$G:$G,'les arrets'!$B:$B,KPI!EO4,'les arrets'!$J:$J,"Exploitation")</f>
        <v>0</v>
      </c>
      <c r="EP13" s="139">
        <f>SUMIFS('les arrets'!$G:$G,'les arrets'!$B:$B,KPI!EP4,'les arrets'!$J:$J,"Exploitation")</f>
        <v>0</v>
      </c>
      <c r="EQ13" s="100">
        <f t="shared" si="65"/>
        <v>0</v>
      </c>
      <c r="ER13" s="139">
        <f>SUMIFS('les arrets'!$G:$G,'les arrets'!$B:$B,KPI!ER4,'les arrets'!$J:$J,"Exploitation")</f>
        <v>0</v>
      </c>
      <c r="ES13" s="139">
        <f>SUMIFS('les arrets'!$G:$G,'les arrets'!$B:$B,KPI!ES4,'les arrets'!$J:$J,"Exploitation")</f>
        <v>0</v>
      </c>
      <c r="ET13" s="139">
        <f>SUMIFS('les arrets'!$G:$G,'les arrets'!$B:$B,KPI!ET4,'les arrets'!$J:$J,"Exploitation")</f>
        <v>0</v>
      </c>
      <c r="EU13" s="139">
        <f>SUMIFS('les arrets'!$G:$G,'les arrets'!$B:$B,KPI!EU4,'les arrets'!$J:$J,"Exploitation")</f>
        <v>0</v>
      </c>
      <c r="EV13" s="139">
        <f>SUMIFS('les arrets'!$G:$G,'les arrets'!$B:$B,KPI!EV4,'les arrets'!$J:$J,"Exploitation")</f>
        <v>0</v>
      </c>
      <c r="EW13" s="139">
        <f>SUMIFS('les arrets'!$G:$G,'les arrets'!$B:$B,KPI!EW4,'les arrets'!$J:$J,"Exploitation")</f>
        <v>0</v>
      </c>
      <c r="EX13" s="139">
        <f>SUMIFS('les arrets'!$G:$G,'les arrets'!$B:$B,KPI!EX4,'les arrets'!$J:$J,"Exploitation")</f>
        <v>0</v>
      </c>
      <c r="EY13" s="100">
        <f t="shared" si="66"/>
        <v>0</v>
      </c>
      <c r="EZ13" s="139">
        <f>SUMIFS('les arrets'!$G:$G,'les arrets'!$B:$B,KPI!EZ4,'les arrets'!$J:$J,"Exploitation")</f>
        <v>0</v>
      </c>
      <c r="FA13" s="139">
        <f>SUMIFS('les arrets'!$G:$G,'les arrets'!$B:$B,KPI!FA4,'les arrets'!$J:$J,"Exploitation")</f>
        <v>0</v>
      </c>
      <c r="FB13" s="139">
        <f>SUMIFS('les arrets'!$G:$G,'les arrets'!$B:$B,KPI!FB4,'les arrets'!$J:$J,"Exploitation")</f>
        <v>0</v>
      </c>
      <c r="FC13" s="139">
        <f>SUMIFS('les arrets'!$G:$G,'les arrets'!$B:$B,KPI!FC4,'les arrets'!$J:$J,"Exploitation")</f>
        <v>0</v>
      </c>
      <c r="FD13" s="139">
        <f>SUMIFS('les arrets'!$G:$G,'les arrets'!$B:$B,KPI!FD4,'les arrets'!$J:$J,"Exploitation")</f>
        <v>0</v>
      </c>
      <c r="FE13" s="139">
        <f>SUMIFS('les arrets'!$G:$G,'les arrets'!$B:$B,KPI!FE4,'les arrets'!$J:$J,"Exploitation")</f>
        <v>0</v>
      </c>
      <c r="FF13" s="139">
        <f>SUMIFS('les arrets'!$G:$G,'les arrets'!$B:$B,KPI!FF4,'les arrets'!$J:$J,"Exploitation")</f>
        <v>0</v>
      </c>
      <c r="FG13" s="100">
        <f t="shared" si="67"/>
        <v>0</v>
      </c>
      <c r="FH13" s="139">
        <f>SUMIFS('les arrets'!$G:$G,'les arrets'!$B:$B,KPI!FH4,'les arrets'!$J:$J,"Exploitation")</f>
        <v>0</v>
      </c>
      <c r="FI13" s="139">
        <f>SUMIFS('les arrets'!$G:$G,'les arrets'!$B:$B,KPI!FI4,'les arrets'!$J:$J,"Exploitation")</f>
        <v>0</v>
      </c>
      <c r="FJ13" s="139">
        <f>SUMIFS('les arrets'!$G:$G,'les arrets'!$B:$B,KPI!FJ4,'les arrets'!$J:$J,"Exploitation")</f>
        <v>0</v>
      </c>
      <c r="FK13" s="139">
        <f>SUMIFS('les arrets'!$G:$G,'les arrets'!$B:$B,KPI!FK4,'les arrets'!$J:$J,"Exploitation")</f>
        <v>0</v>
      </c>
      <c r="FL13" s="139">
        <f>SUMIFS('les arrets'!$G:$G,'les arrets'!$B:$B,KPI!FL4,'les arrets'!$J:$J,"Exploitation")</f>
        <v>0</v>
      </c>
      <c r="FM13" s="139">
        <f>SUMIFS('les arrets'!$G:$G,'les arrets'!$B:$B,KPI!FM4,'les arrets'!$J:$J,"Exploitation")</f>
        <v>0</v>
      </c>
      <c r="FN13" s="139">
        <f>SUMIFS('les arrets'!$G:$G,'les arrets'!$B:$B,KPI!FN4,'les arrets'!$J:$J,"Exploitation")</f>
        <v>0</v>
      </c>
      <c r="FO13" s="100">
        <f t="shared" si="68"/>
        <v>0</v>
      </c>
      <c r="FP13" s="139">
        <f>SUMIFS('les arrets'!$G:$G,'les arrets'!$B:$B,KPI!FP4,'les arrets'!$J:$J,"Exploitation")</f>
        <v>0</v>
      </c>
      <c r="FQ13" s="139">
        <f>SUMIFS('les arrets'!$G:$G,'les arrets'!$B:$B,KPI!FQ4,'les arrets'!$J:$J,"Exploitation")</f>
        <v>0</v>
      </c>
      <c r="FR13" s="139">
        <f>SUMIFS('les arrets'!$G:$G,'les arrets'!$B:$B,KPI!FR4,'les arrets'!$J:$J,"Exploitation")</f>
        <v>0</v>
      </c>
      <c r="FS13" s="139">
        <f>SUMIFS('les arrets'!$G:$G,'les arrets'!$B:$B,KPI!FS4,'les arrets'!$J:$J,"Exploitation")</f>
        <v>0</v>
      </c>
      <c r="FT13" s="139">
        <f>SUMIFS('les arrets'!$G:$G,'les arrets'!$B:$B,KPI!FT4,'les arrets'!$J:$J,"Exploitation")</f>
        <v>0</v>
      </c>
      <c r="FU13" s="139">
        <f>SUMIFS('les arrets'!$G:$G,'les arrets'!$B:$B,KPI!FU4,'les arrets'!$J:$J,"Exploitation")</f>
        <v>0</v>
      </c>
      <c r="FV13" s="139">
        <f>SUMIFS('les arrets'!$G:$G,'les arrets'!$B:$B,KPI!FV4,'les arrets'!$J:$J,"Exploitation")</f>
        <v>0</v>
      </c>
      <c r="FW13" s="100">
        <f t="shared" si="69"/>
        <v>0</v>
      </c>
      <c r="FX13" s="139">
        <f>SUMIFS('les arrets'!$G:$G,'les arrets'!$B:$B,KPI!FX4,'les arrets'!$J:$J,"Exploitation")</f>
        <v>0</v>
      </c>
      <c r="FY13" s="139">
        <f>SUMIFS('les arrets'!$G:$G,'les arrets'!$B:$B,KPI!FY4,'les arrets'!$J:$J,"Exploitation")</f>
        <v>0</v>
      </c>
      <c r="FZ13" s="139">
        <f>SUMIFS('les arrets'!$G:$G,'les arrets'!$B:$B,KPI!FZ4,'les arrets'!$J:$J,"Exploitation")</f>
        <v>0</v>
      </c>
      <c r="GA13" s="139">
        <f>SUMIFS('les arrets'!$G:$G,'les arrets'!$B:$B,KPI!GA4,'les arrets'!$J:$J,"Exploitation")</f>
        <v>0</v>
      </c>
      <c r="GB13" s="139">
        <f>SUMIFS('les arrets'!$G:$G,'les arrets'!$B:$B,KPI!GB4,'les arrets'!$J:$J,"Exploitation")</f>
        <v>0</v>
      </c>
      <c r="GC13" s="139">
        <f>SUMIFS('les arrets'!$G:$G,'les arrets'!$B:$B,KPI!GC4,'les arrets'!$J:$J,"Exploitation")</f>
        <v>0</v>
      </c>
      <c r="GD13" s="139">
        <f>SUMIFS('les arrets'!$G:$G,'les arrets'!$B:$B,KPI!GD4,'les arrets'!$J:$J,"Exploitation")</f>
        <v>0</v>
      </c>
      <c r="GE13" s="100">
        <f t="shared" si="70"/>
        <v>0</v>
      </c>
      <c r="GF13" s="139">
        <f>SUMIFS('les arrets'!$G:$G,'les arrets'!$B:$B,KPI!GF4,'les arrets'!$J:$J,"Exploitation")</f>
        <v>0</v>
      </c>
      <c r="GG13" s="139">
        <f>SUMIFS('les arrets'!$G:$G,'les arrets'!$B:$B,KPI!GG4,'les arrets'!$J:$J,"Exploitation")</f>
        <v>0</v>
      </c>
      <c r="GH13" s="139">
        <f>SUMIFS('les arrets'!$G:$G,'les arrets'!$B:$B,KPI!GH4,'les arrets'!$J:$J,"Exploitation")</f>
        <v>0</v>
      </c>
      <c r="GI13" s="139">
        <f>SUMIFS('les arrets'!$G:$G,'les arrets'!$B:$B,KPI!GI4,'les arrets'!$J:$J,"Exploitation")</f>
        <v>0</v>
      </c>
      <c r="GJ13" s="139">
        <f>SUMIFS('les arrets'!$G:$G,'les arrets'!$B:$B,KPI!GJ4,'les arrets'!$J:$J,"Exploitation")</f>
        <v>0</v>
      </c>
      <c r="GK13" s="139">
        <f>SUMIFS('les arrets'!$G:$G,'les arrets'!$B:$B,KPI!GK4,'les arrets'!$J:$J,"Exploitation")</f>
        <v>0</v>
      </c>
      <c r="GL13" s="139">
        <f>SUMIFS('les arrets'!$G:$G,'les arrets'!$B:$B,KPI!GL4,'les arrets'!$J:$J,"Exploitation")</f>
        <v>0</v>
      </c>
      <c r="GM13" s="100">
        <f t="shared" si="71"/>
        <v>0</v>
      </c>
      <c r="GN13" s="139">
        <f>SUMIFS('les arrets'!$G:$G,'les arrets'!$B:$B,KPI!GN4,'les arrets'!$J:$J,"Exploitation")</f>
        <v>0</v>
      </c>
      <c r="GO13" s="139">
        <f>SUMIFS('les arrets'!$G:$G,'les arrets'!$B:$B,KPI!GO4,'les arrets'!$J:$J,"Exploitation")</f>
        <v>0</v>
      </c>
      <c r="GP13" s="139">
        <f>SUMIFS('les arrets'!$G:$G,'les arrets'!$B:$B,KPI!GP4,'les arrets'!$J:$J,"Exploitation")</f>
        <v>0</v>
      </c>
      <c r="GQ13" s="139">
        <f>SUMIFS('les arrets'!$G:$G,'les arrets'!$B:$B,KPI!GQ4,'les arrets'!$J:$J,"Exploitation")</f>
        <v>0</v>
      </c>
      <c r="GR13" s="139">
        <f>SUMIFS('les arrets'!$G:$G,'les arrets'!$B:$B,KPI!GR4,'les arrets'!$J:$J,"Exploitation")</f>
        <v>0</v>
      </c>
      <c r="GS13" s="139">
        <f>SUMIFS('les arrets'!$G:$G,'les arrets'!$B:$B,KPI!GS4,'les arrets'!$J:$J,"Exploitation")</f>
        <v>0</v>
      </c>
      <c r="GT13" s="139">
        <f>SUMIFS('les arrets'!$G:$G,'les arrets'!$B:$B,KPI!GT4,'les arrets'!$J:$J,"Exploitation")</f>
        <v>0</v>
      </c>
      <c r="GU13" s="100">
        <f t="shared" si="72"/>
        <v>0</v>
      </c>
      <c r="GV13" s="139">
        <f>SUMIFS('les arrets'!$G:$G,'les arrets'!$B:$B,KPI!GV4,'les arrets'!$J:$J,"Exploitation")</f>
        <v>0</v>
      </c>
      <c r="GW13" s="139">
        <f>SUMIFS('les arrets'!$G:$G,'les arrets'!$B:$B,KPI!GW4,'les arrets'!$J:$J,"Exploitation")</f>
        <v>0</v>
      </c>
      <c r="GX13" s="139">
        <f>SUMIFS('les arrets'!$G:$G,'les arrets'!$B:$B,KPI!GX4,'les arrets'!$J:$J,"Exploitation")</f>
        <v>0</v>
      </c>
      <c r="GY13" s="139">
        <f>SUMIFS('les arrets'!$G:$G,'les arrets'!$B:$B,KPI!GY4,'les arrets'!$J:$J,"Exploitation")</f>
        <v>0</v>
      </c>
      <c r="GZ13" s="139">
        <f>SUMIFS('les arrets'!$G:$G,'les arrets'!$B:$B,KPI!GZ4,'les arrets'!$J:$J,"Exploitation")</f>
        <v>0</v>
      </c>
      <c r="HA13" s="139">
        <f>SUMIFS('les arrets'!$G:$G,'les arrets'!$B:$B,KPI!HA4,'les arrets'!$J:$J,"Exploitation")</f>
        <v>0</v>
      </c>
      <c r="HB13" s="139">
        <f>SUMIFS('les arrets'!$G:$G,'les arrets'!$B:$B,KPI!HB4,'les arrets'!$J:$J,"Exploitation")</f>
        <v>0</v>
      </c>
      <c r="HC13" s="100">
        <f t="shared" si="73"/>
        <v>0</v>
      </c>
      <c r="HD13" s="139">
        <f>SUMIFS('les arrets'!$G:$G,'les arrets'!$B:$B,KPI!HD4,'les arrets'!$J:$J,"Exploitation")</f>
        <v>0</v>
      </c>
      <c r="HE13" s="139">
        <f>SUMIFS('les arrets'!$G:$G,'les arrets'!$B:$B,KPI!HE4,'les arrets'!$J:$J,"Exploitation")</f>
        <v>0</v>
      </c>
      <c r="HF13" s="139">
        <f>SUMIFS('les arrets'!$G:$G,'les arrets'!$B:$B,KPI!HF4,'les arrets'!$J:$J,"Exploitation")</f>
        <v>0</v>
      </c>
      <c r="HG13" s="139">
        <f>SUMIFS('les arrets'!$G:$G,'les arrets'!$B:$B,KPI!HG4,'les arrets'!$J:$J,"Exploitation")</f>
        <v>0</v>
      </c>
      <c r="HH13" s="139">
        <f>SUMIFS('les arrets'!$G:$G,'les arrets'!$B:$B,KPI!HH4,'les arrets'!$J:$J,"Exploitation")</f>
        <v>0</v>
      </c>
      <c r="HI13" s="139">
        <f>SUMIFS('les arrets'!$G:$G,'les arrets'!$B:$B,KPI!HI4,'les arrets'!$J:$J,"Exploitation")</f>
        <v>0</v>
      </c>
      <c r="HJ13" s="139">
        <f>SUMIFS('les arrets'!$G:$G,'les arrets'!$B:$B,KPI!HJ4,'les arrets'!$J:$J,"Exploitation")</f>
        <v>0</v>
      </c>
      <c r="HK13" s="100">
        <f t="shared" si="74"/>
        <v>0</v>
      </c>
      <c r="HL13" s="139">
        <f>SUMIFS('les arrets'!$G:$G,'les arrets'!$B:$B,KPI!HL4,'les arrets'!$J:$J,"Exploitation")</f>
        <v>0</v>
      </c>
      <c r="HM13" s="139">
        <f>SUMIFS('les arrets'!$G:$G,'les arrets'!$B:$B,KPI!HM4,'les arrets'!$J:$J,"Exploitation")</f>
        <v>0</v>
      </c>
      <c r="HN13" s="139">
        <f>SUMIFS('les arrets'!$G:$G,'les arrets'!$B:$B,KPI!HN4,'les arrets'!$J:$J,"Exploitation")</f>
        <v>0</v>
      </c>
      <c r="HO13" s="139">
        <f>SUMIFS('les arrets'!$G:$G,'les arrets'!$B:$B,KPI!HO4,'les arrets'!$J:$J,"Exploitation")</f>
        <v>0</v>
      </c>
      <c r="HP13" s="139">
        <f>SUMIFS('les arrets'!$G:$G,'les arrets'!$B:$B,KPI!HP4,'les arrets'!$J:$J,"Exploitation")</f>
        <v>0</v>
      </c>
      <c r="HQ13" s="139">
        <f>SUMIFS('les arrets'!$G:$G,'les arrets'!$B:$B,KPI!HQ4,'les arrets'!$J:$J,"Exploitation")</f>
        <v>0</v>
      </c>
      <c r="HR13" s="139">
        <f>SUMIFS('les arrets'!$G:$G,'les arrets'!$B:$B,KPI!HR4,'les arrets'!$J:$J,"Exploitation")</f>
        <v>0</v>
      </c>
      <c r="HS13" s="100">
        <f t="shared" si="75"/>
        <v>0</v>
      </c>
      <c r="HT13" s="139">
        <f>SUMIFS('les arrets'!$G:$G,'les arrets'!$B:$B,KPI!HT4,'les arrets'!$J:$J,"Exploitation")</f>
        <v>0</v>
      </c>
      <c r="HU13" s="139">
        <f>SUMIFS('les arrets'!$G:$G,'les arrets'!$B:$B,KPI!HU4,'les arrets'!$J:$J,"Exploitation")</f>
        <v>0</v>
      </c>
      <c r="HV13" s="139">
        <f>SUMIFS('les arrets'!$G:$G,'les arrets'!$B:$B,KPI!HV4,'les arrets'!$J:$J,"Exploitation")</f>
        <v>0</v>
      </c>
      <c r="HW13" s="139">
        <f>SUMIFS('les arrets'!$G:$G,'les arrets'!$B:$B,KPI!HW4,'les arrets'!$J:$J,"Exploitation")</f>
        <v>0</v>
      </c>
      <c r="HX13" s="139">
        <f>SUMIFS('les arrets'!$G:$G,'les arrets'!$B:$B,KPI!HX4,'les arrets'!$J:$J,"Exploitation")</f>
        <v>0</v>
      </c>
      <c r="HY13" s="139">
        <f>SUMIFS('les arrets'!$G:$G,'les arrets'!$B:$B,KPI!HY4,'les arrets'!$J:$J,"Exploitation")</f>
        <v>0</v>
      </c>
      <c r="HZ13" s="139">
        <f>SUMIFS('les arrets'!$G:$G,'les arrets'!$B:$B,KPI!HZ4,'les arrets'!$J:$J,"Exploitation")</f>
        <v>0</v>
      </c>
      <c r="IA13" s="100">
        <f t="shared" si="76"/>
        <v>0</v>
      </c>
      <c r="IB13" s="139">
        <f>SUMIFS('les arrets'!$G:$G,'les arrets'!$B:$B,KPI!IB4,'les arrets'!$J:$J,"Exploitation")</f>
        <v>0</v>
      </c>
      <c r="IC13" s="139">
        <f>SUMIFS('les arrets'!$G:$G,'les arrets'!$B:$B,KPI!IC4,'les arrets'!$J:$J,"Exploitation")</f>
        <v>0</v>
      </c>
      <c r="ID13" s="139">
        <f>SUMIFS('les arrets'!$G:$G,'les arrets'!$B:$B,KPI!ID4,'les arrets'!$J:$J,"Exploitation")</f>
        <v>0</v>
      </c>
      <c r="IE13" s="139">
        <f>SUMIFS('les arrets'!$G:$G,'les arrets'!$B:$B,KPI!IE4,'les arrets'!$J:$J,"Exploitation")</f>
        <v>0</v>
      </c>
      <c r="IF13" s="139">
        <f>SUMIFS('les arrets'!$G:$G,'les arrets'!$B:$B,KPI!IF4,'les arrets'!$J:$J,"Exploitation")</f>
        <v>0</v>
      </c>
      <c r="IG13" s="139">
        <f>SUMIFS('les arrets'!$G:$G,'les arrets'!$B:$B,KPI!IG4,'les arrets'!$J:$J,"Exploitation")</f>
        <v>0</v>
      </c>
      <c r="IH13" s="139">
        <f>SUMIFS('les arrets'!$G:$G,'les arrets'!$B:$B,KPI!IH4,'les arrets'!$J:$J,"Exploitation")</f>
        <v>0</v>
      </c>
      <c r="II13" s="100">
        <f t="shared" si="77"/>
        <v>0</v>
      </c>
      <c r="IJ13" s="139">
        <f>SUMIFS('les arrets'!$G:$G,'les arrets'!$B:$B,KPI!IJ4,'les arrets'!$J:$J,"Exploitation")</f>
        <v>0</v>
      </c>
      <c r="IK13" s="139">
        <f>SUMIFS('les arrets'!$G:$G,'les arrets'!$B:$B,KPI!IK4,'les arrets'!$J:$J,"Exploitation")</f>
        <v>0</v>
      </c>
      <c r="IL13" s="139">
        <f>SUMIFS('les arrets'!$G:$G,'les arrets'!$B:$B,KPI!IL4,'les arrets'!$J:$J,"Exploitation")</f>
        <v>0</v>
      </c>
      <c r="IM13" s="139">
        <f>SUMIFS('les arrets'!$G:$G,'les arrets'!$B:$B,KPI!IM4,'les arrets'!$J:$J,"Exploitation")</f>
        <v>0</v>
      </c>
      <c r="IN13" s="139">
        <f>SUMIFS('les arrets'!$G:$G,'les arrets'!$B:$B,KPI!IN4,'les arrets'!$J:$J,"Exploitation")</f>
        <v>0</v>
      </c>
      <c r="IO13" s="139">
        <f>SUMIFS('les arrets'!$G:$G,'les arrets'!$B:$B,KPI!IO4,'les arrets'!$J:$J,"Exploitation")</f>
        <v>0</v>
      </c>
      <c r="IP13" s="139">
        <f>SUMIFS('les arrets'!$G:$G,'les arrets'!$B:$B,KPI!IP4,'les arrets'!$J:$J,"Exploitation")</f>
        <v>0</v>
      </c>
      <c r="IQ13" s="100">
        <f t="shared" si="78"/>
        <v>0</v>
      </c>
      <c r="IR13" s="139">
        <f>SUMIFS('les arrets'!$G:$G,'les arrets'!$B:$B,KPI!IR4,'les arrets'!$J:$J,"Exploitation")</f>
        <v>0</v>
      </c>
      <c r="IS13" s="139">
        <f>SUMIFS('les arrets'!$G:$G,'les arrets'!$B:$B,KPI!IS4,'les arrets'!$J:$J,"Exploitation")</f>
        <v>0</v>
      </c>
      <c r="IT13" s="139">
        <f>SUMIFS('les arrets'!$G:$G,'les arrets'!$B:$B,KPI!IT4,'les arrets'!$J:$J,"Exploitation")</f>
        <v>0</v>
      </c>
      <c r="IU13" s="139">
        <f>SUMIFS('les arrets'!$G:$G,'les arrets'!$B:$B,KPI!IU4,'les arrets'!$J:$J,"Exploitation")</f>
        <v>0</v>
      </c>
      <c r="IV13" s="139">
        <f>SUMIFS('les arrets'!$G:$G,'les arrets'!$B:$B,KPI!IV4,'les arrets'!$J:$J,"Exploitation")</f>
        <v>0</v>
      </c>
      <c r="IW13" s="139">
        <f>SUMIFS('les arrets'!$G:$G,'les arrets'!$B:$B,KPI!IW4,'les arrets'!$J:$J,"Exploitation")</f>
        <v>0</v>
      </c>
      <c r="IX13" s="139">
        <f>SUMIFS('les arrets'!$G:$G,'les arrets'!$B:$B,KPI!IX4,'les arrets'!$J:$J,"Exploitation")</f>
        <v>0</v>
      </c>
      <c r="IY13" s="100">
        <f t="shared" si="79"/>
        <v>0</v>
      </c>
      <c r="IZ13" s="139">
        <f>SUMIFS('les arrets'!$G:$G,'les arrets'!$B:$B,KPI!IZ4,'les arrets'!$J:$J,"Exploitation")</f>
        <v>0</v>
      </c>
      <c r="JA13" s="139">
        <f>SUMIFS('les arrets'!$G:$G,'les arrets'!$B:$B,KPI!JA4,'les arrets'!$J:$J,"Exploitation")</f>
        <v>0</v>
      </c>
      <c r="JB13" s="139">
        <f>SUMIFS('les arrets'!$G:$G,'les arrets'!$B:$B,KPI!JB4,'les arrets'!$J:$J,"Exploitation")</f>
        <v>0</v>
      </c>
      <c r="JC13" s="139">
        <f>SUMIFS('les arrets'!$G:$G,'les arrets'!$B:$B,KPI!JC4,'les arrets'!$J:$J,"Exploitation")</f>
        <v>0</v>
      </c>
      <c r="JD13" s="139">
        <f>SUMIFS('les arrets'!$G:$G,'les arrets'!$B:$B,KPI!JD4,'les arrets'!$J:$J,"Exploitation")</f>
        <v>0</v>
      </c>
      <c r="JE13" s="139">
        <f>SUMIFS('les arrets'!$G:$G,'les arrets'!$B:$B,KPI!JE4,'les arrets'!$J:$J,"Exploitation")</f>
        <v>0</v>
      </c>
      <c r="JF13" s="139">
        <f>SUMIFS('les arrets'!$G:$G,'les arrets'!$B:$B,KPI!JF4,'les arrets'!$J:$J,"Exploitation")</f>
        <v>0</v>
      </c>
      <c r="JG13" s="100">
        <f t="shared" si="80"/>
        <v>0</v>
      </c>
      <c r="JH13" s="139">
        <f>SUMIFS('les arrets'!$G:$G,'les arrets'!$B:$B,KPI!JH4,'les arrets'!$J:$J,"Exploitation")</f>
        <v>0</v>
      </c>
      <c r="JI13" s="139">
        <f>SUMIFS('les arrets'!$G:$G,'les arrets'!$B:$B,KPI!JI4,'les arrets'!$J:$J,"Exploitation")</f>
        <v>0</v>
      </c>
      <c r="JJ13" s="139">
        <f>SUMIFS('les arrets'!$G:$G,'les arrets'!$B:$B,KPI!JJ4,'les arrets'!$J:$J,"Exploitation")</f>
        <v>0</v>
      </c>
      <c r="JK13" s="139">
        <f>SUMIFS('les arrets'!$G:$G,'les arrets'!$B:$B,KPI!JK4,'les arrets'!$J:$J,"Exploitation")</f>
        <v>0</v>
      </c>
      <c r="JL13" s="139">
        <f>SUMIFS('les arrets'!$G:$G,'les arrets'!$B:$B,KPI!JL4,'les arrets'!$J:$J,"Exploitation")</f>
        <v>0</v>
      </c>
      <c r="JM13" s="139">
        <f>SUMIFS('les arrets'!$G:$G,'les arrets'!$B:$B,KPI!JM4,'les arrets'!$J:$J,"Exploitation")</f>
        <v>0</v>
      </c>
      <c r="JN13" s="139">
        <f>SUMIFS('les arrets'!$G:$G,'les arrets'!$B:$B,KPI!JN4,'les arrets'!$J:$J,"Exploitation")</f>
        <v>0</v>
      </c>
      <c r="JO13" s="100">
        <f t="shared" si="81"/>
        <v>0</v>
      </c>
      <c r="JP13" s="139">
        <f>SUMIFS('les arrets'!$G:$G,'les arrets'!$B:$B,KPI!JP4,'les arrets'!$J:$J,"Exploitation")</f>
        <v>0</v>
      </c>
      <c r="JQ13" s="139">
        <f>SUMIFS('les arrets'!$G:$G,'les arrets'!$B:$B,KPI!JQ4,'les arrets'!$J:$J,"Exploitation")</f>
        <v>0</v>
      </c>
      <c r="JR13" s="139">
        <f>SUMIFS('les arrets'!$G:$G,'les arrets'!$B:$B,KPI!JR4,'les arrets'!$J:$J,"Exploitation")</f>
        <v>0</v>
      </c>
      <c r="JS13" s="139">
        <f>SUMIFS('les arrets'!$G:$G,'les arrets'!$B:$B,KPI!JS4,'les arrets'!$J:$J,"Exploitation")</f>
        <v>0</v>
      </c>
      <c r="JT13" s="139">
        <f>SUMIFS('les arrets'!$G:$G,'les arrets'!$B:$B,KPI!JT4,'les arrets'!$J:$J,"Exploitation")</f>
        <v>0</v>
      </c>
      <c r="JU13" s="139">
        <f>SUMIFS('les arrets'!$G:$G,'les arrets'!$B:$B,KPI!JU4,'les arrets'!$J:$J,"Exploitation")</f>
        <v>0</v>
      </c>
      <c r="JV13" s="139">
        <f>SUMIFS('les arrets'!$G:$G,'les arrets'!$B:$B,KPI!JV4,'les arrets'!$J:$J,"Exploitation")</f>
        <v>0</v>
      </c>
      <c r="JW13" s="100">
        <f t="shared" si="82"/>
        <v>0</v>
      </c>
      <c r="JX13" s="139">
        <f>SUMIFS('les arrets'!$G:$G,'les arrets'!$B:$B,KPI!JX4,'les arrets'!$J:$J,"Exploitation")</f>
        <v>0</v>
      </c>
      <c r="JY13" s="139">
        <f>SUMIFS('les arrets'!$G:$G,'les arrets'!$B:$B,KPI!JY4,'les arrets'!$J:$J,"Exploitation")</f>
        <v>0</v>
      </c>
      <c r="JZ13" s="139">
        <f>SUMIFS('les arrets'!$G:$G,'les arrets'!$B:$B,KPI!JZ4,'les arrets'!$J:$J,"Exploitation")</f>
        <v>0</v>
      </c>
      <c r="KA13" s="139">
        <f>SUMIFS('les arrets'!$G:$G,'les arrets'!$B:$B,KPI!KA4,'les arrets'!$J:$J,"Exploitation")</f>
        <v>0</v>
      </c>
      <c r="KB13" s="139">
        <f>SUMIFS('les arrets'!$G:$G,'les arrets'!$B:$B,KPI!KB4,'les arrets'!$J:$J,"Exploitation")</f>
        <v>0</v>
      </c>
      <c r="KC13" s="139">
        <f>SUMIFS('les arrets'!$G:$G,'les arrets'!$B:$B,KPI!KC4,'les arrets'!$J:$J,"Exploitation")</f>
        <v>0</v>
      </c>
      <c r="KD13" s="139">
        <f>SUMIFS('les arrets'!$G:$G,'les arrets'!$B:$B,KPI!KD4,'les arrets'!$J:$J,"Exploitation")</f>
        <v>0</v>
      </c>
      <c r="KE13" s="100">
        <f t="shared" si="83"/>
        <v>0</v>
      </c>
      <c r="KF13" s="139">
        <f>SUMIFS('les arrets'!$G:$G,'les arrets'!$B:$B,KPI!KF4,'les arrets'!$J:$J,"Exploitation")</f>
        <v>0</v>
      </c>
      <c r="KG13" s="139">
        <f>SUMIFS('les arrets'!$G:$G,'les arrets'!$B:$B,KPI!KG4,'les arrets'!$J:$J,"Exploitation")</f>
        <v>0</v>
      </c>
      <c r="KH13" s="139">
        <f>SUMIFS('les arrets'!$G:$G,'les arrets'!$B:$B,KPI!KH4,'les arrets'!$J:$J,"Exploitation")</f>
        <v>0</v>
      </c>
      <c r="KI13" s="139">
        <f>SUMIFS('les arrets'!$G:$G,'les arrets'!$B:$B,KPI!KI4,'les arrets'!$J:$J,"Exploitation")</f>
        <v>0</v>
      </c>
      <c r="KJ13" s="139">
        <f>SUMIFS('les arrets'!$G:$G,'les arrets'!$B:$B,KPI!KJ4,'les arrets'!$J:$J,"Exploitation")</f>
        <v>0</v>
      </c>
      <c r="KK13" s="139">
        <f>SUMIFS('les arrets'!$G:$G,'les arrets'!$B:$B,KPI!KK4,'les arrets'!$J:$J,"Exploitation")</f>
        <v>0</v>
      </c>
      <c r="KL13" s="139">
        <f>SUMIFS('les arrets'!$G:$G,'les arrets'!$B:$B,KPI!KL4,'les arrets'!$J:$J,"Exploitation")</f>
        <v>0</v>
      </c>
      <c r="KM13" s="100">
        <f t="shared" si="84"/>
        <v>0</v>
      </c>
      <c r="KN13" s="139">
        <f>SUMIFS('les arrets'!$G:$G,'les arrets'!$B:$B,KPI!KN4,'les arrets'!$J:$J,"Exploitation")</f>
        <v>0</v>
      </c>
      <c r="KO13" s="139">
        <f>SUMIFS('les arrets'!$G:$G,'les arrets'!$B:$B,KPI!KO4,'les arrets'!$J:$J,"Exploitation")</f>
        <v>0</v>
      </c>
      <c r="KP13" s="139">
        <f>SUMIFS('les arrets'!$G:$G,'les arrets'!$B:$B,KPI!KP4,'les arrets'!$J:$J,"Exploitation")</f>
        <v>0</v>
      </c>
      <c r="KQ13" s="139">
        <f>SUMIFS('les arrets'!$G:$G,'les arrets'!$B:$B,KPI!KQ4,'les arrets'!$J:$J,"Exploitation")</f>
        <v>0</v>
      </c>
      <c r="KR13" s="139">
        <f>SUMIFS('les arrets'!$G:$G,'les arrets'!$B:$B,KPI!KR4,'les arrets'!$J:$J,"Exploitation")</f>
        <v>0</v>
      </c>
      <c r="KS13" s="139">
        <f>SUMIFS('les arrets'!$G:$G,'les arrets'!$B:$B,KPI!KS4,'les arrets'!$J:$J,"Exploitation")</f>
        <v>0</v>
      </c>
      <c r="KT13" s="139">
        <f>SUMIFS('les arrets'!$G:$G,'les arrets'!$B:$B,KPI!KT4,'les arrets'!$J:$J,"Exploitation")</f>
        <v>0</v>
      </c>
      <c r="KU13" s="100">
        <f t="shared" si="85"/>
        <v>0</v>
      </c>
      <c r="KV13" s="139">
        <f>SUMIFS('les arrets'!$G:$G,'les arrets'!$B:$B,KPI!KV4,'les arrets'!$J:$J,"Exploitation")</f>
        <v>0</v>
      </c>
      <c r="KW13" s="139">
        <f>SUMIFS('les arrets'!$G:$G,'les arrets'!$B:$B,KPI!KW4,'les arrets'!$J:$J,"Exploitation")</f>
        <v>0</v>
      </c>
      <c r="KX13" s="139">
        <f>SUMIFS('les arrets'!$G:$G,'les arrets'!$B:$B,KPI!KX4,'les arrets'!$J:$J,"Exploitation")</f>
        <v>0</v>
      </c>
      <c r="KY13" s="139">
        <f>SUMIFS('les arrets'!$G:$G,'les arrets'!$B:$B,KPI!KY4,'les arrets'!$J:$J,"Exploitation")</f>
        <v>0</v>
      </c>
      <c r="KZ13" s="139">
        <f>SUMIFS('les arrets'!$G:$G,'les arrets'!$B:$B,KPI!KZ4,'les arrets'!$J:$J,"Exploitation")</f>
        <v>0</v>
      </c>
      <c r="LA13" s="139">
        <f>SUMIFS('les arrets'!$G:$G,'les arrets'!$B:$B,KPI!LA4,'les arrets'!$J:$J,"Exploitation")</f>
        <v>0</v>
      </c>
      <c r="LB13" s="139">
        <f>SUMIFS('les arrets'!$G:$G,'les arrets'!$B:$B,KPI!LB4,'les arrets'!$J:$J,"Exploitation")</f>
        <v>0</v>
      </c>
      <c r="LC13" s="100">
        <f t="shared" si="86"/>
        <v>0</v>
      </c>
      <c r="LD13" s="139">
        <f>SUMIFS('les arrets'!$G:$G,'les arrets'!$B:$B,KPI!LD4,'les arrets'!$J:$J,"Exploitation")</f>
        <v>0</v>
      </c>
      <c r="LE13" s="139">
        <f>SUMIFS('les arrets'!$G:$G,'les arrets'!$B:$B,KPI!LE4,'les arrets'!$J:$J,"Exploitation")</f>
        <v>0</v>
      </c>
      <c r="LF13" s="139">
        <f>SUMIFS('les arrets'!$G:$G,'les arrets'!$B:$B,KPI!LF4,'les arrets'!$J:$J,"Exploitation")</f>
        <v>0</v>
      </c>
      <c r="LG13" s="139">
        <f>SUMIFS('les arrets'!$G:$G,'les arrets'!$B:$B,KPI!LG4,'les arrets'!$J:$J,"Exploitation")</f>
        <v>0</v>
      </c>
      <c r="LH13" s="139">
        <f>SUMIFS('les arrets'!$G:$G,'les arrets'!$B:$B,KPI!LH4,'les arrets'!$J:$J,"Exploitation")</f>
        <v>0</v>
      </c>
      <c r="LI13" s="139">
        <f>SUMIFS('les arrets'!$G:$G,'les arrets'!$B:$B,KPI!LI4,'les arrets'!$J:$J,"Exploitation")</f>
        <v>0</v>
      </c>
      <c r="LJ13" s="139">
        <f>SUMIFS('les arrets'!$G:$G,'les arrets'!$B:$B,KPI!LJ4,'les arrets'!$J:$J,"Exploitation")</f>
        <v>0</v>
      </c>
      <c r="LK13" s="100">
        <f t="shared" si="87"/>
        <v>0</v>
      </c>
      <c r="LL13" s="139">
        <f>SUMIFS('les arrets'!$G:$G,'les arrets'!$B:$B,KPI!LL4,'les arrets'!$J:$J,"Exploitation")</f>
        <v>0</v>
      </c>
      <c r="LM13" s="139">
        <f>SUMIFS('les arrets'!$G:$G,'les arrets'!$B:$B,KPI!LM4,'les arrets'!$J:$J,"Exploitation")</f>
        <v>0</v>
      </c>
      <c r="LN13" s="139">
        <f>SUMIFS('les arrets'!$G:$G,'les arrets'!$B:$B,KPI!LN4,'les arrets'!$J:$J,"Exploitation")</f>
        <v>0</v>
      </c>
      <c r="LO13" s="139">
        <f>SUMIFS('les arrets'!$G:$G,'les arrets'!$B:$B,KPI!LO4,'les arrets'!$J:$J,"Exploitation")</f>
        <v>0</v>
      </c>
      <c r="LP13" s="139">
        <f>SUMIFS('les arrets'!$G:$G,'les arrets'!$B:$B,KPI!LP4,'les arrets'!$J:$J,"Exploitation")</f>
        <v>0</v>
      </c>
      <c r="LQ13" s="139">
        <f>SUMIFS('les arrets'!$G:$G,'les arrets'!$B:$B,KPI!LQ4,'les arrets'!$J:$J,"Exploitation")</f>
        <v>0</v>
      </c>
      <c r="LR13" s="139">
        <f>SUMIFS('les arrets'!$G:$G,'les arrets'!$B:$B,KPI!LR4,'les arrets'!$J:$J,"Exploitation")</f>
        <v>0</v>
      </c>
      <c r="LS13" s="100">
        <f t="shared" si="88"/>
        <v>0</v>
      </c>
      <c r="LT13" s="139">
        <f>SUMIFS('les arrets'!$G:$G,'les arrets'!$B:$B,KPI!LT4,'les arrets'!$J:$J,"Exploitation")</f>
        <v>0</v>
      </c>
      <c r="LU13" s="139">
        <f>SUMIFS('les arrets'!$G:$G,'les arrets'!$B:$B,KPI!LU4,'les arrets'!$J:$J,"Exploitation")</f>
        <v>0</v>
      </c>
      <c r="LV13" s="139">
        <f>SUMIFS('les arrets'!$G:$G,'les arrets'!$B:$B,KPI!LV4,'les arrets'!$J:$J,"Exploitation")</f>
        <v>0</v>
      </c>
      <c r="LW13" s="139">
        <f>SUMIFS('les arrets'!$G:$G,'les arrets'!$B:$B,KPI!LW4,'les arrets'!$J:$J,"Exploitation")</f>
        <v>0</v>
      </c>
      <c r="LX13" s="139">
        <f>SUMIFS('les arrets'!$G:$G,'les arrets'!$B:$B,KPI!LX4,'les arrets'!$J:$J,"Exploitation")</f>
        <v>0</v>
      </c>
      <c r="LY13" s="139">
        <f>SUMIFS('les arrets'!$G:$G,'les arrets'!$B:$B,KPI!LY4,'les arrets'!$J:$J,"Exploitation")</f>
        <v>0</v>
      </c>
      <c r="LZ13" s="139">
        <f>SUMIFS('les arrets'!$G:$G,'les arrets'!$B:$B,KPI!LZ4,'les arrets'!$J:$J,"Exploitation")</f>
        <v>0</v>
      </c>
      <c r="MA13" s="100">
        <f t="shared" si="89"/>
        <v>0</v>
      </c>
      <c r="MB13" s="139">
        <f>SUMIFS('les arrets'!$G:$G,'les arrets'!$B:$B,KPI!MB4,'les arrets'!$J:$J,"Exploitation")</f>
        <v>0</v>
      </c>
      <c r="MC13" s="139">
        <f>SUMIFS('les arrets'!$G:$G,'les arrets'!$B:$B,KPI!MC4,'les arrets'!$J:$J,"Exploitation")</f>
        <v>0</v>
      </c>
      <c r="MD13" s="139">
        <f>SUMIFS('les arrets'!$G:$G,'les arrets'!$B:$B,KPI!MD4,'les arrets'!$J:$J,"Exploitation")</f>
        <v>0</v>
      </c>
      <c r="ME13" s="139">
        <f>SUMIFS('les arrets'!$G:$G,'les arrets'!$B:$B,KPI!ME4,'les arrets'!$J:$J,"Exploitation")</f>
        <v>0</v>
      </c>
      <c r="MF13" s="139">
        <f>SUMIFS('les arrets'!$G:$G,'les arrets'!$B:$B,KPI!MF4,'les arrets'!$J:$J,"Exploitation")</f>
        <v>0</v>
      </c>
      <c r="MG13" s="139">
        <f>SUMIFS('les arrets'!$G:$G,'les arrets'!$B:$B,KPI!MG4,'les arrets'!$J:$J,"Exploitation")</f>
        <v>0</v>
      </c>
      <c r="MH13" s="139">
        <f>SUMIFS('les arrets'!$G:$G,'les arrets'!$B:$B,KPI!MH4,'les arrets'!$J:$J,"Exploitation")</f>
        <v>0</v>
      </c>
      <c r="MI13" s="100">
        <f t="shared" si="90"/>
        <v>0</v>
      </c>
      <c r="MJ13" s="139">
        <f>SUMIFS('les arrets'!$G:$G,'les arrets'!$B:$B,KPI!MJ4,'les arrets'!$J:$J,"Exploitation")</f>
        <v>0</v>
      </c>
      <c r="MK13" s="139">
        <f>SUMIFS('les arrets'!$G:$G,'les arrets'!$B:$B,KPI!MK4,'les arrets'!$J:$J,"Exploitation")</f>
        <v>0</v>
      </c>
      <c r="ML13" s="139">
        <f>SUMIFS('les arrets'!$G:$G,'les arrets'!$B:$B,KPI!ML4,'les arrets'!$J:$J,"Exploitation")</f>
        <v>0</v>
      </c>
      <c r="MM13" s="139">
        <f>SUMIFS('les arrets'!$G:$G,'les arrets'!$B:$B,KPI!MM4,'les arrets'!$J:$J,"Exploitation")</f>
        <v>0</v>
      </c>
      <c r="MN13" s="139">
        <f>SUMIFS('les arrets'!$G:$G,'les arrets'!$B:$B,KPI!MN4,'les arrets'!$J:$J,"Exploitation")</f>
        <v>0</v>
      </c>
      <c r="MO13" s="139">
        <f>SUMIFS('les arrets'!$G:$G,'les arrets'!$B:$B,KPI!MO4,'les arrets'!$J:$J,"Exploitation")</f>
        <v>0</v>
      </c>
      <c r="MP13" s="139">
        <f>SUMIFS('les arrets'!$G:$G,'les arrets'!$B:$B,KPI!MP4,'les arrets'!$J:$J,"Exploitation")</f>
        <v>0</v>
      </c>
      <c r="MQ13" s="100">
        <f t="shared" si="91"/>
        <v>0</v>
      </c>
      <c r="MR13" s="139">
        <f>SUMIFS('les arrets'!$G:$G,'les arrets'!$B:$B,KPI!MR4,'les arrets'!$J:$J,"Exploitation")</f>
        <v>0</v>
      </c>
      <c r="MS13" s="139">
        <f>SUMIFS('les arrets'!$G:$G,'les arrets'!$B:$B,KPI!MS4,'les arrets'!$J:$J,"Exploitation")</f>
        <v>0</v>
      </c>
      <c r="MT13" s="139">
        <f>SUMIFS('les arrets'!$G:$G,'les arrets'!$B:$B,KPI!MT4,'les arrets'!$J:$J,"Exploitation")</f>
        <v>0</v>
      </c>
      <c r="MU13" s="139">
        <f>SUMIFS('les arrets'!$G:$G,'les arrets'!$B:$B,KPI!MU4,'les arrets'!$J:$J,"Exploitation")</f>
        <v>0</v>
      </c>
      <c r="MV13" s="139">
        <f>SUMIFS('les arrets'!$G:$G,'les arrets'!$B:$B,KPI!MV4,'les arrets'!$J:$J,"Exploitation")</f>
        <v>0</v>
      </c>
      <c r="MW13" s="139">
        <f>SUMIFS('les arrets'!$G:$G,'les arrets'!$B:$B,KPI!MW4,'les arrets'!$J:$J,"Exploitation")</f>
        <v>0</v>
      </c>
      <c r="MX13" s="139">
        <f>SUMIFS('les arrets'!$G:$G,'les arrets'!$B:$B,KPI!MX4,'les arrets'!$J:$J,"Exploitation")</f>
        <v>0</v>
      </c>
      <c r="MY13" s="100">
        <f t="shared" si="92"/>
        <v>0</v>
      </c>
      <c r="MZ13" s="139">
        <f>SUMIFS('les arrets'!$G:$G,'les arrets'!$B:$B,KPI!MZ4,'les arrets'!$J:$J,"Exploitation")</f>
        <v>0</v>
      </c>
      <c r="NA13" s="139">
        <f>SUMIFS('les arrets'!$G:$G,'les arrets'!$B:$B,KPI!NA4,'les arrets'!$J:$J,"Exploitation")</f>
        <v>0</v>
      </c>
      <c r="NB13" s="139">
        <f>SUMIFS('les arrets'!$G:$G,'les arrets'!$B:$B,KPI!NB4,'les arrets'!$J:$J,"Exploitation")</f>
        <v>0</v>
      </c>
      <c r="NC13" s="139">
        <f>SUMIFS('les arrets'!$G:$G,'les arrets'!$B:$B,KPI!NC4,'les arrets'!$J:$J,"Exploitation")</f>
        <v>0</v>
      </c>
      <c r="ND13" s="139">
        <f>SUMIFS('les arrets'!$G:$G,'les arrets'!$B:$B,KPI!ND4,'les arrets'!$J:$J,"Exploitation")</f>
        <v>0</v>
      </c>
      <c r="NE13" s="139">
        <f>SUMIFS('les arrets'!$G:$G,'les arrets'!$B:$B,KPI!NE4,'les arrets'!$J:$J,"Exploitation")</f>
        <v>0</v>
      </c>
      <c r="NF13" s="139">
        <f>SUMIFS('les arrets'!$G:$G,'les arrets'!$B:$B,KPI!NF4,'les arrets'!$J:$J,"Exploitation")</f>
        <v>0</v>
      </c>
      <c r="NG13" s="100">
        <f t="shared" si="93"/>
        <v>0</v>
      </c>
      <c r="NH13" s="139">
        <f>SUMIFS('les arrets'!$G:$G,'les arrets'!$B:$B,KPI!NH4,'les arrets'!$J:$J,"Exploitation")</f>
        <v>0</v>
      </c>
      <c r="NI13" s="139">
        <f>SUMIFS('les arrets'!$G:$G,'les arrets'!$B:$B,KPI!NI4,'les arrets'!$J:$J,"Exploitation")</f>
        <v>0</v>
      </c>
      <c r="NJ13" s="139">
        <f>SUMIFS('les arrets'!$G:$G,'les arrets'!$B:$B,KPI!NJ4,'les arrets'!$J:$J,"Exploitation")</f>
        <v>0</v>
      </c>
      <c r="NK13" s="139">
        <f>SUMIFS('les arrets'!$G:$G,'les arrets'!$B:$B,KPI!NK4,'les arrets'!$J:$J,"Exploitation")</f>
        <v>0</v>
      </c>
      <c r="NL13" s="139">
        <f>SUMIFS('les arrets'!$G:$G,'les arrets'!$B:$B,KPI!NL4,'les arrets'!$J:$J,"Exploitation")</f>
        <v>0</v>
      </c>
      <c r="NM13" s="139">
        <f>SUMIFS('les arrets'!$G:$G,'les arrets'!$B:$B,KPI!NM4,'les arrets'!$J:$J,"Exploitation")</f>
        <v>0</v>
      </c>
      <c r="NN13" s="139">
        <f>SUMIFS('les arrets'!$G:$G,'les arrets'!$B:$B,KPI!NN4,'les arrets'!$J:$J,"Exploitation")</f>
        <v>0</v>
      </c>
      <c r="NO13" s="100">
        <f t="shared" si="94"/>
        <v>0</v>
      </c>
      <c r="NP13" s="139">
        <f>SUMIFS('les arrets'!$G:$G,'les arrets'!$B:$B,KPI!NP4,'les arrets'!$J:$J,"Exploitation")</f>
        <v>0</v>
      </c>
      <c r="NQ13" s="139">
        <f>SUMIFS('les arrets'!$G:$G,'les arrets'!$B:$B,KPI!NQ4,'les arrets'!$J:$J,"Exploitation")</f>
        <v>0</v>
      </c>
      <c r="NR13" s="139">
        <f>SUMIFS('les arrets'!$G:$G,'les arrets'!$B:$B,KPI!NR4,'les arrets'!$J:$J,"Exploitation")</f>
        <v>0</v>
      </c>
      <c r="NS13" s="139">
        <f>SUMIFS('les arrets'!$G:$G,'les arrets'!$B:$B,KPI!NS4,'les arrets'!$J:$J,"Exploitation")</f>
        <v>0</v>
      </c>
      <c r="NT13" s="139">
        <f>SUMIFS('les arrets'!$G:$G,'les arrets'!$B:$B,KPI!NT4,'les arrets'!$J:$J,"Exploitation")</f>
        <v>0</v>
      </c>
      <c r="NU13" s="139">
        <f>SUMIFS('les arrets'!$G:$G,'les arrets'!$B:$B,KPI!NU4,'les arrets'!$J:$J,"Exploitation")</f>
        <v>0</v>
      </c>
      <c r="NV13" s="139">
        <f>SUMIFS('les arrets'!$G:$G,'les arrets'!$B:$B,KPI!NV4,'les arrets'!$J:$J,"Exploitation")</f>
        <v>0</v>
      </c>
      <c r="NW13" s="100">
        <f t="shared" si="95"/>
        <v>0</v>
      </c>
    </row>
    <row r="14" spans="1:15679" ht="15.75" x14ac:dyDescent="0.25">
      <c r="A14" s="593"/>
      <c r="B14" s="80"/>
      <c r="C14" s="91" t="s">
        <v>372</v>
      </c>
      <c r="D14" s="139" t="e">
        <f>SUMIFS('les arrets'!$G:$G,'les arrets'!$B:$B,KPI!D4,'les arrets'!#REF!,"1")</f>
        <v>#REF!</v>
      </c>
      <c r="E14" s="139" t="e">
        <f>SUMIFS('les arrets'!$G:$G,'les arrets'!$B:$B,KPI!E4,'les arrets'!#REF!,"1")</f>
        <v>#REF!</v>
      </c>
      <c r="F14" s="139" t="e">
        <f>SUMIFS('les arrets'!$G:$G,'les arrets'!$B:$B,KPI!F4,'les arrets'!#REF!,"1")</f>
        <v>#REF!</v>
      </c>
      <c r="G14" s="139" t="e">
        <f>SUMIFS('les arrets'!$G:$G,'les arrets'!$B:$B,KPI!G4,'les arrets'!#REF!,"1")</f>
        <v>#REF!</v>
      </c>
      <c r="H14" s="139" t="e">
        <f>SUMIFS('les arrets'!$G:$G,'les arrets'!$B:$B,KPI!H4,'les arrets'!#REF!,"1")</f>
        <v>#REF!</v>
      </c>
      <c r="I14" s="139" t="e">
        <f>SUMIFS('les arrets'!$G:$G,'les arrets'!$B:$B,KPI!I4,'les arrets'!#REF!,"1")</f>
        <v>#REF!</v>
      </c>
      <c r="J14" s="139" t="e">
        <f>SUMIFS('les arrets'!$G:$G,'les arrets'!$B:$B,KPI!J4,'les arrets'!#REF!,"1")</f>
        <v>#REF!</v>
      </c>
      <c r="K14" s="100" t="e">
        <f t="shared" si="96"/>
        <v>#REF!</v>
      </c>
      <c r="L14" s="139" t="e">
        <f>SUMIFS('les arrets'!$G:$G,'les arrets'!$B:$B,KPI!L4,'les arrets'!#REF!,"1")</f>
        <v>#REF!</v>
      </c>
      <c r="M14" s="139" t="e">
        <f>SUMIFS('les arrets'!$G:$G,'les arrets'!$B:$B,KPI!M4,'les arrets'!#REF!,"1")</f>
        <v>#REF!</v>
      </c>
      <c r="N14" s="139" t="e">
        <f>SUMIFS('les arrets'!$G:$G,'les arrets'!$B:$B,KPI!N4,'les arrets'!#REF!,"1")</f>
        <v>#REF!</v>
      </c>
      <c r="O14" s="139" t="e">
        <f>SUMIFS('les arrets'!$G:$G,'les arrets'!$B:$B,KPI!O4,'les arrets'!#REF!,"1")</f>
        <v>#REF!</v>
      </c>
      <c r="P14" s="139" t="e">
        <f>SUMIFS('les arrets'!$G:$G,'les arrets'!$B:$B,KPI!P4,'les arrets'!#REF!,"1")</f>
        <v>#REF!</v>
      </c>
      <c r="Q14" s="139" t="e">
        <f>SUMIFS('les arrets'!$G:$G,'les arrets'!$B:$B,KPI!Q4,'les arrets'!#REF!,"1")</f>
        <v>#REF!</v>
      </c>
      <c r="R14" s="139" t="e">
        <f>SUMIFS('les arrets'!$G:$G,'les arrets'!$B:$B,KPI!R4,'les arrets'!#REF!,"1")</f>
        <v>#REF!</v>
      </c>
      <c r="S14" s="100" t="e">
        <f t="shared" si="49"/>
        <v>#REF!</v>
      </c>
      <c r="T14" s="139" t="e">
        <f>SUMIFS('les arrets'!$G:$G,'les arrets'!$B:$B,KPI!T4,'les arrets'!#REF!,"1")</f>
        <v>#REF!</v>
      </c>
      <c r="U14" s="139" t="e">
        <f>SUMIFS('les arrets'!$G:$G,'les arrets'!$B:$B,KPI!U4,'les arrets'!#REF!,"1")</f>
        <v>#REF!</v>
      </c>
      <c r="V14" s="139" t="e">
        <f>SUMIFS('les arrets'!$G:$G,'les arrets'!$B:$B,KPI!V4,'les arrets'!#REF!,"1")</f>
        <v>#REF!</v>
      </c>
      <c r="W14" s="139" t="e">
        <f>SUMIFS('les arrets'!$G:$G,'les arrets'!$B:$B,KPI!W4,'les arrets'!#REF!,"1")</f>
        <v>#REF!</v>
      </c>
      <c r="X14" s="139" t="e">
        <f>SUMIFS('les arrets'!$G:$G,'les arrets'!$B:$B,KPI!X4,'les arrets'!#REF!,"1")</f>
        <v>#REF!</v>
      </c>
      <c r="Y14" s="139" t="e">
        <f>SUMIFS('les arrets'!$G:$G,'les arrets'!$B:$B,KPI!Y4,'les arrets'!#REF!,"1")</f>
        <v>#REF!</v>
      </c>
      <c r="Z14" s="139" t="e">
        <f>SUMIFS('les arrets'!$G:$G,'les arrets'!$B:$B,KPI!Z4,'les arrets'!#REF!,"1")</f>
        <v>#REF!</v>
      </c>
      <c r="AA14" s="100" t="e">
        <f t="shared" si="50"/>
        <v>#REF!</v>
      </c>
      <c r="AB14" s="139" t="e">
        <f>SUMIFS('les arrets'!$G:$G,'les arrets'!$B:$B,KPI!AB4,'les arrets'!#REF!,"1")</f>
        <v>#REF!</v>
      </c>
      <c r="AC14" s="139" t="e">
        <f>SUMIFS('les arrets'!$G:$G,'les arrets'!$B:$B,KPI!AC4,'les arrets'!#REF!,"1")</f>
        <v>#REF!</v>
      </c>
      <c r="AD14" s="139" t="e">
        <f>SUMIFS('les arrets'!$G:$G,'les arrets'!$B:$B,KPI!AD4,'les arrets'!#REF!,"1")</f>
        <v>#REF!</v>
      </c>
      <c r="AE14" s="139" t="e">
        <f>SUMIFS('les arrets'!$G:$G,'les arrets'!$B:$B,KPI!AE4,'les arrets'!#REF!,"1")</f>
        <v>#REF!</v>
      </c>
      <c r="AF14" s="139" t="e">
        <f>SUMIFS('les arrets'!$G:$G,'les arrets'!$B:$B,KPI!AF4,'les arrets'!#REF!,"1")</f>
        <v>#REF!</v>
      </c>
      <c r="AG14" s="139" t="e">
        <f>SUMIFS('les arrets'!$G:$G,'les arrets'!$B:$B,KPI!AG4,'les arrets'!#REF!,"1")</f>
        <v>#REF!</v>
      </c>
      <c r="AH14" s="139" t="e">
        <f>SUMIFS('les arrets'!$G:$G,'les arrets'!$B:$B,KPI!AH4,'les arrets'!#REF!,"1")</f>
        <v>#REF!</v>
      </c>
      <c r="AI14" s="100" t="e">
        <f t="shared" si="51"/>
        <v>#REF!</v>
      </c>
      <c r="AJ14" s="139" t="e">
        <f>SUMIFS('les arrets'!$G:$G,'les arrets'!$B:$B,KPI!AJ4,'les arrets'!#REF!,"1")</f>
        <v>#REF!</v>
      </c>
      <c r="AK14" s="139" t="e">
        <f>SUMIFS('les arrets'!$G:$G,'les arrets'!$B:$B,KPI!AK4,'les arrets'!#REF!,"1")</f>
        <v>#REF!</v>
      </c>
      <c r="AL14" s="139" t="e">
        <f>SUMIFS('les arrets'!$G:$G,'les arrets'!$B:$B,KPI!AL4,'les arrets'!#REF!,"1")</f>
        <v>#REF!</v>
      </c>
      <c r="AM14" s="139" t="e">
        <f>SUMIFS('les arrets'!$G:$G,'les arrets'!$B:$B,KPI!AM4,'les arrets'!#REF!,"1")</f>
        <v>#REF!</v>
      </c>
      <c r="AN14" s="139" t="e">
        <f>SUMIFS('les arrets'!$G:$G,'les arrets'!$B:$B,KPI!AN4,'les arrets'!#REF!,"1")</f>
        <v>#REF!</v>
      </c>
      <c r="AO14" s="139" t="e">
        <f>SUMIFS('les arrets'!$G:$G,'les arrets'!$B:$B,KPI!AO4,'les arrets'!#REF!,"1")</f>
        <v>#REF!</v>
      </c>
      <c r="AP14" s="139" t="e">
        <f>SUMIFS('les arrets'!$G:$G,'les arrets'!$B:$B,KPI!AP4,'les arrets'!#REF!,"1")</f>
        <v>#REF!</v>
      </c>
      <c r="AQ14" s="100" t="e">
        <f t="shared" si="52"/>
        <v>#REF!</v>
      </c>
      <c r="AR14" s="139" t="e">
        <f>SUMIFS('les arrets'!$G:$G,'les arrets'!$B:$B,KPI!AR4,'les arrets'!#REF!,"1")</f>
        <v>#REF!</v>
      </c>
      <c r="AS14" s="139" t="e">
        <f>SUMIFS('les arrets'!$G:$G,'les arrets'!$B:$B,KPI!AS4,'les arrets'!#REF!,"1")</f>
        <v>#REF!</v>
      </c>
      <c r="AT14" s="139" t="e">
        <f>SUMIFS('les arrets'!$G:$G,'les arrets'!$B:$B,KPI!AT4,'les arrets'!#REF!,"1")</f>
        <v>#REF!</v>
      </c>
      <c r="AU14" s="139" t="e">
        <f>SUMIFS('les arrets'!$G:$G,'les arrets'!$B:$B,KPI!AU4,'les arrets'!#REF!,"1")</f>
        <v>#REF!</v>
      </c>
      <c r="AV14" s="139" t="e">
        <f>SUMIFS('les arrets'!$G:$G,'les arrets'!$B:$B,KPI!AV4,'les arrets'!#REF!,"1")</f>
        <v>#REF!</v>
      </c>
      <c r="AW14" s="139" t="e">
        <f>SUMIFS('les arrets'!$G:$G,'les arrets'!$B:$B,KPI!AW4,'les arrets'!#REF!,"1")</f>
        <v>#REF!</v>
      </c>
      <c r="AX14" s="139" t="e">
        <f>SUMIFS('les arrets'!$G:$G,'les arrets'!$B:$B,KPI!AX4,'les arrets'!#REF!,"1")</f>
        <v>#REF!</v>
      </c>
      <c r="AY14" s="100" t="e">
        <f t="shared" si="53"/>
        <v>#REF!</v>
      </c>
      <c r="AZ14" s="139" t="e">
        <f>SUMIFS('les arrets'!$G:$G,'les arrets'!$B:$B,KPI!AZ4,'les arrets'!#REF!,"1")</f>
        <v>#REF!</v>
      </c>
      <c r="BA14" s="139" t="e">
        <f>SUMIFS('les arrets'!$G:$G,'les arrets'!$B:$B,KPI!BA4,'les arrets'!#REF!,"1")</f>
        <v>#REF!</v>
      </c>
      <c r="BB14" s="139" t="e">
        <f>SUMIFS('les arrets'!$G:$G,'les arrets'!$B:$B,KPI!BB4,'les arrets'!#REF!,"1")</f>
        <v>#REF!</v>
      </c>
      <c r="BC14" s="139" t="e">
        <f>SUMIFS('les arrets'!$G:$G,'les arrets'!$B:$B,KPI!BC4,'les arrets'!#REF!,"1")</f>
        <v>#REF!</v>
      </c>
      <c r="BD14" s="139" t="e">
        <f>SUMIFS('les arrets'!$G:$G,'les arrets'!$B:$B,KPI!BD4,'les arrets'!#REF!,"1")</f>
        <v>#REF!</v>
      </c>
      <c r="BE14" s="139" t="e">
        <f>SUMIFS('les arrets'!$G:$G,'les arrets'!$B:$B,KPI!BE4,'les arrets'!#REF!,"1")</f>
        <v>#REF!</v>
      </c>
      <c r="BF14" s="139" t="e">
        <f>SUMIFS('les arrets'!$G:$G,'les arrets'!$B:$B,KPI!BF4,'les arrets'!#REF!,"1")</f>
        <v>#REF!</v>
      </c>
      <c r="BG14" s="100" t="e">
        <f t="shared" si="54"/>
        <v>#REF!</v>
      </c>
      <c r="BH14" s="139" t="e">
        <f>SUMIFS('les arrets'!$G:$G,'les arrets'!$B:$B,KPI!BH4,'les arrets'!#REF!,"1")</f>
        <v>#REF!</v>
      </c>
      <c r="BI14" s="139" t="e">
        <f>SUMIFS('les arrets'!$G:$G,'les arrets'!$B:$B,KPI!BI4,'les arrets'!#REF!,"1")</f>
        <v>#REF!</v>
      </c>
      <c r="BJ14" s="139" t="e">
        <f>SUMIFS('les arrets'!$G:$G,'les arrets'!$B:$B,KPI!BJ4,'les arrets'!#REF!,"1")</f>
        <v>#REF!</v>
      </c>
      <c r="BK14" s="139" t="e">
        <f>SUMIFS('les arrets'!$G:$G,'les arrets'!$B:$B,KPI!BK4,'les arrets'!#REF!,"1")</f>
        <v>#REF!</v>
      </c>
      <c r="BL14" s="139" t="e">
        <f>SUMIFS('les arrets'!$G:$G,'les arrets'!$B:$B,KPI!BL4,'les arrets'!#REF!,"1")</f>
        <v>#REF!</v>
      </c>
      <c r="BM14" s="139" t="e">
        <f>SUMIFS('les arrets'!$G:$G,'les arrets'!$B:$B,KPI!BM4,'les arrets'!#REF!,"1")</f>
        <v>#REF!</v>
      </c>
      <c r="BN14" s="139" t="e">
        <f>SUMIFS('les arrets'!$G:$G,'les arrets'!$B:$B,KPI!BN4,'les arrets'!#REF!,"1")</f>
        <v>#REF!</v>
      </c>
      <c r="BO14" s="100" t="e">
        <f t="shared" si="55"/>
        <v>#REF!</v>
      </c>
      <c r="BP14" s="139" t="e">
        <f>SUMIFS('les arrets'!$G:$G,'les arrets'!$B:$B,KPI!BP4,'les arrets'!#REF!,"1")</f>
        <v>#REF!</v>
      </c>
      <c r="BQ14" s="139" t="e">
        <f>SUMIFS('les arrets'!$G:$G,'les arrets'!$B:$B,KPI!BQ4,'les arrets'!#REF!,"1")</f>
        <v>#REF!</v>
      </c>
      <c r="BR14" s="139" t="e">
        <f>SUMIFS('les arrets'!$G:$G,'les arrets'!$B:$B,KPI!BR4,'les arrets'!#REF!,"1")</f>
        <v>#REF!</v>
      </c>
      <c r="BS14" s="139" t="e">
        <f>SUMIFS('les arrets'!$G:$G,'les arrets'!$B:$B,KPI!BS4,'les arrets'!#REF!,"1")</f>
        <v>#REF!</v>
      </c>
      <c r="BT14" s="139" t="e">
        <f>SUMIFS('les arrets'!$G:$G,'les arrets'!$B:$B,KPI!BT4,'les arrets'!#REF!,"1")</f>
        <v>#REF!</v>
      </c>
      <c r="BU14" s="139" t="e">
        <f>SUMIFS('les arrets'!$G:$G,'les arrets'!$B:$B,KPI!BU4,'les arrets'!#REF!,"1")</f>
        <v>#REF!</v>
      </c>
      <c r="BV14" s="139" t="e">
        <f>SUMIFS('les arrets'!$G:$G,'les arrets'!$B:$B,KPI!BV4,'les arrets'!#REF!,"1")</f>
        <v>#REF!</v>
      </c>
      <c r="BW14" s="100" t="e">
        <f t="shared" si="56"/>
        <v>#REF!</v>
      </c>
      <c r="BX14" s="139" t="e">
        <f>SUMIFS('les arrets'!$G:$G,'les arrets'!$B:$B,KPI!BX4,'les arrets'!#REF!,"1")</f>
        <v>#REF!</v>
      </c>
      <c r="BY14" s="139" t="e">
        <f>SUMIFS('les arrets'!$G:$G,'les arrets'!$B:$B,KPI!BY4,'les arrets'!#REF!,"1")</f>
        <v>#REF!</v>
      </c>
      <c r="BZ14" s="139" t="e">
        <f>SUMIFS('les arrets'!$G:$G,'les arrets'!$B:$B,KPI!BZ4,'les arrets'!#REF!,"1")</f>
        <v>#REF!</v>
      </c>
      <c r="CA14" s="139" t="e">
        <f>SUMIFS('les arrets'!$G:$G,'les arrets'!$B:$B,KPI!CA4,'les arrets'!#REF!,"1")</f>
        <v>#REF!</v>
      </c>
      <c r="CB14" s="139" t="e">
        <f>SUMIFS('les arrets'!$G:$G,'les arrets'!$B:$B,KPI!CB4,'les arrets'!#REF!,"1")</f>
        <v>#REF!</v>
      </c>
      <c r="CC14" s="139" t="e">
        <f>SUMIFS('les arrets'!$G:$G,'les arrets'!$B:$B,KPI!CC4,'les arrets'!#REF!,"1")</f>
        <v>#REF!</v>
      </c>
      <c r="CD14" s="139" t="e">
        <f>SUMIFS('les arrets'!$G:$G,'les arrets'!$B:$B,KPI!CD4,'les arrets'!#REF!,"1")</f>
        <v>#REF!</v>
      </c>
      <c r="CE14" s="100" t="e">
        <f t="shared" si="57"/>
        <v>#REF!</v>
      </c>
      <c r="CF14" s="139" t="e">
        <f>SUMIFS('les arrets'!$G:$G,'les arrets'!$B:$B,KPI!CF4,'les arrets'!#REF!,"1")</f>
        <v>#REF!</v>
      </c>
      <c r="CG14" s="139" t="e">
        <f>SUMIFS('les arrets'!$G:$G,'les arrets'!$B:$B,KPI!CG4,'les arrets'!#REF!,"1")</f>
        <v>#REF!</v>
      </c>
      <c r="CH14" s="139" t="e">
        <f>SUMIFS('les arrets'!$G:$G,'les arrets'!$B:$B,KPI!CH4,'les arrets'!#REF!,"1")</f>
        <v>#REF!</v>
      </c>
      <c r="CI14" s="139" t="e">
        <f>SUMIFS('les arrets'!$G:$G,'les arrets'!$B:$B,KPI!CI4,'les arrets'!#REF!,"1")</f>
        <v>#REF!</v>
      </c>
      <c r="CJ14" s="139" t="e">
        <f>SUMIFS('les arrets'!$G:$G,'les arrets'!$B:$B,KPI!CJ4,'les arrets'!#REF!,"1")</f>
        <v>#REF!</v>
      </c>
      <c r="CK14" s="139" t="e">
        <f>SUMIFS('les arrets'!$G:$G,'les arrets'!$B:$B,KPI!CK4,'les arrets'!#REF!,"1")</f>
        <v>#REF!</v>
      </c>
      <c r="CL14" s="139" t="e">
        <f>SUMIFS('les arrets'!$G:$G,'les arrets'!$B:$B,KPI!CL4,'les arrets'!#REF!,"1")</f>
        <v>#REF!</v>
      </c>
      <c r="CM14" s="100" t="e">
        <f t="shared" si="58"/>
        <v>#REF!</v>
      </c>
      <c r="CN14" s="139" t="e">
        <f>SUMIFS('les arrets'!$G:$G,'les arrets'!$B:$B,KPI!CN4,'les arrets'!#REF!,"1")</f>
        <v>#REF!</v>
      </c>
      <c r="CO14" s="139" t="e">
        <f>SUMIFS('les arrets'!$G:$G,'les arrets'!$B:$B,KPI!CO4,'les arrets'!#REF!,"1")</f>
        <v>#REF!</v>
      </c>
      <c r="CP14" s="139" t="e">
        <f>SUMIFS('les arrets'!$G:$G,'les arrets'!$B:$B,KPI!CP4,'les arrets'!#REF!,"1")</f>
        <v>#REF!</v>
      </c>
      <c r="CQ14" s="139" t="e">
        <f>SUMIFS('les arrets'!$G:$G,'les arrets'!$B:$B,KPI!CQ4,'les arrets'!#REF!,"1")</f>
        <v>#REF!</v>
      </c>
      <c r="CR14" s="139" t="e">
        <f>SUMIFS('les arrets'!$G:$G,'les arrets'!$B:$B,KPI!CR4,'les arrets'!#REF!,"1")</f>
        <v>#REF!</v>
      </c>
      <c r="CS14" s="139" t="e">
        <f>SUMIFS('les arrets'!$G:$G,'les arrets'!$B:$B,KPI!CS4,'les arrets'!#REF!,"1")</f>
        <v>#REF!</v>
      </c>
      <c r="CT14" s="139" t="e">
        <f>SUMIFS('les arrets'!$G:$G,'les arrets'!$B:$B,KPI!CT4,'les arrets'!#REF!,"1")</f>
        <v>#REF!</v>
      </c>
      <c r="CU14" s="100" t="e">
        <f t="shared" si="59"/>
        <v>#REF!</v>
      </c>
      <c r="CV14" s="139" t="e">
        <f>SUMIFS('les arrets'!$G:$G,'les arrets'!$B:$B,KPI!CV4,'les arrets'!#REF!,"1")</f>
        <v>#REF!</v>
      </c>
      <c r="CW14" s="139" t="e">
        <f>SUMIFS('les arrets'!$G:$G,'les arrets'!$B:$B,KPI!CW4,'les arrets'!#REF!,"1")</f>
        <v>#REF!</v>
      </c>
      <c r="CX14" s="139" t="e">
        <f>SUMIFS('les arrets'!$G:$G,'les arrets'!$B:$B,KPI!CX4,'les arrets'!#REF!,"1")</f>
        <v>#REF!</v>
      </c>
      <c r="CY14" s="139" t="e">
        <f>SUMIFS('les arrets'!$G:$G,'les arrets'!$B:$B,KPI!CY4,'les arrets'!#REF!,"1")</f>
        <v>#REF!</v>
      </c>
      <c r="CZ14" s="139" t="e">
        <f>SUMIFS('les arrets'!$G:$G,'les arrets'!$B:$B,KPI!CZ4,'les arrets'!#REF!,"1")</f>
        <v>#REF!</v>
      </c>
      <c r="DA14" s="139" t="e">
        <f>SUMIFS('les arrets'!$G:$G,'les arrets'!$B:$B,KPI!DA4,'les arrets'!#REF!,"1")</f>
        <v>#REF!</v>
      </c>
      <c r="DB14" s="139" t="e">
        <f>SUMIFS('les arrets'!$G:$G,'les arrets'!$B:$B,KPI!DB4,'les arrets'!#REF!,"1")</f>
        <v>#REF!</v>
      </c>
      <c r="DC14" s="100" t="e">
        <f t="shared" si="60"/>
        <v>#REF!</v>
      </c>
      <c r="DD14" s="139" t="e">
        <f>SUMIFS('les arrets'!$G:$G,'les arrets'!$B:$B,KPI!DD4,'les arrets'!#REF!,"1")</f>
        <v>#REF!</v>
      </c>
      <c r="DE14" s="139" t="e">
        <f>SUMIFS('les arrets'!$G:$G,'les arrets'!$B:$B,KPI!DE4,'les arrets'!#REF!,"1")</f>
        <v>#REF!</v>
      </c>
      <c r="DF14" s="139" t="e">
        <f>SUMIFS('les arrets'!$G:$G,'les arrets'!$B:$B,KPI!DF4,'les arrets'!#REF!,"1")</f>
        <v>#REF!</v>
      </c>
      <c r="DG14" s="139" t="e">
        <f>SUMIFS('les arrets'!$G:$G,'les arrets'!$B:$B,KPI!DG4,'les arrets'!#REF!,"1")</f>
        <v>#REF!</v>
      </c>
      <c r="DH14" s="139" t="e">
        <f>SUMIFS('les arrets'!$G:$G,'les arrets'!$B:$B,KPI!DH4,'les arrets'!#REF!,"1")</f>
        <v>#REF!</v>
      </c>
      <c r="DI14" s="139" t="e">
        <f>SUMIFS('les arrets'!$G:$G,'les arrets'!$B:$B,KPI!DI4,'les arrets'!#REF!,"1")</f>
        <v>#REF!</v>
      </c>
      <c r="DJ14" s="139" t="e">
        <f>SUMIFS('les arrets'!$G:$G,'les arrets'!$B:$B,KPI!DJ4,'les arrets'!#REF!,"1")</f>
        <v>#REF!</v>
      </c>
      <c r="DK14" s="100" t="e">
        <f t="shared" si="61"/>
        <v>#REF!</v>
      </c>
      <c r="DL14" s="139" t="e">
        <f>SUMIFS('les arrets'!$G:$G,'les arrets'!$B:$B,KPI!DL4,'les arrets'!#REF!,"1")</f>
        <v>#REF!</v>
      </c>
      <c r="DM14" s="139" t="e">
        <f>SUMIFS('les arrets'!$G:$G,'les arrets'!$B:$B,KPI!DM4,'les arrets'!#REF!,"1")</f>
        <v>#REF!</v>
      </c>
      <c r="DN14" s="139" t="e">
        <f>SUMIFS('les arrets'!$G:$G,'les arrets'!$B:$B,KPI!DN4,'les arrets'!#REF!,"1")</f>
        <v>#REF!</v>
      </c>
      <c r="DO14" s="139" t="e">
        <f>SUMIFS('les arrets'!$G:$G,'les arrets'!$B:$B,KPI!DO4,'les arrets'!#REF!,"1")</f>
        <v>#REF!</v>
      </c>
      <c r="DP14" s="139" t="e">
        <f>SUMIFS('les arrets'!$G:$G,'les arrets'!$B:$B,KPI!DP4,'les arrets'!#REF!,"1")</f>
        <v>#REF!</v>
      </c>
      <c r="DQ14" s="139" t="e">
        <f>SUMIFS('les arrets'!$G:$G,'les arrets'!$B:$B,KPI!DQ4,'les arrets'!#REF!,"1")</f>
        <v>#REF!</v>
      </c>
      <c r="DR14" s="139" t="e">
        <f>SUMIFS('les arrets'!$G:$G,'les arrets'!$B:$B,KPI!DR4,'les arrets'!#REF!,"1")</f>
        <v>#REF!</v>
      </c>
      <c r="DS14" s="100" t="e">
        <f t="shared" si="62"/>
        <v>#REF!</v>
      </c>
      <c r="DT14" s="139" t="e">
        <f>SUMIFS('les arrets'!$G:$G,'les arrets'!$B:$B,KPI!DT4,'les arrets'!#REF!,"1")</f>
        <v>#REF!</v>
      </c>
      <c r="DU14" s="139" t="e">
        <f>SUMIFS('les arrets'!$G:$G,'les arrets'!$B:$B,KPI!DU4,'les arrets'!#REF!,"1")</f>
        <v>#REF!</v>
      </c>
      <c r="DV14" s="139" t="e">
        <f>SUMIFS('les arrets'!$G:$G,'les arrets'!$B:$B,KPI!DV4,'les arrets'!#REF!,"1")</f>
        <v>#REF!</v>
      </c>
      <c r="DW14" s="139" t="e">
        <f>SUMIFS('les arrets'!$G:$G,'les arrets'!$B:$B,KPI!DW4,'les arrets'!#REF!,"1")</f>
        <v>#REF!</v>
      </c>
      <c r="DX14" s="139" t="e">
        <f>SUMIFS('les arrets'!$G:$G,'les arrets'!$B:$B,KPI!DX4,'les arrets'!#REF!,"1")</f>
        <v>#REF!</v>
      </c>
      <c r="DY14" s="139" t="e">
        <f>SUMIFS('les arrets'!$G:$G,'les arrets'!$B:$B,KPI!DY4,'les arrets'!#REF!,"1")</f>
        <v>#REF!</v>
      </c>
      <c r="DZ14" s="139" t="e">
        <f>SUMIFS('les arrets'!$G:$G,'les arrets'!$B:$B,KPI!DZ4,'les arrets'!#REF!,"1")</f>
        <v>#REF!</v>
      </c>
      <c r="EA14" s="100" t="e">
        <f t="shared" si="63"/>
        <v>#REF!</v>
      </c>
      <c r="EB14" s="139" t="e">
        <f>SUMIFS('les arrets'!$G:$G,'les arrets'!$B:$B,KPI!EB4,'les arrets'!#REF!,"1")</f>
        <v>#REF!</v>
      </c>
      <c r="EC14" s="139" t="e">
        <f>SUMIFS('les arrets'!$G:$G,'les arrets'!$B:$B,KPI!EC4,'les arrets'!#REF!,"1")</f>
        <v>#REF!</v>
      </c>
      <c r="ED14" s="139" t="e">
        <f>SUMIFS('les arrets'!$G:$G,'les arrets'!$B:$B,KPI!ED4,'les arrets'!#REF!,"1")</f>
        <v>#REF!</v>
      </c>
      <c r="EE14" s="139" t="e">
        <f>SUMIFS('les arrets'!$G:$G,'les arrets'!$B:$B,KPI!EE4,'les arrets'!#REF!,"1")</f>
        <v>#REF!</v>
      </c>
      <c r="EF14" s="139" t="e">
        <f>SUMIFS('les arrets'!$G:$G,'les arrets'!$B:$B,KPI!EF4,'les arrets'!#REF!,"1")</f>
        <v>#REF!</v>
      </c>
      <c r="EG14" s="139" t="e">
        <f>SUMIFS('les arrets'!$G:$G,'les arrets'!$B:$B,KPI!EG4,'les arrets'!#REF!,"1")</f>
        <v>#REF!</v>
      </c>
      <c r="EH14" s="139" t="e">
        <f>SUMIFS('les arrets'!$G:$G,'les arrets'!$B:$B,KPI!EH4,'les arrets'!#REF!,"1")</f>
        <v>#REF!</v>
      </c>
      <c r="EI14" s="100" t="e">
        <f t="shared" si="64"/>
        <v>#REF!</v>
      </c>
      <c r="EJ14" s="139" t="e">
        <f>SUMIFS('les arrets'!$G:$G,'les arrets'!$B:$B,KPI!EJ4,'les arrets'!#REF!,"1")</f>
        <v>#REF!</v>
      </c>
      <c r="EK14" s="139" t="e">
        <f>SUMIFS('les arrets'!$G:$G,'les arrets'!$B:$B,KPI!EK4,'les arrets'!#REF!,"1")</f>
        <v>#REF!</v>
      </c>
      <c r="EL14" s="139" t="e">
        <f>SUMIFS('les arrets'!$G:$G,'les arrets'!$B:$B,KPI!EL4,'les arrets'!#REF!,"1")</f>
        <v>#REF!</v>
      </c>
      <c r="EM14" s="139" t="e">
        <f>SUMIFS('les arrets'!$G:$G,'les arrets'!$B:$B,KPI!EM4,'les arrets'!#REF!,"1")</f>
        <v>#REF!</v>
      </c>
      <c r="EN14" s="139" t="e">
        <f>SUMIFS('les arrets'!$G:$G,'les arrets'!$B:$B,KPI!EN4,'les arrets'!#REF!,"1")</f>
        <v>#REF!</v>
      </c>
      <c r="EO14" s="139" t="e">
        <f>SUMIFS('les arrets'!$G:$G,'les arrets'!$B:$B,KPI!EO4,'les arrets'!#REF!,"1")</f>
        <v>#REF!</v>
      </c>
      <c r="EP14" s="139" t="e">
        <f>SUMIFS('les arrets'!$G:$G,'les arrets'!$B:$B,KPI!EP4,'les arrets'!#REF!,"1")</f>
        <v>#REF!</v>
      </c>
      <c r="EQ14" s="100" t="e">
        <f t="shared" si="65"/>
        <v>#REF!</v>
      </c>
      <c r="ER14" s="139" t="e">
        <f>SUMIFS('les arrets'!$G:$G,'les arrets'!$B:$B,KPI!ER4,'les arrets'!#REF!,"1")</f>
        <v>#REF!</v>
      </c>
      <c r="ES14" s="139" t="e">
        <f>SUMIFS('les arrets'!$G:$G,'les arrets'!$B:$B,KPI!ES4,'les arrets'!#REF!,"1")</f>
        <v>#REF!</v>
      </c>
      <c r="ET14" s="139" t="e">
        <f>SUMIFS('les arrets'!$G:$G,'les arrets'!$B:$B,KPI!ET4,'les arrets'!#REF!,"1")</f>
        <v>#REF!</v>
      </c>
      <c r="EU14" s="139" t="e">
        <f>SUMIFS('les arrets'!$G:$G,'les arrets'!$B:$B,KPI!EU4,'les arrets'!#REF!,"1")</f>
        <v>#REF!</v>
      </c>
      <c r="EV14" s="139" t="e">
        <f>SUMIFS('les arrets'!$G:$G,'les arrets'!$B:$B,KPI!EV4,'les arrets'!#REF!,"1")</f>
        <v>#REF!</v>
      </c>
      <c r="EW14" s="139" t="e">
        <f>SUMIFS('les arrets'!$G:$G,'les arrets'!$B:$B,KPI!EW4,'les arrets'!#REF!,"1")</f>
        <v>#REF!</v>
      </c>
      <c r="EX14" s="139" t="e">
        <f>SUMIFS('les arrets'!$G:$G,'les arrets'!$B:$B,KPI!EX4,'les arrets'!#REF!,"1")</f>
        <v>#REF!</v>
      </c>
      <c r="EY14" s="100" t="e">
        <f t="shared" si="66"/>
        <v>#REF!</v>
      </c>
      <c r="EZ14" s="139" t="e">
        <f>SUMIFS('les arrets'!$G:$G,'les arrets'!$B:$B,KPI!EZ4,'les arrets'!#REF!,"1")</f>
        <v>#REF!</v>
      </c>
      <c r="FA14" s="139" t="e">
        <f>SUMIFS('les arrets'!$G:$G,'les arrets'!$B:$B,KPI!FA4,'les arrets'!#REF!,"1")</f>
        <v>#REF!</v>
      </c>
      <c r="FB14" s="139" t="e">
        <f>SUMIFS('les arrets'!$G:$G,'les arrets'!$B:$B,KPI!FB4,'les arrets'!#REF!,"1")</f>
        <v>#REF!</v>
      </c>
      <c r="FC14" s="139" t="e">
        <f>SUMIFS('les arrets'!$G:$G,'les arrets'!$B:$B,KPI!FC4,'les arrets'!#REF!,"1")</f>
        <v>#REF!</v>
      </c>
      <c r="FD14" s="139" t="e">
        <f>SUMIFS('les arrets'!$G:$G,'les arrets'!$B:$B,KPI!FD4,'les arrets'!#REF!,"1")</f>
        <v>#REF!</v>
      </c>
      <c r="FE14" s="139" t="e">
        <f>SUMIFS('les arrets'!$G:$G,'les arrets'!$B:$B,KPI!FE4,'les arrets'!#REF!,"1")</f>
        <v>#REF!</v>
      </c>
      <c r="FF14" s="139" t="e">
        <f>SUMIFS('les arrets'!$G:$G,'les arrets'!$B:$B,KPI!FF4,'les arrets'!#REF!,"1")</f>
        <v>#REF!</v>
      </c>
      <c r="FG14" s="100" t="e">
        <f t="shared" si="67"/>
        <v>#REF!</v>
      </c>
      <c r="FH14" s="139" t="e">
        <f>SUMIFS('les arrets'!$G:$G,'les arrets'!$B:$B,KPI!FH4,'les arrets'!#REF!,"1")</f>
        <v>#REF!</v>
      </c>
      <c r="FI14" s="139" t="e">
        <f>SUMIFS('les arrets'!$G:$G,'les arrets'!$B:$B,KPI!FI4,'les arrets'!#REF!,"1")</f>
        <v>#REF!</v>
      </c>
      <c r="FJ14" s="139" t="e">
        <f>SUMIFS('les arrets'!$G:$G,'les arrets'!$B:$B,KPI!FJ4,'les arrets'!#REF!,"1")</f>
        <v>#REF!</v>
      </c>
      <c r="FK14" s="139" t="e">
        <f>SUMIFS('les arrets'!$G:$G,'les arrets'!$B:$B,KPI!FK4,'les arrets'!#REF!,"1")</f>
        <v>#REF!</v>
      </c>
      <c r="FL14" s="139" t="e">
        <f>SUMIFS('les arrets'!$G:$G,'les arrets'!$B:$B,KPI!FL4,'les arrets'!#REF!,"1")</f>
        <v>#REF!</v>
      </c>
      <c r="FM14" s="139" t="e">
        <f>SUMIFS('les arrets'!$G:$G,'les arrets'!$B:$B,KPI!FM4,'les arrets'!#REF!,"1")</f>
        <v>#REF!</v>
      </c>
      <c r="FN14" s="139" t="e">
        <f>SUMIFS('les arrets'!$G:$G,'les arrets'!$B:$B,KPI!FN4,'les arrets'!#REF!,"1")</f>
        <v>#REF!</v>
      </c>
      <c r="FO14" s="100" t="e">
        <f t="shared" si="68"/>
        <v>#REF!</v>
      </c>
      <c r="FP14" s="139" t="e">
        <f>SUMIFS('les arrets'!$G:$G,'les arrets'!$B:$B,KPI!FP4,'les arrets'!#REF!,"1")</f>
        <v>#REF!</v>
      </c>
      <c r="FQ14" s="139" t="e">
        <f>SUMIFS('les arrets'!$G:$G,'les arrets'!$B:$B,KPI!FQ4,'les arrets'!#REF!,"1")</f>
        <v>#REF!</v>
      </c>
      <c r="FR14" s="139" t="e">
        <f>SUMIFS('les arrets'!$G:$G,'les arrets'!$B:$B,KPI!FR4,'les arrets'!#REF!,"1")</f>
        <v>#REF!</v>
      </c>
      <c r="FS14" s="139" t="e">
        <f>SUMIFS('les arrets'!$G:$G,'les arrets'!$B:$B,KPI!FS4,'les arrets'!#REF!,"1")</f>
        <v>#REF!</v>
      </c>
      <c r="FT14" s="139" t="e">
        <f>SUMIFS('les arrets'!$G:$G,'les arrets'!$B:$B,KPI!FT4,'les arrets'!#REF!,"1")</f>
        <v>#REF!</v>
      </c>
      <c r="FU14" s="139" t="e">
        <f>SUMIFS('les arrets'!$G:$G,'les arrets'!$B:$B,KPI!FU4,'les arrets'!#REF!,"1")</f>
        <v>#REF!</v>
      </c>
      <c r="FV14" s="139" t="e">
        <f>SUMIFS('les arrets'!$G:$G,'les arrets'!$B:$B,KPI!FV4,'les arrets'!#REF!,"1")</f>
        <v>#REF!</v>
      </c>
      <c r="FW14" s="100" t="e">
        <f t="shared" si="69"/>
        <v>#REF!</v>
      </c>
      <c r="FX14" s="139" t="e">
        <f>SUMIFS('les arrets'!$G:$G,'les arrets'!$B:$B,KPI!FX4,'les arrets'!#REF!,"1")</f>
        <v>#REF!</v>
      </c>
      <c r="FY14" s="139" t="e">
        <f>SUMIFS('les arrets'!$G:$G,'les arrets'!$B:$B,KPI!FY4,'les arrets'!#REF!,"1")</f>
        <v>#REF!</v>
      </c>
      <c r="FZ14" s="139" t="e">
        <f>SUMIFS('les arrets'!$G:$G,'les arrets'!$B:$B,KPI!FZ4,'les arrets'!#REF!,"1")</f>
        <v>#REF!</v>
      </c>
      <c r="GA14" s="139" t="e">
        <f>SUMIFS('les arrets'!$G:$G,'les arrets'!$B:$B,KPI!GA4,'les arrets'!#REF!,"1")</f>
        <v>#REF!</v>
      </c>
      <c r="GB14" s="139" t="e">
        <f>SUMIFS('les arrets'!$G:$G,'les arrets'!$B:$B,KPI!GB4,'les arrets'!#REF!,"1")</f>
        <v>#REF!</v>
      </c>
      <c r="GC14" s="139" t="e">
        <f>SUMIFS('les arrets'!$G:$G,'les arrets'!$B:$B,KPI!GC4,'les arrets'!#REF!,"1")</f>
        <v>#REF!</v>
      </c>
      <c r="GD14" s="139" t="e">
        <f>SUMIFS('les arrets'!$G:$G,'les arrets'!$B:$B,KPI!GD4,'les arrets'!#REF!,"1")</f>
        <v>#REF!</v>
      </c>
      <c r="GE14" s="100" t="e">
        <f t="shared" si="70"/>
        <v>#REF!</v>
      </c>
      <c r="GF14" s="139" t="e">
        <f>SUMIFS('les arrets'!$G:$G,'les arrets'!$B:$B,KPI!GF4,'les arrets'!#REF!,"1")</f>
        <v>#REF!</v>
      </c>
      <c r="GG14" s="139" t="e">
        <f>SUMIFS('les arrets'!$G:$G,'les arrets'!$B:$B,KPI!GG4,'les arrets'!#REF!,"1")</f>
        <v>#REF!</v>
      </c>
      <c r="GH14" s="139" t="e">
        <f>SUMIFS('les arrets'!$G:$G,'les arrets'!$B:$B,KPI!GH4,'les arrets'!#REF!,"1")</f>
        <v>#REF!</v>
      </c>
      <c r="GI14" s="139" t="e">
        <f>SUMIFS('les arrets'!$G:$G,'les arrets'!$B:$B,KPI!GI4,'les arrets'!#REF!,"1")</f>
        <v>#REF!</v>
      </c>
      <c r="GJ14" s="139" t="e">
        <f>SUMIFS('les arrets'!$G:$G,'les arrets'!$B:$B,KPI!GJ4,'les arrets'!#REF!,"1")</f>
        <v>#REF!</v>
      </c>
      <c r="GK14" s="139" t="e">
        <f>SUMIFS('les arrets'!$G:$G,'les arrets'!$B:$B,KPI!GK4,'les arrets'!#REF!,"1")</f>
        <v>#REF!</v>
      </c>
      <c r="GL14" s="139" t="e">
        <f>SUMIFS('les arrets'!$G:$G,'les arrets'!$B:$B,KPI!GL4,'les arrets'!#REF!,"1")</f>
        <v>#REF!</v>
      </c>
      <c r="GM14" s="100" t="e">
        <f t="shared" si="71"/>
        <v>#REF!</v>
      </c>
      <c r="GN14" s="139" t="e">
        <f>SUMIFS('les arrets'!$G:$G,'les arrets'!$B:$B,KPI!GN4,'les arrets'!#REF!,"1")</f>
        <v>#REF!</v>
      </c>
      <c r="GO14" s="139" t="e">
        <f>SUMIFS('les arrets'!$G:$G,'les arrets'!$B:$B,KPI!GO4,'les arrets'!#REF!,"1")</f>
        <v>#REF!</v>
      </c>
      <c r="GP14" s="139" t="e">
        <f>SUMIFS('les arrets'!$G:$G,'les arrets'!$B:$B,KPI!GP4,'les arrets'!#REF!,"1")</f>
        <v>#REF!</v>
      </c>
      <c r="GQ14" s="139" t="e">
        <f>SUMIFS('les arrets'!$G:$G,'les arrets'!$B:$B,KPI!GQ4,'les arrets'!#REF!,"1")</f>
        <v>#REF!</v>
      </c>
      <c r="GR14" s="139" t="e">
        <f>SUMIFS('les arrets'!$G:$G,'les arrets'!$B:$B,KPI!GR4,'les arrets'!#REF!,"1")</f>
        <v>#REF!</v>
      </c>
      <c r="GS14" s="139" t="e">
        <f>SUMIFS('les arrets'!$G:$G,'les arrets'!$B:$B,KPI!GS4,'les arrets'!#REF!,"1")</f>
        <v>#REF!</v>
      </c>
      <c r="GT14" s="139" t="e">
        <f>SUMIFS('les arrets'!$G:$G,'les arrets'!$B:$B,KPI!GT4,'les arrets'!#REF!,"1")</f>
        <v>#REF!</v>
      </c>
      <c r="GU14" s="100" t="e">
        <f t="shared" si="72"/>
        <v>#REF!</v>
      </c>
      <c r="GV14" s="139" t="e">
        <f>SUMIFS('les arrets'!$G:$G,'les arrets'!$B:$B,KPI!GV4,'les arrets'!#REF!,"1")</f>
        <v>#REF!</v>
      </c>
      <c r="GW14" s="139" t="e">
        <f>SUMIFS('les arrets'!$G:$G,'les arrets'!$B:$B,KPI!GW4,'les arrets'!#REF!,"1")</f>
        <v>#REF!</v>
      </c>
      <c r="GX14" s="139" t="e">
        <f>SUMIFS('les arrets'!$G:$G,'les arrets'!$B:$B,KPI!GX4,'les arrets'!#REF!,"1")</f>
        <v>#REF!</v>
      </c>
      <c r="GY14" s="139" t="e">
        <f>SUMIFS('les arrets'!$G:$G,'les arrets'!$B:$B,KPI!GY4,'les arrets'!#REF!,"1")</f>
        <v>#REF!</v>
      </c>
      <c r="GZ14" s="139" t="e">
        <f>SUMIFS('les arrets'!$G:$G,'les arrets'!$B:$B,KPI!GZ4,'les arrets'!#REF!,"1")</f>
        <v>#REF!</v>
      </c>
      <c r="HA14" s="139" t="e">
        <f>SUMIFS('les arrets'!$G:$G,'les arrets'!$B:$B,KPI!HA4,'les arrets'!#REF!,"1")</f>
        <v>#REF!</v>
      </c>
      <c r="HB14" s="139" t="e">
        <f>SUMIFS('les arrets'!$G:$G,'les arrets'!$B:$B,KPI!HB4,'les arrets'!#REF!,"1")</f>
        <v>#REF!</v>
      </c>
      <c r="HC14" s="100" t="e">
        <f t="shared" si="73"/>
        <v>#REF!</v>
      </c>
      <c r="HD14" s="139" t="e">
        <f>SUMIFS('les arrets'!$G:$G,'les arrets'!$B:$B,KPI!HD4,'les arrets'!#REF!,"1")</f>
        <v>#REF!</v>
      </c>
      <c r="HE14" s="139" t="e">
        <f>SUMIFS('les arrets'!$G:$G,'les arrets'!$B:$B,KPI!HE4,'les arrets'!#REF!,"1")</f>
        <v>#REF!</v>
      </c>
      <c r="HF14" s="139" t="e">
        <f>SUMIFS('les arrets'!$G:$G,'les arrets'!$B:$B,KPI!HF4,'les arrets'!#REF!,"1")</f>
        <v>#REF!</v>
      </c>
      <c r="HG14" s="139" t="e">
        <f>SUMIFS('les arrets'!$G:$G,'les arrets'!$B:$B,KPI!HG4,'les arrets'!#REF!,"1")</f>
        <v>#REF!</v>
      </c>
      <c r="HH14" s="139" t="e">
        <f>SUMIFS('les arrets'!$G:$G,'les arrets'!$B:$B,KPI!HH4,'les arrets'!#REF!,"1")</f>
        <v>#REF!</v>
      </c>
      <c r="HI14" s="139" t="e">
        <f>SUMIFS('les arrets'!$G:$G,'les arrets'!$B:$B,KPI!HI4,'les arrets'!#REF!,"1")</f>
        <v>#REF!</v>
      </c>
      <c r="HJ14" s="139" t="e">
        <f>SUMIFS('les arrets'!$G:$G,'les arrets'!$B:$B,KPI!HJ4,'les arrets'!#REF!,"1")</f>
        <v>#REF!</v>
      </c>
      <c r="HK14" s="100" t="e">
        <f t="shared" si="74"/>
        <v>#REF!</v>
      </c>
      <c r="HL14" s="139" t="e">
        <f>SUMIFS('les arrets'!$G:$G,'les arrets'!$B:$B,KPI!HL4,'les arrets'!#REF!,"1")</f>
        <v>#REF!</v>
      </c>
      <c r="HM14" s="139" t="e">
        <f>SUMIFS('les arrets'!$G:$G,'les arrets'!$B:$B,KPI!HM4,'les arrets'!#REF!,"1")</f>
        <v>#REF!</v>
      </c>
      <c r="HN14" s="139" t="e">
        <f>SUMIFS('les arrets'!$G:$G,'les arrets'!$B:$B,KPI!HN4,'les arrets'!#REF!,"1")</f>
        <v>#REF!</v>
      </c>
      <c r="HO14" s="139" t="e">
        <f>SUMIFS('les arrets'!$G:$G,'les arrets'!$B:$B,KPI!HO4,'les arrets'!#REF!,"1")</f>
        <v>#REF!</v>
      </c>
      <c r="HP14" s="139" t="e">
        <f>SUMIFS('les arrets'!$G:$G,'les arrets'!$B:$B,KPI!HP4,'les arrets'!#REF!,"1")</f>
        <v>#REF!</v>
      </c>
      <c r="HQ14" s="139" t="e">
        <f>SUMIFS('les arrets'!$G:$G,'les arrets'!$B:$B,KPI!HQ4,'les arrets'!#REF!,"1")</f>
        <v>#REF!</v>
      </c>
      <c r="HR14" s="139" t="e">
        <f>SUMIFS('les arrets'!$G:$G,'les arrets'!$B:$B,KPI!HR4,'les arrets'!#REF!,"1")</f>
        <v>#REF!</v>
      </c>
      <c r="HS14" s="100" t="e">
        <f t="shared" si="75"/>
        <v>#REF!</v>
      </c>
      <c r="HT14" s="139" t="e">
        <f>SUMIFS('les arrets'!$G:$G,'les arrets'!$B:$B,KPI!HT4,'les arrets'!#REF!,"1")</f>
        <v>#REF!</v>
      </c>
      <c r="HU14" s="139" t="e">
        <f>SUMIFS('les arrets'!$G:$G,'les arrets'!$B:$B,KPI!HU4,'les arrets'!#REF!,"1")</f>
        <v>#REF!</v>
      </c>
      <c r="HV14" s="139" t="e">
        <f>SUMIFS('les arrets'!$G:$G,'les arrets'!$B:$B,KPI!HV4,'les arrets'!#REF!,"1")</f>
        <v>#REF!</v>
      </c>
      <c r="HW14" s="139" t="e">
        <f>SUMIFS('les arrets'!$G:$G,'les arrets'!$B:$B,KPI!HW4,'les arrets'!#REF!,"1")</f>
        <v>#REF!</v>
      </c>
      <c r="HX14" s="139" t="e">
        <f>SUMIFS('les arrets'!$G:$G,'les arrets'!$B:$B,KPI!HX4,'les arrets'!#REF!,"1")</f>
        <v>#REF!</v>
      </c>
      <c r="HY14" s="139" t="e">
        <f>SUMIFS('les arrets'!$G:$G,'les arrets'!$B:$B,KPI!HY4,'les arrets'!#REF!,"1")</f>
        <v>#REF!</v>
      </c>
      <c r="HZ14" s="139" t="e">
        <f>SUMIFS('les arrets'!$G:$G,'les arrets'!$B:$B,KPI!HZ4,'les arrets'!#REF!,"1")</f>
        <v>#REF!</v>
      </c>
      <c r="IA14" s="100" t="e">
        <f t="shared" si="76"/>
        <v>#REF!</v>
      </c>
      <c r="IB14" s="139" t="e">
        <f>SUMIFS('les arrets'!$G:$G,'les arrets'!$B:$B,KPI!IB4,'les arrets'!#REF!,"1")</f>
        <v>#REF!</v>
      </c>
      <c r="IC14" s="139" t="e">
        <f>SUMIFS('les arrets'!$G:$G,'les arrets'!$B:$B,KPI!IC4,'les arrets'!#REF!,"1")</f>
        <v>#REF!</v>
      </c>
      <c r="ID14" s="139" t="e">
        <f>SUMIFS('les arrets'!$G:$G,'les arrets'!$B:$B,KPI!ID4,'les arrets'!#REF!,"1")</f>
        <v>#REF!</v>
      </c>
      <c r="IE14" s="139" t="e">
        <f>SUMIFS('les arrets'!$G:$G,'les arrets'!$B:$B,KPI!IE4,'les arrets'!#REF!,"1")</f>
        <v>#REF!</v>
      </c>
      <c r="IF14" s="139" t="e">
        <f>SUMIFS('les arrets'!$G:$G,'les arrets'!$B:$B,KPI!IF4,'les arrets'!#REF!,"1")</f>
        <v>#REF!</v>
      </c>
      <c r="IG14" s="139" t="e">
        <f>SUMIFS('les arrets'!$G:$G,'les arrets'!$B:$B,KPI!IG4,'les arrets'!#REF!,"1")</f>
        <v>#REF!</v>
      </c>
      <c r="IH14" s="139" t="e">
        <f>SUMIFS('les arrets'!$G:$G,'les arrets'!$B:$B,KPI!IH4,'les arrets'!#REF!,"1")</f>
        <v>#REF!</v>
      </c>
      <c r="II14" s="100" t="e">
        <f t="shared" si="77"/>
        <v>#REF!</v>
      </c>
      <c r="IJ14" s="139" t="e">
        <f>SUMIFS('les arrets'!$G:$G,'les arrets'!$B:$B,KPI!IJ4,'les arrets'!#REF!,"1")</f>
        <v>#REF!</v>
      </c>
      <c r="IK14" s="139" t="e">
        <f>SUMIFS('les arrets'!$G:$G,'les arrets'!$B:$B,KPI!IK4,'les arrets'!#REF!,"1")</f>
        <v>#REF!</v>
      </c>
      <c r="IL14" s="139" t="e">
        <f>SUMIFS('les arrets'!$G:$G,'les arrets'!$B:$B,KPI!IL4,'les arrets'!#REF!,"1")</f>
        <v>#REF!</v>
      </c>
      <c r="IM14" s="139" t="e">
        <f>SUMIFS('les arrets'!$G:$G,'les arrets'!$B:$B,KPI!IM4,'les arrets'!#REF!,"1")</f>
        <v>#REF!</v>
      </c>
      <c r="IN14" s="139" t="e">
        <f>SUMIFS('les arrets'!$G:$G,'les arrets'!$B:$B,KPI!IN4,'les arrets'!#REF!,"1")</f>
        <v>#REF!</v>
      </c>
      <c r="IO14" s="139" t="e">
        <f>SUMIFS('les arrets'!$G:$G,'les arrets'!$B:$B,KPI!IO4,'les arrets'!#REF!,"1")</f>
        <v>#REF!</v>
      </c>
      <c r="IP14" s="139" t="e">
        <f>SUMIFS('les arrets'!$G:$G,'les arrets'!$B:$B,KPI!IP4,'les arrets'!#REF!,"1")</f>
        <v>#REF!</v>
      </c>
      <c r="IQ14" s="100" t="e">
        <f t="shared" si="78"/>
        <v>#REF!</v>
      </c>
      <c r="IR14" s="139" t="e">
        <f>SUMIFS('les arrets'!$G:$G,'les arrets'!$B:$B,KPI!IR4,'les arrets'!#REF!,"1")</f>
        <v>#REF!</v>
      </c>
      <c r="IS14" s="139" t="e">
        <f>SUMIFS('les arrets'!$G:$G,'les arrets'!$B:$B,KPI!IS4,'les arrets'!#REF!,"1")</f>
        <v>#REF!</v>
      </c>
      <c r="IT14" s="139" t="e">
        <f>SUMIFS('les arrets'!$G:$G,'les arrets'!$B:$B,KPI!IT4,'les arrets'!#REF!,"1")</f>
        <v>#REF!</v>
      </c>
      <c r="IU14" s="139" t="e">
        <f>SUMIFS('les arrets'!$G:$G,'les arrets'!$B:$B,KPI!IU4,'les arrets'!#REF!,"1")</f>
        <v>#REF!</v>
      </c>
      <c r="IV14" s="139" t="e">
        <f>SUMIFS('les arrets'!$G:$G,'les arrets'!$B:$B,KPI!IV4,'les arrets'!#REF!,"1")</f>
        <v>#REF!</v>
      </c>
      <c r="IW14" s="139" t="e">
        <f>SUMIFS('les arrets'!$G:$G,'les arrets'!$B:$B,KPI!IW4,'les arrets'!#REF!,"1")</f>
        <v>#REF!</v>
      </c>
      <c r="IX14" s="139" t="e">
        <f>SUMIFS('les arrets'!$G:$G,'les arrets'!$B:$B,KPI!IX4,'les arrets'!#REF!,"1")</f>
        <v>#REF!</v>
      </c>
      <c r="IY14" s="100" t="e">
        <f t="shared" si="79"/>
        <v>#REF!</v>
      </c>
      <c r="IZ14" s="139" t="e">
        <f>SUMIFS('les arrets'!$G:$G,'les arrets'!$B:$B,KPI!IZ4,'les arrets'!#REF!,"1")</f>
        <v>#REF!</v>
      </c>
      <c r="JA14" s="139" t="e">
        <f>SUMIFS('les arrets'!$G:$G,'les arrets'!$B:$B,KPI!JA4,'les arrets'!#REF!,"1")</f>
        <v>#REF!</v>
      </c>
      <c r="JB14" s="139" t="e">
        <f>SUMIFS('les arrets'!$G:$G,'les arrets'!$B:$B,KPI!JB4,'les arrets'!#REF!,"1")</f>
        <v>#REF!</v>
      </c>
      <c r="JC14" s="139" t="e">
        <f>SUMIFS('les arrets'!$G:$G,'les arrets'!$B:$B,KPI!JC4,'les arrets'!#REF!,"1")</f>
        <v>#REF!</v>
      </c>
      <c r="JD14" s="139" t="e">
        <f>SUMIFS('les arrets'!$G:$G,'les arrets'!$B:$B,KPI!JD4,'les arrets'!#REF!,"1")</f>
        <v>#REF!</v>
      </c>
      <c r="JE14" s="139" t="e">
        <f>SUMIFS('les arrets'!$G:$G,'les arrets'!$B:$B,KPI!JE4,'les arrets'!#REF!,"1")</f>
        <v>#REF!</v>
      </c>
      <c r="JF14" s="139" t="e">
        <f>SUMIFS('les arrets'!$G:$G,'les arrets'!$B:$B,KPI!JF4,'les arrets'!#REF!,"1")</f>
        <v>#REF!</v>
      </c>
      <c r="JG14" s="100" t="e">
        <f t="shared" si="80"/>
        <v>#REF!</v>
      </c>
      <c r="JH14" s="139" t="e">
        <f>SUMIFS('les arrets'!$G:$G,'les arrets'!$B:$B,KPI!JH4,'les arrets'!#REF!,"1")</f>
        <v>#REF!</v>
      </c>
      <c r="JI14" s="139" t="e">
        <f>SUMIFS('les arrets'!$G:$G,'les arrets'!$B:$B,KPI!JI4,'les arrets'!#REF!,"1")</f>
        <v>#REF!</v>
      </c>
      <c r="JJ14" s="139" t="e">
        <f>SUMIFS('les arrets'!$G:$G,'les arrets'!$B:$B,KPI!JJ4,'les arrets'!#REF!,"1")</f>
        <v>#REF!</v>
      </c>
      <c r="JK14" s="139" t="e">
        <f>SUMIFS('les arrets'!$G:$G,'les arrets'!$B:$B,KPI!JK4,'les arrets'!#REF!,"1")</f>
        <v>#REF!</v>
      </c>
      <c r="JL14" s="139" t="e">
        <f>SUMIFS('les arrets'!$G:$G,'les arrets'!$B:$B,KPI!JL4,'les arrets'!#REF!,"1")</f>
        <v>#REF!</v>
      </c>
      <c r="JM14" s="139" t="e">
        <f>SUMIFS('les arrets'!$G:$G,'les arrets'!$B:$B,KPI!JM4,'les arrets'!#REF!,"1")</f>
        <v>#REF!</v>
      </c>
      <c r="JN14" s="139" t="e">
        <f>SUMIFS('les arrets'!$G:$G,'les arrets'!$B:$B,KPI!JN4,'les arrets'!#REF!,"1")</f>
        <v>#REF!</v>
      </c>
      <c r="JO14" s="100" t="e">
        <f t="shared" si="81"/>
        <v>#REF!</v>
      </c>
      <c r="JP14" s="139" t="e">
        <f>SUMIFS('les arrets'!$G:$G,'les arrets'!$B:$B,KPI!JP4,'les arrets'!#REF!,"1")</f>
        <v>#REF!</v>
      </c>
      <c r="JQ14" s="139" t="e">
        <f>SUMIFS('les arrets'!$G:$G,'les arrets'!$B:$B,KPI!JQ4,'les arrets'!#REF!,"1")</f>
        <v>#REF!</v>
      </c>
      <c r="JR14" s="139" t="e">
        <f>SUMIFS('les arrets'!$G:$G,'les arrets'!$B:$B,KPI!JR4,'les arrets'!#REF!,"1")</f>
        <v>#REF!</v>
      </c>
      <c r="JS14" s="139" t="e">
        <f>SUMIFS('les arrets'!$G:$G,'les arrets'!$B:$B,KPI!JS4,'les arrets'!#REF!,"1")</f>
        <v>#REF!</v>
      </c>
      <c r="JT14" s="139" t="e">
        <f>SUMIFS('les arrets'!$G:$G,'les arrets'!$B:$B,KPI!JT4,'les arrets'!#REF!,"1")</f>
        <v>#REF!</v>
      </c>
      <c r="JU14" s="139" t="e">
        <f>SUMIFS('les arrets'!$G:$G,'les arrets'!$B:$B,KPI!JU4,'les arrets'!#REF!,"1")</f>
        <v>#REF!</v>
      </c>
      <c r="JV14" s="139" t="e">
        <f>SUMIFS('les arrets'!$G:$G,'les arrets'!$B:$B,KPI!JV4,'les arrets'!#REF!,"1")</f>
        <v>#REF!</v>
      </c>
      <c r="JW14" s="100" t="e">
        <f t="shared" si="82"/>
        <v>#REF!</v>
      </c>
      <c r="JX14" s="139" t="e">
        <f>SUMIFS('les arrets'!$G:$G,'les arrets'!$B:$B,KPI!JX4,'les arrets'!#REF!,"1")</f>
        <v>#REF!</v>
      </c>
      <c r="JY14" s="139" t="e">
        <f>SUMIFS('les arrets'!$G:$G,'les arrets'!$B:$B,KPI!JY4,'les arrets'!#REF!,"1")</f>
        <v>#REF!</v>
      </c>
      <c r="JZ14" s="139" t="e">
        <f>SUMIFS('les arrets'!$G:$G,'les arrets'!$B:$B,KPI!JZ4,'les arrets'!#REF!,"1")</f>
        <v>#REF!</v>
      </c>
      <c r="KA14" s="139" t="e">
        <f>SUMIFS('les arrets'!$G:$G,'les arrets'!$B:$B,KPI!KA4,'les arrets'!#REF!,"1")</f>
        <v>#REF!</v>
      </c>
      <c r="KB14" s="139" t="e">
        <f>SUMIFS('les arrets'!$G:$G,'les arrets'!$B:$B,KPI!KB4,'les arrets'!#REF!,"1")</f>
        <v>#REF!</v>
      </c>
      <c r="KC14" s="139" t="e">
        <f>SUMIFS('les arrets'!$G:$G,'les arrets'!$B:$B,KPI!KC4,'les arrets'!#REF!,"1")</f>
        <v>#REF!</v>
      </c>
      <c r="KD14" s="139" t="e">
        <f>SUMIFS('les arrets'!$G:$G,'les arrets'!$B:$B,KPI!KD4,'les arrets'!#REF!,"1")</f>
        <v>#REF!</v>
      </c>
      <c r="KE14" s="100" t="e">
        <f t="shared" si="83"/>
        <v>#REF!</v>
      </c>
      <c r="KF14" s="139" t="e">
        <f>SUMIFS('les arrets'!$G:$G,'les arrets'!$B:$B,KPI!KF4,'les arrets'!#REF!,"1")</f>
        <v>#REF!</v>
      </c>
      <c r="KG14" s="139" t="e">
        <f>SUMIFS('les arrets'!$G:$G,'les arrets'!$B:$B,KPI!KG4,'les arrets'!#REF!,"1")</f>
        <v>#REF!</v>
      </c>
      <c r="KH14" s="139" t="e">
        <f>SUMIFS('les arrets'!$G:$G,'les arrets'!$B:$B,KPI!KH4,'les arrets'!#REF!,"1")</f>
        <v>#REF!</v>
      </c>
      <c r="KI14" s="139" t="e">
        <f>SUMIFS('les arrets'!$G:$G,'les arrets'!$B:$B,KPI!KI4,'les arrets'!#REF!,"1")</f>
        <v>#REF!</v>
      </c>
      <c r="KJ14" s="139" t="e">
        <f>SUMIFS('les arrets'!$G:$G,'les arrets'!$B:$B,KPI!KJ4,'les arrets'!#REF!,"1")</f>
        <v>#REF!</v>
      </c>
      <c r="KK14" s="139" t="e">
        <f>SUMIFS('les arrets'!$G:$G,'les arrets'!$B:$B,KPI!KK4,'les arrets'!#REF!,"1")</f>
        <v>#REF!</v>
      </c>
      <c r="KL14" s="139" t="e">
        <f>SUMIFS('les arrets'!$G:$G,'les arrets'!$B:$B,KPI!KL4,'les arrets'!#REF!,"1")</f>
        <v>#REF!</v>
      </c>
      <c r="KM14" s="100" t="e">
        <f t="shared" si="84"/>
        <v>#REF!</v>
      </c>
      <c r="KN14" s="139" t="e">
        <f>SUMIFS('les arrets'!$G:$G,'les arrets'!$B:$B,KPI!KN4,'les arrets'!#REF!,"1")</f>
        <v>#REF!</v>
      </c>
      <c r="KO14" s="139" t="e">
        <f>SUMIFS('les arrets'!$G:$G,'les arrets'!$B:$B,KPI!KO4,'les arrets'!#REF!,"1")</f>
        <v>#REF!</v>
      </c>
      <c r="KP14" s="139" t="e">
        <f>SUMIFS('les arrets'!$G:$G,'les arrets'!$B:$B,KPI!KP4,'les arrets'!#REF!,"1")</f>
        <v>#REF!</v>
      </c>
      <c r="KQ14" s="139" t="e">
        <f>SUMIFS('les arrets'!$G:$G,'les arrets'!$B:$B,KPI!KQ4,'les arrets'!#REF!,"1")</f>
        <v>#REF!</v>
      </c>
      <c r="KR14" s="139" t="e">
        <f>SUMIFS('les arrets'!$G:$G,'les arrets'!$B:$B,KPI!KR4,'les arrets'!#REF!,"1")</f>
        <v>#REF!</v>
      </c>
      <c r="KS14" s="139" t="e">
        <f>SUMIFS('les arrets'!$G:$G,'les arrets'!$B:$B,KPI!KS4,'les arrets'!#REF!,"1")</f>
        <v>#REF!</v>
      </c>
      <c r="KT14" s="139" t="e">
        <f>SUMIFS('les arrets'!$G:$G,'les arrets'!$B:$B,KPI!KT4,'les arrets'!#REF!,"1")</f>
        <v>#REF!</v>
      </c>
      <c r="KU14" s="100" t="e">
        <f t="shared" si="85"/>
        <v>#REF!</v>
      </c>
      <c r="KV14" s="139" t="e">
        <f>SUMIFS('les arrets'!$G:$G,'les arrets'!$B:$B,KPI!KV4,'les arrets'!#REF!,"1")</f>
        <v>#REF!</v>
      </c>
      <c r="KW14" s="139" t="e">
        <f>SUMIFS('les arrets'!$G:$G,'les arrets'!$B:$B,KPI!KW4,'les arrets'!#REF!,"1")</f>
        <v>#REF!</v>
      </c>
      <c r="KX14" s="139" t="e">
        <f>SUMIFS('les arrets'!$G:$G,'les arrets'!$B:$B,KPI!KX4,'les arrets'!#REF!,"1")</f>
        <v>#REF!</v>
      </c>
      <c r="KY14" s="139" t="e">
        <f>SUMIFS('les arrets'!$G:$G,'les arrets'!$B:$B,KPI!KY4,'les arrets'!#REF!,"1")</f>
        <v>#REF!</v>
      </c>
      <c r="KZ14" s="139" t="e">
        <f>SUMIFS('les arrets'!$G:$G,'les arrets'!$B:$B,KPI!KZ4,'les arrets'!#REF!,"1")</f>
        <v>#REF!</v>
      </c>
      <c r="LA14" s="139" t="e">
        <f>SUMIFS('les arrets'!$G:$G,'les arrets'!$B:$B,KPI!LA4,'les arrets'!#REF!,"1")</f>
        <v>#REF!</v>
      </c>
      <c r="LB14" s="139" t="e">
        <f>SUMIFS('les arrets'!$G:$G,'les arrets'!$B:$B,KPI!LB4,'les arrets'!#REF!,"1")</f>
        <v>#REF!</v>
      </c>
      <c r="LC14" s="100" t="e">
        <f t="shared" si="86"/>
        <v>#REF!</v>
      </c>
      <c r="LD14" s="139" t="e">
        <f>SUMIFS('les arrets'!$G:$G,'les arrets'!$B:$B,KPI!LD4,'les arrets'!#REF!,"1")</f>
        <v>#REF!</v>
      </c>
      <c r="LE14" s="139" t="e">
        <f>SUMIFS('les arrets'!$G:$G,'les arrets'!$B:$B,KPI!LE4,'les arrets'!#REF!,"1")</f>
        <v>#REF!</v>
      </c>
      <c r="LF14" s="139" t="e">
        <f>SUMIFS('les arrets'!$G:$G,'les arrets'!$B:$B,KPI!LF4,'les arrets'!#REF!,"1")</f>
        <v>#REF!</v>
      </c>
      <c r="LG14" s="139" t="e">
        <f>SUMIFS('les arrets'!$G:$G,'les arrets'!$B:$B,KPI!LG4,'les arrets'!#REF!,"1")</f>
        <v>#REF!</v>
      </c>
      <c r="LH14" s="139" t="e">
        <f>SUMIFS('les arrets'!$G:$G,'les arrets'!$B:$B,KPI!LH4,'les arrets'!#REF!,"1")</f>
        <v>#REF!</v>
      </c>
      <c r="LI14" s="139" t="e">
        <f>SUMIFS('les arrets'!$G:$G,'les arrets'!$B:$B,KPI!LI4,'les arrets'!#REF!,"1")</f>
        <v>#REF!</v>
      </c>
      <c r="LJ14" s="139" t="e">
        <f>SUMIFS('les arrets'!$G:$G,'les arrets'!$B:$B,KPI!LJ4,'les arrets'!#REF!,"1")</f>
        <v>#REF!</v>
      </c>
      <c r="LK14" s="100" t="e">
        <f t="shared" si="87"/>
        <v>#REF!</v>
      </c>
      <c r="LL14" s="139" t="e">
        <f>SUMIFS('les arrets'!$G:$G,'les arrets'!$B:$B,KPI!LL4,'les arrets'!#REF!,"1")</f>
        <v>#REF!</v>
      </c>
      <c r="LM14" s="139" t="e">
        <f>SUMIFS('les arrets'!$G:$G,'les arrets'!$B:$B,KPI!LM4,'les arrets'!#REF!,"1")</f>
        <v>#REF!</v>
      </c>
      <c r="LN14" s="139" t="e">
        <f>SUMIFS('les arrets'!$G:$G,'les arrets'!$B:$B,KPI!LN4,'les arrets'!#REF!,"1")</f>
        <v>#REF!</v>
      </c>
      <c r="LO14" s="139" t="e">
        <f>SUMIFS('les arrets'!$G:$G,'les arrets'!$B:$B,KPI!LO4,'les arrets'!#REF!,"1")</f>
        <v>#REF!</v>
      </c>
      <c r="LP14" s="139" t="e">
        <f>SUMIFS('les arrets'!$G:$G,'les arrets'!$B:$B,KPI!LP4,'les arrets'!#REF!,"1")</f>
        <v>#REF!</v>
      </c>
      <c r="LQ14" s="139" t="e">
        <f>SUMIFS('les arrets'!$G:$G,'les arrets'!$B:$B,KPI!LQ4,'les arrets'!#REF!,"1")</f>
        <v>#REF!</v>
      </c>
      <c r="LR14" s="139" t="e">
        <f>SUMIFS('les arrets'!$G:$G,'les arrets'!$B:$B,KPI!LR4,'les arrets'!#REF!,"1")</f>
        <v>#REF!</v>
      </c>
      <c r="LS14" s="100" t="e">
        <f t="shared" si="88"/>
        <v>#REF!</v>
      </c>
      <c r="LT14" s="139" t="e">
        <f>SUMIFS('les arrets'!$G:$G,'les arrets'!$B:$B,KPI!LT4,'les arrets'!#REF!,"1")</f>
        <v>#REF!</v>
      </c>
      <c r="LU14" s="139" t="e">
        <f>SUMIFS('les arrets'!$G:$G,'les arrets'!$B:$B,KPI!LU4,'les arrets'!#REF!,"1")</f>
        <v>#REF!</v>
      </c>
      <c r="LV14" s="139" t="e">
        <f>SUMIFS('les arrets'!$G:$G,'les arrets'!$B:$B,KPI!LV4,'les arrets'!#REF!,"1")</f>
        <v>#REF!</v>
      </c>
      <c r="LW14" s="139" t="e">
        <f>SUMIFS('les arrets'!$G:$G,'les arrets'!$B:$B,KPI!LW4,'les arrets'!#REF!,"1")</f>
        <v>#REF!</v>
      </c>
      <c r="LX14" s="139" t="e">
        <f>SUMIFS('les arrets'!$G:$G,'les arrets'!$B:$B,KPI!LX4,'les arrets'!#REF!,"1")</f>
        <v>#REF!</v>
      </c>
      <c r="LY14" s="139" t="e">
        <f>SUMIFS('les arrets'!$G:$G,'les arrets'!$B:$B,KPI!LY4,'les arrets'!#REF!,"1")</f>
        <v>#REF!</v>
      </c>
      <c r="LZ14" s="139" t="e">
        <f>SUMIFS('les arrets'!$G:$G,'les arrets'!$B:$B,KPI!LZ4,'les arrets'!#REF!,"1")</f>
        <v>#REF!</v>
      </c>
      <c r="MA14" s="100" t="e">
        <f t="shared" si="89"/>
        <v>#REF!</v>
      </c>
      <c r="MB14" s="139" t="e">
        <f>SUMIFS('les arrets'!$G:$G,'les arrets'!$B:$B,KPI!MB4,'les arrets'!#REF!,"1")</f>
        <v>#REF!</v>
      </c>
      <c r="MC14" s="139" t="e">
        <f>SUMIFS('les arrets'!$G:$G,'les arrets'!$B:$B,KPI!MC4,'les arrets'!#REF!,"1")</f>
        <v>#REF!</v>
      </c>
      <c r="MD14" s="139" t="e">
        <f>SUMIFS('les arrets'!$G:$G,'les arrets'!$B:$B,KPI!MD4,'les arrets'!#REF!,"1")</f>
        <v>#REF!</v>
      </c>
      <c r="ME14" s="139" t="e">
        <f>SUMIFS('les arrets'!$G:$G,'les arrets'!$B:$B,KPI!ME4,'les arrets'!#REF!,"1")</f>
        <v>#REF!</v>
      </c>
      <c r="MF14" s="139" t="e">
        <f>SUMIFS('les arrets'!$G:$G,'les arrets'!$B:$B,KPI!MF4,'les arrets'!#REF!,"1")</f>
        <v>#REF!</v>
      </c>
      <c r="MG14" s="139" t="e">
        <f>SUMIFS('les arrets'!$G:$G,'les arrets'!$B:$B,KPI!MG4,'les arrets'!#REF!,"1")</f>
        <v>#REF!</v>
      </c>
      <c r="MH14" s="139" t="e">
        <f>SUMIFS('les arrets'!$G:$G,'les arrets'!$B:$B,KPI!MH4,'les arrets'!#REF!,"1")</f>
        <v>#REF!</v>
      </c>
      <c r="MI14" s="100" t="e">
        <f t="shared" si="90"/>
        <v>#REF!</v>
      </c>
      <c r="MJ14" s="139" t="e">
        <f>SUMIFS('les arrets'!$G:$G,'les arrets'!$B:$B,KPI!MJ4,'les arrets'!#REF!,"1")</f>
        <v>#REF!</v>
      </c>
      <c r="MK14" s="139" t="e">
        <f>SUMIFS('les arrets'!$G:$G,'les arrets'!$B:$B,KPI!MK4,'les arrets'!#REF!,"1")</f>
        <v>#REF!</v>
      </c>
      <c r="ML14" s="139" t="e">
        <f>SUMIFS('les arrets'!$G:$G,'les arrets'!$B:$B,KPI!ML4,'les arrets'!#REF!,"1")</f>
        <v>#REF!</v>
      </c>
      <c r="MM14" s="139" t="e">
        <f>SUMIFS('les arrets'!$G:$G,'les arrets'!$B:$B,KPI!MM4,'les arrets'!#REF!,"1")</f>
        <v>#REF!</v>
      </c>
      <c r="MN14" s="139" t="e">
        <f>SUMIFS('les arrets'!$G:$G,'les arrets'!$B:$B,KPI!MN4,'les arrets'!#REF!,"1")</f>
        <v>#REF!</v>
      </c>
      <c r="MO14" s="139" t="e">
        <f>SUMIFS('les arrets'!$G:$G,'les arrets'!$B:$B,KPI!MO4,'les arrets'!#REF!,"1")</f>
        <v>#REF!</v>
      </c>
      <c r="MP14" s="139" t="e">
        <f>SUMIFS('les arrets'!$G:$G,'les arrets'!$B:$B,KPI!MP4,'les arrets'!#REF!,"1")</f>
        <v>#REF!</v>
      </c>
      <c r="MQ14" s="100" t="e">
        <f t="shared" si="91"/>
        <v>#REF!</v>
      </c>
      <c r="MR14" s="139" t="e">
        <f>SUMIFS('les arrets'!$G:$G,'les arrets'!$B:$B,KPI!MR4,'les arrets'!#REF!,"1")</f>
        <v>#REF!</v>
      </c>
      <c r="MS14" s="139" t="e">
        <f>SUMIFS('les arrets'!$G:$G,'les arrets'!$B:$B,KPI!MS4,'les arrets'!#REF!,"1")</f>
        <v>#REF!</v>
      </c>
      <c r="MT14" s="139" t="e">
        <f>SUMIFS('les arrets'!$G:$G,'les arrets'!$B:$B,KPI!MT4,'les arrets'!#REF!,"1")</f>
        <v>#REF!</v>
      </c>
      <c r="MU14" s="139" t="e">
        <f>SUMIFS('les arrets'!$G:$G,'les arrets'!$B:$B,KPI!MU4,'les arrets'!#REF!,"1")</f>
        <v>#REF!</v>
      </c>
      <c r="MV14" s="139" t="e">
        <f>SUMIFS('les arrets'!$G:$G,'les arrets'!$B:$B,KPI!MV4,'les arrets'!#REF!,"1")</f>
        <v>#REF!</v>
      </c>
      <c r="MW14" s="139" t="e">
        <f>SUMIFS('les arrets'!$G:$G,'les arrets'!$B:$B,KPI!MW4,'les arrets'!#REF!,"1")</f>
        <v>#REF!</v>
      </c>
      <c r="MX14" s="139" t="e">
        <f>SUMIFS('les arrets'!$G:$G,'les arrets'!$B:$B,KPI!MX4,'les arrets'!#REF!,"1")</f>
        <v>#REF!</v>
      </c>
      <c r="MY14" s="100" t="e">
        <f t="shared" si="92"/>
        <v>#REF!</v>
      </c>
      <c r="MZ14" s="139" t="e">
        <f>SUMIFS('les arrets'!$G:$G,'les arrets'!$B:$B,KPI!MZ4,'les arrets'!#REF!,"1")</f>
        <v>#REF!</v>
      </c>
      <c r="NA14" s="139" t="e">
        <f>SUMIFS('les arrets'!$G:$G,'les arrets'!$B:$B,KPI!NA4,'les arrets'!#REF!,"1")</f>
        <v>#REF!</v>
      </c>
      <c r="NB14" s="139" t="e">
        <f>SUMIFS('les arrets'!$G:$G,'les arrets'!$B:$B,KPI!NB4,'les arrets'!#REF!,"1")</f>
        <v>#REF!</v>
      </c>
      <c r="NC14" s="139" t="e">
        <f>SUMIFS('les arrets'!$G:$G,'les arrets'!$B:$B,KPI!NC4,'les arrets'!#REF!,"1")</f>
        <v>#REF!</v>
      </c>
      <c r="ND14" s="139" t="e">
        <f>SUMIFS('les arrets'!$G:$G,'les arrets'!$B:$B,KPI!ND4,'les arrets'!#REF!,"1")</f>
        <v>#REF!</v>
      </c>
      <c r="NE14" s="139" t="e">
        <f>SUMIFS('les arrets'!$G:$G,'les arrets'!$B:$B,KPI!NE4,'les arrets'!#REF!,"1")</f>
        <v>#REF!</v>
      </c>
      <c r="NF14" s="139" t="e">
        <f>SUMIFS('les arrets'!$G:$G,'les arrets'!$B:$B,KPI!NF4,'les arrets'!#REF!,"1")</f>
        <v>#REF!</v>
      </c>
      <c r="NG14" s="100" t="e">
        <f t="shared" si="93"/>
        <v>#REF!</v>
      </c>
      <c r="NH14" s="139" t="e">
        <f>SUMIFS('les arrets'!$G:$G,'les arrets'!$B:$B,KPI!NH4,'les arrets'!#REF!,"1")</f>
        <v>#REF!</v>
      </c>
      <c r="NI14" s="139" t="e">
        <f>SUMIFS('les arrets'!$G:$G,'les arrets'!$B:$B,KPI!NI4,'les arrets'!#REF!,"1")</f>
        <v>#REF!</v>
      </c>
      <c r="NJ14" s="139" t="e">
        <f>SUMIFS('les arrets'!$G:$G,'les arrets'!$B:$B,KPI!NJ4,'les arrets'!#REF!,"1")</f>
        <v>#REF!</v>
      </c>
      <c r="NK14" s="139" t="e">
        <f>SUMIFS('les arrets'!$G:$G,'les arrets'!$B:$B,KPI!NK4,'les arrets'!#REF!,"1")</f>
        <v>#REF!</v>
      </c>
      <c r="NL14" s="139" t="e">
        <f>SUMIFS('les arrets'!$G:$G,'les arrets'!$B:$B,KPI!NL4,'les arrets'!#REF!,"1")</f>
        <v>#REF!</v>
      </c>
      <c r="NM14" s="139" t="e">
        <f>SUMIFS('les arrets'!$G:$G,'les arrets'!$B:$B,KPI!NM4,'les arrets'!#REF!,"1")</f>
        <v>#REF!</v>
      </c>
      <c r="NN14" s="139" t="e">
        <f>SUMIFS('les arrets'!$G:$G,'les arrets'!$B:$B,KPI!NN4,'les arrets'!#REF!,"1")</f>
        <v>#REF!</v>
      </c>
      <c r="NO14" s="100" t="e">
        <f t="shared" si="94"/>
        <v>#REF!</v>
      </c>
      <c r="NP14" s="139" t="e">
        <f>SUMIFS('les arrets'!$G:$G,'les arrets'!$B:$B,KPI!NP4,'les arrets'!#REF!,"1")</f>
        <v>#REF!</v>
      </c>
      <c r="NQ14" s="139" t="e">
        <f>SUMIFS('les arrets'!$G:$G,'les arrets'!$B:$B,KPI!NQ4,'les arrets'!#REF!,"1")</f>
        <v>#REF!</v>
      </c>
      <c r="NR14" s="139" t="e">
        <f>SUMIFS('les arrets'!$G:$G,'les arrets'!$B:$B,KPI!NR4,'les arrets'!#REF!,"1")</f>
        <v>#REF!</v>
      </c>
      <c r="NS14" s="139" t="e">
        <f>SUMIFS('les arrets'!$G:$G,'les arrets'!$B:$B,KPI!NS4,'les arrets'!#REF!,"1")</f>
        <v>#REF!</v>
      </c>
      <c r="NT14" s="139" t="e">
        <f>SUMIFS('les arrets'!$G:$G,'les arrets'!$B:$B,KPI!NT4,'les arrets'!#REF!,"1")</f>
        <v>#REF!</v>
      </c>
      <c r="NU14" s="139" t="e">
        <f>SUMIFS('les arrets'!$G:$G,'les arrets'!$B:$B,KPI!NU4,'les arrets'!#REF!,"1")</f>
        <v>#REF!</v>
      </c>
      <c r="NV14" s="139" t="e">
        <f>SUMIFS('les arrets'!$G:$G,'les arrets'!$B:$B,KPI!NV4,'les arrets'!#REF!,"1")</f>
        <v>#REF!</v>
      </c>
      <c r="NW14" s="100" t="e">
        <f t="shared" si="95"/>
        <v>#REF!</v>
      </c>
    </row>
    <row r="15" spans="1:15679" ht="15.75" x14ac:dyDescent="0.25">
      <c r="A15" s="593"/>
      <c r="B15" s="80"/>
      <c r="C15" s="90" t="s">
        <v>373</v>
      </c>
      <c r="D15" s="100">
        <f>SUMIFS('les arrets'!$G:$G,'les arrets'!$B:$B,KPI!D4,'les arrets'!$J:$J,"M, Planifié")</f>
        <v>0</v>
      </c>
      <c r="E15" s="100">
        <f>SUMIFS('les arrets'!$G:$G,'les arrets'!$B:$B,KPI!E4,'les arrets'!$J:$J,"M, Planifié")</f>
        <v>0</v>
      </c>
      <c r="F15" s="100">
        <f>SUMIFS('les arrets'!$G:$G,'les arrets'!$B:$B,KPI!F4,'les arrets'!$J:$J,"M, Planifié")</f>
        <v>0</v>
      </c>
      <c r="G15" s="100">
        <f>SUMIFS('les arrets'!$G:$G,'les arrets'!$B:$B,KPI!G4,'les arrets'!$J:$J,"M, Planifié")</f>
        <v>0</v>
      </c>
      <c r="H15" s="100">
        <f>SUMIFS('les arrets'!$G:$G,'les arrets'!$B:$B,KPI!H4,'les arrets'!$J:$J,"M, Planifié")</f>
        <v>0</v>
      </c>
      <c r="I15" s="100">
        <f>SUMIFS('les arrets'!$G:$G,'les arrets'!$B:$B,KPI!I4,'les arrets'!$J:$J,"M, Planifié")</f>
        <v>0</v>
      </c>
      <c r="J15" s="100">
        <f>SUMIFS('les arrets'!$G:$G,'les arrets'!$B:$B,KPI!J4,'les arrets'!$J:$J,"M, Planifié")</f>
        <v>0</v>
      </c>
      <c r="K15" s="100">
        <f t="shared" si="96"/>
        <v>0</v>
      </c>
      <c r="L15" s="100">
        <f>SUMIFS('les arrets'!$G:$G,'les arrets'!$B:$B,KPI!L4,'les arrets'!$J:$J,"M, Planifié")</f>
        <v>0</v>
      </c>
      <c r="M15" s="100">
        <f>SUMIFS('les arrets'!$G:$G,'les arrets'!$B:$B,KPI!M4,'les arrets'!$J:$J,"M, Planifié")</f>
        <v>0</v>
      </c>
      <c r="N15" s="100">
        <f>SUMIFS('les arrets'!$G:$G,'les arrets'!$B:$B,KPI!N4,'les arrets'!$J:$J,"M, Planifié")</f>
        <v>0</v>
      </c>
      <c r="O15" s="100">
        <f>SUMIFS('les arrets'!$G:$G,'les arrets'!$B:$B,KPI!O4,'les arrets'!$J:$J,"M, Planifié")</f>
        <v>0</v>
      </c>
      <c r="P15" s="100">
        <f>SUMIFS('les arrets'!$G:$G,'les arrets'!$B:$B,KPI!P4,'les arrets'!$J:$J,"M, Planifié")</f>
        <v>0</v>
      </c>
      <c r="Q15" s="100">
        <f>SUMIFS('les arrets'!$G:$G,'les arrets'!$B:$B,KPI!Q4,'les arrets'!$J:$J,"M, Planifié")</f>
        <v>0</v>
      </c>
      <c r="R15" s="100">
        <f>SUMIFS('les arrets'!$G:$G,'les arrets'!$B:$B,KPI!R4,'les arrets'!$J:$J,"M, Planifié")</f>
        <v>0</v>
      </c>
      <c r="S15" s="100">
        <f t="shared" si="49"/>
        <v>0</v>
      </c>
      <c r="T15" s="100">
        <f>SUMIFS('les arrets'!$G:$G,'les arrets'!$B:$B,KPI!T4,'les arrets'!$J:$J,"M, Planifié")</f>
        <v>0</v>
      </c>
      <c r="U15" s="100">
        <f>SUMIFS('les arrets'!$G:$G,'les arrets'!$B:$B,KPI!U4,'les arrets'!$J:$J,"M, Planifié")</f>
        <v>0</v>
      </c>
      <c r="V15" s="100">
        <f>SUMIFS('les arrets'!$G:$G,'les arrets'!$B:$B,KPI!V4,'les arrets'!$J:$J,"M, Planifié")</f>
        <v>0</v>
      </c>
      <c r="W15" s="100">
        <f>SUMIFS('les arrets'!$G:$G,'les arrets'!$B:$B,KPI!W4,'les arrets'!$J:$J,"M, Planifié")</f>
        <v>0</v>
      </c>
      <c r="X15" s="100">
        <f>SUMIFS('les arrets'!$G:$G,'les arrets'!$B:$B,KPI!X4,'les arrets'!$J:$J,"M, Planifié")</f>
        <v>0</v>
      </c>
      <c r="Y15" s="100">
        <f>SUMIFS('les arrets'!$G:$G,'les arrets'!$B:$B,KPI!Y4,'les arrets'!$J:$J,"M, Planifié")</f>
        <v>0</v>
      </c>
      <c r="Z15" s="100">
        <f>SUMIFS('les arrets'!$G:$G,'les arrets'!$B:$B,KPI!Z4,'les arrets'!$J:$J,"M, Planifié")</f>
        <v>0</v>
      </c>
      <c r="AA15" s="100">
        <f t="shared" si="50"/>
        <v>0</v>
      </c>
      <c r="AB15" s="100">
        <f>SUMIFS('les arrets'!$G:$G,'les arrets'!$B:$B,KPI!AB4,'les arrets'!$J:$J,"M, Planifié")</f>
        <v>0</v>
      </c>
      <c r="AC15" s="100">
        <f>SUMIFS('les arrets'!$G:$G,'les arrets'!$B:$B,KPI!AC4,'les arrets'!$J:$J,"M, Planifié")</f>
        <v>0</v>
      </c>
      <c r="AD15" s="100">
        <f>SUMIFS('les arrets'!$G:$G,'les arrets'!$B:$B,KPI!AD4,'les arrets'!$J:$J,"M, Planifié")</f>
        <v>0</v>
      </c>
      <c r="AE15" s="100">
        <f>SUMIFS('les arrets'!$G:$G,'les arrets'!$B:$B,KPI!AE4,'les arrets'!$J:$J,"M, Planifié")</f>
        <v>0</v>
      </c>
      <c r="AF15" s="100">
        <f>SUMIFS('les arrets'!$G:$G,'les arrets'!$B:$B,KPI!AF4,'les arrets'!$J:$J,"M, Planifié")</f>
        <v>0</v>
      </c>
      <c r="AG15" s="100">
        <f>SUMIFS('les arrets'!$G:$G,'les arrets'!$B:$B,KPI!AG4,'les arrets'!$J:$J,"M, Planifié")</f>
        <v>0</v>
      </c>
      <c r="AH15" s="100">
        <f>SUMIFS('les arrets'!$G:$G,'les arrets'!$B:$B,KPI!AH4,'les arrets'!$J:$J,"M, Planifié")</f>
        <v>0</v>
      </c>
      <c r="AI15" s="100">
        <f t="shared" si="51"/>
        <v>0</v>
      </c>
      <c r="AJ15" s="100">
        <f>SUMIFS('les arrets'!$G:$G,'les arrets'!$B:$B,KPI!AJ4,'les arrets'!$J:$J,"M, Planifié")</f>
        <v>0</v>
      </c>
      <c r="AK15" s="100">
        <f>SUMIFS('les arrets'!$G:$G,'les arrets'!$B:$B,KPI!AK4,'les arrets'!$J:$J,"M, Planifié")</f>
        <v>0</v>
      </c>
      <c r="AL15" s="100">
        <f>SUMIFS('les arrets'!$G:$G,'les arrets'!$B:$B,KPI!AL4,'les arrets'!$J:$J,"M, Planifié")</f>
        <v>0</v>
      </c>
      <c r="AM15" s="100">
        <f>SUMIFS('les arrets'!$G:$G,'les arrets'!$B:$B,KPI!AM4,'les arrets'!$J:$J,"M, Planifié")</f>
        <v>0</v>
      </c>
      <c r="AN15" s="100">
        <f>SUMIFS('les arrets'!$G:$G,'les arrets'!$B:$B,KPI!AN4,'les arrets'!$J:$J,"M, Planifié")</f>
        <v>0</v>
      </c>
      <c r="AO15" s="100">
        <f>SUMIFS('les arrets'!$G:$G,'les arrets'!$B:$B,KPI!AO4,'les arrets'!$J:$J,"M, Planifié")</f>
        <v>0</v>
      </c>
      <c r="AP15" s="100">
        <f>SUMIFS('les arrets'!$G:$G,'les arrets'!$B:$B,KPI!AP4,'les arrets'!$J:$J,"M, Planifié")</f>
        <v>0</v>
      </c>
      <c r="AQ15" s="100">
        <f t="shared" si="52"/>
        <v>0</v>
      </c>
      <c r="AR15" s="100">
        <f>SUMIFS('les arrets'!$G:$G,'les arrets'!$B:$B,KPI!AR4,'les arrets'!$J:$J,"M, Planifié")</f>
        <v>0</v>
      </c>
      <c r="AS15" s="100">
        <f>SUMIFS('les arrets'!$G:$G,'les arrets'!$B:$B,KPI!AS4,'les arrets'!$J:$J,"M, Planifié")</f>
        <v>0</v>
      </c>
      <c r="AT15" s="100">
        <f>SUMIFS('les arrets'!$G:$G,'les arrets'!$B:$B,KPI!AT4,'les arrets'!$J:$J,"M, Planifié")</f>
        <v>0</v>
      </c>
      <c r="AU15" s="100">
        <f>SUMIFS('les arrets'!$G:$G,'les arrets'!$B:$B,KPI!AU4,'les arrets'!$J:$J,"M, Planifié")</f>
        <v>0</v>
      </c>
      <c r="AV15" s="100">
        <f>SUMIFS('les arrets'!$G:$G,'les arrets'!$B:$B,KPI!AV4,'les arrets'!$J:$J,"M, Planifié")</f>
        <v>0</v>
      </c>
      <c r="AW15" s="100">
        <f>SUMIFS('les arrets'!$G:$G,'les arrets'!$B:$B,KPI!AW4,'les arrets'!$J:$J,"M, Planifié")</f>
        <v>0</v>
      </c>
      <c r="AX15" s="100">
        <f>SUMIFS('les arrets'!$G:$G,'les arrets'!$B:$B,KPI!AX4,'les arrets'!$J:$J,"M, Planifié")</f>
        <v>0</v>
      </c>
      <c r="AY15" s="100">
        <f t="shared" si="53"/>
        <v>0</v>
      </c>
      <c r="AZ15" s="100">
        <f>SUMIFS('les arrets'!$G:$G,'les arrets'!$B:$B,KPI!AZ4,'les arrets'!$J:$J,"M, Planifié")</f>
        <v>0</v>
      </c>
      <c r="BA15" s="100">
        <f>SUMIFS('les arrets'!$G:$G,'les arrets'!$B:$B,KPI!BA4,'les arrets'!$J:$J,"M, Planifié")</f>
        <v>0</v>
      </c>
      <c r="BB15" s="100">
        <f>SUMIFS('les arrets'!$G:$G,'les arrets'!$B:$B,KPI!BB4,'les arrets'!$J:$J,"M, Planifié")</f>
        <v>0</v>
      </c>
      <c r="BC15" s="100">
        <f>SUMIFS('les arrets'!$G:$G,'les arrets'!$B:$B,KPI!BC4,'les arrets'!$J:$J,"M, Planifié")</f>
        <v>0</v>
      </c>
      <c r="BD15" s="100">
        <f>SUMIFS('les arrets'!$G:$G,'les arrets'!$B:$B,KPI!BD4,'les arrets'!$J:$J,"M, Planifié")</f>
        <v>0</v>
      </c>
      <c r="BE15" s="100">
        <f>SUMIFS('les arrets'!$G:$G,'les arrets'!$B:$B,KPI!BE4,'les arrets'!$J:$J,"M, Planifié")</f>
        <v>0</v>
      </c>
      <c r="BF15" s="100">
        <f>SUMIFS('les arrets'!$G:$G,'les arrets'!$B:$B,KPI!BF4,'les arrets'!$J:$J,"M, Planifié")</f>
        <v>0</v>
      </c>
      <c r="BG15" s="100">
        <f t="shared" si="54"/>
        <v>0</v>
      </c>
      <c r="BH15" s="100">
        <f>SUMIFS('les arrets'!$G:$G,'les arrets'!$B:$B,KPI!BH4,'les arrets'!$J:$J,"M, Planifié")</f>
        <v>0</v>
      </c>
      <c r="BI15" s="100">
        <f>SUMIFS('les arrets'!$G:$G,'les arrets'!$B:$B,KPI!BI4,'les arrets'!$J:$J,"M, Planifié")</f>
        <v>0</v>
      </c>
      <c r="BJ15" s="100">
        <f>SUMIFS('les arrets'!$G:$G,'les arrets'!$B:$B,KPI!BJ4,'les arrets'!$J:$J,"M, Planifié")</f>
        <v>0</v>
      </c>
      <c r="BK15" s="100">
        <f>SUMIFS('les arrets'!$G:$G,'les arrets'!$B:$B,KPI!BK4,'les arrets'!$J:$J,"M, Planifié")</f>
        <v>0</v>
      </c>
      <c r="BL15" s="100">
        <f>SUMIFS('les arrets'!$G:$G,'les arrets'!$B:$B,KPI!BL4,'les arrets'!$J:$J,"M, Planifié")</f>
        <v>0</v>
      </c>
      <c r="BM15" s="100">
        <f>SUMIFS('les arrets'!$G:$G,'les arrets'!$B:$B,KPI!BM4,'les arrets'!$J:$J,"M, Planifié")</f>
        <v>0</v>
      </c>
      <c r="BN15" s="100">
        <f>SUMIFS('les arrets'!$G:$G,'les arrets'!$B:$B,KPI!BN4,'les arrets'!$J:$J,"M, Planifié")</f>
        <v>0</v>
      </c>
      <c r="BO15" s="100">
        <f t="shared" si="55"/>
        <v>0</v>
      </c>
      <c r="BP15" s="100">
        <f>SUMIFS('les arrets'!$G:$G,'les arrets'!$B:$B,KPI!BP4,'les arrets'!$J:$J,"M, Planifié")</f>
        <v>0</v>
      </c>
      <c r="BQ15" s="100">
        <f>SUMIFS('les arrets'!$G:$G,'les arrets'!$B:$B,KPI!BQ4,'les arrets'!$J:$J,"M, Planifié")</f>
        <v>0</v>
      </c>
      <c r="BR15" s="100">
        <f>SUMIFS('les arrets'!$G:$G,'les arrets'!$B:$B,KPI!BR4,'les arrets'!$J:$J,"M, Planifié")</f>
        <v>0</v>
      </c>
      <c r="BS15" s="100">
        <f>SUMIFS('les arrets'!$G:$G,'les arrets'!$B:$B,KPI!BS4,'les arrets'!$J:$J,"M, Planifié")</f>
        <v>0</v>
      </c>
      <c r="BT15" s="100">
        <f>SUMIFS('les arrets'!$G:$G,'les arrets'!$B:$B,KPI!BT4,'les arrets'!$J:$J,"M, Planifié")</f>
        <v>0</v>
      </c>
      <c r="BU15" s="100">
        <f>SUMIFS('les arrets'!$G:$G,'les arrets'!$B:$B,KPI!BU4,'les arrets'!$J:$J,"M, Planifié")</f>
        <v>0</v>
      </c>
      <c r="BV15" s="100">
        <f>SUMIFS('les arrets'!$G:$G,'les arrets'!$B:$B,KPI!BV4,'les arrets'!$J:$J,"M, Planifié")</f>
        <v>0</v>
      </c>
      <c r="BW15" s="100">
        <f t="shared" si="56"/>
        <v>0</v>
      </c>
      <c r="BX15" s="100">
        <f>SUMIFS('les arrets'!$G:$G,'les arrets'!$B:$B,KPI!BX4,'les arrets'!$J:$J,"M, Planifié")</f>
        <v>0</v>
      </c>
      <c r="BY15" s="100">
        <f>SUMIFS('les arrets'!$G:$G,'les arrets'!$B:$B,KPI!BY4,'les arrets'!$J:$J,"M, Planifié")</f>
        <v>0</v>
      </c>
      <c r="BZ15" s="100">
        <f>SUMIFS('les arrets'!$G:$G,'les arrets'!$B:$B,KPI!BZ4,'les arrets'!$J:$J,"M, Planifié")</f>
        <v>0</v>
      </c>
      <c r="CA15" s="100">
        <f>SUMIFS('les arrets'!$G:$G,'les arrets'!$B:$B,KPI!CA4,'les arrets'!$J:$J,"M, Planifié")</f>
        <v>0</v>
      </c>
      <c r="CB15" s="100">
        <f>SUMIFS('les arrets'!$G:$G,'les arrets'!$B:$B,KPI!CB4,'les arrets'!$J:$J,"M, Planifié")</f>
        <v>0</v>
      </c>
      <c r="CC15" s="100">
        <f>SUMIFS('les arrets'!$G:$G,'les arrets'!$B:$B,KPI!CC4,'les arrets'!$J:$J,"M, Planifié")</f>
        <v>0</v>
      </c>
      <c r="CD15" s="100">
        <f>SUMIFS('les arrets'!$G:$G,'les arrets'!$B:$B,KPI!CD4,'les arrets'!$J:$J,"M, Planifié")</f>
        <v>0</v>
      </c>
      <c r="CE15" s="100">
        <f t="shared" si="57"/>
        <v>0</v>
      </c>
      <c r="CF15" s="100">
        <f>SUMIFS('les arrets'!$G:$G,'les arrets'!$B:$B,KPI!CF4,'les arrets'!$J:$J,"M, Planifié")</f>
        <v>0</v>
      </c>
      <c r="CG15" s="100">
        <f>SUMIFS('les arrets'!$G:$G,'les arrets'!$B:$B,KPI!CG4,'les arrets'!$J:$J,"M, Planifié")</f>
        <v>0</v>
      </c>
      <c r="CH15" s="100">
        <f>SUMIFS('les arrets'!$G:$G,'les arrets'!$B:$B,KPI!CH4,'les arrets'!$J:$J,"M, Planifié")</f>
        <v>0</v>
      </c>
      <c r="CI15" s="100">
        <f>SUMIFS('les arrets'!$G:$G,'les arrets'!$B:$B,KPI!CI4,'les arrets'!$J:$J,"M, Planifié")</f>
        <v>0</v>
      </c>
      <c r="CJ15" s="100">
        <f>SUMIFS('les arrets'!$G:$G,'les arrets'!$B:$B,KPI!CJ4,'les arrets'!$J:$J,"M, Planifié")</f>
        <v>0</v>
      </c>
      <c r="CK15" s="100">
        <f>SUMIFS('les arrets'!$G:$G,'les arrets'!$B:$B,KPI!CK4,'les arrets'!$J:$J,"M, Planifié")</f>
        <v>0</v>
      </c>
      <c r="CL15" s="100">
        <f>SUMIFS('les arrets'!$G:$G,'les arrets'!$B:$B,KPI!CL4,'les arrets'!$J:$J,"M, Planifié")</f>
        <v>0</v>
      </c>
      <c r="CM15" s="100">
        <f t="shared" si="58"/>
        <v>0</v>
      </c>
      <c r="CN15" s="100">
        <f>SUMIFS('les arrets'!$G:$G,'les arrets'!$B:$B,KPI!CN4,'les arrets'!$J:$J,"M, Planifié")</f>
        <v>0</v>
      </c>
      <c r="CO15" s="100">
        <f>SUMIFS('les arrets'!$G:$G,'les arrets'!$B:$B,KPI!CO4,'les arrets'!$J:$J,"M, Planifié")</f>
        <v>0</v>
      </c>
      <c r="CP15" s="100">
        <f>SUMIFS('les arrets'!$G:$G,'les arrets'!$B:$B,KPI!CP4,'les arrets'!$J:$J,"M, Planifié")</f>
        <v>0</v>
      </c>
      <c r="CQ15" s="100">
        <f>SUMIFS('les arrets'!$G:$G,'les arrets'!$B:$B,KPI!CQ4,'les arrets'!$J:$J,"M, Planifié")</f>
        <v>0</v>
      </c>
      <c r="CR15" s="100">
        <f>SUMIFS('les arrets'!$G:$G,'les arrets'!$B:$B,KPI!CR4,'les arrets'!$J:$J,"M, Planifié")</f>
        <v>0</v>
      </c>
      <c r="CS15" s="100">
        <f>SUMIFS('les arrets'!$G:$G,'les arrets'!$B:$B,KPI!CS4,'les arrets'!$J:$J,"M, Planifié")</f>
        <v>0</v>
      </c>
      <c r="CT15" s="100">
        <f>SUMIFS('les arrets'!$G:$G,'les arrets'!$B:$B,KPI!CT4,'les arrets'!$J:$J,"M, Planifié")</f>
        <v>0</v>
      </c>
      <c r="CU15" s="100">
        <f t="shared" si="59"/>
        <v>0</v>
      </c>
      <c r="CV15" s="100">
        <f>SUMIFS('les arrets'!$G:$G,'les arrets'!$B:$B,KPI!CV4,'les arrets'!$J:$J,"M, Planifié")</f>
        <v>0</v>
      </c>
      <c r="CW15" s="100">
        <f>SUMIFS('les arrets'!$G:$G,'les arrets'!$B:$B,KPI!CW4,'les arrets'!$J:$J,"M, Planifié")</f>
        <v>0</v>
      </c>
      <c r="CX15" s="100">
        <f>SUMIFS('les arrets'!$G:$G,'les arrets'!$B:$B,KPI!CX4,'les arrets'!$J:$J,"M, Planifié")</f>
        <v>0</v>
      </c>
      <c r="CY15" s="100">
        <f>SUMIFS('les arrets'!$G:$G,'les arrets'!$B:$B,KPI!CY4,'les arrets'!$J:$J,"M, Planifié")</f>
        <v>0</v>
      </c>
      <c r="CZ15" s="100">
        <f>SUMIFS('les arrets'!$G:$G,'les arrets'!$B:$B,KPI!CZ4,'les arrets'!$J:$J,"M, Planifié")</f>
        <v>0</v>
      </c>
      <c r="DA15" s="100">
        <f>SUMIFS('les arrets'!$G:$G,'les arrets'!$B:$B,KPI!DA4,'les arrets'!$J:$J,"M, Planifié")</f>
        <v>0</v>
      </c>
      <c r="DB15" s="100">
        <f>SUMIFS('les arrets'!$G:$G,'les arrets'!$B:$B,KPI!DB4,'les arrets'!$J:$J,"M, Planifié")</f>
        <v>0</v>
      </c>
      <c r="DC15" s="100">
        <f t="shared" si="60"/>
        <v>0</v>
      </c>
      <c r="DD15" s="100">
        <f>SUMIFS('les arrets'!$G:$G,'les arrets'!$B:$B,KPI!DD4,'les arrets'!$J:$J,"M, Planifié")</f>
        <v>0</v>
      </c>
      <c r="DE15" s="100">
        <f>SUMIFS('les arrets'!$G:$G,'les arrets'!$B:$B,KPI!DE4,'les arrets'!$J:$J,"M, Planifié")</f>
        <v>0</v>
      </c>
      <c r="DF15" s="100">
        <f>SUMIFS('les arrets'!$G:$G,'les arrets'!$B:$B,KPI!DF4,'les arrets'!$J:$J,"M, Planifié")</f>
        <v>0</v>
      </c>
      <c r="DG15" s="100">
        <f>SUMIFS('les arrets'!$G:$G,'les arrets'!$B:$B,KPI!DG4,'les arrets'!$J:$J,"M, Planifié")</f>
        <v>0</v>
      </c>
      <c r="DH15" s="100">
        <f>SUMIFS('les arrets'!$G:$G,'les arrets'!$B:$B,KPI!DH4,'les arrets'!$J:$J,"M, Planifié")</f>
        <v>0</v>
      </c>
      <c r="DI15" s="100">
        <f>SUMIFS('les arrets'!$G:$G,'les arrets'!$B:$B,KPI!DI4,'les arrets'!$J:$J,"M, Planifié")</f>
        <v>0</v>
      </c>
      <c r="DJ15" s="100">
        <f>SUMIFS('les arrets'!$G:$G,'les arrets'!$B:$B,KPI!DJ4,'les arrets'!$J:$J,"M, Planifié")</f>
        <v>0</v>
      </c>
      <c r="DK15" s="100">
        <f t="shared" si="61"/>
        <v>0</v>
      </c>
      <c r="DL15" s="100">
        <f>SUMIFS('les arrets'!$G:$G,'les arrets'!$B:$B,KPI!DL4,'les arrets'!$J:$J,"M, Planifié")</f>
        <v>0</v>
      </c>
      <c r="DM15" s="100">
        <f>SUMIFS('les arrets'!$G:$G,'les arrets'!$B:$B,KPI!DM4,'les arrets'!$J:$J,"M, Planifié")</f>
        <v>0</v>
      </c>
      <c r="DN15" s="100">
        <f>SUMIFS('les arrets'!$G:$G,'les arrets'!$B:$B,KPI!DN4,'les arrets'!$J:$J,"M, Planifié")</f>
        <v>0</v>
      </c>
      <c r="DO15" s="100">
        <f>SUMIFS('les arrets'!$G:$G,'les arrets'!$B:$B,KPI!DO4,'les arrets'!$J:$J,"M, Planifié")</f>
        <v>0</v>
      </c>
      <c r="DP15" s="100">
        <f>SUMIFS('les arrets'!$G:$G,'les arrets'!$B:$B,KPI!DP4,'les arrets'!$J:$J,"M, Planifié")</f>
        <v>0</v>
      </c>
      <c r="DQ15" s="100">
        <f>SUMIFS('les arrets'!$G:$G,'les arrets'!$B:$B,KPI!DQ4,'les arrets'!$J:$J,"M, Planifié")</f>
        <v>0</v>
      </c>
      <c r="DR15" s="100">
        <f>SUMIFS('les arrets'!$G:$G,'les arrets'!$B:$B,KPI!DR4,'les arrets'!$J:$J,"M, Planifié")</f>
        <v>0</v>
      </c>
      <c r="DS15" s="100">
        <f t="shared" si="62"/>
        <v>0</v>
      </c>
      <c r="DT15" s="100">
        <f>SUMIFS('les arrets'!$G:$G,'les arrets'!$B:$B,KPI!DT4,'les arrets'!$J:$J,"M, Planifié")</f>
        <v>0</v>
      </c>
      <c r="DU15" s="100">
        <f>SUMIFS('les arrets'!$G:$G,'les arrets'!$B:$B,KPI!DU4,'les arrets'!$J:$J,"M, Planifié")</f>
        <v>0</v>
      </c>
      <c r="DV15" s="100">
        <f>SUMIFS('les arrets'!$G:$G,'les arrets'!$B:$B,KPI!DV4,'les arrets'!$J:$J,"M, Planifié")</f>
        <v>0</v>
      </c>
      <c r="DW15" s="100">
        <f>SUMIFS('les arrets'!$G:$G,'les arrets'!$B:$B,KPI!DW4,'les arrets'!$J:$J,"M, Planifié")</f>
        <v>0</v>
      </c>
      <c r="DX15" s="100">
        <f>SUMIFS('les arrets'!$G:$G,'les arrets'!$B:$B,KPI!DX4,'les arrets'!$J:$J,"M, Planifié")</f>
        <v>0</v>
      </c>
      <c r="DY15" s="100">
        <f>SUMIFS('les arrets'!$G:$G,'les arrets'!$B:$B,KPI!DY4,'les arrets'!$J:$J,"M, Planifié")</f>
        <v>0</v>
      </c>
      <c r="DZ15" s="100">
        <f>SUMIFS('les arrets'!$G:$G,'les arrets'!$B:$B,KPI!DZ4,'les arrets'!$J:$J,"M, Planifié")</f>
        <v>0</v>
      </c>
      <c r="EA15" s="100">
        <f t="shared" si="63"/>
        <v>0</v>
      </c>
      <c r="EB15" s="100">
        <f>SUMIFS('les arrets'!$G:$G,'les arrets'!$B:$B,KPI!EB4,'les arrets'!$J:$J,"M, Planifié")</f>
        <v>0</v>
      </c>
      <c r="EC15" s="100">
        <f>SUMIFS('les arrets'!$G:$G,'les arrets'!$B:$B,KPI!EC4,'les arrets'!$J:$J,"M, Planifié")</f>
        <v>0</v>
      </c>
      <c r="ED15" s="100">
        <f>SUMIFS('les arrets'!$G:$G,'les arrets'!$B:$B,KPI!ED4,'les arrets'!$J:$J,"M, Planifié")</f>
        <v>0</v>
      </c>
      <c r="EE15" s="100">
        <f>SUMIFS('les arrets'!$G:$G,'les arrets'!$B:$B,KPI!EE4,'les arrets'!$J:$J,"M, Planifié")</f>
        <v>0</v>
      </c>
      <c r="EF15" s="100">
        <f>SUMIFS('les arrets'!$G:$G,'les arrets'!$B:$B,KPI!EF4,'les arrets'!$J:$J,"M, Planifié")</f>
        <v>0</v>
      </c>
      <c r="EG15" s="100">
        <f>SUMIFS('les arrets'!$G:$G,'les arrets'!$B:$B,KPI!EG4,'les arrets'!$J:$J,"M, Planifié")</f>
        <v>0</v>
      </c>
      <c r="EH15" s="100">
        <f>SUMIFS('les arrets'!$G:$G,'les arrets'!$B:$B,KPI!EH4,'les arrets'!$J:$J,"M, Planifié")</f>
        <v>0</v>
      </c>
      <c r="EI15" s="100">
        <f t="shared" si="64"/>
        <v>0</v>
      </c>
      <c r="EJ15" s="100">
        <f>SUMIFS('les arrets'!$G:$G,'les arrets'!$B:$B,KPI!EJ4,'les arrets'!$J:$J,"M, Planifié")</f>
        <v>0</v>
      </c>
      <c r="EK15" s="100">
        <f>SUMIFS('les arrets'!$G:$G,'les arrets'!$B:$B,KPI!EK4,'les arrets'!$J:$J,"M, Planifié")</f>
        <v>0</v>
      </c>
      <c r="EL15" s="100">
        <f>SUMIFS('les arrets'!$G:$G,'les arrets'!$B:$B,KPI!EL4,'les arrets'!$J:$J,"M, Planifié")</f>
        <v>0</v>
      </c>
      <c r="EM15" s="100">
        <f>SUMIFS('les arrets'!$G:$G,'les arrets'!$B:$B,KPI!EM4,'les arrets'!$J:$J,"M, Planifié")</f>
        <v>0</v>
      </c>
      <c r="EN15" s="100">
        <f>SUMIFS('les arrets'!$G:$G,'les arrets'!$B:$B,KPI!EN4,'les arrets'!$J:$J,"M, Planifié")</f>
        <v>0</v>
      </c>
      <c r="EO15" s="100">
        <f>SUMIFS('les arrets'!$G:$G,'les arrets'!$B:$B,KPI!EO4,'les arrets'!$J:$J,"M, Planifié")</f>
        <v>0</v>
      </c>
      <c r="EP15" s="100">
        <f>SUMIFS('les arrets'!$G:$G,'les arrets'!$B:$B,KPI!EP4,'les arrets'!$J:$J,"M, Planifié")</f>
        <v>0</v>
      </c>
      <c r="EQ15" s="100">
        <f t="shared" si="65"/>
        <v>0</v>
      </c>
      <c r="ER15" s="100">
        <f>SUMIFS('les arrets'!$G:$G,'les arrets'!$B:$B,KPI!ER4,'les arrets'!$J:$J,"M, Planifié")</f>
        <v>0</v>
      </c>
      <c r="ES15" s="100">
        <f>SUMIFS('les arrets'!$G:$G,'les arrets'!$B:$B,KPI!ES4,'les arrets'!$J:$J,"M, Planifié")</f>
        <v>0</v>
      </c>
      <c r="ET15" s="100">
        <f>SUMIFS('les arrets'!$G:$G,'les arrets'!$B:$B,KPI!ET4,'les arrets'!$J:$J,"M, Planifié")</f>
        <v>0</v>
      </c>
      <c r="EU15" s="100">
        <f>SUMIFS('les arrets'!$G:$G,'les arrets'!$B:$B,KPI!EU4,'les arrets'!$J:$J,"M, Planifié")</f>
        <v>0</v>
      </c>
      <c r="EV15" s="100">
        <f>SUMIFS('les arrets'!$G:$G,'les arrets'!$B:$B,KPI!EV4,'les arrets'!$J:$J,"M, Planifié")</f>
        <v>0</v>
      </c>
      <c r="EW15" s="100">
        <f>SUMIFS('les arrets'!$G:$G,'les arrets'!$B:$B,KPI!EW4,'les arrets'!$J:$J,"M, Planifié")</f>
        <v>0</v>
      </c>
      <c r="EX15" s="100">
        <f>SUMIFS('les arrets'!$G:$G,'les arrets'!$B:$B,KPI!EX4,'les arrets'!$J:$J,"M, Planifié")</f>
        <v>0</v>
      </c>
      <c r="EY15" s="100">
        <f t="shared" si="66"/>
        <v>0</v>
      </c>
      <c r="EZ15" s="100">
        <f>SUMIFS('les arrets'!$G:$G,'les arrets'!$B:$B,KPI!EZ4,'les arrets'!$J:$J,"M, Planifié")</f>
        <v>0</v>
      </c>
      <c r="FA15" s="100">
        <f>SUMIFS('les arrets'!$G:$G,'les arrets'!$B:$B,KPI!FA4,'les arrets'!$J:$J,"M, Planifié")</f>
        <v>0</v>
      </c>
      <c r="FB15" s="100">
        <f>SUMIFS('les arrets'!$G:$G,'les arrets'!$B:$B,KPI!FB4,'les arrets'!$J:$J,"M, Planifié")</f>
        <v>0</v>
      </c>
      <c r="FC15" s="100">
        <f>SUMIFS('les arrets'!$G:$G,'les arrets'!$B:$B,KPI!FC4,'les arrets'!$J:$J,"M, Planifié")</f>
        <v>0</v>
      </c>
      <c r="FD15" s="100">
        <f>SUMIFS('les arrets'!$G:$G,'les arrets'!$B:$B,KPI!FD4,'les arrets'!$J:$J,"M, Planifié")</f>
        <v>0</v>
      </c>
      <c r="FE15" s="100">
        <f>SUMIFS('les arrets'!$G:$G,'les arrets'!$B:$B,KPI!FE4,'les arrets'!$J:$J,"M, Planifié")</f>
        <v>0</v>
      </c>
      <c r="FF15" s="100">
        <f>SUMIFS('les arrets'!$G:$G,'les arrets'!$B:$B,KPI!FF4,'les arrets'!$J:$J,"M, Planifié")</f>
        <v>0</v>
      </c>
      <c r="FG15" s="100">
        <f t="shared" si="67"/>
        <v>0</v>
      </c>
      <c r="FH15" s="100">
        <f>SUMIFS('les arrets'!$G:$G,'les arrets'!$B:$B,KPI!FH4,'les arrets'!$J:$J,"M, Planifié")</f>
        <v>0</v>
      </c>
      <c r="FI15" s="100">
        <f>SUMIFS('les arrets'!$G:$G,'les arrets'!$B:$B,KPI!FI4,'les arrets'!$J:$J,"M, Planifié")</f>
        <v>0</v>
      </c>
      <c r="FJ15" s="100">
        <f>SUMIFS('les arrets'!$G:$G,'les arrets'!$B:$B,KPI!FJ4,'les arrets'!$J:$J,"M, Planifié")</f>
        <v>0</v>
      </c>
      <c r="FK15" s="100">
        <f>SUMIFS('les arrets'!$G:$G,'les arrets'!$B:$B,KPI!FK4,'les arrets'!$J:$J,"M, Planifié")</f>
        <v>0</v>
      </c>
      <c r="FL15" s="100">
        <f>SUMIFS('les arrets'!$G:$G,'les arrets'!$B:$B,KPI!FL4,'les arrets'!$J:$J,"M, Planifié")</f>
        <v>0</v>
      </c>
      <c r="FM15" s="100">
        <f>SUMIFS('les arrets'!$G:$G,'les arrets'!$B:$B,KPI!FM4,'les arrets'!$J:$J,"M, Planifié")</f>
        <v>0</v>
      </c>
      <c r="FN15" s="100">
        <f>SUMIFS('les arrets'!$G:$G,'les arrets'!$B:$B,KPI!FN4,'les arrets'!$J:$J,"M, Planifié")</f>
        <v>0</v>
      </c>
      <c r="FO15" s="100">
        <f t="shared" si="68"/>
        <v>0</v>
      </c>
      <c r="FP15" s="100">
        <f>SUMIFS('les arrets'!$G:$G,'les arrets'!$B:$B,KPI!FP4,'les arrets'!$J:$J,"M, Planifié")</f>
        <v>0</v>
      </c>
      <c r="FQ15" s="100">
        <f>SUMIFS('les arrets'!$G:$G,'les arrets'!$B:$B,KPI!FQ4,'les arrets'!$J:$J,"M, Planifié")</f>
        <v>0</v>
      </c>
      <c r="FR15" s="100">
        <f>SUMIFS('les arrets'!$G:$G,'les arrets'!$B:$B,KPI!FR4,'les arrets'!$J:$J,"M, Planifié")</f>
        <v>0</v>
      </c>
      <c r="FS15" s="100">
        <f>SUMIFS('les arrets'!$G:$G,'les arrets'!$B:$B,KPI!FS4,'les arrets'!$J:$J,"M, Planifié")</f>
        <v>0</v>
      </c>
      <c r="FT15" s="100">
        <f>SUMIFS('les arrets'!$G:$G,'les arrets'!$B:$B,KPI!FT4,'les arrets'!$J:$J,"M, Planifié")</f>
        <v>0</v>
      </c>
      <c r="FU15" s="100">
        <f>SUMIFS('les arrets'!$G:$G,'les arrets'!$B:$B,KPI!FU4,'les arrets'!$J:$J,"M, Planifié")</f>
        <v>0</v>
      </c>
      <c r="FV15" s="100">
        <f>SUMIFS('les arrets'!$G:$G,'les arrets'!$B:$B,KPI!FV4,'les arrets'!$J:$J,"M, Planifié")</f>
        <v>0</v>
      </c>
      <c r="FW15" s="100">
        <f t="shared" si="69"/>
        <v>0</v>
      </c>
      <c r="FX15" s="100">
        <f>SUMIFS('les arrets'!$G:$G,'les arrets'!$B:$B,KPI!FX4,'les arrets'!$J:$J,"M, Planifié")</f>
        <v>0</v>
      </c>
      <c r="FY15" s="100">
        <f>SUMIFS('les arrets'!$G:$G,'les arrets'!$B:$B,KPI!FY4,'les arrets'!$J:$J,"M, Planifié")</f>
        <v>0</v>
      </c>
      <c r="FZ15" s="100">
        <f>SUMIFS('les arrets'!$G:$G,'les arrets'!$B:$B,KPI!FZ4,'les arrets'!$J:$J,"M, Planifié")</f>
        <v>0</v>
      </c>
      <c r="GA15" s="100">
        <f>SUMIFS('les arrets'!$G:$G,'les arrets'!$B:$B,KPI!GA4,'les arrets'!$J:$J,"M, Planifié")</f>
        <v>0</v>
      </c>
      <c r="GB15" s="100">
        <f>SUMIFS('les arrets'!$G:$G,'les arrets'!$B:$B,KPI!GB4,'les arrets'!$J:$J,"M, Planifié")</f>
        <v>0</v>
      </c>
      <c r="GC15" s="100">
        <f>SUMIFS('les arrets'!$G:$G,'les arrets'!$B:$B,KPI!GC4,'les arrets'!$J:$J,"M, Planifié")</f>
        <v>0</v>
      </c>
      <c r="GD15" s="100">
        <f>SUMIFS('les arrets'!$G:$G,'les arrets'!$B:$B,KPI!GD4,'les arrets'!$J:$J,"M, Planifié")</f>
        <v>0</v>
      </c>
      <c r="GE15" s="100">
        <f t="shared" si="70"/>
        <v>0</v>
      </c>
      <c r="GF15" s="100">
        <f>SUMIFS('les arrets'!$G:$G,'les arrets'!$B:$B,KPI!GF4,'les arrets'!$J:$J,"M, Planifié")</f>
        <v>0</v>
      </c>
      <c r="GG15" s="100">
        <f>SUMIFS('les arrets'!$G:$G,'les arrets'!$B:$B,KPI!GG4,'les arrets'!$J:$J,"M, Planifié")</f>
        <v>0</v>
      </c>
      <c r="GH15" s="100">
        <f>SUMIFS('les arrets'!$G:$G,'les arrets'!$B:$B,KPI!GH4,'les arrets'!$J:$J,"M, Planifié")</f>
        <v>0</v>
      </c>
      <c r="GI15" s="100">
        <f>SUMIFS('les arrets'!$G:$G,'les arrets'!$B:$B,KPI!GI4,'les arrets'!$J:$J,"M, Planifié")</f>
        <v>0</v>
      </c>
      <c r="GJ15" s="100">
        <f>SUMIFS('les arrets'!$G:$G,'les arrets'!$B:$B,KPI!GJ4,'les arrets'!$J:$J,"M, Planifié")</f>
        <v>0</v>
      </c>
      <c r="GK15" s="100">
        <f>SUMIFS('les arrets'!$G:$G,'les arrets'!$B:$B,KPI!GK4,'les arrets'!$J:$J,"M, Planifié")</f>
        <v>0</v>
      </c>
      <c r="GL15" s="100">
        <f>SUMIFS('les arrets'!$G:$G,'les arrets'!$B:$B,KPI!GL4,'les arrets'!$J:$J,"M, Planifié")</f>
        <v>0</v>
      </c>
      <c r="GM15" s="100">
        <f t="shared" si="71"/>
        <v>0</v>
      </c>
      <c r="GN15" s="100">
        <f>SUMIFS('les arrets'!$G:$G,'les arrets'!$B:$B,KPI!GN4,'les arrets'!$J:$J,"M, Planifié")</f>
        <v>0</v>
      </c>
      <c r="GO15" s="100">
        <f>SUMIFS('les arrets'!$G:$G,'les arrets'!$B:$B,KPI!GO4,'les arrets'!$J:$J,"M, Planifié")</f>
        <v>0</v>
      </c>
      <c r="GP15" s="100">
        <f>SUMIFS('les arrets'!$G:$G,'les arrets'!$B:$B,KPI!GP4,'les arrets'!$J:$J,"M, Planifié")</f>
        <v>0</v>
      </c>
      <c r="GQ15" s="100">
        <f>SUMIFS('les arrets'!$G:$G,'les arrets'!$B:$B,KPI!GQ4,'les arrets'!$J:$J,"M, Planifié")</f>
        <v>0</v>
      </c>
      <c r="GR15" s="100">
        <f>SUMIFS('les arrets'!$G:$G,'les arrets'!$B:$B,KPI!GR4,'les arrets'!$J:$J,"M, Planifié")</f>
        <v>0</v>
      </c>
      <c r="GS15" s="100">
        <f>SUMIFS('les arrets'!$G:$G,'les arrets'!$B:$B,KPI!GS4,'les arrets'!$J:$J,"M, Planifié")</f>
        <v>0</v>
      </c>
      <c r="GT15" s="100">
        <f>SUMIFS('les arrets'!$G:$G,'les arrets'!$B:$B,KPI!GT4,'les arrets'!$J:$J,"M, Planifié")</f>
        <v>0</v>
      </c>
      <c r="GU15" s="100">
        <f t="shared" si="72"/>
        <v>0</v>
      </c>
      <c r="GV15" s="100">
        <f>SUMIFS('les arrets'!$G:$G,'les arrets'!$B:$B,KPI!GV4,'les arrets'!$J:$J,"M, Planifié")</f>
        <v>0</v>
      </c>
      <c r="GW15" s="100">
        <f>SUMIFS('les arrets'!$G:$G,'les arrets'!$B:$B,KPI!GW4,'les arrets'!$J:$J,"M, Planifié")</f>
        <v>0</v>
      </c>
      <c r="GX15" s="100">
        <f>SUMIFS('les arrets'!$G:$G,'les arrets'!$B:$B,KPI!GX4,'les arrets'!$J:$J,"M, Planifié")</f>
        <v>0</v>
      </c>
      <c r="GY15" s="100">
        <f>SUMIFS('les arrets'!$G:$G,'les arrets'!$B:$B,KPI!GY4,'les arrets'!$J:$J,"M, Planifié")</f>
        <v>0</v>
      </c>
      <c r="GZ15" s="100">
        <f>SUMIFS('les arrets'!$G:$G,'les arrets'!$B:$B,KPI!GZ4,'les arrets'!$J:$J,"M, Planifié")</f>
        <v>0</v>
      </c>
      <c r="HA15" s="100">
        <f>SUMIFS('les arrets'!$G:$G,'les arrets'!$B:$B,KPI!HA4,'les arrets'!$J:$J,"M, Planifié")</f>
        <v>0</v>
      </c>
      <c r="HB15" s="100">
        <f>SUMIFS('les arrets'!$G:$G,'les arrets'!$B:$B,KPI!HB4,'les arrets'!$J:$J,"M, Planifié")</f>
        <v>0</v>
      </c>
      <c r="HC15" s="100">
        <f t="shared" si="73"/>
        <v>0</v>
      </c>
      <c r="HD15" s="100">
        <f>SUMIFS('les arrets'!$G:$G,'les arrets'!$B:$B,KPI!HD4,'les arrets'!$J:$J,"M, Planifié")</f>
        <v>0</v>
      </c>
      <c r="HE15" s="100">
        <f>SUMIFS('les arrets'!$G:$G,'les arrets'!$B:$B,KPI!HE4,'les arrets'!$J:$J,"M, Planifié")</f>
        <v>0</v>
      </c>
      <c r="HF15" s="100">
        <f>SUMIFS('les arrets'!$G:$G,'les arrets'!$B:$B,KPI!HF4,'les arrets'!$J:$J,"M, Planifié")</f>
        <v>0</v>
      </c>
      <c r="HG15" s="100">
        <f>SUMIFS('les arrets'!$G:$G,'les arrets'!$B:$B,KPI!HG4,'les arrets'!$J:$J,"M, Planifié")</f>
        <v>0</v>
      </c>
      <c r="HH15" s="100">
        <f>SUMIFS('les arrets'!$G:$G,'les arrets'!$B:$B,KPI!HH4,'les arrets'!$J:$J,"M, Planifié")</f>
        <v>0</v>
      </c>
      <c r="HI15" s="100">
        <f>SUMIFS('les arrets'!$G:$G,'les arrets'!$B:$B,KPI!HI4,'les arrets'!$J:$J,"M, Planifié")</f>
        <v>0</v>
      </c>
      <c r="HJ15" s="100">
        <f>SUMIFS('les arrets'!$G:$G,'les arrets'!$B:$B,KPI!HJ4,'les arrets'!$J:$J,"M, Planifié")</f>
        <v>0</v>
      </c>
      <c r="HK15" s="100">
        <f t="shared" si="74"/>
        <v>0</v>
      </c>
      <c r="HL15" s="100">
        <f>SUMIFS('les arrets'!$G:$G,'les arrets'!$B:$B,KPI!HL4,'les arrets'!$J:$J,"M, Planifié")</f>
        <v>0</v>
      </c>
      <c r="HM15" s="100">
        <f>SUMIFS('les arrets'!$G:$G,'les arrets'!$B:$B,KPI!HM4,'les arrets'!$J:$J,"M, Planifié")</f>
        <v>0</v>
      </c>
      <c r="HN15" s="100">
        <f>SUMIFS('les arrets'!$G:$G,'les arrets'!$B:$B,KPI!HN4,'les arrets'!$J:$J,"M, Planifié")</f>
        <v>0</v>
      </c>
      <c r="HO15" s="100">
        <f>SUMIFS('les arrets'!$G:$G,'les arrets'!$B:$B,KPI!HO4,'les arrets'!$J:$J,"M, Planifié")</f>
        <v>0</v>
      </c>
      <c r="HP15" s="100">
        <f>SUMIFS('les arrets'!$G:$G,'les arrets'!$B:$B,KPI!HP4,'les arrets'!$J:$J,"M, Planifié")</f>
        <v>0</v>
      </c>
      <c r="HQ15" s="100">
        <f>SUMIFS('les arrets'!$G:$G,'les arrets'!$B:$B,KPI!HQ4,'les arrets'!$J:$J,"M, Planifié")</f>
        <v>0</v>
      </c>
      <c r="HR15" s="100">
        <f>SUMIFS('les arrets'!$G:$G,'les arrets'!$B:$B,KPI!HR4,'les arrets'!$J:$J,"M, Planifié")</f>
        <v>0</v>
      </c>
      <c r="HS15" s="100">
        <f t="shared" si="75"/>
        <v>0</v>
      </c>
      <c r="HT15" s="100">
        <f>SUMIFS('les arrets'!$G:$G,'les arrets'!$B:$B,KPI!HT4,'les arrets'!$J:$J,"M, Planifié")</f>
        <v>0</v>
      </c>
      <c r="HU15" s="100">
        <f>SUMIFS('les arrets'!$G:$G,'les arrets'!$B:$B,KPI!HU4,'les arrets'!$J:$J,"M, Planifié")</f>
        <v>0</v>
      </c>
      <c r="HV15" s="100">
        <f>SUMIFS('les arrets'!$G:$G,'les arrets'!$B:$B,KPI!HV4,'les arrets'!$J:$J,"M, Planifié")</f>
        <v>0</v>
      </c>
      <c r="HW15" s="100">
        <f>SUMIFS('les arrets'!$G:$G,'les arrets'!$B:$B,KPI!HW4,'les arrets'!$J:$J,"M, Planifié")</f>
        <v>0</v>
      </c>
      <c r="HX15" s="100">
        <f>SUMIFS('les arrets'!$G:$G,'les arrets'!$B:$B,KPI!HX4,'les arrets'!$J:$J,"M, Planifié")</f>
        <v>0</v>
      </c>
      <c r="HY15" s="100">
        <f>SUMIFS('les arrets'!$G:$G,'les arrets'!$B:$B,KPI!HY4,'les arrets'!$J:$J,"M, Planifié")</f>
        <v>0</v>
      </c>
      <c r="HZ15" s="100">
        <f>SUMIFS('les arrets'!$G:$G,'les arrets'!$B:$B,KPI!HZ4,'les arrets'!$J:$J,"M, Planifié")</f>
        <v>0</v>
      </c>
      <c r="IA15" s="100">
        <f t="shared" si="76"/>
        <v>0</v>
      </c>
      <c r="IB15" s="100">
        <f>SUMIFS('les arrets'!$G:$G,'les arrets'!$B:$B,KPI!IB4,'les arrets'!$J:$J,"M, Planifié")</f>
        <v>0</v>
      </c>
      <c r="IC15" s="100">
        <f>SUMIFS('les arrets'!$G:$G,'les arrets'!$B:$B,KPI!IC4,'les arrets'!$J:$J,"M, Planifié")</f>
        <v>0</v>
      </c>
      <c r="ID15" s="100">
        <f>SUMIFS('les arrets'!$G:$G,'les arrets'!$B:$B,KPI!ID4,'les arrets'!$J:$J,"M, Planifié")</f>
        <v>0</v>
      </c>
      <c r="IE15" s="100">
        <f>SUMIFS('les arrets'!$G:$G,'les arrets'!$B:$B,KPI!IE4,'les arrets'!$J:$J,"M, Planifié")</f>
        <v>0</v>
      </c>
      <c r="IF15" s="100">
        <f>SUMIFS('les arrets'!$G:$G,'les arrets'!$B:$B,KPI!IF4,'les arrets'!$J:$J,"M, Planifié")</f>
        <v>0</v>
      </c>
      <c r="IG15" s="100">
        <f>SUMIFS('les arrets'!$G:$G,'les arrets'!$B:$B,KPI!IG4,'les arrets'!$J:$J,"M, Planifié")</f>
        <v>0</v>
      </c>
      <c r="IH15" s="100">
        <f>SUMIFS('les arrets'!$G:$G,'les arrets'!$B:$B,KPI!IH4,'les arrets'!$J:$J,"M, Planifié")</f>
        <v>0</v>
      </c>
      <c r="II15" s="100">
        <f t="shared" si="77"/>
        <v>0</v>
      </c>
      <c r="IJ15" s="100">
        <f>SUMIFS('les arrets'!$G:$G,'les arrets'!$B:$B,KPI!IJ4,'les arrets'!$J:$J,"M, Planifié")</f>
        <v>0</v>
      </c>
      <c r="IK15" s="100">
        <f>SUMIFS('les arrets'!$G:$G,'les arrets'!$B:$B,KPI!IK4,'les arrets'!$J:$J,"M, Planifié")</f>
        <v>0</v>
      </c>
      <c r="IL15" s="100">
        <f>SUMIFS('les arrets'!$G:$G,'les arrets'!$B:$B,KPI!IL4,'les arrets'!$J:$J,"M, Planifié")</f>
        <v>0</v>
      </c>
      <c r="IM15" s="100">
        <f>SUMIFS('les arrets'!$G:$G,'les arrets'!$B:$B,KPI!IM4,'les arrets'!$J:$J,"M, Planifié")</f>
        <v>0</v>
      </c>
      <c r="IN15" s="100">
        <f>SUMIFS('les arrets'!$G:$G,'les arrets'!$B:$B,KPI!IN4,'les arrets'!$J:$J,"M, Planifié")</f>
        <v>0</v>
      </c>
      <c r="IO15" s="100">
        <f>SUMIFS('les arrets'!$G:$G,'les arrets'!$B:$B,KPI!IO4,'les arrets'!$J:$J,"M, Planifié")</f>
        <v>0</v>
      </c>
      <c r="IP15" s="100">
        <f>SUMIFS('les arrets'!$G:$G,'les arrets'!$B:$B,KPI!IP4,'les arrets'!$J:$J,"M, Planifié")</f>
        <v>0</v>
      </c>
      <c r="IQ15" s="100">
        <f t="shared" si="78"/>
        <v>0</v>
      </c>
      <c r="IR15" s="100">
        <f>SUMIFS('les arrets'!$G:$G,'les arrets'!$B:$B,KPI!IR4,'les arrets'!$J:$J,"M, Planifié")</f>
        <v>0</v>
      </c>
      <c r="IS15" s="100">
        <f>SUMIFS('les arrets'!$G:$G,'les arrets'!$B:$B,KPI!IS4,'les arrets'!$J:$J,"M, Planifié")</f>
        <v>0</v>
      </c>
      <c r="IT15" s="100">
        <f>SUMIFS('les arrets'!$G:$G,'les arrets'!$B:$B,KPI!IT4,'les arrets'!$J:$J,"M, Planifié")</f>
        <v>0</v>
      </c>
      <c r="IU15" s="100">
        <f>SUMIFS('les arrets'!$G:$G,'les arrets'!$B:$B,KPI!IU4,'les arrets'!$J:$J,"M, Planifié")</f>
        <v>0</v>
      </c>
      <c r="IV15" s="100">
        <f>SUMIFS('les arrets'!$G:$G,'les arrets'!$B:$B,KPI!IV4,'les arrets'!$J:$J,"M, Planifié")</f>
        <v>0</v>
      </c>
      <c r="IW15" s="100">
        <f>SUMIFS('les arrets'!$G:$G,'les arrets'!$B:$B,KPI!IW4,'les arrets'!$J:$J,"M, Planifié")</f>
        <v>0</v>
      </c>
      <c r="IX15" s="100">
        <f>SUMIFS('les arrets'!$G:$G,'les arrets'!$B:$B,KPI!IX4,'les arrets'!$J:$J,"M, Planifié")</f>
        <v>0</v>
      </c>
      <c r="IY15" s="100">
        <f t="shared" si="79"/>
        <v>0</v>
      </c>
      <c r="IZ15" s="100">
        <f>SUMIFS('les arrets'!$G:$G,'les arrets'!$B:$B,KPI!IZ4,'les arrets'!$J:$J,"M, Planifié")</f>
        <v>0</v>
      </c>
      <c r="JA15" s="100">
        <f>SUMIFS('les arrets'!$G:$G,'les arrets'!$B:$B,KPI!JA4,'les arrets'!$J:$J,"M, Planifié")</f>
        <v>0</v>
      </c>
      <c r="JB15" s="100">
        <f>SUMIFS('les arrets'!$G:$G,'les arrets'!$B:$B,KPI!JB4,'les arrets'!$J:$J,"M, Planifié")</f>
        <v>0</v>
      </c>
      <c r="JC15" s="100">
        <f>SUMIFS('les arrets'!$G:$G,'les arrets'!$B:$B,KPI!JC4,'les arrets'!$J:$J,"M, Planifié")</f>
        <v>0</v>
      </c>
      <c r="JD15" s="100">
        <f>SUMIFS('les arrets'!$G:$G,'les arrets'!$B:$B,KPI!JD4,'les arrets'!$J:$J,"M, Planifié")</f>
        <v>0</v>
      </c>
      <c r="JE15" s="100">
        <f>SUMIFS('les arrets'!$G:$G,'les arrets'!$B:$B,KPI!JE4,'les arrets'!$J:$J,"M, Planifié")</f>
        <v>0</v>
      </c>
      <c r="JF15" s="100">
        <f>SUMIFS('les arrets'!$G:$G,'les arrets'!$B:$B,KPI!JF4,'les arrets'!$J:$J,"M, Planifié")</f>
        <v>0</v>
      </c>
      <c r="JG15" s="100">
        <f t="shared" si="80"/>
        <v>0</v>
      </c>
      <c r="JH15" s="100">
        <f>SUMIFS('les arrets'!$G:$G,'les arrets'!$B:$B,KPI!JH4,'les arrets'!$J:$J,"M, Planifié")</f>
        <v>0</v>
      </c>
      <c r="JI15" s="100">
        <f>SUMIFS('les arrets'!$G:$G,'les arrets'!$B:$B,KPI!JI4,'les arrets'!$J:$J,"M, Planifié")</f>
        <v>0</v>
      </c>
      <c r="JJ15" s="100">
        <f>SUMIFS('les arrets'!$G:$G,'les arrets'!$B:$B,KPI!JJ4,'les arrets'!$J:$J,"M, Planifié")</f>
        <v>0</v>
      </c>
      <c r="JK15" s="100">
        <f>SUMIFS('les arrets'!$G:$G,'les arrets'!$B:$B,KPI!JK4,'les arrets'!$J:$J,"M, Planifié")</f>
        <v>0</v>
      </c>
      <c r="JL15" s="100">
        <f>SUMIFS('les arrets'!$G:$G,'les arrets'!$B:$B,KPI!JL4,'les arrets'!$J:$J,"M, Planifié")</f>
        <v>0</v>
      </c>
      <c r="JM15" s="100">
        <f>SUMIFS('les arrets'!$G:$G,'les arrets'!$B:$B,KPI!JM4,'les arrets'!$J:$J,"M, Planifié")</f>
        <v>0</v>
      </c>
      <c r="JN15" s="100">
        <f>SUMIFS('les arrets'!$G:$G,'les arrets'!$B:$B,KPI!JN4,'les arrets'!$J:$J,"M, Planifié")</f>
        <v>0</v>
      </c>
      <c r="JO15" s="100">
        <f t="shared" si="81"/>
        <v>0</v>
      </c>
      <c r="JP15" s="100">
        <f>SUMIFS('les arrets'!$G:$G,'les arrets'!$B:$B,KPI!JP4,'les arrets'!$J:$J,"M, Planifié")</f>
        <v>0</v>
      </c>
      <c r="JQ15" s="100">
        <f>SUMIFS('les arrets'!$G:$G,'les arrets'!$B:$B,KPI!JQ4,'les arrets'!$J:$J,"M, Planifié")</f>
        <v>0</v>
      </c>
      <c r="JR15" s="100">
        <f>SUMIFS('les arrets'!$G:$G,'les arrets'!$B:$B,KPI!JR4,'les arrets'!$J:$J,"M, Planifié")</f>
        <v>0</v>
      </c>
      <c r="JS15" s="100">
        <f>SUMIFS('les arrets'!$G:$G,'les arrets'!$B:$B,KPI!JS4,'les arrets'!$J:$J,"M, Planifié")</f>
        <v>0</v>
      </c>
      <c r="JT15" s="100">
        <f>SUMIFS('les arrets'!$G:$G,'les arrets'!$B:$B,KPI!JT4,'les arrets'!$J:$J,"M, Planifié")</f>
        <v>0</v>
      </c>
      <c r="JU15" s="100">
        <f>SUMIFS('les arrets'!$G:$G,'les arrets'!$B:$B,KPI!JU4,'les arrets'!$J:$J,"M, Planifié")</f>
        <v>0</v>
      </c>
      <c r="JV15" s="100">
        <f>SUMIFS('les arrets'!$G:$G,'les arrets'!$B:$B,KPI!JV4,'les arrets'!$J:$J,"M, Planifié")</f>
        <v>0</v>
      </c>
      <c r="JW15" s="100">
        <f t="shared" si="82"/>
        <v>0</v>
      </c>
      <c r="JX15" s="100">
        <f>SUMIFS('les arrets'!$G:$G,'les arrets'!$B:$B,KPI!JX4,'les arrets'!$J:$J,"M, Planifié")</f>
        <v>0</v>
      </c>
      <c r="JY15" s="100">
        <f>SUMIFS('les arrets'!$G:$G,'les arrets'!$B:$B,KPI!JY4,'les arrets'!$J:$J,"M, Planifié")</f>
        <v>0</v>
      </c>
      <c r="JZ15" s="100">
        <f>SUMIFS('les arrets'!$G:$G,'les arrets'!$B:$B,KPI!JZ4,'les arrets'!$J:$J,"M, Planifié")</f>
        <v>0</v>
      </c>
      <c r="KA15" s="100">
        <f>SUMIFS('les arrets'!$G:$G,'les arrets'!$B:$B,KPI!KA4,'les arrets'!$J:$J,"M, Planifié")</f>
        <v>0</v>
      </c>
      <c r="KB15" s="100">
        <f>SUMIFS('les arrets'!$G:$G,'les arrets'!$B:$B,KPI!KB4,'les arrets'!$J:$J,"M, Planifié")</f>
        <v>0</v>
      </c>
      <c r="KC15" s="100">
        <f>SUMIFS('les arrets'!$G:$G,'les arrets'!$B:$B,KPI!KC4,'les arrets'!$J:$J,"M, Planifié")</f>
        <v>0</v>
      </c>
      <c r="KD15" s="100">
        <f>SUMIFS('les arrets'!$G:$G,'les arrets'!$B:$B,KPI!KD4,'les arrets'!$J:$J,"M, Planifié")</f>
        <v>0</v>
      </c>
      <c r="KE15" s="100">
        <f t="shared" si="83"/>
        <v>0</v>
      </c>
      <c r="KF15" s="100">
        <f>SUMIFS('les arrets'!$G:$G,'les arrets'!$B:$B,KPI!KF4,'les arrets'!$J:$J,"M, Planifié")</f>
        <v>0</v>
      </c>
      <c r="KG15" s="100">
        <f>SUMIFS('les arrets'!$G:$G,'les arrets'!$B:$B,KPI!KG4,'les arrets'!$J:$J,"M, Planifié")</f>
        <v>0</v>
      </c>
      <c r="KH15" s="100">
        <f>SUMIFS('les arrets'!$G:$G,'les arrets'!$B:$B,KPI!KH4,'les arrets'!$J:$J,"M, Planifié")</f>
        <v>0</v>
      </c>
      <c r="KI15" s="100">
        <f>SUMIFS('les arrets'!$G:$G,'les arrets'!$B:$B,KPI!KI4,'les arrets'!$J:$J,"M, Planifié")</f>
        <v>0</v>
      </c>
      <c r="KJ15" s="100">
        <f>SUMIFS('les arrets'!$G:$G,'les arrets'!$B:$B,KPI!KJ4,'les arrets'!$J:$J,"M, Planifié")</f>
        <v>0</v>
      </c>
      <c r="KK15" s="100">
        <f>SUMIFS('les arrets'!$G:$G,'les arrets'!$B:$B,KPI!KK4,'les arrets'!$J:$J,"M, Planifié")</f>
        <v>0</v>
      </c>
      <c r="KL15" s="100">
        <f>SUMIFS('les arrets'!$G:$G,'les arrets'!$B:$B,KPI!KL4,'les arrets'!$J:$J,"M, Planifié")</f>
        <v>0</v>
      </c>
      <c r="KM15" s="100">
        <f t="shared" si="84"/>
        <v>0</v>
      </c>
      <c r="KN15" s="100">
        <f>SUMIFS('les arrets'!$G:$G,'les arrets'!$B:$B,KPI!KN4,'les arrets'!$J:$J,"M, Planifié")</f>
        <v>0</v>
      </c>
      <c r="KO15" s="100">
        <f>SUMIFS('les arrets'!$G:$G,'les arrets'!$B:$B,KPI!KO4,'les arrets'!$J:$J,"M, Planifié")</f>
        <v>0</v>
      </c>
      <c r="KP15" s="100">
        <f>SUMIFS('les arrets'!$G:$G,'les arrets'!$B:$B,KPI!KP4,'les arrets'!$J:$J,"M, Planifié")</f>
        <v>0</v>
      </c>
      <c r="KQ15" s="100">
        <f>SUMIFS('les arrets'!$G:$G,'les arrets'!$B:$B,KPI!KQ4,'les arrets'!$J:$J,"M, Planifié")</f>
        <v>0</v>
      </c>
      <c r="KR15" s="100">
        <f>SUMIFS('les arrets'!$G:$G,'les arrets'!$B:$B,KPI!KR4,'les arrets'!$J:$J,"M, Planifié")</f>
        <v>0</v>
      </c>
      <c r="KS15" s="100">
        <f>SUMIFS('les arrets'!$G:$G,'les arrets'!$B:$B,KPI!KS4,'les arrets'!$J:$J,"M, Planifié")</f>
        <v>0</v>
      </c>
      <c r="KT15" s="100">
        <f>SUMIFS('les arrets'!$G:$G,'les arrets'!$B:$B,KPI!KT4,'les arrets'!$J:$J,"M, Planifié")</f>
        <v>0</v>
      </c>
      <c r="KU15" s="100">
        <f t="shared" si="85"/>
        <v>0</v>
      </c>
      <c r="KV15" s="100">
        <f>SUMIFS('les arrets'!$G:$G,'les arrets'!$B:$B,KPI!KV4,'les arrets'!$J:$J,"M, Planifié")</f>
        <v>0</v>
      </c>
      <c r="KW15" s="100">
        <f>SUMIFS('les arrets'!$G:$G,'les arrets'!$B:$B,KPI!KW4,'les arrets'!$J:$J,"M, Planifié")</f>
        <v>0</v>
      </c>
      <c r="KX15" s="100">
        <f>SUMIFS('les arrets'!$G:$G,'les arrets'!$B:$B,KPI!KX4,'les arrets'!$J:$J,"M, Planifié")</f>
        <v>0</v>
      </c>
      <c r="KY15" s="100">
        <f>SUMIFS('les arrets'!$G:$G,'les arrets'!$B:$B,KPI!KY4,'les arrets'!$J:$J,"M, Planifié")</f>
        <v>0</v>
      </c>
      <c r="KZ15" s="100">
        <f>SUMIFS('les arrets'!$G:$G,'les arrets'!$B:$B,KPI!KZ4,'les arrets'!$J:$J,"M, Planifié")</f>
        <v>0</v>
      </c>
      <c r="LA15" s="100">
        <f>SUMIFS('les arrets'!$G:$G,'les arrets'!$B:$B,KPI!LA4,'les arrets'!$J:$J,"M, Planifié")</f>
        <v>0</v>
      </c>
      <c r="LB15" s="100">
        <f>SUMIFS('les arrets'!$G:$G,'les arrets'!$B:$B,KPI!LB4,'les arrets'!$J:$J,"M, Planifié")</f>
        <v>0</v>
      </c>
      <c r="LC15" s="100">
        <f t="shared" si="86"/>
        <v>0</v>
      </c>
      <c r="LD15" s="100">
        <f>SUMIFS('les arrets'!$G:$G,'les arrets'!$B:$B,KPI!LD4,'les arrets'!$J:$J,"M, Planifié")</f>
        <v>0</v>
      </c>
      <c r="LE15" s="100">
        <f>SUMIFS('les arrets'!$G:$G,'les arrets'!$B:$B,KPI!LE4,'les arrets'!$J:$J,"M, Planifié")</f>
        <v>0</v>
      </c>
      <c r="LF15" s="100">
        <f>SUMIFS('les arrets'!$G:$G,'les arrets'!$B:$B,KPI!LF4,'les arrets'!$J:$J,"M, Planifié")</f>
        <v>0</v>
      </c>
      <c r="LG15" s="100">
        <f>SUMIFS('les arrets'!$G:$G,'les arrets'!$B:$B,KPI!LG4,'les arrets'!$J:$J,"M, Planifié")</f>
        <v>0</v>
      </c>
      <c r="LH15" s="100">
        <f>SUMIFS('les arrets'!$G:$G,'les arrets'!$B:$B,KPI!LH4,'les arrets'!$J:$J,"M, Planifié")</f>
        <v>0</v>
      </c>
      <c r="LI15" s="100">
        <f>SUMIFS('les arrets'!$G:$G,'les arrets'!$B:$B,KPI!LI4,'les arrets'!$J:$J,"M, Planifié")</f>
        <v>0</v>
      </c>
      <c r="LJ15" s="100">
        <f>SUMIFS('les arrets'!$G:$G,'les arrets'!$B:$B,KPI!LJ4,'les arrets'!$J:$J,"M, Planifié")</f>
        <v>0</v>
      </c>
      <c r="LK15" s="100">
        <f t="shared" si="87"/>
        <v>0</v>
      </c>
      <c r="LL15" s="100">
        <f>SUMIFS('les arrets'!$G:$G,'les arrets'!$B:$B,KPI!LL4,'les arrets'!$J:$J,"M, Planifié")</f>
        <v>0</v>
      </c>
      <c r="LM15" s="100">
        <f>SUMIFS('les arrets'!$G:$G,'les arrets'!$B:$B,KPI!LM4,'les arrets'!$J:$J,"M, Planifié")</f>
        <v>0</v>
      </c>
      <c r="LN15" s="100">
        <f>SUMIFS('les arrets'!$G:$G,'les arrets'!$B:$B,KPI!LN4,'les arrets'!$J:$J,"M, Planifié")</f>
        <v>0</v>
      </c>
      <c r="LO15" s="100">
        <f>SUMIFS('les arrets'!$G:$G,'les arrets'!$B:$B,KPI!LO4,'les arrets'!$J:$J,"M, Planifié")</f>
        <v>0</v>
      </c>
      <c r="LP15" s="100">
        <f>SUMIFS('les arrets'!$G:$G,'les arrets'!$B:$B,KPI!LP4,'les arrets'!$J:$J,"M, Planifié")</f>
        <v>0</v>
      </c>
      <c r="LQ15" s="100">
        <f>SUMIFS('les arrets'!$G:$G,'les arrets'!$B:$B,KPI!LQ4,'les arrets'!$J:$J,"M, Planifié")</f>
        <v>0</v>
      </c>
      <c r="LR15" s="100">
        <f>SUMIFS('les arrets'!$G:$G,'les arrets'!$B:$B,KPI!LR4,'les arrets'!$J:$J,"M, Planifié")</f>
        <v>0</v>
      </c>
      <c r="LS15" s="100">
        <f t="shared" si="88"/>
        <v>0</v>
      </c>
      <c r="LT15" s="100">
        <f>SUMIFS('les arrets'!$G:$G,'les arrets'!$B:$B,KPI!LT4,'les arrets'!$J:$J,"M, Planifié")</f>
        <v>0</v>
      </c>
      <c r="LU15" s="100">
        <f>SUMIFS('les arrets'!$G:$G,'les arrets'!$B:$B,KPI!LU4,'les arrets'!$J:$J,"M, Planifié")</f>
        <v>0</v>
      </c>
      <c r="LV15" s="100">
        <f>SUMIFS('les arrets'!$G:$G,'les arrets'!$B:$B,KPI!LV4,'les arrets'!$J:$J,"M, Planifié")</f>
        <v>0</v>
      </c>
      <c r="LW15" s="100">
        <f>SUMIFS('les arrets'!$G:$G,'les arrets'!$B:$B,KPI!LW4,'les arrets'!$J:$J,"M, Planifié")</f>
        <v>0</v>
      </c>
      <c r="LX15" s="100">
        <f>SUMIFS('les arrets'!$G:$G,'les arrets'!$B:$B,KPI!LX4,'les arrets'!$J:$J,"M, Planifié")</f>
        <v>0</v>
      </c>
      <c r="LY15" s="100">
        <f>SUMIFS('les arrets'!$G:$G,'les arrets'!$B:$B,KPI!LY4,'les arrets'!$J:$J,"M, Planifié")</f>
        <v>0</v>
      </c>
      <c r="LZ15" s="100">
        <f>SUMIFS('les arrets'!$G:$G,'les arrets'!$B:$B,KPI!LZ4,'les arrets'!$J:$J,"M, Planifié")</f>
        <v>0</v>
      </c>
      <c r="MA15" s="100">
        <f t="shared" si="89"/>
        <v>0</v>
      </c>
      <c r="MB15" s="100">
        <f>SUMIFS('les arrets'!$G:$G,'les arrets'!$B:$B,KPI!MB4,'les arrets'!$J:$J,"M, Planifié")</f>
        <v>0</v>
      </c>
      <c r="MC15" s="100">
        <f>SUMIFS('les arrets'!$G:$G,'les arrets'!$B:$B,KPI!MC4,'les arrets'!$J:$J,"M, Planifié")</f>
        <v>0</v>
      </c>
      <c r="MD15" s="100">
        <f>SUMIFS('les arrets'!$G:$G,'les arrets'!$B:$B,KPI!MD4,'les arrets'!$J:$J,"M, Planifié")</f>
        <v>0</v>
      </c>
      <c r="ME15" s="100">
        <f>SUMIFS('les arrets'!$G:$G,'les arrets'!$B:$B,KPI!ME4,'les arrets'!$J:$J,"M, Planifié")</f>
        <v>0</v>
      </c>
      <c r="MF15" s="100">
        <f>SUMIFS('les arrets'!$G:$G,'les arrets'!$B:$B,KPI!MF4,'les arrets'!$J:$J,"M, Planifié")</f>
        <v>0</v>
      </c>
      <c r="MG15" s="100">
        <f>SUMIFS('les arrets'!$G:$G,'les arrets'!$B:$B,KPI!MG4,'les arrets'!$J:$J,"M, Planifié")</f>
        <v>0</v>
      </c>
      <c r="MH15" s="100">
        <f>SUMIFS('les arrets'!$G:$G,'les arrets'!$B:$B,KPI!MH4,'les arrets'!$J:$J,"M, Planifié")</f>
        <v>0</v>
      </c>
      <c r="MI15" s="100">
        <f t="shared" si="90"/>
        <v>0</v>
      </c>
      <c r="MJ15" s="100">
        <f>SUMIFS('les arrets'!$G:$G,'les arrets'!$B:$B,KPI!MJ4,'les arrets'!$J:$J,"M, Planifié")</f>
        <v>0</v>
      </c>
      <c r="MK15" s="100">
        <f>SUMIFS('les arrets'!$G:$G,'les arrets'!$B:$B,KPI!MK4,'les arrets'!$J:$J,"M, Planifié")</f>
        <v>0</v>
      </c>
      <c r="ML15" s="100">
        <f>SUMIFS('les arrets'!$G:$G,'les arrets'!$B:$B,KPI!ML4,'les arrets'!$J:$J,"M, Planifié")</f>
        <v>0</v>
      </c>
      <c r="MM15" s="100">
        <f>SUMIFS('les arrets'!$G:$G,'les arrets'!$B:$B,KPI!MM4,'les arrets'!$J:$J,"M, Planifié")</f>
        <v>0</v>
      </c>
      <c r="MN15" s="100">
        <f>SUMIFS('les arrets'!$G:$G,'les arrets'!$B:$B,KPI!MN4,'les arrets'!$J:$J,"M, Planifié")</f>
        <v>0</v>
      </c>
      <c r="MO15" s="100">
        <f>SUMIFS('les arrets'!$G:$G,'les arrets'!$B:$B,KPI!MO4,'les arrets'!$J:$J,"M, Planifié")</f>
        <v>0</v>
      </c>
      <c r="MP15" s="100">
        <f>SUMIFS('les arrets'!$G:$G,'les arrets'!$B:$B,KPI!MP4,'les arrets'!$J:$J,"M, Planifié")</f>
        <v>0</v>
      </c>
      <c r="MQ15" s="100">
        <f t="shared" si="91"/>
        <v>0</v>
      </c>
      <c r="MR15" s="100">
        <f>SUMIFS('les arrets'!$G:$G,'les arrets'!$B:$B,KPI!MR4,'les arrets'!$J:$J,"M, Planifié")</f>
        <v>0</v>
      </c>
      <c r="MS15" s="100">
        <f>SUMIFS('les arrets'!$G:$G,'les arrets'!$B:$B,KPI!MS4,'les arrets'!$J:$J,"M, Planifié")</f>
        <v>0</v>
      </c>
      <c r="MT15" s="100">
        <f>SUMIFS('les arrets'!$G:$G,'les arrets'!$B:$B,KPI!MT4,'les arrets'!$J:$J,"M, Planifié")</f>
        <v>0</v>
      </c>
      <c r="MU15" s="100">
        <f>SUMIFS('les arrets'!$G:$G,'les arrets'!$B:$B,KPI!MU4,'les arrets'!$J:$J,"M, Planifié")</f>
        <v>0</v>
      </c>
      <c r="MV15" s="100">
        <f>SUMIFS('les arrets'!$G:$G,'les arrets'!$B:$B,KPI!MV4,'les arrets'!$J:$J,"M, Planifié")</f>
        <v>0</v>
      </c>
      <c r="MW15" s="100">
        <f>SUMIFS('les arrets'!$G:$G,'les arrets'!$B:$B,KPI!MW4,'les arrets'!$J:$J,"M, Planifié")</f>
        <v>0</v>
      </c>
      <c r="MX15" s="100">
        <f>SUMIFS('les arrets'!$G:$G,'les arrets'!$B:$B,KPI!MX4,'les arrets'!$J:$J,"M, Planifié")</f>
        <v>0</v>
      </c>
      <c r="MY15" s="100">
        <f t="shared" si="92"/>
        <v>0</v>
      </c>
      <c r="MZ15" s="100">
        <f>SUMIFS('les arrets'!$G:$G,'les arrets'!$B:$B,KPI!MZ4,'les arrets'!$J:$J,"M, Planifié")</f>
        <v>0</v>
      </c>
      <c r="NA15" s="100">
        <f>SUMIFS('les arrets'!$G:$G,'les arrets'!$B:$B,KPI!NA4,'les arrets'!$J:$J,"M, Planifié")</f>
        <v>0</v>
      </c>
      <c r="NB15" s="100">
        <f>SUMIFS('les arrets'!$G:$G,'les arrets'!$B:$B,KPI!NB4,'les arrets'!$J:$J,"M, Planifié")</f>
        <v>0</v>
      </c>
      <c r="NC15" s="100">
        <f>SUMIFS('les arrets'!$G:$G,'les arrets'!$B:$B,KPI!NC4,'les arrets'!$J:$J,"M, Planifié")</f>
        <v>0</v>
      </c>
      <c r="ND15" s="100">
        <f>SUMIFS('les arrets'!$G:$G,'les arrets'!$B:$B,KPI!ND4,'les arrets'!$J:$J,"M, Planifié")</f>
        <v>0</v>
      </c>
      <c r="NE15" s="100">
        <f>SUMIFS('les arrets'!$G:$G,'les arrets'!$B:$B,KPI!NE4,'les arrets'!$J:$J,"M, Planifié")</f>
        <v>0</v>
      </c>
      <c r="NF15" s="100">
        <f>SUMIFS('les arrets'!$G:$G,'les arrets'!$B:$B,KPI!NF4,'les arrets'!$J:$J,"M, Planifié")</f>
        <v>0</v>
      </c>
      <c r="NG15" s="100">
        <f t="shared" si="93"/>
        <v>0</v>
      </c>
      <c r="NH15" s="100">
        <f>SUMIFS('les arrets'!$G:$G,'les arrets'!$B:$B,KPI!NH4,'les arrets'!$J:$J,"M, Planifié")</f>
        <v>0</v>
      </c>
      <c r="NI15" s="100">
        <f>SUMIFS('les arrets'!$G:$G,'les arrets'!$B:$B,KPI!NI4,'les arrets'!$J:$J,"M, Planifié")</f>
        <v>0</v>
      </c>
      <c r="NJ15" s="100">
        <f>SUMIFS('les arrets'!$G:$G,'les arrets'!$B:$B,KPI!NJ4,'les arrets'!$J:$J,"M, Planifié")</f>
        <v>0</v>
      </c>
      <c r="NK15" s="100">
        <f>SUMIFS('les arrets'!$G:$G,'les arrets'!$B:$B,KPI!NK4,'les arrets'!$J:$J,"M, Planifié")</f>
        <v>0</v>
      </c>
      <c r="NL15" s="100">
        <f>SUMIFS('les arrets'!$G:$G,'les arrets'!$B:$B,KPI!NL4,'les arrets'!$J:$J,"M, Planifié")</f>
        <v>0</v>
      </c>
      <c r="NM15" s="100">
        <f>SUMIFS('les arrets'!$G:$G,'les arrets'!$B:$B,KPI!NM4,'les arrets'!$J:$J,"M, Planifié")</f>
        <v>0</v>
      </c>
      <c r="NN15" s="100">
        <f>SUMIFS('les arrets'!$G:$G,'les arrets'!$B:$B,KPI!NN4,'les arrets'!$J:$J,"M, Planifié")</f>
        <v>0</v>
      </c>
      <c r="NO15" s="100">
        <f t="shared" si="94"/>
        <v>0</v>
      </c>
      <c r="NP15" s="100">
        <f>SUMIFS('les arrets'!$G:$G,'les arrets'!$B:$B,KPI!NP4,'les arrets'!$J:$J,"M, Planifié")</f>
        <v>0</v>
      </c>
      <c r="NQ15" s="100">
        <f>SUMIFS('les arrets'!$G:$G,'les arrets'!$B:$B,KPI!NQ4,'les arrets'!$J:$J,"M, Planifié")</f>
        <v>0</v>
      </c>
      <c r="NR15" s="100">
        <f>SUMIFS('les arrets'!$G:$G,'les arrets'!$B:$B,KPI!NR4,'les arrets'!$J:$J,"M, Planifié")</f>
        <v>0</v>
      </c>
      <c r="NS15" s="100">
        <f>SUMIFS('les arrets'!$G:$G,'les arrets'!$B:$B,KPI!NS4,'les arrets'!$J:$J,"M, Planifié")</f>
        <v>0</v>
      </c>
      <c r="NT15" s="100">
        <f>SUMIFS('les arrets'!$G:$G,'les arrets'!$B:$B,KPI!NT4,'les arrets'!$J:$J,"M, Planifié")</f>
        <v>0</v>
      </c>
      <c r="NU15" s="100">
        <f>SUMIFS('les arrets'!$G:$G,'les arrets'!$B:$B,KPI!NU4,'les arrets'!$J:$J,"M, Planifié")</f>
        <v>0</v>
      </c>
      <c r="NV15" s="100">
        <f>SUMIFS('les arrets'!$G:$G,'les arrets'!$B:$B,KPI!NV4,'les arrets'!$J:$J,"M, Planifié")</f>
        <v>0</v>
      </c>
      <c r="NW15" s="100">
        <f t="shared" si="95"/>
        <v>0</v>
      </c>
    </row>
    <row r="16" spans="1:15679" ht="16.5" thickBot="1" x14ac:dyDescent="0.3">
      <c r="A16" s="593"/>
      <c r="B16" s="80"/>
      <c r="C16" s="90" t="s">
        <v>374</v>
      </c>
      <c r="D16" s="100">
        <f>SUMIFS('les arrets'!$G:$G,'les arrets'!$B:$B,KPI!D4,'les arrets'!$J:$J,"Extérieur")</f>
        <v>0</v>
      </c>
      <c r="E16" s="100">
        <f>SUMIFS('les arrets'!$G:$G,'les arrets'!$B:$B,KPI!E4,'les arrets'!$J:$J,"Extérieur")</f>
        <v>0</v>
      </c>
      <c r="F16" s="100">
        <f>SUMIFS('les arrets'!$G:$G,'les arrets'!$B:$B,KPI!F4,'les arrets'!$J:$J,"Extérieur")</f>
        <v>0</v>
      </c>
      <c r="G16" s="100">
        <f>SUMIFS('les arrets'!$G:$G,'les arrets'!$B:$B,KPI!G4,'les arrets'!$J:$J,"Extérieur")</f>
        <v>0</v>
      </c>
      <c r="H16" s="100">
        <f>SUMIFS('les arrets'!$G:$G,'les arrets'!$B:$B,KPI!H4,'les arrets'!$J:$J,"Extérieur")</f>
        <v>0</v>
      </c>
      <c r="I16" s="100">
        <f>SUMIFS('les arrets'!$G:$G,'les arrets'!$B:$B,KPI!I4,'les arrets'!$J:$J,"Extérieur")</f>
        <v>0</v>
      </c>
      <c r="J16" s="100">
        <f>SUMIFS('les arrets'!$G:$G,'les arrets'!$B:$B,KPI!J4,'les arrets'!$J:$J,"Extérieur")</f>
        <v>0</v>
      </c>
      <c r="K16" s="100">
        <f t="shared" si="96"/>
        <v>0</v>
      </c>
      <c r="L16" s="100">
        <f>SUMIFS('les arrets'!$G:$G,'les arrets'!$B:$B,KPI!L4,'les arrets'!$J:$J,"Extérieur")</f>
        <v>0</v>
      </c>
      <c r="M16" s="100">
        <f>SUMIFS('les arrets'!$G:$G,'les arrets'!$B:$B,KPI!M4,'les arrets'!$J:$J,"Extérieur")</f>
        <v>0</v>
      </c>
      <c r="N16" s="100">
        <f>SUMIFS('les arrets'!$G:$G,'les arrets'!$B:$B,KPI!N4,'les arrets'!$J:$J,"Extérieur")</f>
        <v>0</v>
      </c>
      <c r="O16" s="100">
        <f>SUMIFS('les arrets'!$G:$G,'les arrets'!$B:$B,KPI!O4,'les arrets'!$J:$J,"Extérieur")</f>
        <v>0</v>
      </c>
      <c r="P16" s="100">
        <f>SUMIFS('les arrets'!$G:$G,'les arrets'!$B:$B,KPI!P4,'les arrets'!$J:$J,"Extérieur")</f>
        <v>0</v>
      </c>
      <c r="Q16" s="100">
        <f>SUMIFS('les arrets'!$G:$G,'les arrets'!$B:$B,KPI!Q4,'les arrets'!$J:$J,"Extérieur")</f>
        <v>0</v>
      </c>
      <c r="R16" s="100">
        <f>SUMIFS('les arrets'!$G:$G,'les arrets'!$B:$B,KPI!R4,'les arrets'!$J:$J,"Extérieur")</f>
        <v>0</v>
      </c>
      <c r="S16" s="100">
        <f t="shared" si="49"/>
        <v>0</v>
      </c>
      <c r="T16" s="100">
        <f>SUMIFS('les arrets'!$G:$G,'les arrets'!$B:$B,KPI!T4,'les arrets'!$J:$J,"Extérieur")</f>
        <v>0</v>
      </c>
      <c r="U16" s="100">
        <f>SUMIFS('les arrets'!$G:$G,'les arrets'!$B:$B,KPI!U4,'les arrets'!$J:$J,"Extérieur")</f>
        <v>0</v>
      </c>
      <c r="V16" s="100">
        <f>SUMIFS('les arrets'!$G:$G,'les arrets'!$B:$B,KPI!V4,'les arrets'!$J:$J,"Extérieur")</f>
        <v>0</v>
      </c>
      <c r="W16" s="100">
        <f>SUMIFS('les arrets'!$G:$G,'les arrets'!$B:$B,KPI!W4,'les arrets'!$J:$J,"Extérieur")</f>
        <v>0</v>
      </c>
      <c r="X16" s="100">
        <f>SUMIFS('les arrets'!$G:$G,'les arrets'!$B:$B,KPI!X4,'les arrets'!$J:$J,"Extérieur")</f>
        <v>0</v>
      </c>
      <c r="Y16" s="100">
        <f>SUMIFS('les arrets'!$G:$G,'les arrets'!$B:$B,KPI!Y4,'les arrets'!$J:$J,"Extérieur")</f>
        <v>0</v>
      </c>
      <c r="Z16" s="100">
        <f>SUMIFS('les arrets'!$G:$G,'les arrets'!$B:$B,KPI!Z4,'les arrets'!$J:$J,"Extérieur")</f>
        <v>0</v>
      </c>
      <c r="AA16" s="100">
        <f t="shared" si="50"/>
        <v>0</v>
      </c>
      <c r="AB16" s="100">
        <f>SUMIFS('les arrets'!$G:$G,'les arrets'!$B:$B,KPI!AB4,'les arrets'!$J:$J,"Extérieur")</f>
        <v>0</v>
      </c>
      <c r="AC16" s="100">
        <f>SUMIFS('les arrets'!$G:$G,'les arrets'!$B:$B,KPI!AC4,'les arrets'!$J:$J,"Extérieur")</f>
        <v>0</v>
      </c>
      <c r="AD16" s="100">
        <f>SUMIFS('les arrets'!$G:$G,'les arrets'!$B:$B,KPI!AD4,'les arrets'!$J:$J,"Extérieur")</f>
        <v>0</v>
      </c>
      <c r="AE16" s="100">
        <f>SUMIFS('les arrets'!$G:$G,'les arrets'!$B:$B,KPI!AE4,'les arrets'!$J:$J,"Extérieur")</f>
        <v>0</v>
      </c>
      <c r="AF16" s="100">
        <f>SUMIFS('les arrets'!$G:$G,'les arrets'!$B:$B,KPI!AF4,'les arrets'!$J:$J,"Extérieur")</f>
        <v>0</v>
      </c>
      <c r="AG16" s="100">
        <f>SUMIFS('les arrets'!$G:$G,'les arrets'!$B:$B,KPI!AG4,'les arrets'!$J:$J,"Extérieur")</f>
        <v>0</v>
      </c>
      <c r="AH16" s="100">
        <f>SUMIFS('les arrets'!$G:$G,'les arrets'!$B:$B,KPI!AH4,'les arrets'!$J:$J,"Extérieur")</f>
        <v>0</v>
      </c>
      <c r="AI16" s="100">
        <f t="shared" si="51"/>
        <v>0</v>
      </c>
      <c r="AJ16" s="100">
        <f>SUMIFS('les arrets'!$G:$G,'les arrets'!$B:$B,KPI!AJ4,'les arrets'!$J:$J,"Extérieur")</f>
        <v>0</v>
      </c>
      <c r="AK16" s="100">
        <f>SUMIFS('les arrets'!$G:$G,'les arrets'!$B:$B,KPI!AK4,'les arrets'!$J:$J,"Extérieur")</f>
        <v>0</v>
      </c>
      <c r="AL16" s="100">
        <f>SUMIFS('les arrets'!$G:$G,'les arrets'!$B:$B,KPI!AL4,'les arrets'!$J:$J,"Extérieur")</f>
        <v>0</v>
      </c>
      <c r="AM16" s="100">
        <f>SUMIFS('les arrets'!$G:$G,'les arrets'!$B:$B,KPI!AM4,'les arrets'!$J:$J,"Extérieur")</f>
        <v>0</v>
      </c>
      <c r="AN16" s="100">
        <f>SUMIFS('les arrets'!$G:$G,'les arrets'!$B:$B,KPI!AN4,'les arrets'!$J:$J,"Extérieur")</f>
        <v>0</v>
      </c>
      <c r="AO16" s="100">
        <f>SUMIFS('les arrets'!$G:$G,'les arrets'!$B:$B,KPI!AO4,'les arrets'!$J:$J,"Extérieur")</f>
        <v>0</v>
      </c>
      <c r="AP16" s="100">
        <f>SUMIFS('les arrets'!$G:$G,'les arrets'!$B:$B,KPI!AP4,'les arrets'!$J:$J,"Extérieur")</f>
        <v>0</v>
      </c>
      <c r="AQ16" s="100">
        <f t="shared" si="52"/>
        <v>0</v>
      </c>
      <c r="AR16" s="100">
        <f>SUMIFS('les arrets'!$G:$G,'les arrets'!$B:$B,KPI!AR4,'les arrets'!$J:$J,"Extérieur")</f>
        <v>0</v>
      </c>
      <c r="AS16" s="100">
        <f>SUMIFS('les arrets'!$G:$G,'les arrets'!$B:$B,KPI!AS4,'les arrets'!$J:$J,"Extérieur")</f>
        <v>0</v>
      </c>
      <c r="AT16" s="100">
        <f>SUMIFS('les arrets'!$G:$G,'les arrets'!$B:$B,KPI!AT4,'les arrets'!$J:$J,"Extérieur")</f>
        <v>0</v>
      </c>
      <c r="AU16" s="100">
        <f>SUMIFS('les arrets'!$G:$G,'les arrets'!$B:$B,KPI!AU4,'les arrets'!$J:$J,"Extérieur")</f>
        <v>0</v>
      </c>
      <c r="AV16" s="100">
        <f>SUMIFS('les arrets'!$G:$G,'les arrets'!$B:$B,KPI!AV4,'les arrets'!$J:$J,"Extérieur")</f>
        <v>0</v>
      </c>
      <c r="AW16" s="100">
        <f>SUMIFS('les arrets'!$G:$G,'les arrets'!$B:$B,KPI!AW4,'les arrets'!$J:$J,"Extérieur")</f>
        <v>0</v>
      </c>
      <c r="AX16" s="100">
        <f>SUMIFS('les arrets'!$G:$G,'les arrets'!$B:$B,KPI!AX4,'les arrets'!$J:$J,"Extérieur")</f>
        <v>0</v>
      </c>
      <c r="AY16" s="100">
        <f t="shared" si="53"/>
        <v>0</v>
      </c>
      <c r="AZ16" s="100">
        <f>SUMIFS('les arrets'!$G:$G,'les arrets'!$B:$B,KPI!AZ4,'les arrets'!$J:$J,"Extérieur")</f>
        <v>0</v>
      </c>
      <c r="BA16" s="100">
        <f>SUMIFS('les arrets'!$G:$G,'les arrets'!$B:$B,KPI!BA4,'les arrets'!$J:$J,"Extérieur")</f>
        <v>0</v>
      </c>
      <c r="BB16" s="100">
        <f>SUMIFS('les arrets'!$G:$G,'les arrets'!$B:$B,KPI!BB4,'les arrets'!$J:$J,"Extérieur")</f>
        <v>0</v>
      </c>
      <c r="BC16" s="100">
        <f>SUMIFS('les arrets'!$G:$G,'les arrets'!$B:$B,KPI!BC4,'les arrets'!$J:$J,"Extérieur")</f>
        <v>0</v>
      </c>
      <c r="BD16" s="100">
        <f>SUMIFS('les arrets'!$G:$G,'les arrets'!$B:$B,KPI!BD4,'les arrets'!$J:$J,"Extérieur")</f>
        <v>0</v>
      </c>
      <c r="BE16" s="100">
        <f>SUMIFS('les arrets'!$G:$G,'les arrets'!$B:$B,KPI!BE4,'les arrets'!$J:$J,"Extérieur")</f>
        <v>0</v>
      </c>
      <c r="BF16" s="100">
        <f>SUMIFS('les arrets'!$G:$G,'les arrets'!$B:$B,KPI!BF4,'les arrets'!$J:$J,"Extérieur")</f>
        <v>0</v>
      </c>
      <c r="BG16" s="100">
        <f t="shared" si="54"/>
        <v>0</v>
      </c>
      <c r="BH16" s="100">
        <f>SUMIFS('les arrets'!$G:$G,'les arrets'!$B:$B,KPI!BH4,'les arrets'!$J:$J,"Extérieur")</f>
        <v>0</v>
      </c>
      <c r="BI16" s="100">
        <f>SUMIFS('les arrets'!$G:$G,'les arrets'!$B:$B,KPI!BI4,'les arrets'!$J:$J,"Extérieur")</f>
        <v>0</v>
      </c>
      <c r="BJ16" s="100">
        <f>SUMIFS('les arrets'!$G:$G,'les arrets'!$B:$B,KPI!BJ4,'les arrets'!$J:$J,"Extérieur")</f>
        <v>0</v>
      </c>
      <c r="BK16" s="100">
        <f>SUMIFS('les arrets'!$G:$G,'les arrets'!$B:$B,KPI!BK4,'les arrets'!$J:$J,"Extérieur")</f>
        <v>0</v>
      </c>
      <c r="BL16" s="100">
        <f>SUMIFS('les arrets'!$G:$G,'les arrets'!$B:$B,KPI!BL4,'les arrets'!$J:$J,"Extérieur")</f>
        <v>0</v>
      </c>
      <c r="BM16" s="100">
        <f>SUMIFS('les arrets'!$G:$G,'les arrets'!$B:$B,KPI!BM4,'les arrets'!$J:$J,"Extérieur")</f>
        <v>0</v>
      </c>
      <c r="BN16" s="100">
        <f>SUMIFS('les arrets'!$G:$G,'les arrets'!$B:$B,KPI!BN4,'les arrets'!$J:$J,"Extérieur")</f>
        <v>0</v>
      </c>
      <c r="BO16" s="100">
        <f t="shared" si="55"/>
        <v>0</v>
      </c>
      <c r="BP16" s="100">
        <f>SUMIFS('les arrets'!$G:$G,'les arrets'!$B:$B,KPI!BP4,'les arrets'!$J:$J,"Extérieur")</f>
        <v>0</v>
      </c>
      <c r="BQ16" s="100">
        <f>SUMIFS('les arrets'!$G:$G,'les arrets'!$B:$B,KPI!BQ4,'les arrets'!$J:$J,"Extérieur")</f>
        <v>0</v>
      </c>
      <c r="BR16" s="100">
        <f>SUMIFS('les arrets'!$G:$G,'les arrets'!$B:$B,KPI!BR4,'les arrets'!$J:$J,"Extérieur")</f>
        <v>0</v>
      </c>
      <c r="BS16" s="100">
        <f>SUMIFS('les arrets'!$G:$G,'les arrets'!$B:$B,KPI!BS4,'les arrets'!$J:$J,"Extérieur")</f>
        <v>0</v>
      </c>
      <c r="BT16" s="100">
        <f>SUMIFS('les arrets'!$G:$G,'les arrets'!$B:$B,KPI!BT4,'les arrets'!$J:$J,"Extérieur")</f>
        <v>0</v>
      </c>
      <c r="BU16" s="100">
        <f>SUMIFS('les arrets'!$G:$G,'les arrets'!$B:$B,KPI!BU4,'les arrets'!$J:$J,"Extérieur")</f>
        <v>0</v>
      </c>
      <c r="BV16" s="100">
        <f>SUMIFS('les arrets'!$G:$G,'les arrets'!$B:$B,KPI!BV4,'les arrets'!$J:$J,"Extérieur")</f>
        <v>0</v>
      </c>
      <c r="BW16" s="100">
        <f t="shared" si="56"/>
        <v>0</v>
      </c>
      <c r="BX16" s="100">
        <f>SUMIFS('les arrets'!$G:$G,'les arrets'!$B:$B,KPI!BX4,'les arrets'!$J:$J,"Extérieur")</f>
        <v>0</v>
      </c>
      <c r="BY16" s="100">
        <f>SUMIFS('les arrets'!$G:$G,'les arrets'!$B:$B,KPI!BY4,'les arrets'!$J:$J,"Extérieur")</f>
        <v>0</v>
      </c>
      <c r="BZ16" s="100">
        <f>SUMIFS('les arrets'!$G:$G,'les arrets'!$B:$B,KPI!BZ4,'les arrets'!$J:$J,"Extérieur")</f>
        <v>0</v>
      </c>
      <c r="CA16" s="100">
        <f>SUMIFS('les arrets'!$G:$G,'les arrets'!$B:$B,KPI!CA4,'les arrets'!$J:$J,"Extérieur")</f>
        <v>0</v>
      </c>
      <c r="CB16" s="100">
        <f>SUMIFS('les arrets'!$G:$G,'les arrets'!$B:$B,KPI!CB4,'les arrets'!$J:$J,"Extérieur")</f>
        <v>0</v>
      </c>
      <c r="CC16" s="100">
        <f>SUMIFS('les arrets'!$G:$G,'les arrets'!$B:$B,KPI!CC4,'les arrets'!$J:$J,"Extérieur")</f>
        <v>0</v>
      </c>
      <c r="CD16" s="100">
        <f>SUMIFS('les arrets'!$G:$G,'les arrets'!$B:$B,KPI!CD4,'les arrets'!$J:$J,"Extérieur")</f>
        <v>0</v>
      </c>
      <c r="CE16" s="100">
        <f t="shared" si="57"/>
        <v>0</v>
      </c>
      <c r="CF16" s="100">
        <f>SUMIFS('les arrets'!$G:$G,'les arrets'!$B:$B,KPI!CF4,'les arrets'!$J:$J,"Extérieur")</f>
        <v>0</v>
      </c>
      <c r="CG16" s="100">
        <f>SUMIFS('les arrets'!$G:$G,'les arrets'!$B:$B,KPI!CG4,'les arrets'!$J:$J,"Extérieur")</f>
        <v>0</v>
      </c>
      <c r="CH16" s="100">
        <f>SUMIFS('les arrets'!$G:$G,'les arrets'!$B:$B,KPI!CH4,'les arrets'!$J:$J,"Extérieur")</f>
        <v>0</v>
      </c>
      <c r="CI16" s="100">
        <f>SUMIFS('les arrets'!$G:$G,'les arrets'!$B:$B,KPI!CI4,'les arrets'!$J:$J,"Extérieur")</f>
        <v>0</v>
      </c>
      <c r="CJ16" s="100">
        <f>SUMIFS('les arrets'!$G:$G,'les arrets'!$B:$B,KPI!CJ4,'les arrets'!$J:$J,"Extérieur")</f>
        <v>0</v>
      </c>
      <c r="CK16" s="100">
        <f>SUMIFS('les arrets'!$G:$G,'les arrets'!$B:$B,KPI!CK4,'les arrets'!$J:$J,"Extérieur")</f>
        <v>0</v>
      </c>
      <c r="CL16" s="100">
        <f>SUMIFS('les arrets'!$G:$G,'les arrets'!$B:$B,KPI!CL4,'les arrets'!$J:$J,"Extérieur")</f>
        <v>0</v>
      </c>
      <c r="CM16" s="100">
        <f t="shared" si="58"/>
        <v>0</v>
      </c>
      <c r="CN16" s="100">
        <f>SUMIFS('les arrets'!$G:$G,'les arrets'!$B:$B,KPI!CN4,'les arrets'!$J:$J,"Extérieur")</f>
        <v>0</v>
      </c>
      <c r="CO16" s="100">
        <f>SUMIFS('les arrets'!$G:$G,'les arrets'!$B:$B,KPI!CO4,'les arrets'!$J:$J,"Extérieur")</f>
        <v>0</v>
      </c>
      <c r="CP16" s="100">
        <f>SUMIFS('les arrets'!$G:$G,'les arrets'!$B:$B,KPI!CP4,'les arrets'!$J:$J,"Extérieur")</f>
        <v>0</v>
      </c>
      <c r="CQ16" s="100">
        <f>SUMIFS('les arrets'!$G:$G,'les arrets'!$B:$B,KPI!CQ4,'les arrets'!$J:$J,"Extérieur")</f>
        <v>0</v>
      </c>
      <c r="CR16" s="100">
        <f>SUMIFS('les arrets'!$G:$G,'les arrets'!$B:$B,KPI!CR4,'les arrets'!$J:$J,"Extérieur")</f>
        <v>0</v>
      </c>
      <c r="CS16" s="100">
        <f>SUMIFS('les arrets'!$G:$G,'les arrets'!$B:$B,KPI!CS4,'les arrets'!$J:$J,"Extérieur")</f>
        <v>0</v>
      </c>
      <c r="CT16" s="100">
        <f>SUMIFS('les arrets'!$G:$G,'les arrets'!$B:$B,KPI!CT4,'les arrets'!$J:$J,"Extérieur")</f>
        <v>0</v>
      </c>
      <c r="CU16" s="100">
        <f t="shared" si="59"/>
        <v>0</v>
      </c>
      <c r="CV16" s="100">
        <f>SUMIFS('les arrets'!$G:$G,'les arrets'!$B:$B,KPI!CV4,'les arrets'!$J:$J,"Extérieur")</f>
        <v>0</v>
      </c>
      <c r="CW16" s="100">
        <f>SUMIFS('les arrets'!$G:$G,'les arrets'!$B:$B,KPI!CW4,'les arrets'!$J:$J,"Extérieur")</f>
        <v>0</v>
      </c>
      <c r="CX16" s="100">
        <f>SUMIFS('les arrets'!$G:$G,'les arrets'!$B:$B,KPI!CX4,'les arrets'!$J:$J,"Extérieur")</f>
        <v>0</v>
      </c>
      <c r="CY16" s="100">
        <f>SUMIFS('les arrets'!$G:$G,'les arrets'!$B:$B,KPI!CY4,'les arrets'!$J:$J,"Extérieur")</f>
        <v>0</v>
      </c>
      <c r="CZ16" s="100">
        <f>SUMIFS('les arrets'!$G:$G,'les arrets'!$B:$B,KPI!CZ4,'les arrets'!$J:$J,"Extérieur")</f>
        <v>0</v>
      </c>
      <c r="DA16" s="100">
        <f>SUMIFS('les arrets'!$G:$G,'les arrets'!$B:$B,KPI!DA4,'les arrets'!$J:$J,"Extérieur")</f>
        <v>0</v>
      </c>
      <c r="DB16" s="100">
        <f>SUMIFS('les arrets'!$G:$G,'les arrets'!$B:$B,KPI!DB4,'les arrets'!$J:$J,"Extérieur")</f>
        <v>0</v>
      </c>
      <c r="DC16" s="100">
        <f t="shared" si="60"/>
        <v>0</v>
      </c>
      <c r="DD16" s="100">
        <f>SUMIFS('les arrets'!$G:$G,'les arrets'!$B:$B,KPI!DD4,'les arrets'!$J:$J,"Extérieur")</f>
        <v>0</v>
      </c>
      <c r="DE16" s="100">
        <f>SUMIFS('les arrets'!$G:$G,'les arrets'!$B:$B,KPI!DE4,'les arrets'!$J:$J,"Extérieur")</f>
        <v>0</v>
      </c>
      <c r="DF16" s="100">
        <f>SUMIFS('les arrets'!$G:$G,'les arrets'!$B:$B,KPI!DF4,'les arrets'!$J:$J,"Extérieur")</f>
        <v>0</v>
      </c>
      <c r="DG16" s="100">
        <f>SUMIFS('les arrets'!$G:$G,'les arrets'!$B:$B,KPI!DG4,'les arrets'!$J:$J,"Extérieur")</f>
        <v>0</v>
      </c>
      <c r="DH16" s="100">
        <f>SUMIFS('les arrets'!$G:$G,'les arrets'!$B:$B,KPI!DH4,'les arrets'!$J:$J,"Extérieur")</f>
        <v>0</v>
      </c>
      <c r="DI16" s="100">
        <f>SUMIFS('les arrets'!$G:$G,'les arrets'!$B:$B,KPI!DI4,'les arrets'!$J:$J,"Extérieur")</f>
        <v>0</v>
      </c>
      <c r="DJ16" s="100">
        <f>SUMIFS('les arrets'!$G:$G,'les arrets'!$B:$B,KPI!DJ4,'les arrets'!$J:$J,"Extérieur")</f>
        <v>0</v>
      </c>
      <c r="DK16" s="100">
        <f t="shared" si="61"/>
        <v>0</v>
      </c>
      <c r="DL16" s="100">
        <f>SUMIFS('les arrets'!$G:$G,'les arrets'!$B:$B,KPI!DL4,'les arrets'!$J:$J,"Extérieur")</f>
        <v>0</v>
      </c>
      <c r="DM16" s="100">
        <f>SUMIFS('les arrets'!$G:$G,'les arrets'!$B:$B,KPI!DM4,'les arrets'!$J:$J,"Extérieur")</f>
        <v>0</v>
      </c>
      <c r="DN16" s="100">
        <f>SUMIFS('les arrets'!$G:$G,'les arrets'!$B:$B,KPI!DN4,'les arrets'!$J:$J,"Extérieur")</f>
        <v>0</v>
      </c>
      <c r="DO16" s="100">
        <f>SUMIFS('les arrets'!$G:$G,'les arrets'!$B:$B,KPI!DO4,'les arrets'!$J:$J,"Extérieur")</f>
        <v>0</v>
      </c>
      <c r="DP16" s="100">
        <f>SUMIFS('les arrets'!$G:$G,'les arrets'!$B:$B,KPI!DP4,'les arrets'!$J:$J,"Extérieur")</f>
        <v>0</v>
      </c>
      <c r="DQ16" s="100">
        <f>SUMIFS('les arrets'!$G:$G,'les arrets'!$B:$B,KPI!DQ4,'les arrets'!$J:$J,"Extérieur")</f>
        <v>0</v>
      </c>
      <c r="DR16" s="100">
        <f>SUMIFS('les arrets'!$G:$G,'les arrets'!$B:$B,KPI!DR4,'les arrets'!$J:$J,"Extérieur")</f>
        <v>0</v>
      </c>
      <c r="DS16" s="100">
        <f t="shared" si="62"/>
        <v>0</v>
      </c>
      <c r="DT16" s="100">
        <f>SUMIFS('les arrets'!$G:$G,'les arrets'!$B:$B,KPI!DT4,'les arrets'!$J:$J,"Extérieur")</f>
        <v>0</v>
      </c>
      <c r="DU16" s="100">
        <f>SUMIFS('les arrets'!$G:$G,'les arrets'!$B:$B,KPI!DU4,'les arrets'!$J:$J,"Extérieur")</f>
        <v>0</v>
      </c>
      <c r="DV16" s="100">
        <f>SUMIFS('les arrets'!$G:$G,'les arrets'!$B:$B,KPI!DV4,'les arrets'!$J:$J,"Extérieur")</f>
        <v>0</v>
      </c>
      <c r="DW16" s="100">
        <f>SUMIFS('les arrets'!$G:$G,'les arrets'!$B:$B,KPI!DW4,'les arrets'!$J:$J,"Extérieur")</f>
        <v>0</v>
      </c>
      <c r="DX16" s="100">
        <f>SUMIFS('les arrets'!$G:$G,'les arrets'!$B:$B,KPI!DX4,'les arrets'!$J:$J,"Extérieur")</f>
        <v>0</v>
      </c>
      <c r="DY16" s="100">
        <f>SUMIFS('les arrets'!$G:$G,'les arrets'!$B:$B,KPI!DY4,'les arrets'!$J:$J,"Extérieur")</f>
        <v>0</v>
      </c>
      <c r="DZ16" s="100">
        <f>SUMIFS('les arrets'!$G:$G,'les arrets'!$B:$B,KPI!DZ4,'les arrets'!$J:$J,"Extérieur")</f>
        <v>0</v>
      </c>
      <c r="EA16" s="100">
        <f t="shared" si="63"/>
        <v>0</v>
      </c>
      <c r="EB16" s="100">
        <f>SUMIFS('les arrets'!$G:$G,'les arrets'!$B:$B,KPI!EB4,'les arrets'!$J:$J,"Extérieur")</f>
        <v>0</v>
      </c>
      <c r="EC16" s="100">
        <f>SUMIFS('les arrets'!$G:$G,'les arrets'!$B:$B,KPI!EC4,'les arrets'!$J:$J,"Extérieur")</f>
        <v>0</v>
      </c>
      <c r="ED16" s="100">
        <f>SUMIFS('les arrets'!$G:$G,'les arrets'!$B:$B,KPI!ED4,'les arrets'!$J:$J,"Extérieur")</f>
        <v>0</v>
      </c>
      <c r="EE16" s="100">
        <f>SUMIFS('les arrets'!$G:$G,'les arrets'!$B:$B,KPI!EE4,'les arrets'!$J:$J,"Extérieur")</f>
        <v>0</v>
      </c>
      <c r="EF16" s="100">
        <f>SUMIFS('les arrets'!$G:$G,'les arrets'!$B:$B,KPI!EF4,'les arrets'!$J:$J,"Extérieur")</f>
        <v>0</v>
      </c>
      <c r="EG16" s="100">
        <f>SUMIFS('les arrets'!$G:$G,'les arrets'!$B:$B,KPI!EG4,'les arrets'!$J:$J,"Extérieur")</f>
        <v>0</v>
      </c>
      <c r="EH16" s="100">
        <f>SUMIFS('les arrets'!$G:$G,'les arrets'!$B:$B,KPI!EH4,'les arrets'!$J:$J,"Extérieur")</f>
        <v>0</v>
      </c>
      <c r="EI16" s="100">
        <f t="shared" si="64"/>
        <v>0</v>
      </c>
      <c r="EJ16" s="100">
        <f>SUMIFS('les arrets'!$G:$G,'les arrets'!$B:$B,KPI!EJ4,'les arrets'!$J:$J,"Extérieur")</f>
        <v>0</v>
      </c>
      <c r="EK16" s="100">
        <f>SUMIFS('les arrets'!$G:$G,'les arrets'!$B:$B,KPI!EK4,'les arrets'!$J:$J,"Extérieur")</f>
        <v>0</v>
      </c>
      <c r="EL16" s="100">
        <f>SUMIFS('les arrets'!$G:$G,'les arrets'!$B:$B,KPI!EL4,'les arrets'!$J:$J,"Extérieur")</f>
        <v>0</v>
      </c>
      <c r="EM16" s="100">
        <f>SUMIFS('les arrets'!$G:$G,'les arrets'!$B:$B,KPI!EM4,'les arrets'!$J:$J,"Extérieur")</f>
        <v>0</v>
      </c>
      <c r="EN16" s="100">
        <f>SUMIFS('les arrets'!$G:$G,'les arrets'!$B:$B,KPI!EN4,'les arrets'!$J:$J,"Extérieur")</f>
        <v>0</v>
      </c>
      <c r="EO16" s="100">
        <f>SUMIFS('les arrets'!$G:$G,'les arrets'!$B:$B,KPI!EO4,'les arrets'!$J:$J,"Extérieur")</f>
        <v>0</v>
      </c>
      <c r="EP16" s="100">
        <f>SUMIFS('les arrets'!$G:$G,'les arrets'!$B:$B,KPI!EP4,'les arrets'!$J:$J,"Extérieur")</f>
        <v>0</v>
      </c>
      <c r="EQ16" s="100">
        <f t="shared" si="65"/>
        <v>0</v>
      </c>
      <c r="ER16" s="100">
        <f>SUMIFS('les arrets'!$G:$G,'les arrets'!$B:$B,KPI!ER4,'les arrets'!$J:$J,"Extérieur")</f>
        <v>0</v>
      </c>
      <c r="ES16" s="100">
        <f>SUMIFS('les arrets'!$G:$G,'les arrets'!$B:$B,KPI!ES4,'les arrets'!$J:$J,"Extérieur")</f>
        <v>0</v>
      </c>
      <c r="ET16" s="100">
        <f>SUMIFS('les arrets'!$G:$G,'les arrets'!$B:$B,KPI!ET4,'les arrets'!$J:$J,"Extérieur")</f>
        <v>0</v>
      </c>
      <c r="EU16" s="100">
        <f>SUMIFS('les arrets'!$G:$G,'les arrets'!$B:$B,KPI!EU4,'les arrets'!$J:$J,"Extérieur")</f>
        <v>0</v>
      </c>
      <c r="EV16" s="100">
        <f>SUMIFS('les arrets'!$G:$G,'les arrets'!$B:$B,KPI!EV4,'les arrets'!$J:$J,"Extérieur")</f>
        <v>0</v>
      </c>
      <c r="EW16" s="100">
        <f>SUMIFS('les arrets'!$G:$G,'les arrets'!$B:$B,KPI!EW4,'les arrets'!$J:$J,"Extérieur")</f>
        <v>0</v>
      </c>
      <c r="EX16" s="100">
        <f>SUMIFS('les arrets'!$G:$G,'les arrets'!$B:$B,KPI!EX4,'les arrets'!$J:$J,"Extérieur")</f>
        <v>0</v>
      </c>
      <c r="EY16" s="100">
        <f t="shared" si="66"/>
        <v>0</v>
      </c>
      <c r="EZ16" s="100">
        <f>SUMIFS('les arrets'!$G:$G,'les arrets'!$B:$B,KPI!EZ4,'les arrets'!$J:$J,"Extérieur")</f>
        <v>0</v>
      </c>
      <c r="FA16" s="100">
        <f>SUMIFS('les arrets'!$G:$G,'les arrets'!$B:$B,KPI!FA4,'les arrets'!$J:$J,"Extérieur")</f>
        <v>0</v>
      </c>
      <c r="FB16" s="100">
        <f>SUMIFS('les arrets'!$G:$G,'les arrets'!$B:$B,KPI!FB4,'les arrets'!$J:$J,"Extérieur")</f>
        <v>0</v>
      </c>
      <c r="FC16" s="100">
        <f>SUMIFS('les arrets'!$G:$G,'les arrets'!$B:$B,KPI!FC4,'les arrets'!$J:$J,"Extérieur")</f>
        <v>0</v>
      </c>
      <c r="FD16" s="100">
        <f>SUMIFS('les arrets'!$G:$G,'les arrets'!$B:$B,KPI!FD4,'les arrets'!$J:$J,"Extérieur")</f>
        <v>0</v>
      </c>
      <c r="FE16" s="100">
        <f>SUMIFS('les arrets'!$G:$G,'les arrets'!$B:$B,KPI!FE4,'les arrets'!$J:$J,"Extérieur")</f>
        <v>0</v>
      </c>
      <c r="FF16" s="100">
        <f>SUMIFS('les arrets'!$G:$G,'les arrets'!$B:$B,KPI!FF4,'les arrets'!$J:$J,"Extérieur")</f>
        <v>0</v>
      </c>
      <c r="FG16" s="100">
        <f t="shared" si="67"/>
        <v>0</v>
      </c>
      <c r="FH16" s="100">
        <f>SUMIFS('les arrets'!$G:$G,'les arrets'!$B:$B,KPI!FH4,'les arrets'!$J:$J,"Extérieur")</f>
        <v>0</v>
      </c>
      <c r="FI16" s="100">
        <f>SUMIFS('les arrets'!$G:$G,'les arrets'!$B:$B,KPI!FI4,'les arrets'!$J:$J,"Extérieur")</f>
        <v>0</v>
      </c>
      <c r="FJ16" s="100">
        <f>SUMIFS('les arrets'!$G:$G,'les arrets'!$B:$B,KPI!FJ4,'les arrets'!$J:$J,"Extérieur")</f>
        <v>0</v>
      </c>
      <c r="FK16" s="100">
        <f>SUMIFS('les arrets'!$G:$G,'les arrets'!$B:$B,KPI!FK4,'les arrets'!$J:$J,"Extérieur")</f>
        <v>0</v>
      </c>
      <c r="FL16" s="100">
        <f>SUMIFS('les arrets'!$G:$G,'les arrets'!$B:$B,KPI!FL4,'les arrets'!$J:$J,"Extérieur")</f>
        <v>0</v>
      </c>
      <c r="FM16" s="100">
        <f>SUMIFS('les arrets'!$G:$G,'les arrets'!$B:$B,KPI!FM4,'les arrets'!$J:$J,"Extérieur")</f>
        <v>0</v>
      </c>
      <c r="FN16" s="100">
        <f>SUMIFS('les arrets'!$G:$G,'les arrets'!$B:$B,KPI!FN4,'les arrets'!$J:$J,"Extérieur")</f>
        <v>0</v>
      </c>
      <c r="FO16" s="100">
        <f t="shared" si="68"/>
        <v>0</v>
      </c>
      <c r="FP16" s="100">
        <f>SUMIFS('les arrets'!$G:$G,'les arrets'!$B:$B,KPI!FP4,'les arrets'!$J:$J,"Extérieur")</f>
        <v>0</v>
      </c>
      <c r="FQ16" s="100">
        <f>SUMIFS('les arrets'!$G:$G,'les arrets'!$B:$B,KPI!FQ4,'les arrets'!$J:$J,"Extérieur")</f>
        <v>0</v>
      </c>
      <c r="FR16" s="100">
        <f>SUMIFS('les arrets'!$G:$G,'les arrets'!$B:$B,KPI!FR4,'les arrets'!$J:$J,"Extérieur")</f>
        <v>0</v>
      </c>
      <c r="FS16" s="100">
        <f>SUMIFS('les arrets'!$G:$G,'les arrets'!$B:$B,KPI!FS4,'les arrets'!$J:$J,"Extérieur")</f>
        <v>0</v>
      </c>
      <c r="FT16" s="100">
        <f>SUMIFS('les arrets'!$G:$G,'les arrets'!$B:$B,KPI!FT4,'les arrets'!$J:$J,"Extérieur")</f>
        <v>0</v>
      </c>
      <c r="FU16" s="100">
        <f>SUMIFS('les arrets'!$G:$G,'les arrets'!$B:$B,KPI!FU4,'les arrets'!$J:$J,"Extérieur")</f>
        <v>0</v>
      </c>
      <c r="FV16" s="100">
        <f>SUMIFS('les arrets'!$G:$G,'les arrets'!$B:$B,KPI!FV4,'les arrets'!$J:$J,"Extérieur")</f>
        <v>0</v>
      </c>
      <c r="FW16" s="100">
        <f t="shared" si="69"/>
        <v>0</v>
      </c>
      <c r="FX16" s="100">
        <f>SUMIFS('les arrets'!$G:$G,'les arrets'!$B:$B,KPI!FX4,'les arrets'!$J:$J,"Extérieur")</f>
        <v>0</v>
      </c>
      <c r="FY16" s="100">
        <f>SUMIFS('les arrets'!$G:$G,'les arrets'!$B:$B,KPI!FY4,'les arrets'!$J:$J,"Extérieur")</f>
        <v>0</v>
      </c>
      <c r="FZ16" s="100">
        <f>SUMIFS('les arrets'!$G:$G,'les arrets'!$B:$B,KPI!FZ4,'les arrets'!$J:$J,"Extérieur")</f>
        <v>0</v>
      </c>
      <c r="GA16" s="100">
        <f>SUMIFS('les arrets'!$G:$G,'les arrets'!$B:$B,KPI!GA4,'les arrets'!$J:$J,"Extérieur")</f>
        <v>0</v>
      </c>
      <c r="GB16" s="100">
        <f>SUMIFS('les arrets'!$G:$G,'les arrets'!$B:$B,KPI!GB4,'les arrets'!$J:$J,"Extérieur")</f>
        <v>0</v>
      </c>
      <c r="GC16" s="100">
        <f>SUMIFS('les arrets'!$G:$G,'les arrets'!$B:$B,KPI!GC4,'les arrets'!$J:$J,"Extérieur")</f>
        <v>0</v>
      </c>
      <c r="GD16" s="100">
        <f>SUMIFS('les arrets'!$G:$G,'les arrets'!$B:$B,KPI!GD4,'les arrets'!$J:$J,"Extérieur")</f>
        <v>0</v>
      </c>
      <c r="GE16" s="100">
        <f t="shared" si="70"/>
        <v>0</v>
      </c>
      <c r="GF16" s="100">
        <f>SUMIFS('les arrets'!$G:$G,'les arrets'!$B:$B,KPI!GF4,'les arrets'!$J:$J,"Extérieur")</f>
        <v>0</v>
      </c>
      <c r="GG16" s="100">
        <f>SUMIFS('les arrets'!$G:$G,'les arrets'!$B:$B,KPI!GG4,'les arrets'!$J:$J,"Extérieur")</f>
        <v>0</v>
      </c>
      <c r="GH16" s="100">
        <f>SUMIFS('les arrets'!$G:$G,'les arrets'!$B:$B,KPI!GH4,'les arrets'!$J:$J,"Extérieur")</f>
        <v>0</v>
      </c>
      <c r="GI16" s="100">
        <f>SUMIFS('les arrets'!$G:$G,'les arrets'!$B:$B,KPI!GI4,'les arrets'!$J:$J,"Extérieur")</f>
        <v>0</v>
      </c>
      <c r="GJ16" s="100">
        <f>SUMIFS('les arrets'!$G:$G,'les arrets'!$B:$B,KPI!GJ4,'les arrets'!$J:$J,"Extérieur")</f>
        <v>0</v>
      </c>
      <c r="GK16" s="100">
        <f>SUMIFS('les arrets'!$G:$G,'les arrets'!$B:$B,KPI!GK4,'les arrets'!$J:$J,"Extérieur")</f>
        <v>0</v>
      </c>
      <c r="GL16" s="100">
        <f>SUMIFS('les arrets'!$G:$G,'les arrets'!$B:$B,KPI!GL4,'les arrets'!$J:$J,"Extérieur")</f>
        <v>0</v>
      </c>
      <c r="GM16" s="100">
        <f t="shared" si="71"/>
        <v>0</v>
      </c>
      <c r="GN16" s="100">
        <f>SUMIFS('les arrets'!$G:$G,'les arrets'!$B:$B,KPI!GN4,'les arrets'!$J:$J,"Extérieur")</f>
        <v>0</v>
      </c>
      <c r="GO16" s="100">
        <f>SUMIFS('les arrets'!$G:$G,'les arrets'!$B:$B,KPI!GO4,'les arrets'!$J:$J,"Extérieur")</f>
        <v>0</v>
      </c>
      <c r="GP16" s="100">
        <f>SUMIFS('les arrets'!$G:$G,'les arrets'!$B:$B,KPI!GP4,'les arrets'!$J:$J,"Extérieur")</f>
        <v>0</v>
      </c>
      <c r="GQ16" s="100">
        <f>SUMIFS('les arrets'!$G:$G,'les arrets'!$B:$B,KPI!GQ4,'les arrets'!$J:$J,"Extérieur")</f>
        <v>0</v>
      </c>
      <c r="GR16" s="100">
        <f>SUMIFS('les arrets'!$G:$G,'les arrets'!$B:$B,KPI!GR4,'les arrets'!$J:$J,"Extérieur")</f>
        <v>0</v>
      </c>
      <c r="GS16" s="100">
        <f>SUMIFS('les arrets'!$G:$G,'les arrets'!$B:$B,KPI!GS4,'les arrets'!$J:$J,"Extérieur")</f>
        <v>0</v>
      </c>
      <c r="GT16" s="100">
        <f>SUMIFS('les arrets'!$G:$G,'les arrets'!$B:$B,KPI!GT4,'les arrets'!$J:$J,"Extérieur")</f>
        <v>0</v>
      </c>
      <c r="GU16" s="100">
        <f t="shared" si="72"/>
        <v>0</v>
      </c>
      <c r="GV16" s="100">
        <f>SUMIFS('les arrets'!$G:$G,'les arrets'!$B:$B,KPI!GV4,'les arrets'!$J:$J,"Extérieur")</f>
        <v>0</v>
      </c>
      <c r="GW16" s="100">
        <f>SUMIFS('les arrets'!$G:$G,'les arrets'!$B:$B,KPI!GW4,'les arrets'!$J:$J,"Extérieur")</f>
        <v>0</v>
      </c>
      <c r="GX16" s="100">
        <f>SUMIFS('les arrets'!$G:$G,'les arrets'!$B:$B,KPI!GX4,'les arrets'!$J:$J,"Extérieur")</f>
        <v>0</v>
      </c>
      <c r="GY16" s="100">
        <f>SUMIFS('les arrets'!$G:$G,'les arrets'!$B:$B,KPI!GY4,'les arrets'!$J:$J,"Extérieur")</f>
        <v>0</v>
      </c>
      <c r="GZ16" s="100">
        <f>SUMIFS('les arrets'!$G:$G,'les arrets'!$B:$B,KPI!GZ4,'les arrets'!$J:$J,"Extérieur")</f>
        <v>0</v>
      </c>
      <c r="HA16" s="100">
        <f>SUMIFS('les arrets'!$G:$G,'les arrets'!$B:$B,KPI!HA4,'les arrets'!$J:$J,"Extérieur")</f>
        <v>0</v>
      </c>
      <c r="HB16" s="100">
        <f>SUMIFS('les arrets'!$G:$G,'les arrets'!$B:$B,KPI!HB4,'les arrets'!$J:$J,"Extérieur")</f>
        <v>0</v>
      </c>
      <c r="HC16" s="100">
        <f t="shared" si="73"/>
        <v>0</v>
      </c>
      <c r="HD16" s="100">
        <f>SUMIFS('les arrets'!$G:$G,'les arrets'!$B:$B,KPI!HD4,'les arrets'!$J:$J,"Extérieur")</f>
        <v>0</v>
      </c>
      <c r="HE16" s="100">
        <f>SUMIFS('les arrets'!$G:$G,'les arrets'!$B:$B,KPI!HE4,'les arrets'!$J:$J,"Extérieur")</f>
        <v>0</v>
      </c>
      <c r="HF16" s="100">
        <f>SUMIFS('les arrets'!$G:$G,'les arrets'!$B:$B,KPI!HF4,'les arrets'!$J:$J,"Extérieur")</f>
        <v>0</v>
      </c>
      <c r="HG16" s="100">
        <f>SUMIFS('les arrets'!$G:$G,'les arrets'!$B:$B,KPI!HG4,'les arrets'!$J:$J,"Extérieur")</f>
        <v>0</v>
      </c>
      <c r="HH16" s="100">
        <f>SUMIFS('les arrets'!$G:$G,'les arrets'!$B:$B,KPI!HH4,'les arrets'!$J:$J,"Extérieur")</f>
        <v>0</v>
      </c>
      <c r="HI16" s="100">
        <f>SUMIFS('les arrets'!$G:$G,'les arrets'!$B:$B,KPI!HI4,'les arrets'!$J:$J,"Extérieur")</f>
        <v>0</v>
      </c>
      <c r="HJ16" s="100">
        <f>SUMIFS('les arrets'!$G:$G,'les arrets'!$B:$B,KPI!HJ4,'les arrets'!$J:$J,"Extérieur")</f>
        <v>0</v>
      </c>
      <c r="HK16" s="100">
        <f t="shared" si="74"/>
        <v>0</v>
      </c>
      <c r="HL16" s="100">
        <f>SUMIFS('les arrets'!$G:$G,'les arrets'!$B:$B,KPI!HL4,'les arrets'!$J:$J,"Extérieur")</f>
        <v>0</v>
      </c>
      <c r="HM16" s="100">
        <f>SUMIFS('les arrets'!$G:$G,'les arrets'!$B:$B,KPI!HM4,'les arrets'!$J:$J,"Extérieur")</f>
        <v>0</v>
      </c>
      <c r="HN16" s="100">
        <f>SUMIFS('les arrets'!$G:$G,'les arrets'!$B:$B,KPI!HN4,'les arrets'!$J:$J,"Extérieur")</f>
        <v>0</v>
      </c>
      <c r="HO16" s="100">
        <f>SUMIFS('les arrets'!$G:$G,'les arrets'!$B:$B,KPI!HO4,'les arrets'!$J:$J,"Extérieur")</f>
        <v>0</v>
      </c>
      <c r="HP16" s="100">
        <f>SUMIFS('les arrets'!$G:$G,'les arrets'!$B:$B,KPI!HP4,'les arrets'!$J:$J,"Extérieur")</f>
        <v>0</v>
      </c>
      <c r="HQ16" s="100">
        <f>SUMIFS('les arrets'!$G:$G,'les arrets'!$B:$B,KPI!HQ4,'les arrets'!$J:$J,"Extérieur")</f>
        <v>0</v>
      </c>
      <c r="HR16" s="100">
        <f>SUMIFS('les arrets'!$G:$G,'les arrets'!$B:$B,KPI!HR4,'les arrets'!$J:$J,"Extérieur")</f>
        <v>0</v>
      </c>
      <c r="HS16" s="100">
        <f t="shared" si="75"/>
        <v>0</v>
      </c>
      <c r="HT16" s="100">
        <f>SUMIFS('les arrets'!$G:$G,'les arrets'!$B:$B,KPI!HT4,'les arrets'!$J:$J,"Extérieur")</f>
        <v>0</v>
      </c>
      <c r="HU16" s="100">
        <f>SUMIFS('les arrets'!$G:$G,'les arrets'!$B:$B,KPI!HU4,'les arrets'!$J:$J,"Extérieur")</f>
        <v>0</v>
      </c>
      <c r="HV16" s="100">
        <f>SUMIFS('les arrets'!$G:$G,'les arrets'!$B:$B,KPI!HV4,'les arrets'!$J:$J,"Extérieur")</f>
        <v>0</v>
      </c>
      <c r="HW16" s="100">
        <f>SUMIFS('les arrets'!$G:$G,'les arrets'!$B:$B,KPI!HW4,'les arrets'!$J:$J,"Extérieur")</f>
        <v>0</v>
      </c>
      <c r="HX16" s="100">
        <f>SUMIFS('les arrets'!$G:$G,'les arrets'!$B:$B,KPI!HX4,'les arrets'!$J:$J,"Extérieur")</f>
        <v>0</v>
      </c>
      <c r="HY16" s="100">
        <f>SUMIFS('les arrets'!$G:$G,'les arrets'!$B:$B,KPI!HY4,'les arrets'!$J:$J,"Extérieur")</f>
        <v>0</v>
      </c>
      <c r="HZ16" s="100">
        <f>SUMIFS('les arrets'!$G:$G,'les arrets'!$B:$B,KPI!HZ4,'les arrets'!$J:$J,"Extérieur")</f>
        <v>0</v>
      </c>
      <c r="IA16" s="100">
        <f t="shared" si="76"/>
        <v>0</v>
      </c>
      <c r="IB16" s="100">
        <f>SUMIFS('les arrets'!$G:$G,'les arrets'!$B:$B,KPI!IB4,'les arrets'!$J:$J,"Extérieur")</f>
        <v>0</v>
      </c>
      <c r="IC16" s="100">
        <f>SUMIFS('les arrets'!$G:$G,'les arrets'!$B:$B,KPI!IC4,'les arrets'!$J:$J,"Extérieur")</f>
        <v>0</v>
      </c>
      <c r="ID16" s="100">
        <f>SUMIFS('les arrets'!$G:$G,'les arrets'!$B:$B,KPI!ID4,'les arrets'!$J:$J,"Extérieur")</f>
        <v>0</v>
      </c>
      <c r="IE16" s="100">
        <f>SUMIFS('les arrets'!$G:$G,'les arrets'!$B:$B,KPI!IE4,'les arrets'!$J:$J,"Extérieur")</f>
        <v>0</v>
      </c>
      <c r="IF16" s="100">
        <f>SUMIFS('les arrets'!$G:$G,'les arrets'!$B:$B,KPI!IF4,'les arrets'!$J:$J,"Extérieur")</f>
        <v>0</v>
      </c>
      <c r="IG16" s="100">
        <f>SUMIFS('les arrets'!$G:$G,'les arrets'!$B:$B,KPI!IG4,'les arrets'!$J:$J,"Extérieur")</f>
        <v>0</v>
      </c>
      <c r="IH16" s="100">
        <f>SUMIFS('les arrets'!$G:$G,'les arrets'!$B:$B,KPI!IH4,'les arrets'!$J:$J,"Extérieur")</f>
        <v>0</v>
      </c>
      <c r="II16" s="100">
        <f t="shared" si="77"/>
        <v>0</v>
      </c>
      <c r="IJ16" s="100">
        <f>SUMIFS('les arrets'!$G:$G,'les arrets'!$B:$B,KPI!IJ4,'les arrets'!$J:$J,"Extérieur")</f>
        <v>0</v>
      </c>
      <c r="IK16" s="100">
        <f>SUMIFS('les arrets'!$G:$G,'les arrets'!$B:$B,KPI!IK4,'les arrets'!$J:$J,"Extérieur")</f>
        <v>0</v>
      </c>
      <c r="IL16" s="100">
        <f>SUMIFS('les arrets'!$G:$G,'les arrets'!$B:$B,KPI!IL4,'les arrets'!$J:$J,"Extérieur")</f>
        <v>0</v>
      </c>
      <c r="IM16" s="100">
        <f>SUMIFS('les arrets'!$G:$G,'les arrets'!$B:$B,KPI!IM4,'les arrets'!$J:$J,"Extérieur")</f>
        <v>0</v>
      </c>
      <c r="IN16" s="100">
        <f>SUMIFS('les arrets'!$G:$G,'les arrets'!$B:$B,KPI!IN4,'les arrets'!$J:$J,"Extérieur")</f>
        <v>0</v>
      </c>
      <c r="IO16" s="100">
        <f>SUMIFS('les arrets'!$G:$G,'les arrets'!$B:$B,KPI!IO4,'les arrets'!$J:$J,"Extérieur")</f>
        <v>0</v>
      </c>
      <c r="IP16" s="100">
        <f>SUMIFS('les arrets'!$G:$G,'les arrets'!$B:$B,KPI!IP4,'les arrets'!$J:$J,"Extérieur")</f>
        <v>0</v>
      </c>
      <c r="IQ16" s="100">
        <f t="shared" si="78"/>
        <v>0</v>
      </c>
      <c r="IR16" s="100">
        <f>SUMIFS('les arrets'!$G:$G,'les arrets'!$B:$B,KPI!IR4,'les arrets'!$J:$J,"Extérieur")</f>
        <v>0</v>
      </c>
      <c r="IS16" s="100">
        <f>SUMIFS('les arrets'!$G:$G,'les arrets'!$B:$B,KPI!IS4,'les arrets'!$J:$J,"Extérieur")</f>
        <v>0</v>
      </c>
      <c r="IT16" s="100">
        <f>SUMIFS('les arrets'!$G:$G,'les arrets'!$B:$B,KPI!IT4,'les arrets'!$J:$J,"Extérieur")</f>
        <v>0</v>
      </c>
      <c r="IU16" s="100">
        <f>SUMIFS('les arrets'!$G:$G,'les arrets'!$B:$B,KPI!IU4,'les arrets'!$J:$J,"Extérieur")</f>
        <v>0</v>
      </c>
      <c r="IV16" s="100">
        <f>SUMIFS('les arrets'!$G:$G,'les arrets'!$B:$B,KPI!IV4,'les arrets'!$J:$J,"Extérieur")</f>
        <v>0</v>
      </c>
      <c r="IW16" s="100">
        <f>SUMIFS('les arrets'!$G:$G,'les arrets'!$B:$B,KPI!IW4,'les arrets'!$J:$J,"Extérieur")</f>
        <v>0</v>
      </c>
      <c r="IX16" s="100">
        <f>SUMIFS('les arrets'!$G:$G,'les arrets'!$B:$B,KPI!IX4,'les arrets'!$J:$J,"Extérieur")</f>
        <v>0</v>
      </c>
      <c r="IY16" s="100">
        <f t="shared" si="79"/>
        <v>0</v>
      </c>
      <c r="IZ16" s="100">
        <f>SUMIFS('les arrets'!$G:$G,'les arrets'!$B:$B,KPI!IZ4,'les arrets'!$J:$J,"Extérieur")</f>
        <v>0</v>
      </c>
      <c r="JA16" s="100">
        <f>SUMIFS('les arrets'!$G:$G,'les arrets'!$B:$B,KPI!JA4,'les arrets'!$J:$J,"Extérieur")</f>
        <v>0</v>
      </c>
      <c r="JB16" s="100">
        <f>SUMIFS('les arrets'!$G:$G,'les arrets'!$B:$B,KPI!JB4,'les arrets'!$J:$J,"Extérieur")</f>
        <v>0</v>
      </c>
      <c r="JC16" s="100">
        <f>SUMIFS('les arrets'!$G:$G,'les arrets'!$B:$B,KPI!JC4,'les arrets'!$J:$J,"Extérieur")</f>
        <v>0</v>
      </c>
      <c r="JD16" s="100">
        <f>SUMIFS('les arrets'!$G:$G,'les arrets'!$B:$B,KPI!JD4,'les arrets'!$J:$J,"Extérieur")</f>
        <v>0</v>
      </c>
      <c r="JE16" s="100">
        <f>SUMIFS('les arrets'!$G:$G,'les arrets'!$B:$B,KPI!JE4,'les arrets'!$J:$J,"Extérieur")</f>
        <v>0</v>
      </c>
      <c r="JF16" s="100">
        <f>SUMIFS('les arrets'!$G:$G,'les arrets'!$B:$B,KPI!JF4,'les arrets'!$J:$J,"Extérieur")</f>
        <v>0</v>
      </c>
      <c r="JG16" s="100">
        <f t="shared" si="80"/>
        <v>0</v>
      </c>
      <c r="JH16" s="100">
        <f>SUMIFS('les arrets'!$G:$G,'les arrets'!$B:$B,KPI!JH4,'les arrets'!$J:$J,"Extérieur")</f>
        <v>0</v>
      </c>
      <c r="JI16" s="100">
        <f>SUMIFS('les arrets'!$G:$G,'les arrets'!$B:$B,KPI!JI4,'les arrets'!$J:$J,"Extérieur")</f>
        <v>0</v>
      </c>
      <c r="JJ16" s="100">
        <f>SUMIFS('les arrets'!$G:$G,'les arrets'!$B:$B,KPI!JJ4,'les arrets'!$J:$J,"Extérieur")</f>
        <v>0</v>
      </c>
      <c r="JK16" s="100">
        <f>SUMIFS('les arrets'!$G:$G,'les arrets'!$B:$B,KPI!JK4,'les arrets'!$J:$J,"Extérieur")</f>
        <v>0</v>
      </c>
      <c r="JL16" s="100">
        <f>SUMIFS('les arrets'!$G:$G,'les arrets'!$B:$B,KPI!JL4,'les arrets'!$J:$J,"Extérieur")</f>
        <v>0</v>
      </c>
      <c r="JM16" s="100">
        <f>SUMIFS('les arrets'!$G:$G,'les arrets'!$B:$B,KPI!JM4,'les arrets'!$J:$J,"Extérieur")</f>
        <v>0</v>
      </c>
      <c r="JN16" s="100">
        <f>SUMIFS('les arrets'!$G:$G,'les arrets'!$B:$B,KPI!JN4,'les arrets'!$J:$J,"Extérieur")</f>
        <v>0</v>
      </c>
      <c r="JO16" s="100">
        <f t="shared" si="81"/>
        <v>0</v>
      </c>
      <c r="JP16" s="100">
        <f>SUMIFS('les arrets'!$G:$G,'les arrets'!$B:$B,KPI!JP4,'les arrets'!$J:$J,"Extérieur")</f>
        <v>0</v>
      </c>
      <c r="JQ16" s="100">
        <f>SUMIFS('les arrets'!$G:$G,'les arrets'!$B:$B,KPI!JQ4,'les arrets'!$J:$J,"Extérieur")</f>
        <v>0</v>
      </c>
      <c r="JR16" s="100">
        <f>SUMIFS('les arrets'!$G:$G,'les arrets'!$B:$B,KPI!JR4,'les arrets'!$J:$J,"Extérieur")</f>
        <v>0</v>
      </c>
      <c r="JS16" s="100">
        <f>SUMIFS('les arrets'!$G:$G,'les arrets'!$B:$B,KPI!JS4,'les arrets'!$J:$J,"Extérieur")</f>
        <v>0</v>
      </c>
      <c r="JT16" s="100">
        <f>SUMIFS('les arrets'!$G:$G,'les arrets'!$B:$B,KPI!JT4,'les arrets'!$J:$J,"Extérieur")</f>
        <v>0</v>
      </c>
      <c r="JU16" s="100">
        <f>SUMIFS('les arrets'!$G:$G,'les arrets'!$B:$B,KPI!JU4,'les arrets'!$J:$J,"Extérieur")</f>
        <v>0</v>
      </c>
      <c r="JV16" s="100">
        <f>SUMIFS('les arrets'!$G:$G,'les arrets'!$B:$B,KPI!JV4,'les arrets'!$J:$J,"Extérieur")</f>
        <v>0</v>
      </c>
      <c r="JW16" s="100">
        <f t="shared" si="82"/>
        <v>0</v>
      </c>
      <c r="JX16" s="100">
        <f>SUMIFS('les arrets'!$G:$G,'les arrets'!$B:$B,KPI!JX4,'les arrets'!$J:$J,"Extérieur")</f>
        <v>0</v>
      </c>
      <c r="JY16" s="100">
        <f>SUMIFS('les arrets'!$G:$G,'les arrets'!$B:$B,KPI!JY4,'les arrets'!$J:$J,"Extérieur")</f>
        <v>0</v>
      </c>
      <c r="JZ16" s="100">
        <f>SUMIFS('les arrets'!$G:$G,'les arrets'!$B:$B,KPI!JZ4,'les arrets'!$J:$J,"Extérieur")</f>
        <v>0</v>
      </c>
      <c r="KA16" s="100">
        <f>SUMIFS('les arrets'!$G:$G,'les arrets'!$B:$B,KPI!KA4,'les arrets'!$J:$J,"Extérieur")</f>
        <v>0</v>
      </c>
      <c r="KB16" s="100">
        <f>SUMIFS('les arrets'!$G:$G,'les arrets'!$B:$B,KPI!KB4,'les arrets'!$J:$J,"Extérieur")</f>
        <v>0</v>
      </c>
      <c r="KC16" s="100">
        <f>SUMIFS('les arrets'!$G:$G,'les arrets'!$B:$B,KPI!KC4,'les arrets'!$J:$J,"Extérieur")</f>
        <v>0</v>
      </c>
      <c r="KD16" s="100">
        <f>SUMIFS('les arrets'!$G:$G,'les arrets'!$B:$B,KPI!KD4,'les arrets'!$J:$J,"Extérieur")</f>
        <v>0</v>
      </c>
      <c r="KE16" s="100">
        <f t="shared" si="83"/>
        <v>0</v>
      </c>
      <c r="KF16" s="100">
        <f>SUMIFS('les arrets'!$G:$G,'les arrets'!$B:$B,KPI!KF4,'les arrets'!$J:$J,"Extérieur")</f>
        <v>0</v>
      </c>
      <c r="KG16" s="100">
        <f>SUMIFS('les arrets'!$G:$G,'les arrets'!$B:$B,KPI!KG4,'les arrets'!$J:$J,"Extérieur")</f>
        <v>0</v>
      </c>
      <c r="KH16" s="100">
        <f>SUMIFS('les arrets'!$G:$G,'les arrets'!$B:$B,KPI!KH4,'les arrets'!$J:$J,"Extérieur")</f>
        <v>0</v>
      </c>
      <c r="KI16" s="100">
        <f>SUMIFS('les arrets'!$G:$G,'les arrets'!$B:$B,KPI!KI4,'les arrets'!$J:$J,"Extérieur")</f>
        <v>0</v>
      </c>
      <c r="KJ16" s="100">
        <f>SUMIFS('les arrets'!$G:$G,'les arrets'!$B:$B,KPI!KJ4,'les arrets'!$J:$J,"Extérieur")</f>
        <v>0</v>
      </c>
      <c r="KK16" s="100">
        <f>SUMIFS('les arrets'!$G:$G,'les arrets'!$B:$B,KPI!KK4,'les arrets'!$J:$J,"Extérieur")</f>
        <v>0</v>
      </c>
      <c r="KL16" s="100">
        <f>SUMIFS('les arrets'!$G:$G,'les arrets'!$B:$B,KPI!KL4,'les arrets'!$J:$J,"Extérieur")</f>
        <v>0</v>
      </c>
      <c r="KM16" s="100">
        <f t="shared" si="84"/>
        <v>0</v>
      </c>
      <c r="KN16" s="100">
        <f>SUMIFS('les arrets'!$G:$G,'les arrets'!$B:$B,KPI!KN4,'les arrets'!$J:$J,"Extérieur")</f>
        <v>0</v>
      </c>
      <c r="KO16" s="100">
        <f>SUMIFS('les arrets'!$G:$G,'les arrets'!$B:$B,KPI!KO4,'les arrets'!$J:$J,"Extérieur")</f>
        <v>0</v>
      </c>
      <c r="KP16" s="100">
        <f>SUMIFS('les arrets'!$G:$G,'les arrets'!$B:$B,KPI!KP4,'les arrets'!$J:$J,"Extérieur")</f>
        <v>0</v>
      </c>
      <c r="KQ16" s="100">
        <f>SUMIFS('les arrets'!$G:$G,'les arrets'!$B:$B,KPI!KQ4,'les arrets'!$J:$J,"Extérieur")</f>
        <v>0</v>
      </c>
      <c r="KR16" s="100">
        <f>SUMIFS('les arrets'!$G:$G,'les arrets'!$B:$B,KPI!KR4,'les arrets'!$J:$J,"Extérieur")</f>
        <v>0</v>
      </c>
      <c r="KS16" s="100">
        <f>SUMIFS('les arrets'!$G:$G,'les arrets'!$B:$B,KPI!KS4,'les arrets'!$J:$J,"Extérieur")</f>
        <v>0</v>
      </c>
      <c r="KT16" s="100">
        <f>SUMIFS('les arrets'!$G:$G,'les arrets'!$B:$B,KPI!KT4,'les arrets'!$J:$J,"Extérieur")</f>
        <v>0</v>
      </c>
      <c r="KU16" s="100">
        <f t="shared" si="85"/>
        <v>0</v>
      </c>
      <c r="KV16" s="100">
        <f>SUMIFS('les arrets'!$G:$G,'les arrets'!$B:$B,KPI!KV4,'les arrets'!$J:$J,"Extérieur")</f>
        <v>0</v>
      </c>
      <c r="KW16" s="100">
        <f>SUMIFS('les arrets'!$G:$G,'les arrets'!$B:$B,KPI!KW4,'les arrets'!$J:$J,"Extérieur")</f>
        <v>0</v>
      </c>
      <c r="KX16" s="100">
        <f>SUMIFS('les arrets'!$G:$G,'les arrets'!$B:$B,KPI!KX4,'les arrets'!$J:$J,"Extérieur")</f>
        <v>0</v>
      </c>
      <c r="KY16" s="100">
        <f>SUMIFS('les arrets'!$G:$G,'les arrets'!$B:$B,KPI!KY4,'les arrets'!$J:$J,"Extérieur")</f>
        <v>0</v>
      </c>
      <c r="KZ16" s="100">
        <f>SUMIFS('les arrets'!$G:$G,'les arrets'!$B:$B,KPI!KZ4,'les arrets'!$J:$J,"Extérieur")</f>
        <v>0</v>
      </c>
      <c r="LA16" s="100">
        <f>SUMIFS('les arrets'!$G:$G,'les arrets'!$B:$B,KPI!LA4,'les arrets'!$J:$J,"Extérieur")</f>
        <v>0</v>
      </c>
      <c r="LB16" s="100">
        <f>SUMIFS('les arrets'!$G:$G,'les arrets'!$B:$B,KPI!LB4,'les arrets'!$J:$J,"Extérieur")</f>
        <v>0</v>
      </c>
      <c r="LC16" s="100">
        <f t="shared" si="86"/>
        <v>0</v>
      </c>
      <c r="LD16" s="100">
        <f>SUMIFS('les arrets'!$G:$G,'les arrets'!$B:$B,KPI!LD4,'les arrets'!$J:$J,"Extérieur")</f>
        <v>0</v>
      </c>
      <c r="LE16" s="100">
        <f>SUMIFS('les arrets'!$G:$G,'les arrets'!$B:$B,KPI!LE4,'les arrets'!$J:$J,"Extérieur")</f>
        <v>0</v>
      </c>
      <c r="LF16" s="100">
        <f>SUMIFS('les arrets'!$G:$G,'les arrets'!$B:$B,KPI!LF4,'les arrets'!$J:$J,"Extérieur")</f>
        <v>0</v>
      </c>
      <c r="LG16" s="100">
        <f>SUMIFS('les arrets'!$G:$G,'les arrets'!$B:$B,KPI!LG4,'les arrets'!$J:$J,"Extérieur")</f>
        <v>0</v>
      </c>
      <c r="LH16" s="100">
        <f>SUMIFS('les arrets'!$G:$G,'les arrets'!$B:$B,KPI!LH4,'les arrets'!$J:$J,"Extérieur")</f>
        <v>0</v>
      </c>
      <c r="LI16" s="100">
        <f>SUMIFS('les arrets'!$G:$G,'les arrets'!$B:$B,KPI!LI4,'les arrets'!$J:$J,"Extérieur")</f>
        <v>0</v>
      </c>
      <c r="LJ16" s="100">
        <f>SUMIFS('les arrets'!$G:$G,'les arrets'!$B:$B,KPI!LJ4,'les arrets'!$J:$J,"Extérieur")</f>
        <v>0</v>
      </c>
      <c r="LK16" s="100">
        <f t="shared" si="87"/>
        <v>0</v>
      </c>
      <c r="LL16" s="100">
        <f>SUMIFS('les arrets'!$G:$G,'les arrets'!$B:$B,KPI!LL4,'les arrets'!$J:$J,"Extérieur")</f>
        <v>0</v>
      </c>
      <c r="LM16" s="100">
        <f>SUMIFS('les arrets'!$G:$G,'les arrets'!$B:$B,KPI!LM4,'les arrets'!$J:$J,"Extérieur")</f>
        <v>0</v>
      </c>
      <c r="LN16" s="100">
        <f>SUMIFS('les arrets'!$G:$G,'les arrets'!$B:$B,KPI!LN4,'les arrets'!$J:$J,"Extérieur")</f>
        <v>0</v>
      </c>
      <c r="LO16" s="100">
        <f>SUMIFS('les arrets'!$G:$G,'les arrets'!$B:$B,KPI!LO4,'les arrets'!$J:$J,"Extérieur")</f>
        <v>0</v>
      </c>
      <c r="LP16" s="100">
        <f>SUMIFS('les arrets'!$G:$G,'les arrets'!$B:$B,KPI!LP4,'les arrets'!$J:$J,"Extérieur")</f>
        <v>0</v>
      </c>
      <c r="LQ16" s="100">
        <f>SUMIFS('les arrets'!$G:$G,'les arrets'!$B:$B,KPI!LQ4,'les arrets'!$J:$J,"Extérieur")</f>
        <v>0</v>
      </c>
      <c r="LR16" s="100">
        <f>SUMIFS('les arrets'!$G:$G,'les arrets'!$B:$B,KPI!LR4,'les arrets'!$J:$J,"Extérieur")</f>
        <v>0</v>
      </c>
      <c r="LS16" s="100">
        <f t="shared" si="88"/>
        <v>0</v>
      </c>
      <c r="LT16" s="100">
        <f>SUMIFS('les arrets'!$G:$G,'les arrets'!$B:$B,KPI!LT4,'les arrets'!$J:$J,"Extérieur")</f>
        <v>0</v>
      </c>
      <c r="LU16" s="100">
        <f>SUMIFS('les arrets'!$G:$G,'les arrets'!$B:$B,KPI!LU4,'les arrets'!$J:$J,"Extérieur")</f>
        <v>0</v>
      </c>
      <c r="LV16" s="100">
        <f>SUMIFS('les arrets'!$G:$G,'les arrets'!$B:$B,KPI!LV4,'les arrets'!$J:$J,"Extérieur")</f>
        <v>0</v>
      </c>
      <c r="LW16" s="100">
        <f>SUMIFS('les arrets'!$G:$G,'les arrets'!$B:$B,KPI!LW4,'les arrets'!$J:$J,"Extérieur")</f>
        <v>0</v>
      </c>
      <c r="LX16" s="100">
        <f>SUMIFS('les arrets'!$G:$G,'les arrets'!$B:$B,KPI!LX4,'les arrets'!$J:$J,"Extérieur")</f>
        <v>0</v>
      </c>
      <c r="LY16" s="100">
        <f>SUMIFS('les arrets'!$G:$G,'les arrets'!$B:$B,KPI!LY4,'les arrets'!$J:$J,"Extérieur")</f>
        <v>0</v>
      </c>
      <c r="LZ16" s="100">
        <f>SUMIFS('les arrets'!$G:$G,'les arrets'!$B:$B,KPI!LZ4,'les arrets'!$J:$J,"Extérieur")</f>
        <v>0</v>
      </c>
      <c r="MA16" s="100">
        <f t="shared" si="89"/>
        <v>0</v>
      </c>
      <c r="MB16" s="100">
        <f>SUMIFS('les arrets'!$G:$G,'les arrets'!$B:$B,KPI!MB4,'les arrets'!$J:$J,"Extérieur")</f>
        <v>0</v>
      </c>
      <c r="MC16" s="100">
        <f>SUMIFS('les arrets'!$G:$G,'les arrets'!$B:$B,KPI!MC4,'les arrets'!$J:$J,"Extérieur")</f>
        <v>0</v>
      </c>
      <c r="MD16" s="100">
        <f>SUMIFS('les arrets'!$G:$G,'les arrets'!$B:$B,KPI!MD4,'les arrets'!$J:$J,"Extérieur")</f>
        <v>0</v>
      </c>
      <c r="ME16" s="100">
        <f>SUMIFS('les arrets'!$G:$G,'les arrets'!$B:$B,KPI!ME4,'les arrets'!$J:$J,"Extérieur")</f>
        <v>0</v>
      </c>
      <c r="MF16" s="100">
        <f>SUMIFS('les arrets'!$G:$G,'les arrets'!$B:$B,KPI!MF4,'les arrets'!$J:$J,"Extérieur")</f>
        <v>0</v>
      </c>
      <c r="MG16" s="100">
        <f>SUMIFS('les arrets'!$G:$G,'les arrets'!$B:$B,KPI!MG4,'les arrets'!$J:$J,"Extérieur")</f>
        <v>0</v>
      </c>
      <c r="MH16" s="100">
        <f>SUMIFS('les arrets'!$G:$G,'les arrets'!$B:$B,KPI!MH4,'les arrets'!$J:$J,"Extérieur")</f>
        <v>0</v>
      </c>
      <c r="MI16" s="100">
        <f t="shared" si="90"/>
        <v>0</v>
      </c>
      <c r="MJ16" s="100">
        <f>SUMIFS('les arrets'!$G:$G,'les arrets'!$B:$B,KPI!MJ4,'les arrets'!$J:$J,"Extérieur")</f>
        <v>0</v>
      </c>
      <c r="MK16" s="100">
        <f>SUMIFS('les arrets'!$G:$G,'les arrets'!$B:$B,KPI!MK4,'les arrets'!$J:$J,"Extérieur")</f>
        <v>0</v>
      </c>
      <c r="ML16" s="100">
        <f>SUMIFS('les arrets'!$G:$G,'les arrets'!$B:$B,KPI!ML4,'les arrets'!$J:$J,"Extérieur")</f>
        <v>0</v>
      </c>
      <c r="MM16" s="100">
        <f>SUMIFS('les arrets'!$G:$G,'les arrets'!$B:$B,KPI!MM4,'les arrets'!$J:$J,"Extérieur")</f>
        <v>0</v>
      </c>
      <c r="MN16" s="100">
        <f>SUMIFS('les arrets'!$G:$G,'les arrets'!$B:$B,KPI!MN4,'les arrets'!$J:$J,"Extérieur")</f>
        <v>0</v>
      </c>
      <c r="MO16" s="100">
        <f>SUMIFS('les arrets'!$G:$G,'les arrets'!$B:$B,KPI!MO4,'les arrets'!$J:$J,"Extérieur")</f>
        <v>0</v>
      </c>
      <c r="MP16" s="100">
        <f>SUMIFS('les arrets'!$G:$G,'les arrets'!$B:$B,KPI!MP4,'les arrets'!$J:$J,"Extérieur")</f>
        <v>0</v>
      </c>
      <c r="MQ16" s="100">
        <f t="shared" si="91"/>
        <v>0</v>
      </c>
      <c r="MR16" s="100">
        <f>SUMIFS('les arrets'!$G:$G,'les arrets'!$B:$B,KPI!MR4,'les arrets'!$J:$J,"Extérieur")</f>
        <v>0</v>
      </c>
      <c r="MS16" s="100">
        <f>SUMIFS('les arrets'!$G:$G,'les arrets'!$B:$B,KPI!MS4,'les arrets'!$J:$J,"Extérieur")</f>
        <v>0</v>
      </c>
      <c r="MT16" s="100">
        <f>SUMIFS('les arrets'!$G:$G,'les arrets'!$B:$B,KPI!MT4,'les arrets'!$J:$J,"Extérieur")</f>
        <v>0</v>
      </c>
      <c r="MU16" s="100">
        <f>SUMIFS('les arrets'!$G:$G,'les arrets'!$B:$B,KPI!MU4,'les arrets'!$J:$J,"Extérieur")</f>
        <v>0</v>
      </c>
      <c r="MV16" s="100">
        <f>SUMIFS('les arrets'!$G:$G,'les arrets'!$B:$B,KPI!MV4,'les arrets'!$J:$J,"Extérieur")</f>
        <v>0</v>
      </c>
      <c r="MW16" s="100">
        <f>SUMIFS('les arrets'!$G:$G,'les arrets'!$B:$B,KPI!MW4,'les arrets'!$J:$J,"Extérieur")</f>
        <v>0</v>
      </c>
      <c r="MX16" s="100">
        <f>SUMIFS('les arrets'!$G:$G,'les arrets'!$B:$B,KPI!MX4,'les arrets'!$J:$J,"Extérieur")</f>
        <v>0</v>
      </c>
      <c r="MY16" s="100">
        <f t="shared" si="92"/>
        <v>0</v>
      </c>
      <c r="MZ16" s="100">
        <f>SUMIFS('les arrets'!$G:$G,'les arrets'!$B:$B,KPI!MZ4,'les arrets'!$J:$J,"Extérieur")</f>
        <v>0</v>
      </c>
      <c r="NA16" s="100">
        <f>SUMIFS('les arrets'!$G:$G,'les arrets'!$B:$B,KPI!NA4,'les arrets'!$J:$J,"Extérieur")</f>
        <v>0</v>
      </c>
      <c r="NB16" s="100">
        <f>SUMIFS('les arrets'!$G:$G,'les arrets'!$B:$B,KPI!NB4,'les arrets'!$J:$J,"Extérieur")</f>
        <v>0</v>
      </c>
      <c r="NC16" s="100">
        <f>SUMIFS('les arrets'!$G:$G,'les arrets'!$B:$B,KPI!NC4,'les arrets'!$J:$J,"Extérieur")</f>
        <v>0</v>
      </c>
      <c r="ND16" s="100">
        <f>SUMIFS('les arrets'!$G:$G,'les arrets'!$B:$B,KPI!ND4,'les arrets'!$J:$J,"Extérieur")</f>
        <v>0</v>
      </c>
      <c r="NE16" s="100">
        <f>SUMIFS('les arrets'!$G:$G,'les arrets'!$B:$B,KPI!NE4,'les arrets'!$J:$J,"Extérieur")</f>
        <v>0</v>
      </c>
      <c r="NF16" s="100">
        <f>SUMIFS('les arrets'!$G:$G,'les arrets'!$B:$B,KPI!NF4,'les arrets'!$J:$J,"Extérieur")</f>
        <v>0</v>
      </c>
      <c r="NG16" s="100">
        <f t="shared" si="93"/>
        <v>0</v>
      </c>
      <c r="NH16" s="100">
        <f>SUMIFS('les arrets'!$G:$G,'les arrets'!$B:$B,KPI!NH4,'les arrets'!$J:$J,"Extérieur")</f>
        <v>0</v>
      </c>
      <c r="NI16" s="100">
        <f>SUMIFS('les arrets'!$G:$G,'les arrets'!$B:$B,KPI!NI4,'les arrets'!$J:$J,"Extérieur")</f>
        <v>0</v>
      </c>
      <c r="NJ16" s="100">
        <f>SUMIFS('les arrets'!$G:$G,'les arrets'!$B:$B,KPI!NJ4,'les arrets'!$J:$J,"Extérieur")</f>
        <v>0</v>
      </c>
      <c r="NK16" s="100">
        <f>SUMIFS('les arrets'!$G:$G,'les arrets'!$B:$B,KPI!NK4,'les arrets'!$J:$J,"Extérieur")</f>
        <v>0</v>
      </c>
      <c r="NL16" s="100">
        <f>SUMIFS('les arrets'!$G:$G,'les arrets'!$B:$B,KPI!NL4,'les arrets'!$J:$J,"Extérieur")</f>
        <v>0</v>
      </c>
      <c r="NM16" s="100">
        <f>SUMIFS('les arrets'!$G:$G,'les arrets'!$B:$B,KPI!NM4,'les arrets'!$J:$J,"Extérieur")</f>
        <v>0</v>
      </c>
      <c r="NN16" s="100">
        <f>SUMIFS('les arrets'!$G:$G,'les arrets'!$B:$B,KPI!NN4,'les arrets'!$J:$J,"Extérieur")</f>
        <v>0</v>
      </c>
      <c r="NO16" s="100">
        <f t="shared" si="94"/>
        <v>0</v>
      </c>
      <c r="NP16" s="100">
        <f>SUMIFS('les arrets'!$G:$G,'les arrets'!$B:$B,KPI!NP4,'les arrets'!$J:$J,"Extérieur")</f>
        <v>0</v>
      </c>
      <c r="NQ16" s="100">
        <f>SUMIFS('les arrets'!$G:$G,'les arrets'!$B:$B,KPI!NQ4,'les arrets'!$J:$J,"Extérieur")</f>
        <v>0</v>
      </c>
      <c r="NR16" s="100">
        <f>SUMIFS('les arrets'!$G:$G,'les arrets'!$B:$B,KPI!NR4,'les arrets'!$J:$J,"Extérieur")</f>
        <v>0</v>
      </c>
      <c r="NS16" s="100">
        <f>SUMIFS('les arrets'!$G:$G,'les arrets'!$B:$B,KPI!NS4,'les arrets'!$J:$J,"Extérieur")</f>
        <v>0</v>
      </c>
      <c r="NT16" s="100">
        <f>SUMIFS('les arrets'!$G:$G,'les arrets'!$B:$B,KPI!NT4,'les arrets'!$J:$J,"Extérieur")</f>
        <v>0</v>
      </c>
      <c r="NU16" s="100">
        <f>SUMIFS('les arrets'!$G:$G,'les arrets'!$B:$B,KPI!NU4,'les arrets'!$J:$J,"Extérieur")</f>
        <v>0</v>
      </c>
      <c r="NV16" s="100">
        <f>SUMIFS('les arrets'!$G:$G,'les arrets'!$B:$B,KPI!NV4,'les arrets'!$J:$J,"Extérieur")</f>
        <v>0</v>
      </c>
      <c r="NW16" s="100">
        <f t="shared" si="95"/>
        <v>0</v>
      </c>
    </row>
    <row r="17" spans="1:387" ht="16.5" thickBot="1" x14ac:dyDescent="0.3">
      <c r="A17" s="593"/>
      <c r="B17" s="92" t="s">
        <v>375</v>
      </c>
      <c r="C17" s="93" t="s">
        <v>376</v>
      </c>
      <c r="D17" s="140">
        <f>(24-D10)/24</f>
        <v>1</v>
      </c>
      <c r="E17" s="140">
        <f t="shared" ref="E17:J17" si="97">(24-E10)/24</f>
        <v>1</v>
      </c>
      <c r="F17" s="140">
        <f t="shared" si="97"/>
        <v>1</v>
      </c>
      <c r="G17" s="140">
        <f t="shared" si="97"/>
        <v>1</v>
      </c>
      <c r="H17" s="140">
        <f t="shared" si="97"/>
        <v>1</v>
      </c>
      <c r="I17" s="140">
        <f t="shared" si="97"/>
        <v>1</v>
      </c>
      <c r="J17" s="140">
        <f t="shared" si="97"/>
        <v>1</v>
      </c>
      <c r="K17" s="140">
        <f>((24*7)-K10)/(24*7)</f>
        <v>1</v>
      </c>
      <c r="L17" s="140">
        <f t="shared" ref="L17:R17" si="98">(24-L10)/24</f>
        <v>1</v>
      </c>
      <c r="M17" s="140">
        <f t="shared" si="98"/>
        <v>1</v>
      </c>
      <c r="N17" s="140">
        <f t="shared" si="98"/>
        <v>1</v>
      </c>
      <c r="O17" s="140">
        <f t="shared" si="98"/>
        <v>1</v>
      </c>
      <c r="P17" s="140">
        <f t="shared" si="98"/>
        <v>1</v>
      </c>
      <c r="Q17" s="140">
        <f t="shared" si="98"/>
        <v>1</v>
      </c>
      <c r="R17" s="140">
        <f t="shared" si="98"/>
        <v>1</v>
      </c>
      <c r="S17" s="140">
        <f>((24*7)-S10)/(24*7)</f>
        <v>1</v>
      </c>
      <c r="T17" s="140">
        <f t="shared" ref="T17:Z17" si="99">(24-T10)/24</f>
        <v>1</v>
      </c>
      <c r="U17" s="140">
        <f t="shared" si="99"/>
        <v>1</v>
      </c>
      <c r="V17" s="140">
        <f t="shared" si="99"/>
        <v>1</v>
      </c>
      <c r="W17" s="140">
        <f t="shared" si="99"/>
        <v>1</v>
      </c>
      <c r="X17" s="140">
        <f t="shared" si="99"/>
        <v>1</v>
      </c>
      <c r="Y17" s="140">
        <f t="shared" si="99"/>
        <v>1</v>
      </c>
      <c r="Z17" s="140">
        <f t="shared" si="99"/>
        <v>1</v>
      </c>
      <c r="AA17" s="140">
        <f>((24*7)-AA10)/(24*7)</f>
        <v>1</v>
      </c>
      <c r="AB17" s="140">
        <f t="shared" ref="AB17:AH17" si="100">(24-AB10)/24</f>
        <v>1</v>
      </c>
      <c r="AC17" s="140">
        <f t="shared" si="100"/>
        <v>1</v>
      </c>
      <c r="AD17" s="140">
        <f t="shared" si="100"/>
        <v>1</v>
      </c>
      <c r="AE17" s="140">
        <f t="shared" si="100"/>
        <v>1</v>
      </c>
      <c r="AF17" s="140">
        <f t="shared" si="100"/>
        <v>1</v>
      </c>
      <c r="AG17" s="140">
        <f t="shared" si="100"/>
        <v>1</v>
      </c>
      <c r="AH17" s="140">
        <f t="shared" si="100"/>
        <v>1</v>
      </c>
      <c r="AI17" s="140">
        <f>((24*7)-AI10)/(24*7)</f>
        <v>1</v>
      </c>
      <c r="AJ17" s="140">
        <f t="shared" ref="AJ17:AP17" si="101">(24-AJ10)/24</f>
        <v>1</v>
      </c>
      <c r="AK17" s="140">
        <f t="shared" si="101"/>
        <v>1</v>
      </c>
      <c r="AL17" s="140">
        <f t="shared" si="101"/>
        <v>1</v>
      </c>
      <c r="AM17" s="140">
        <f t="shared" si="101"/>
        <v>1</v>
      </c>
      <c r="AN17" s="140">
        <f t="shared" si="101"/>
        <v>1</v>
      </c>
      <c r="AO17" s="140">
        <f t="shared" si="101"/>
        <v>1</v>
      </c>
      <c r="AP17" s="140">
        <f t="shared" si="101"/>
        <v>1</v>
      </c>
      <c r="AQ17" s="140">
        <f>((24*7)-AQ10)/(24*7)</f>
        <v>1</v>
      </c>
      <c r="AR17" s="140">
        <f t="shared" ref="AR17:AX17" si="102">(24-AR10)/24</f>
        <v>1</v>
      </c>
      <c r="AS17" s="140">
        <f t="shared" si="102"/>
        <v>1</v>
      </c>
      <c r="AT17" s="140">
        <f t="shared" si="102"/>
        <v>1</v>
      </c>
      <c r="AU17" s="140">
        <f t="shared" si="102"/>
        <v>1</v>
      </c>
      <c r="AV17" s="140">
        <f t="shared" si="102"/>
        <v>1</v>
      </c>
      <c r="AW17" s="140">
        <f t="shared" si="102"/>
        <v>1</v>
      </c>
      <c r="AX17" s="140">
        <f t="shared" si="102"/>
        <v>1</v>
      </c>
      <c r="AY17" s="140">
        <f>((24*7)-AY10)/(24*7)</f>
        <v>1</v>
      </c>
      <c r="AZ17" s="140">
        <f t="shared" ref="AZ17:BF17" si="103">(24-AZ10)/24</f>
        <v>1</v>
      </c>
      <c r="BA17" s="140">
        <f t="shared" si="103"/>
        <v>1</v>
      </c>
      <c r="BB17" s="140">
        <f t="shared" si="103"/>
        <v>1</v>
      </c>
      <c r="BC17" s="140">
        <f t="shared" si="103"/>
        <v>1</v>
      </c>
      <c r="BD17" s="140">
        <f t="shared" si="103"/>
        <v>1</v>
      </c>
      <c r="BE17" s="140">
        <f t="shared" si="103"/>
        <v>1</v>
      </c>
      <c r="BF17" s="140">
        <f t="shared" si="103"/>
        <v>1</v>
      </c>
      <c r="BG17" s="140">
        <f>((24*7)-BG10)/(24*7)</f>
        <v>1</v>
      </c>
      <c r="BH17" s="140">
        <f t="shared" ref="BH17:BN17" si="104">(24-BH10)/24</f>
        <v>1</v>
      </c>
      <c r="BI17" s="140">
        <f t="shared" si="104"/>
        <v>1</v>
      </c>
      <c r="BJ17" s="140">
        <f t="shared" si="104"/>
        <v>1</v>
      </c>
      <c r="BK17" s="140">
        <f t="shared" si="104"/>
        <v>1</v>
      </c>
      <c r="BL17" s="140">
        <f t="shared" si="104"/>
        <v>1</v>
      </c>
      <c r="BM17" s="140">
        <f t="shared" si="104"/>
        <v>1</v>
      </c>
      <c r="BN17" s="140">
        <f t="shared" si="104"/>
        <v>1</v>
      </c>
      <c r="BO17" s="140">
        <f>((24*7)-BO10)/(24*7)</f>
        <v>1</v>
      </c>
      <c r="BP17" s="140">
        <f t="shared" ref="BP17:BV17" si="105">(24-BP10)/24</f>
        <v>1</v>
      </c>
      <c r="BQ17" s="140">
        <f t="shared" si="105"/>
        <v>1</v>
      </c>
      <c r="BR17" s="140">
        <f t="shared" si="105"/>
        <v>1</v>
      </c>
      <c r="BS17" s="140">
        <f t="shared" si="105"/>
        <v>1</v>
      </c>
      <c r="BT17" s="140">
        <f t="shared" si="105"/>
        <v>1</v>
      </c>
      <c r="BU17" s="140">
        <f t="shared" si="105"/>
        <v>1</v>
      </c>
      <c r="BV17" s="140">
        <f t="shared" si="105"/>
        <v>1</v>
      </c>
      <c r="BW17" s="140">
        <f>((24*7)-BW10)/(24*7)</f>
        <v>1</v>
      </c>
      <c r="BX17" s="140">
        <f t="shared" ref="BX17:CD17" si="106">(24-BX10)/24</f>
        <v>1</v>
      </c>
      <c r="BY17" s="140">
        <f t="shared" si="106"/>
        <v>1</v>
      </c>
      <c r="BZ17" s="140">
        <f t="shared" si="106"/>
        <v>1</v>
      </c>
      <c r="CA17" s="140">
        <f t="shared" si="106"/>
        <v>1</v>
      </c>
      <c r="CB17" s="140">
        <f t="shared" si="106"/>
        <v>1</v>
      </c>
      <c r="CC17" s="140">
        <f t="shared" si="106"/>
        <v>1</v>
      </c>
      <c r="CD17" s="140">
        <f t="shared" si="106"/>
        <v>1</v>
      </c>
      <c r="CE17" s="140">
        <f>((24*7)-CE10)/(24*7)</f>
        <v>1</v>
      </c>
      <c r="CF17" s="140">
        <f t="shared" ref="CF17:CL17" si="107">(24-CF10)/24</f>
        <v>1</v>
      </c>
      <c r="CG17" s="140">
        <f t="shared" si="107"/>
        <v>1</v>
      </c>
      <c r="CH17" s="140">
        <f t="shared" si="107"/>
        <v>1</v>
      </c>
      <c r="CI17" s="140">
        <f t="shared" si="107"/>
        <v>1</v>
      </c>
      <c r="CJ17" s="140">
        <f t="shared" si="107"/>
        <v>1</v>
      </c>
      <c r="CK17" s="140">
        <f t="shared" si="107"/>
        <v>1</v>
      </c>
      <c r="CL17" s="140">
        <f t="shared" si="107"/>
        <v>1</v>
      </c>
      <c r="CM17" s="140">
        <f>((24*7)-CM10)/(24*7)</f>
        <v>1</v>
      </c>
      <c r="CN17" s="140">
        <f t="shared" ref="CN17:CT17" si="108">(24-CN10)/24</f>
        <v>1</v>
      </c>
      <c r="CO17" s="140">
        <f t="shared" si="108"/>
        <v>1</v>
      </c>
      <c r="CP17" s="140">
        <f t="shared" si="108"/>
        <v>1</v>
      </c>
      <c r="CQ17" s="140">
        <f t="shared" si="108"/>
        <v>1</v>
      </c>
      <c r="CR17" s="140">
        <f t="shared" si="108"/>
        <v>1</v>
      </c>
      <c r="CS17" s="140">
        <f t="shared" si="108"/>
        <v>1</v>
      </c>
      <c r="CT17" s="140">
        <f t="shared" si="108"/>
        <v>1</v>
      </c>
      <c r="CU17" s="140">
        <f>((24*7)-CU10)/(24*7)</f>
        <v>1</v>
      </c>
      <c r="CV17" s="140">
        <f t="shared" ref="CV17:DB17" si="109">(24-CV10)/24</f>
        <v>1</v>
      </c>
      <c r="CW17" s="140">
        <f t="shared" si="109"/>
        <v>1</v>
      </c>
      <c r="CX17" s="140">
        <f t="shared" si="109"/>
        <v>1</v>
      </c>
      <c r="CY17" s="140">
        <f t="shared" si="109"/>
        <v>1</v>
      </c>
      <c r="CZ17" s="140">
        <f t="shared" si="109"/>
        <v>1</v>
      </c>
      <c r="DA17" s="140">
        <f t="shared" si="109"/>
        <v>1</v>
      </c>
      <c r="DB17" s="140">
        <f t="shared" si="109"/>
        <v>1</v>
      </c>
      <c r="DC17" s="140">
        <f>((24*7)-DC10)/(24*7)</f>
        <v>1</v>
      </c>
      <c r="DD17" s="140">
        <f t="shared" ref="DD17:DJ17" si="110">(24-DD10)/24</f>
        <v>1</v>
      </c>
      <c r="DE17" s="140">
        <f t="shared" si="110"/>
        <v>1</v>
      </c>
      <c r="DF17" s="140">
        <f t="shared" si="110"/>
        <v>1</v>
      </c>
      <c r="DG17" s="140">
        <f t="shared" si="110"/>
        <v>1</v>
      </c>
      <c r="DH17" s="140">
        <f t="shared" si="110"/>
        <v>1</v>
      </c>
      <c r="DI17" s="140">
        <f t="shared" si="110"/>
        <v>1</v>
      </c>
      <c r="DJ17" s="140">
        <f t="shared" si="110"/>
        <v>1</v>
      </c>
      <c r="DK17" s="140">
        <f>((24*7)-DK10)/(24*7)</f>
        <v>1</v>
      </c>
      <c r="DL17" s="140">
        <f t="shared" ref="DL17:DR17" si="111">(24-DL10)/24</f>
        <v>1</v>
      </c>
      <c r="DM17" s="140">
        <f t="shared" si="111"/>
        <v>1</v>
      </c>
      <c r="DN17" s="140">
        <f t="shared" si="111"/>
        <v>1</v>
      </c>
      <c r="DO17" s="140">
        <f t="shared" si="111"/>
        <v>1</v>
      </c>
      <c r="DP17" s="140">
        <f t="shared" si="111"/>
        <v>1</v>
      </c>
      <c r="DQ17" s="140">
        <f t="shared" si="111"/>
        <v>1</v>
      </c>
      <c r="DR17" s="140">
        <f t="shared" si="111"/>
        <v>1</v>
      </c>
      <c r="DS17" s="140">
        <f>((24*7)-DS10)/(24*7)</f>
        <v>1</v>
      </c>
      <c r="DT17" s="140">
        <f t="shared" ref="DT17:DZ17" si="112">(24-DT10)/24</f>
        <v>1</v>
      </c>
      <c r="DU17" s="140">
        <f t="shared" si="112"/>
        <v>1</v>
      </c>
      <c r="DV17" s="140">
        <f t="shared" si="112"/>
        <v>1</v>
      </c>
      <c r="DW17" s="140">
        <f t="shared" si="112"/>
        <v>1</v>
      </c>
      <c r="DX17" s="140">
        <f t="shared" si="112"/>
        <v>1</v>
      </c>
      <c r="DY17" s="140">
        <f t="shared" si="112"/>
        <v>1</v>
      </c>
      <c r="DZ17" s="140">
        <f t="shared" si="112"/>
        <v>1</v>
      </c>
      <c r="EA17" s="140">
        <f>((24*7)-EA10)/(24*7)</f>
        <v>1</v>
      </c>
      <c r="EB17" s="140">
        <f t="shared" ref="EB17:EH17" si="113">(24-EB10)/24</f>
        <v>1</v>
      </c>
      <c r="EC17" s="140">
        <f t="shared" si="113"/>
        <v>1</v>
      </c>
      <c r="ED17" s="140">
        <f t="shared" si="113"/>
        <v>1</v>
      </c>
      <c r="EE17" s="140">
        <f t="shared" si="113"/>
        <v>1</v>
      </c>
      <c r="EF17" s="140">
        <f t="shared" si="113"/>
        <v>1</v>
      </c>
      <c r="EG17" s="140">
        <f t="shared" si="113"/>
        <v>1</v>
      </c>
      <c r="EH17" s="140">
        <f t="shared" si="113"/>
        <v>1</v>
      </c>
      <c r="EI17" s="140">
        <f>((24*7)-EI10)/(24*7)</f>
        <v>1</v>
      </c>
      <c r="EJ17" s="140">
        <f t="shared" ref="EJ17:EP17" si="114">(24-EJ10)/24</f>
        <v>1</v>
      </c>
      <c r="EK17" s="140">
        <f t="shared" si="114"/>
        <v>1</v>
      </c>
      <c r="EL17" s="140">
        <f t="shared" si="114"/>
        <v>1</v>
      </c>
      <c r="EM17" s="140">
        <f t="shared" si="114"/>
        <v>1</v>
      </c>
      <c r="EN17" s="140">
        <f t="shared" si="114"/>
        <v>1</v>
      </c>
      <c r="EO17" s="140">
        <f t="shared" si="114"/>
        <v>1</v>
      </c>
      <c r="EP17" s="140">
        <f t="shared" si="114"/>
        <v>1</v>
      </c>
      <c r="EQ17" s="140">
        <f>((24*7)-EQ10)/(24*7)</f>
        <v>1</v>
      </c>
      <c r="ER17" s="140">
        <f t="shared" ref="ER17:EX17" si="115">(24-ER10)/24</f>
        <v>1</v>
      </c>
      <c r="ES17" s="140">
        <f t="shared" si="115"/>
        <v>1</v>
      </c>
      <c r="ET17" s="140">
        <f t="shared" si="115"/>
        <v>1</v>
      </c>
      <c r="EU17" s="140">
        <f t="shared" si="115"/>
        <v>1</v>
      </c>
      <c r="EV17" s="140">
        <f t="shared" si="115"/>
        <v>1</v>
      </c>
      <c r="EW17" s="140">
        <f t="shared" si="115"/>
        <v>1</v>
      </c>
      <c r="EX17" s="140">
        <f t="shared" si="115"/>
        <v>1</v>
      </c>
      <c r="EY17" s="140">
        <f>((24*7)-EY10)/(24*7)</f>
        <v>1</v>
      </c>
      <c r="EZ17" s="140">
        <f t="shared" ref="EZ17:FF17" si="116">(24-EZ10)/24</f>
        <v>1</v>
      </c>
      <c r="FA17" s="140">
        <f t="shared" si="116"/>
        <v>1</v>
      </c>
      <c r="FB17" s="140">
        <f t="shared" si="116"/>
        <v>1</v>
      </c>
      <c r="FC17" s="140">
        <f t="shared" si="116"/>
        <v>1</v>
      </c>
      <c r="FD17" s="140">
        <f t="shared" si="116"/>
        <v>1</v>
      </c>
      <c r="FE17" s="140">
        <f t="shared" si="116"/>
        <v>1</v>
      </c>
      <c r="FF17" s="140">
        <f t="shared" si="116"/>
        <v>1</v>
      </c>
      <c r="FG17" s="140">
        <f>((24*7)-FG10)/(24*7)</f>
        <v>1</v>
      </c>
      <c r="FH17" s="140">
        <f t="shared" ref="FH17:FN17" si="117">(24-FH10)/24</f>
        <v>1</v>
      </c>
      <c r="FI17" s="140">
        <f t="shared" si="117"/>
        <v>1</v>
      </c>
      <c r="FJ17" s="140">
        <f t="shared" si="117"/>
        <v>1</v>
      </c>
      <c r="FK17" s="140">
        <f t="shared" si="117"/>
        <v>1</v>
      </c>
      <c r="FL17" s="140">
        <f t="shared" si="117"/>
        <v>1</v>
      </c>
      <c r="FM17" s="140">
        <f t="shared" si="117"/>
        <v>1</v>
      </c>
      <c r="FN17" s="140">
        <f t="shared" si="117"/>
        <v>1</v>
      </c>
      <c r="FO17" s="140">
        <f>((24*7)-FO10)/(24*7)</f>
        <v>1</v>
      </c>
      <c r="FP17" s="140">
        <f t="shared" ref="FP17:FV17" si="118">(24-FP10)/24</f>
        <v>1</v>
      </c>
      <c r="FQ17" s="140">
        <f t="shared" si="118"/>
        <v>1</v>
      </c>
      <c r="FR17" s="140">
        <f t="shared" si="118"/>
        <v>1</v>
      </c>
      <c r="FS17" s="140">
        <f t="shared" si="118"/>
        <v>1</v>
      </c>
      <c r="FT17" s="140">
        <f t="shared" si="118"/>
        <v>1</v>
      </c>
      <c r="FU17" s="140">
        <f t="shared" si="118"/>
        <v>1</v>
      </c>
      <c r="FV17" s="140">
        <f t="shared" si="118"/>
        <v>1</v>
      </c>
      <c r="FW17" s="140">
        <f>((24*7)-FW10)/(24*7)</f>
        <v>1</v>
      </c>
      <c r="FX17" s="140">
        <f t="shared" ref="FX17:GD17" si="119">(24-FX10)/24</f>
        <v>1</v>
      </c>
      <c r="FY17" s="140">
        <f t="shared" si="119"/>
        <v>1</v>
      </c>
      <c r="FZ17" s="140">
        <f t="shared" si="119"/>
        <v>1</v>
      </c>
      <c r="GA17" s="140">
        <f t="shared" si="119"/>
        <v>1</v>
      </c>
      <c r="GB17" s="140">
        <f t="shared" si="119"/>
        <v>1</v>
      </c>
      <c r="GC17" s="140">
        <f t="shared" si="119"/>
        <v>1</v>
      </c>
      <c r="GD17" s="140">
        <f t="shared" si="119"/>
        <v>1</v>
      </c>
      <c r="GE17" s="140">
        <f>((24*7)-GE10)/(24*7)</f>
        <v>1</v>
      </c>
      <c r="GF17" s="140">
        <f t="shared" ref="GF17:GL17" si="120">(24-GF10)/24</f>
        <v>1</v>
      </c>
      <c r="GG17" s="140">
        <f t="shared" si="120"/>
        <v>1</v>
      </c>
      <c r="GH17" s="140">
        <f t="shared" si="120"/>
        <v>1</v>
      </c>
      <c r="GI17" s="140">
        <f t="shared" si="120"/>
        <v>1</v>
      </c>
      <c r="GJ17" s="140">
        <f t="shared" si="120"/>
        <v>1</v>
      </c>
      <c r="GK17" s="140">
        <f t="shared" si="120"/>
        <v>1</v>
      </c>
      <c r="GL17" s="140">
        <f t="shared" si="120"/>
        <v>1</v>
      </c>
      <c r="GM17" s="140">
        <f>((24*7)-GM10)/(24*7)</f>
        <v>1</v>
      </c>
      <c r="GN17" s="140">
        <f t="shared" ref="GN17:GT17" si="121">(24-GN10)/24</f>
        <v>1</v>
      </c>
      <c r="GO17" s="140">
        <f t="shared" si="121"/>
        <v>1</v>
      </c>
      <c r="GP17" s="140">
        <f t="shared" si="121"/>
        <v>1</v>
      </c>
      <c r="GQ17" s="140">
        <f t="shared" si="121"/>
        <v>1</v>
      </c>
      <c r="GR17" s="140">
        <f t="shared" si="121"/>
        <v>1</v>
      </c>
      <c r="GS17" s="140">
        <f t="shared" si="121"/>
        <v>1</v>
      </c>
      <c r="GT17" s="140">
        <f t="shared" si="121"/>
        <v>1</v>
      </c>
      <c r="GU17" s="140">
        <f>((24*7)-GU10)/(24*7)</f>
        <v>1</v>
      </c>
      <c r="GV17" s="140">
        <f t="shared" ref="GV17:HB17" si="122">(24-GV10)/24</f>
        <v>1</v>
      </c>
      <c r="GW17" s="140">
        <f t="shared" si="122"/>
        <v>1</v>
      </c>
      <c r="GX17" s="140">
        <f t="shared" si="122"/>
        <v>1</v>
      </c>
      <c r="GY17" s="140">
        <f t="shared" si="122"/>
        <v>1</v>
      </c>
      <c r="GZ17" s="140">
        <f t="shared" si="122"/>
        <v>1</v>
      </c>
      <c r="HA17" s="140">
        <f t="shared" si="122"/>
        <v>1</v>
      </c>
      <c r="HB17" s="140">
        <f t="shared" si="122"/>
        <v>1</v>
      </c>
      <c r="HC17" s="140">
        <f>((24*7)-HC10)/(24*7)</f>
        <v>1</v>
      </c>
      <c r="HD17" s="140">
        <f t="shared" ref="HD17:HJ17" si="123">(24-HD10)/24</f>
        <v>1</v>
      </c>
      <c r="HE17" s="140">
        <f t="shared" si="123"/>
        <v>1</v>
      </c>
      <c r="HF17" s="140">
        <f t="shared" si="123"/>
        <v>1</v>
      </c>
      <c r="HG17" s="140">
        <f t="shared" si="123"/>
        <v>1</v>
      </c>
      <c r="HH17" s="140">
        <f t="shared" si="123"/>
        <v>1</v>
      </c>
      <c r="HI17" s="140">
        <f t="shared" si="123"/>
        <v>1</v>
      </c>
      <c r="HJ17" s="140">
        <f t="shared" si="123"/>
        <v>1</v>
      </c>
      <c r="HK17" s="140">
        <f>((24*7)-HK10)/(24*7)</f>
        <v>1</v>
      </c>
      <c r="HL17" s="140">
        <f t="shared" ref="HL17:HR17" si="124">(24-HL10)/24</f>
        <v>1</v>
      </c>
      <c r="HM17" s="140">
        <f t="shared" si="124"/>
        <v>1</v>
      </c>
      <c r="HN17" s="140">
        <f t="shared" si="124"/>
        <v>1</v>
      </c>
      <c r="HO17" s="140">
        <f t="shared" si="124"/>
        <v>1</v>
      </c>
      <c r="HP17" s="140">
        <f t="shared" si="124"/>
        <v>1</v>
      </c>
      <c r="HQ17" s="140">
        <f t="shared" si="124"/>
        <v>1</v>
      </c>
      <c r="HR17" s="140">
        <f t="shared" si="124"/>
        <v>1</v>
      </c>
      <c r="HS17" s="140">
        <f>((24*7)-HS10)/(24*7)</f>
        <v>1</v>
      </c>
      <c r="HT17" s="140">
        <f t="shared" ref="HT17:HZ17" si="125">(24-HT10)/24</f>
        <v>1</v>
      </c>
      <c r="HU17" s="140">
        <f t="shared" si="125"/>
        <v>1</v>
      </c>
      <c r="HV17" s="140">
        <f t="shared" si="125"/>
        <v>1</v>
      </c>
      <c r="HW17" s="140">
        <f t="shared" si="125"/>
        <v>1</v>
      </c>
      <c r="HX17" s="140">
        <f t="shared" si="125"/>
        <v>1</v>
      </c>
      <c r="HY17" s="140">
        <f t="shared" si="125"/>
        <v>1</v>
      </c>
      <c r="HZ17" s="140">
        <f t="shared" si="125"/>
        <v>1</v>
      </c>
      <c r="IA17" s="140">
        <f>((24*7)-IA10)/(24*7)</f>
        <v>1</v>
      </c>
      <c r="IB17" s="140">
        <f t="shared" ref="IB17:IH17" si="126">(24-IB10)/24</f>
        <v>1</v>
      </c>
      <c r="IC17" s="140">
        <f t="shared" si="126"/>
        <v>1</v>
      </c>
      <c r="ID17" s="140">
        <f t="shared" si="126"/>
        <v>1</v>
      </c>
      <c r="IE17" s="140">
        <f t="shared" si="126"/>
        <v>1</v>
      </c>
      <c r="IF17" s="140">
        <f t="shared" si="126"/>
        <v>1</v>
      </c>
      <c r="IG17" s="140">
        <f t="shared" si="126"/>
        <v>1</v>
      </c>
      <c r="IH17" s="140">
        <f t="shared" si="126"/>
        <v>1</v>
      </c>
      <c r="II17" s="140">
        <f>((24*7)-II10)/(24*7)</f>
        <v>1</v>
      </c>
      <c r="IJ17" s="140">
        <f t="shared" ref="IJ17:IP17" si="127">(24-IJ10)/24</f>
        <v>1</v>
      </c>
      <c r="IK17" s="140">
        <f t="shared" si="127"/>
        <v>1</v>
      </c>
      <c r="IL17" s="140">
        <f t="shared" si="127"/>
        <v>1</v>
      </c>
      <c r="IM17" s="140">
        <f t="shared" si="127"/>
        <v>1</v>
      </c>
      <c r="IN17" s="140">
        <f t="shared" si="127"/>
        <v>1</v>
      </c>
      <c r="IO17" s="140">
        <f t="shared" si="127"/>
        <v>1</v>
      </c>
      <c r="IP17" s="140">
        <f t="shared" si="127"/>
        <v>1</v>
      </c>
      <c r="IQ17" s="140">
        <f>((24*7)-IQ10)/(24*7)</f>
        <v>1</v>
      </c>
      <c r="IR17" s="140">
        <f t="shared" ref="IR17:IX17" si="128">(24-IR10)/24</f>
        <v>1</v>
      </c>
      <c r="IS17" s="140">
        <f t="shared" si="128"/>
        <v>1</v>
      </c>
      <c r="IT17" s="140">
        <f t="shared" si="128"/>
        <v>1</v>
      </c>
      <c r="IU17" s="140">
        <f t="shared" si="128"/>
        <v>1</v>
      </c>
      <c r="IV17" s="140">
        <f t="shared" si="128"/>
        <v>1</v>
      </c>
      <c r="IW17" s="140">
        <f t="shared" si="128"/>
        <v>1</v>
      </c>
      <c r="IX17" s="140">
        <f t="shared" si="128"/>
        <v>1</v>
      </c>
      <c r="IY17" s="140">
        <f>((24*7)-IY10)/(24*7)</f>
        <v>1</v>
      </c>
      <c r="IZ17" s="140">
        <f t="shared" ref="IZ17:JF17" si="129">(24-IZ10)/24</f>
        <v>1</v>
      </c>
      <c r="JA17" s="140">
        <f t="shared" si="129"/>
        <v>1</v>
      </c>
      <c r="JB17" s="140">
        <f t="shared" si="129"/>
        <v>1</v>
      </c>
      <c r="JC17" s="140">
        <f t="shared" si="129"/>
        <v>1</v>
      </c>
      <c r="JD17" s="140">
        <f t="shared" si="129"/>
        <v>1</v>
      </c>
      <c r="JE17" s="140">
        <f t="shared" si="129"/>
        <v>1</v>
      </c>
      <c r="JF17" s="140">
        <f t="shared" si="129"/>
        <v>1</v>
      </c>
      <c r="JG17" s="140">
        <f>((24*7)-JG10)/(24*7)</f>
        <v>1</v>
      </c>
      <c r="JH17" s="140">
        <f t="shared" ref="JH17:JN17" si="130">(24-JH10)/24</f>
        <v>1</v>
      </c>
      <c r="JI17" s="140">
        <f t="shared" si="130"/>
        <v>1</v>
      </c>
      <c r="JJ17" s="140">
        <f t="shared" si="130"/>
        <v>1</v>
      </c>
      <c r="JK17" s="140">
        <f t="shared" si="130"/>
        <v>1</v>
      </c>
      <c r="JL17" s="140">
        <f t="shared" si="130"/>
        <v>1</v>
      </c>
      <c r="JM17" s="140">
        <f t="shared" si="130"/>
        <v>1</v>
      </c>
      <c r="JN17" s="140">
        <f t="shared" si="130"/>
        <v>1</v>
      </c>
      <c r="JO17" s="140">
        <f>((24*7)-JO10)/(24*7)</f>
        <v>1</v>
      </c>
      <c r="JP17" s="140">
        <f t="shared" ref="JP17:JV17" si="131">(24-JP10)/24</f>
        <v>1</v>
      </c>
      <c r="JQ17" s="140">
        <f t="shared" si="131"/>
        <v>1</v>
      </c>
      <c r="JR17" s="140">
        <f t="shared" si="131"/>
        <v>1</v>
      </c>
      <c r="JS17" s="140">
        <f t="shared" si="131"/>
        <v>1</v>
      </c>
      <c r="JT17" s="140">
        <f t="shared" si="131"/>
        <v>1</v>
      </c>
      <c r="JU17" s="140">
        <f t="shared" si="131"/>
        <v>1</v>
      </c>
      <c r="JV17" s="140">
        <f t="shared" si="131"/>
        <v>1</v>
      </c>
      <c r="JW17" s="140">
        <f>((24*7)-JW10)/(24*7)</f>
        <v>1</v>
      </c>
      <c r="JX17" s="140">
        <f t="shared" ref="JX17:KD17" si="132">(24-JX10)/24</f>
        <v>1</v>
      </c>
      <c r="JY17" s="140">
        <f t="shared" si="132"/>
        <v>1</v>
      </c>
      <c r="JZ17" s="140">
        <f t="shared" si="132"/>
        <v>1</v>
      </c>
      <c r="KA17" s="140">
        <f t="shared" si="132"/>
        <v>1</v>
      </c>
      <c r="KB17" s="140">
        <f t="shared" si="132"/>
        <v>1</v>
      </c>
      <c r="KC17" s="140">
        <f t="shared" si="132"/>
        <v>1</v>
      </c>
      <c r="KD17" s="140">
        <f t="shared" si="132"/>
        <v>1</v>
      </c>
      <c r="KE17" s="140">
        <f>((24*7)-KE10)/(24*7)</f>
        <v>1</v>
      </c>
      <c r="KF17" s="140">
        <f t="shared" ref="KF17:KL17" si="133">(24-KF10)/24</f>
        <v>1</v>
      </c>
      <c r="KG17" s="140">
        <f t="shared" si="133"/>
        <v>1</v>
      </c>
      <c r="KH17" s="140">
        <f t="shared" si="133"/>
        <v>1</v>
      </c>
      <c r="KI17" s="140">
        <f t="shared" si="133"/>
        <v>1</v>
      </c>
      <c r="KJ17" s="140">
        <f t="shared" si="133"/>
        <v>1</v>
      </c>
      <c r="KK17" s="140">
        <f t="shared" si="133"/>
        <v>1</v>
      </c>
      <c r="KL17" s="140">
        <f t="shared" si="133"/>
        <v>1</v>
      </c>
      <c r="KM17" s="140">
        <f>((24*7)-KM10)/(24*7)</f>
        <v>1</v>
      </c>
      <c r="KN17" s="140">
        <f t="shared" ref="KN17:KT17" si="134">(24-KN10)/24</f>
        <v>1</v>
      </c>
      <c r="KO17" s="140">
        <f t="shared" si="134"/>
        <v>1</v>
      </c>
      <c r="KP17" s="140">
        <f t="shared" si="134"/>
        <v>1</v>
      </c>
      <c r="KQ17" s="140">
        <f t="shared" si="134"/>
        <v>1</v>
      </c>
      <c r="KR17" s="140">
        <f t="shared" si="134"/>
        <v>1</v>
      </c>
      <c r="KS17" s="140">
        <f t="shared" si="134"/>
        <v>1</v>
      </c>
      <c r="KT17" s="140">
        <f t="shared" si="134"/>
        <v>1</v>
      </c>
      <c r="KU17" s="140">
        <f>((24*7)-KU10)/(24*7)</f>
        <v>1</v>
      </c>
      <c r="KV17" s="140">
        <f t="shared" ref="KV17:LB17" si="135">(24-KV10)/24</f>
        <v>1</v>
      </c>
      <c r="KW17" s="140">
        <f t="shared" si="135"/>
        <v>1</v>
      </c>
      <c r="KX17" s="140">
        <f t="shared" si="135"/>
        <v>1</v>
      </c>
      <c r="KY17" s="140">
        <f t="shared" si="135"/>
        <v>1</v>
      </c>
      <c r="KZ17" s="140">
        <f t="shared" si="135"/>
        <v>1</v>
      </c>
      <c r="LA17" s="140">
        <f t="shared" si="135"/>
        <v>1</v>
      </c>
      <c r="LB17" s="140">
        <f t="shared" si="135"/>
        <v>1</v>
      </c>
      <c r="LC17" s="140">
        <f>((24*7)-LC10)/(24*7)</f>
        <v>1</v>
      </c>
      <c r="LD17" s="140">
        <f t="shared" ref="LD17:LJ17" si="136">(24-LD10)/24</f>
        <v>1</v>
      </c>
      <c r="LE17" s="140">
        <f t="shared" si="136"/>
        <v>1</v>
      </c>
      <c r="LF17" s="140">
        <f t="shared" si="136"/>
        <v>1</v>
      </c>
      <c r="LG17" s="140">
        <f t="shared" si="136"/>
        <v>1</v>
      </c>
      <c r="LH17" s="140">
        <f t="shared" si="136"/>
        <v>1</v>
      </c>
      <c r="LI17" s="140">
        <f t="shared" si="136"/>
        <v>1</v>
      </c>
      <c r="LJ17" s="140">
        <f t="shared" si="136"/>
        <v>1</v>
      </c>
      <c r="LK17" s="140">
        <f>((24*7)-LK10)/(24*7)</f>
        <v>1</v>
      </c>
      <c r="LL17" s="140">
        <f t="shared" ref="LL17:LR17" si="137">(24-LL10)/24</f>
        <v>1</v>
      </c>
      <c r="LM17" s="140">
        <f t="shared" si="137"/>
        <v>1</v>
      </c>
      <c r="LN17" s="140">
        <f t="shared" si="137"/>
        <v>1</v>
      </c>
      <c r="LO17" s="140">
        <f t="shared" si="137"/>
        <v>1</v>
      </c>
      <c r="LP17" s="140">
        <f t="shared" si="137"/>
        <v>1</v>
      </c>
      <c r="LQ17" s="140">
        <f t="shared" si="137"/>
        <v>1</v>
      </c>
      <c r="LR17" s="140">
        <f t="shared" si="137"/>
        <v>1</v>
      </c>
      <c r="LS17" s="140">
        <f>((24*7)-LS10)/(24*7)</f>
        <v>1</v>
      </c>
      <c r="LT17" s="140">
        <f t="shared" ref="LT17:LZ17" si="138">(24-LT10)/24</f>
        <v>1</v>
      </c>
      <c r="LU17" s="140">
        <f t="shared" si="138"/>
        <v>1</v>
      </c>
      <c r="LV17" s="140">
        <f t="shared" si="138"/>
        <v>1</v>
      </c>
      <c r="LW17" s="140">
        <f t="shared" si="138"/>
        <v>1</v>
      </c>
      <c r="LX17" s="140">
        <f t="shared" si="138"/>
        <v>1</v>
      </c>
      <c r="LY17" s="140">
        <f t="shared" si="138"/>
        <v>1</v>
      </c>
      <c r="LZ17" s="140">
        <f t="shared" si="138"/>
        <v>1</v>
      </c>
      <c r="MA17" s="140">
        <f>((24*7)-MA10)/(24*7)</f>
        <v>1</v>
      </c>
      <c r="MB17" s="140">
        <f t="shared" ref="MB17:MH17" si="139">(24-MB10)/24</f>
        <v>1</v>
      </c>
      <c r="MC17" s="140">
        <f t="shared" si="139"/>
        <v>1</v>
      </c>
      <c r="MD17" s="140">
        <f t="shared" si="139"/>
        <v>1</v>
      </c>
      <c r="ME17" s="140">
        <f t="shared" si="139"/>
        <v>1</v>
      </c>
      <c r="MF17" s="140">
        <f t="shared" si="139"/>
        <v>1</v>
      </c>
      <c r="MG17" s="140">
        <f t="shared" si="139"/>
        <v>1</v>
      </c>
      <c r="MH17" s="140">
        <f t="shared" si="139"/>
        <v>1</v>
      </c>
      <c r="MI17" s="140">
        <f>((24*7)-MI10)/(24*7)</f>
        <v>1</v>
      </c>
      <c r="MJ17" s="140">
        <f t="shared" ref="MJ17:MP17" si="140">(24-MJ10)/24</f>
        <v>1</v>
      </c>
      <c r="MK17" s="140">
        <f t="shared" si="140"/>
        <v>1</v>
      </c>
      <c r="ML17" s="140">
        <f t="shared" si="140"/>
        <v>1</v>
      </c>
      <c r="MM17" s="140">
        <f t="shared" si="140"/>
        <v>1</v>
      </c>
      <c r="MN17" s="140">
        <f t="shared" si="140"/>
        <v>1</v>
      </c>
      <c r="MO17" s="140">
        <f t="shared" si="140"/>
        <v>1</v>
      </c>
      <c r="MP17" s="140">
        <f t="shared" si="140"/>
        <v>1</v>
      </c>
      <c r="MQ17" s="140">
        <f>((24*7)-MQ10)/(24*7)</f>
        <v>1</v>
      </c>
      <c r="MR17" s="140">
        <f t="shared" ref="MR17:MX17" si="141">(24-MR10)/24</f>
        <v>1</v>
      </c>
      <c r="MS17" s="140">
        <f t="shared" si="141"/>
        <v>1</v>
      </c>
      <c r="MT17" s="140">
        <f t="shared" si="141"/>
        <v>1</v>
      </c>
      <c r="MU17" s="140">
        <f t="shared" si="141"/>
        <v>1</v>
      </c>
      <c r="MV17" s="140">
        <f t="shared" si="141"/>
        <v>1</v>
      </c>
      <c r="MW17" s="140">
        <f t="shared" si="141"/>
        <v>1</v>
      </c>
      <c r="MX17" s="140">
        <f t="shared" si="141"/>
        <v>1</v>
      </c>
      <c r="MY17" s="140">
        <f>((24*7)-MY10)/(24*7)</f>
        <v>1</v>
      </c>
      <c r="MZ17" s="140">
        <f t="shared" ref="MZ17:NF17" si="142">(24-MZ10)/24</f>
        <v>1</v>
      </c>
      <c r="NA17" s="140">
        <f t="shared" si="142"/>
        <v>1</v>
      </c>
      <c r="NB17" s="140">
        <f t="shared" si="142"/>
        <v>1</v>
      </c>
      <c r="NC17" s="140">
        <f t="shared" si="142"/>
        <v>1</v>
      </c>
      <c r="ND17" s="140">
        <f t="shared" si="142"/>
        <v>1</v>
      </c>
      <c r="NE17" s="140">
        <f t="shared" si="142"/>
        <v>1</v>
      </c>
      <c r="NF17" s="140">
        <f t="shared" si="142"/>
        <v>1</v>
      </c>
      <c r="NG17" s="140">
        <f>((24*7)-NG10)/(24*7)</f>
        <v>1</v>
      </c>
      <c r="NH17" s="140">
        <f t="shared" ref="NH17:NN17" si="143">(24-NH10)/24</f>
        <v>1</v>
      </c>
      <c r="NI17" s="140">
        <f t="shared" si="143"/>
        <v>1</v>
      </c>
      <c r="NJ17" s="140">
        <f t="shared" si="143"/>
        <v>1</v>
      </c>
      <c r="NK17" s="140">
        <f t="shared" si="143"/>
        <v>1</v>
      </c>
      <c r="NL17" s="140">
        <f t="shared" si="143"/>
        <v>1</v>
      </c>
      <c r="NM17" s="140">
        <f t="shared" si="143"/>
        <v>1</v>
      </c>
      <c r="NN17" s="140">
        <f t="shared" si="143"/>
        <v>1</v>
      </c>
      <c r="NO17" s="140">
        <f>((24*7)-NO10)/(24*7)</f>
        <v>1</v>
      </c>
      <c r="NP17" s="140">
        <f t="shared" ref="NP17:NV17" si="144">(24-NP10)/24</f>
        <v>1</v>
      </c>
      <c r="NQ17" s="140">
        <f t="shared" si="144"/>
        <v>1</v>
      </c>
      <c r="NR17" s="140">
        <f t="shared" si="144"/>
        <v>1</v>
      </c>
      <c r="NS17" s="140">
        <f t="shared" si="144"/>
        <v>1</v>
      </c>
      <c r="NT17" s="140">
        <f t="shared" si="144"/>
        <v>1</v>
      </c>
      <c r="NU17" s="140">
        <f t="shared" si="144"/>
        <v>1</v>
      </c>
      <c r="NV17" s="140">
        <f t="shared" si="144"/>
        <v>1</v>
      </c>
      <c r="NW17" s="140">
        <f>((24*7)-NW10)/(24*7)</f>
        <v>1</v>
      </c>
    </row>
    <row r="18" spans="1:387" ht="16.5" thickBot="1" x14ac:dyDescent="0.3">
      <c r="A18" s="594"/>
      <c r="B18" s="94" t="s">
        <v>377</v>
      </c>
      <c r="C18" s="95" t="s">
        <v>378</v>
      </c>
      <c r="D18" s="141" t="e">
        <f>(24-D10-D11-D12-D13-D14-D16)/(24-D14)</f>
        <v>#REF!</v>
      </c>
      <c r="E18" s="141" t="e">
        <f t="shared" ref="E18:J18" si="145">(24-E10-E11-E12-E13-E14-E16)/(24-E14)</f>
        <v>#REF!</v>
      </c>
      <c r="F18" s="141" t="e">
        <f t="shared" si="145"/>
        <v>#REF!</v>
      </c>
      <c r="G18" s="141" t="e">
        <f t="shared" si="145"/>
        <v>#REF!</v>
      </c>
      <c r="H18" s="141" t="e">
        <f t="shared" si="145"/>
        <v>#REF!</v>
      </c>
      <c r="I18" s="141" t="e">
        <f t="shared" si="145"/>
        <v>#REF!</v>
      </c>
      <c r="J18" s="141" t="e">
        <f t="shared" si="145"/>
        <v>#REF!</v>
      </c>
      <c r="K18" s="141" t="e">
        <f>((24*7)-K10-K11-K12-K13-K14-K16)/((24*7)-K14)</f>
        <v>#REF!</v>
      </c>
      <c r="L18" s="141" t="e">
        <f t="shared" ref="L18:R18" si="146">(24-L10-L11-L12-L13-L14-L16)/(24-L14)</f>
        <v>#REF!</v>
      </c>
      <c r="M18" s="141" t="e">
        <f t="shared" si="146"/>
        <v>#REF!</v>
      </c>
      <c r="N18" s="141" t="e">
        <f t="shared" si="146"/>
        <v>#REF!</v>
      </c>
      <c r="O18" s="141" t="e">
        <f t="shared" si="146"/>
        <v>#REF!</v>
      </c>
      <c r="P18" s="141" t="e">
        <f t="shared" si="146"/>
        <v>#REF!</v>
      </c>
      <c r="Q18" s="141" t="e">
        <f t="shared" si="146"/>
        <v>#REF!</v>
      </c>
      <c r="R18" s="141" t="e">
        <f t="shared" si="146"/>
        <v>#REF!</v>
      </c>
      <c r="S18" s="141" t="e">
        <f>((24*7)-S10-S11-S12-S13-S14-S16)/((24*7)-S14)</f>
        <v>#REF!</v>
      </c>
      <c r="T18" s="141" t="e">
        <f t="shared" ref="T18:Z18" si="147">(24-T10-T11-T12-T13-T14-T16)/(24-T14)</f>
        <v>#REF!</v>
      </c>
      <c r="U18" s="141" t="e">
        <f t="shared" si="147"/>
        <v>#REF!</v>
      </c>
      <c r="V18" s="141" t="e">
        <f t="shared" si="147"/>
        <v>#REF!</v>
      </c>
      <c r="W18" s="141" t="e">
        <f t="shared" si="147"/>
        <v>#REF!</v>
      </c>
      <c r="X18" s="141" t="e">
        <f t="shared" si="147"/>
        <v>#REF!</v>
      </c>
      <c r="Y18" s="141" t="e">
        <f t="shared" si="147"/>
        <v>#REF!</v>
      </c>
      <c r="Z18" s="141" t="e">
        <f t="shared" si="147"/>
        <v>#REF!</v>
      </c>
      <c r="AA18" s="141" t="e">
        <f>((24*7)-AA10-AA11-AA12-AA13-AA14-AA16)/((24*7)-AA14)</f>
        <v>#REF!</v>
      </c>
      <c r="AB18" s="141" t="e">
        <f t="shared" ref="AB18:AH18" si="148">(24-AB10-AB11-AB12-AB13-AB14-AB16)/(24-AB14)</f>
        <v>#REF!</v>
      </c>
      <c r="AC18" s="141" t="e">
        <f t="shared" si="148"/>
        <v>#REF!</v>
      </c>
      <c r="AD18" s="141" t="e">
        <f t="shared" si="148"/>
        <v>#REF!</v>
      </c>
      <c r="AE18" s="141" t="e">
        <f t="shared" si="148"/>
        <v>#REF!</v>
      </c>
      <c r="AF18" s="141" t="e">
        <f t="shared" si="148"/>
        <v>#REF!</v>
      </c>
      <c r="AG18" s="141" t="e">
        <f t="shared" si="148"/>
        <v>#REF!</v>
      </c>
      <c r="AH18" s="141" t="e">
        <f t="shared" si="148"/>
        <v>#REF!</v>
      </c>
      <c r="AI18" s="141" t="e">
        <f>((24*7)-AI10-AI11-AI12-AI13-AI14-AI16)/((24*7)-AI14)</f>
        <v>#REF!</v>
      </c>
      <c r="AJ18" s="141" t="e">
        <f t="shared" ref="AJ18:AP18" si="149">(24-AJ10-AJ11-AJ12-AJ13-AJ14-AJ16)/(24-AJ14)</f>
        <v>#REF!</v>
      </c>
      <c r="AK18" s="141" t="e">
        <f t="shared" si="149"/>
        <v>#REF!</v>
      </c>
      <c r="AL18" s="141" t="e">
        <f t="shared" si="149"/>
        <v>#REF!</v>
      </c>
      <c r="AM18" s="141" t="e">
        <f t="shared" si="149"/>
        <v>#REF!</v>
      </c>
      <c r="AN18" s="141" t="e">
        <f t="shared" si="149"/>
        <v>#REF!</v>
      </c>
      <c r="AO18" s="141" t="e">
        <f t="shared" si="149"/>
        <v>#REF!</v>
      </c>
      <c r="AP18" s="141" t="e">
        <f t="shared" si="149"/>
        <v>#REF!</v>
      </c>
      <c r="AQ18" s="141" t="e">
        <f>((24*7)-AQ10-AQ11-AQ12-AQ13-AQ14-AQ16)/((24*7)-AQ14)</f>
        <v>#REF!</v>
      </c>
      <c r="AR18" s="141" t="e">
        <f t="shared" ref="AR18:AX18" si="150">(24-AR10-AR11-AR12-AR13-AR14-AR16)/(24-AR14)</f>
        <v>#REF!</v>
      </c>
      <c r="AS18" s="141" t="e">
        <f t="shared" si="150"/>
        <v>#REF!</v>
      </c>
      <c r="AT18" s="141" t="e">
        <f t="shared" si="150"/>
        <v>#REF!</v>
      </c>
      <c r="AU18" s="141" t="e">
        <f t="shared" si="150"/>
        <v>#REF!</v>
      </c>
      <c r="AV18" s="141" t="e">
        <f t="shared" si="150"/>
        <v>#REF!</v>
      </c>
      <c r="AW18" s="141" t="e">
        <f t="shared" si="150"/>
        <v>#REF!</v>
      </c>
      <c r="AX18" s="141" t="e">
        <f t="shared" si="150"/>
        <v>#REF!</v>
      </c>
      <c r="AY18" s="141" t="e">
        <f>((24*7)-AY10-AY11-AY12-AY13-AY14-AY16)/((24*7)-AY14)</f>
        <v>#REF!</v>
      </c>
      <c r="AZ18" s="141" t="e">
        <f t="shared" ref="AZ18:BF18" si="151">(24-AZ10-AZ11-AZ12-AZ13-AZ14-AZ16)/(24-AZ14)</f>
        <v>#REF!</v>
      </c>
      <c r="BA18" s="141" t="e">
        <f t="shared" si="151"/>
        <v>#REF!</v>
      </c>
      <c r="BB18" s="141" t="e">
        <f t="shared" si="151"/>
        <v>#REF!</v>
      </c>
      <c r="BC18" s="141" t="e">
        <f t="shared" si="151"/>
        <v>#REF!</v>
      </c>
      <c r="BD18" s="141" t="e">
        <f t="shared" si="151"/>
        <v>#REF!</v>
      </c>
      <c r="BE18" s="141" t="e">
        <f t="shared" si="151"/>
        <v>#REF!</v>
      </c>
      <c r="BF18" s="141" t="e">
        <f t="shared" si="151"/>
        <v>#REF!</v>
      </c>
      <c r="BG18" s="141" t="e">
        <f>((24*7)-BG10-BG11-BG12-BG13-BG14-BG16)/((24*7)-BG14)</f>
        <v>#REF!</v>
      </c>
      <c r="BH18" s="141" t="e">
        <f t="shared" ref="BH18:BN18" si="152">(24-BH10-BH11-BH12-BH13-BH14-BH16)/(24-BH14)</f>
        <v>#REF!</v>
      </c>
      <c r="BI18" s="141" t="e">
        <f t="shared" si="152"/>
        <v>#REF!</v>
      </c>
      <c r="BJ18" s="141" t="e">
        <f t="shared" si="152"/>
        <v>#REF!</v>
      </c>
      <c r="BK18" s="141" t="e">
        <f t="shared" si="152"/>
        <v>#REF!</v>
      </c>
      <c r="BL18" s="141" t="e">
        <f t="shared" si="152"/>
        <v>#REF!</v>
      </c>
      <c r="BM18" s="141" t="e">
        <f t="shared" si="152"/>
        <v>#REF!</v>
      </c>
      <c r="BN18" s="141" t="e">
        <f t="shared" si="152"/>
        <v>#REF!</v>
      </c>
      <c r="BO18" s="141" t="e">
        <f>((24*7)-BO10-BO11-BO12-BO13-BO14-BO16)/((24*7)-BO14)</f>
        <v>#REF!</v>
      </c>
      <c r="BP18" s="141" t="e">
        <f t="shared" ref="BP18:BV18" si="153">(24-BP10-BP11-BP12-BP13-BP14-BP16)/(24-BP14)</f>
        <v>#REF!</v>
      </c>
      <c r="BQ18" s="141" t="e">
        <f t="shared" si="153"/>
        <v>#REF!</v>
      </c>
      <c r="BR18" s="141" t="e">
        <f t="shared" si="153"/>
        <v>#REF!</v>
      </c>
      <c r="BS18" s="141" t="e">
        <f t="shared" si="153"/>
        <v>#REF!</v>
      </c>
      <c r="BT18" s="141" t="e">
        <f t="shared" si="153"/>
        <v>#REF!</v>
      </c>
      <c r="BU18" s="141" t="e">
        <f t="shared" si="153"/>
        <v>#REF!</v>
      </c>
      <c r="BV18" s="141" t="e">
        <f t="shared" si="153"/>
        <v>#REF!</v>
      </c>
      <c r="BW18" s="141" t="e">
        <f>((24*7)-BW10-BW11-BW12-BW13-BW14-BW16)/((24*7)-BW14)</f>
        <v>#REF!</v>
      </c>
      <c r="BX18" s="141" t="e">
        <f t="shared" ref="BX18:CD18" si="154">(24-BX10-BX11-BX12-BX13-BX14-BX16)/(24-BX14)</f>
        <v>#REF!</v>
      </c>
      <c r="BY18" s="141" t="e">
        <f t="shared" si="154"/>
        <v>#REF!</v>
      </c>
      <c r="BZ18" s="141" t="e">
        <f t="shared" si="154"/>
        <v>#REF!</v>
      </c>
      <c r="CA18" s="141" t="e">
        <f t="shared" si="154"/>
        <v>#REF!</v>
      </c>
      <c r="CB18" s="141" t="e">
        <f t="shared" si="154"/>
        <v>#REF!</v>
      </c>
      <c r="CC18" s="141" t="e">
        <f t="shared" si="154"/>
        <v>#REF!</v>
      </c>
      <c r="CD18" s="141" t="e">
        <f t="shared" si="154"/>
        <v>#REF!</v>
      </c>
      <c r="CE18" s="141" t="e">
        <f>((24*7)-CE10-CE11-CE12-CE13-CE14-CE16)/((24*7)-CE14)</f>
        <v>#REF!</v>
      </c>
      <c r="CF18" s="141" t="e">
        <f t="shared" ref="CF18:CL18" si="155">(24-CF10-CF11-CF12-CF13-CF14-CF16)/(24-CF14)</f>
        <v>#REF!</v>
      </c>
      <c r="CG18" s="141" t="e">
        <f t="shared" si="155"/>
        <v>#REF!</v>
      </c>
      <c r="CH18" s="141" t="e">
        <f t="shared" si="155"/>
        <v>#REF!</v>
      </c>
      <c r="CI18" s="141" t="e">
        <f t="shared" si="155"/>
        <v>#REF!</v>
      </c>
      <c r="CJ18" s="141" t="e">
        <f t="shared" si="155"/>
        <v>#REF!</v>
      </c>
      <c r="CK18" s="141" t="e">
        <f t="shared" si="155"/>
        <v>#REF!</v>
      </c>
      <c r="CL18" s="141" t="e">
        <f t="shared" si="155"/>
        <v>#REF!</v>
      </c>
      <c r="CM18" s="141" t="e">
        <f>((24*7)-CM10-CM11-CM12-CM13-CM14-CM16)/((24*7)-CM14)</f>
        <v>#REF!</v>
      </c>
      <c r="CN18" s="141" t="e">
        <f t="shared" ref="CN18:CT18" si="156">(24-CN10-CN11-CN12-CN13-CN14-CN16)/(24-CN14)</f>
        <v>#REF!</v>
      </c>
      <c r="CO18" s="141" t="e">
        <f t="shared" si="156"/>
        <v>#REF!</v>
      </c>
      <c r="CP18" s="141" t="e">
        <f t="shared" si="156"/>
        <v>#REF!</v>
      </c>
      <c r="CQ18" s="141" t="e">
        <f t="shared" si="156"/>
        <v>#REF!</v>
      </c>
      <c r="CR18" s="141" t="e">
        <f t="shared" si="156"/>
        <v>#REF!</v>
      </c>
      <c r="CS18" s="141" t="e">
        <f t="shared" si="156"/>
        <v>#REF!</v>
      </c>
      <c r="CT18" s="141" t="e">
        <f t="shared" si="156"/>
        <v>#REF!</v>
      </c>
      <c r="CU18" s="141" t="e">
        <f>((24*7)-CU10-CU11-CU12-CU13-CU14-CU16)/((24*7)-CU14)</f>
        <v>#REF!</v>
      </c>
      <c r="CV18" s="141" t="e">
        <f t="shared" ref="CV18:DB18" si="157">(24-CV10-CV11-CV12-CV13-CV14-CV16)/(24-CV14)</f>
        <v>#REF!</v>
      </c>
      <c r="CW18" s="141" t="e">
        <f t="shared" si="157"/>
        <v>#REF!</v>
      </c>
      <c r="CX18" s="141" t="e">
        <f t="shared" si="157"/>
        <v>#REF!</v>
      </c>
      <c r="CY18" s="141" t="e">
        <f t="shared" si="157"/>
        <v>#REF!</v>
      </c>
      <c r="CZ18" s="141" t="e">
        <f t="shared" si="157"/>
        <v>#REF!</v>
      </c>
      <c r="DA18" s="141" t="e">
        <f t="shared" si="157"/>
        <v>#REF!</v>
      </c>
      <c r="DB18" s="141" t="e">
        <f t="shared" si="157"/>
        <v>#REF!</v>
      </c>
      <c r="DC18" s="141" t="e">
        <f>((24*7)-DC10-DC11-DC12-DC13-DC14-DC16)/((24*7)-DC14)</f>
        <v>#REF!</v>
      </c>
      <c r="DD18" s="141" t="e">
        <f t="shared" ref="DD18:DJ18" si="158">(24-DD10-DD11-DD12-DD13-DD14-DD16)/(24-DD14)</f>
        <v>#REF!</v>
      </c>
      <c r="DE18" s="141" t="e">
        <f t="shared" si="158"/>
        <v>#REF!</v>
      </c>
      <c r="DF18" s="141" t="e">
        <f t="shared" si="158"/>
        <v>#REF!</v>
      </c>
      <c r="DG18" s="141" t="e">
        <f t="shared" si="158"/>
        <v>#REF!</v>
      </c>
      <c r="DH18" s="141" t="e">
        <f t="shared" si="158"/>
        <v>#REF!</v>
      </c>
      <c r="DI18" s="141" t="e">
        <f t="shared" si="158"/>
        <v>#REF!</v>
      </c>
      <c r="DJ18" s="141" t="e">
        <f t="shared" si="158"/>
        <v>#REF!</v>
      </c>
      <c r="DK18" s="141" t="e">
        <f>((24*7)-DK10-DK11-DK12-DK13-DK14-DK16)/((24*7)-DK14)</f>
        <v>#REF!</v>
      </c>
      <c r="DL18" s="141" t="e">
        <f t="shared" ref="DL18:DR18" si="159">(24-DL10-DL11-DL12-DL13-DL14-DL16)/(24-DL14)</f>
        <v>#REF!</v>
      </c>
      <c r="DM18" s="141" t="e">
        <f t="shared" si="159"/>
        <v>#REF!</v>
      </c>
      <c r="DN18" s="141" t="e">
        <f t="shared" si="159"/>
        <v>#REF!</v>
      </c>
      <c r="DO18" s="141" t="e">
        <f t="shared" si="159"/>
        <v>#REF!</v>
      </c>
      <c r="DP18" s="141" t="e">
        <f t="shared" si="159"/>
        <v>#REF!</v>
      </c>
      <c r="DQ18" s="141" t="e">
        <f t="shared" si="159"/>
        <v>#REF!</v>
      </c>
      <c r="DR18" s="141" t="e">
        <f t="shared" si="159"/>
        <v>#REF!</v>
      </c>
      <c r="DS18" s="141" t="e">
        <f>((24*7)-DS10-DS11-DS12-DS13-DS14-DS16)/((24*7)-DS14)</f>
        <v>#REF!</v>
      </c>
      <c r="DT18" s="141" t="e">
        <f t="shared" ref="DT18:DZ18" si="160">(24-DT10-DT11-DT12-DT13-DT14-DT16)/(24-DT14)</f>
        <v>#REF!</v>
      </c>
      <c r="DU18" s="141" t="e">
        <f t="shared" si="160"/>
        <v>#REF!</v>
      </c>
      <c r="DV18" s="141" t="e">
        <f t="shared" si="160"/>
        <v>#REF!</v>
      </c>
      <c r="DW18" s="141" t="e">
        <f t="shared" si="160"/>
        <v>#REF!</v>
      </c>
      <c r="DX18" s="141" t="e">
        <f t="shared" si="160"/>
        <v>#REF!</v>
      </c>
      <c r="DY18" s="141" t="e">
        <f t="shared" si="160"/>
        <v>#REF!</v>
      </c>
      <c r="DZ18" s="141" t="e">
        <f t="shared" si="160"/>
        <v>#REF!</v>
      </c>
      <c r="EA18" s="141" t="e">
        <f>((24*7)-EA10-EA11-EA12-EA13-EA14-EA16)/((24*7)-EA14)</f>
        <v>#REF!</v>
      </c>
      <c r="EB18" s="141" t="e">
        <f t="shared" ref="EB18:EH18" si="161">(24-EB10-EB11-EB12-EB13-EB14-EB16)/(24-EB14)</f>
        <v>#REF!</v>
      </c>
      <c r="EC18" s="141" t="e">
        <f t="shared" si="161"/>
        <v>#REF!</v>
      </c>
      <c r="ED18" s="141" t="e">
        <f t="shared" si="161"/>
        <v>#REF!</v>
      </c>
      <c r="EE18" s="141" t="e">
        <f t="shared" si="161"/>
        <v>#REF!</v>
      </c>
      <c r="EF18" s="141" t="e">
        <f t="shared" si="161"/>
        <v>#REF!</v>
      </c>
      <c r="EG18" s="141" t="e">
        <f t="shared" si="161"/>
        <v>#REF!</v>
      </c>
      <c r="EH18" s="141" t="e">
        <f t="shared" si="161"/>
        <v>#REF!</v>
      </c>
      <c r="EI18" s="141" t="e">
        <f>((24*7)-EI10-EI11-EI12-EI13-EI14-EI16)/((24*7)-EI14)</f>
        <v>#REF!</v>
      </c>
      <c r="EJ18" s="141" t="e">
        <f t="shared" ref="EJ18:EP18" si="162">(24-EJ10-EJ11-EJ12-EJ13-EJ14-EJ16)/(24-EJ14)</f>
        <v>#REF!</v>
      </c>
      <c r="EK18" s="141" t="e">
        <f t="shared" si="162"/>
        <v>#REF!</v>
      </c>
      <c r="EL18" s="141" t="e">
        <f t="shared" si="162"/>
        <v>#REF!</v>
      </c>
      <c r="EM18" s="141" t="e">
        <f t="shared" si="162"/>
        <v>#REF!</v>
      </c>
      <c r="EN18" s="141" t="e">
        <f t="shared" si="162"/>
        <v>#REF!</v>
      </c>
      <c r="EO18" s="141" t="e">
        <f t="shared" si="162"/>
        <v>#REF!</v>
      </c>
      <c r="EP18" s="141" t="e">
        <f t="shared" si="162"/>
        <v>#REF!</v>
      </c>
      <c r="EQ18" s="141" t="e">
        <f>((24*7)-EQ10-EQ11-EQ12-EQ13-EQ14-EQ16)/((24*7)-EQ14)</f>
        <v>#REF!</v>
      </c>
      <c r="ER18" s="141" t="e">
        <f t="shared" ref="ER18:EX18" si="163">(24-ER10-ER11-ER12-ER13-ER14-ER16)/(24-ER14)</f>
        <v>#REF!</v>
      </c>
      <c r="ES18" s="141" t="e">
        <f t="shared" si="163"/>
        <v>#REF!</v>
      </c>
      <c r="ET18" s="141" t="e">
        <f t="shared" si="163"/>
        <v>#REF!</v>
      </c>
      <c r="EU18" s="141" t="e">
        <f t="shared" si="163"/>
        <v>#REF!</v>
      </c>
      <c r="EV18" s="141" t="e">
        <f t="shared" si="163"/>
        <v>#REF!</v>
      </c>
      <c r="EW18" s="141" t="e">
        <f t="shared" si="163"/>
        <v>#REF!</v>
      </c>
      <c r="EX18" s="141" t="e">
        <f t="shared" si="163"/>
        <v>#REF!</v>
      </c>
      <c r="EY18" s="141" t="e">
        <f>((24*7)-EY10-EY11-EY12-EY13-EY14-EY16)/((24*7)-EY14)</f>
        <v>#REF!</v>
      </c>
      <c r="EZ18" s="141" t="e">
        <f t="shared" ref="EZ18:FF18" si="164">(24-EZ10-EZ11-EZ12-EZ13-EZ14-EZ16)/(24-EZ14)</f>
        <v>#REF!</v>
      </c>
      <c r="FA18" s="141" t="e">
        <f t="shared" si="164"/>
        <v>#REF!</v>
      </c>
      <c r="FB18" s="141" t="e">
        <f t="shared" si="164"/>
        <v>#REF!</v>
      </c>
      <c r="FC18" s="141" t="e">
        <f t="shared" si="164"/>
        <v>#REF!</v>
      </c>
      <c r="FD18" s="141" t="e">
        <f t="shared" si="164"/>
        <v>#REF!</v>
      </c>
      <c r="FE18" s="141" t="e">
        <f t="shared" si="164"/>
        <v>#REF!</v>
      </c>
      <c r="FF18" s="141" t="e">
        <f t="shared" si="164"/>
        <v>#REF!</v>
      </c>
      <c r="FG18" s="141" t="e">
        <f>((24*7)-FG10-FG11-FG12-FG13-FG14-FG16)/((24*7)-FG14)</f>
        <v>#REF!</v>
      </c>
      <c r="FH18" s="141" t="e">
        <f t="shared" ref="FH18:FN18" si="165">(24-FH10-FH11-FH12-FH13-FH14-FH16)/(24-FH14)</f>
        <v>#REF!</v>
      </c>
      <c r="FI18" s="141" t="e">
        <f t="shared" si="165"/>
        <v>#REF!</v>
      </c>
      <c r="FJ18" s="141" t="e">
        <f t="shared" si="165"/>
        <v>#REF!</v>
      </c>
      <c r="FK18" s="141" t="e">
        <f t="shared" si="165"/>
        <v>#REF!</v>
      </c>
      <c r="FL18" s="141" t="e">
        <f t="shared" si="165"/>
        <v>#REF!</v>
      </c>
      <c r="FM18" s="141" t="e">
        <f t="shared" si="165"/>
        <v>#REF!</v>
      </c>
      <c r="FN18" s="141" t="e">
        <f t="shared" si="165"/>
        <v>#REF!</v>
      </c>
      <c r="FO18" s="141" t="e">
        <f>((24*7)-FO10-FO11-FO12-FO13-FO14-FO16)/((24*7)-FO14)</f>
        <v>#REF!</v>
      </c>
      <c r="FP18" s="141" t="e">
        <f t="shared" ref="FP18:FV18" si="166">(24-FP10-FP11-FP12-FP13-FP14-FP16)/(24-FP14)</f>
        <v>#REF!</v>
      </c>
      <c r="FQ18" s="141" t="e">
        <f t="shared" si="166"/>
        <v>#REF!</v>
      </c>
      <c r="FR18" s="141" t="e">
        <f t="shared" si="166"/>
        <v>#REF!</v>
      </c>
      <c r="FS18" s="141" t="e">
        <f t="shared" si="166"/>
        <v>#REF!</v>
      </c>
      <c r="FT18" s="141" t="e">
        <f t="shared" si="166"/>
        <v>#REF!</v>
      </c>
      <c r="FU18" s="141" t="e">
        <f t="shared" si="166"/>
        <v>#REF!</v>
      </c>
      <c r="FV18" s="141" t="e">
        <f t="shared" si="166"/>
        <v>#REF!</v>
      </c>
      <c r="FW18" s="141" t="e">
        <f>((24*7)-FW10-FW11-FW12-FW13-FW14-FW16)/((24*7)-FW14)</f>
        <v>#REF!</v>
      </c>
      <c r="FX18" s="141" t="e">
        <f t="shared" ref="FX18:GD18" si="167">(24-FX10-FX11-FX12-FX13-FX14-FX16)/(24-FX14)</f>
        <v>#REF!</v>
      </c>
      <c r="FY18" s="141" t="e">
        <f t="shared" si="167"/>
        <v>#REF!</v>
      </c>
      <c r="FZ18" s="141" t="e">
        <f t="shared" si="167"/>
        <v>#REF!</v>
      </c>
      <c r="GA18" s="141" t="e">
        <f t="shared" si="167"/>
        <v>#REF!</v>
      </c>
      <c r="GB18" s="141" t="e">
        <f t="shared" si="167"/>
        <v>#REF!</v>
      </c>
      <c r="GC18" s="141" t="e">
        <f t="shared" si="167"/>
        <v>#REF!</v>
      </c>
      <c r="GD18" s="141" t="e">
        <f t="shared" si="167"/>
        <v>#REF!</v>
      </c>
      <c r="GE18" s="141" t="e">
        <f>((24*7)-GE10-GE11-GE12-GE13-GE14-GE16)/((24*7)-GE14)</f>
        <v>#REF!</v>
      </c>
      <c r="GF18" s="141" t="e">
        <f t="shared" ref="GF18:GL18" si="168">(24-GF10-GF11-GF12-GF13-GF14-GF16)/(24-GF14)</f>
        <v>#REF!</v>
      </c>
      <c r="GG18" s="141" t="e">
        <f t="shared" si="168"/>
        <v>#REF!</v>
      </c>
      <c r="GH18" s="141" t="e">
        <f t="shared" si="168"/>
        <v>#REF!</v>
      </c>
      <c r="GI18" s="141" t="e">
        <f t="shared" si="168"/>
        <v>#REF!</v>
      </c>
      <c r="GJ18" s="141" t="e">
        <f t="shared" si="168"/>
        <v>#REF!</v>
      </c>
      <c r="GK18" s="141" t="e">
        <f t="shared" si="168"/>
        <v>#REF!</v>
      </c>
      <c r="GL18" s="141" t="e">
        <f t="shared" si="168"/>
        <v>#REF!</v>
      </c>
      <c r="GM18" s="141" t="e">
        <f>((24*7)-GM10-GM11-GM12-GM13-GM14-GM16)/((24*7)-GM14)</f>
        <v>#REF!</v>
      </c>
      <c r="GN18" s="141" t="e">
        <f t="shared" ref="GN18:GT18" si="169">(24-GN10-GN11-GN12-GN13-GN14-GN16)/(24-GN14)</f>
        <v>#REF!</v>
      </c>
      <c r="GO18" s="141" t="e">
        <f t="shared" si="169"/>
        <v>#REF!</v>
      </c>
      <c r="GP18" s="141" t="e">
        <f t="shared" si="169"/>
        <v>#REF!</v>
      </c>
      <c r="GQ18" s="141" t="e">
        <f t="shared" si="169"/>
        <v>#REF!</v>
      </c>
      <c r="GR18" s="141" t="e">
        <f t="shared" si="169"/>
        <v>#REF!</v>
      </c>
      <c r="GS18" s="141" t="e">
        <f t="shared" si="169"/>
        <v>#REF!</v>
      </c>
      <c r="GT18" s="141" t="e">
        <f t="shared" si="169"/>
        <v>#REF!</v>
      </c>
      <c r="GU18" s="141" t="e">
        <f>((24*7)-GU10-GU11-GU12-GU13-GU14-GU16)/((24*7)-GU14)</f>
        <v>#REF!</v>
      </c>
      <c r="GV18" s="141" t="e">
        <f t="shared" ref="GV18:HB18" si="170">(24-GV10-GV11-GV12-GV13-GV14-GV16)/(24-GV14)</f>
        <v>#REF!</v>
      </c>
      <c r="GW18" s="141" t="e">
        <f t="shared" si="170"/>
        <v>#REF!</v>
      </c>
      <c r="GX18" s="141" t="e">
        <f t="shared" si="170"/>
        <v>#REF!</v>
      </c>
      <c r="GY18" s="141" t="e">
        <f t="shared" si="170"/>
        <v>#REF!</v>
      </c>
      <c r="GZ18" s="141" t="e">
        <f t="shared" si="170"/>
        <v>#REF!</v>
      </c>
      <c r="HA18" s="141" t="e">
        <f t="shared" si="170"/>
        <v>#REF!</v>
      </c>
      <c r="HB18" s="141" t="e">
        <f t="shared" si="170"/>
        <v>#REF!</v>
      </c>
      <c r="HC18" s="141" t="e">
        <f>((24*7)-HC10-HC11-HC12-HC13-HC14-HC16)/((24*7)-HC14)</f>
        <v>#REF!</v>
      </c>
      <c r="HD18" s="141" t="e">
        <f t="shared" ref="HD18:HJ18" si="171">(24-HD10-HD11-HD12-HD13-HD14-HD16)/(24-HD14)</f>
        <v>#REF!</v>
      </c>
      <c r="HE18" s="141" t="e">
        <f t="shared" si="171"/>
        <v>#REF!</v>
      </c>
      <c r="HF18" s="141" t="e">
        <f t="shared" si="171"/>
        <v>#REF!</v>
      </c>
      <c r="HG18" s="141" t="e">
        <f t="shared" si="171"/>
        <v>#REF!</v>
      </c>
      <c r="HH18" s="141" t="e">
        <f t="shared" si="171"/>
        <v>#REF!</v>
      </c>
      <c r="HI18" s="141" t="e">
        <f t="shared" si="171"/>
        <v>#REF!</v>
      </c>
      <c r="HJ18" s="141" t="e">
        <f t="shared" si="171"/>
        <v>#REF!</v>
      </c>
      <c r="HK18" s="141" t="e">
        <f>((24*7)-HK10-HK11-HK12-HK13-HK14-HK16)/((24*7)-HK14)</f>
        <v>#REF!</v>
      </c>
      <c r="HL18" s="141" t="e">
        <f t="shared" ref="HL18:HR18" si="172">(24-HL10-HL11-HL12-HL13-HL14-HL16)/(24-HL14)</f>
        <v>#REF!</v>
      </c>
      <c r="HM18" s="141" t="e">
        <f t="shared" si="172"/>
        <v>#REF!</v>
      </c>
      <c r="HN18" s="141" t="e">
        <f t="shared" si="172"/>
        <v>#REF!</v>
      </c>
      <c r="HO18" s="141" t="e">
        <f t="shared" si="172"/>
        <v>#REF!</v>
      </c>
      <c r="HP18" s="141" t="e">
        <f t="shared" si="172"/>
        <v>#REF!</v>
      </c>
      <c r="HQ18" s="141" t="e">
        <f t="shared" si="172"/>
        <v>#REF!</v>
      </c>
      <c r="HR18" s="141" t="e">
        <f t="shared" si="172"/>
        <v>#REF!</v>
      </c>
      <c r="HS18" s="141" t="e">
        <f>((24*7)-HS10-HS11-HS12-HS13-HS14-HS16)/((24*7)-HS14)</f>
        <v>#REF!</v>
      </c>
      <c r="HT18" s="141" t="e">
        <f t="shared" ref="HT18:HZ18" si="173">(24-HT10-HT11-HT12-HT13-HT14-HT16)/(24-HT14)</f>
        <v>#REF!</v>
      </c>
      <c r="HU18" s="141" t="e">
        <f t="shared" si="173"/>
        <v>#REF!</v>
      </c>
      <c r="HV18" s="141" t="e">
        <f t="shared" si="173"/>
        <v>#REF!</v>
      </c>
      <c r="HW18" s="141" t="e">
        <f t="shared" si="173"/>
        <v>#REF!</v>
      </c>
      <c r="HX18" s="141" t="e">
        <f t="shared" si="173"/>
        <v>#REF!</v>
      </c>
      <c r="HY18" s="141" t="e">
        <f t="shared" si="173"/>
        <v>#REF!</v>
      </c>
      <c r="HZ18" s="141" t="e">
        <f t="shared" si="173"/>
        <v>#REF!</v>
      </c>
      <c r="IA18" s="141" t="e">
        <f>((24*7)-IA10-IA11-IA12-IA13-IA14-IA16)/((24*7)-IA14)</f>
        <v>#REF!</v>
      </c>
      <c r="IB18" s="141" t="e">
        <f t="shared" ref="IB18:IH18" si="174">(24-IB10-IB11-IB12-IB13-IB14-IB16)/(24-IB14)</f>
        <v>#REF!</v>
      </c>
      <c r="IC18" s="141" t="e">
        <f t="shared" si="174"/>
        <v>#REF!</v>
      </c>
      <c r="ID18" s="141" t="e">
        <f t="shared" si="174"/>
        <v>#REF!</v>
      </c>
      <c r="IE18" s="141" t="e">
        <f t="shared" si="174"/>
        <v>#REF!</v>
      </c>
      <c r="IF18" s="141" t="e">
        <f t="shared" si="174"/>
        <v>#REF!</v>
      </c>
      <c r="IG18" s="141" t="e">
        <f t="shared" si="174"/>
        <v>#REF!</v>
      </c>
      <c r="IH18" s="141" t="e">
        <f t="shared" si="174"/>
        <v>#REF!</v>
      </c>
      <c r="II18" s="141" t="e">
        <f>((24*7)-II10-II11-II12-II13-II14-II16)/((24*7)-II14)</f>
        <v>#REF!</v>
      </c>
      <c r="IJ18" s="141" t="e">
        <f t="shared" ref="IJ18:IP18" si="175">(24-IJ10-IJ11-IJ12-IJ13-IJ14-IJ16)/(24-IJ14)</f>
        <v>#REF!</v>
      </c>
      <c r="IK18" s="141" t="e">
        <f t="shared" si="175"/>
        <v>#REF!</v>
      </c>
      <c r="IL18" s="141" t="e">
        <f t="shared" si="175"/>
        <v>#REF!</v>
      </c>
      <c r="IM18" s="141" t="e">
        <f t="shared" si="175"/>
        <v>#REF!</v>
      </c>
      <c r="IN18" s="141" t="e">
        <f t="shared" si="175"/>
        <v>#REF!</v>
      </c>
      <c r="IO18" s="141" t="e">
        <f t="shared" si="175"/>
        <v>#REF!</v>
      </c>
      <c r="IP18" s="141" t="e">
        <f t="shared" si="175"/>
        <v>#REF!</v>
      </c>
      <c r="IQ18" s="141" t="e">
        <f>((24*7)-IQ10-IQ11-IQ12-IQ13-IQ14-IQ16)/((24*7)-IQ14)</f>
        <v>#REF!</v>
      </c>
      <c r="IR18" s="141" t="e">
        <f t="shared" ref="IR18:IX18" si="176">(24-IR10-IR11-IR12-IR13-IR14-IR16)/(24-IR14)</f>
        <v>#REF!</v>
      </c>
      <c r="IS18" s="141" t="e">
        <f t="shared" si="176"/>
        <v>#REF!</v>
      </c>
      <c r="IT18" s="141" t="e">
        <f t="shared" si="176"/>
        <v>#REF!</v>
      </c>
      <c r="IU18" s="141" t="e">
        <f t="shared" si="176"/>
        <v>#REF!</v>
      </c>
      <c r="IV18" s="141" t="e">
        <f t="shared" si="176"/>
        <v>#REF!</v>
      </c>
      <c r="IW18" s="141" t="e">
        <f t="shared" si="176"/>
        <v>#REF!</v>
      </c>
      <c r="IX18" s="141" t="e">
        <f t="shared" si="176"/>
        <v>#REF!</v>
      </c>
      <c r="IY18" s="141" t="e">
        <f>((24*7)-IY10-IY11-IY12-IY13-IY14-IY16)/((24*7)-IY14)</f>
        <v>#REF!</v>
      </c>
      <c r="IZ18" s="141" t="e">
        <f t="shared" ref="IZ18:JF18" si="177">(24-IZ10-IZ11-IZ12-IZ13-IZ14-IZ16)/(24-IZ14)</f>
        <v>#REF!</v>
      </c>
      <c r="JA18" s="141" t="e">
        <f t="shared" si="177"/>
        <v>#REF!</v>
      </c>
      <c r="JB18" s="141" t="e">
        <f t="shared" si="177"/>
        <v>#REF!</v>
      </c>
      <c r="JC18" s="141" t="e">
        <f t="shared" si="177"/>
        <v>#REF!</v>
      </c>
      <c r="JD18" s="141" t="e">
        <f t="shared" si="177"/>
        <v>#REF!</v>
      </c>
      <c r="JE18" s="141" t="e">
        <f t="shared" si="177"/>
        <v>#REF!</v>
      </c>
      <c r="JF18" s="141" t="e">
        <f t="shared" si="177"/>
        <v>#REF!</v>
      </c>
      <c r="JG18" s="141" t="e">
        <f>((24*7)-JG10-JG11-JG12-JG13-JG14-JG16)/((24*7)-JG14)</f>
        <v>#REF!</v>
      </c>
      <c r="JH18" s="141" t="e">
        <f t="shared" ref="JH18:JN18" si="178">(24-JH10-JH11-JH12-JH13-JH14-JH16)/(24-JH14)</f>
        <v>#REF!</v>
      </c>
      <c r="JI18" s="141" t="e">
        <f t="shared" si="178"/>
        <v>#REF!</v>
      </c>
      <c r="JJ18" s="141" t="e">
        <f t="shared" si="178"/>
        <v>#REF!</v>
      </c>
      <c r="JK18" s="141" t="e">
        <f t="shared" si="178"/>
        <v>#REF!</v>
      </c>
      <c r="JL18" s="141" t="e">
        <f t="shared" si="178"/>
        <v>#REF!</v>
      </c>
      <c r="JM18" s="141" t="e">
        <f t="shared" si="178"/>
        <v>#REF!</v>
      </c>
      <c r="JN18" s="141" t="e">
        <f t="shared" si="178"/>
        <v>#REF!</v>
      </c>
      <c r="JO18" s="141" t="e">
        <f>((24*7)-JO10-JO11-JO12-JO13-JO14-JO16)/((24*7)-JO14)</f>
        <v>#REF!</v>
      </c>
      <c r="JP18" s="141" t="e">
        <f t="shared" ref="JP18:JV18" si="179">(24-JP10-JP11-JP12-JP13-JP14-JP16)/(24-JP14)</f>
        <v>#REF!</v>
      </c>
      <c r="JQ18" s="141" t="e">
        <f t="shared" si="179"/>
        <v>#REF!</v>
      </c>
      <c r="JR18" s="141" t="e">
        <f t="shared" si="179"/>
        <v>#REF!</v>
      </c>
      <c r="JS18" s="141" t="e">
        <f t="shared" si="179"/>
        <v>#REF!</v>
      </c>
      <c r="JT18" s="141" t="e">
        <f t="shared" si="179"/>
        <v>#REF!</v>
      </c>
      <c r="JU18" s="141" t="e">
        <f t="shared" si="179"/>
        <v>#REF!</v>
      </c>
      <c r="JV18" s="141" t="e">
        <f t="shared" si="179"/>
        <v>#REF!</v>
      </c>
      <c r="JW18" s="141" t="e">
        <f>((24*7)-JW10-JW11-JW12-JW13-JW14-JW16)/((24*7)-JW14)</f>
        <v>#REF!</v>
      </c>
      <c r="JX18" s="141" t="e">
        <f t="shared" ref="JX18:KD18" si="180">(24-JX10-JX11-JX12-JX13-JX14-JX16)/(24-JX14)</f>
        <v>#REF!</v>
      </c>
      <c r="JY18" s="141" t="e">
        <f t="shared" si="180"/>
        <v>#REF!</v>
      </c>
      <c r="JZ18" s="141" t="e">
        <f t="shared" si="180"/>
        <v>#REF!</v>
      </c>
      <c r="KA18" s="141" t="e">
        <f t="shared" si="180"/>
        <v>#REF!</v>
      </c>
      <c r="KB18" s="141" t="e">
        <f t="shared" si="180"/>
        <v>#REF!</v>
      </c>
      <c r="KC18" s="141" t="e">
        <f t="shared" si="180"/>
        <v>#REF!</v>
      </c>
      <c r="KD18" s="141" t="e">
        <f t="shared" si="180"/>
        <v>#REF!</v>
      </c>
      <c r="KE18" s="141" t="e">
        <f>((24*7)-KE10-KE11-KE12-KE13-KE14-KE16)/((24*7)-KE14)</f>
        <v>#REF!</v>
      </c>
      <c r="KF18" s="141" t="e">
        <f t="shared" ref="KF18:KL18" si="181">(24-KF10-KF11-KF12-KF13-KF14-KF16)/(24-KF14)</f>
        <v>#REF!</v>
      </c>
      <c r="KG18" s="141" t="e">
        <f t="shared" si="181"/>
        <v>#REF!</v>
      </c>
      <c r="KH18" s="141" t="e">
        <f t="shared" si="181"/>
        <v>#REF!</v>
      </c>
      <c r="KI18" s="141" t="e">
        <f t="shared" si="181"/>
        <v>#REF!</v>
      </c>
      <c r="KJ18" s="141" t="e">
        <f t="shared" si="181"/>
        <v>#REF!</v>
      </c>
      <c r="KK18" s="141" t="e">
        <f t="shared" si="181"/>
        <v>#REF!</v>
      </c>
      <c r="KL18" s="141" t="e">
        <f t="shared" si="181"/>
        <v>#REF!</v>
      </c>
      <c r="KM18" s="141" t="e">
        <f>((24*7)-KM10-KM11-KM12-KM13-KM14-KM16)/((24*7)-KM14)</f>
        <v>#REF!</v>
      </c>
      <c r="KN18" s="141" t="e">
        <f t="shared" ref="KN18:KT18" si="182">(24-KN10-KN11-KN12-KN13-KN14-KN16)/(24-KN14)</f>
        <v>#REF!</v>
      </c>
      <c r="KO18" s="141" t="e">
        <f t="shared" si="182"/>
        <v>#REF!</v>
      </c>
      <c r="KP18" s="141" t="e">
        <f t="shared" si="182"/>
        <v>#REF!</v>
      </c>
      <c r="KQ18" s="141" t="e">
        <f t="shared" si="182"/>
        <v>#REF!</v>
      </c>
      <c r="KR18" s="141" t="e">
        <f t="shared" si="182"/>
        <v>#REF!</v>
      </c>
      <c r="KS18" s="141" t="e">
        <f t="shared" si="182"/>
        <v>#REF!</v>
      </c>
      <c r="KT18" s="141" t="e">
        <f t="shared" si="182"/>
        <v>#REF!</v>
      </c>
      <c r="KU18" s="141" t="e">
        <f>((24*7)-KU10-KU11-KU12-KU13-KU14-KU16)/((24*7)-KU14)</f>
        <v>#REF!</v>
      </c>
      <c r="KV18" s="141" t="e">
        <f t="shared" ref="KV18:LB18" si="183">(24-KV10-KV11-KV12-KV13-KV14-KV16)/(24-KV14)</f>
        <v>#REF!</v>
      </c>
      <c r="KW18" s="141" t="e">
        <f t="shared" si="183"/>
        <v>#REF!</v>
      </c>
      <c r="KX18" s="141" t="e">
        <f t="shared" si="183"/>
        <v>#REF!</v>
      </c>
      <c r="KY18" s="141" t="e">
        <f t="shared" si="183"/>
        <v>#REF!</v>
      </c>
      <c r="KZ18" s="141" t="e">
        <f t="shared" si="183"/>
        <v>#REF!</v>
      </c>
      <c r="LA18" s="141" t="e">
        <f t="shared" si="183"/>
        <v>#REF!</v>
      </c>
      <c r="LB18" s="141" t="e">
        <f t="shared" si="183"/>
        <v>#REF!</v>
      </c>
      <c r="LC18" s="141" t="e">
        <f>((24*7)-LC10-LC11-LC12-LC13-LC14-LC16)/((24*7)-LC14)</f>
        <v>#REF!</v>
      </c>
      <c r="LD18" s="141" t="e">
        <f t="shared" ref="LD18:LJ18" si="184">(24-LD10-LD11-LD12-LD13-LD14-LD16)/(24-LD14)</f>
        <v>#REF!</v>
      </c>
      <c r="LE18" s="141" t="e">
        <f t="shared" si="184"/>
        <v>#REF!</v>
      </c>
      <c r="LF18" s="141" t="e">
        <f t="shared" si="184"/>
        <v>#REF!</v>
      </c>
      <c r="LG18" s="141" t="e">
        <f t="shared" si="184"/>
        <v>#REF!</v>
      </c>
      <c r="LH18" s="141" t="e">
        <f t="shared" si="184"/>
        <v>#REF!</v>
      </c>
      <c r="LI18" s="141" t="e">
        <f t="shared" si="184"/>
        <v>#REF!</v>
      </c>
      <c r="LJ18" s="141" t="e">
        <f t="shared" si="184"/>
        <v>#REF!</v>
      </c>
      <c r="LK18" s="141" t="e">
        <f>((24*7)-LK10-LK11-LK12-LK13-LK14-LK16)/((24*7)-LK14)</f>
        <v>#REF!</v>
      </c>
      <c r="LL18" s="141" t="e">
        <f t="shared" ref="LL18:LR18" si="185">(24-LL10-LL11-LL12-LL13-LL14-LL16)/(24-LL14)</f>
        <v>#REF!</v>
      </c>
      <c r="LM18" s="141" t="e">
        <f t="shared" si="185"/>
        <v>#REF!</v>
      </c>
      <c r="LN18" s="141" t="e">
        <f t="shared" si="185"/>
        <v>#REF!</v>
      </c>
      <c r="LO18" s="141" t="e">
        <f t="shared" si="185"/>
        <v>#REF!</v>
      </c>
      <c r="LP18" s="141" t="e">
        <f t="shared" si="185"/>
        <v>#REF!</v>
      </c>
      <c r="LQ18" s="141" t="e">
        <f t="shared" si="185"/>
        <v>#REF!</v>
      </c>
      <c r="LR18" s="141" t="e">
        <f t="shared" si="185"/>
        <v>#REF!</v>
      </c>
      <c r="LS18" s="141" t="e">
        <f>((24*7)-LS10-LS11-LS12-LS13-LS14-LS16)/((24*7)-LS14)</f>
        <v>#REF!</v>
      </c>
      <c r="LT18" s="141" t="e">
        <f t="shared" ref="LT18:LZ18" si="186">(24-LT10-LT11-LT12-LT13-LT14-LT16)/(24-LT14)</f>
        <v>#REF!</v>
      </c>
      <c r="LU18" s="141" t="e">
        <f t="shared" si="186"/>
        <v>#REF!</v>
      </c>
      <c r="LV18" s="141" t="e">
        <f t="shared" si="186"/>
        <v>#REF!</v>
      </c>
      <c r="LW18" s="141" t="e">
        <f t="shared" si="186"/>
        <v>#REF!</v>
      </c>
      <c r="LX18" s="141" t="e">
        <f t="shared" si="186"/>
        <v>#REF!</v>
      </c>
      <c r="LY18" s="141" t="e">
        <f t="shared" si="186"/>
        <v>#REF!</v>
      </c>
      <c r="LZ18" s="141" t="e">
        <f t="shared" si="186"/>
        <v>#REF!</v>
      </c>
      <c r="MA18" s="141" t="e">
        <f>((24*7)-MA10-MA11-MA12-MA13-MA14-MA16)/((24*7)-MA14)</f>
        <v>#REF!</v>
      </c>
      <c r="MB18" s="141" t="e">
        <f t="shared" ref="MB18:MH18" si="187">(24-MB10-MB11-MB12-MB13-MB14-MB16)/(24-MB14)</f>
        <v>#REF!</v>
      </c>
      <c r="MC18" s="141" t="e">
        <f t="shared" si="187"/>
        <v>#REF!</v>
      </c>
      <c r="MD18" s="141" t="e">
        <f t="shared" si="187"/>
        <v>#REF!</v>
      </c>
      <c r="ME18" s="141" t="e">
        <f t="shared" si="187"/>
        <v>#REF!</v>
      </c>
      <c r="MF18" s="141" t="e">
        <f t="shared" si="187"/>
        <v>#REF!</v>
      </c>
      <c r="MG18" s="141" t="e">
        <f t="shared" si="187"/>
        <v>#REF!</v>
      </c>
      <c r="MH18" s="141" t="e">
        <f t="shared" si="187"/>
        <v>#REF!</v>
      </c>
      <c r="MI18" s="141" t="e">
        <f>((24*7)-MI10-MI11-MI12-MI13-MI14-MI16)/((24*7)-MI14)</f>
        <v>#REF!</v>
      </c>
      <c r="MJ18" s="141" t="e">
        <f t="shared" ref="MJ18:MP18" si="188">(24-MJ10-MJ11-MJ12-MJ13-MJ14-MJ16)/(24-MJ14)</f>
        <v>#REF!</v>
      </c>
      <c r="MK18" s="141" t="e">
        <f t="shared" si="188"/>
        <v>#REF!</v>
      </c>
      <c r="ML18" s="141" t="e">
        <f t="shared" si="188"/>
        <v>#REF!</v>
      </c>
      <c r="MM18" s="141" t="e">
        <f t="shared" si="188"/>
        <v>#REF!</v>
      </c>
      <c r="MN18" s="141" t="e">
        <f t="shared" si="188"/>
        <v>#REF!</v>
      </c>
      <c r="MO18" s="141" t="e">
        <f t="shared" si="188"/>
        <v>#REF!</v>
      </c>
      <c r="MP18" s="141" t="e">
        <f t="shared" si="188"/>
        <v>#REF!</v>
      </c>
      <c r="MQ18" s="141" t="e">
        <f>((24*7)-MQ10-MQ11-MQ12-MQ13-MQ14-MQ16)/((24*7)-MQ14)</f>
        <v>#REF!</v>
      </c>
      <c r="MR18" s="141" t="e">
        <f t="shared" ref="MR18:MX18" si="189">(24-MR10-MR11-MR12-MR13-MR14-MR16)/(24-MR14)</f>
        <v>#REF!</v>
      </c>
      <c r="MS18" s="141" t="e">
        <f t="shared" si="189"/>
        <v>#REF!</v>
      </c>
      <c r="MT18" s="141" t="e">
        <f t="shared" si="189"/>
        <v>#REF!</v>
      </c>
      <c r="MU18" s="141" t="e">
        <f t="shared" si="189"/>
        <v>#REF!</v>
      </c>
      <c r="MV18" s="141" t="e">
        <f t="shared" si="189"/>
        <v>#REF!</v>
      </c>
      <c r="MW18" s="141" t="e">
        <f t="shared" si="189"/>
        <v>#REF!</v>
      </c>
      <c r="MX18" s="141" t="e">
        <f t="shared" si="189"/>
        <v>#REF!</v>
      </c>
      <c r="MY18" s="141" t="e">
        <f>((24*7)-MY10-MY11-MY12-MY13-MY14-MY16)/((24*7)-MY14)</f>
        <v>#REF!</v>
      </c>
      <c r="MZ18" s="141" t="e">
        <f t="shared" ref="MZ18:NF18" si="190">(24-MZ10-MZ11-MZ12-MZ13-MZ14-MZ16)/(24-MZ14)</f>
        <v>#REF!</v>
      </c>
      <c r="NA18" s="141" t="e">
        <f t="shared" si="190"/>
        <v>#REF!</v>
      </c>
      <c r="NB18" s="141" t="e">
        <f t="shared" si="190"/>
        <v>#REF!</v>
      </c>
      <c r="NC18" s="141" t="e">
        <f t="shared" si="190"/>
        <v>#REF!</v>
      </c>
      <c r="ND18" s="141" t="e">
        <f t="shared" si="190"/>
        <v>#REF!</v>
      </c>
      <c r="NE18" s="141" t="e">
        <f t="shared" si="190"/>
        <v>#REF!</v>
      </c>
      <c r="NF18" s="141" t="e">
        <f t="shared" si="190"/>
        <v>#REF!</v>
      </c>
      <c r="NG18" s="141" t="e">
        <f>((24*7)-NG10-NG11-NG12-NG13-NG14-NG16)/((24*7)-NG14)</f>
        <v>#REF!</v>
      </c>
      <c r="NH18" s="141" t="e">
        <f t="shared" ref="NH18:NN18" si="191">(24-NH10-NH11-NH12-NH13-NH14-NH16)/(24-NH14)</f>
        <v>#REF!</v>
      </c>
      <c r="NI18" s="141" t="e">
        <f t="shared" si="191"/>
        <v>#REF!</v>
      </c>
      <c r="NJ18" s="141" t="e">
        <f t="shared" si="191"/>
        <v>#REF!</v>
      </c>
      <c r="NK18" s="141" t="e">
        <f t="shared" si="191"/>
        <v>#REF!</v>
      </c>
      <c r="NL18" s="141" t="e">
        <f t="shared" si="191"/>
        <v>#REF!</v>
      </c>
      <c r="NM18" s="141" t="e">
        <f t="shared" si="191"/>
        <v>#REF!</v>
      </c>
      <c r="NN18" s="141" t="e">
        <f t="shared" si="191"/>
        <v>#REF!</v>
      </c>
      <c r="NO18" s="141" t="e">
        <f>((24*7)-NO10-NO11-NO12-NO13-NO14-NO16)/((24*7)-NO14)</f>
        <v>#REF!</v>
      </c>
      <c r="NP18" s="141" t="e">
        <f t="shared" ref="NP18:NV18" si="192">(24-NP10-NP11-NP12-NP13-NP14-NP16)/(24-NP14)</f>
        <v>#REF!</v>
      </c>
      <c r="NQ18" s="141" t="e">
        <f t="shared" si="192"/>
        <v>#REF!</v>
      </c>
      <c r="NR18" s="141" t="e">
        <f t="shared" si="192"/>
        <v>#REF!</v>
      </c>
      <c r="NS18" s="141" t="e">
        <f t="shared" si="192"/>
        <v>#REF!</v>
      </c>
      <c r="NT18" s="141" t="e">
        <f t="shared" si="192"/>
        <v>#REF!</v>
      </c>
      <c r="NU18" s="141" t="e">
        <f t="shared" si="192"/>
        <v>#REF!</v>
      </c>
      <c r="NV18" s="141" t="e">
        <f t="shared" si="192"/>
        <v>#REF!</v>
      </c>
      <c r="NW18" s="141" t="e">
        <f>((24*7)-NW10-NW11-NW12-NW13-NW14-NW16)/((24*7)-NW14)</f>
        <v>#REF!</v>
      </c>
    </row>
    <row r="19" spans="1:387" ht="16.5" thickBot="1" x14ac:dyDescent="0.3">
      <c r="A19" s="97"/>
      <c r="B19" s="97"/>
      <c r="C19" s="98" t="s">
        <v>379</v>
      </c>
      <c r="D19" s="142">
        <f>(24-D13)/24</f>
        <v>1</v>
      </c>
      <c r="E19" s="140">
        <f t="shared" ref="E19:J19" si="193">(24-E13)/24</f>
        <v>1</v>
      </c>
      <c r="F19" s="140">
        <f t="shared" si="193"/>
        <v>1</v>
      </c>
      <c r="G19" s="140">
        <f t="shared" si="193"/>
        <v>1</v>
      </c>
      <c r="H19" s="140">
        <f t="shared" si="193"/>
        <v>1</v>
      </c>
      <c r="I19" s="140">
        <f t="shared" si="193"/>
        <v>1</v>
      </c>
      <c r="J19" s="140">
        <f t="shared" si="193"/>
        <v>1</v>
      </c>
      <c r="K19" s="140">
        <f>((24*7)-K13)/(24*7)</f>
        <v>1</v>
      </c>
      <c r="L19" s="142">
        <f t="shared" ref="L19:R19" si="194">(24-L13)/24</f>
        <v>1</v>
      </c>
      <c r="M19" s="140">
        <f t="shared" si="194"/>
        <v>1</v>
      </c>
      <c r="N19" s="140">
        <f t="shared" si="194"/>
        <v>1</v>
      </c>
      <c r="O19" s="140">
        <f t="shared" si="194"/>
        <v>1</v>
      </c>
      <c r="P19" s="140">
        <f t="shared" si="194"/>
        <v>1</v>
      </c>
      <c r="Q19" s="140">
        <f t="shared" si="194"/>
        <v>1</v>
      </c>
      <c r="R19" s="140">
        <f t="shared" si="194"/>
        <v>1</v>
      </c>
      <c r="S19" s="140">
        <f>((24*7)-S13)/(24*7)</f>
        <v>1</v>
      </c>
      <c r="T19" s="142">
        <f t="shared" ref="T19:Z19" si="195">(24-T13)/24</f>
        <v>1</v>
      </c>
      <c r="U19" s="140">
        <f t="shared" si="195"/>
        <v>1</v>
      </c>
      <c r="V19" s="140">
        <f t="shared" si="195"/>
        <v>1</v>
      </c>
      <c r="W19" s="140">
        <f t="shared" si="195"/>
        <v>1</v>
      </c>
      <c r="X19" s="140">
        <f t="shared" si="195"/>
        <v>1</v>
      </c>
      <c r="Y19" s="140">
        <f t="shared" si="195"/>
        <v>1</v>
      </c>
      <c r="Z19" s="140">
        <f t="shared" si="195"/>
        <v>1</v>
      </c>
      <c r="AA19" s="140">
        <f>((24*7)-AA13)/(24*7)</f>
        <v>1</v>
      </c>
      <c r="AB19" s="142">
        <f t="shared" ref="AB19:AH19" si="196">(24-AB13)/24</f>
        <v>1</v>
      </c>
      <c r="AC19" s="140">
        <f t="shared" si="196"/>
        <v>1</v>
      </c>
      <c r="AD19" s="140">
        <f t="shared" si="196"/>
        <v>1</v>
      </c>
      <c r="AE19" s="140">
        <f t="shared" si="196"/>
        <v>1</v>
      </c>
      <c r="AF19" s="140">
        <f t="shared" si="196"/>
        <v>1</v>
      </c>
      <c r="AG19" s="140">
        <f t="shared" si="196"/>
        <v>1</v>
      </c>
      <c r="AH19" s="140">
        <f t="shared" si="196"/>
        <v>1</v>
      </c>
      <c r="AI19" s="140">
        <f>((24*7)-AI13)/(24*7)</f>
        <v>1</v>
      </c>
      <c r="AJ19" s="142">
        <f t="shared" ref="AJ19:AP19" si="197">(24-AJ13)/24</f>
        <v>1</v>
      </c>
      <c r="AK19" s="140">
        <f t="shared" si="197"/>
        <v>1</v>
      </c>
      <c r="AL19" s="140">
        <f t="shared" si="197"/>
        <v>1</v>
      </c>
      <c r="AM19" s="140">
        <f t="shared" si="197"/>
        <v>1</v>
      </c>
      <c r="AN19" s="140">
        <f t="shared" si="197"/>
        <v>1</v>
      </c>
      <c r="AO19" s="140">
        <f t="shared" si="197"/>
        <v>1</v>
      </c>
      <c r="AP19" s="140">
        <f t="shared" si="197"/>
        <v>1</v>
      </c>
      <c r="AQ19" s="140">
        <f>((24*7)-AQ13)/(24*7)</f>
        <v>1</v>
      </c>
      <c r="AR19" s="142">
        <f t="shared" ref="AR19:AX19" si="198">(24-AR13)/24</f>
        <v>1</v>
      </c>
      <c r="AS19" s="140">
        <f t="shared" si="198"/>
        <v>1</v>
      </c>
      <c r="AT19" s="140">
        <f t="shared" si="198"/>
        <v>1</v>
      </c>
      <c r="AU19" s="140">
        <f t="shared" si="198"/>
        <v>1</v>
      </c>
      <c r="AV19" s="140">
        <f t="shared" si="198"/>
        <v>1</v>
      </c>
      <c r="AW19" s="140">
        <f t="shared" si="198"/>
        <v>1</v>
      </c>
      <c r="AX19" s="140">
        <f t="shared" si="198"/>
        <v>1</v>
      </c>
      <c r="AY19" s="140">
        <f>((24*7)-AY13)/(24*7)</f>
        <v>1</v>
      </c>
      <c r="AZ19" s="142">
        <f t="shared" ref="AZ19:BF19" si="199">(24-AZ13)/24</f>
        <v>1</v>
      </c>
      <c r="BA19" s="140">
        <f t="shared" si="199"/>
        <v>1</v>
      </c>
      <c r="BB19" s="140">
        <f t="shared" si="199"/>
        <v>1</v>
      </c>
      <c r="BC19" s="140">
        <f t="shared" si="199"/>
        <v>1</v>
      </c>
      <c r="BD19" s="140">
        <f t="shared" si="199"/>
        <v>1</v>
      </c>
      <c r="BE19" s="140">
        <f t="shared" si="199"/>
        <v>1</v>
      </c>
      <c r="BF19" s="140">
        <f t="shared" si="199"/>
        <v>1</v>
      </c>
      <c r="BG19" s="140">
        <f>((24*7)-BG13)/(24*7)</f>
        <v>1</v>
      </c>
      <c r="BH19" s="142">
        <f t="shared" ref="BH19:BN19" si="200">(24-BH13)/24</f>
        <v>1</v>
      </c>
      <c r="BI19" s="140">
        <f t="shared" si="200"/>
        <v>1</v>
      </c>
      <c r="BJ19" s="140">
        <f t="shared" si="200"/>
        <v>1</v>
      </c>
      <c r="BK19" s="140">
        <f t="shared" si="200"/>
        <v>1</v>
      </c>
      <c r="BL19" s="140">
        <f t="shared" si="200"/>
        <v>1</v>
      </c>
      <c r="BM19" s="140">
        <f t="shared" si="200"/>
        <v>1</v>
      </c>
      <c r="BN19" s="140">
        <f t="shared" si="200"/>
        <v>1</v>
      </c>
      <c r="BO19" s="140">
        <f>((24*7)-BO13)/(24*7)</f>
        <v>1</v>
      </c>
      <c r="BP19" s="142">
        <f t="shared" ref="BP19:BV19" si="201">(24-BP13)/24</f>
        <v>1</v>
      </c>
      <c r="BQ19" s="140">
        <f t="shared" si="201"/>
        <v>1</v>
      </c>
      <c r="BR19" s="140">
        <f t="shared" si="201"/>
        <v>1</v>
      </c>
      <c r="BS19" s="140">
        <f t="shared" si="201"/>
        <v>1</v>
      </c>
      <c r="BT19" s="140">
        <f t="shared" si="201"/>
        <v>1</v>
      </c>
      <c r="BU19" s="140">
        <f t="shared" si="201"/>
        <v>1</v>
      </c>
      <c r="BV19" s="140">
        <f t="shared" si="201"/>
        <v>1</v>
      </c>
      <c r="BW19" s="140">
        <f>((24*7)-BW13)/(24*7)</f>
        <v>1</v>
      </c>
      <c r="BX19" s="142">
        <f t="shared" ref="BX19:CD19" si="202">(24-BX13)/24</f>
        <v>1</v>
      </c>
      <c r="BY19" s="140">
        <f t="shared" si="202"/>
        <v>1</v>
      </c>
      <c r="BZ19" s="140">
        <f t="shared" si="202"/>
        <v>1</v>
      </c>
      <c r="CA19" s="140">
        <f t="shared" si="202"/>
        <v>1</v>
      </c>
      <c r="CB19" s="140">
        <f t="shared" si="202"/>
        <v>1</v>
      </c>
      <c r="CC19" s="140">
        <f t="shared" si="202"/>
        <v>1</v>
      </c>
      <c r="CD19" s="140">
        <f t="shared" si="202"/>
        <v>1</v>
      </c>
      <c r="CE19" s="140">
        <f>((24*7)-CE13)/(24*7)</f>
        <v>1</v>
      </c>
      <c r="CF19" s="142">
        <f t="shared" ref="CF19:CL19" si="203">(24-CF13)/24</f>
        <v>1</v>
      </c>
      <c r="CG19" s="140">
        <f t="shared" si="203"/>
        <v>1</v>
      </c>
      <c r="CH19" s="140">
        <f t="shared" si="203"/>
        <v>1</v>
      </c>
      <c r="CI19" s="140">
        <f t="shared" si="203"/>
        <v>1</v>
      </c>
      <c r="CJ19" s="140">
        <f t="shared" si="203"/>
        <v>1</v>
      </c>
      <c r="CK19" s="140">
        <f t="shared" si="203"/>
        <v>1</v>
      </c>
      <c r="CL19" s="140">
        <f t="shared" si="203"/>
        <v>1</v>
      </c>
      <c r="CM19" s="140">
        <f>((24*7)-CM13)/(24*7)</f>
        <v>1</v>
      </c>
      <c r="CN19" s="142">
        <f t="shared" ref="CN19:CT19" si="204">(24-CN13)/24</f>
        <v>1</v>
      </c>
      <c r="CO19" s="140">
        <f t="shared" si="204"/>
        <v>1</v>
      </c>
      <c r="CP19" s="140">
        <f t="shared" si="204"/>
        <v>1</v>
      </c>
      <c r="CQ19" s="140">
        <f t="shared" si="204"/>
        <v>1</v>
      </c>
      <c r="CR19" s="140">
        <f t="shared" si="204"/>
        <v>1</v>
      </c>
      <c r="CS19" s="140">
        <f t="shared" si="204"/>
        <v>1</v>
      </c>
      <c r="CT19" s="140">
        <f t="shared" si="204"/>
        <v>1</v>
      </c>
      <c r="CU19" s="140">
        <f>((24*7)-CU13)/(24*7)</f>
        <v>1</v>
      </c>
      <c r="CV19" s="142">
        <f t="shared" ref="CV19:DB19" si="205">(24-CV13)/24</f>
        <v>1</v>
      </c>
      <c r="CW19" s="140">
        <f t="shared" si="205"/>
        <v>1</v>
      </c>
      <c r="CX19" s="140">
        <f t="shared" si="205"/>
        <v>1</v>
      </c>
      <c r="CY19" s="140">
        <f t="shared" si="205"/>
        <v>1</v>
      </c>
      <c r="CZ19" s="140">
        <f t="shared" si="205"/>
        <v>1</v>
      </c>
      <c r="DA19" s="140">
        <f t="shared" si="205"/>
        <v>1</v>
      </c>
      <c r="DB19" s="140">
        <f t="shared" si="205"/>
        <v>1</v>
      </c>
      <c r="DC19" s="140">
        <f>((24*7)-DC13)/(24*7)</f>
        <v>1</v>
      </c>
      <c r="DD19" s="142">
        <f t="shared" ref="DD19:DJ19" si="206">(24-DD13)/24</f>
        <v>1</v>
      </c>
      <c r="DE19" s="140">
        <f t="shared" si="206"/>
        <v>1</v>
      </c>
      <c r="DF19" s="140">
        <f t="shared" si="206"/>
        <v>1</v>
      </c>
      <c r="DG19" s="140">
        <f t="shared" si="206"/>
        <v>1</v>
      </c>
      <c r="DH19" s="140">
        <f t="shared" si="206"/>
        <v>1</v>
      </c>
      <c r="DI19" s="140">
        <f t="shared" si="206"/>
        <v>1</v>
      </c>
      <c r="DJ19" s="140">
        <f t="shared" si="206"/>
        <v>1</v>
      </c>
      <c r="DK19" s="140">
        <f>((24*7)-DK13)/(24*7)</f>
        <v>1</v>
      </c>
      <c r="DL19" s="142">
        <f t="shared" ref="DL19:DR19" si="207">(24-DL13)/24</f>
        <v>1</v>
      </c>
      <c r="DM19" s="140">
        <f t="shared" si="207"/>
        <v>1</v>
      </c>
      <c r="DN19" s="140">
        <f t="shared" si="207"/>
        <v>1</v>
      </c>
      <c r="DO19" s="140">
        <f t="shared" si="207"/>
        <v>1</v>
      </c>
      <c r="DP19" s="140">
        <f t="shared" si="207"/>
        <v>1</v>
      </c>
      <c r="DQ19" s="140">
        <f t="shared" si="207"/>
        <v>1</v>
      </c>
      <c r="DR19" s="140">
        <f t="shared" si="207"/>
        <v>1</v>
      </c>
      <c r="DS19" s="140">
        <f>((24*7)-DS13)/(24*7)</f>
        <v>1</v>
      </c>
      <c r="DT19" s="142">
        <f t="shared" ref="DT19:DZ19" si="208">(24-DT13)/24</f>
        <v>1</v>
      </c>
      <c r="DU19" s="140">
        <f t="shared" si="208"/>
        <v>1</v>
      </c>
      <c r="DV19" s="140">
        <f t="shared" si="208"/>
        <v>1</v>
      </c>
      <c r="DW19" s="140">
        <f t="shared" si="208"/>
        <v>1</v>
      </c>
      <c r="DX19" s="140">
        <f t="shared" si="208"/>
        <v>1</v>
      </c>
      <c r="DY19" s="140">
        <f t="shared" si="208"/>
        <v>1</v>
      </c>
      <c r="DZ19" s="140">
        <f t="shared" si="208"/>
        <v>1</v>
      </c>
      <c r="EA19" s="140">
        <f>((24*7)-EA13)/(24*7)</f>
        <v>1</v>
      </c>
      <c r="EB19" s="142">
        <f t="shared" ref="EB19:EH19" si="209">(24-EB13)/24</f>
        <v>1</v>
      </c>
      <c r="EC19" s="140">
        <f t="shared" si="209"/>
        <v>1</v>
      </c>
      <c r="ED19" s="140">
        <f t="shared" si="209"/>
        <v>1</v>
      </c>
      <c r="EE19" s="140">
        <f t="shared" si="209"/>
        <v>1</v>
      </c>
      <c r="EF19" s="140">
        <f t="shared" si="209"/>
        <v>1</v>
      </c>
      <c r="EG19" s="140">
        <f t="shared" si="209"/>
        <v>1</v>
      </c>
      <c r="EH19" s="140">
        <f t="shared" si="209"/>
        <v>1</v>
      </c>
      <c r="EI19" s="140">
        <f>((24*7)-EI13)/(24*7)</f>
        <v>1</v>
      </c>
      <c r="EJ19" s="142">
        <f t="shared" ref="EJ19:EP19" si="210">(24-EJ13)/24</f>
        <v>1</v>
      </c>
      <c r="EK19" s="140">
        <f t="shared" si="210"/>
        <v>1</v>
      </c>
      <c r="EL19" s="140">
        <f t="shared" si="210"/>
        <v>1</v>
      </c>
      <c r="EM19" s="140">
        <f t="shared" si="210"/>
        <v>1</v>
      </c>
      <c r="EN19" s="140">
        <f t="shared" si="210"/>
        <v>1</v>
      </c>
      <c r="EO19" s="140">
        <f t="shared" si="210"/>
        <v>1</v>
      </c>
      <c r="EP19" s="140">
        <f t="shared" si="210"/>
        <v>1</v>
      </c>
      <c r="EQ19" s="140">
        <f>((24*7)-EQ13)/(24*7)</f>
        <v>1</v>
      </c>
      <c r="ER19" s="142">
        <f t="shared" ref="ER19:EX19" si="211">(24-ER13)/24</f>
        <v>1</v>
      </c>
      <c r="ES19" s="140">
        <f t="shared" si="211"/>
        <v>1</v>
      </c>
      <c r="ET19" s="140">
        <f t="shared" si="211"/>
        <v>1</v>
      </c>
      <c r="EU19" s="140">
        <f t="shared" si="211"/>
        <v>1</v>
      </c>
      <c r="EV19" s="140">
        <f t="shared" si="211"/>
        <v>1</v>
      </c>
      <c r="EW19" s="140">
        <f t="shared" si="211"/>
        <v>1</v>
      </c>
      <c r="EX19" s="140">
        <f t="shared" si="211"/>
        <v>1</v>
      </c>
      <c r="EY19" s="140">
        <f>((24*7)-EY13)/(24*7)</f>
        <v>1</v>
      </c>
      <c r="EZ19" s="142">
        <f t="shared" ref="EZ19:FF19" si="212">(24-EZ13)/24</f>
        <v>1</v>
      </c>
      <c r="FA19" s="140">
        <f t="shared" si="212"/>
        <v>1</v>
      </c>
      <c r="FB19" s="140">
        <f t="shared" si="212"/>
        <v>1</v>
      </c>
      <c r="FC19" s="140">
        <f t="shared" si="212"/>
        <v>1</v>
      </c>
      <c r="FD19" s="140">
        <f t="shared" si="212"/>
        <v>1</v>
      </c>
      <c r="FE19" s="140">
        <f t="shared" si="212"/>
        <v>1</v>
      </c>
      <c r="FF19" s="140">
        <f t="shared" si="212"/>
        <v>1</v>
      </c>
      <c r="FG19" s="140">
        <f>((24*7)-FG13)/(24*7)</f>
        <v>1</v>
      </c>
      <c r="FH19" s="142">
        <f t="shared" ref="FH19:FN19" si="213">(24-FH13)/24</f>
        <v>1</v>
      </c>
      <c r="FI19" s="140">
        <f t="shared" si="213"/>
        <v>1</v>
      </c>
      <c r="FJ19" s="140">
        <f t="shared" si="213"/>
        <v>1</v>
      </c>
      <c r="FK19" s="140">
        <f t="shared" si="213"/>
        <v>1</v>
      </c>
      <c r="FL19" s="140">
        <f t="shared" si="213"/>
        <v>1</v>
      </c>
      <c r="FM19" s="140">
        <f t="shared" si="213"/>
        <v>1</v>
      </c>
      <c r="FN19" s="140">
        <f t="shared" si="213"/>
        <v>1</v>
      </c>
      <c r="FO19" s="140">
        <f>((24*7)-FO13)/(24*7)</f>
        <v>1</v>
      </c>
      <c r="FP19" s="142">
        <f t="shared" ref="FP19:FV19" si="214">(24-FP13)/24</f>
        <v>1</v>
      </c>
      <c r="FQ19" s="140">
        <f t="shared" si="214"/>
        <v>1</v>
      </c>
      <c r="FR19" s="140">
        <f t="shared" si="214"/>
        <v>1</v>
      </c>
      <c r="FS19" s="140">
        <f t="shared" si="214"/>
        <v>1</v>
      </c>
      <c r="FT19" s="140">
        <f t="shared" si="214"/>
        <v>1</v>
      </c>
      <c r="FU19" s="140">
        <f t="shared" si="214"/>
        <v>1</v>
      </c>
      <c r="FV19" s="140">
        <f t="shared" si="214"/>
        <v>1</v>
      </c>
      <c r="FW19" s="140">
        <f>((24*7)-FW13)/(24*7)</f>
        <v>1</v>
      </c>
      <c r="FX19" s="142">
        <f t="shared" ref="FX19:GD19" si="215">(24-FX13)/24</f>
        <v>1</v>
      </c>
      <c r="FY19" s="140">
        <f t="shared" si="215"/>
        <v>1</v>
      </c>
      <c r="FZ19" s="140">
        <f t="shared" si="215"/>
        <v>1</v>
      </c>
      <c r="GA19" s="140">
        <f t="shared" si="215"/>
        <v>1</v>
      </c>
      <c r="GB19" s="140">
        <f t="shared" si="215"/>
        <v>1</v>
      </c>
      <c r="GC19" s="140">
        <f t="shared" si="215"/>
        <v>1</v>
      </c>
      <c r="GD19" s="140">
        <f t="shared" si="215"/>
        <v>1</v>
      </c>
      <c r="GE19" s="140">
        <f>((24*7)-GE13)/(24*7)</f>
        <v>1</v>
      </c>
      <c r="GF19" s="142">
        <f t="shared" ref="GF19:GL19" si="216">(24-GF13)/24</f>
        <v>1</v>
      </c>
      <c r="GG19" s="140">
        <f t="shared" si="216"/>
        <v>1</v>
      </c>
      <c r="GH19" s="140">
        <f t="shared" si="216"/>
        <v>1</v>
      </c>
      <c r="GI19" s="140">
        <f t="shared" si="216"/>
        <v>1</v>
      </c>
      <c r="GJ19" s="140">
        <f t="shared" si="216"/>
        <v>1</v>
      </c>
      <c r="GK19" s="140">
        <f t="shared" si="216"/>
        <v>1</v>
      </c>
      <c r="GL19" s="140">
        <f t="shared" si="216"/>
        <v>1</v>
      </c>
      <c r="GM19" s="140">
        <f>((24*7)-GM13)/(24*7)</f>
        <v>1</v>
      </c>
      <c r="GN19" s="142">
        <f t="shared" ref="GN19:GT19" si="217">(24-GN13)/24</f>
        <v>1</v>
      </c>
      <c r="GO19" s="140">
        <f t="shared" si="217"/>
        <v>1</v>
      </c>
      <c r="GP19" s="140">
        <f t="shared" si="217"/>
        <v>1</v>
      </c>
      <c r="GQ19" s="140">
        <f t="shared" si="217"/>
        <v>1</v>
      </c>
      <c r="GR19" s="140">
        <f t="shared" si="217"/>
        <v>1</v>
      </c>
      <c r="GS19" s="140">
        <f t="shared" si="217"/>
        <v>1</v>
      </c>
      <c r="GT19" s="140">
        <f t="shared" si="217"/>
        <v>1</v>
      </c>
      <c r="GU19" s="140">
        <f>((24*7)-GU13)/(24*7)</f>
        <v>1</v>
      </c>
      <c r="GV19" s="142">
        <f t="shared" ref="GV19:HB19" si="218">(24-GV13)/24</f>
        <v>1</v>
      </c>
      <c r="GW19" s="140">
        <f t="shared" si="218"/>
        <v>1</v>
      </c>
      <c r="GX19" s="140">
        <f t="shared" si="218"/>
        <v>1</v>
      </c>
      <c r="GY19" s="140">
        <f t="shared" si="218"/>
        <v>1</v>
      </c>
      <c r="GZ19" s="140">
        <f t="shared" si="218"/>
        <v>1</v>
      </c>
      <c r="HA19" s="140">
        <f t="shared" si="218"/>
        <v>1</v>
      </c>
      <c r="HB19" s="140">
        <f t="shared" si="218"/>
        <v>1</v>
      </c>
      <c r="HC19" s="140">
        <f>((24*7)-HC13)/(24*7)</f>
        <v>1</v>
      </c>
      <c r="HD19" s="142">
        <f t="shared" ref="HD19:HJ19" si="219">(24-HD13)/24</f>
        <v>1</v>
      </c>
      <c r="HE19" s="140">
        <f t="shared" si="219"/>
        <v>1</v>
      </c>
      <c r="HF19" s="140">
        <f t="shared" si="219"/>
        <v>1</v>
      </c>
      <c r="HG19" s="140">
        <f t="shared" si="219"/>
        <v>1</v>
      </c>
      <c r="HH19" s="140">
        <f t="shared" si="219"/>
        <v>1</v>
      </c>
      <c r="HI19" s="140">
        <f t="shared" si="219"/>
        <v>1</v>
      </c>
      <c r="HJ19" s="140">
        <f t="shared" si="219"/>
        <v>1</v>
      </c>
      <c r="HK19" s="140">
        <f>((24*7)-HK13)/(24*7)</f>
        <v>1</v>
      </c>
      <c r="HL19" s="142">
        <f t="shared" ref="HL19:HR19" si="220">(24-HL13)/24</f>
        <v>1</v>
      </c>
      <c r="HM19" s="140">
        <f t="shared" si="220"/>
        <v>1</v>
      </c>
      <c r="HN19" s="140">
        <f t="shared" si="220"/>
        <v>1</v>
      </c>
      <c r="HO19" s="140">
        <f t="shared" si="220"/>
        <v>1</v>
      </c>
      <c r="HP19" s="140">
        <f t="shared" si="220"/>
        <v>1</v>
      </c>
      <c r="HQ19" s="140">
        <f t="shared" si="220"/>
        <v>1</v>
      </c>
      <c r="HR19" s="140">
        <f t="shared" si="220"/>
        <v>1</v>
      </c>
      <c r="HS19" s="140">
        <f>((24*7)-HS13)/(24*7)</f>
        <v>1</v>
      </c>
      <c r="HT19" s="142">
        <f t="shared" ref="HT19:HZ19" si="221">(24-HT13)/24</f>
        <v>1</v>
      </c>
      <c r="HU19" s="140">
        <f t="shared" si="221"/>
        <v>1</v>
      </c>
      <c r="HV19" s="140">
        <f t="shared" si="221"/>
        <v>1</v>
      </c>
      <c r="HW19" s="140">
        <f t="shared" si="221"/>
        <v>1</v>
      </c>
      <c r="HX19" s="140">
        <f t="shared" si="221"/>
        <v>1</v>
      </c>
      <c r="HY19" s="140">
        <f t="shared" si="221"/>
        <v>1</v>
      </c>
      <c r="HZ19" s="140">
        <f t="shared" si="221"/>
        <v>1</v>
      </c>
      <c r="IA19" s="140">
        <f>((24*7)-IA13)/(24*7)</f>
        <v>1</v>
      </c>
      <c r="IB19" s="142">
        <f t="shared" ref="IB19:IH19" si="222">(24-IB13)/24</f>
        <v>1</v>
      </c>
      <c r="IC19" s="140">
        <f t="shared" si="222"/>
        <v>1</v>
      </c>
      <c r="ID19" s="140">
        <f t="shared" si="222"/>
        <v>1</v>
      </c>
      <c r="IE19" s="140">
        <f t="shared" si="222"/>
        <v>1</v>
      </c>
      <c r="IF19" s="140">
        <f t="shared" si="222"/>
        <v>1</v>
      </c>
      <c r="IG19" s="140">
        <f t="shared" si="222"/>
        <v>1</v>
      </c>
      <c r="IH19" s="140">
        <f t="shared" si="222"/>
        <v>1</v>
      </c>
      <c r="II19" s="140">
        <f>((24*7)-II13)/(24*7)</f>
        <v>1</v>
      </c>
      <c r="IJ19" s="142">
        <f t="shared" ref="IJ19:IP19" si="223">(24-IJ13)/24</f>
        <v>1</v>
      </c>
      <c r="IK19" s="140">
        <f t="shared" si="223"/>
        <v>1</v>
      </c>
      <c r="IL19" s="140">
        <f t="shared" si="223"/>
        <v>1</v>
      </c>
      <c r="IM19" s="140">
        <f t="shared" si="223"/>
        <v>1</v>
      </c>
      <c r="IN19" s="140">
        <f t="shared" si="223"/>
        <v>1</v>
      </c>
      <c r="IO19" s="140">
        <f t="shared" si="223"/>
        <v>1</v>
      </c>
      <c r="IP19" s="140">
        <f t="shared" si="223"/>
        <v>1</v>
      </c>
      <c r="IQ19" s="140">
        <f>((24*7)-IQ13)/(24*7)</f>
        <v>1</v>
      </c>
      <c r="IR19" s="142">
        <f t="shared" ref="IR19:IX19" si="224">(24-IR13)/24</f>
        <v>1</v>
      </c>
      <c r="IS19" s="140">
        <f t="shared" si="224"/>
        <v>1</v>
      </c>
      <c r="IT19" s="140">
        <f t="shared" si="224"/>
        <v>1</v>
      </c>
      <c r="IU19" s="140">
        <f t="shared" si="224"/>
        <v>1</v>
      </c>
      <c r="IV19" s="140">
        <f t="shared" si="224"/>
        <v>1</v>
      </c>
      <c r="IW19" s="140">
        <f t="shared" si="224"/>
        <v>1</v>
      </c>
      <c r="IX19" s="140">
        <f t="shared" si="224"/>
        <v>1</v>
      </c>
      <c r="IY19" s="140">
        <f>((24*7)-IY13)/(24*7)</f>
        <v>1</v>
      </c>
      <c r="IZ19" s="142">
        <f t="shared" ref="IZ19:JF19" si="225">(24-IZ13)/24</f>
        <v>1</v>
      </c>
      <c r="JA19" s="140">
        <f t="shared" si="225"/>
        <v>1</v>
      </c>
      <c r="JB19" s="140">
        <f t="shared" si="225"/>
        <v>1</v>
      </c>
      <c r="JC19" s="140">
        <f t="shared" si="225"/>
        <v>1</v>
      </c>
      <c r="JD19" s="140">
        <f t="shared" si="225"/>
        <v>1</v>
      </c>
      <c r="JE19" s="140">
        <f t="shared" si="225"/>
        <v>1</v>
      </c>
      <c r="JF19" s="140">
        <f t="shared" si="225"/>
        <v>1</v>
      </c>
      <c r="JG19" s="140">
        <f>((24*7)-JG13)/(24*7)</f>
        <v>1</v>
      </c>
      <c r="JH19" s="142">
        <f t="shared" ref="JH19:JN19" si="226">(24-JH13)/24</f>
        <v>1</v>
      </c>
      <c r="JI19" s="140">
        <f t="shared" si="226"/>
        <v>1</v>
      </c>
      <c r="JJ19" s="140">
        <f t="shared" si="226"/>
        <v>1</v>
      </c>
      <c r="JK19" s="140">
        <f t="shared" si="226"/>
        <v>1</v>
      </c>
      <c r="JL19" s="140">
        <f t="shared" si="226"/>
        <v>1</v>
      </c>
      <c r="JM19" s="140">
        <f t="shared" si="226"/>
        <v>1</v>
      </c>
      <c r="JN19" s="140">
        <f t="shared" si="226"/>
        <v>1</v>
      </c>
      <c r="JO19" s="140">
        <f>((24*7)-JO13)/(24*7)</f>
        <v>1</v>
      </c>
      <c r="JP19" s="142">
        <f t="shared" ref="JP19:JV19" si="227">(24-JP13)/24</f>
        <v>1</v>
      </c>
      <c r="JQ19" s="140">
        <f t="shared" si="227"/>
        <v>1</v>
      </c>
      <c r="JR19" s="140">
        <f t="shared" si="227"/>
        <v>1</v>
      </c>
      <c r="JS19" s="140">
        <f t="shared" si="227"/>
        <v>1</v>
      </c>
      <c r="JT19" s="140">
        <f t="shared" si="227"/>
        <v>1</v>
      </c>
      <c r="JU19" s="140">
        <f t="shared" si="227"/>
        <v>1</v>
      </c>
      <c r="JV19" s="140">
        <f t="shared" si="227"/>
        <v>1</v>
      </c>
      <c r="JW19" s="140">
        <f>((24*7)-JW13)/(24*7)</f>
        <v>1</v>
      </c>
      <c r="JX19" s="142">
        <f t="shared" ref="JX19:KD19" si="228">(24-JX13)/24</f>
        <v>1</v>
      </c>
      <c r="JY19" s="140">
        <f t="shared" si="228"/>
        <v>1</v>
      </c>
      <c r="JZ19" s="140">
        <f t="shared" si="228"/>
        <v>1</v>
      </c>
      <c r="KA19" s="140">
        <f t="shared" si="228"/>
        <v>1</v>
      </c>
      <c r="KB19" s="140">
        <f t="shared" si="228"/>
        <v>1</v>
      </c>
      <c r="KC19" s="140">
        <f t="shared" si="228"/>
        <v>1</v>
      </c>
      <c r="KD19" s="140">
        <f t="shared" si="228"/>
        <v>1</v>
      </c>
      <c r="KE19" s="140">
        <f>((24*7)-KE13)/(24*7)</f>
        <v>1</v>
      </c>
      <c r="KF19" s="142">
        <f t="shared" ref="KF19:KL19" si="229">(24-KF13)/24</f>
        <v>1</v>
      </c>
      <c r="KG19" s="140">
        <f t="shared" si="229"/>
        <v>1</v>
      </c>
      <c r="KH19" s="140">
        <f t="shared" si="229"/>
        <v>1</v>
      </c>
      <c r="KI19" s="140">
        <f t="shared" si="229"/>
        <v>1</v>
      </c>
      <c r="KJ19" s="140">
        <f t="shared" si="229"/>
        <v>1</v>
      </c>
      <c r="KK19" s="140">
        <f t="shared" si="229"/>
        <v>1</v>
      </c>
      <c r="KL19" s="140">
        <f t="shared" si="229"/>
        <v>1</v>
      </c>
      <c r="KM19" s="140">
        <f>((24*7)-KM13)/(24*7)</f>
        <v>1</v>
      </c>
      <c r="KN19" s="142">
        <f t="shared" ref="KN19:KT19" si="230">(24-KN13)/24</f>
        <v>1</v>
      </c>
      <c r="KO19" s="140">
        <f t="shared" si="230"/>
        <v>1</v>
      </c>
      <c r="KP19" s="140">
        <f t="shared" si="230"/>
        <v>1</v>
      </c>
      <c r="KQ19" s="140">
        <f t="shared" si="230"/>
        <v>1</v>
      </c>
      <c r="KR19" s="140">
        <f t="shared" si="230"/>
        <v>1</v>
      </c>
      <c r="KS19" s="140">
        <f t="shared" si="230"/>
        <v>1</v>
      </c>
      <c r="KT19" s="140">
        <f t="shared" si="230"/>
        <v>1</v>
      </c>
      <c r="KU19" s="140">
        <f>((24*7)-KU13)/(24*7)</f>
        <v>1</v>
      </c>
      <c r="KV19" s="142">
        <f t="shared" ref="KV19:LB19" si="231">(24-KV13)/24</f>
        <v>1</v>
      </c>
      <c r="KW19" s="140">
        <f t="shared" si="231"/>
        <v>1</v>
      </c>
      <c r="KX19" s="140">
        <f t="shared" si="231"/>
        <v>1</v>
      </c>
      <c r="KY19" s="140">
        <f t="shared" si="231"/>
        <v>1</v>
      </c>
      <c r="KZ19" s="140">
        <f t="shared" si="231"/>
        <v>1</v>
      </c>
      <c r="LA19" s="140">
        <f t="shared" si="231"/>
        <v>1</v>
      </c>
      <c r="LB19" s="140">
        <f t="shared" si="231"/>
        <v>1</v>
      </c>
      <c r="LC19" s="140">
        <f>((24*7)-LC13)/(24*7)</f>
        <v>1</v>
      </c>
      <c r="LD19" s="142">
        <f t="shared" ref="LD19:LJ19" si="232">(24-LD13)/24</f>
        <v>1</v>
      </c>
      <c r="LE19" s="140">
        <f t="shared" si="232"/>
        <v>1</v>
      </c>
      <c r="LF19" s="140">
        <f t="shared" si="232"/>
        <v>1</v>
      </c>
      <c r="LG19" s="140">
        <f t="shared" si="232"/>
        <v>1</v>
      </c>
      <c r="LH19" s="140">
        <f t="shared" si="232"/>
        <v>1</v>
      </c>
      <c r="LI19" s="140">
        <f t="shared" si="232"/>
        <v>1</v>
      </c>
      <c r="LJ19" s="140">
        <f t="shared" si="232"/>
        <v>1</v>
      </c>
      <c r="LK19" s="140">
        <f>((24*7)-LK13)/(24*7)</f>
        <v>1</v>
      </c>
      <c r="LL19" s="142">
        <f t="shared" ref="LL19:LR19" si="233">(24-LL13)/24</f>
        <v>1</v>
      </c>
      <c r="LM19" s="140">
        <f t="shared" si="233"/>
        <v>1</v>
      </c>
      <c r="LN19" s="140">
        <f t="shared" si="233"/>
        <v>1</v>
      </c>
      <c r="LO19" s="140">
        <f t="shared" si="233"/>
        <v>1</v>
      </c>
      <c r="LP19" s="140">
        <f t="shared" si="233"/>
        <v>1</v>
      </c>
      <c r="LQ19" s="140">
        <f t="shared" si="233"/>
        <v>1</v>
      </c>
      <c r="LR19" s="140">
        <f t="shared" si="233"/>
        <v>1</v>
      </c>
      <c r="LS19" s="140">
        <f>((24*7)-LS13)/(24*7)</f>
        <v>1</v>
      </c>
      <c r="LT19" s="142">
        <f t="shared" ref="LT19:LZ19" si="234">(24-LT13)/24</f>
        <v>1</v>
      </c>
      <c r="LU19" s="140">
        <f t="shared" si="234"/>
        <v>1</v>
      </c>
      <c r="LV19" s="140">
        <f t="shared" si="234"/>
        <v>1</v>
      </c>
      <c r="LW19" s="140">
        <f t="shared" si="234"/>
        <v>1</v>
      </c>
      <c r="LX19" s="140">
        <f t="shared" si="234"/>
        <v>1</v>
      </c>
      <c r="LY19" s="140">
        <f t="shared" si="234"/>
        <v>1</v>
      </c>
      <c r="LZ19" s="140">
        <f t="shared" si="234"/>
        <v>1</v>
      </c>
      <c r="MA19" s="140">
        <f>((24*7)-MA13)/(24*7)</f>
        <v>1</v>
      </c>
      <c r="MB19" s="142">
        <f t="shared" ref="MB19:MH19" si="235">(24-MB13)/24</f>
        <v>1</v>
      </c>
      <c r="MC19" s="140">
        <f t="shared" si="235"/>
        <v>1</v>
      </c>
      <c r="MD19" s="140">
        <f t="shared" si="235"/>
        <v>1</v>
      </c>
      <c r="ME19" s="140">
        <f t="shared" si="235"/>
        <v>1</v>
      </c>
      <c r="MF19" s="140">
        <f t="shared" si="235"/>
        <v>1</v>
      </c>
      <c r="MG19" s="140">
        <f t="shared" si="235"/>
        <v>1</v>
      </c>
      <c r="MH19" s="140">
        <f t="shared" si="235"/>
        <v>1</v>
      </c>
      <c r="MI19" s="140">
        <f>((24*7)-MI13)/(24*7)</f>
        <v>1</v>
      </c>
      <c r="MJ19" s="142">
        <f t="shared" ref="MJ19:MP19" si="236">(24-MJ13)/24</f>
        <v>1</v>
      </c>
      <c r="MK19" s="140">
        <f t="shared" si="236"/>
        <v>1</v>
      </c>
      <c r="ML19" s="140">
        <f t="shared" si="236"/>
        <v>1</v>
      </c>
      <c r="MM19" s="140">
        <f t="shared" si="236"/>
        <v>1</v>
      </c>
      <c r="MN19" s="140">
        <f t="shared" si="236"/>
        <v>1</v>
      </c>
      <c r="MO19" s="140">
        <f t="shared" si="236"/>
        <v>1</v>
      </c>
      <c r="MP19" s="140">
        <f t="shared" si="236"/>
        <v>1</v>
      </c>
      <c r="MQ19" s="140">
        <f>((24*7)-MQ13)/(24*7)</f>
        <v>1</v>
      </c>
      <c r="MR19" s="142">
        <f t="shared" ref="MR19:MX19" si="237">(24-MR13)/24</f>
        <v>1</v>
      </c>
      <c r="MS19" s="140">
        <f t="shared" si="237"/>
        <v>1</v>
      </c>
      <c r="MT19" s="140">
        <f t="shared" si="237"/>
        <v>1</v>
      </c>
      <c r="MU19" s="140">
        <f t="shared" si="237"/>
        <v>1</v>
      </c>
      <c r="MV19" s="140">
        <f t="shared" si="237"/>
        <v>1</v>
      </c>
      <c r="MW19" s="140">
        <f t="shared" si="237"/>
        <v>1</v>
      </c>
      <c r="MX19" s="140">
        <f t="shared" si="237"/>
        <v>1</v>
      </c>
      <c r="MY19" s="140">
        <f>((24*7)-MY13)/(24*7)</f>
        <v>1</v>
      </c>
      <c r="MZ19" s="142">
        <f t="shared" ref="MZ19:NF19" si="238">(24-MZ13)/24</f>
        <v>1</v>
      </c>
      <c r="NA19" s="140">
        <f t="shared" si="238"/>
        <v>1</v>
      </c>
      <c r="NB19" s="140">
        <f t="shared" si="238"/>
        <v>1</v>
      </c>
      <c r="NC19" s="140">
        <f t="shared" si="238"/>
        <v>1</v>
      </c>
      <c r="ND19" s="140">
        <f t="shared" si="238"/>
        <v>1</v>
      </c>
      <c r="NE19" s="140">
        <f t="shared" si="238"/>
        <v>1</v>
      </c>
      <c r="NF19" s="140">
        <f t="shared" si="238"/>
        <v>1</v>
      </c>
      <c r="NG19" s="140">
        <f>((24*7)-NG13)/(24*7)</f>
        <v>1</v>
      </c>
      <c r="NH19" s="142">
        <f t="shared" ref="NH19:NN19" si="239">(24-NH13)/24</f>
        <v>1</v>
      </c>
      <c r="NI19" s="140">
        <f t="shared" si="239"/>
        <v>1</v>
      </c>
      <c r="NJ19" s="140">
        <f t="shared" si="239"/>
        <v>1</v>
      </c>
      <c r="NK19" s="140">
        <f t="shared" si="239"/>
        <v>1</v>
      </c>
      <c r="NL19" s="140">
        <f t="shared" si="239"/>
        <v>1</v>
      </c>
      <c r="NM19" s="140">
        <f t="shared" si="239"/>
        <v>1</v>
      </c>
      <c r="NN19" s="140">
        <f t="shared" si="239"/>
        <v>1</v>
      </c>
      <c r="NO19" s="140">
        <f>((24*7)-NO13)/(24*7)</f>
        <v>1</v>
      </c>
      <c r="NP19" s="142">
        <f t="shared" ref="NP19:NV19" si="240">(24-NP13)/24</f>
        <v>1</v>
      </c>
      <c r="NQ19" s="140">
        <f t="shared" si="240"/>
        <v>1</v>
      </c>
      <c r="NR19" s="140">
        <f t="shared" si="240"/>
        <v>1</v>
      </c>
      <c r="NS19" s="140">
        <f t="shared" si="240"/>
        <v>1</v>
      </c>
      <c r="NT19" s="140">
        <f t="shared" si="240"/>
        <v>1</v>
      </c>
      <c r="NU19" s="140">
        <f t="shared" si="240"/>
        <v>1</v>
      </c>
      <c r="NV19" s="140">
        <f t="shared" si="240"/>
        <v>1</v>
      </c>
      <c r="NW19" s="140">
        <f>((24*7)-NW13)/(24*7)</f>
        <v>1</v>
      </c>
    </row>
    <row r="22" spans="1:387" x14ac:dyDescent="0.25">
      <c r="C22" s="99" t="s">
        <v>429</v>
      </c>
      <c r="D22" s="96">
        <f>D13/24</f>
        <v>0</v>
      </c>
      <c r="E22" s="96">
        <f t="shared" ref="E22:J22" si="241">E13/24</f>
        <v>0</v>
      </c>
      <c r="F22" s="96">
        <f t="shared" si="241"/>
        <v>0</v>
      </c>
      <c r="G22" s="96">
        <f t="shared" si="241"/>
        <v>0</v>
      </c>
      <c r="H22" s="96">
        <f t="shared" si="241"/>
        <v>0</v>
      </c>
      <c r="I22" s="96">
        <f t="shared" si="241"/>
        <v>0</v>
      </c>
      <c r="J22" s="96">
        <f t="shared" si="241"/>
        <v>0</v>
      </c>
      <c r="K22" s="96">
        <f>K13/(24*7)</f>
        <v>0</v>
      </c>
      <c r="L22" s="96">
        <f t="shared" ref="L22:R22" si="242">L13/24</f>
        <v>0</v>
      </c>
      <c r="M22" s="96">
        <f t="shared" si="242"/>
        <v>0</v>
      </c>
      <c r="N22" s="96">
        <f t="shared" si="242"/>
        <v>0</v>
      </c>
      <c r="O22" s="96">
        <f t="shared" si="242"/>
        <v>0</v>
      </c>
      <c r="P22" s="96">
        <f t="shared" si="242"/>
        <v>0</v>
      </c>
      <c r="Q22" s="96">
        <f t="shared" si="242"/>
        <v>0</v>
      </c>
      <c r="R22" s="96">
        <f t="shared" si="242"/>
        <v>0</v>
      </c>
      <c r="S22" s="96">
        <f>S13/(24*7)</f>
        <v>0</v>
      </c>
      <c r="T22" s="96">
        <f t="shared" ref="T22:Z22" si="243">T13/24</f>
        <v>0</v>
      </c>
      <c r="U22" s="96">
        <f t="shared" si="243"/>
        <v>0</v>
      </c>
      <c r="V22" s="96">
        <f t="shared" si="243"/>
        <v>0</v>
      </c>
      <c r="W22" s="96">
        <f t="shared" si="243"/>
        <v>0</v>
      </c>
      <c r="X22" s="96">
        <f t="shared" si="243"/>
        <v>0</v>
      </c>
      <c r="Y22" s="96">
        <f t="shared" si="243"/>
        <v>0</v>
      </c>
      <c r="Z22" s="96">
        <f t="shared" si="243"/>
        <v>0</v>
      </c>
      <c r="AA22" s="96">
        <f>AA13/(24*7)</f>
        <v>0</v>
      </c>
      <c r="AB22" s="96">
        <f t="shared" ref="AB22:AH22" si="244">AB13/24</f>
        <v>0</v>
      </c>
      <c r="AC22" s="96">
        <f t="shared" si="244"/>
        <v>0</v>
      </c>
      <c r="AD22" s="96">
        <f t="shared" si="244"/>
        <v>0</v>
      </c>
      <c r="AE22" s="96">
        <f t="shared" si="244"/>
        <v>0</v>
      </c>
      <c r="AF22" s="96">
        <f t="shared" si="244"/>
        <v>0</v>
      </c>
      <c r="AG22" s="96">
        <f t="shared" si="244"/>
        <v>0</v>
      </c>
      <c r="AH22" s="96">
        <f t="shared" si="244"/>
        <v>0</v>
      </c>
      <c r="AI22" s="96">
        <f>AI13/(24*7)</f>
        <v>0</v>
      </c>
      <c r="AJ22" s="96">
        <f t="shared" ref="AJ22:AP22" si="245">AJ13/24</f>
        <v>0</v>
      </c>
      <c r="AK22" s="96">
        <f t="shared" si="245"/>
        <v>0</v>
      </c>
      <c r="AL22" s="96">
        <f t="shared" si="245"/>
        <v>0</v>
      </c>
      <c r="AM22" s="96">
        <f t="shared" si="245"/>
        <v>0</v>
      </c>
      <c r="AN22" s="96">
        <f t="shared" si="245"/>
        <v>0</v>
      </c>
      <c r="AO22" s="96">
        <f t="shared" si="245"/>
        <v>0</v>
      </c>
      <c r="AP22" s="96">
        <f t="shared" si="245"/>
        <v>0</v>
      </c>
      <c r="AQ22" s="96">
        <f>AQ13/(24*7)</f>
        <v>0</v>
      </c>
      <c r="AR22" s="96">
        <f t="shared" ref="AR22:AX22" si="246">AR13/24</f>
        <v>0</v>
      </c>
      <c r="AS22" s="96">
        <f t="shared" si="246"/>
        <v>0</v>
      </c>
      <c r="AT22" s="96">
        <f t="shared" si="246"/>
        <v>0</v>
      </c>
      <c r="AU22" s="96">
        <f t="shared" si="246"/>
        <v>0</v>
      </c>
      <c r="AV22" s="96">
        <f t="shared" si="246"/>
        <v>0</v>
      </c>
      <c r="AW22" s="96">
        <f t="shared" si="246"/>
        <v>0</v>
      </c>
      <c r="AX22" s="96">
        <f t="shared" si="246"/>
        <v>0</v>
      </c>
      <c r="AY22" s="96">
        <f>AY13/(24*7)</f>
        <v>0</v>
      </c>
      <c r="AZ22" s="96">
        <f t="shared" ref="AZ22:BF22" si="247">AZ13/24</f>
        <v>0</v>
      </c>
      <c r="BA22" s="96">
        <f t="shared" si="247"/>
        <v>0</v>
      </c>
      <c r="BB22" s="96">
        <f t="shared" si="247"/>
        <v>0</v>
      </c>
      <c r="BC22" s="96">
        <f t="shared" si="247"/>
        <v>0</v>
      </c>
      <c r="BD22" s="96">
        <f t="shared" si="247"/>
        <v>0</v>
      </c>
      <c r="BE22" s="96">
        <f t="shared" si="247"/>
        <v>0</v>
      </c>
      <c r="BF22" s="96">
        <f t="shared" si="247"/>
        <v>0</v>
      </c>
      <c r="BG22" s="96">
        <f>BG13/(24*7)</f>
        <v>0</v>
      </c>
      <c r="BH22" s="96">
        <f t="shared" ref="BH22:BN22" si="248">BH13/24</f>
        <v>0</v>
      </c>
      <c r="BI22" s="96">
        <f t="shared" si="248"/>
        <v>0</v>
      </c>
      <c r="BJ22" s="96">
        <f t="shared" si="248"/>
        <v>0</v>
      </c>
      <c r="BK22" s="96">
        <f t="shared" si="248"/>
        <v>0</v>
      </c>
      <c r="BL22" s="96">
        <f t="shared" si="248"/>
        <v>0</v>
      </c>
      <c r="BM22" s="96">
        <f t="shared" si="248"/>
        <v>0</v>
      </c>
      <c r="BN22" s="96">
        <f t="shared" si="248"/>
        <v>0</v>
      </c>
      <c r="BO22" s="96">
        <f>BO13/(24*7)</f>
        <v>0</v>
      </c>
      <c r="BP22" s="96">
        <f t="shared" ref="BP22:BV22" si="249">BP13/24</f>
        <v>0</v>
      </c>
      <c r="BQ22" s="96">
        <f t="shared" si="249"/>
        <v>0</v>
      </c>
      <c r="BR22" s="96">
        <f t="shared" si="249"/>
        <v>0</v>
      </c>
      <c r="BS22" s="96">
        <f t="shared" si="249"/>
        <v>0</v>
      </c>
      <c r="BT22" s="96">
        <f t="shared" si="249"/>
        <v>0</v>
      </c>
      <c r="BU22" s="96">
        <f t="shared" si="249"/>
        <v>0</v>
      </c>
      <c r="BV22" s="96">
        <f t="shared" si="249"/>
        <v>0</v>
      </c>
      <c r="BW22" s="96">
        <f>BW13/(24*7)</f>
        <v>0</v>
      </c>
      <c r="BX22" s="96">
        <f t="shared" ref="BX22:CD22" si="250">BX13/24</f>
        <v>0</v>
      </c>
      <c r="BY22" s="96">
        <f t="shared" si="250"/>
        <v>0</v>
      </c>
      <c r="BZ22" s="96">
        <f t="shared" si="250"/>
        <v>0</v>
      </c>
      <c r="CA22" s="96">
        <f t="shared" si="250"/>
        <v>0</v>
      </c>
      <c r="CB22" s="96">
        <f t="shared" si="250"/>
        <v>0</v>
      </c>
      <c r="CC22" s="96">
        <f t="shared" si="250"/>
        <v>0</v>
      </c>
      <c r="CD22" s="96">
        <f t="shared" si="250"/>
        <v>0</v>
      </c>
      <c r="CE22" s="96">
        <f>CE13/(24*7)</f>
        <v>0</v>
      </c>
      <c r="CF22" s="96">
        <f t="shared" ref="CF22:CL22" si="251">CF13/24</f>
        <v>0</v>
      </c>
      <c r="CG22" s="96">
        <f t="shared" si="251"/>
        <v>0</v>
      </c>
      <c r="CH22" s="96">
        <f t="shared" si="251"/>
        <v>0</v>
      </c>
      <c r="CI22" s="96">
        <f t="shared" si="251"/>
        <v>0</v>
      </c>
      <c r="CJ22" s="96">
        <f t="shared" si="251"/>
        <v>0</v>
      </c>
      <c r="CK22" s="96">
        <f t="shared" si="251"/>
        <v>0</v>
      </c>
      <c r="CL22" s="96">
        <f t="shared" si="251"/>
        <v>0</v>
      </c>
      <c r="CM22" s="96">
        <f>CM13/(24*7)</f>
        <v>0</v>
      </c>
      <c r="CN22" s="96">
        <f t="shared" ref="CN22:CT22" si="252">CN13/24</f>
        <v>0</v>
      </c>
      <c r="CO22" s="96">
        <f t="shared" si="252"/>
        <v>0</v>
      </c>
      <c r="CP22" s="96">
        <f t="shared" si="252"/>
        <v>0</v>
      </c>
      <c r="CQ22" s="96">
        <f t="shared" si="252"/>
        <v>0</v>
      </c>
      <c r="CR22" s="96">
        <f t="shared" si="252"/>
        <v>0</v>
      </c>
      <c r="CS22" s="96">
        <f t="shared" si="252"/>
        <v>0</v>
      </c>
      <c r="CT22" s="96">
        <f t="shared" si="252"/>
        <v>0</v>
      </c>
      <c r="CU22" s="96">
        <f>CU13/(24*7)</f>
        <v>0</v>
      </c>
      <c r="CV22" s="96">
        <f t="shared" ref="CV22:DB22" si="253">CV13/24</f>
        <v>0</v>
      </c>
      <c r="CW22" s="96">
        <f t="shared" si="253"/>
        <v>0</v>
      </c>
      <c r="CX22" s="96">
        <f t="shared" si="253"/>
        <v>0</v>
      </c>
      <c r="CY22" s="96">
        <f t="shared" si="253"/>
        <v>0</v>
      </c>
      <c r="CZ22" s="96">
        <f t="shared" si="253"/>
        <v>0</v>
      </c>
      <c r="DA22" s="96">
        <f t="shared" si="253"/>
        <v>0</v>
      </c>
      <c r="DB22" s="96">
        <f t="shared" si="253"/>
        <v>0</v>
      </c>
      <c r="DC22" s="96">
        <f>DC13/(24*7)</f>
        <v>0</v>
      </c>
      <c r="DD22" s="96">
        <f t="shared" ref="DD22:DJ22" si="254">DD13/24</f>
        <v>0</v>
      </c>
      <c r="DE22" s="96">
        <f t="shared" si="254"/>
        <v>0</v>
      </c>
      <c r="DF22" s="96">
        <f t="shared" si="254"/>
        <v>0</v>
      </c>
      <c r="DG22" s="96">
        <f t="shared" si="254"/>
        <v>0</v>
      </c>
      <c r="DH22" s="96">
        <f t="shared" si="254"/>
        <v>0</v>
      </c>
      <c r="DI22" s="96">
        <f t="shared" si="254"/>
        <v>0</v>
      </c>
      <c r="DJ22" s="96">
        <f t="shared" si="254"/>
        <v>0</v>
      </c>
      <c r="DK22" s="96">
        <f>DK13/(24*7)</f>
        <v>0</v>
      </c>
      <c r="DL22" s="96">
        <f t="shared" ref="DL22:DR22" si="255">DL13/24</f>
        <v>0</v>
      </c>
      <c r="DM22" s="96">
        <f t="shared" si="255"/>
        <v>0</v>
      </c>
      <c r="DN22" s="96">
        <f t="shared" si="255"/>
        <v>0</v>
      </c>
      <c r="DO22" s="96">
        <f t="shared" si="255"/>
        <v>0</v>
      </c>
      <c r="DP22" s="96">
        <f t="shared" si="255"/>
        <v>0</v>
      </c>
      <c r="DQ22" s="96">
        <f t="shared" si="255"/>
        <v>0</v>
      </c>
      <c r="DR22" s="96">
        <f t="shared" si="255"/>
        <v>0</v>
      </c>
      <c r="DS22" s="96">
        <f>DS13/(24*7)</f>
        <v>0</v>
      </c>
      <c r="DT22" s="96">
        <f t="shared" ref="DT22:DZ22" si="256">DT13/24</f>
        <v>0</v>
      </c>
      <c r="DU22" s="96">
        <f t="shared" si="256"/>
        <v>0</v>
      </c>
      <c r="DV22" s="96">
        <f t="shared" si="256"/>
        <v>0</v>
      </c>
      <c r="DW22" s="96">
        <f t="shared" si="256"/>
        <v>0</v>
      </c>
      <c r="DX22" s="96">
        <f t="shared" si="256"/>
        <v>0</v>
      </c>
      <c r="DY22" s="96">
        <f t="shared" si="256"/>
        <v>0</v>
      </c>
      <c r="DZ22" s="96">
        <f t="shared" si="256"/>
        <v>0</v>
      </c>
      <c r="EA22" s="96">
        <f>EA13/(24*7)</f>
        <v>0</v>
      </c>
      <c r="EB22" s="96">
        <f t="shared" ref="EB22:EH22" si="257">EB13/24</f>
        <v>0</v>
      </c>
      <c r="EC22" s="96">
        <f t="shared" si="257"/>
        <v>0</v>
      </c>
      <c r="ED22" s="96">
        <f t="shared" si="257"/>
        <v>0</v>
      </c>
      <c r="EE22" s="96">
        <f t="shared" si="257"/>
        <v>0</v>
      </c>
      <c r="EF22" s="96">
        <f t="shared" si="257"/>
        <v>0</v>
      </c>
      <c r="EG22" s="96">
        <f t="shared" si="257"/>
        <v>0</v>
      </c>
      <c r="EH22" s="96">
        <f t="shared" si="257"/>
        <v>0</v>
      </c>
      <c r="EI22" s="96">
        <f>EI13/(24*7)</f>
        <v>0</v>
      </c>
      <c r="EJ22" s="96">
        <f t="shared" ref="EJ22:EP22" si="258">EJ13/24</f>
        <v>0</v>
      </c>
      <c r="EK22" s="96">
        <f t="shared" si="258"/>
        <v>0</v>
      </c>
      <c r="EL22" s="96">
        <f t="shared" si="258"/>
        <v>0</v>
      </c>
      <c r="EM22" s="96">
        <f t="shared" si="258"/>
        <v>0</v>
      </c>
      <c r="EN22" s="96">
        <f t="shared" si="258"/>
        <v>0</v>
      </c>
      <c r="EO22" s="96">
        <f t="shared" si="258"/>
        <v>0</v>
      </c>
      <c r="EP22" s="96">
        <f t="shared" si="258"/>
        <v>0</v>
      </c>
      <c r="EQ22" s="96">
        <f>EQ13/(24*7)</f>
        <v>0</v>
      </c>
      <c r="ER22" s="96">
        <f t="shared" ref="ER22:EX22" si="259">ER13/24</f>
        <v>0</v>
      </c>
      <c r="ES22" s="96">
        <f t="shared" si="259"/>
        <v>0</v>
      </c>
      <c r="ET22" s="96">
        <f t="shared" si="259"/>
        <v>0</v>
      </c>
      <c r="EU22" s="96">
        <f t="shared" si="259"/>
        <v>0</v>
      </c>
      <c r="EV22" s="96">
        <f t="shared" si="259"/>
        <v>0</v>
      </c>
      <c r="EW22" s="96">
        <f t="shared" si="259"/>
        <v>0</v>
      </c>
      <c r="EX22" s="96">
        <f t="shared" si="259"/>
        <v>0</v>
      </c>
      <c r="EY22" s="96">
        <f>EY13/(24*7)</f>
        <v>0</v>
      </c>
      <c r="EZ22" s="96">
        <f t="shared" ref="EZ22:FF22" si="260">EZ13/24</f>
        <v>0</v>
      </c>
      <c r="FA22" s="96">
        <f t="shared" si="260"/>
        <v>0</v>
      </c>
      <c r="FB22" s="96">
        <f t="shared" si="260"/>
        <v>0</v>
      </c>
      <c r="FC22" s="96">
        <f t="shared" si="260"/>
        <v>0</v>
      </c>
      <c r="FD22" s="96">
        <f t="shared" si="260"/>
        <v>0</v>
      </c>
      <c r="FE22" s="96">
        <f t="shared" si="260"/>
        <v>0</v>
      </c>
      <c r="FF22" s="96">
        <f t="shared" si="260"/>
        <v>0</v>
      </c>
      <c r="FG22" s="96">
        <f>FG13/(24*7)</f>
        <v>0</v>
      </c>
      <c r="FH22" s="96">
        <f t="shared" ref="FH22:FN22" si="261">FH13/24</f>
        <v>0</v>
      </c>
      <c r="FI22" s="96">
        <f t="shared" si="261"/>
        <v>0</v>
      </c>
      <c r="FJ22" s="96">
        <f t="shared" si="261"/>
        <v>0</v>
      </c>
      <c r="FK22" s="96">
        <f t="shared" si="261"/>
        <v>0</v>
      </c>
      <c r="FL22" s="96">
        <f t="shared" si="261"/>
        <v>0</v>
      </c>
      <c r="FM22" s="96">
        <f t="shared" si="261"/>
        <v>0</v>
      </c>
      <c r="FN22" s="96">
        <f t="shared" si="261"/>
        <v>0</v>
      </c>
      <c r="FO22" s="96">
        <f>FO13/(24*7)</f>
        <v>0</v>
      </c>
      <c r="FP22" s="96">
        <f t="shared" ref="FP22:FV22" si="262">FP13/24</f>
        <v>0</v>
      </c>
      <c r="FQ22" s="96">
        <f t="shared" si="262"/>
        <v>0</v>
      </c>
      <c r="FR22" s="96">
        <f t="shared" si="262"/>
        <v>0</v>
      </c>
      <c r="FS22" s="96">
        <f t="shared" si="262"/>
        <v>0</v>
      </c>
      <c r="FT22" s="96">
        <f t="shared" si="262"/>
        <v>0</v>
      </c>
      <c r="FU22" s="96">
        <f t="shared" si="262"/>
        <v>0</v>
      </c>
      <c r="FV22" s="96">
        <f t="shared" si="262"/>
        <v>0</v>
      </c>
      <c r="FW22" s="96">
        <f>FW13/(24*7)</f>
        <v>0</v>
      </c>
      <c r="FX22" s="96">
        <f t="shared" ref="FX22:GD22" si="263">FX13/24</f>
        <v>0</v>
      </c>
      <c r="FY22" s="96">
        <f t="shared" si="263"/>
        <v>0</v>
      </c>
      <c r="FZ22" s="96">
        <f t="shared" si="263"/>
        <v>0</v>
      </c>
      <c r="GA22" s="96">
        <f t="shared" si="263"/>
        <v>0</v>
      </c>
      <c r="GB22" s="96">
        <f t="shared" si="263"/>
        <v>0</v>
      </c>
      <c r="GC22" s="96">
        <f t="shared" si="263"/>
        <v>0</v>
      </c>
      <c r="GD22" s="96">
        <f t="shared" si="263"/>
        <v>0</v>
      </c>
      <c r="GE22" s="96">
        <f>GE13/(24*7)</f>
        <v>0</v>
      </c>
      <c r="GF22" s="96">
        <f t="shared" ref="GF22:GL22" si="264">GF13/24</f>
        <v>0</v>
      </c>
      <c r="GG22" s="96">
        <f t="shared" si="264"/>
        <v>0</v>
      </c>
      <c r="GH22" s="96">
        <f t="shared" si="264"/>
        <v>0</v>
      </c>
      <c r="GI22" s="96">
        <f t="shared" si="264"/>
        <v>0</v>
      </c>
      <c r="GJ22" s="96">
        <f t="shared" si="264"/>
        <v>0</v>
      </c>
      <c r="GK22" s="96">
        <f t="shared" si="264"/>
        <v>0</v>
      </c>
      <c r="GL22" s="96">
        <f t="shared" si="264"/>
        <v>0</v>
      </c>
      <c r="GM22" s="96">
        <f>GM13/(24*7)</f>
        <v>0</v>
      </c>
      <c r="GN22" s="96">
        <f t="shared" ref="GN22:GT22" si="265">GN13/24</f>
        <v>0</v>
      </c>
      <c r="GO22" s="96">
        <f t="shared" si="265"/>
        <v>0</v>
      </c>
      <c r="GP22" s="96">
        <f t="shared" si="265"/>
        <v>0</v>
      </c>
      <c r="GQ22" s="96">
        <f t="shared" si="265"/>
        <v>0</v>
      </c>
      <c r="GR22" s="96">
        <f t="shared" si="265"/>
        <v>0</v>
      </c>
      <c r="GS22" s="96">
        <f t="shared" si="265"/>
        <v>0</v>
      </c>
      <c r="GT22" s="96">
        <f t="shared" si="265"/>
        <v>0</v>
      </c>
      <c r="GU22" s="96">
        <f>GU13/(24*7)</f>
        <v>0</v>
      </c>
      <c r="GV22" s="96">
        <f t="shared" ref="GV22:HB22" si="266">GV13/24</f>
        <v>0</v>
      </c>
      <c r="GW22" s="96">
        <f t="shared" si="266"/>
        <v>0</v>
      </c>
      <c r="GX22" s="96">
        <f t="shared" si="266"/>
        <v>0</v>
      </c>
      <c r="GY22" s="96">
        <f t="shared" si="266"/>
        <v>0</v>
      </c>
      <c r="GZ22" s="96">
        <f t="shared" si="266"/>
        <v>0</v>
      </c>
      <c r="HA22" s="96">
        <f t="shared" si="266"/>
        <v>0</v>
      </c>
      <c r="HB22" s="96">
        <f t="shared" si="266"/>
        <v>0</v>
      </c>
      <c r="HC22" s="96">
        <f>HC13/(24*7)</f>
        <v>0</v>
      </c>
      <c r="HD22" s="96">
        <f t="shared" ref="HD22:HJ22" si="267">HD13/24</f>
        <v>0</v>
      </c>
      <c r="HE22" s="96">
        <f t="shared" si="267"/>
        <v>0</v>
      </c>
      <c r="HF22" s="96">
        <f t="shared" si="267"/>
        <v>0</v>
      </c>
      <c r="HG22" s="96">
        <f t="shared" si="267"/>
        <v>0</v>
      </c>
      <c r="HH22" s="96">
        <f t="shared" si="267"/>
        <v>0</v>
      </c>
      <c r="HI22" s="96">
        <f t="shared" si="267"/>
        <v>0</v>
      </c>
      <c r="HJ22" s="96">
        <f t="shared" si="267"/>
        <v>0</v>
      </c>
      <c r="HK22" s="96">
        <f>HK13/(24*7)</f>
        <v>0</v>
      </c>
      <c r="HL22" s="96">
        <f t="shared" ref="HL22:HR22" si="268">HL13/24</f>
        <v>0</v>
      </c>
      <c r="HM22" s="96">
        <f t="shared" si="268"/>
        <v>0</v>
      </c>
      <c r="HN22" s="96">
        <f t="shared" si="268"/>
        <v>0</v>
      </c>
      <c r="HO22" s="96">
        <f t="shared" si="268"/>
        <v>0</v>
      </c>
      <c r="HP22" s="96">
        <f t="shared" si="268"/>
        <v>0</v>
      </c>
      <c r="HQ22" s="96">
        <f t="shared" si="268"/>
        <v>0</v>
      </c>
      <c r="HR22" s="96">
        <f t="shared" si="268"/>
        <v>0</v>
      </c>
      <c r="HS22" s="96">
        <f>HS13/(24*7)</f>
        <v>0</v>
      </c>
      <c r="HT22" s="96">
        <f t="shared" ref="HT22:HZ22" si="269">HT13/24</f>
        <v>0</v>
      </c>
      <c r="HU22" s="96">
        <f t="shared" si="269"/>
        <v>0</v>
      </c>
      <c r="HV22" s="96">
        <f t="shared" si="269"/>
        <v>0</v>
      </c>
      <c r="HW22" s="96">
        <f t="shared" si="269"/>
        <v>0</v>
      </c>
      <c r="HX22" s="96">
        <f t="shared" si="269"/>
        <v>0</v>
      </c>
      <c r="HY22" s="96">
        <f t="shared" si="269"/>
        <v>0</v>
      </c>
      <c r="HZ22" s="96">
        <f t="shared" si="269"/>
        <v>0</v>
      </c>
      <c r="IA22" s="96">
        <f>IA13/(24*7)</f>
        <v>0</v>
      </c>
      <c r="IB22" s="96">
        <f t="shared" ref="IB22:IH22" si="270">IB13/24</f>
        <v>0</v>
      </c>
      <c r="IC22" s="96">
        <f t="shared" si="270"/>
        <v>0</v>
      </c>
      <c r="ID22" s="96">
        <f t="shared" si="270"/>
        <v>0</v>
      </c>
      <c r="IE22" s="96">
        <f t="shared" si="270"/>
        <v>0</v>
      </c>
      <c r="IF22" s="96">
        <f t="shared" si="270"/>
        <v>0</v>
      </c>
      <c r="IG22" s="96">
        <f t="shared" si="270"/>
        <v>0</v>
      </c>
      <c r="IH22" s="96">
        <f t="shared" si="270"/>
        <v>0</v>
      </c>
      <c r="II22" s="96">
        <f>II13/(24*7)</f>
        <v>0</v>
      </c>
      <c r="IJ22" s="96">
        <f t="shared" ref="IJ22:IP22" si="271">IJ13/24</f>
        <v>0</v>
      </c>
      <c r="IK22" s="96">
        <f t="shared" si="271"/>
        <v>0</v>
      </c>
      <c r="IL22" s="96">
        <f t="shared" si="271"/>
        <v>0</v>
      </c>
      <c r="IM22" s="96">
        <f t="shared" si="271"/>
        <v>0</v>
      </c>
      <c r="IN22" s="96">
        <f t="shared" si="271"/>
        <v>0</v>
      </c>
      <c r="IO22" s="96">
        <f t="shared" si="271"/>
        <v>0</v>
      </c>
      <c r="IP22" s="96">
        <f t="shared" si="271"/>
        <v>0</v>
      </c>
      <c r="IQ22" s="96">
        <f>IQ13/(24*7)</f>
        <v>0</v>
      </c>
      <c r="IR22" s="96">
        <f t="shared" ref="IR22:IX22" si="272">IR13/24</f>
        <v>0</v>
      </c>
      <c r="IS22" s="96">
        <f t="shared" si="272"/>
        <v>0</v>
      </c>
      <c r="IT22" s="96">
        <f t="shared" si="272"/>
        <v>0</v>
      </c>
      <c r="IU22" s="96">
        <f t="shared" si="272"/>
        <v>0</v>
      </c>
      <c r="IV22" s="96">
        <f t="shared" si="272"/>
        <v>0</v>
      </c>
      <c r="IW22" s="96">
        <f t="shared" si="272"/>
        <v>0</v>
      </c>
      <c r="IX22" s="96">
        <f t="shared" si="272"/>
        <v>0</v>
      </c>
      <c r="IY22" s="96">
        <f>IY13/(24*7)</f>
        <v>0</v>
      </c>
      <c r="IZ22" s="96">
        <f t="shared" ref="IZ22:JF22" si="273">IZ13/24</f>
        <v>0</v>
      </c>
      <c r="JA22" s="96">
        <f t="shared" si="273"/>
        <v>0</v>
      </c>
      <c r="JB22" s="96">
        <f t="shared" si="273"/>
        <v>0</v>
      </c>
      <c r="JC22" s="96">
        <f t="shared" si="273"/>
        <v>0</v>
      </c>
      <c r="JD22" s="96">
        <f t="shared" si="273"/>
        <v>0</v>
      </c>
      <c r="JE22" s="96">
        <f t="shared" si="273"/>
        <v>0</v>
      </c>
      <c r="JF22" s="96">
        <f t="shared" si="273"/>
        <v>0</v>
      </c>
      <c r="JG22" s="96">
        <f>JG13/(24*7)</f>
        <v>0</v>
      </c>
      <c r="JH22" s="96">
        <f t="shared" ref="JH22:JN22" si="274">JH13/24</f>
        <v>0</v>
      </c>
      <c r="JI22" s="96">
        <f t="shared" si="274"/>
        <v>0</v>
      </c>
      <c r="JJ22" s="96">
        <f t="shared" si="274"/>
        <v>0</v>
      </c>
      <c r="JK22" s="96">
        <f t="shared" si="274"/>
        <v>0</v>
      </c>
      <c r="JL22" s="96">
        <f t="shared" si="274"/>
        <v>0</v>
      </c>
      <c r="JM22" s="96">
        <f t="shared" si="274"/>
        <v>0</v>
      </c>
      <c r="JN22" s="96">
        <f t="shared" si="274"/>
        <v>0</v>
      </c>
      <c r="JO22" s="96">
        <f>JO13/(24*7)</f>
        <v>0</v>
      </c>
      <c r="JP22" s="96">
        <f t="shared" ref="JP22:JV22" si="275">JP13/24</f>
        <v>0</v>
      </c>
      <c r="JQ22" s="96">
        <f t="shared" si="275"/>
        <v>0</v>
      </c>
      <c r="JR22" s="96">
        <f t="shared" si="275"/>
        <v>0</v>
      </c>
      <c r="JS22" s="96">
        <f t="shared" si="275"/>
        <v>0</v>
      </c>
      <c r="JT22" s="96">
        <f t="shared" si="275"/>
        <v>0</v>
      </c>
      <c r="JU22" s="96">
        <f t="shared" si="275"/>
        <v>0</v>
      </c>
      <c r="JV22" s="96">
        <f t="shared" si="275"/>
        <v>0</v>
      </c>
      <c r="JW22" s="96">
        <f>JW13/(24*7)</f>
        <v>0</v>
      </c>
      <c r="JX22" s="96">
        <f t="shared" ref="JX22:KD22" si="276">JX13/24</f>
        <v>0</v>
      </c>
      <c r="JY22" s="96">
        <f t="shared" si="276"/>
        <v>0</v>
      </c>
      <c r="JZ22" s="96">
        <f t="shared" si="276"/>
        <v>0</v>
      </c>
      <c r="KA22" s="96">
        <f t="shared" si="276"/>
        <v>0</v>
      </c>
      <c r="KB22" s="96">
        <f t="shared" si="276"/>
        <v>0</v>
      </c>
      <c r="KC22" s="96">
        <f t="shared" si="276"/>
        <v>0</v>
      </c>
      <c r="KD22" s="96">
        <f t="shared" si="276"/>
        <v>0</v>
      </c>
      <c r="KE22" s="96">
        <f>KE13/(24*7)</f>
        <v>0</v>
      </c>
      <c r="KF22" s="96">
        <f t="shared" ref="KF22:KL22" si="277">KF13/24</f>
        <v>0</v>
      </c>
      <c r="KG22" s="96">
        <f t="shared" si="277"/>
        <v>0</v>
      </c>
      <c r="KH22" s="96">
        <f t="shared" si="277"/>
        <v>0</v>
      </c>
      <c r="KI22" s="96">
        <f t="shared" si="277"/>
        <v>0</v>
      </c>
      <c r="KJ22" s="96">
        <f t="shared" si="277"/>
        <v>0</v>
      </c>
      <c r="KK22" s="96">
        <f t="shared" si="277"/>
        <v>0</v>
      </c>
      <c r="KL22" s="96">
        <f t="shared" si="277"/>
        <v>0</v>
      </c>
      <c r="KM22" s="96">
        <f>KM13/(24*7)</f>
        <v>0</v>
      </c>
      <c r="KN22" s="96">
        <f t="shared" ref="KN22:KT22" si="278">KN13/24</f>
        <v>0</v>
      </c>
      <c r="KO22" s="96">
        <f t="shared" si="278"/>
        <v>0</v>
      </c>
      <c r="KP22" s="96">
        <f t="shared" si="278"/>
        <v>0</v>
      </c>
      <c r="KQ22" s="96">
        <f t="shared" si="278"/>
        <v>0</v>
      </c>
      <c r="KR22" s="96">
        <f t="shared" si="278"/>
        <v>0</v>
      </c>
      <c r="KS22" s="96">
        <f t="shared" si="278"/>
        <v>0</v>
      </c>
      <c r="KT22" s="96">
        <f t="shared" si="278"/>
        <v>0</v>
      </c>
      <c r="KU22" s="96">
        <f>KU13/(24*7)</f>
        <v>0</v>
      </c>
      <c r="KV22" s="96">
        <f t="shared" ref="KV22:LB22" si="279">KV13/24</f>
        <v>0</v>
      </c>
      <c r="KW22" s="96">
        <f t="shared" si="279"/>
        <v>0</v>
      </c>
      <c r="KX22" s="96">
        <f t="shared" si="279"/>
        <v>0</v>
      </c>
      <c r="KY22" s="96">
        <f t="shared" si="279"/>
        <v>0</v>
      </c>
      <c r="KZ22" s="96">
        <f t="shared" si="279"/>
        <v>0</v>
      </c>
      <c r="LA22" s="96">
        <f t="shared" si="279"/>
        <v>0</v>
      </c>
      <c r="LB22" s="96">
        <f t="shared" si="279"/>
        <v>0</v>
      </c>
      <c r="LC22" s="96">
        <f>LC13/(24*7)</f>
        <v>0</v>
      </c>
      <c r="LD22" s="96">
        <f t="shared" ref="LD22:LJ22" si="280">LD13/24</f>
        <v>0</v>
      </c>
      <c r="LE22" s="96">
        <f t="shared" si="280"/>
        <v>0</v>
      </c>
      <c r="LF22" s="96">
        <f t="shared" si="280"/>
        <v>0</v>
      </c>
      <c r="LG22" s="96">
        <f t="shared" si="280"/>
        <v>0</v>
      </c>
      <c r="LH22" s="96">
        <f t="shared" si="280"/>
        <v>0</v>
      </c>
      <c r="LI22" s="96">
        <f t="shared" si="280"/>
        <v>0</v>
      </c>
      <c r="LJ22" s="96">
        <f t="shared" si="280"/>
        <v>0</v>
      </c>
      <c r="LK22" s="96">
        <f>LK13/(24*7)</f>
        <v>0</v>
      </c>
      <c r="LL22" s="96">
        <f t="shared" ref="LL22:LR22" si="281">LL13/24</f>
        <v>0</v>
      </c>
      <c r="LM22" s="96">
        <f t="shared" si="281"/>
        <v>0</v>
      </c>
      <c r="LN22" s="96">
        <f t="shared" si="281"/>
        <v>0</v>
      </c>
      <c r="LO22" s="96">
        <f t="shared" si="281"/>
        <v>0</v>
      </c>
      <c r="LP22" s="96">
        <f t="shared" si="281"/>
        <v>0</v>
      </c>
      <c r="LQ22" s="96">
        <f t="shared" si="281"/>
        <v>0</v>
      </c>
      <c r="LR22" s="96">
        <f t="shared" si="281"/>
        <v>0</v>
      </c>
      <c r="LS22" s="96">
        <f>LS13/(24*7)</f>
        <v>0</v>
      </c>
      <c r="LT22" s="96">
        <f t="shared" ref="LT22:LZ22" si="282">LT13/24</f>
        <v>0</v>
      </c>
      <c r="LU22" s="96">
        <f t="shared" si="282"/>
        <v>0</v>
      </c>
      <c r="LV22" s="96">
        <f t="shared" si="282"/>
        <v>0</v>
      </c>
      <c r="LW22" s="96">
        <f t="shared" si="282"/>
        <v>0</v>
      </c>
      <c r="LX22" s="96">
        <f t="shared" si="282"/>
        <v>0</v>
      </c>
      <c r="LY22" s="96">
        <f t="shared" si="282"/>
        <v>0</v>
      </c>
      <c r="LZ22" s="96">
        <f t="shared" si="282"/>
        <v>0</v>
      </c>
      <c r="MA22" s="96">
        <f>MA13/(24*7)</f>
        <v>0</v>
      </c>
      <c r="MB22" s="96">
        <f t="shared" ref="MB22:MH22" si="283">MB13/24</f>
        <v>0</v>
      </c>
      <c r="MC22" s="96">
        <f t="shared" si="283"/>
        <v>0</v>
      </c>
      <c r="MD22" s="96">
        <f t="shared" si="283"/>
        <v>0</v>
      </c>
      <c r="ME22" s="96">
        <f t="shared" si="283"/>
        <v>0</v>
      </c>
      <c r="MF22" s="96">
        <f t="shared" si="283"/>
        <v>0</v>
      </c>
      <c r="MG22" s="96">
        <f t="shared" si="283"/>
        <v>0</v>
      </c>
      <c r="MH22" s="96">
        <f t="shared" si="283"/>
        <v>0</v>
      </c>
      <c r="MI22" s="96">
        <f>MI13/(24*7)</f>
        <v>0</v>
      </c>
      <c r="MJ22" s="96">
        <f t="shared" ref="MJ22:MP22" si="284">MJ13/24</f>
        <v>0</v>
      </c>
      <c r="MK22" s="96">
        <f t="shared" si="284"/>
        <v>0</v>
      </c>
      <c r="ML22" s="96">
        <f t="shared" si="284"/>
        <v>0</v>
      </c>
      <c r="MM22" s="96">
        <f t="shared" si="284"/>
        <v>0</v>
      </c>
      <c r="MN22" s="96">
        <f t="shared" si="284"/>
        <v>0</v>
      </c>
      <c r="MO22" s="96">
        <f t="shared" si="284"/>
        <v>0</v>
      </c>
      <c r="MP22" s="96">
        <f t="shared" si="284"/>
        <v>0</v>
      </c>
      <c r="MQ22" s="96">
        <f>MQ13/(24*7)</f>
        <v>0</v>
      </c>
      <c r="MR22" s="96">
        <f t="shared" ref="MR22:MX22" si="285">MR13/24</f>
        <v>0</v>
      </c>
      <c r="MS22" s="96">
        <f t="shared" si="285"/>
        <v>0</v>
      </c>
      <c r="MT22" s="96">
        <f t="shared" si="285"/>
        <v>0</v>
      </c>
      <c r="MU22" s="96">
        <f t="shared" si="285"/>
        <v>0</v>
      </c>
      <c r="MV22" s="96">
        <f t="shared" si="285"/>
        <v>0</v>
      </c>
      <c r="MW22" s="96">
        <f t="shared" si="285"/>
        <v>0</v>
      </c>
      <c r="MX22" s="96">
        <f t="shared" si="285"/>
        <v>0</v>
      </c>
      <c r="MY22" s="96">
        <f>MY13/(24*7)</f>
        <v>0</v>
      </c>
      <c r="MZ22" s="96">
        <f t="shared" ref="MZ22:NF22" si="286">MZ13/24</f>
        <v>0</v>
      </c>
      <c r="NA22" s="96">
        <f t="shared" si="286"/>
        <v>0</v>
      </c>
      <c r="NB22" s="96">
        <f t="shared" si="286"/>
        <v>0</v>
      </c>
      <c r="NC22" s="96">
        <f t="shared" si="286"/>
        <v>0</v>
      </c>
      <c r="ND22" s="96">
        <f t="shared" si="286"/>
        <v>0</v>
      </c>
      <c r="NE22" s="96">
        <f t="shared" si="286"/>
        <v>0</v>
      </c>
      <c r="NF22" s="96">
        <f t="shared" si="286"/>
        <v>0</v>
      </c>
      <c r="NG22" s="96">
        <f>NG13/(24*7)</f>
        <v>0</v>
      </c>
      <c r="NH22" s="96">
        <f t="shared" ref="NH22:NN22" si="287">NH13/24</f>
        <v>0</v>
      </c>
      <c r="NI22" s="96">
        <f t="shared" si="287"/>
        <v>0</v>
      </c>
      <c r="NJ22" s="96">
        <f t="shared" si="287"/>
        <v>0</v>
      </c>
      <c r="NK22" s="96">
        <f t="shared" si="287"/>
        <v>0</v>
      </c>
      <c r="NL22" s="96">
        <f t="shared" si="287"/>
        <v>0</v>
      </c>
      <c r="NM22" s="96">
        <f t="shared" si="287"/>
        <v>0</v>
      </c>
      <c r="NN22" s="96">
        <f t="shared" si="287"/>
        <v>0</v>
      </c>
      <c r="NO22" s="96">
        <f>NO13/(24*7)</f>
        <v>0</v>
      </c>
      <c r="NP22" s="96">
        <f t="shared" ref="NP22:NV22" si="288">NP13/24</f>
        <v>0</v>
      </c>
      <c r="NQ22" s="96">
        <f t="shared" si="288"/>
        <v>0</v>
      </c>
      <c r="NR22" s="96">
        <f t="shared" si="288"/>
        <v>0</v>
      </c>
      <c r="NS22" s="96">
        <f t="shared" si="288"/>
        <v>0</v>
      </c>
      <c r="NT22" s="96">
        <f t="shared" si="288"/>
        <v>0</v>
      </c>
      <c r="NU22" s="96">
        <f t="shared" si="288"/>
        <v>0</v>
      </c>
      <c r="NV22" s="96">
        <f t="shared" si="288"/>
        <v>0</v>
      </c>
      <c r="NW22" s="96">
        <f>NW13/(24*7)</f>
        <v>0</v>
      </c>
    </row>
    <row r="23" spans="1:387" x14ac:dyDescent="0.25">
      <c r="C23" s="99" t="s">
        <v>430</v>
      </c>
      <c r="D23" s="96">
        <f>D16/24</f>
        <v>0</v>
      </c>
      <c r="E23" s="96">
        <f t="shared" ref="E23:J23" si="289">E16/24</f>
        <v>0</v>
      </c>
      <c r="F23" s="96">
        <f t="shared" si="289"/>
        <v>0</v>
      </c>
      <c r="G23" s="96">
        <f t="shared" si="289"/>
        <v>0</v>
      </c>
      <c r="H23" s="96">
        <f t="shared" si="289"/>
        <v>0</v>
      </c>
      <c r="I23" s="96">
        <f t="shared" si="289"/>
        <v>0</v>
      </c>
      <c r="J23" s="96">
        <f t="shared" si="289"/>
        <v>0</v>
      </c>
      <c r="K23" s="96">
        <f>K16/(24*7)</f>
        <v>0</v>
      </c>
      <c r="L23" s="96">
        <f t="shared" ref="L23:R23" si="290">L16/24</f>
        <v>0</v>
      </c>
      <c r="M23" s="96">
        <f t="shared" si="290"/>
        <v>0</v>
      </c>
      <c r="N23" s="96">
        <f t="shared" si="290"/>
        <v>0</v>
      </c>
      <c r="O23" s="96">
        <f t="shared" si="290"/>
        <v>0</v>
      </c>
      <c r="P23" s="96">
        <f t="shared" si="290"/>
        <v>0</v>
      </c>
      <c r="Q23" s="96">
        <f t="shared" si="290"/>
        <v>0</v>
      </c>
      <c r="R23" s="96">
        <f t="shared" si="290"/>
        <v>0</v>
      </c>
      <c r="S23" s="96">
        <f>S16/(24*7)</f>
        <v>0</v>
      </c>
      <c r="T23" s="96">
        <f t="shared" ref="T23:Z23" si="291">T16/24</f>
        <v>0</v>
      </c>
      <c r="U23" s="96">
        <f t="shared" si="291"/>
        <v>0</v>
      </c>
      <c r="V23" s="96">
        <f t="shared" si="291"/>
        <v>0</v>
      </c>
      <c r="W23" s="96">
        <f t="shared" si="291"/>
        <v>0</v>
      </c>
      <c r="X23" s="96">
        <f t="shared" si="291"/>
        <v>0</v>
      </c>
      <c r="Y23" s="96">
        <f t="shared" si="291"/>
        <v>0</v>
      </c>
      <c r="Z23" s="96">
        <f t="shared" si="291"/>
        <v>0</v>
      </c>
      <c r="AA23" s="96">
        <f>AA16/(24*7)</f>
        <v>0</v>
      </c>
      <c r="AB23" s="96">
        <f t="shared" ref="AB23:AH23" si="292">AB16/24</f>
        <v>0</v>
      </c>
      <c r="AC23" s="96">
        <f t="shared" si="292"/>
        <v>0</v>
      </c>
      <c r="AD23" s="96">
        <f t="shared" si="292"/>
        <v>0</v>
      </c>
      <c r="AE23" s="96">
        <f t="shared" si="292"/>
        <v>0</v>
      </c>
      <c r="AF23" s="96">
        <f t="shared" si="292"/>
        <v>0</v>
      </c>
      <c r="AG23" s="96">
        <f t="shared" si="292"/>
        <v>0</v>
      </c>
      <c r="AH23" s="96">
        <f t="shared" si="292"/>
        <v>0</v>
      </c>
      <c r="AI23" s="96">
        <f>AI16/(24*7)</f>
        <v>0</v>
      </c>
      <c r="AJ23" s="96">
        <f t="shared" ref="AJ23:AP23" si="293">AJ16/24</f>
        <v>0</v>
      </c>
      <c r="AK23" s="96">
        <f t="shared" si="293"/>
        <v>0</v>
      </c>
      <c r="AL23" s="96">
        <f t="shared" si="293"/>
        <v>0</v>
      </c>
      <c r="AM23" s="96">
        <f t="shared" si="293"/>
        <v>0</v>
      </c>
      <c r="AN23" s="96">
        <f t="shared" si="293"/>
        <v>0</v>
      </c>
      <c r="AO23" s="96">
        <f t="shared" si="293"/>
        <v>0</v>
      </c>
      <c r="AP23" s="96">
        <f t="shared" si="293"/>
        <v>0</v>
      </c>
      <c r="AQ23" s="96">
        <f>AQ16/(24*7)</f>
        <v>0</v>
      </c>
      <c r="AR23" s="96">
        <f t="shared" ref="AR23:AX23" si="294">AR16/24</f>
        <v>0</v>
      </c>
      <c r="AS23" s="96">
        <f t="shared" si="294"/>
        <v>0</v>
      </c>
      <c r="AT23" s="96">
        <f t="shared" si="294"/>
        <v>0</v>
      </c>
      <c r="AU23" s="96">
        <f t="shared" si="294"/>
        <v>0</v>
      </c>
      <c r="AV23" s="96">
        <f t="shared" si="294"/>
        <v>0</v>
      </c>
      <c r="AW23" s="96">
        <f t="shared" si="294"/>
        <v>0</v>
      </c>
      <c r="AX23" s="96">
        <f t="shared" si="294"/>
        <v>0</v>
      </c>
      <c r="AY23" s="96">
        <f>AY16/(24*7)</f>
        <v>0</v>
      </c>
      <c r="AZ23" s="96">
        <f t="shared" ref="AZ23:BF23" si="295">AZ16/24</f>
        <v>0</v>
      </c>
      <c r="BA23" s="96">
        <f t="shared" si="295"/>
        <v>0</v>
      </c>
      <c r="BB23" s="96">
        <f t="shared" si="295"/>
        <v>0</v>
      </c>
      <c r="BC23" s="96">
        <f t="shared" si="295"/>
        <v>0</v>
      </c>
      <c r="BD23" s="96">
        <f t="shared" si="295"/>
        <v>0</v>
      </c>
      <c r="BE23" s="96">
        <f t="shared" si="295"/>
        <v>0</v>
      </c>
      <c r="BF23" s="96">
        <f t="shared" si="295"/>
        <v>0</v>
      </c>
      <c r="BG23" s="96">
        <f>BG16/(24*7)</f>
        <v>0</v>
      </c>
      <c r="BH23" s="96">
        <f t="shared" ref="BH23:BN23" si="296">BH16/24</f>
        <v>0</v>
      </c>
      <c r="BI23" s="96">
        <f t="shared" si="296"/>
        <v>0</v>
      </c>
      <c r="BJ23" s="96">
        <f t="shared" si="296"/>
        <v>0</v>
      </c>
      <c r="BK23" s="96">
        <f t="shared" si="296"/>
        <v>0</v>
      </c>
      <c r="BL23" s="96">
        <f t="shared" si="296"/>
        <v>0</v>
      </c>
      <c r="BM23" s="96">
        <f t="shared" si="296"/>
        <v>0</v>
      </c>
      <c r="BN23" s="96">
        <f t="shared" si="296"/>
        <v>0</v>
      </c>
      <c r="BO23" s="96">
        <f>BO16/(24*7)</f>
        <v>0</v>
      </c>
      <c r="BP23" s="96">
        <f t="shared" ref="BP23:BV23" si="297">BP16/24</f>
        <v>0</v>
      </c>
      <c r="BQ23" s="96">
        <f t="shared" si="297"/>
        <v>0</v>
      </c>
      <c r="BR23" s="96">
        <f t="shared" si="297"/>
        <v>0</v>
      </c>
      <c r="BS23" s="96">
        <f t="shared" si="297"/>
        <v>0</v>
      </c>
      <c r="BT23" s="96">
        <f t="shared" si="297"/>
        <v>0</v>
      </c>
      <c r="BU23" s="96">
        <f t="shared" si="297"/>
        <v>0</v>
      </c>
      <c r="BV23" s="96">
        <f t="shared" si="297"/>
        <v>0</v>
      </c>
      <c r="BW23" s="96">
        <f>BW16/(24*7)</f>
        <v>0</v>
      </c>
      <c r="BX23" s="96">
        <f t="shared" ref="BX23:CD23" si="298">BX16/24</f>
        <v>0</v>
      </c>
      <c r="BY23" s="96">
        <f t="shared" si="298"/>
        <v>0</v>
      </c>
      <c r="BZ23" s="96">
        <f t="shared" si="298"/>
        <v>0</v>
      </c>
      <c r="CA23" s="96">
        <f t="shared" si="298"/>
        <v>0</v>
      </c>
      <c r="CB23" s="96">
        <f t="shared" si="298"/>
        <v>0</v>
      </c>
      <c r="CC23" s="96">
        <f t="shared" si="298"/>
        <v>0</v>
      </c>
      <c r="CD23" s="96">
        <f t="shared" si="298"/>
        <v>0</v>
      </c>
      <c r="CE23" s="96">
        <f>CE16/(24*7)</f>
        <v>0</v>
      </c>
      <c r="CF23" s="96">
        <f t="shared" ref="CF23:CL23" si="299">CF16/24</f>
        <v>0</v>
      </c>
      <c r="CG23" s="96">
        <f t="shared" si="299"/>
        <v>0</v>
      </c>
      <c r="CH23" s="96">
        <f t="shared" si="299"/>
        <v>0</v>
      </c>
      <c r="CI23" s="96">
        <f t="shared" si="299"/>
        <v>0</v>
      </c>
      <c r="CJ23" s="96">
        <f t="shared" si="299"/>
        <v>0</v>
      </c>
      <c r="CK23" s="96">
        <f t="shared" si="299"/>
        <v>0</v>
      </c>
      <c r="CL23" s="96">
        <f t="shared" si="299"/>
        <v>0</v>
      </c>
      <c r="CM23" s="96">
        <f>CM16/(24*7)</f>
        <v>0</v>
      </c>
      <c r="CN23" s="96">
        <f t="shared" ref="CN23:CT23" si="300">CN16/24</f>
        <v>0</v>
      </c>
      <c r="CO23" s="96">
        <f t="shared" si="300"/>
        <v>0</v>
      </c>
      <c r="CP23" s="96">
        <f t="shared" si="300"/>
        <v>0</v>
      </c>
      <c r="CQ23" s="96">
        <f t="shared" si="300"/>
        <v>0</v>
      </c>
      <c r="CR23" s="96">
        <f t="shared" si="300"/>
        <v>0</v>
      </c>
      <c r="CS23" s="96">
        <f t="shared" si="300"/>
        <v>0</v>
      </c>
      <c r="CT23" s="96">
        <f t="shared" si="300"/>
        <v>0</v>
      </c>
      <c r="CU23" s="96">
        <f>CU16/(24*7)</f>
        <v>0</v>
      </c>
      <c r="CV23" s="96">
        <f t="shared" ref="CV23:DB23" si="301">CV16/24</f>
        <v>0</v>
      </c>
      <c r="CW23" s="96">
        <f t="shared" si="301"/>
        <v>0</v>
      </c>
      <c r="CX23" s="96">
        <f t="shared" si="301"/>
        <v>0</v>
      </c>
      <c r="CY23" s="96">
        <f t="shared" si="301"/>
        <v>0</v>
      </c>
      <c r="CZ23" s="96">
        <f t="shared" si="301"/>
        <v>0</v>
      </c>
      <c r="DA23" s="96">
        <f t="shared" si="301"/>
        <v>0</v>
      </c>
      <c r="DB23" s="96">
        <f t="shared" si="301"/>
        <v>0</v>
      </c>
      <c r="DC23" s="96">
        <f>DC16/(24*7)</f>
        <v>0</v>
      </c>
      <c r="DD23" s="96">
        <f t="shared" ref="DD23:DJ23" si="302">DD16/24</f>
        <v>0</v>
      </c>
      <c r="DE23" s="96">
        <f t="shared" si="302"/>
        <v>0</v>
      </c>
      <c r="DF23" s="96">
        <f t="shared" si="302"/>
        <v>0</v>
      </c>
      <c r="DG23" s="96">
        <f t="shared" si="302"/>
        <v>0</v>
      </c>
      <c r="DH23" s="96">
        <f t="shared" si="302"/>
        <v>0</v>
      </c>
      <c r="DI23" s="96">
        <f t="shared" si="302"/>
        <v>0</v>
      </c>
      <c r="DJ23" s="96">
        <f t="shared" si="302"/>
        <v>0</v>
      </c>
      <c r="DK23" s="96">
        <f>DK16/(24*7)</f>
        <v>0</v>
      </c>
      <c r="DL23" s="96">
        <f t="shared" ref="DL23:DR23" si="303">DL16/24</f>
        <v>0</v>
      </c>
      <c r="DM23" s="96">
        <f t="shared" si="303"/>
        <v>0</v>
      </c>
      <c r="DN23" s="96">
        <f t="shared" si="303"/>
        <v>0</v>
      </c>
      <c r="DO23" s="96">
        <f t="shared" si="303"/>
        <v>0</v>
      </c>
      <c r="DP23" s="96">
        <f t="shared" si="303"/>
        <v>0</v>
      </c>
      <c r="DQ23" s="96">
        <f t="shared" si="303"/>
        <v>0</v>
      </c>
      <c r="DR23" s="96">
        <f t="shared" si="303"/>
        <v>0</v>
      </c>
      <c r="DS23" s="96">
        <f>DS16/(24*7)</f>
        <v>0</v>
      </c>
      <c r="DT23" s="96">
        <f t="shared" ref="DT23:DZ23" si="304">DT16/24</f>
        <v>0</v>
      </c>
      <c r="DU23" s="96">
        <f t="shared" si="304"/>
        <v>0</v>
      </c>
      <c r="DV23" s="96">
        <f t="shared" si="304"/>
        <v>0</v>
      </c>
      <c r="DW23" s="96">
        <f t="shared" si="304"/>
        <v>0</v>
      </c>
      <c r="DX23" s="96">
        <f t="shared" si="304"/>
        <v>0</v>
      </c>
      <c r="DY23" s="96">
        <f t="shared" si="304"/>
        <v>0</v>
      </c>
      <c r="DZ23" s="96">
        <f t="shared" si="304"/>
        <v>0</v>
      </c>
      <c r="EA23" s="96">
        <f>EA16/(24*7)</f>
        <v>0</v>
      </c>
      <c r="EB23" s="96">
        <f t="shared" ref="EB23:EH23" si="305">EB16/24</f>
        <v>0</v>
      </c>
      <c r="EC23" s="96">
        <f t="shared" si="305"/>
        <v>0</v>
      </c>
      <c r="ED23" s="96">
        <f t="shared" si="305"/>
        <v>0</v>
      </c>
      <c r="EE23" s="96">
        <f t="shared" si="305"/>
        <v>0</v>
      </c>
      <c r="EF23" s="96">
        <f t="shared" si="305"/>
        <v>0</v>
      </c>
      <c r="EG23" s="96">
        <f t="shared" si="305"/>
        <v>0</v>
      </c>
      <c r="EH23" s="96">
        <f t="shared" si="305"/>
        <v>0</v>
      </c>
      <c r="EI23" s="96">
        <f>EI16/(24*7)</f>
        <v>0</v>
      </c>
      <c r="EJ23" s="96">
        <f t="shared" ref="EJ23:EP23" si="306">EJ16/24</f>
        <v>0</v>
      </c>
      <c r="EK23" s="96">
        <f t="shared" si="306"/>
        <v>0</v>
      </c>
      <c r="EL23" s="96">
        <f t="shared" si="306"/>
        <v>0</v>
      </c>
      <c r="EM23" s="96">
        <f t="shared" si="306"/>
        <v>0</v>
      </c>
      <c r="EN23" s="96">
        <f t="shared" si="306"/>
        <v>0</v>
      </c>
      <c r="EO23" s="96">
        <f t="shared" si="306"/>
        <v>0</v>
      </c>
      <c r="EP23" s="96">
        <f t="shared" si="306"/>
        <v>0</v>
      </c>
      <c r="EQ23" s="96">
        <f>EQ16/(24*7)</f>
        <v>0</v>
      </c>
      <c r="ER23" s="96">
        <f t="shared" ref="ER23:EX23" si="307">ER16/24</f>
        <v>0</v>
      </c>
      <c r="ES23" s="96">
        <f t="shared" si="307"/>
        <v>0</v>
      </c>
      <c r="ET23" s="96">
        <f t="shared" si="307"/>
        <v>0</v>
      </c>
      <c r="EU23" s="96">
        <f t="shared" si="307"/>
        <v>0</v>
      </c>
      <c r="EV23" s="96">
        <f t="shared" si="307"/>
        <v>0</v>
      </c>
      <c r="EW23" s="96">
        <f t="shared" si="307"/>
        <v>0</v>
      </c>
      <c r="EX23" s="96">
        <f t="shared" si="307"/>
        <v>0</v>
      </c>
      <c r="EY23" s="96">
        <f>EY16/(24*7)</f>
        <v>0</v>
      </c>
      <c r="EZ23" s="96">
        <f t="shared" ref="EZ23:FF23" si="308">EZ16/24</f>
        <v>0</v>
      </c>
      <c r="FA23" s="96">
        <f t="shared" si="308"/>
        <v>0</v>
      </c>
      <c r="FB23" s="96">
        <f t="shared" si="308"/>
        <v>0</v>
      </c>
      <c r="FC23" s="96">
        <f t="shared" si="308"/>
        <v>0</v>
      </c>
      <c r="FD23" s="96">
        <f t="shared" si="308"/>
        <v>0</v>
      </c>
      <c r="FE23" s="96">
        <f t="shared" si="308"/>
        <v>0</v>
      </c>
      <c r="FF23" s="96">
        <f t="shared" si="308"/>
        <v>0</v>
      </c>
      <c r="FG23" s="96">
        <f>FG16/(24*7)</f>
        <v>0</v>
      </c>
      <c r="FH23" s="96">
        <f t="shared" ref="FH23:FN23" si="309">FH16/24</f>
        <v>0</v>
      </c>
      <c r="FI23" s="96">
        <f t="shared" si="309"/>
        <v>0</v>
      </c>
      <c r="FJ23" s="96">
        <f t="shared" si="309"/>
        <v>0</v>
      </c>
      <c r="FK23" s="96">
        <f t="shared" si="309"/>
        <v>0</v>
      </c>
      <c r="FL23" s="96">
        <f t="shared" si="309"/>
        <v>0</v>
      </c>
      <c r="FM23" s="96">
        <f t="shared" si="309"/>
        <v>0</v>
      </c>
      <c r="FN23" s="96">
        <f t="shared" si="309"/>
        <v>0</v>
      </c>
      <c r="FO23" s="96">
        <f>FO16/(24*7)</f>
        <v>0</v>
      </c>
      <c r="FP23" s="96">
        <f t="shared" ref="FP23:FV23" si="310">FP16/24</f>
        <v>0</v>
      </c>
      <c r="FQ23" s="96">
        <f t="shared" si="310"/>
        <v>0</v>
      </c>
      <c r="FR23" s="96">
        <f t="shared" si="310"/>
        <v>0</v>
      </c>
      <c r="FS23" s="96">
        <f t="shared" si="310"/>
        <v>0</v>
      </c>
      <c r="FT23" s="96">
        <f t="shared" si="310"/>
        <v>0</v>
      </c>
      <c r="FU23" s="96">
        <f t="shared" si="310"/>
        <v>0</v>
      </c>
      <c r="FV23" s="96">
        <f t="shared" si="310"/>
        <v>0</v>
      </c>
      <c r="FW23" s="96">
        <f>FW16/(24*7)</f>
        <v>0</v>
      </c>
      <c r="FX23" s="96">
        <f t="shared" ref="FX23:GD23" si="311">FX16/24</f>
        <v>0</v>
      </c>
      <c r="FY23" s="96">
        <f t="shared" si="311"/>
        <v>0</v>
      </c>
      <c r="FZ23" s="96">
        <f t="shared" si="311"/>
        <v>0</v>
      </c>
      <c r="GA23" s="96">
        <f t="shared" si="311"/>
        <v>0</v>
      </c>
      <c r="GB23" s="96">
        <f t="shared" si="311"/>
        <v>0</v>
      </c>
      <c r="GC23" s="96">
        <f t="shared" si="311"/>
        <v>0</v>
      </c>
      <c r="GD23" s="96">
        <f t="shared" si="311"/>
        <v>0</v>
      </c>
      <c r="GE23" s="96">
        <f>GE16/(24*7)</f>
        <v>0</v>
      </c>
      <c r="GF23" s="96">
        <f t="shared" ref="GF23:GL23" si="312">GF16/24</f>
        <v>0</v>
      </c>
      <c r="GG23" s="96">
        <f t="shared" si="312"/>
        <v>0</v>
      </c>
      <c r="GH23" s="96">
        <f t="shared" si="312"/>
        <v>0</v>
      </c>
      <c r="GI23" s="96">
        <f t="shared" si="312"/>
        <v>0</v>
      </c>
      <c r="GJ23" s="96">
        <f t="shared" si="312"/>
        <v>0</v>
      </c>
      <c r="GK23" s="96">
        <f t="shared" si="312"/>
        <v>0</v>
      </c>
      <c r="GL23" s="96">
        <f t="shared" si="312"/>
        <v>0</v>
      </c>
      <c r="GM23" s="96">
        <f>GM16/(24*7)</f>
        <v>0</v>
      </c>
      <c r="GN23" s="96">
        <f t="shared" ref="GN23:GT23" si="313">GN16/24</f>
        <v>0</v>
      </c>
      <c r="GO23" s="96">
        <f t="shared" si="313"/>
        <v>0</v>
      </c>
      <c r="GP23" s="96">
        <f t="shared" si="313"/>
        <v>0</v>
      </c>
      <c r="GQ23" s="96">
        <f t="shared" si="313"/>
        <v>0</v>
      </c>
      <c r="GR23" s="96">
        <f t="shared" si="313"/>
        <v>0</v>
      </c>
      <c r="GS23" s="96">
        <f t="shared" si="313"/>
        <v>0</v>
      </c>
      <c r="GT23" s="96">
        <f t="shared" si="313"/>
        <v>0</v>
      </c>
      <c r="GU23" s="96">
        <f>GU16/(24*7)</f>
        <v>0</v>
      </c>
      <c r="GV23" s="96">
        <f t="shared" ref="GV23:HB23" si="314">GV16/24</f>
        <v>0</v>
      </c>
      <c r="GW23" s="96">
        <f t="shared" si="314"/>
        <v>0</v>
      </c>
      <c r="GX23" s="96">
        <f t="shared" si="314"/>
        <v>0</v>
      </c>
      <c r="GY23" s="96">
        <f t="shared" si="314"/>
        <v>0</v>
      </c>
      <c r="GZ23" s="96">
        <f t="shared" si="314"/>
        <v>0</v>
      </c>
      <c r="HA23" s="96">
        <f t="shared" si="314"/>
        <v>0</v>
      </c>
      <c r="HB23" s="96">
        <f t="shared" si="314"/>
        <v>0</v>
      </c>
      <c r="HC23" s="96">
        <f>HC16/(24*7)</f>
        <v>0</v>
      </c>
      <c r="HD23" s="96">
        <f t="shared" ref="HD23:HJ23" si="315">HD16/24</f>
        <v>0</v>
      </c>
      <c r="HE23" s="96">
        <f t="shared" si="315"/>
        <v>0</v>
      </c>
      <c r="HF23" s="96">
        <f t="shared" si="315"/>
        <v>0</v>
      </c>
      <c r="HG23" s="96">
        <f t="shared" si="315"/>
        <v>0</v>
      </c>
      <c r="HH23" s="96">
        <f t="shared" si="315"/>
        <v>0</v>
      </c>
      <c r="HI23" s="96">
        <f t="shared" si="315"/>
        <v>0</v>
      </c>
      <c r="HJ23" s="96">
        <f t="shared" si="315"/>
        <v>0</v>
      </c>
      <c r="HK23" s="96">
        <f>HK16/(24*7)</f>
        <v>0</v>
      </c>
      <c r="HL23" s="96">
        <f t="shared" ref="HL23:HR23" si="316">HL16/24</f>
        <v>0</v>
      </c>
      <c r="HM23" s="96">
        <f t="shared" si="316"/>
        <v>0</v>
      </c>
      <c r="HN23" s="96">
        <f t="shared" si="316"/>
        <v>0</v>
      </c>
      <c r="HO23" s="96">
        <f t="shared" si="316"/>
        <v>0</v>
      </c>
      <c r="HP23" s="96">
        <f t="shared" si="316"/>
        <v>0</v>
      </c>
      <c r="HQ23" s="96">
        <f t="shared" si="316"/>
        <v>0</v>
      </c>
      <c r="HR23" s="96">
        <f t="shared" si="316"/>
        <v>0</v>
      </c>
      <c r="HS23" s="96">
        <f>HS16/(24*7)</f>
        <v>0</v>
      </c>
      <c r="HT23" s="96">
        <f t="shared" ref="HT23:HZ23" si="317">HT16/24</f>
        <v>0</v>
      </c>
      <c r="HU23" s="96">
        <f t="shared" si="317"/>
        <v>0</v>
      </c>
      <c r="HV23" s="96">
        <f t="shared" si="317"/>
        <v>0</v>
      </c>
      <c r="HW23" s="96">
        <f t="shared" si="317"/>
        <v>0</v>
      </c>
      <c r="HX23" s="96">
        <f t="shared" si="317"/>
        <v>0</v>
      </c>
      <c r="HY23" s="96">
        <f t="shared" si="317"/>
        <v>0</v>
      </c>
      <c r="HZ23" s="96">
        <f t="shared" si="317"/>
        <v>0</v>
      </c>
      <c r="IA23" s="96">
        <f>IA16/(24*7)</f>
        <v>0</v>
      </c>
      <c r="IB23" s="96">
        <f t="shared" ref="IB23:IH23" si="318">IB16/24</f>
        <v>0</v>
      </c>
      <c r="IC23" s="96">
        <f t="shared" si="318"/>
        <v>0</v>
      </c>
      <c r="ID23" s="96">
        <f t="shared" si="318"/>
        <v>0</v>
      </c>
      <c r="IE23" s="96">
        <f t="shared" si="318"/>
        <v>0</v>
      </c>
      <c r="IF23" s="96">
        <f t="shared" si="318"/>
        <v>0</v>
      </c>
      <c r="IG23" s="96">
        <f t="shared" si="318"/>
        <v>0</v>
      </c>
      <c r="IH23" s="96">
        <f t="shared" si="318"/>
        <v>0</v>
      </c>
      <c r="II23" s="96">
        <f>II16/(24*7)</f>
        <v>0</v>
      </c>
      <c r="IJ23" s="96">
        <f t="shared" ref="IJ23:IP23" si="319">IJ16/24</f>
        <v>0</v>
      </c>
      <c r="IK23" s="96">
        <f t="shared" si="319"/>
        <v>0</v>
      </c>
      <c r="IL23" s="96">
        <f t="shared" si="319"/>
        <v>0</v>
      </c>
      <c r="IM23" s="96">
        <f t="shared" si="319"/>
        <v>0</v>
      </c>
      <c r="IN23" s="96">
        <f t="shared" si="319"/>
        <v>0</v>
      </c>
      <c r="IO23" s="96">
        <f t="shared" si="319"/>
        <v>0</v>
      </c>
      <c r="IP23" s="96">
        <f t="shared" si="319"/>
        <v>0</v>
      </c>
      <c r="IQ23" s="96">
        <f>IQ16/(24*7)</f>
        <v>0</v>
      </c>
      <c r="IR23" s="96">
        <f t="shared" ref="IR23:IX23" si="320">IR16/24</f>
        <v>0</v>
      </c>
      <c r="IS23" s="96">
        <f t="shared" si="320"/>
        <v>0</v>
      </c>
      <c r="IT23" s="96">
        <f t="shared" si="320"/>
        <v>0</v>
      </c>
      <c r="IU23" s="96">
        <f t="shared" si="320"/>
        <v>0</v>
      </c>
      <c r="IV23" s="96">
        <f t="shared" si="320"/>
        <v>0</v>
      </c>
      <c r="IW23" s="96">
        <f t="shared" si="320"/>
        <v>0</v>
      </c>
      <c r="IX23" s="96">
        <f t="shared" si="320"/>
        <v>0</v>
      </c>
      <c r="IY23" s="96">
        <f>IY16/(24*7)</f>
        <v>0</v>
      </c>
      <c r="IZ23" s="96">
        <f t="shared" ref="IZ23:JF23" si="321">IZ16/24</f>
        <v>0</v>
      </c>
      <c r="JA23" s="96">
        <f t="shared" si="321"/>
        <v>0</v>
      </c>
      <c r="JB23" s="96">
        <f t="shared" si="321"/>
        <v>0</v>
      </c>
      <c r="JC23" s="96">
        <f t="shared" si="321"/>
        <v>0</v>
      </c>
      <c r="JD23" s="96">
        <f t="shared" si="321"/>
        <v>0</v>
      </c>
      <c r="JE23" s="96">
        <f t="shared" si="321"/>
        <v>0</v>
      </c>
      <c r="JF23" s="96">
        <f t="shared" si="321"/>
        <v>0</v>
      </c>
      <c r="JG23" s="96">
        <f>JG16/(24*7)</f>
        <v>0</v>
      </c>
      <c r="JH23" s="96">
        <f t="shared" ref="JH23:JN23" si="322">JH16/24</f>
        <v>0</v>
      </c>
      <c r="JI23" s="96">
        <f t="shared" si="322"/>
        <v>0</v>
      </c>
      <c r="JJ23" s="96">
        <f t="shared" si="322"/>
        <v>0</v>
      </c>
      <c r="JK23" s="96">
        <f t="shared" si="322"/>
        <v>0</v>
      </c>
      <c r="JL23" s="96">
        <f t="shared" si="322"/>
        <v>0</v>
      </c>
      <c r="JM23" s="96">
        <f t="shared" si="322"/>
        <v>0</v>
      </c>
      <c r="JN23" s="96">
        <f t="shared" si="322"/>
        <v>0</v>
      </c>
      <c r="JO23" s="96">
        <f>JO16/(24*7)</f>
        <v>0</v>
      </c>
      <c r="JP23" s="96">
        <f t="shared" ref="JP23:JV23" si="323">JP16/24</f>
        <v>0</v>
      </c>
      <c r="JQ23" s="96">
        <f t="shared" si="323"/>
        <v>0</v>
      </c>
      <c r="JR23" s="96">
        <f t="shared" si="323"/>
        <v>0</v>
      </c>
      <c r="JS23" s="96">
        <f t="shared" si="323"/>
        <v>0</v>
      </c>
      <c r="JT23" s="96">
        <f t="shared" si="323"/>
        <v>0</v>
      </c>
      <c r="JU23" s="96">
        <f t="shared" si="323"/>
        <v>0</v>
      </c>
      <c r="JV23" s="96">
        <f t="shared" si="323"/>
        <v>0</v>
      </c>
      <c r="JW23" s="96">
        <f>JW16/(24*7)</f>
        <v>0</v>
      </c>
      <c r="JX23" s="96">
        <f t="shared" ref="JX23:KD23" si="324">JX16/24</f>
        <v>0</v>
      </c>
      <c r="JY23" s="96">
        <f t="shared" si="324"/>
        <v>0</v>
      </c>
      <c r="JZ23" s="96">
        <f t="shared" si="324"/>
        <v>0</v>
      </c>
      <c r="KA23" s="96">
        <f t="shared" si="324"/>
        <v>0</v>
      </c>
      <c r="KB23" s="96">
        <f t="shared" si="324"/>
        <v>0</v>
      </c>
      <c r="KC23" s="96">
        <f t="shared" si="324"/>
        <v>0</v>
      </c>
      <c r="KD23" s="96">
        <f t="shared" si="324"/>
        <v>0</v>
      </c>
      <c r="KE23" s="96">
        <f>KE16/(24*7)</f>
        <v>0</v>
      </c>
      <c r="KF23" s="96">
        <f t="shared" ref="KF23:KL23" si="325">KF16/24</f>
        <v>0</v>
      </c>
      <c r="KG23" s="96">
        <f t="shared" si="325"/>
        <v>0</v>
      </c>
      <c r="KH23" s="96">
        <f t="shared" si="325"/>
        <v>0</v>
      </c>
      <c r="KI23" s="96">
        <f t="shared" si="325"/>
        <v>0</v>
      </c>
      <c r="KJ23" s="96">
        <f t="shared" si="325"/>
        <v>0</v>
      </c>
      <c r="KK23" s="96">
        <f t="shared" si="325"/>
        <v>0</v>
      </c>
      <c r="KL23" s="96">
        <f t="shared" si="325"/>
        <v>0</v>
      </c>
      <c r="KM23" s="96">
        <f>KM16/(24*7)</f>
        <v>0</v>
      </c>
      <c r="KN23" s="96">
        <f t="shared" ref="KN23:KT23" si="326">KN16/24</f>
        <v>0</v>
      </c>
      <c r="KO23" s="96">
        <f t="shared" si="326"/>
        <v>0</v>
      </c>
      <c r="KP23" s="96">
        <f t="shared" si="326"/>
        <v>0</v>
      </c>
      <c r="KQ23" s="96">
        <f t="shared" si="326"/>
        <v>0</v>
      </c>
      <c r="KR23" s="96">
        <f t="shared" si="326"/>
        <v>0</v>
      </c>
      <c r="KS23" s="96">
        <f t="shared" si="326"/>
        <v>0</v>
      </c>
      <c r="KT23" s="96">
        <f t="shared" si="326"/>
        <v>0</v>
      </c>
      <c r="KU23" s="96">
        <f>KU16/(24*7)</f>
        <v>0</v>
      </c>
      <c r="KV23" s="96">
        <f t="shared" ref="KV23:LB23" si="327">KV16/24</f>
        <v>0</v>
      </c>
      <c r="KW23" s="96">
        <f t="shared" si="327"/>
        <v>0</v>
      </c>
      <c r="KX23" s="96">
        <f t="shared" si="327"/>
        <v>0</v>
      </c>
      <c r="KY23" s="96">
        <f t="shared" si="327"/>
        <v>0</v>
      </c>
      <c r="KZ23" s="96">
        <f t="shared" si="327"/>
        <v>0</v>
      </c>
      <c r="LA23" s="96">
        <f t="shared" si="327"/>
        <v>0</v>
      </c>
      <c r="LB23" s="96">
        <f t="shared" si="327"/>
        <v>0</v>
      </c>
      <c r="LC23" s="96">
        <f>LC16/(24*7)</f>
        <v>0</v>
      </c>
      <c r="LD23" s="96">
        <f t="shared" ref="LD23:LJ23" si="328">LD16/24</f>
        <v>0</v>
      </c>
      <c r="LE23" s="96">
        <f t="shared" si="328"/>
        <v>0</v>
      </c>
      <c r="LF23" s="96">
        <f t="shared" si="328"/>
        <v>0</v>
      </c>
      <c r="LG23" s="96">
        <f t="shared" si="328"/>
        <v>0</v>
      </c>
      <c r="LH23" s="96">
        <f t="shared" si="328"/>
        <v>0</v>
      </c>
      <c r="LI23" s="96">
        <f t="shared" si="328"/>
        <v>0</v>
      </c>
      <c r="LJ23" s="96">
        <f t="shared" si="328"/>
        <v>0</v>
      </c>
      <c r="LK23" s="96">
        <f>LK16/(24*7)</f>
        <v>0</v>
      </c>
      <c r="LL23" s="96">
        <f t="shared" ref="LL23:LR23" si="329">LL16/24</f>
        <v>0</v>
      </c>
      <c r="LM23" s="96">
        <f t="shared" si="329"/>
        <v>0</v>
      </c>
      <c r="LN23" s="96">
        <f t="shared" si="329"/>
        <v>0</v>
      </c>
      <c r="LO23" s="96">
        <f t="shared" si="329"/>
        <v>0</v>
      </c>
      <c r="LP23" s="96">
        <f t="shared" si="329"/>
        <v>0</v>
      </c>
      <c r="LQ23" s="96">
        <f t="shared" si="329"/>
        <v>0</v>
      </c>
      <c r="LR23" s="96">
        <f t="shared" si="329"/>
        <v>0</v>
      </c>
      <c r="LS23" s="96">
        <f>LS16/(24*7)</f>
        <v>0</v>
      </c>
      <c r="LT23" s="96">
        <f t="shared" ref="LT23:LZ23" si="330">LT16/24</f>
        <v>0</v>
      </c>
      <c r="LU23" s="96">
        <f t="shared" si="330"/>
        <v>0</v>
      </c>
      <c r="LV23" s="96">
        <f t="shared" si="330"/>
        <v>0</v>
      </c>
      <c r="LW23" s="96">
        <f t="shared" si="330"/>
        <v>0</v>
      </c>
      <c r="LX23" s="96">
        <f t="shared" si="330"/>
        <v>0</v>
      </c>
      <c r="LY23" s="96">
        <f t="shared" si="330"/>
        <v>0</v>
      </c>
      <c r="LZ23" s="96">
        <f t="shared" si="330"/>
        <v>0</v>
      </c>
      <c r="MA23" s="96">
        <f>MA16/(24*7)</f>
        <v>0</v>
      </c>
      <c r="MB23" s="96">
        <f t="shared" ref="MB23:MH23" si="331">MB16/24</f>
        <v>0</v>
      </c>
      <c r="MC23" s="96">
        <f t="shared" si="331"/>
        <v>0</v>
      </c>
      <c r="MD23" s="96">
        <f t="shared" si="331"/>
        <v>0</v>
      </c>
      <c r="ME23" s="96">
        <f t="shared" si="331"/>
        <v>0</v>
      </c>
      <c r="MF23" s="96">
        <f t="shared" si="331"/>
        <v>0</v>
      </c>
      <c r="MG23" s="96">
        <f t="shared" si="331"/>
        <v>0</v>
      </c>
      <c r="MH23" s="96">
        <f t="shared" si="331"/>
        <v>0</v>
      </c>
      <c r="MI23" s="96">
        <f>MI16/(24*7)</f>
        <v>0</v>
      </c>
      <c r="MJ23" s="96">
        <f t="shared" ref="MJ23:MP23" si="332">MJ16/24</f>
        <v>0</v>
      </c>
      <c r="MK23" s="96">
        <f t="shared" si="332"/>
        <v>0</v>
      </c>
      <c r="ML23" s="96">
        <f t="shared" si="332"/>
        <v>0</v>
      </c>
      <c r="MM23" s="96">
        <f t="shared" si="332"/>
        <v>0</v>
      </c>
      <c r="MN23" s="96">
        <f t="shared" si="332"/>
        <v>0</v>
      </c>
      <c r="MO23" s="96">
        <f t="shared" si="332"/>
        <v>0</v>
      </c>
      <c r="MP23" s="96">
        <f t="shared" si="332"/>
        <v>0</v>
      </c>
      <c r="MQ23" s="96">
        <f>MQ16/(24*7)</f>
        <v>0</v>
      </c>
      <c r="MR23" s="96">
        <f t="shared" ref="MR23:MX23" si="333">MR16/24</f>
        <v>0</v>
      </c>
      <c r="MS23" s="96">
        <f t="shared" si="333"/>
        <v>0</v>
      </c>
      <c r="MT23" s="96">
        <f t="shared" si="333"/>
        <v>0</v>
      </c>
      <c r="MU23" s="96">
        <f t="shared" si="333"/>
        <v>0</v>
      </c>
      <c r="MV23" s="96">
        <f t="shared" si="333"/>
        <v>0</v>
      </c>
      <c r="MW23" s="96">
        <f t="shared" si="333"/>
        <v>0</v>
      </c>
      <c r="MX23" s="96">
        <f t="shared" si="333"/>
        <v>0</v>
      </c>
      <c r="MY23" s="96">
        <f>MY16/(24*7)</f>
        <v>0</v>
      </c>
      <c r="MZ23" s="96">
        <f t="shared" ref="MZ23:NF23" si="334">MZ16/24</f>
        <v>0</v>
      </c>
      <c r="NA23" s="96">
        <f t="shared" si="334"/>
        <v>0</v>
      </c>
      <c r="NB23" s="96">
        <f t="shared" si="334"/>
        <v>0</v>
      </c>
      <c r="NC23" s="96">
        <f t="shared" si="334"/>
        <v>0</v>
      </c>
      <c r="ND23" s="96">
        <f t="shared" si="334"/>
        <v>0</v>
      </c>
      <c r="NE23" s="96">
        <f t="shared" si="334"/>
        <v>0</v>
      </c>
      <c r="NF23" s="96">
        <f t="shared" si="334"/>
        <v>0</v>
      </c>
      <c r="NG23" s="96">
        <f>NG16/(24*7)</f>
        <v>0</v>
      </c>
      <c r="NH23" s="96">
        <f t="shared" ref="NH23:NN23" si="335">NH16/24</f>
        <v>0</v>
      </c>
      <c r="NI23" s="96">
        <f t="shared" si="335"/>
        <v>0</v>
      </c>
      <c r="NJ23" s="96">
        <f t="shared" si="335"/>
        <v>0</v>
      </c>
      <c r="NK23" s="96">
        <f t="shared" si="335"/>
        <v>0</v>
      </c>
      <c r="NL23" s="96">
        <f t="shared" si="335"/>
        <v>0</v>
      </c>
      <c r="NM23" s="96">
        <f t="shared" si="335"/>
        <v>0</v>
      </c>
      <c r="NN23" s="96">
        <f t="shared" si="335"/>
        <v>0</v>
      </c>
      <c r="NO23" s="96">
        <f>NO16/(24*7)</f>
        <v>0</v>
      </c>
      <c r="NP23" s="96">
        <f t="shared" ref="NP23:NV23" si="336">NP16/24</f>
        <v>0</v>
      </c>
      <c r="NQ23" s="96">
        <f t="shared" si="336"/>
        <v>0</v>
      </c>
      <c r="NR23" s="96">
        <f t="shared" si="336"/>
        <v>0</v>
      </c>
      <c r="NS23" s="96">
        <f t="shared" si="336"/>
        <v>0</v>
      </c>
      <c r="NT23" s="96">
        <f t="shared" si="336"/>
        <v>0</v>
      </c>
      <c r="NU23" s="96">
        <f t="shared" si="336"/>
        <v>0</v>
      </c>
      <c r="NV23" s="96">
        <f t="shared" si="336"/>
        <v>0</v>
      </c>
      <c r="NW23" s="96">
        <f>NW16/(24*7)</f>
        <v>0</v>
      </c>
    </row>
    <row r="24" spans="1:387" x14ac:dyDescent="0.25">
      <c r="C24" s="99" t="s">
        <v>431</v>
      </c>
      <c r="D24" s="96" t="e">
        <f>D14/24</f>
        <v>#REF!</v>
      </c>
      <c r="E24" s="96" t="e">
        <f t="shared" ref="E24:J24" si="337">E14/24</f>
        <v>#REF!</v>
      </c>
      <c r="F24" s="96" t="e">
        <f t="shared" si="337"/>
        <v>#REF!</v>
      </c>
      <c r="G24" s="96" t="e">
        <f t="shared" si="337"/>
        <v>#REF!</v>
      </c>
      <c r="H24" s="96" t="e">
        <f t="shared" si="337"/>
        <v>#REF!</v>
      </c>
      <c r="I24" s="96" t="e">
        <f t="shared" si="337"/>
        <v>#REF!</v>
      </c>
      <c r="J24" s="96" t="e">
        <f t="shared" si="337"/>
        <v>#REF!</v>
      </c>
      <c r="K24" s="96" t="e">
        <f>K14/(24*7)</f>
        <v>#REF!</v>
      </c>
      <c r="L24" s="96" t="e">
        <f t="shared" ref="L24:R24" si="338">L14/24</f>
        <v>#REF!</v>
      </c>
      <c r="M24" s="96" t="e">
        <f t="shared" si="338"/>
        <v>#REF!</v>
      </c>
      <c r="N24" s="96" t="e">
        <f t="shared" si="338"/>
        <v>#REF!</v>
      </c>
      <c r="O24" s="96" t="e">
        <f t="shared" si="338"/>
        <v>#REF!</v>
      </c>
      <c r="P24" s="96" t="e">
        <f t="shared" si="338"/>
        <v>#REF!</v>
      </c>
      <c r="Q24" s="96" t="e">
        <f t="shared" si="338"/>
        <v>#REF!</v>
      </c>
      <c r="R24" s="96" t="e">
        <f t="shared" si="338"/>
        <v>#REF!</v>
      </c>
      <c r="S24" s="96" t="e">
        <f>S14/(24*7)</f>
        <v>#REF!</v>
      </c>
      <c r="T24" s="96" t="e">
        <f t="shared" ref="T24:Z24" si="339">T14/24</f>
        <v>#REF!</v>
      </c>
      <c r="U24" s="96" t="e">
        <f t="shared" si="339"/>
        <v>#REF!</v>
      </c>
      <c r="V24" s="96" t="e">
        <f t="shared" si="339"/>
        <v>#REF!</v>
      </c>
      <c r="W24" s="96" t="e">
        <f t="shared" si="339"/>
        <v>#REF!</v>
      </c>
      <c r="X24" s="96" t="e">
        <f t="shared" si="339"/>
        <v>#REF!</v>
      </c>
      <c r="Y24" s="96" t="e">
        <f t="shared" si="339"/>
        <v>#REF!</v>
      </c>
      <c r="Z24" s="96" t="e">
        <f t="shared" si="339"/>
        <v>#REF!</v>
      </c>
      <c r="AA24" s="96" t="e">
        <f>AA14/(24*7)</f>
        <v>#REF!</v>
      </c>
      <c r="AB24" s="96" t="e">
        <f t="shared" ref="AB24:AH24" si="340">AB14/24</f>
        <v>#REF!</v>
      </c>
      <c r="AC24" s="96" t="e">
        <f t="shared" si="340"/>
        <v>#REF!</v>
      </c>
      <c r="AD24" s="96" t="e">
        <f t="shared" si="340"/>
        <v>#REF!</v>
      </c>
      <c r="AE24" s="96" t="e">
        <f t="shared" si="340"/>
        <v>#REF!</v>
      </c>
      <c r="AF24" s="96" t="e">
        <f t="shared" si="340"/>
        <v>#REF!</v>
      </c>
      <c r="AG24" s="96" t="e">
        <f t="shared" si="340"/>
        <v>#REF!</v>
      </c>
      <c r="AH24" s="96" t="e">
        <f t="shared" si="340"/>
        <v>#REF!</v>
      </c>
      <c r="AI24" s="96" t="e">
        <f>AI14/(24*7)</f>
        <v>#REF!</v>
      </c>
      <c r="AJ24" s="96" t="e">
        <f t="shared" ref="AJ24:AP24" si="341">AJ14/24</f>
        <v>#REF!</v>
      </c>
      <c r="AK24" s="96" t="e">
        <f t="shared" si="341"/>
        <v>#REF!</v>
      </c>
      <c r="AL24" s="96" t="e">
        <f t="shared" si="341"/>
        <v>#REF!</v>
      </c>
      <c r="AM24" s="96" t="e">
        <f t="shared" si="341"/>
        <v>#REF!</v>
      </c>
      <c r="AN24" s="96" t="e">
        <f t="shared" si="341"/>
        <v>#REF!</v>
      </c>
      <c r="AO24" s="96" t="e">
        <f t="shared" si="341"/>
        <v>#REF!</v>
      </c>
      <c r="AP24" s="96" t="e">
        <f t="shared" si="341"/>
        <v>#REF!</v>
      </c>
      <c r="AQ24" s="96" t="e">
        <f>AQ14/(24*7)</f>
        <v>#REF!</v>
      </c>
      <c r="AR24" s="96" t="e">
        <f t="shared" ref="AR24:AX24" si="342">AR14/24</f>
        <v>#REF!</v>
      </c>
      <c r="AS24" s="96" t="e">
        <f t="shared" si="342"/>
        <v>#REF!</v>
      </c>
      <c r="AT24" s="96" t="e">
        <f t="shared" si="342"/>
        <v>#REF!</v>
      </c>
      <c r="AU24" s="96" t="e">
        <f t="shared" si="342"/>
        <v>#REF!</v>
      </c>
      <c r="AV24" s="96" t="e">
        <f t="shared" si="342"/>
        <v>#REF!</v>
      </c>
      <c r="AW24" s="96" t="e">
        <f t="shared" si="342"/>
        <v>#REF!</v>
      </c>
      <c r="AX24" s="96" t="e">
        <f t="shared" si="342"/>
        <v>#REF!</v>
      </c>
      <c r="AY24" s="96" t="e">
        <f>AY14/(24*7)</f>
        <v>#REF!</v>
      </c>
      <c r="AZ24" s="96" t="e">
        <f t="shared" ref="AZ24:BF24" si="343">AZ14/24</f>
        <v>#REF!</v>
      </c>
      <c r="BA24" s="96" t="e">
        <f t="shared" si="343"/>
        <v>#REF!</v>
      </c>
      <c r="BB24" s="96" t="e">
        <f t="shared" si="343"/>
        <v>#REF!</v>
      </c>
      <c r="BC24" s="96" t="e">
        <f t="shared" si="343"/>
        <v>#REF!</v>
      </c>
      <c r="BD24" s="96" t="e">
        <f t="shared" si="343"/>
        <v>#REF!</v>
      </c>
      <c r="BE24" s="96" t="e">
        <f t="shared" si="343"/>
        <v>#REF!</v>
      </c>
      <c r="BF24" s="96" t="e">
        <f t="shared" si="343"/>
        <v>#REF!</v>
      </c>
      <c r="BG24" s="96" t="e">
        <f>BG14/(24*7)</f>
        <v>#REF!</v>
      </c>
      <c r="BH24" s="96" t="e">
        <f t="shared" ref="BH24:BN24" si="344">BH14/24</f>
        <v>#REF!</v>
      </c>
      <c r="BI24" s="96" t="e">
        <f t="shared" si="344"/>
        <v>#REF!</v>
      </c>
      <c r="BJ24" s="96" t="e">
        <f t="shared" si="344"/>
        <v>#REF!</v>
      </c>
      <c r="BK24" s="96" t="e">
        <f t="shared" si="344"/>
        <v>#REF!</v>
      </c>
      <c r="BL24" s="96" t="e">
        <f t="shared" si="344"/>
        <v>#REF!</v>
      </c>
      <c r="BM24" s="96" t="e">
        <f t="shared" si="344"/>
        <v>#REF!</v>
      </c>
      <c r="BN24" s="96" t="e">
        <f t="shared" si="344"/>
        <v>#REF!</v>
      </c>
      <c r="BO24" s="96" t="e">
        <f>BO14/(24*7)</f>
        <v>#REF!</v>
      </c>
      <c r="BP24" s="96" t="e">
        <f t="shared" ref="BP24:BV24" si="345">BP14/24</f>
        <v>#REF!</v>
      </c>
      <c r="BQ24" s="96" t="e">
        <f t="shared" si="345"/>
        <v>#REF!</v>
      </c>
      <c r="BR24" s="96" t="e">
        <f t="shared" si="345"/>
        <v>#REF!</v>
      </c>
      <c r="BS24" s="96" t="e">
        <f t="shared" si="345"/>
        <v>#REF!</v>
      </c>
      <c r="BT24" s="96" t="e">
        <f t="shared" si="345"/>
        <v>#REF!</v>
      </c>
      <c r="BU24" s="96" t="e">
        <f t="shared" si="345"/>
        <v>#REF!</v>
      </c>
      <c r="BV24" s="96" t="e">
        <f t="shared" si="345"/>
        <v>#REF!</v>
      </c>
      <c r="BW24" s="96" t="e">
        <f>BW14/(24*7)</f>
        <v>#REF!</v>
      </c>
      <c r="BX24" s="96" t="e">
        <f t="shared" ref="BX24:CD24" si="346">BX14/24</f>
        <v>#REF!</v>
      </c>
      <c r="BY24" s="96" t="e">
        <f t="shared" si="346"/>
        <v>#REF!</v>
      </c>
      <c r="BZ24" s="96" t="e">
        <f t="shared" si="346"/>
        <v>#REF!</v>
      </c>
      <c r="CA24" s="96" t="e">
        <f t="shared" si="346"/>
        <v>#REF!</v>
      </c>
      <c r="CB24" s="96" t="e">
        <f t="shared" si="346"/>
        <v>#REF!</v>
      </c>
      <c r="CC24" s="96" t="e">
        <f t="shared" si="346"/>
        <v>#REF!</v>
      </c>
      <c r="CD24" s="96" t="e">
        <f t="shared" si="346"/>
        <v>#REF!</v>
      </c>
      <c r="CE24" s="96" t="e">
        <f>CE14/(24*7)</f>
        <v>#REF!</v>
      </c>
      <c r="CF24" s="96" t="e">
        <f t="shared" ref="CF24:CL24" si="347">CF14/24</f>
        <v>#REF!</v>
      </c>
      <c r="CG24" s="96" t="e">
        <f t="shared" si="347"/>
        <v>#REF!</v>
      </c>
      <c r="CH24" s="96" t="e">
        <f t="shared" si="347"/>
        <v>#REF!</v>
      </c>
      <c r="CI24" s="96" t="e">
        <f t="shared" si="347"/>
        <v>#REF!</v>
      </c>
      <c r="CJ24" s="96" t="e">
        <f t="shared" si="347"/>
        <v>#REF!</v>
      </c>
      <c r="CK24" s="96" t="e">
        <f t="shared" si="347"/>
        <v>#REF!</v>
      </c>
      <c r="CL24" s="96" t="e">
        <f t="shared" si="347"/>
        <v>#REF!</v>
      </c>
      <c r="CM24" s="96" t="e">
        <f>CM14/(24*7)</f>
        <v>#REF!</v>
      </c>
      <c r="CN24" s="96" t="e">
        <f t="shared" ref="CN24:CT24" si="348">CN14/24</f>
        <v>#REF!</v>
      </c>
      <c r="CO24" s="96" t="e">
        <f t="shared" si="348"/>
        <v>#REF!</v>
      </c>
      <c r="CP24" s="96" t="e">
        <f t="shared" si="348"/>
        <v>#REF!</v>
      </c>
      <c r="CQ24" s="96" t="e">
        <f t="shared" si="348"/>
        <v>#REF!</v>
      </c>
      <c r="CR24" s="96" t="e">
        <f t="shared" si="348"/>
        <v>#REF!</v>
      </c>
      <c r="CS24" s="96" t="e">
        <f t="shared" si="348"/>
        <v>#REF!</v>
      </c>
      <c r="CT24" s="96" t="e">
        <f t="shared" si="348"/>
        <v>#REF!</v>
      </c>
      <c r="CU24" s="96" t="e">
        <f>CU14/(24*7)</f>
        <v>#REF!</v>
      </c>
      <c r="CV24" s="96" t="e">
        <f t="shared" ref="CV24:DB24" si="349">CV14/24</f>
        <v>#REF!</v>
      </c>
      <c r="CW24" s="96" t="e">
        <f t="shared" si="349"/>
        <v>#REF!</v>
      </c>
      <c r="CX24" s="96" t="e">
        <f t="shared" si="349"/>
        <v>#REF!</v>
      </c>
      <c r="CY24" s="96" t="e">
        <f t="shared" si="349"/>
        <v>#REF!</v>
      </c>
      <c r="CZ24" s="96" t="e">
        <f t="shared" si="349"/>
        <v>#REF!</v>
      </c>
      <c r="DA24" s="96" t="e">
        <f t="shared" si="349"/>
        <v>#REF!</v>
      </c>
      <c r="DB24" s="96" t="e">
        <f t="shared" si="349"/>
        <v>#REF!</v>
      </c>
      <c r="DC24" s="96" t="e">
        <f>DC14/(24*7)</f>
        <v>#REF!</v>
      </c>
      <c r="DD24" s="96" t="e">
        <f t="shared" ref="DD24:DJ24" si="350">DD14/24</f>
        <v>#REF!</v>
      </c>
      <c r="DE24" s="96" t="e">
        <f t="shared" si="350"/>
        <v>#REF!</v>
      </c>
      <c r="DF24" s="96" t="e">
        <f t="shared" si="350"/>
        <v>#REF!</v>
      </c>
      <c r="DG24" s="96" t="e">
        <f t="shared" si="350"/>
        <v>#REF!</v>
      </c>
      <c r="DH24" s="96" t="e">
        <f t="shared" si="350"/>
        <v>#REF!</v>
      </c>
      <c r="DI24" s="96" t="e">
        <f t="shared" si="350"/>
        <v>#REF!</v>
      </c>
      <c r="DJ24" s="96" t="e">
        <f t="shared" si="350"/>
        <v>#REF!</v>
      </c>
      <c r="DK24" s="96" t="e">
        <f>DK14/(24*7)</f>
        <v>#REF!</v>
      </c>
      <c r="DL24" s="96" t="e">
        <f t="shared" ref="DL24:DR24" si="351">DL14/24</f>
        <v>#REF!</v>
      </c>
      <c r="DM24" s="96" t="e">
        <f t="shared" si="351"/>
        <v>#REF!</v>
      </c>
      <c r="DN24" s="96" t="e">
        <f t="shared" si="351"/>
        <v>#REF!</v>
      </c>
      <c r="DO24" s="96" t="e">
        <f t="shared" si="351"/>
        <v>#REF!</v>
      </c>
      <c r="DP24" s="96" t="e">
        <f t="shared" si="351"/>
        <v>#REF!</v>
      </c>
      <c r="DQ24" s="96" t="e">
        <f t="shared" si="351"/>
        <v>#REF!</v>
      </c>
      <c r="DR24" s="96" t="e">
        <f t="shared" si="351"/>
        <v>#REF!</v>
      </c>
      <c r="DS24" s="96" t="e">
        <f>DS14/(24*7)</f>
        <v>#REF!</v>
      </c>
      <c r="DT24" s="96" t="e">
        <f t="shared" ref="DT24:DZ24" si="352">DT14/24</f>
        <v>#REF!</v>
      </c>
      <c r="DU24" s="96" t="e">
        <f t="shared" si="352"/>
        <v>#REF!</v>
      </c>
      <c r="DV24" s="96" t="e">
        <f t="shared" si="352"/>
        <v>#REF!</v>
      </c>
      <c r="DW24" s="96" t="e">
        <f t="shared" si="352"/>
        <v>#REF!</v>
      </c>
      <c r="DX24" s="96" t="e">
        <f t="shared" si="352"/>
        <v>#REF!</v>
      </c>
      <c r="DY24" s="96" t="e">
        <f t="shared" si="352"/>
        <v>#REF!</v>
      </c>
      <c r="DZ24" s="96" t="e">
        <f t="shared" si="352"/>
        <v>#REF!</v>
      </c>
      <c r="EA24" s="96" t="e">
        <f>EA14/(24*7)</f>
        <v>#REF!</v>
      </c>
      <c r="EB24" s="96" t="e">
        <f t="shared" ref="EB24:EH24" si="353">EB14/24</f>
        <v>#REF!</v>
      </c>
      <c r="EC24" s="96" t="e">
        <f t="shared" si="353"/>
        <v>#REF!</v>
      </c>
      <c r="ED24" s="96" t="e">
        <f t="shared" si="353"/>
        <v>#REF!</v>
      </c>
      <c r="EE24" s="96" t="e">
        <f t="shared" si="353"/>
        <v>#REF!</v>
      </c>
      <c r="EF24" s="96" t="e">
        <f t="shared" si="353"/>
        <v>#REF!</v>
      </c>
      <c r="EG24" s="96" t="e">
        <f t="shared" si="353"/>
        <v>#REF!</v>
      </c>
      <c r="EH24" s="96" t="e">
        <f t="shared" si="353"/>
        <v>#REF!</v>
      </c>
      <c r="EI24" s="96" t="e">
        <f>EI14/(24*7)</f>
        <v>#REF!</v>
      </c>
      <c r="EJ24" s="96" t="e">
        <f t="shared" ref="EJ24:EP24" si="354">EJ14/24</f>
        <v>#REF!</v>
      </c>
      <c r="EK24" s="96" t="e">
        <f t="shared" si="354"/>
        <v>#REF!</v>
      </c>
      <c r="EL24" s="96" t="e">
        <f t="shared" si="354"/>
        <v>#REF!</v>
      </c>
      <c r="EM24" s="96" t="e">
        <f t="shared" si="354"/>
        <v>#REF!</v>
      </c>
      <c r="EN24" s="96" t="e">
        <f t="shared" si="354"/>
        <v>#REF!</v>
      </c>
      <c r="EO24" s="96" t="e">
        <f t="shared" si="354"/>
        <v>#REF!</v>
      </c>
      <c r="EP24" s="96" t="e">
        <f t="shared" si="354"/>
        <v>#REF!</v>
      </c>
      <c r="EQ24" s="96" t="e">
        <f>EQ14/(24*7)</f>
        <v>#REF!</v>
      </c>
      <c r="ER24" s="96" t="e">
        <f t="shared" ref="ER24:EX24" si="355">ER14/24</f>
        <v>#REF!</v>
      </c>
      <c r="ES24" s="96" t="e">
        <f t="shared" si="355"/>
        <v>#REF!</v>
      </c>
      <c r="ET24" s="96" t="e">
        <f t="shared" si="355"/>
        <v>#REF!</v>
      </c>
      <c r="EU24" s="96" t="e">
        <f t="shared" si="355"/>
        <v>#REF!</v>
      </c>
      <c r="EV24" s="96" t="e">
        <f t="shared" si="355"/>
        <v>#REF!</v>
      </c>
      <c r="EW24" s="96" t="e">
        <f t="shared" si="355"/>
        <v>#REF!</v>
      </c>
      <c r="EX24" s="96" t="e">
        <f t="shared" si="355"/>
        <v>#REF!</v>
      </c>
      <c r="EY24" s="96" t="e">
        <f>EY14/(24*7)</f>
        <v>#REF!</v>
      </c>
      <c r="EZ24" s="96" t="e">
        <f t="shared" ref="EZ24:FF24" si="356">EZ14/24</f>
        <v>#REF!</v>
      </c>
      <c r="FA24" s="96" t="e">
        <f t="shared" si="356"/>
        <v>#REF!</v>
      </c>
      <c r="FB24" s="96" t="e">
        <f t="shared" si="356"/>
        <v>#REF!</v>
      </c>
      <c r="FC24" s="96" t="e">
        <f t="shared" si="356"/>
        <v>#REF!</v>
      </c>
      <c r="FD24" s="96" t="e">
        <f t="shared" si="356"/>
        <v>#REF!</v>
      </c>
      <c r="FE24" s="96" t="e">
        <f t="shared" si="356"/>
        <v>#REF!</v>
      </c>
      <c r="FF24" s="96" t="e">
        <f t="shared" si="356"/>
        <v>#REF!</v>
      </c>
      <c r="FG24" s="96" t="e">
        <f>FG14/(24*7)</f>
        <v>#REF!</v>
      </c>
      <c r="FH24" s="96" t="e">
        <f t="shared" ref="FH24:FN24" si="357">FH14/24</f>
        <v>#REF!</v>
      </c>
      <c r="FI24" s="96" t="e">
        <f t="shared" si="357"/>
        <v>#REF!</v>
      </c>
      <c r="FJ24" s="96" t="e">
        <f t="shared" si="357"/>
        <v>#REF!</v>
      </c>
      <c r="FK24" s="96" t="e">
        <f t="shared" si="357"/>
        <v>#REF!</v>
      </c>
      <c r="FL24" s="96" t="e">
        <f t="shared" si="357"/>
        <v>#REF!</v>
      </c>
      <c r="FM24" s="96" t="e">
        <f t="shared" si="357"/>
        <v>#REF!</v>
      </c>
      <c r="FN24" s="96" t="e">
        <f t="shared" si="357"/>
        <v>#REF!</v>
      </c>
      <c r="FO24" s="96" t="e">
        <f>FO14/(24*7)</f>
        <v>#REF!</v>
      </c>
      <c r="FP24" s="96" t="e">
        <f t="shared" ref="FP24:FV24" si="358">FP14/24</f>
        <v>#REF!</v>
      </c>
      <c r="FQ24" s="96" t="e">
        <f t="shared" si="358"/>
        <v>#REF!</v>
      </c>
      <c r="FR24" s="96" t="e">
        <f t="shared" si="358"/>
        <v>#REF!</v>
      </c>
      <c r="FS24" s="96" t="e">
        <f t="shared" si="358"/>
        <v>#REF!</v>
      </c>
      <c r="FT24" s="96" t="e">
        <f t="shared" si="358"/>
        <v>#REF!</v>
      </c>
      <c r="FU24" s="96" t="e">
        <f t="shared" si="358"/>
        <v>#REF!</v>
      </c>
      <c r="FV24" s="96" t="e">
        <f t="shared" si="358"/>
        <v>#REF!</v>
      </c>
      <c r="FW24" s="96" t="e">
        <f>FW14/(24*7)</f>
        <v>#REF!</v>
      </c>
      <c r="FX24" s="96" t="e">
        <f t="shared" ref="FX24:GD24" si="359">FX14/24</f>
        <v>#REF!</v>
      </c>
      <c r="FY24" s="96" t="e">
        <f t="shared" si="359"/>
        <v>#REF!</v>
      </c>
      <c r="FZ24" s="96" t="e">
        <f t="shared" si="359"/>
        <v>#REF!</v>
      </c>
      <c r="GA24" s="96" t="e">
        <f t="shared" si="359"/>
        <v>#REF!</v>
      </c>
      <c r="GB24" s="96" t="e">
        <f t="shared" si="359"/>
        <v>#REF!</v>
      </c>
      <c r="GC24" s="96" t="e">
        <f t="shared" si="359"/>
        <v>#REF!</v>
      </c>
      <c r="GD24" s="96" t="e">
        <f t="shared" si="359"/>
        <v>#REF!</v>
      </c>
      <c r="GE24" s="96" t="e">
        <f>GE14/(24*7)</f>
        <v>#REF!</v>
      </c>
      <c r="GF24" s="96" t="e">
        <f t="shared" ref="GF24:GL24" si="360">GF14/24</f>
        <v>#REF!</v>
      </c>
      <c r="GG24" s="96" t="e">
        <f t="shared" si="360"/>
        <v>#REF!</v>
      </c>
      <c r="GH24" s="96" t="e">
        <f t="shared" si="360"/>
        <v>#REF!</v>
      </c>
      <c r="GI24" s="96" t="e">
        <f t="shared" si="360"/>
        <v>#REF!</v>
      </c>
      <c r="GJ24" s="96" t="e">
        <f t="shared" si="360"/>
        <v>#REF!</v>
      </c>
      <c r="GK24" s="96" t="e">
        <f t="shared" si="360"/>
        <v>#REF!</v>
      </c>
      <c r="GL24" s="96" t="e">
        <f t="shared" si="360"/>
        <v>#REF!</v>
      </c>
      <c r="GM24" s="96" t="e">
        <f>GM14/(24*7)</f>
        <v>#REF!</v>
      </c>
      <c r="GN24" s="96" t="e">
        <f t="shared" ref="GN24:GT24" si="361">GN14/24</f>
        <v>#REF!</v>
      </c>
      <c r="GO24" s="96" t="e">
        <f t="shared" si="361"/>
        <v>#REF!</v>
      </c>
      <c r="GP24" s="96" t="e">
        <f t="shared" si="361"/>
        <v>#REF!</v>
      </c>
      <c r="GQ24" s="96" t="e">
        <f t="shared" si="361"/>
        <v>#REF!</v>
      </c>
      <c r="GR24" s="96" t="e">
        <f t="shared" si="361"/>
        <v>#REF!</v>
      </c>
      <c r="GS24" s="96" t="e">
        <f t="shared" si="361"/>
        <v>#REF!</v>
      </c>
      <c r="GT24" s="96" t="e">
        <f t="shared" si="361"/>
        <v>#REF!</v>
      </c>
      <c r="GU24" s="96" t="e">
        <f>GU14/(24*7)</f>
        <v>#REF!</v>
      </c>
      <c r="GV24" s="96" t="e">
        <f t="shared" ref="GV24:HB24" si="362">GV14/24</f>
        <v>#REF!</v>
      </c>
      <c r="GW24" s="96" t="e">
        <f t="shared" si="362"/>
        <v>#REF!</v>
      </c>
      <c r="GX24" s="96" t="e">
        <f t="shared" si="362"/>
        <v>#REF!</v>
      </c>
      <c r="GY24" s="96" t="e">
        <f t="shared" si="362"/>
        <v>#REF!</v>
      </c>
      <c r="GZ24" s="96" t="e">
        <f t="shared" si="362"/>
        <v>#REF!</v>
      </c>
      <c r="HA24" s="96" t="e">
        <f t="shared" si="362"/>
        <v>#REF!</v>
      </c>
      <c r="HB24" s="96" t="e">
        <f t="shared" si="362"/>
        <v>#REF!</v>
      </c>
      <c r="HC24" s="96" t="e">
        <f>HC14/(24*7)</f>
        <v>#REF!</v>
      </c>
      <c r="HD24" s="96" t="e">
        <f t="shared" ref="HD24:HJ24" si="363">HD14/24</f>
        <v>#REF!</v>
      </c>
      <c r="HE24" s="96" t="e">
        <f t="shared" si="363"/>
        <v>#REF!</v>
      </c>
      <c r="HF24" s="96" t="e">
        <f t="shared" si="363"/>
        <v>#REF!</v>
      </c>
      <c r="HG24" s="96" t="e">
        <f t="shared" si="363"/>
        <v>#REF!</v>
      </c>
      <c r="HH24" s="96" t="e">
        <f t="shared" si="363"/>
        <v>#REF!</v>
      </c>
      <c r="HI24" s="96" t="e">
        <f t="shared" si="363"/>
        <v>#REF!</v>
      </c>
      <c r="HJ24" s="96" t="e">
        <f t="shared" si="363"/>
        <v>#REF!</v>
      </c>
      <c r="HK24" s="96" t="e">
        <f>HK14/(24*7)</f>
        <v>#REF!</v>
      </c>
      <c r="HL24" s="96" t="e">
        <f t="shared" ref="HL24:HR24" si="364">HL14/24</f>
        <v>#REF!</v>
      </c>
      <c r="HM24" s="96" t="e">
        <f t="shared" si="364"/>
        <v>#REF!</v>
      </c>
      <c r="HN24" s="96" t="e">
        <f t="shared" si="364"/>
        <v>#REF!</v>
      </c>
      <c r="HO24" s="96" t="e">
        <f t="shared" si="364"/>
        <v>#REF!</v>
      </c>
      <c r="HP24" s="96" t="e">
        <f t="shared" si="364"/>
        <v>#REF!</v>
      </c>
      <c r="HQ24" s="96" t="e">
        <f t="shared" si="364"/>
        <v>#REF!</v>
      </c>
      <c r="HR24" s="96" t="e">
        <f t="shared" si="364"/>
        <v>#REF!</v>
      </c>
      <c r="HS24" s="96" t="e">
        <f>HS14/(24*7)</f>
        <v>#REF!</v>
      </c>
      <c r="HT24" s="96" t="e">
        <f t="shared" ref="HT24:HZ24" si="365">HT14/24</f>
        <v>#REF!</v>
      </c>
      <c r="HU24" s="96" t="e">
        <f t="shared" si="365"/>
        <v>#REF!</v>
      </c>
      <c r="HV24" s="96" t="e">
        <f t="shared" si="365"/>
        <v>#REF!</v>
      </c>
      <c r="HW24" s="96" t="e">
        <f t="shared" si="365"/>
        <v>#REF!</v>
      </c>
      <c r="HX24" s="96" t="e">
        <f t="shared" si="365"/>
        <v>#REF!</v>
      </c>
      <c r="HY24" s="96" t="e">
        <f t="shared" si="365"/>
        <v>#REF!</v>
      </c>
      <c r="HZ24" s="96" t="e">
        <f t="shared" si="365"/>
        <v>#REF!</v>
      </c>
      <c r="IA24" s="96" t="e">
        <f>IA14/(24*7)</f>
        <v>#REF!</v>
      </c>
      <c r="IB24" s="96" t="e">
        <f t="shared" ref="IB24:IH24" si="366">IB14/24</f>
        <v>#REF!</v>
      </c>
      <c r="IC24" s="96" t="e">
        <f t="shared" si="366"/>
        <v>#REF!</v>
      </c>
      <c r="ID24" s="96" t="e">
        <f t="shared" si="366"/>
        <v>#REF!</v>
      </c>
      <c r="IE24" s="96" t="e">
        <f t="shared" si="366"/>
        <v>#REF!</v>
      </c>
      <c r="IF24" s="96" t="e">
        <f t="shared" si="366"/>
        <v>#REF!</v>
      </c>
      <c r="IG24" s="96" t="e">
        <f t="shared" si="366"/>
        <v>#REF!</v>
      </c>
      <c r="IH24" s="96" t="e">
        <f t="shared" si="366"/>
        <v>#REF!</v>
      </c>
      <c r="II24" s="96" t="e">
        <f>II14/(24*7)</f>
        <v>#REF!</v>
      </c>
      <c r="IJ24" s="96" t="e">
        <f t="shared" ref="IJ24:IP24" si="367">IJ14/24</f>
        <v>#REF!</v>
      </c>
      <c r="IK24" s="96" t="e">
        <f t="shared" si="367"/>
        <v>#REF!</v>
      </c>
      <c r="IL24" s="96" t="e">
        <f t="shared" si="367"/>
        <v>#REF!</v>
      </c>
      <c r="IM24" s="96" t="e">
        <f t="shared" si="367"/>
        <v>#REF!</v>
      </c>
      <c r="IN24" s="96" t="e">
        <f t="shared" si="367"/>
        <v>#REF!</v>
      </c>
      <c r="IO24" s="96" t="e">
        <f t="shared" si="367"/>
        <v>#REF!</v>
      </c>
      <c r="IP24" s="96" t="e">
        <f t="shared" si="367"/>
        <v>#REF!</v>
      </c>
      <c r="IQ24" s="96" t="e">
        <f>IQ14/(24*7)</f>
        <v>#REF!</v>
      </c>
      <c r="IR24" s="96" t="e">
        <f t="shared" ref="IR24:IX24" si="368">IR14/24</f>
        <v>#REF!</v>
      </c>
      <c r="IS24" s="96" t="e">
        <f t="shared" si="368"/>
        <v>#REF!</v>
      </c>
      <c r="IT24" s="96" t="e">
        <f t="shared" si="368"/>
        <v>#REF!</v>
      </c>
      <c r="IU24" s="96" t="e">
        <f t="shared" si="368"/>
        <v>#REF!</v>
      </c>
      <c r="IV24" s="96" t="e">
        <f t="shared" si="368"/>
        <v>#REF!</v>
      </c>
      <c r="IW24" s="96" t="e">
        <f t="shared" si="368"/>
        <v>#REF!</v>
      </c>
      <c r="IX24" s="96" t="e">
        <f t="shared" si="368"/>
        <v>#REF!</v>
      </c>
      <c r="IY24" s="96" t="e">
        <f>IY14/(24*7)</f>
        <v>#REF!</v>
      </c>
      <c r="IZ24" s="96" t="e">
        <f t="shared" ref="IZ24:JF24" si="369">IZ14/24</f>
        <v>#REF!</v>
      </c>
      <c r="JA24" s="96" t="e">
        <f t="shared" si="369"/>
        <v>#REF!</v>
      </c>
      <c r="JB24" s="96" t="e">
        <f t="shared" si="369"/>
        <v>#REF!</v>
      </c>
      <c r="JC24" s="96" t="e">
        <f t="shared" si="369"/>
        <v>#REF!</v>
      </c>
      <c r="JD24" s="96" t="e">
        <f t="shared" si="369"/>
        <v>#REF!</v>
      </c>
      <c r="JE24" s="96" t="e">
        <f t="shared" si="369"/>
        <v>#REF!</v>
      </c>
      <c r="JF24" s="96" t="e">
        <f t="shared" si="369"/>
        <v>#REF!</v>
      </c>
      <c r="JG24" s="96" t="e">
        <f>JG14/(24*7)</f>
        <v>#REF!</v>
      </c>
      <c r="JH24" s="96" t="e">
        <f t="shared" ref="JH24:JN24" si="370">JH14/24</f>
        <v>#REF!</v>
      </c>
      <c r="JI24" s="96" t="e">
        <f t="shared" si="370"/>
        <v>#REF!</v>
      </c>
      <c r="JJ24" s="96" t="e">
        <f t="shared" si="370"/>
        <v>#REF!</v>
      </c>
      <c r="JK24" s="96" t="e">
        <f t="shared" si="370"/>
        <v>#REF!</v>
      </c>
      <c r="JL24" s="96" t="e">
        <f t="shared" si="370"/>
        <v>#REF!</v>
      </c>
      <c r="JM24" s="96" t="e">
        <f t="shared" si="370"/>
        <v>#REF!</v>
      </c>
      <c r="JN24" s="96" t="e">
        <f t="shared" si="370"/>
        <v>#REF!</v>
      </c>
      <c r="JO24" s="96" t="e">
        <f>JO14/(24*7)</f>
        <v>#REF!</v>
      </c>
      <c r="JP24" s="96" t="e">
        <f t="shared" ref="JP24:JV24" si="371">JP14/24</f>
        <v>#REF!</v>
      </c>
      <c r="JQ24" s="96" t="e">
        <f t="shared" si="371"/>
        <v>#REF!</v>
      </c>
      <c r="JR24" s="96" t="e">
        <f t="shared" si="371"/>
        <v>#REF!</v>
      </c>
      <c r="JS24" s="96" t="e">
        <f t="shared" si="371"/>
        <v>#REF!</v>
      </c>
      <c r="JT24" s="96" t="e">
        <f t="shared" si="371"/>
        <v>#REF!</v>
      </c>
      <c r="JU24" s="96" t="e">
        <f t="shared" si="371"/>
        <v>#REF!</v>
      </c>
      <c r="JV24" s="96" t="e">
        <f t="shared" si="371"/>
        <v>#REF!</v>
      </c>
      <c r="JW24" s="96" t="e">
        <f>JW14/(24*7)</f>
        <v>#REF!</v>
      </c>
      <c r="JX24" s="96" t="e">
        <f t="shared" ref="JX24:KD24" si="372">JX14/24</f>
        <v>#REF!</v>
      </c>
      <c r="JY24" s="96" t="e">
        <f t="shared" si="372"/>
        <v>#REF!</v>
      </c>
      <c r="JZ24" s="96" t="e">
        <f t="shared" si="372"/>
        <v>#REF!</v>
      </c>
      <c r="KA24" s="96" t="e">
        <f t="shared" si="372"/>
        <v>#REF!</v>
      </c>
      <c r="KB24" s="96" t="e">
        <f t="shared" si="372"/>
        <v>#REF!</v>
      </c>
      <c r="KC24" s="96" t="e">
        <f t="shared" si="372"/>
        <v>#REF!</v>
      </c>
      <c r="KD24" s="96" t="e">
        <f t="shared" si="372"/>
        <v>#REF!</v>
      </c>
      <c r="KE24" s="96" t="e">
        <f>KE14/(24*7)</f>
        <v>#REF!</v>
      </c>
      <c r="KF24" s="96" t="e">
        <f t="shared" ref="KF24:KL24" si="373">KF14/24</f>
        <v>#REF!</v>
      </c>
      <c r="KG24" s="96" t="e">
        <f t="shared" si="373"/>
        <v>#REF!</v>
      </c>
      <c r="KH24" s="96" t="e">
        <f t="shared" si="373"/>
        <v>#REF!</v>
      </c>
      <c r="KI24" s="96" t="e">
        <f t="shared" si="373"/>
        <v>#REF!</v>
      </c>
      <c r="KJ24" s="96" t="e">
        <f t="shared" si="373"/>
        <v>#REF!</v>
      </c>
      <c r="KK24" s="96" t="e">
        <f t="shared" si="373"/>
        <v>#REF!</v>
      </c>
      <c r="KL24" s="96" t="e">
        <f t="shared" si="373"/>
        <v>#REF!</v>
      </c>
      <c r="KM24" s="96" t="e">
        <f>KM14/(24*7)</f>
        <v>#REF!</v>
      </c>
      <c r="KN24" s="96" t="e">
        <f t="shared" ref="KN24:KT24" si="374">KN14/24</f>
        <v>#REF!</v>
      </c>
      <c r="KO24" s="96" t="e">
        <f t="shared" si="374"/>
        <v>#REF!</v>
      </c>
      <c r="KP24" s="96" t="e">
        <f t="shared" si="374"/>
        <v>#REF!</v>
      </c>
      <c r="KQ24" s="96" t="e">
        <f t="shared" si="374"/>
        <v>#REF!</v>
      </c>
      <c r="KR24" s="96" t="e">
        <f t="shared" si="374"/>
        <v>#REF!</v>
      </c>
      <c r="KS24" s="96" t="e">
        <f t="shared" si="374"/>
        <v>#REF!</v>
      </c>
      <c r="KT24" s="96" t="e">
        <f t="shared" si="374"/>
        <v>#REF!</v>
      </c>
      <c r="KU24" s="96" t="e">
        <f>KU14/(24*7)</f>
        <v>#REF!</v>
      </c>
      <c r="KV24" s="96" t="e">
        <f t="shared" ref="KV24:LB24" si="375">KV14/24</f>
        <v>#REF!</v>
      </c>
      <c r="KW24" s="96" t="e">
        <f t="shared" si="375"/>
        <v>#REF!</v>
      </c>
      <c r="KX24" s="96" t="e">
        <f t="shared" si="375"/>
        <v>#REF!</v>
      </c>
      <c r="KY24" s="96" t="e">
        <f t="shared" si="375"/>
        <v>#REF!</v>
      </c>
      <c r="KZ24" s="96" t="e">
        <f t="shared" si="375"/>
        <v>#REF!</v>
      </c>
      <c r="LA24" s="96" t="e">
        <f t="shared" si="375"/>
        <v>#REF!</v>
      </c>
      <c r="LB24" s="96" t="e">
        <f t="shared" si="375"/>
        <v>#REF!</v>
      </c>
      <c r="LC24" s="96" t="e">
        <f>LC14/(24*7)</f>
        <v>#REF!</v>
      </c>
      <c r="LD24" s="96" t="e">
        <f t="shared" ref="LD24:LJ24" si="376">LD14/24</f>
        <v>#REF!</v>
      </c>
      <c r="LE24" s="96" t="e">
        <f t="shared" si="376"/>
        <v>#REF!</v>
      </c>
      <c r="LF24" s="96" t="e">
        <f t="shared" si="376"/>
        <v>#REF!</v>
      </c>
      <c r="LG24" s="96" t="e">
        <f t="shared" si="376"/>
        <v>#REF!</v>
      </c>
      <c r="LH24" s="96" t="e">
        <f t="shared" si="376"/>
        <v>#REF!</v>
      </c>
      <c r="LI24" s="96" t="e">
        <f t="shared" si="376"/>
        <v>#REF!</v>
      </c>
      <c r="LJ24" s="96" t="e">
        <f t="shared" si="376"/>
        <v>#REF!</v>
      </c>
      <c r="LK24" s="96" t="e">
        <f>LK14/(24*7)</f>
        <v>#REF!</v>
      </c>
      <c r="LL24" s="96" t="e">
        <f t="shared" ref="LL24:LR24" si="377">LL14/24</f>
        <v>#REF!</v>
      </c>
      <c r="LM24" s="96" t="e">
        <f t="shared" si="377"/>
        <v>#REF!</v>
      </c>
      <c r="LN24" s="96" t="e">
        <f t="shared" si="377"/>
        <v>#REF!</v>
      </c>
      <c r="LO24" s="96" t="e">
        <f t="shared" si="377"/>
        <v>#REF!</v>
      </c>
      <c r="LP24" s="96" t="e">
        <f t="shared" si="377"/>
        <v>#REF!</v>
      </c>
      <c r="LQ24" s="96" t="e">
        <f t="shared" si="377"/>
        <v>#REF!</v>
      </c>
      <c r="LR24" s="96" t="e">
        <f t="shared" si="377"/>
        <v>#REF!</v>
      </c>
      <c r="LS24" s="96" t="e">
        <f>LS14/(24*7)</f>
        <v>#REF!</v>
      </c>
      <c r="LT24" s="96" t="e">
        <f t="shared" ref="LT24:LZ24" si="378">LT14/24</f>
        <v>#REF!</v>
      </c>
      <c r="LU24" s="96" t="e">
        <f t="shared" si="378"/>
        <v>#REF!</v>
      </c>
      <c r="LV24" s="96" t="e">
        <f t="shared" si="378"/>
        <v>#REF!</v>
      </c>
      <c r="LW24" s="96" t="e">
        <f t="shared" si="378"/>
        <v>#REF!</v>
      </c>
      <c r="LX24" s="96" t="e">
        <f t="shared" si="378"/>
        <v>#REF!</v>
      </c>
      <c r="LY24" s="96" t="e">
        <f t="shared" si="378"/>
        <v>#REF!</v>
      </c>
      <c r="LZ24" s="96" t="e">
        <f t="shared" si="378"/>
        <v>#REF!</v>
      </c>
      <c r="MA24" s="96" t="e">
        <f>MA14/(24*7)</f>
        <v>#REF!</v>
      </c>
      <c r="MB24" s="96" t="e">
        <f t="shared" ref="MB24:MH24" si="379">MB14/24</f>
        <v>#REF!</v>
      </c>
      <c r="MC24" s="96" t="e">
        <f t="shared" si="379"/>
        <v>#REF!</v>
      </c>
      <c r="MD24" s="96" t="e">
        <f t="shared" si="379"/>
        <v>#REF!</v>
      </c>
      <c r="ME24" s="96" t="e">
        <f t="shared" si="379"/>
        <v>#REF!</v>
      </c>
      <c r="MF24" s="96" t="e">
        <f t="shared" si="379"/>
        <v>#REF!</v>
      </c>
      <c r="MG24" s="96" t="e">
        <f t="shared" si="379"/>
        <v>#REF!</v>
      </c>
      <c r="MH24" s="96" t="e">
        <f t="shared" si="379"/>
        <v>#REF!</v>
      </c>
      <c r="MI24" s="96" t="e">
        <f>MI14/(24*7)</f>
        <v>#REF!</v>
      </c>
      <c r="MJ24" s="96" t="e">
        <f t="shared" ref="MJ24:MP24" si="380">MJ14/24</f>
        <v>#REF!</v>
      </c>
      <c r="MK24" s="96" t="e">
        <f t="shared" si="380"/>
        <v>#REF!</v>
      </c>
      <c r="ML24" s="96" t="e">
        <f t="shared" si="380"/>
        <v>#REF!</v>
      </c>
      <c r="MM24" s="96" t="e">
        <f t="shared" si="380"/>
        <v>#REF!</v>
      </c>
      <c r="MN24" s="96" t="e">
        <f t="shared" si="380"/>
        <v>#REF!</v>
      </c>
      <c r="MO24" s="96" t="e">
        <f t="shared" si="380"/>
        <v>#REF!</v>
      </c>
      <c r="MP24" s="96" t="e">
        <f t="shared" si="380"/>
        <v>#REF!</v>
      </c>
      <c r="MQ24" s="96" t="e">
        <f>MQ14/(24*7)</f>
        <v>#REF!</v>
      </c>
      <c r="MR24" s="96" t="e">
        <f t="shared" ref="MR24:MX24" si="381">MR14/24</f>
        <v>#REF!</v>
      </c>
      <c r="MS24" s="96" t="e">
        <f t="shared" si="381"/>
        <v>#REF!</v>
      </c>
      <c r="MT24" s="96" t="e">
        <f t="shared" si="381"/>
        <v>#REF!</v>
      </c>
      <c r="MU24" s="96" t="e">
        <f t="shared" si="381"/>
        <v>#REF!</v>
      </c>
      <c r="MV24" s="96" t="e">
        <f t="shared" si="381"/>
        <v>#REF!</v>
      </c>
      <c r="MW24" s="96" t="e">
        <f t="shared" si="381"/>
        <v>#REF!</v>
      </c>
      <c r="MX24" s="96" t="e">
        <f t="shared" si="381"/>
        <v>#REF!</v>
      </c>
      <c r="MY24" s="96" t="e">
        <f>MY14/(24*7)</f>
        <v>#REF!</v>
      </c>
      <c r="MZ24" s="96" t="e">
        <f t="shared" ref="MZ24:NF24" si="382">MZ14/24</f>
        <v>#REF!</v>
      </c>
      <c r="NA24" s="96" t="e">
        <f t="shared" si="382"/>
        <v>#REF!</v>
      </c>
      <c r="NB24" s="96" t="e">
        <f t="shared" si="382"/>
        <v>#REF!</v>
      </c>
      <c r="NC24" s="96" t="e">
        <f t="shared" si="382"/>
        <v>#REF!</v>
      </c>
      <c r="ND24" s="96" t="e">
        <f t="shared" si="382"/>
        <v>#REF!</v>
      </c>
      <c r="NE24" s="96" t="e">
        <f t="shared" si="382"/>
        <v>#REF!</v>
      </c>
      <c r="NF24" s="96" t="e">
        <f t="shared" si="382"/>
        <v>#REF!</v>
      </c>
      <c r="NG24" s="96" t="e">
        <f>NG14/(24*7)</f>
        <v>#REF!</v>
      </c>
      <c r="NH24" s="96" t="e">
        <f t="shared" ref="NH24:NN24" si="383">NH14/24</f>
        <v>#REF!</v>
      </c>
      <c r="NI24" s="96" t="e">
        <f t="shared" si="383"/>
        <v>#REF!</v>
      </c>
      <c r="NJ24" s="96" t="e">
        <f t="shared" si="383"/>
        <v>#REF!</v>
      </c>
      <c r="NK24" s="96" t="e">
        <f t="shared" si="383"/>
        <v>#REF!</v>
      </c>
      <c r="NL24" s="96" t="e">
        <f t="shared" si="383"/>
        <v>#REF!</v>
      </c>
      <c r="NM24" s="96" t="e">
        <f t="shared" si="383"/>
        <v>#REF!</v>
      </c>
      <c r="NN24" s="96" t="e">
        <f t="shared" si="383"/>
        <v>#REF!</v>
      </c>
      <c r="NO24" s="96" t="e">
        <f>NO14/(24*7)</f>
        <v>#REF!</v>
      </c>
      <c r="NP24" s="96" t="e">
        <f t="shared" ref="NP24:NV24" si="384">NP14/24</f>
        <v>#REF!</v>
      </c>
      <c r="NQ24" s="96" t="e">
        <f t="shared" si="384"/>
        <v>#REF!</v>
      </c>
      <c r="NR24" s="96" t="e">
        <f t="shared" si="384"/>
        <v>#REF!</v>
      </c>
      <c r="NS24" s="96" t="e">
        <f t="shared" si="384"/>
        <v>#REF!</v>
      </c>
      <c r="NT24" s="96" t="e">
        <f t="shared" si="384"/>
        <v>#REF!</v>
      </c>
      <c r="NU24" s="96" t="e">
        <f t="shared" si="384"/>
        <v>#REF!</v>
      </c>
      <c r="NV24" s="96" t="e">
        <f t="shared" si="384"/>
        <v>#REF!</v>
      </c>
      <c r="NW24" s="96" t="e">
        <f>NW14/(24*7)</f>
        <v>#REF!</v>
      </c>
    </row>
    <row r="25" spans="1:387" x14ac:dyDescent="0.25">
      <c r="C25" s="99" t="s">
        <v>432</v>
      </c>
      <c r="D25" s="96" t="e">
        <f>(24-D14)/24</f>
        <v>#REF!</v>
      </c>
      <c r="E25" s="96" t="e">
        <f t="shared" ref="E25:J25" si="385">(24-E14)/24</f>
        <v>#REF!</v>
      </c>
      <c r="F25" s="96" t="e">
        <f t="shared" si="385"/>
        <v>#REF!</v>
      </c>
      <c r="G25" s="96" t="e">
        <f t="shared" si="385"/>
        <v>#REF!</v>
      </c>
      <c r="H25" s="96" t="e">
        <f t="shared" si="385"/>
        <v>#REF!</v>
      </c>
      <c r="I25" s="96" t="e">
        <f t="shared" si="385"/>
        <v>#REF!</v>
      </c>
      <c r="J25" s="96" t="e">
        <f t="shared" si="385"/>
        <v>#REF!</v>
      </c>
      <c r="K25" s="96" t="e">
        <f>((24*7)-K14)/(24*7)</f>
        <v>#REF!</v>
      </c>
      <c r="L25" s="96" t="e">
        <f t="shared" ref="L25:R25" si="386">(24-L14)/24</f>
        <v>#REF!</v>
      </c>
      <c r="M25" s="96" t="e">
        <f t="shared" si="386"/>
        <v>#REF!</v>
      </c>
      <c r="N25" s="96" t="e">
        <f t="shared" si="386"/>
        <v>#REF!</v>
      </c>
      <c r="O25" s="96" t="e">
        <f t="shared" si="386"/>
        <v>#REF!</v>
      </c>
      <c r="P25" s="96" t="e">
        <f t="shared" si="386"/>
        <v>#REF!</v>
      </c>
      <c r="Q25" s="96" t="e">
        <f t="shared" si="386"/>
        <v>#REF!</v>
      </c>
      <c r="R25" s="96" t="e">
        <f t="shared" si="386"/>
        <v>#REF!</v>
      </c>
      <c r="S25" s="96" t="e">
        <f>((24*7)-S14)/(24*7)</f>
        <v>#REF!</v>
      </c>
      <c r="T25" s="96" t="e">
        <f t="shared" ref="T25:Z25" si="387">(24-T14)/24</f>
        <v>#REF!</v>
      </c>
      <c r="U25" s="96" t="e">
        <f t="shared" si="387"/>
        <v>#REF!</v>
      </c>
      <c r="V25" s="96" t="e">
        <f t="shared" si="387"/>
        <v>#REF!</v>
      </c>
      <c r="W25" s="96" t="e">
        <f t="shared" si="387"/>
        <v>#REF!</v>
      </c>
      <c r="X25" s="96" t="e">
        <f t="shared" si="387"/>
        <v>#REF!</v>
      </c>
      <c r="Y25" s="96" t="e">
        <f t="shared" si="387"/>
        <v>#REF!</v>
      </c>
      <c r="Z25" s="96" t="e">
        <f t="shared" si="387"/>
        <v>#REF!</v>
      </c>
      <c r="AA25" s="96" t="e">
        <f>((24*7)-AA14)/(24*7)</f>
        <v>#REF!</v>
      </c>
      <c r="AB25" s="96" t="e">
        <f t="shared" ref="AB25:AH25" si="388">(24-AB14)/24</f>
        <v>#REF!</v>
      </c>
      <c r="AC25" s="96" t="e">
        <f t="shared" si="388"/>
        <v>#REF!</v>
      </c>
      <c r="AD25" s="96" t="e">
        <f t="shared" si="388"/>
        <v>#REF!</v>
      </c>
      <c r="AE25" s="96" t="e">
        <f t="shared" si="388"/>
        <v>#REF!</v>
      </c>
      <c r="AF25" s="96" t="e">
        <f t="shared" si="388"/>
        <v>#REF!</v>
      </c>
      <c r="AG25" s="96" t="e">
        <f t="shared" si="388"/>
        <v>#REF!</v>
      </c>
      <c r="AH25" s="96" t="e">
        <f t="shared" si="388"/>
        <v>#REF!</v>
      </c>
      <c r="AI25" s="96" t="e">
        <f>((24*7)-AI14)/(24*7)</f>
        <v>#REF!</v>
      </c>
      <c r="AJ25" s="96" t="e">
        <f t="shared" ref="AJ25:AP25" si="389">(24-AJ14)/24</f>
        <v>#REF!</v>
      </c>
      <c r="AK25" s="96" t="e">
        <f t="shared" si="389"/>
        <v>#REF!</v>
      </c>
      <c r="AL25" s="96" t="e">
        <f t="shared" si="389"/>
        <v>#REF!</v>
      </c>
      <c r="AM25" s="96" t="e">
        <f t="shared" si="389"/>
        <v>#REF!</v>
      </c>
      <c r="AN25" s="96" t="e">
        <f t="shared" si="389"/>
        <v>#REF!</v>
      </c>
      <c r="AO25" s="96" t="e">
        <f t="shared" si="389"/>
        <v>#REF!</v>
      </c>
      <c r="AP25" s="96" t="e">
        <f t="shared" si="389"/>
        <v>#REF!</v>
      </c>
      <c r="AQ25" s="96" t="e">
        <f>((24*7)-AQ14)/(24*7)</f>
        <v>#REF!</v>
      </c>
      <c r="AR25" s="96" t="e">
        <f t="shared" ref="AR25:AX25" si="390">(24-AR14)/24</f>
        <v>#REF!</v>
      </c>
      <c r="AS25" s="96" t="e">
        <f t="shared" si="390"/>
        <v>#REF!</v>
      </c>
      <c r="AT25" s="96" t="e">
        <f t="shared" si="390"/>
        <v>#REF!</v>
      </c>
      <c r="AU25" s="96" t="e">
        <f t="shared" si="390"/>
        <v>#REF!</v>
      </c>
      <c r="AV25" s="96" t="e">
        <f t="shared" si="390"/>
        <v>#REF!</v>
      </c>
      <c r="AW25" s="96" t="e">
        <f t="shared" si="390"/>
        <v>#REF!</v>
      </c>
      <c r="AX25" s="96" t="e">
        <f t="shared" si="390"/>
        <v>#REF!</v>
      </c>
      <c r="AY25" s="96" t="e">
        <f>((24*7)-AY14)/(24*7)</f>
        <v>#REF!</v>
      </c>
      <c r="AZ25" s="96" t="e">
        <f t="shared" ref="AZ25:BF25" si="391">(24-AZ14)/24</f>
        <v>#REF!</v>
      </c>
      <c r="BA25" s="96" t="e">
        <f t="shared" si="391"/>
        <v>#REF!</v>
      </c>
      <c r="BB25" s="96" t="e">
        <f t="shared" si="391"/>
        <v>#REF!</v>
      </c>
      <c r="BC25" s="96" t="e">
        <f t="shared" si="391"/>
        <v>#REF!</v>
      </c>
      <c r="BD25" s="96" t="e">
        <f t="shared" si="391"/>
        <v>#REF!</v>
      </c>
      <c r="BE25" s="96" t="e">
        <f t="shared" si="391"/>
        <v>#REF!</v>
      </c>
      <c r="BF25" s="96" t="e">
        <f t="shared" si="391"/>
        <v>#REF!</v>
      </c>
      <c r="BG25" s="96" t="e">
        <f>((24*7)-BG14)/(24*7)</f>
        <v>#REF!</v>
      </c>
      <c r="BH25" s="96" t="e">
        <f t="shared" ref="BH25:BN25" si="392">(24-BH14)/24</f>
        <v>#REF!</v>
      </c>
      <c r="BI25" s="96" t="e">
        <f t="shared" si="392"/>
        <v>#REF!</v>
      </c>
      <c r="BJ25" s="96" t="e">
        <f t="shared" si="392"/>
        <v>#REF!</v>
      </c>
      <c r="BK25" s="96" t="e">
        <f t="shared" si="392"/>
        <v>#REF!</v>
      </c>
      <c r="BL25" s="96" t="e">
        <f t="shared" si="392"/>
        <v>#REF!</v>
      </c>
      <c r="BM25" s="96" t="e">
        <f t="shared" si="392"/>
        <v>#REF!</v>
      </c>
      <c r="BN25" s="96" t="e">
        <f t="shared" si="392"/>
        <v>#REF!</v>
      </c>
      <c r="BO25" s="96" t="e">
        <f>((24*7)-BO14)/(24*7)</f>
        <v>#REF!</v>
      </c>
      <c r="BP25" s="96" t="e">
        <f t="shared" ref="BP25:BV25" si="393">(24-BP14)/24</f>
        <v>#REF!</v>
      </c>
      <c r="BQ25" s="96" t="e">
        <f t="shared" si="393"/>
        <v>#REF!</v>
      </c>
      <c r="BR25" s="96" t="e">
        <f t="shared" si="393"/>
        <v>#REF!</v>
      </c>
      <c r="BS25" s="96" t="e">
        <f t="shared" si="393"/>
        <v>#REF!</v>
      </c>
      <c r="BT25" s="96" t="e">
        <f t="shared" si="393"/>
        <v>#REF!</v>
      </c>
      <c r="BU25" s="96" t="e">
        <f t="shared" si="393"/>
        <v>#REF!</v>
      </c>
      <c r="BV25" s="96" t="e">
        <f t="shared" si="393"/>
        <v>#REF!</v>
      </c>
      <c r="BW25" s="96" t="e">
        <f>((24*7)-BW14)/(24*7)</f>
        <v>#REF!</v>
      </c>
      <c r="BX25" s="96" t="e">
        <f t="shared" ref="BX25:CD25" si="394">(24-BX14)/24</f>
        <v>#REF!</v>
      </c>
      <c r="BY25" s="96" t="e">
        <f t="shared" si="394"/>
        <v>#REF!</v>
      </c>
      <c r="BZ25" s="96" t="e">
        <f t="shared" si="394"/>
        <v>#REF!</v>
      </c>
      <c r="CA25" s="96" t="e">
        <f t="shared" si="394"/>
        <v>#REF!</v>
      </c>
      <c r="CB25" s="96" t="e">
        <f t="shared" si="394"/>
        <v>#REF!</v>
      </c>
      <c r="CC25" s="96" t="e">
        <f t="shared" si="394"/>
        <v>#REF!</v>
      </c>
      <c r="CD25" s="96" t="e">
        <f t="shared" si="394"/>
        <v>#REF!</v>
      </c>
      <c r="CE25" s="96" t="e">
        <f>((24*7)-CE14)/(24*7)</f>
        <v>#REF!</v>
      </c>
      <c r="CF25" s="96" t="e">
        <f t="shared" ref="CF25:CL25" si="395">(24-CF14)/24</f>
        <v>#REF!</v>
      </c>
      <c r="CG25" s="96" t="e">
        <f t="shared" si="395"/>
        <v>#REF!</v>
      </c>
      <c r="CH25" s="96" t="e">
        <f t="shared" si="395"/>
        <v>#REF!</v>
      </c>
      <c r="CI25" s="96" t="e">
        <f t="shared" si="395"/>
        <v>#REF!</v>
      </c>
      <c r="CJ25" s="96" t="e">
        <f t="shared" si="395"/>
        <v>#REF!</v>
      </c>
      <c r="CK25" s="96" t="e">
        <f t="shared" si="395"/>
        <v>#REF!</v>
      </c>
      <c r="CL25" s="96" t="e">
        <f t="shared" si="395"/>
        <v>#REF!</v>
      </c>
      <c r="CM25" s="96" t="e">
        <f>((24*7)-CM14)/(24*7)</f>
        <v>#REF!</v>
      </c>
      <c r="CN25" s="96" t="e">
        <f t="shared" ref="CN25:CT25" si="396">(24-CN14)/24</f>
        <v>#REF!</v>
      </c>
      <c r="CO25" s="96" t="e">
        <f t="shared" si="396"/>
        <v>#REF!</v>
      </c>
      <c r="CP25" s="96" t="e">
        <f t="shared" si="396"/>
        <v>#REF!</v>
      </c>
      <c r="CQ25" s="96" t="e">
        <f t="shared" si="396"/>
        <v>#REF!</v>
      </c>
      <c r="CR25" s="96" t="e">
        <f t="shared" si="396"/>
        <v>#REF!</v>
      </c>
      <c r="CS25" s="96" t="e">
        <f t="shared" si="396"/>
        <v>#REF!</v>
      </c>
      <c r="CT25" s="96" t="e">
        <f t="shared" si="396"/>
        <v>#REF!</v>
      </c>
      <c r="CU25" s="96" t="e">
        <f>((24*7)-CU14)/(24*7)</f>
        <v>#REF!</v>
      </c>
      <c r="CV25" s="96" t="e">
        <f t="shared" ref="CV25:DB25" si="397">(24-CV14)/24</f>
        <v>#REF!</v>
      </c>
      <c r="CW25" s="96" t="e">
        <f t="shared" si="397"/>
        <v>#REF!</v>
      </c>
      <c r="CX25" s="96" t="e">
        <f t="shared" si="397"/>
        <v>#REF!</v>
      </c>
      <c r="CY25" s="96" t="e">
        <f t="shared" si="397"/>
        <v>#REF!</v>
      </c>
      <c r="CZ25" s="96" t="e">
        <f t="shared" si="397"/>
        <v>#REF!</v>
      </c>
      <c r="DA25" s="96" t="e">
        <f t="shared" si="397"/>
        <v>#REF!</v>
      </c>
      <c r="DB25" s="96" t="e">
        <f t="shared" si="397"/>
        <v>#REF!</v>
      </c>
      <c r="DC25" s="96" t="e">
        <f>((24*7)-DC14)/(24*7)</f>
        <v>#REF!</v>
      </c>
      <c r="DD25" s="96" t="e">
        <f t="shared" ref="DD25:DJ25" si="398">(24-DD14)/24</f>
        <v>#REF!</v>
      </c>
      <c r="DE25" s="96" t="e">
        <f t="shared" si="398"/>
        <v>#REF!</v>
      </c>
      <c r="DF25" s="96" t="e">
        <f t="shared" si="398"/>
        <v>#REF!</v>
      </c>
      <c r="DG25" s="96" t="e">
        <f t="shared" si="398"/>
        <v>#REF!</v>
      </c>
      <c r="DH25" s="96" t="e">
        <f t="shared" si="398"/>
        <v>#REF!</v>
      </c>
      <c r="DI25" s="96" t="e">
        <f t="shared" si="398"/>
        <v>#REF!</v>
      </c>
      <c r="DJ25" s="96" t="e">
        <f t="shared" si="398"/>
        <v>#REF!</v>
      </c>
      <c r="DK25" s="96" t="e">
        <f>((24*7)-DK14)/(24*7)</f>
        <v>#REF!</v>
      </c>
      <c r="DL25" s="96" t="e">
        <f t="shared" ref="DL25:DR25" si="399">(24-DL14)/24</f>
        <v>#REF!</v>
      </c>
      <c r="DM25" s="96" t="e">
        <f t="shared" si="399"/>
        <v>#REF!</v>
      </c>
      <c r="DN25" s="96" t="e">
        <f t="shared" si="399"/>
        <v>#REF!</v>
      </c>
      <c r="DO25" s="96" t="e">
        <f t="shared" si="399"/>
        <v>#REF!</v>
      </c>
      <c r="DP25" s="96" t="e">
        <f t="shared" si="399"/>
        <v>#REF!</v>
      </c>
      <c r="DQ25" s="96" t="e">
        <f t="shared" si="399"/>
        <v>#REF!</v>
      </c>
      <c r="DR25" s="96" t="e">
        <f t="shared" si="399"/>
        <v>#REF!</v>
      </c>
      <c r="DS25" s="96" t="e">
        <f>((24*7)-DS14)/(24*7)</f>
        <v>#REF!</v>
      </c>
      <c r="DT25" s="96" t="e">
        <f t="shared" ref="DT25:DZ25" si="400">(24-DT14)/24</f>
        <v>#REF!</v>
      </c>
      <c r="DU25" s="96" t="e">
        <f t="shared" si="400"/>
        <v>#REF!</v>
      </c>
      <c r="DV25" s="96" t="e">
        <f t="shared" si="400"/>
        <v>#REF!</v>
      </c>
      <c r="DW25" s="96" t="e">
        <f t="shared" si="400"/>
        <v>#REF!</v>
      </c>
      <c r="DX25" s="96" t="e">
        <f t="shared" si="400"/>
        <v>#REF!</v>
      </c>
      <c r="DY25" s="96" t="e">
        <f t="shared" si="400"/>
        <v>#REF!</v>
      </c>
      <c r="DZ25" s="96" t="e">
        <f t="shared" si="400"/>
        <v>#REF!</v>
      </c>
      <c r="EA25" s="96" t="e">
        <f>((24*7)-EA14)/(24*7)</f>
        <v>#REF!</v>
      </c>
      <c r="EB25" s="96" t="e">
        <f t="shared" ref="EB25:EH25" si="401">(24-EB14)/24</f>
        <v>#REF!</v>
      </c>
      <c r="EC25" s="96" t="e">
        <f t="shared" si="401"/>
        <v>#REF!</v>
      </c>
      <c r="ED25" s="96" t="e">
        <f t="shared" si="401"/>
        <v>#REF!</v>
      </c>
      <c r="EE25" s="96" t="e">
        <f t="shared" si="401"/>
        <v>#REF!</v>
      </c>
      <c r="EF25" s="96" t="e">
        <f t="shared" si="401"/>
        <v>#REF!</v>
      </c>
      <c r="EG25" s="96" t="e">
        <f t="shared" si="401"/>
        <v>#REF!</v>
      </c>
      <c r="EH25" s="96" t="e">
        <f t="shared" si="401"/>
        <v>#REF!</v>
      </c>
      <c r="EI25" s="96" t="e">
        <f>((24*7)-EI14)/(24*7)</f>
        <v>#REF!</v>
      </c>
      <c r="EJ25" s="96" t="e">
        <f t="shared" ref="EJ25:EP25" si="402">(24-EJ14)/24</f>
        <v>#REF!</v>
      </c>
      <c r="EK25" s="96" t="e">
        <f t="shared" si="402"/>
        <v>#REF!</v>
      </c>
      <c r="EL25" s="96" t="e">
        <f t="shared" si="402"/>
        <v>#REF!</v>
      </c>
      <c r="EM25" s="96" t="e">
        <f t="shared" si="402"/>
        <v>#REF!</v>
      </c>
      <c r="EN25" s="96" t="e">
        <f t="shared" si="402"/>
        <v>#REF!</v>
      </c>
      <c r="EO25" s="96" t="e">
        <f t="shared" si="402"/>
        <v>#REF!</v>
      </c>
      <c r="EP25" s="96" t="e">
        <f t="shared" si="402"/>
        <v>#REF!</v>
      </c>
      <c r="EQ25" s="96" t="e">
        <f>((24*7)-EQ14)/(24*7)</f>
        <v>#REF!</v>
      </c>
      <c r="ER25" s="96" t="e">
        <f t="shared" ref="ER25:EX25" si="403">(24-ER14)/24</f>
        <v>#REF!</v>
      </c>
      <c r="ES25" s="96" t="e">
        <f t="shared" si="403"/>
        <v>#REF!</v>
      </c>
      <c r="ET25" s="96" t="e">
        <f t="shared" si="403"/>
        <v>#REF!</v>
      </c>
      <c r="EU25" s="96" t="e">
        <f t="shared" si="403"/>
        <v>#REF!</v>
      </c>
      <c r="EV25" s="96" t="e">
        <f t="shared" si="403"/>
        <v>#REF!</v>
      </c>
      <c r="EW25" s="96" t="e">
        <f t="shared" si="403"/>
        <v>#REF!</v>
      </c>
      <c r="EX25" s="96" t="e">
        <f t="shared" si="403"/>
        <v>#REF!</v>
      </c>
      <c r="EY25" s="96" t="e">
        <f>((24*7)-EY14)/(24*7)</f>
        <v>#REF!</v>
      </c>
      <c r="EZ25" s="96" t="e">
        <f t="shared" ref="EZ25:FF25" si="404">(24-EZ14)/24</f>
        <v>#REF!</v>
      </c>
      <c r="FA25" s="96" t="e">
        <f t="shared" si="404"/>
        <v>#REF!</v>
      </c>
      <c r="FB25" s="96" t="e">
        <f t="shared" si="404"/>
        <v>#REF!</v>
      </c>
      <c r="FC25" s="96" t="e">
        <f t="shared" si="404"/>
        <v>#REF!</v>
      </c>
      <c r="FD25" s="96" t="e">
        <f t="shared" si="404"/>
        <v>#REF!</v>
      </c>
      <c r="FE25" s="96" t="e">
        <f t="shared" si="404"/>
        <v>#REF!</v>
      </c>
      <c r="FF25" s="96" t="e">
        <f t="shared" si="404"/>
        <v>#REF!</v>
      </c>
      <c r="FG25" s="96" t="e">
        <f>((24*7)-FG14)/(24*7)</f>
        <v>#REF!</v>
      </c>
      <c r="FH25" s="96" t="e">
        <f t="shared" ref="FH25:FN25" si="405">(24-FH14)/24</f>
        <v>#REF!</v>
      </c>
      <c r="FI25" s="96" t="e">
        <f t="shared" si="405"/>
        <v>#REF!</v>
      </c>
      <c r="FJ25" s="96" t="e">
        <f t="shared" si="405"/>
        <v>#REF!</v>
      </c>
      <c r="FK25" s="96" t="e">
        <f t="shared" si="405"/>
        <v>#REF!</v>
      </c>
      <c r="FL25" s="96" t="e">
        <f t="shared" si="405"/>
        <v>#REF!</v>
      </c>
      <c r="FM25" s="96" t="e">
        <f t="shared" si="405"/>
        <v>#REF!</v>
      </c>
      <c r="FN25" s="96" t="e">
        <f t="shared" si="405"/>
        <v>#REF!</v>
      </c>
      <c r="FO25" s="96" t="e">
        <f>((24*7)-FO14)/(24*7)</f>
        <v>#REF!</v>
      </c>
      <c r="FP25" s="96" t="e">
        <f t="shared" ref="FP25:FV25" si="406">(24-FP14)/24</f>
        <v>#REF!</v>
      </c>
      <c r="FQ25" s="96" t="e">
        <f t="shared" si="406"/>
        <v>#REF!</v>
      </c>
      <c r="FR25" s="96" t="e">
        <f t="shared" si="406"/>
        <v>#REF!</v>
      </c>
      <c r="FS25" s="96" t="e">
        <f t="shared" si="406"/>
        <v>#REF!</v>
      </c>
      <c r="FT25" s="96" t="e">
        <f t="shared" si="406"/>
        <v>#REF!</v>
      </c>
      <c r="FU25" s="96" t="e">
        <f t="shared" si="406"/>
        <v>#REF!</v>
      </c>
      <c r="FV25" s="96" t="e">
        <f t="shared" si="406"/>
        <v>#REF!</v>
      </c>
      <c r="FW25" s="96" t="e">
        <f>((24*7)-FW14)/(24*7)</f>
        <v>#REF!</v>
      </c>
      <c r="FX25" s="96" t="e">
        <f t="shared" ref="FX25:GD25" si="407">(24-FX14)/24</f>
        <v>#REF!</v>
      </c>
      <c r="FY25" s="96" t="e">
        <f t="shared" si="407"/>
        <v>#REF!</v>
      </c>
      <c r="FZ25" s="96" t="e">
        <f t="shared" si="407"/>
        <v>#REF!</v>
      </c>
      <c r="GA25" s="96" t="e">
        <f t="shared" si="407"/>
        <v>#REF!</v>
      </c>
      <c r="GB25" s="96" t="e">
        <f t="shared" si="407"/>
        <v>#REF!</v>
      </c>
      <c r="GC25" s="96" t="e">
        <f t="shared" si="407"/>
        <v>#REF!</v>
      </c>
      <c r="GD25" s="96" t="e">
        <f t="shared" si="407"/>
        <v>#REF!</v>
      </c>
      <c r="GE25" s="96" t="e">
        <f>((24*7)-GE14)/(24*7)</f>
        <v>#REF!</v>
      </c>
      <c r="GF25" s="96" t="e">
        <f t="shared" ref="GF25:GL25" si="408">(24-GF14)/24</f>
        <v>#REF!</v>
      </c>
      <c r="GG25" s="96" t="e">
        <f t="shared" si="408"/>
        <v>#REF!</v>
      </c>
      <c r="GH25" s="96" t="e">
        <f t="shared" si="408"/>
        <v>#REF!</v>
      </c>
      <c r="GI25" s="96" t="e">
        <f t="shared" si="408"/>
        <v>#REF!</v>
      </c>
      <c r="GJ25" s="96" t="e">
        <f t="shared" si="408"/>
        <v>#REF!</v>
      </c>
      <c r="GK25" s="96" t="e">
        <f t="shared" si="408"/>
        <v>#REF!</v>
      </c>
      <c r="GL25" s="96" t="e">
        <f t="shared" si="408"/>
        <v>#REF!</v>
      </c>
      <c r="GM25" s="96" t="e">
        <f>((24*7)-GM14)/(24*7)</f>
        <v>#REF!</v>
      </c>
      <c r="GN25" s="96" t="e">
        <f t="shared" ref="GN25:GT25" si="409">(24-GN14)/24</f>
        <v>#REF!</v>
      </c>
      <c r="GO25" s="96" t="e">
        <f t="shared" si="409"/>
        <v>#REF!</v>
      </c>
      <c r="GP25" s="96" t="e">
        <f t="shared" si="409"/>
        <v>#REF!</v>
      </c>
      <c r="GQ25" s="96" t="e">
        <f t="shared" si="409"/>
        <v>#REF!</v>
      </c>
      <c r="GR25" s="96" t="e">
        <f t="shared" si="409"/>
        <v>#REF!</v>
      </c>
      <c r="GS25" s="96" t="e">
        <f t="shared" si="409"/>
        <v>#REF!</v>
      </c>
      <c r="GT25" s="96" t="e">
        <f t="shared" si="409"/>
        <v>#REF!</v>
      </c>
      <c r="GU25" s="96" t="e">
        <f>((24*7)-GU14)/(24*7)</f>
        <v>#REF!</v>
      </c>
      <c r="GV25" s="96" t="e">
        <f t="shared" ref="GV25:HB25" si="410">(24-GV14)/24</f>
        <v>#REF!</v>
      </c>
      <c r="GW25" s="96" t="e">
        <f t="shared" si="410"/>
        <v>#REF!</v>
      </c>
      <c r="GX25" s="96" t="e">
        <f t="shared" si="410"/>
        <v>#REF!</v>
      </c>
      <c r="GY25" s="96" t="e">
        <f t="shared" si="410"/>
        <v>#REF!</v>
      </c>
      <c r="GZ25" s="96" t="e">
        <f t="shared" si="410"/>
        <v>#REF!</v>
      </c>
      <c r="HA25" s="96" t="e">
        <f t="shared" si="410"/>
        <v>#REF!</v>
      </c>
      <c r="HB25" s="96" t="e">
        <f t="shared" si="410"/>
        <v>#REF!</v>
      </c>
      <c r="HC25" s="96" t="e">
        <f>((24*7)-HC14)/(24*7)</f>
        <v>#REF!</v>
      </c>
      <c r="HD25" s="96" t="e">
        <f t="shared" ref="HD25:HJ25" si="411">(24-HD14)/24</f>
        <v>#REF!</v>
      </c>
      <c r="HE25" s="96" t="e">
        <f t="shared" si="411"/>
        <v>#REF!</v>
      </c>
      <c r="HF25" s="96" t="e">
        <f t="shared" si="411"/>
        <v>#REF!</v>
      </c>
      <c r="HG25" s="96" t="e">
        <f t="shared" si="411"/>
        <v>#REF!</v>
      </c>
      <c r="HH25" s="96" t="e">
        <f t="shared" si="411"/>
        <v>#REF!</v>
      </c>
      <c r="HI25" s="96" t="e">
        <f t="shared" si="411"/>
        <v>#REF!</v>
      </c>
      <c r="HJ25" s="96" t="e">
        <f t="shared" si="411"/>
        <v>#REF!</v>
      </c>
      <c r="HK25" s="96" t="e">
        <f>((24*7)-HK14)/(24*7)</f>
        <v>#REF!</v>
      </c>
      <c r="HL25" s="96" t="e">
        <f t="shared" ref="HL25:HR25" si="412">(24-HL14)/24</f>
        <v>#REF!</v>
      </c>
      <c r="HM25" s="96" t="e">
        <f t="shared" si="412"/>
        <v>#REF!</v>
      </c>
      <c r="HN25" s="96" t="e">
        <f t="shared" si="412"/>
        <v>#REF!</v>
      </c>
      <c r="HO25" s="96" t="e">
        <f t="shared" si="412"/>
        <v>#REF!</v>
      </c>
      <c r="HP25" s="96" t="e">
        <f t="shared" si="412"/>
        <v>#REF!</v>
      </c>
      <c r="HQ25" s="96" t="e">
        <f t="shared" si="412"/>
        <v>#REF!</v>
      </c>
      <c r="HR25" s="96" t="e">
        <f t="shared" si="412"/>
        <v>#REF!</v>
      </c>
      <c r="HS25" s="96" t="e">
        <f>((24*7)-HS14)/(24*7)</f>
        <v>#REF!</v>
      </c>
      <c r="HT25" s="96" t="e">
        <f t="shared" ref="HT25:HZ25" si="413">(24-HT14)/24</f>
        <v>#REF!</v>
      </c>
      <c r="HU25" s="96" t="e">
        <f t="shared" si="413"/>
        <v>#REF!</v>
      </c>
      <c r="HV25" s="96" t="e">
        <f t="shared" si="413"/>
        <v>#REF!</v>
      </c>
      <c r="HW25" s="96" t="e">
        <f t="shared" si="413"/>
        <v>#REF!</v>
      </c>
      <c r="HX25" s="96" t="e">
        <f t="shared" si="413"/>
        <v>#REF!</v>
      </c>
      <c r="HY25" s="96" t="e">
        <f t="shared" si="413"/>
        <v>#REF!</v>
      </c>
      <c r="HZ25" s="96" t="e">
        <f t="shared" si="413"/>
        <v>#REF!</v>
      </c>
      <c r="IA25" s="96" t="e">
        <f>((24*7)-IA14)/(24*7)</f>
        <v>#REF!</v>
      </c>
      <c r="IB25" s="96" t="e">
        <f t="shared" ref="IB25:IH25" si="414">(24-IB14)/24</f>
        <v>#REF!</v>
      </c>
      <c r="IC25" s="96" t="e">
        <f t="shared" si="414"/>
        <v>#REF!</v>
      </c>
      <c r="ID25" s="96" t="e">
        <f t="shared" si="414"/>
        <v>#REF!</v>
      </c>
      <c r="IE25" s="96" t="e">
        <f t="shared" si="414"/>
        <v>#REF!</v>
      </c>
      <c r="IF25" s="96" t="e">
        <f t="shared" si="414"/>
        <v>#REF!</v>
      </c>
      <c r="IG25" s="96" t="e">
        <f t="shared" si="414"/>
        <v>#REF!</v>
      </c>
      <c r="IH25" s="96" t="e">
        <f t="shared" si="414"/>
        <v>#REF!</v>
      </c>
      <c r="II25" s="96" t="e">
        <f>((24*7)-II14)/(24*7)</f>
        <v>#REF!</v>
      </c>
      <c r="IJ25" s="96" t="e">
        <f t="shared" ref="IJ25:IP25" si="415">(24-IJ14)/24</f>
        <v>#REF!</v>
      </c>
      <c r="IK25" s="96" t="e">
        <f t="shared" si="415"/>
        <v>#REF!</v>
      </c>
      <c r="IL25" s="96" t="e">
        <f t="shared" si="415"/>
        <v>#REF!</v>
      </c>
      <c r="IM25" s="96" t="e">
        <f t="shared" si="415"/>
        <v>#REF!</v>
      </c>
      <c r="IN25" s="96" t="e">
        <f t="shared" si="415"/>
        <v>#REF!</v>
      </c>
      <c r="IO25" s="96" t="e">
        <f t="shared" si="415"/>
        <v>#REF!</v>
      </c>
      <c r="IP25" s="96" t="e">
        <f t="shared" si="415"/>
        <v>#REF!</v>
      </c>
      <c r="IQ25" s="96" t="e">
        <f>((24*7)-IQ14)/(24*7)</f>
        <v>#REF!</v>
      </c>
      <c r="IR25" s="96" t="e">
        <f t="shared" ref="IR25:IX25" si="416">(24-IR14)/24</f>
        <v>#REF!</v>
      </c>
      <c r="IS25" s="96" t="e">
        <f t="shared" si="416"/>
        <v>#REF!</v>
      </c>
      <c r="IT25" s="96" t="e">
        <f t="shared" si="416"/>
        <v>#REF!</v>
      </c>
      <c r="IU25" s="96" t="e">
        <f t="shared" si="416"/>
        <v>#REF!</v>
      </c>
      <c r="IV25" s="96" t="e">
        <f t="shared" si="416"/>
        <v>#REF!</v>
      </c>
      <c r="IW25" s="96" t="e">
        <f t="shared" si="416"/>
        <v>#REF!</v>
      </c>
      <c r="IX25" s="96" t="e">
        <f t="shared" si="416"/>
        <v>#REF!</v>
      </c>
      <c r="IY25" s="96" t="e">
        <f>((24*7)-IY14)/(24*7)</f>
        <v>#REF!</v>
      </c>
      <c r="IZ25" s="96" t="e">
        <f t="shared" ref="IZ25:JF25" si="417">(24-IZ14)/24</f>
        <v>#REF!</v>
      </c>
      <c r="JA25" s="96" t="e">
        <f t="shared" si="417"/>
        <v>#REF!</v>
      </c>
      <c r="JB25" s="96" t="e">
        <f t="shared" si="417"/>
        <v>#REF!</v>
      </c>
      <c r="JC25" s="96" t="e">
        <f t="shared" si="417"/>
        <v>#REF!</v>
      </c>
      <c r="JD25" s="96" t="e">
        <f t="shared" si="417"/>
        <v>#REF!</v>
      </c>
      <c r="JE25" s="96" t="e">
        <f t="shared" si="417"/>
        <v>#REF!</v>
      </c>
      <c r="JF25" s="96" t="e">
        <f t="shared" si="417"/>
        <v>#REF!</v>
      </c>
      <c r="JG25" s="96" t="e">
        <f>((24*7)-JG14)/(24*7)</f>
        <v>#REF!</v>
      </c>
      <c r="JH25" s="96" t="e">
        <f t="shared" ref="JH25:JN25" si="418">(24-JH14)/24</f>
        <v>#REF!</v>
      </c>
      <c r="JI25" s="96" t="e">
        <f t="shared" si="418"/>
        <v>#REF!</v>
      </c>
      <c r="JJ25" s="96" t="e">
        <f t="shared" si="418"/>
        <v>#REF!</v>
      </c>
      <c r="JK25" s="96" t="e">
        <f t="shared" si="418"/>
        <v>#REF!</v>
      </c>
      <c r="JL25" s="96" t="e">
        <f t="shared" si="418"/>
        <v>#REF!</v>
      </c>
      <c r="JM25" s="96" t="e">
        <f t="shared" si="418"/>
        <v>#REF!</v>
      </c>
      <c r="JN25" s="96" t="e">
        <f t="shared" si="418"/>
        <v>#REF!</v>
      </c>
      <c r="JO25" s="96" t="e">
        <f>((24*7)-JO14)/(24*7)</f>
        <v>#REF!</v>
      </c>
      <c r="JP25" s="96" t="e">
        <f t="shared" ref="JP25:JV25" si="419">(24-JP14)/24</f>
        <v>#REF!</v>
      </c>
      <c r="JQ25" s="96" t="e">
        <f t="shared" si="419"/>
        <v>#REF!</v>
      </c>
      <c r="JR25" s="96" t="e">
        <f t="shared" si="419"/>
        <v>#REF!</v>
      </c>
      <c r="JS25" s="96" t="e">
        <f t="shared" si="419"/>
        <v>#REF!</v>
      </c>
      <c r="JT25" s="96" t="e">
        <f t="shared" si="419"/>
        <v>#REF!</v>
      </c>
      <c r="JU25" s="96" t="e">
        <f t="shared" si="419"/>
        <v>#REF!</v>
      </c>
      <c r="JV25" s="96" t="e">
        <f t="shared" si="419"/>
        <v>#REF!</v>
      </c>
      <c r="JW25" s="96" t="e">
        <f>((24*7)-JW14)/(24*7)</f>
        <v>#REF!</v>
      </c>
      <c r="JX25" s="96" t="e">
        <f t="shared" ref="JX25:KD25" si="420">(24-JX14)/24</f>
        <v>#REF!</v>
      </c>
      <c r="JY25" s="96" t="e">
        <f t="shared" si="420"/>
        <v>#REF!</v>
      </c>
      <c r="JZ25" s="96" t="e">
        <f t="shared" si="420"/>
        <v>#REF!</v>
      </c>
      <c r="KA25" s="96" t="e">
        <f t="shared" si="420"/>
        <v>#REF!</v>
      </c>
      <c r="KB25" s="96" t="e">
        <f t="shared" si="420"/>
        <v>#REF!</v>
      </c>
      <c r="KC25" s="96" t="e">
        <f t="shared" si="420"/>
        <v>#REF!</v>
      </c>
      <c r="KD25" s="96" t="e">
        <f t="shared" si="420"/>
        <v>#REF!</v>
      </c>
      <c r="KE25" s="96" t="e">
        <f>((24*7)-KE14)/(24*7)</f>
        <v>#REF!</v>
      </c>
      <c r="KF25" s="96" t="e">
        <f t="shared" ref="KF25:KL25" si="421">(24-KF14)/24</f>
        <v>#REF!</v>
      </c>
      <c r="KG25" s="96" t="e">
        <f t="shared" si="421"/>
        <v>#REF!</v>
      </c>
      <c r="KH25" s="96" t="e">
        <f t="shared" si="421"/>
        <v>#REF!</v>
      </c>
      <c r="KI25" s="96" t="e">
        <f t="shared" si="421"/>
        <v>#REF!</v>
      </c>
      <c r="KJ25" s="96" t="e">
        <f t="shared" si="421"/>
        <v>#REF!</v>
      </c>
      <c r="KK25" s="96" t="e">
        <f t="shared" si="421"/>
        <v>#REF!</v>
      </c>
      <c r="KL25" s="96" t="e">
        <f t="shared" si="421"/>
        <v>#REF!</v>
      </c>
      <c r="KM25" s="96" t="e">
        <f>((24*7)-KM14)/(24*7)</f>
        <v>#REF!</v>
      </c>
      <c r="KN25" s="96" t="e">
        <f t="shared" ref="KN25:KT25" si="422">(24-KN14)/24</f>
        <v>#REF!</v>
      </c>
      <c r="KO25" s="96" t="e">
        <f t="shared" si="422"/>
        <v>#REF!</v>
      </c>
      <c r="KP25" s="96" t="e">
        <f t="shared" si="422"/>
        <v>#REF!</v>
      </c>
      <c r="KQ25" s="96" t="e">
        <f t="shared" si="422"/>
        <v>#REF!</v>
      </c>
      <c r="KR25" s="96" t="e">
        <f t="shared" si="422"/>
        <v>#REF!</v>
      </c>
      <c r="KS25" s="96" t="e">
        <f t="shared" si="422"/>
        <v>#REF!</v>
      </c>
      <c r="KT25" s="96" t="e">
        <f t="shared" si="422"/>
        <v>#REF!</v>
      </c>
      <c r="KU25" s="96" t="e">
        <f>((24*7)-KU14)/(24*7)</f>
        <v>#REF!</v>
      </c>
      <c r="KV25" s="96" t="e">
        <f t="shared" ref="KV25:LB25" si="423">(24-KV14)/24</f>
        <v>#REF!</v>
      </c>
      <c r="KW25" s="96" t="e">
        <f t="shared" si="423"/>
        <v>#REF!</v>
      </c>
      <c r="KX25" s="96" t="e">
        <f t="shared" si="423"/>
        <v>#REF!</v>
      </c>
      <c r="KY25" s="96" t="e">
        <f t="shared" si="423"/>
        <v>#REF!</v>
      </c>
      <c r="KZ25" s="96" t="e">
        <f t="shared" si="423"/>
        <v>#REF!</v>
      </c>
      <c r="LA25" s="96" t="e">
        <f t="shared" si="423"/>
        <v>#REF!</v>
      </c>
      <c r="LB25" s="96" t="e">
        <f t="shared" si="423"/>
        <v>#REF!</v>
      </c>
      <c r="LC25" s="96" t="e">
        <f>((24*7)-LC14)/(24*7)</f>
        <v>#REF!</v>
      </c>
      <c r="LD25" s="96" t="e">
        <f t="shared" ref="LD25:LJ25" si="424">(24-LD14)/24</f>
        <v>#REF!</v>
      </c>
      <c r="LE25" s="96" t="e">
        <f t="shared" si="424"/>
        <v>#REF!</v>
      </c>
      <c r="LF25" s="96" t="e">
        <f t="shared" si="424"/>
        <v>#REF!</v>
      </c>
      <c r="LG25" s="96" t="e">
        <f t="shared" si="424"/>
        <v>#REF!</v>
      </c>
      <c r="LH25" s="96" t="e">
        <f t="shared" si="424"/>
        <v>#REF!</v>
      </c>
      <c r="LI25" s="96" t="e">
        <f t="shared" si="424"/>
        <v>#REF!</v>
      </c>
      <c r="LJ25" s="96" t="e">
        <f t="shared" si="424"/>
        <v>#REF!</v>
      </c>
      <c r="LK25" s="96" t="e">
        <f>((24*7)-LK14)/(24*7)</f>
        <v>#REF!</v>
      </c>
      <c r="LL25" s="96" t="e">
        <f t="shared" ref="LL25:LR25" si="425">(24-LL14)/24</f>
        <v>#REF!</v>
      </c>
      <c r="LM25" s="96" t="e">
        <f t="shared" si="425"/>
        <v>#REF!</v>
      </c>
      <c r="LN25" s="96" t="e">
        <f t="shared" si="425"/>
        <v>#REF!</v>
      </c>
      <c r="LO25" s="96" t="e">
        <f t="shared" si="425"/>
        <v>#REF!</v>
      </c>
      <c r="LP25" s="96" t="e">
        <f t="shared" si="425"/>
        <v>#REF!</v>
      </c>
      <c r="LQ25" s="96" t="e">
        <f t="shared" si="425"/>
        <v>#REF!</v>
      </c>
      <c r="LR25" s="96" t="e">
        <f t="shared" si="425"/>
        <v>#REF!</v>
      </c>
      <c r="LS25" s="96" t="e">
        <f>((24*7)-LS14)/(24*7)</f>
        <v>#REF!</v>
      </c>
      <c r="LT25" s="96" t="e">
        <f t="shared" ref="LT25:LZ25" si="426">(24-LT14)/24</f>
        <v>#REF!</v>
      </c>
      <c r="LU25" s="96" t="e">
        <f t="shared" si="426"/>
        <v>#REF!</v>
      </c>
      <c r="LV25" s="96" t="e">
        <f t="shared" si="426"/>
        <v>#REF!</v>
      </c>
      <c r="LW25" s="96" t="e">
        <f t="shared" si="426"/>
        <v>#REF!</v>
      </c>
      <c r="LX25" s="96" t="e">
        <f t="shared" si="426"/>
        <v>#REF!</v>
      </c>
      <c r="LY25" s="96" t="e">
        <f t="shared" si="426"/>
        <v>#REF!</v>
      </c>
      <c r="LZ25" s="96" t="e">
        <f t="shared" si="426"/>
        <v>#REF!</v>
      </c>
      <c r="MA25" s="96" t="e">
        <f>((24*7)-MA14)/(24*7)</f>
        <v>#REF!</v>
      </c>
      <c r="MB25" s="96" t="e">
        <f t="shared" ref="MB25:MH25" si="427">(24-MB14)/24</f>
        <v>#REF!</v>
      </c>
      <c r="MC25" s="96" t="e">
        <f t="shared" si="427"/>
        <v>#REF!</v>
      </c>
      <c r="MD25" s="96" t="e">
        <f t="shared" si="427"/>
        <v>#REF!</v>
      </c>
      <c r="ME25" s="96" t="e">
        <f t="shared" si="427"/>
        <v>#REF!</v>
      </c>
      <c r="MF25" s="96" t="e">
        <f t="shared" si="427"/>
        <v>#REF!</v>
      </c>
      <c r="MG25" s="96" t="e">
        <f t="shared" si="427"/>
        <v>#REF!</v>
      </c>
      <c r="MH25" s="96" t="e">
        <f t="shared" si="427"/>
        <v>#REF!</v>
      </c>
      <c r="MI25" s="96" t="e">
        <f>((24*7)-MI14)/(24*7)</f>
        <v>#REF!</v>
      </c>
      <c r="MJ25" s="96" t="e">
        <f t="shared" ref="MJ25:MP25" si="428">(24-MJ14)/24</f>
        <v>#REF!</v>
      </c>
      <c r="MK25" s="96" t="e">
        <f t="shared" si="428"/>
        <v>#REF!</v>
      </c>
      <c r="ML25" s="96" t="e">
        <f t="shared" si="428"/>
        <v>#REF!</v>
      </c>
      <c r="MM25" s="96" t="e">
        <f t="shared" si="428"/>
        <v>#REF!</v>
      </c>
      <c r="MN25" s="96" t="e">
        <f t="shared" si="428"/>
        <v>#REF!</v>
      </c>
      <c r="MO25" s="96" t="e">
        <f t="shared" si="428"/>
        <v>#REF!</v>
      </c>
      <c r="MP25" s="96" t="e">
        <f t="shared" si="428"/>
        <v>#REF!</v>
      </c>
      <c r="MQ25" s="96" t="e">
        <f>((24*7)-MQ14)/(24*7)</f>
        <v>#REF!</v>
      </c>
      <c r="MR25" s="96" t="e">
        <f t="shared" ref="MR25:MX25" si="429">(24-MR14)/24</f>
        <v>#REF!</v>
      </c>
      <c r="MS25" s="96" t="e">
        <f t="shared" si="429"/>
        <v>#REF!</v>
      </c>
      <c r="MT25" s="96" t="e">
        <f t="shared" si="429"/>
        <v>#REF!</v>
      </c>
      <c r="MU25" s="96" t="e">
        <f t="shared" si="429"/>
        <v>#REF!</v>
      </c>
      <c r="MV25" s="96" t="e">
        <f t="shared" si="429"/>
        <v>#REF!</v>
      </c>
      <c r="MW25" s="96" t="e">
        <f t="shared" si="429"/>
        <v>#REF!</v>
      </c>
      <c r="MX25" s="96" t="e">
        <f t="shared" si="429"/>
        <v>#REF!</v>
      </c>
      <c r="MY25" s="96" t="e">
        <f>((24*7)-MY14)/(24*7)</f>
        <v>#REF!</v>
      </c>
      <c r="MZ25" s="96" t="e">
        <f t="shared" ref="MZ25:NF25" si="430">(24-MZ14)/24</f>
        <v>#REF!</v>
      </c>
      <c r="NA25" s="96" t="e">
        <f t="shared" si="430"/>
        <v>#REF!</v>
      </c>
      <c r="NB25" s="96" t="e">
        <f t="shared" si="430"/>
        <v>#REF!</v>
      </c>
      <c r="NC25" s="96" t="e">
        <f t="shared" si="430"/>
        <v>#REF!</v>
      </c>
      <c r="ND25" s="96" t="e">
        <f t="shared" si="430"/>
        <v>#REF!</v>
      </c>
      <c r="NE25" s="96" t="e">
        <f t="shared" si="430"/>
        <v>#REF!</v>
      </c>
      <c r="NF25" s="96" t="e">
        <f t="shared" si="430"/>
        <v>#REF!</v>
      </c>
      <c r="NG25" s="96" t="e">
        <f>((24*7)-NG14)/(24*7)</f>
        <v>#REF!</v>
      </c>
      <c r="NH25" s="96" t="e">
        <f t="shared" ref="NH25:NN25" si="431">(24-NH14)/24</f>
        <v>#REF!</v>
      </c>
      <c r="NI25" s="96" t="e">
        <f t="shared" si="431"/>
        <v>#REF!</v>
      </c>
      <c r="NJ25" s="96" t="e">
        <f t="shared" si="431"/>
        <v>#REF!</v>
      </c>
      <c r="NK25" s="96" t="e">
        <f t="shared" si="431"/>
        <v>#REF!</v>
      </c>
      <c r="NL25" s="96" t="e">
        <f t="shared" si="431"/>
        <v>#REF!</v>
      </c>
      <c r="NM25" s="96" t="e">
        <f t="shared" si="431"/>
        <v>#REF!</v>
      </c>
      <c r="NN25" s="96" t="e">
        <f t="shared" si="431"/>
        <v>#REF!</v>
      </c>
      <c r="NO25" s="96" t="e">
        <f>((24*7)-NO14)/(24*7)</f>
        <v>#REF!</v>
      </c>
      <c r="NP25" s="96" t="e">
        <f t="shared" ref="NP25:NV25" si="432">(24-NP14)/24</f>
        <v>#REF!</v>
      </c>
      <c r="NQ25" s="96" t="e">
        <f t="shared" si="432"/>
        <v>#REF!</v>
      </c>
      <c r="NR25" s="96" t="e">
        <f t="shared" si="432"/>
        <v>#REF!</v>
      </c>
      <c r="NS25" s="96" t="e">
        <f t="shared" si="432"/>
        <v>#REF!</v>
      </c>
      <c r="NT25" s="96" t="e">
        <f t="shared" si="432"/>
        <v>#REF!</v>
      </c>
      <c r="NU25" s="96" t="e">
        <f t="shared" si="432"/>
        <v>#REF!</v>
      </c>
      <c r="NV25" s="96" t="e">
        <f t="shared" si="432"/>
        <v>#REF!</v>
      </c>
      <c r="NW25" s="96" t="e">
        <f>((24*7)-NW14)/(24*7)</f>
        <v>#REF!</v>
      </c>
    </row>
    <row r="26" spans="1:387" x14ac:dyDescent="0.25">
      <c r="C26" s="99" t="s">
        <v>433</v>
      </c>
      <c r="D26" s="96" t="e">
        <f>D5/(24-D14)</f>
        <v>#VALUE!</v>
      </c>
      <c r="E26" s="96" t="e">
        <f t="shared" ref="E26:J26" si="433">E5/(24-E14)</f>
        <v>#VALUE!</v>
      </c>
      <c r="F26" s="96" t="e">
        <f t="shared" si="433"/>
        <v>#VALUE!</v>
      </c>
      <c r="G26" s="96" t="e">
        <f t="shared" si="433"/>
        <v>#VALUE!</v>
      </c>
      <c r="H26" s="96" t="e">
        <f t="shared" si="433"/>
        <v>#VALUE!</v>
      </c>
      <c r="I26" s="96" t="e">
        <f t="shared" si="433"/>
        <v>#VALUE!</v>
      </c>
      <c r="J26" s="96" t="e">
        <f t="shared" si="433"/>
        <v>#VALUE!</v>
      </c>
      <c r="K26" s="96" t="e">
        <f>K5/((24*7)-K14)</f>
        <v>#REF!</v>
      </c>
      <c r="L26" s="96" t="e">
        <f t="shared" ref="L26:R26" si="434">L5/(24-L14)</f>
        <v>#VALUE!</v>
      </c>
      <c r="M26" s="96" t="e">
        <f t="shared" si="434"/>
        <v>#VALUE!</v>
      </c>
      <c r="N26" s="96" t="e">
        <f t="shared" si="434"/>
        <v>#VALUE!</v>
      </c>
      <c r="O26" s="96" t="e">
        <f t="shared" si="434"/>
        <v>#VALUE!</v>
      </c>
      <c r="P26" s="96" t="e">
        <f t="shared" si="434"/>
        <v>#VALUE!</v>
      </c>
      <c r="Q26" s="96" t="e">
        <f t="shared" si="434"/>
        <v>#VALUE!</v>
      </c>
      <c r="R26" s="96" t="e">
        <f t="shared" si="434"/>
        <v>#VALUE!</v>
      </c>
      <c r="S26" s="96" t="e">
        <f>S5/((24*7)-S14)</f>
        <v>#REF!</v>
      </c>
      <c r="T26" s="96" t="e">
        <f t="shared" ref="T26:Z26" si="435">T5/(24-T14)</f>
        <v>#VALUE!</v>
      </c>
      <c r="U26" s="96" t="e">
        <f t="shared" si="435"/>
        <v>#VALUE!</v>
      </c>
      <c r="V26" s="96" t="e">
        <f t="shared" si="435"/>
        <v>#VALUE!</v>
      </c>
      <c r="W26" s="96" t="e">
        <f t="shared" si="435"/>
        <v>#VALUE!</v>
      </c>
      <c r="X26" s="96" t="e">
        <f t="shared" si="435"/>
        <v>#VALUE!</v>
      </c>
      <c r="Y26" s="96" t="e">
        <f t="shared" si="435"/>
        <v>#VALUE!</v>
      </c>
      <c r="Z26" s="96" t="e">
        <f t="shared" si="435"/>
        <v>#VALUE!</v>
      </c>
      <c r="AA26" s="96" t="e">
        <f>AA5/((24*7)-AA14)</f>
        <v>#REF!</v>
      </c>
      <c r="AB26" s="96" t="e">
        <f t="shared" ref="AB26:AH26" si="436">AB5/(24-AB14)</f>
        <v>#VALUE!</v>
      </c>
      <c r="AC26" s="96" t="e">
        <f t="shared" si="436"/>
        <v>#VALUE!</v>
      </c>
      <c r="AD26" s="96" t="e">
        <f t="shared" si="436"/>
        <v>#VALUE!</v>
      </c>
      <c r="AE26" s="96" t="e">
        <f t="shared" si="436"/>
        <v>#VALUE!</v>
      </c>
      <c r="AF26" s="96" t="e">
        <f t="shared" si="436"/>
        <v>#VALUE!</v>
      </c>
      <c r="AG26" s="96" t="e">
        <f t="shared" si="436"/>
        <v>#VALUE!</v>
      </c>
      <c r="AH26" s="96" t="e">
        <f t="shared" si="436"/>
        <v>#VALUE!</v>
      </c>
      <c r="AI26" s="96" t="e">
        <f>AI5/((24*7)-AI14)</f>
        <v>#REF!</v>
      </c>
      <c r="AJ26" s="96" t="e">
        <f t="shared" ref="AJ26:AP26" si="437">AJ5/(24-AJ14)</f>
        <v>#VALUE!</v>
      </c>
      <c r="AK26" s="96" t="e">
        <f t="shared" si="437"/>
        <v>#VALUE!</v>
      </c>
      <c r="AL26" s="96" t="e">
        <f t="shared" si="437"/>
        <v>#VALUE!</v>
      </c>
      <c r="AM26" s="96" t="e">
        <f t="shared" si="437"/>
        <v>#VALUE!</v>
      </c>
      <c r="AN26" s="96" t="e">
        <f t="shared" si="437"/>
        <v>#VALUE!</v>
      </c>
      <c r="AO26" s="96" t="e">
        <f t="shared" si="437"/>
        <v>#VALUE!</v>
      </c>
      <c r="AP26" s="96" t="e">
        <f t="shared" si="437"/>
        <v>#VALUE!</v>
      </c>
      <c r="AQ26" s="96" t="e">
        <f>AQ5/((24*7)-AQ14)</f>
        <v>#REF!</v>
      </c>
      <c r="AR26" s="96" t="e">
        <f t="shared" ref="AR26:AX26" si="438">AR5/(24-AR14)</f>
        <v>#VALUE!</v>
      </c>
      <c r="AS26" s="96" t="e">
        <f t="shared" si="438"/>
        <v>#VALUE!</v>
      </c>
      <c r="AT26" s="96" t="e">
        <f t="shared" si="438"/>
        <v>#VALUE!</v>
      </c>
      <c r="AU26" s="96" t="e">
        <f t="shared" si="438"/>
        <v>#VALUE!</v>
      </c>
      <c r="AV26" s="96" t="e">
        <f t="shared" si="438"/>
        <v>#VALUE!</v>
      </c>
      <c r="AW26" s="96" t="e">
        <f t="shared" si="438"/>
        <v>#VALUE!</v>
      </c>
      <c r="AX26" s="96" t="e">
        <f t="shared" si="438"/>
        <v>#VALUE!</v>
      </c>
      <c r="AY26" s="96" t="e">
        <f>AY5/((24*7)-AY14)</f>
        <v>#REF!</v>
      </c>
      <c r="AZ26" s="96" t="e">
        <f t="shared" ref="AZ26:BF26" si="439">AZ5/(24-AZ14)</f>
        <v>#VALUE!</v>
      </c>
      <c r="BA26" s="96" t="e">
        <f t="shared" si="439"/>
        <v>#VALUE!</v>
      </c>
      <c r="BB26" s="96" t="e">
        <f t="shared" si="439"/>
        <v>#VALUE!</v>
      </c>
      <c r="BC26" s="96" t="e">
        <f t="shared" si="439"/>
        <v>#VALUE!</v>
      </c>
      <c r="BD26" s="96" t="e">
        <f t="shared" si="439"/>
        <v>#VALUE!</v>
      </c>
      <c r="BE26" s="96" t="e">
        <f t="shared" si="439"/>
        <v>#VALUE!</v>
      </c>
      <c r="BF26" s="96" t="e">
        <f t="shared" si="439"/>
        <v>#VALUE!</v>
      </c>
      <c r="BG26" s="96" t="e">
        <f>BG5/((24*7)-BG14)</f>
        <v>#REF!</v>
      </c>
      <c r="BH26" s="96" t="e">
        <f t="shared" ref="BH26:BN26" si="440">BH5/(24-BH14)</f>
        <v>#VALUE!</v>
      </c>
      <c r="BI26" s="96" t="e">
        <f t="shared" si="440"/>
        <v>#VALUE!</v>
      </c>
      <c r="BJ26" s="96" t="e">
        <f t="shared" si="440"/>
        <v>#VALUE!</v>
      </c>
      <c r="BK26" s="96" t="e">
        <f t="shared" si="440"/>
        <v>#VALUE!</v>
      </c>
      <c r="BL26" s="96" t="e">
        <f t="shared" si="440"/>
        <v>#VALUE!</v>
      </c>
      <c r="BM26" s="96" t="e">
        <f t="shared" si="440"/>
        <v>#VALUE!</v>
      </c>
      <c r="BN26" s="96" t="e">
        <f t="shared" si="440"/>
        <v>#VALUE!</v>
      </c>
      <c r="BO26" s="96" t="e">
        <f>BO5/((24*7)-BO14)</f>
        <v>#REF!</v>
      </c>
      <c r="BP26" s="96" t="e">
        <f t="shared" ref="BP26:BV26" si="441">BP5/(24-BP14)</f>
        <v>#VALUE!</v>
      </c>
      <c r="BQ26" s="96" t="e">
        <f t="shared" si="441"/>
        <v>#VALUE!</v>
      </c>
      <c r="BR26" s="96" t="e">
        <f t="shared" si="441"/>
        <v>#VALUE!</v>
      </c>
      <c r="BS26" s="96" t="e">
        <f t="shared" si="441"/>
        <v>#VALUE!</v>
      </c>
      <c r="BT26" s="96" t="e">
        <f t="shared" si="441"/>
        <v>#VALUE!</v>
      </c>
      <c r="BU26" s="96" t="e">
        <f t="shared" si="441"/>
        <v>#VALUE!</v>
      </c>
      <c r="BV26" s="96" t="e">
        <f t="shared" si="441"/>
        <v>#VALUE!</v>
      </c>
      <c r="BW26" s="96" t="e">
        <f>BW5/((24*7)-BW14)</f>
        <v>#REF!</v>
      </c>
      <c r="BX26" s="96" t="e">
        <f t="shared" ref="BX26:CD26" si="442">BX5/(24-BX14)</f>
        <v>#VALUE!</v>
      </c>
      <c r="BY26" s="96" t="e">
        <f t="shared" si="442"/>
        <v>#VALUE!</v>
      </c>
      <c r="BZ26" s="96" t="e">
        <f t="shared" si="442"/>
        <v>#VALUE!</v>
      </c>
      <c r="CA26" s="96" t="e">
        <f t="shared" si="442"/>
        <v>#VALUE!</v>
      </c>
      <c r="CB26" s="96" t="e">
        <f t="shared" si="442"/>
        <v>#VALUE!</v>
      </c>
      <c r="CC26" s="96" t="e">
        <f t="shared" si="442"/>
        <v>#VALUE!</v>
      </c>
      <c r="CD26" s="96" t="e">
        <f t="shared" si="442"/>
        <v>#VALUE!</v>
      </c>
      <c r="CE26" s="96" t="e">
        <f>CE5/((24*7)-CE14)</f>
        <v>#REF!</v>
      </c>
      <c r="CF26" s="96" t="e">
        <f t="shared" ref="CF26:CL26" si="443">CF5/(24-CF14)</f>
        <v>#VALUE!</v>
      </c>
      <c r="CG26" s="96" t="e">
        <f t="shared" si="443"/>
        <v>#VALUE!</v>
      </c>
      <c r="CH26" s="96" t="e">
        <f t="shared" si="443"/>
        <v>#VALUE!</v>
      </c>
      <c r="CI26" s="96" t="e">
        <f t="shared" si="443"/>
        <v>#VALUE!</v>
      </c>
      <c r="CJ26" s="96" t="e">
        <f t="shared" si="443"/>
        <v>#VALUE!</v>
      </c>
      <c r="CK26" s="96" t="e">
        <f t="shared" si="443"/>
        <v>#VALUE!</v>
      </c>
      <c r="CL26" s="96" t="e">
        <f t="shared" si="443"/>
        <v>#VALUE!</v>
      </c>
      <c r="CM26" s="96" t="e">
        <f>CM5/((24*7)-CM14)</f>
        <v>#REF!</v>
      </c>
      <c r="CN26" s="96" t="e">
        <f t="shared" ref="CN26:CT26" si="444">CN5/(24-CN14)</f>
        <v>#VALUE!</v>
      </c>
      <c r="CO26" s="96" t="e">
        <f t="shared" si="444"/>
        <v>#VALUE!</v>
      </c>
      <c r="CP26" s="96" t="e">
        <f t="shared" si="444"/>
        <v>#VALUE!</v>
      </c>
      <c r="CQ26" s="96" t="e">
        <f t="shared" si="444"/>
        <v>#VALUE!</v>
      </c>
      <c r="CR26" s="96" t="e">
        <f t="shared" si="444"/>
        <v>#VALUE!</v>
      </c>
      <c r="CS26" s="96" t="e">
        <f t="shared" si="444"/>
        <v>#VALUE!</v>
      </c>
      <c r="CT26" s="96" t="e">
        <f t="shared" si="444"/>
        <v>#VALUE!</v>
      </c>
      <c r="CU26" s="96" t="e">
        <f>CU5/((24*7)-CU14)</f>
        <v>#REF!</v>
      </c>
      <c r="CV26" s="96" t="e">
        <f t="shared" ref="CV26:DB26" si="445">CV5/(24-CV14)</f>
        <v>#VALUE!</v>
      </c>
      <c r="CW26" s="96" t="e">
        <f t="shared" si="445"/>
        <v>#VALUE!</v>
      </c>
      <c r="CX26" s="96" t="e">
        <f t="shared" si="445"/>
        <v>#VALUE!</v>
      </c>
      <c r="CY26" s="96" t="e">
        <f t="shared" si="445"/>
        <v>#VALUE!</v>
      </c>
      <c r="CZ26" s="96" t="e">
        <f t="shared" si="445"/>
        <v>#VALUE!</v>
      </c>
      <c r="DA26" s="96" t="e">
        <f t="shared" si="445"/>
        <v>#VALUE!</v>
      </c>
      <c r="DB26" s="96" t="e">
        <f t="shared" si="445"/>
        <v>#VALUE!</v>
      </c>
      <c r="DC26" s="96" t="e">
        <f>DC5/((24*7)-DC14)</f>
        <v>#REF!</v>
      </c>
      <c r="DD26" s="96" t="e">
        <f t="shared" ref="DD26:DJ26" si="446">DD5/(24-DD14)</f>
        <v>#VALUE!</v>
      </c>
      <c r="DE26" s="96" t="e">
        <f t="shared" si="446"/>
        <v>#VALUE!</v>
      </c>
      <c r="DF26" s="96" t="e">
        <f t="shared" si="446"/>
        <v>#VALUE!</v>
      </c>
      <c r="DG26" s="96" t="e">
        <f t="shared" si="446"/>
        <v>#VALUE!</v>
      </c>
      <c r="DH26" s="96" t="e">
        <f t="shared" si="446"/>
        <v>#VALUE!</v>
      </c>
      <c r="DI26" s="96" t="e">
        <f t="shared" si="446"/>
        <v>#VALUE!</v>
      </c>
      <c r="DJ26" s="96" t="e">
        <f t="shared" si="446"/>
        <v>#VALUE!</v>
      </c>
      <c r="DK26" s="96" t="e">
        <f>DK5/((24*7)-DK14)</f>
        <v>#REF!</v>
      </c>
      <c r="DL26" s="96" t="e">
        <f t="shared" ref="DL26:DR26" si="447">DL5/(24-DL14)</f>
        <v>#VALUE!</v>
      </c>
      <c r="DM26" s="96" t="e">
        <f t="shared" si="447"/>
        <v>#VALUE!</v>
      </c>
      <c r="DN26" s="96" t="e">
        <f t="shared" si="447"/>
        <v>#VALUE!</v>
      </c>
      <c r="DO26" s="96" t="e">
        <f t="shared" si="447"/>
        <v>#VALUE!</v>
      </c>
      <c r="DP26" s="96" t="e">
        <f t="shared" si="447"/>
        <v>#VALUE!</v>
      </c>
      <c r="DQ26" s="96" t="e">
        <f t="shared" si="447"/>
        <v>#VALUE!</v>
      </c>
      <c r="DR26" s="96" t="e">
        <f t="shared" si="447"/>
        <v>#VALUE!</v>
      </c>
      <c r="DS26" s="96" t="e">
        <f>DS5/((24*7)-DS14)</f>
        <v>#REF!</v>
      </c>
      <c r="DT26" s="96" t="e">
        <f t="shared" ref="DT26:DZ26" si="448">DT5/(24-DT14)</f>
        <v>#VALUE!</v>
      </c>
      <c r="DU26" s="96" t="e">
        <f t="shared" si="448"/>
        <v>#VALUE!</v>
      </c>
      <c r="DV26" s="96" t="e">
        <f t="shared" si="448"/>
        <v>#VALUE!</v>
      </c>
      <c r="DW26" s="96" t="e">
        <f t="shared" si="448"/>
        <v>#VALUE!</v>
      </c>
      <c r="DX26" s="96" t="e">
        <f t="shared" si="448"/>
        <v>#VALUE!</v>
      </c>
      <c r="DY26" s="96" t="e">
        <f t="shared" si="448"/>
        <v>#VALUE!</v>
      </c>
      <c r="DZ26" s="96" t="e">
        <f t="shared" si="448"/>
        <v>#VALUE!</v>
      </c>
      <c r="EA26" s="96" t="e">
        <f>EA5/((24*7)-EA14)</f>
        <v>#REF!</v>
      </c>
      <c r="EB26" s="96" t="e">
        <f t="shared" ref="EB26:EH26" si="449">EB5/(24-EB14)</f>
        <v>#VALUE!</v>
      </c>
      <c r="EC26" s="96" t="e">
        <f t="shared" si="449"/>
        <v>#VALUE!</v>
      </c>
      <c r="ED26" s="96" t="e">
        <f t="shared" si="449"/>
        <v>#VALUE!</v>
      </c>
      <c r="EE26" s="96" t="e">
        <f t="shared" si="449"/>
        <v>#VALUE!</v>
      </c>
      <c r="EF26" s="96" t="e">
        <f t="shared" si="449"/>
        <v>#VALUE!</v>
      </c>
      <c r="EG26" s="96" t="e">
        <f t="shared" si="449"/>
        <v>#VALUE!</v>
      </c>
      <c r="EH26" s="96" t="e">
        <f t="shared" si="449"/>
        <v>#VALUE!</v>
      </c>
      <c r="EI26" s="96" t="e">
        <f>EI5/((24*7)-EI14)</f>
        <v>#REF!</v>
      </c>
      <c r="EJ26" s="96" t="e">
        <f t="shared" ref="EJ26:EP26" si="450">EJ5/(24-EJ14)</f>
        <v>#VALUE!</v>
      </c>
      <c r="EK26" s="96" t="e">
        <f t="shared" si="450"/>
        <v>#VALUE!</v>
      </c>
      <c r="EL26" s="96" t="e">
        <f t="shared" si="450"/>
        <v>#VALUE!</v>
      </c>
      <c r="EM26" s="96" t="e">
        <f t="shared" si="450"/>
        <v>#VALUE!</v>
      </c>
      <c r="EN26" s="96" t="e">
        <f t="shared" si="450"/>
        <v>#VALUE!</v>
      </c>
      <c r="EO26" s="96" t="e">
        <f t="shared" si="450"/>
        <v>#VALUE!</v>
      </c>
      <c r="EP26" s="96" t="e">
        <f t="shared" si="450"/>
        <v>#VALUE!</v>
      </c>
      <c r="EQ26" s="96" t="e">
        <f>EQ5/((24*7)-EQ14)</f>
        <v>#REF!</v>
      </c>
      <c r="ER26" s="96" t="e">
        <f t="shared" ref="ER26:EX26" si="451">ER5/(24-ER14)</f>
        <v>#VALUE!</v>
      </c>
      <c r="ES26" s="96" t="e">
        <f t="shared" si="451"/>
        <v>#VALUE!</v>
      </c>
      <c r="ET26" s="96" t="e">
        <f t="shared" si="451"/>
        <v>#VALUE!</v>
      </c>
      <c r="EU26" s="96" t="e">
        <f t="shared" si="451"/>
        <v>#VALUE!</v>
      </c>
      <c r="EV26" s="96" t="e">
        <f t="shared" si="451"/>
        <v>#VALUE!</v>
      </c>
      <c r="EW26" s="96" t="e">
        <f t="shared" si="451"/>
        <v>#VALUE!</v>
      </c>
      <c r="EX26" s="96" t="e">
        <f t="shared" si="451"/>
        <v>#VALUE!</v>
      </c>
      <c r="EY26" s="96" t="e">
        <f>EY5/((24*7)-EY14)</f>
        <v>#REF!</v>
      </c>
      <c r="EZ26" s="96" t="e">
        <f t="shared" ref="EZ26:FF26" si="452">EZ5/(24-EZ14)</f>
        <v>#VALUE!</v>
      </c>
      <c r="FA26" s="96" t="e">
        <f t="shared" si="452"/>
        <v>#VALUE!</v>
      </c>
      <c r="FB26" s="96" t="e">
        <f t="shared" si="452"/>
        <v>#VALUE!</v>
      </c>
      <c r="FC26" s="96" t="e">
        <f t="shared" si="452"/>
        <v>#VALUE!</v>
      </c>
      <c r="FD26" s="96" t="e">
        <f t="shared" si="452"/>
        <v>#VALUE!</v>
      </c>
      <c r="FE26" s="96" t="e">
        <f t="shared" si="452"/>
        <v>#VALUE!</v>
      </c>
      <c r="FF26" s="96" t="e">
        <f t="shared" si="452"/>
        <v>#VALUE!</v>
      </c>
      <c r="FG26" s="96" t="e">
        <f>FG5/((24*7)-FG14)</f>
        <v>#REF!</v>
      </c>
      <c r="FH26" s="96" t="e">
        <f t="shared" ref="FH26:FN26" si="453">FH5/(24-FH14)</f>
        <v>#VALUE!</v>
      </c>
      <c r="FI26" s="96" t="e">
        <f t="shared" si="453"/>
        <v>#VALUE!</v>
      </c>
      <c r="FJ26" s="96" t="e">
        <f t="shared" si="453"/>
        <v>#VALUE!</v>
      </c>
      <c r="FK26" s="96" t="e">
        <f t="shared" si="453"/>
        <v>#VALUE!</v>
      </c>
      <c r="FL26" s="96" t="e">
        <f t="shared" si="453"/>
        <v>#VALUE!</v>
      </c>
      <c r="FM26" s="96" t="e">
        <f t="shared" si="453"/>
        <v>#VALUE!</v>
      </c>
      <c r="FN26" s="96" t="e">
        <f t="shared" si="453"/>
        <v>#VALUE!</v>
      </c>
      <c r="FO26" s="96" t="e">
        <f>FO5/((24*7)-FO14)</f>
        <v>#REF!</v>
      </c>
      <c r="FP26" s="96" t="e">
        <f t="shared" ref="FP26:FV26" si="454">FP5/(24-FP14)</f>
        <v>#VALUE!</v>
      </c>
      <c r="FQ26" s="96" t="e">
        <f t="shared" si="454"/>
        <v>#VALUE!</v>
      </c>
      <c r="FR26" s="96" t="e">
        <f t="shared" si="454"/>
        <v>#VALUE!</v>
      </c>
      <c r="FS26" s="96" t="e">
        <f t="shared" si="454"/>
        <v>#VALUE!</v>
      </c>
      <c r="FT26" s="96" t="e">
        <f t="shared" si="454"/>
        <v>#VALUE!</v>
      </c>
      <c r="FU26" s="96" t="e">
        <f t="shared" si="454"/>
        <v>#VALUE!</v>
      </c>
      <c r="FV26" s="96" t="e">
        <f t="shared" si="454"/>
        <v>#VALUE!</v>
      </c>
      <c r="FW26" s="96" t="e">
        <f>FW5/((24*7)-FW14)</f>
        <v>#REF!</v>
      </c>
      <c r="FX26" s="96" t="e">
        <f t="shared" ref="FX26:GD26" si="455">FX5/(24-FX14)</f>
        <v>#VALUE!</v>
      </c>
      <c r="FY26" s="96" t="e">
        <f t="shared" si="455"/>
        <v>#VALUE!</v>
      </c>
      <c r="FZ26" s="96" t="e">
        <f t="shared" si="455"/>
        <v>#VALUE!</v>
      </c>
      <c r="GA26" s="96" t="e">
        <f t="shared" si="455"/>
        <v>#VALUE!</v>
      </c>
      <c r="GB26" s="96" t="e">
        <f t="shared" si="455"/>
        <v>#VALUE!</v>
      </c>
      <c r="GC26" s="96" t="e">
        <f t="shared" si="455"/>
        <v>#VALUE!</v>
      </c>
      <c r="GD26" s="96" t="e">
        <f t="shared" si="455"/>
        <v>#VALUE!</v>
      </c>
      <c r="GE26" s="96" t="e">
        <f>GE5/((24*7)-GE14)</f>
        <v>#REF!</v>
      </c>
      <c r="GF26" s="96" t="e">
        <f t="shared" ref="GF26:GL26" si="456">GF5/(24-GF14)</f>
        <v>#VALUE!</v>
      </c>
      <c r="GG26" s="96" t="e">
        <f t="shared" si="456"/>
        <v>#VALUE!</v>
      </c>
      <c r="GH26" s="96" t="e">
        <f t="shared" si="456"/>
        <v>#VALUE!</v>
      </c>
      <c r="GI26" s="96" t="e">
        <f t="shared" si="456"/>
        <v>#VALUE!</v>
      </c>
      <c r="GJ26" s="96" t="e">
        <f t="shared" si="456"/>
        <v>#VALUE!</v>
      </c>
      <c r="GK26" s="96" t="e">
        <f t="shared" si="456"/>
        <v>#VALUE!</v>
      </c>
      <c r="GL26" s="96" t="e">
        <f t="shared" si="456"/>
        <v>#VALUE!</v>
      </c>
      <c r="GM26" s="96" t="e">
        <f>GM5/((24*7)-GM14)</f>
        <v>#REF!</v>
      </c>
      <c r="GN26" s="96" t="e">
        <f t="shared" ref="GN26:GT26" si="457">GN5/(24-GN14)</f>
        <v>#VALUE!</v>
      </c>
      <c r="GO26" s="96" t="e">
        <f t="shared" si="457"/>
        <v>#VALUE!</v>
      </c>
      <c r="GP26" s="96" t="e">
        <f t="shared" si="457"/>
        <v>#VALUE!</v>
      </c>
      <c r="GQ26" s="96" t="e">
        <f t="shared" si="457"/>
        <v>#VALUE!</v>
      </c>
      <c r="GR26" s="96" t="e">
        <f t="shared" si="457"/>
        <v>#VALUE!</v>
      </c>
      <c r="GS26" s="96" t="e">
        <f t="shared" si="457"/>
        <v>#VALUE!</v>
      </c>
      <c r="GT26" s="96" t="e">
        <f t="shared" si="457"/>
        <v>#VALUE!</v>
      </c>
      <c r="GU26" s="96" t="e">
        <f>GU5/((24*7)-GU14)</f>
        <v>#REF!</v>
      </c>
      <c r="GV26" s="96" t="e">
        <f t="shared" ref="GV26:HB26" si="458">GV5/(24-GV14)</f>
        <v>#VALUE!</v>
      </c>
      <c r="GW26" s="96" t="e">
        <f t="shared" si="458"/>
        <v>#VALUE!</v>
      </c>
      <c r="GX26" s="96" t="e">
        <f t="shared" si="458"/>
        <v>#VALUE!</v>
      </c>
      <c r="GY26" s="96" t="e">
        <f t="shared" si="458"/>
        <v>#VALUE!</v>
      </c>
      <c r="GZ26" s="96" t="e">
        <f t="shared" si="458"/>
        <v>#VALUE!</v>
      </c>
      <c r="HA26" s="96" t="e">
        <f t="shared" si="458"/>
        <v>#VALUE!</v>
      </c>
      <c r="HB26" s="96" t="e">
        <f t="shared" si="458"/>
        <v>#VALUE!</v>
      </c>
      <c r="HC26" s="96" t="e">
        <f>HC5/((24*7)-HC14)</f>
        <v>#REF!</v>
      </c>
      <c r="HD26" s="96" t="e">
        <f t="shared" ref="HD26:HJ26" si="459">HD5/(24-HD14)</f>
        <v>#VALUE!</v>
      </c>
      <c r="HE26" s="96" t="e">
        <f t="shared" si="459"/>
        <v>#VALUE!</v>
      </c>
      <c r="HF26" s="96" t="e">
        <f t="shared" si="459"/>
        <v>#VALUE!</v>
      </c>
      <c r="HG26" s="96" t="e">
        <f t="shared" si="459"/>
        <v>#VALUE!</v>
      </c>
      <c r="HH26" s="96" t="e">
        <f t="shared" si="459"/>
        <v>#VALUE!</v>
      </c>
      <c r="HI26" s="96" t="e">
        <f t="shared" si="459"/>
        <v>#VALUE!</v>
      </c>
      <c r="HJ26" s="96" t="e">
        <f t="shared" si="459"/>
        <v>#VALUE!</v>
      </c>
      <c r="HK26" s="96" t="e">
        <f>HK5/((24*7)-HK14)</f>
        <v>#REF!</v>
      </c>
      <c r="HL26" s="96" t="e">
        <f t="shared" ref="HL26:HR26" si="460">HL5/(24-HL14)</f>
        <v>#VALUE!</v>
      </c>
      <c r="HM26" s="96" t="e">
        <f t="shared" si="460"/>
        <v>#VALUE!</v>
      </c>
      <c r="HN26" s="96" t="e">
        <f t="shared" si="460"/>
        <v>#VALUE!</v>
      </c>
      <c r="HO26" s="96" t="e">
        <f t="shared" si="460"/>
        <v>#VALUE!</v>
      </c>
      <c r="HP26" s="96" t="e">
        <f t="shared" si="460"/>
        <v>#VALUE!</v>
      </c>
      <c r="HQ26" s="96" t="e">
        <f t="shared" si="460"/>
        <v>#VALUE!</v>
      </c>
      <c r="HR26" s="96" t="e">
        <f t="shared" si="460"/>
        <v>#VALUE!</v>
      </c>
      <c r="HS26" s="96" t="e">
        <f>HS5/((24*7)-HS14)</f>
        <v>#REF!</v>
      </c>
      <c r="HT26" s="96" t="e">
        <f t="shared" ref="HT26:HZ26" si="461">HT5/(24-HT14)</f>
        <v>#VALUE!</v>
      </c>
      <c r="HU26" s="96" t="e">
        <f t="shared" si="461"/>
        <v>#VALUE!</v>
      </c>
      <c r="HV26" s="96" t="e">
        <f t="shared" si="461"/>
        <v>#VALUE!</v>
      </c>
      <c r="HW26" s="96" t="e">
        <f t="shared" si="461"/>
        <v>#VALUE!</v>
      </c>
      <c r="HX26" s="96" t="e">
        <f t="shared" si="461"/>
        <v>#VALUE!</v>
      </c>
      <c r="HY26" s="96" t="e">
        <f t="shared" si="461"/>
        <v>#VALUE!</v>
      </c>
      <c r="HZ26" s="96" t="e">
        <f t="shared" si="461"/>
        <v>#VALUE!</v>
      </c>
      <c r="IA26" s="96" t="e">
        <f>IA5/((24*7)-IA14)</f>
        <v>#REF!</v>
      </c>
      <c r="IB26" s="96" t="e">
        <f t="shared" ref="IB26:IH26" si="462">IB5/(24-IB14)</f>
        <v>#VALUE!</v>
      </c>
      <c r="IC26" s="96" t="e">
        <f t="shared" si="462"/>
        <v>#VALUE!</v>
      </c>
      <c r="ID26" s="96" t="e">
        <f t="shared" si="462"/>
        <v>#VALUE!</v>
      </c>
      <c r="IE26" s="96" t="e">
        <f t="shared" si="462"/>
        <v>#VALUE!</v>
      </c>
      <c r="IF26" s="96" t="e">
        <f t="shared" si="462"/>
        <v>#VALUE!</v>
      </c>
      <c r="IG26" s="96" t="e">
        <f t="shared" si="462"/>
        <v>#VALUE!</v>
      </c>
      <c r="IH26" s="96" t="e">
        <f t="shared" si="462"/>
        <v>#VALUE!</v>
      </c>
      <c r="II26" s="96" t="e">
        <f>II5/((24*7)-II14)</f>
        <v>#REF!</v>
      </c>
      <c r="IJ26" s="96" t="e">
        <f t="shared" ref="IJ26:IP26" si="463">IJ5/(24-IJ14)</f>
        <v>#VALUE!</v>
      </c>
      <c r="IK26" s="96" t="e">
        <f t="shared" si="463"/>
        <v>#VALUE!</v>
      </c>
      <c r="IL26" s="96" t="e">
        <f t="shared" si="463"/>
        <v>#VALUE!</v>
      </c>
      <c r="IM26" s="96" t="e">
        <f t="shared" si="463"/>
        <v>#VALUE!</v>
      </c>
      <c r="IN26" s="96" t="e">
        <f t="shared" si="463"/>
        <v>#VALUE!</v>
      </c>
      <c r="IO26" s="96" t="e">
        <f t="shared" si="463"/>
        <v>#VALUE!</v>
      </c>
      <c r="IP26" s="96" t="e">
        <f t="shared" si="463"/>
        <v>#VALUE!</v>
      </c>
      <c r="IQ26" s="96" t="e">
        <f>IQ5/((24*7)-IQ14)</f>
        <v>#REF!</v>
      </c>
      <c r="IR26" s="96" t="e">
        <f t="shared" ref="IR26:IX26" si="464">IR5/(24-IR14)</f>
        <v>#VALUE!</v>
      </c>
      <c r="IS26" s="96" t="e">
        <f t="shared" si="464"/>
        <v>#VALUE!</v>
      </c>
      <c r="IT26" s="96" t="e">
        <f t="shared" si="464"/>
        <v>#VALUE!</v>
      </c>
      <c r="IU26" s="96" t="e">
        <f t="shared" si="464"/>
        <v>#VALUE!</v>
      </c>
      <c r="IV26" s="96" t="e">
        <f t="shared" si="464"/>
        <v>#VALUE!</v>
      </c>
      <c r="IW26" s="96" t="e">
        <f t="shared" si="464"/>
        <v>#VALUE!</v>
      </c>
      <c r="IX26" s="96" t="e">
        <f t="shared" si="464"/>
        <v>#VALUE!</v>
      </c>
      <c r="IY26" s="96" t="e">
        <f>IY5/((24*7)-IY14)</f>
        <v>#REF!</v>
      </c>
      <c r="IZ26" s="96" t="e">
        <f t="shared" ref="IZ26:JF26" si="465">IZ5/(24-IZ14)</f>
        <v>#VALUE!</v>
      </c>
      <c r="JA26" s="96" t="e">
        <f t="shared" si="465"/>
        <v>#VALUE!</v>
      </c>
      <c r="JB26" s="96" t="e">
        <f t="shared" si="465"/>
        <v>#VALUE!</v>
      </c>
      <c r="JC26" s="96" t="e">
        <f t="shared" si="465"/>
        <v>#VALUE!</v>
      </c>
      <c r="JD26" s="96" t="e">
        <f t="shared" si="465"/>
        <v>#VALUE!</v>
      </c>
      <c r="JE26" s="96" t="e">
        <f t="shared" si="465"/>
        <v>#VALUE!</v>
      </c>
      <c r="JF26" s="96" t="e">
        <f t="shared" si="465"/>
        <v>#VALUE!</v>
      </c>
      <c r="JG26" s="96" t="e">
        <f>JG5/((24*7)-JG14)</f>
        <v>#REF!</v>
      </c>
      <c r="JH26" s="96" t="e">
        <f t="shared" ref="JH26:JN26" si="466">JH5/(24-JH14)</f>
        <v>#VALUE!</v>
      </c>
      <c r="JI26" s="96" t="e">
        <f t="shared" si="466"/>
        <v>#VALUE!</v>
      </c>
      <c r="JJ26" s="96" t="e">
        <f t="shared" si="466"/>
        <v>#VALUE!</v>
      </c>
      <c r="JK26" s="96" t="e">
        <f t="shared" si="466"/>
        <v>#VALUE!</v>
      </c>
      <c r="JL26" s="96" t="e">
        <f t="shared" si="466"/>
        <v>#VALUE!</v>
      </c>
      <c r="JM26" s="96" t="e">
        <f t="shared" si="466"/>
        <v>#VALUE!</v>
      </c>
      <c r="JN26" s="96" t="e">
        <f t="shared" si="466"/>
        <v>#VALUE!</v>
      </c>
      <c r="JO26" s="96" t="e">
        <f>JO5/((24*7)-JO14)</f>
        <v>#REF!</v>
      </c>
      <c r="JP26" s="96" t="e">
        <f t="shared" ref="JP26:JV26" si="467">JP5/(24-JP14)</f>
        <v>#VALUE!</v>
      </c>
      <c r="JQ26" s="96" t="e">
        <f t="shared" si="467"/>
        <v>#VALUE!</v>
      </c>
      <c r="JR26" s="96" t="e">
        <f t="shared" si="467"/>
        <v>#VALUE!</v>
      </c>
      <c r="JS26" s="96" t="e">
        <f t="shared" si="467"/>
        <v>#VALUE!</v>
      </c>
      <c r="JT26" s="96" t="e">
        <f t="shared" si="467"/>
        <v>#VALUE!</v>
      </c>
      <c r="JU26" s="96" t="e">
        <f t="shared" si="467"/>
        <v>#VALUE!</v>
      </c>
      <c r="JV26" s="96" t="e">
        <f t="shared" si="467"/>
        <v>#VALUE!</v>
      </c>
      <c r="JW26" s="96" t="e">
        <f>JW5/((24*7)-JW14)</f>
        <v>#REF!</v>
      </c>
      <c r="JX26" s="96" t="e">
        <f t="shared" ref="JX26:KD26" si="468">JX5/(24-JX14)</f>
        <v>#VALUE!</v>
      </c>
      <c r="JY26" s="96" t="e">
        <f t="shared" si="468"/>
        <v>#VALUE!</v>
      </c>
      <c r="JZ26" s="96" t="e">
        <f t="shared" si="468"/>
        <v>#VALUE!</v>
      </c>
      <c r="KA26" s="96" t="e">
        <f t="shared" si="468"/>
        <v>#VALUE!</v>
      </c>
      <c r="KB26" s="96" t="e">
        <f t="shared" si="468"/>
        <v>#VALUE!</v>
      </c>
      <c r="KC26" s="96" t="e">
        <f t="shared" si="468"/>
        <v>#VALUE!</v>
      </c>
      <c r="KD26" s="96" t="e">
        <f t="shared" si="468"/>
        <v>#VALUE!</v>
      </c>
      <c r="KE26" s="96" t="e">
        <f>KE5/((24*7)-KE14)</f>
        <v>#REF!</v>
      </c>
      <c r="KF26" s="96" t="e">
        <f t="shared" ref="KF26:KL26" si="469">KF5/(24-KF14)</f>
        <v>#VALUE!</v>
      </c>
      <c r="KG26" s="96" t="e">
        <f t="shared" si="469"/>
        <v>#VALUE!</v>
      </c>
      <c r="KH26" s="96" t="e">
        <f t="shared" si="469"/>
        <v>#VALUE!</v>
      </c>
      <c r="KI26" s="96" t="e">
        <f t="shared" si="469"/>
        <v>#VALUE!</v>
      </c>
      <c r="KJ26" s="96" t="e">
        <f t="shared" si="469"/>
        <v>#VALUE!</v>
      </c>
      <c r="KK26" s="96" t="e">
        <f t="shared" si="469"/>
        <v>#VALUE!</v>
      </c>
      <c r="KL26" s="96" t="e">
        <f t="shared" si="469"/>
        <v>#VALUE!</v>
      </c>
      <c r="KM26" s="96" t="e">
        <f>KM5/((24*7)-KM14)</f>
        <v>#REF!</v>
      </c>
      <c r="KN26" s="96" t="e">
        <f t="shared" ref="KN26:KT26" si="470">KN5/(24-KN14)</f>
        <v>#VALUE!</v>
      </c>
      <c r="KO26" s="96" t="e">
        <f t="shared" si="470"/>
        <v>#VALUE!</v>
      </c>
      <c r="KP26" s="96" t="e">
        <f t="shared" si="470"/>
        <v>#VALUE!</v>
      </c>
      <c r="KQ26" s="96" t="e">
        <f t="shared" si="470"/>
        <v>#VALUE!</v>
      </c>
      <c r="KR26" s="96" t="e">
        <f t="shared" si="470"/>
        <v>#VALUE!</v>
      </c>
      <c r="KS26" s="96" t="e">
        <f t="shared" si="470"/>
        <v>#VALUE!</v>
      </c>
      <c r="KT26" s="96" t="e">
        <f t="shared" si="470"/>
        <v>#VALUE!</v>
      </c>
      <c r="KU26" s="96" t="e">
        <f>KU5/((24*7)-KU14)</f>
        <v>#REF!</v>
      </c>
      <c r="KV26" s="96" t="e">
        <f t="shared" ref="KV26:LB26" si="471">KV5/(24-KV14)</f>
        <v>#VALUE!</v>
      </c>
      <c r="KW26" s="96" t="e">
        <f t="shared" si="471"/>
        <v>#VALUE!</v>
      </c>
      <c r="KX26" s="96" t="e">
        <f t="shared" si="471"/>
        <v>#VALUE!</v>
      </c>
      <c r="KY26" s="96" t="e">
        <f t="shared" si="471"/>
        <v>#VALUE!</v>
      </c>
      <c r="KZ26" s="96" t="e">
        <f t="shared" si="471"/>
        <v>#VALUE!</v>
      </c>
      <c r="LA26" s="96" t="e">
        <f t="shared" si="471"/>
        <v>#VALUE!</v>
      </c>
      <c r="LB26" s="96" t="e">
        <f t="shared" si="471"/>
        <v>#VALUE!</v>
      </c>
      <c r="LC26" s="96" t="e">
        <f>LC5/((24*7)-LC14)</f>
        <v>#REF!</v>
      </c>
      <c r="LD26" s="96" t="e">
        <f t="shared" ref="LD26:LJ26" si="472">LD5/(24-LD14)</f>
        <v>#VALUE!</v>
      </c>
      <c r="LE26" s="96" t="e">
        <f t="shared" si="472"/>
        <v>#VALUE!</v>
      </c>
      <c r="LF26" s="96" t="e">
        <f t="shared" si="472"/>
        <v>#VALUE!</v>
      </c>
      <c r="LG26" s="96" t="e">
        <f t="shared" si="472"/>
        <v>#VALUE!</v>
      </c>
      <c r="LH26" s="96" t="e">
        <f t="shared" si="472"/>
        <v>#VALUE!</v>
      </c>
      <c r="LI26" s="96" t="e">
        <f t="shared" si="472"/>
        <v>#VALUE!</v>
      </c>
      <c r="LJ26" s="96" t="e">
        <f t="shared" si="472"/>
        <v>#VALUE!</v>
      </c>
      <c r="LK26" s="96" t="e">
        <f>LK5/((24*7)-LK14)</f>
        <v>#REF!</v>
      </c>
      <c r="LL26" s="96" t="e">
        <f t="shared" ref="LL26:LR26" si="473">LL5/(24-LL14)</f>
        <v>#VALUE!</v>
      </c>
      <c r="LM26" s="96" t="e">
        <f t="shared" si="473"/>
        <v>#VALUE!</v>
      </c>
      <c r="LN26" s="96" t="e">
        <f t="shared" si="473"/>
        <v>#VALUE!</v>
      </c>
      <c r="LO26" s="96" t="e">
        <f t="shared" si="473"/>
        <v>#VALUE!</v>
      </c>
      <c r="LP26" s="96" t="e">
        <f t="shared" si="473"/>
        <v>#VALUE!</v>
      </c>
      <c r="LQ26" s="96" t="e">
        <f t="shared" si="473"/>
        <v>#VALUE!</v>
      </c>
      <c r="LR26" s="96" t="e">
        <f t="shared" si="473"/>
        <v>#VALUE!</v>
      </c>
      <c r="LS26" s="96" t="e">
        <f>LS5/((24*7)-LS14)</f>
        <v>#REF!</v>
      </c>
      <c r="LT26" s="96" t="e">
        <f t="shared" ref="LT26:LZ26" si="474">LT5/(24-LT14)</f>
        <v>#VALUE!</v>
      </c>
      <c r="LU26" s="96" t="e">
        <f t="shared" si="474"/>
        <v>#VALUE!</v>
      </c>
      <c r="LV26" s="96" t="e">
        <f t="shared" si="474"/>
        <v>#VALUE!</v>
      </c>
      <c r="LW26" s="96" t="e">
        <f t="shared" si="474"/>
        <v>#VALUE!</v>
      </c>
      <c r="LX26" s="96" t="e">
        <f t="shared" si="474"/>
        <v>#VALUE!</v>
      </c>
      <c r="LY26" s="96" t="e">
        <f t="shared" si="474"/>
        <v>#VALUE!</v>
      </c>
      <c r="LZ26" s="96" t="e">
        <f t="shared" si="474"/>
        <v>#VALUE!</v>
      </c>
      <c r="MA26" s="96" t="e">
        <f>MA5/((24*7)-MA14)</f>
        <v>#REF!</v>
      </c>
      <c r="MB26" s="96" t="e">
        <f t="shared" ref="MB26:MH26" si="475">MB5/(24-MB14)</f>
        <v>#VALUE!</v>
      </c>
      <c r="MC26" s="96" t="e">
        <f t="shared" si="475"/>
        <v>#VALUE!</v>
      </c>
      <c r="MD26" s="96" t="e">
        <f t="shared" si="475"/>
        <v>#VALUE!</v>
      </c>
      <c r="ME26" s="96" t="e">
        <f t="shared" si="475"/>
        <v>#VALUE!</v>
      </c>
      <c r="MF26" s="96" t="e">
        <f t="shared" si="475"/>
        <v>#VALUE!</v>
      </c>
      <c r="MG26" s="96" t="e">
        <f t="shared" si="475"/>
        <v>#VALUE!</v>
      </c>
      <c r="MH26" s="96" t="e">
        <f t="shared" si="475"/>
        <v>#VALUE!</v>
      </c>
      <c r="MI26" s="96" t="e">
        <f>MI5/((24*7)-MI14)</f>
        <v>#REF!</v>
      </c>
      <c r="MJ26" s="96" t="e">
        <f t="shared" ref="MJ26:MP26" si="476">MJ5/(24-MJ14)</f>
        <v>#VALUE!</v>
      </c>
      <c r="MK26" s="96" t="e">
        <f t="shared" si="476"/>
        <v>#VALUE!</v>
      </c>
      <c r="ML26" s="96" t="e">
        <f t="shared" si="476"/>
        <v>#VALUE!</v>
      </c>
      <c r="MM26" s="96" t="e">
        <f t="shared" si="476"/>
        <v>#VALUE!</v>
      </c>
      <c r="MN26" s="96" t="e">
        <f t="shared" si="476"/>
        <v>#VALUE!</v>
      </c>
      <c r="MO26" s="96" t="e">
        <f t="shared" si="476"/>
        <v>#VALUE!</v>
      </c>
      <c r="MP26" s="96" t="e">
        <f t="shared" si="476"/>
        <v>#VALUE!</v>
      </c>
      <c r="MQ26" s="96" t="e">
        <f>MQ5/((24*7)-MQ14)</f>
        <v>#REF!</v>
      </c>
      <c r="MR26" s="96" t="e">
        <f t="shared" ref="MR26:MX26" si="477">MR5/(24-MR14)</f>
        <v>#VALUE!</v>
      </c>
      <c r="MS26" s="96" t="e">
        <f t="shared" si="477"/>
        <v>#VALUE!</v>
      </c>
      <c r="MT26" s="96" t="e">
        <f t="shared" si="477"/>
        <v>#VALUE!</v>
      </c>
      <c r="MU26" s="96" t="e">
        <f t="shared" si="477"/>
        <v>#VALUE!</v>
      </c>
      <c r="MV26" s="96" t="e">
        <f t="shared" si="477"/>
        <v>#VALUE!</v>
      </c>
      <c r="MW26" s="96" t="e">
        <f t="shared" si="477"/>
        <v>#VALUE!</v>
      </c>
      <c r="MX26" s="96" t="e">
        <f t="shared" si="477"/>
        <v>#VALUE!</v>
      </c>
      <c r="MY26" s="96" t="e">
        <f>MY5/((24*7)-MY14)</f>
        <v>#REF!</v>
      </c>
      <c r="MZ26" s="96" t="e">
        <f t="shared" ref="MZ26:NF26" si="478">MZ5/(24-MZ14)</f>
        <v>#VALUE!</v>
      </c>
      <c r="NA26" s="96" t="e">
        <f t="shared" si="478"/>
        <v>#VALUE!</v>
      </c>
      <c r="NB26" s="96" t="e">
        <f t="shared" si="478"/>
        <v>#VALUE!</v>
      </c>
      <c r="NC26" s="96" t="e">
        <f t="shared" si="478"/>
        <v>#VALUE!</v>
      </c>
      <c r="ND26" s="96" t="e">
        <f t="shared" si="478"/>
        <v>#VALUE!</v>
      </c>
      <c r="NE26" s="96" t="e">
        <f t="shared" si="478"/>
        <v>#VALUE!</v>
      </c>
      <c r="NF26" s="96" t="e">
        <f t="shared" si="478"/>
        <v>#VALUE!</v>
      </c>
      <c r="NG26" s="96" t="e">
        <f>NG5/((24*7)-NG14)</f>
        <v>#REF!</v>
      </c>
      <c r="NH26" s="96" t="e">
        <f t="shared" ref="NH26:NN26" si="479">NH5/(24-NH14)</f>
        <v>#VALUE!</v>
      </c>
      <c r="NI26" s="96" t="e">
        <f t="shared" si="479"/>
        <v>#VALUE!</v>
      </c>
      <c r="NJ26" s="96" t="e">
        <f t="shared" si="479"/>
        <v>#VALUE!</v>
      </c>
      <c r="NK26" s="96" t="e">
        <f t="shared" si="479"/>
        <v>#VALUE!</v>
      </c>
      <c r="NL26" s="96" t="e">
        <f t="shared" si="479"/>
        <v>#VALUE!</v>
      </c>
      <c r="NM26" s="96" t="e">
        <f t="shared" si="479"/>
        <v>#VALUE!</v>
      </c>
      <c r="NN26" s="96" t="e">
        <f t="shared" si="479"/>
        <v>#VALUE!</v>
      </c>
      <c r="NO26" s="96" t="e">
        <f>NO5/((24*7)-NO14)</f>
        <v>#REF!</v>
      </c>
      <c r="NP26" s="96" t="e">
        <f t="shared" ref="NP26:NV26" si="480">NP5/(24-NP14)</f>
        <v>#VALUE!</v>
      </c>
      <c r="NQ26" s="96" t="e">
        <f t="shared" si="480"/>
        <v>#VALUE!</v>
      </c>
      <c r="NR26" s="96" t="e">
        <f t="shared" si="480"/>
        <v>#VALUE!</v>
      </c>
      <c r="NS26" s="96" t="e">
        <f t="shared" si="480"/>
        <v>#VALUE!</v>
      </c>
      <c r="NT26" s="96" t="e">
        <f t="shared" si="480"/>
        <v>#VALUE!</v>
      </c>
      <c r="NU26" s="96" t="e">
        <f t="shared" si="480"/>
        <v>#VALUE!</v>
      </c>
      <c r="NV26" s="96" t="e">
        <f t="shared" si="480"/>
        <v>#VALUE!</v>
      </c>
      <c r="NW26" s="96" t="e">
        <f>NW5/((24*7)-NW14)</f>
        <v>#REF!</v>
      </c>
    </row>
    <row r="29" spans="1:387" x14ac:dyDescent="0.25">
      <c r="B29" s="591" t="s">
        <v>434</v>
      </c>
      <c r="C29" s="591"/>
      <c r="D29" s="69" t="str">
        <f>D9</f>
        <v/>
      </c>
      <c r="E29" s="69" t="str">
        <f t="shared" ref="E29:BR29" si="481">E9</f>
        <v/>
      </c>
      <c r="F29" s="69" t="str">
        <f t="shared" si="481"/>
        <v/>
      </c>
      <c r="G29" s="69" t="str">
        <f t="shared" si="481"/>
        <v/>
      </c>
      <c r="H29" s="69" t="str">
        <f t="shared" si="481"/>
        <v/>
      </c>
      <c r="I29" s="69" t="str">
        <f t="shared" si="481"/>
        <v/>
      </c>
      <c r="J29" s="69" t="str">
        <f t="shared" si="481"/>
        <v/>
      </c>
      <c r="K29" s="100">
        <f>SUM(D29:J29)</f>
        <v>0</v>
      </c>
      <c r="L29" s="69" t="str">
        <f t="shared" si="481"/>
        <v/>
      </c>
      <c r="M29" s="69" t="str">
        <f t="shared" si="481"/>
        <v/>
      </c>
      <c r="N29" s="69" t="str">
        <f t="shared" si="481"/>
        <v/>
      </c>
      <c r="O29" s="69" t="str">
        <f t="shared" si="481"/>
        <v/>
      </c>
      <c r="P29" s="69" t="str">
        <f t="shared" si="481"/>
        <v/>
      </c>
      <c r="Q29" s="69" t="str">
        <f t="shared" si="481"/>
        <v/>
      </c>
      <c r="R29" s="69" t="str">
        <f t="shared" si="481"/>
        <v/>
      </c>
      <c r="S29" s="69"/>
      <c r="T29" s="69" t="str">
        <f t="shared" si="481"/>
        <v/>
      </c>
      <c r="U29" s="69" t="str">
        <f t="shared" si="481"/>
        <v/>
      </c>
      <c r="V29" s="69" t="str">
        <f t="shared" si="481"/>
        <v/>
      </c>
      <c r="W29" s="69" t="str">
        <f t="shared" si="481"/>
        <v/>
      </c>
      <c r="X29" s="69" t="str">
        <f t="shared" si="481"/>
        <v/>
      </c>
      <c r="Y29" s="69" t="str">
        <f t="shared" si="481"/>
        <v/>
      </c>
      <c r="Z29" s="69" t="str">
        <f t="shared" si="481"/>
        <v/>
      </c>
      <c r="AA29" s="69">
        <f t="shared" si="481"/>
        <v>0</v>
      </c>
      <c r="AB29" s="69" t="str">
        <f t="shared" si="481"/>
        <v/>
      </c>
      <c r="AC29" s="69" t="str">
        <f t="shared" si="481"/>
        <v/>
      </c>
      <c r="AD29" s="69" t="str">
        <f t="shared" si="481"/>
        <v/>
      </c>
      <c r="AE29" s="69" t="str">
        <f t="shared" si="481"/>
        <v/>
      </c>
      <c r="AF29" s="69" t="str">
        <f t="shared" si="481"/>
        <v/>
      </c>
      <c r="AG29" s="69" t="str">
        <f t="shared" si="481"/>
        <v/>
      </c>
      <c r="AH29" s="69" t="str">
        <f t="shared" si="481"/>
        <v/>
      </c>
      <c r="AI29" s="69">
        <f t="shared" si="481"/>
        <v>0</v>
      </c>
      <c r="AJ29" s="69" t="str">
        <f t="shared" si="481"/>
        <v/>
      </c>
      <c r="AK29" s="69" t="str">
        <f t="shared" si="481"/>
        <v/>
      </c>
      <c r="AL29" s="69" t="str">
        <f t="shared" si="481"/>
        <v/>
      </c>
      <c r="AM29" s="69" t="str">
        <f t="shared" si="481"/>
        <v/>
      </c>
      <c r="AN29" s="69" t="str">
        <f t="shared" si="481"/>
        <v/>
      </c>
      <c r="AO29" s="69" t="str">
        <f t="shared" si="481"/>
        <v/>
      </c>
      <c r="AP29" s="69" t="str">
        <f t="shared" si="481"/>
        <v/>
      </c>
      <c r="AQ29" s="69">
        <f t="shared" si="481"/>
        <v>0</v>
      </c>
      <c r="AR29" s="69" t="str">
        <f t="shared" si="481"/>
        <v/>
      </c>
      <c r="AS29" s="69" t="str">
        <f t="shared" si="481"/>
        <v/>
      </c>
      <c r="AT29" s="69" t="str">
        <f t="shared" si="481"/>
        <v/>
      </c>
      <c r="AU29" s="69" t="str">
        <f t="shared" si="481"/>
        <v/>
      </c>
      <c r="AV29" s="69" t="str">
        <f t="shared" si="481"/>
        <v/>
      </c>
      <c r="AW29" s="69" t="str">
        <f t="shared" si="481"/>
        <v/>
      </c>
      <c r="AX29" s="69" t="str">
        <f t="shared" si="481"/>
        <v/>
      </c>
      <c r="AY29" s="69">
        <f t="shared" si="481"/>
        <v>0</v>
      </c>
      <c r="AZ29" s="69" t="str">
        <f t="shared" si="481"/>
        <v/>
      </c>
      <c r="BA29" s="69" t="str">
        <f t="shared" si="481"/>
        <v/>
      </c>
      <c r="BB29" s="69" t="str">
        <f t="shared" si="481"/>
        <v/>
      </c>
      <c r="BC29" s="69" t="str">
        <f t="shared" si="481"/>
        <v/>
      </c>
      <c r="BD29" s="69" t="str">
        <f t="shared" si="481"/>
        <v/>
      </c>
      <c r="BE29" s="69" t="str">
        <f t="shared" si="481"/>
        <v/>
      </c>
      <c r="BF29" s="69" t="str">
        <f t="shared" si="481"/>
        <v/>
      </c>
      <c r="BG29" s="69">
        <f t="shared" si="481"/>
        <v>0</v>
      </c>
      <c r="BH29" s="69" t="str">
        <f t="shared" si="481"/>
        <v/>
      </c>
      <c r="BI29" s="69" t="str">
        <f t="shared" si="481"/>
        <v/>
      </c>
      <c r="BJ29" s="69" t="str">
        <f t="shared" si="481"/>
        <v/>
      </c>
      <c r="BK29" s="69" t="str">
        <f t="shared" si="481"/>
        <v/>
      </c>
      <c r="BL29" s="69" t="str">
        <f t="shared" si="481"/>
        <v/>
      </c>
      <c r="BM29" s="69" t="str">
        <f t="shared" si="481"/>
        <v/>
      </c>
      <c r="BN29" s="69" t="str">
        <f t="shared" si="481"/>
        <v/>
      </c>
      <c r="BO29" s="69">
        <f t="shared" si="481"/>
        <v>0</v>
      </c>
      <c r="BP29" s="69" t="str">
        <f t="shared" si="481"/>
        <v/>
      </c>
      <c r="BQ29" s="69" t="str">
        <f t="shared" si="481"/>
        <v/>
      </c>
      <c r="BR29" s="69" t="str">
        <f t="shared" si="481"/>
        <v/>
      </c>
      <c r="BS29" s="69" t="str">
        <f t="shared" ref="BS29:ED29" si="482">BS9</f>
        <v/>
      </c>
      <c r="BT29" s="69" t="str">
        <f t="shared" si="482"/>
        <v/>
      </c>
      <c r="BU29" s="69" t="str">
        <f t="shared" si="482"/>
        <v/>
      </c>
      <c r="BV29" s="69" t="str">
        <f t="shared" si="482"/>
        <v/>
      </c>
      <c r="BW29" s="69">
        <f t="shared" si="482"/>
        <v>0</v>
      </c>
      <c r="BX29" s="69" t="str">
        <f t="shared" si="482"/>
        <v/>
      </c>
      <c r="BY29" s="69" t="str">
        <f t="shared" si="482"/>
        <v/>
      </c>
      <c r="BZ29" s="69" t="str">
        <f t="shared" si="482"/>
        <v/>
      </c>
      <c r="CA29" s="69" t="str">
        <f t="shared" si="482"/>
        <v/>
      </c>
      <c r="CB29" s="69" t="str">
        <f t="shared" si="482"/>
        <v/>
      </c>
      <c r="CC29" s="69" t="str">
        <f t="shared" si="482"/>
        <v/>
      </c>
      <c r="CD29" s="69" t="str">
        <f t="shared" si="482"/>
        <v/>
      </c>
      <c r="CE29" s="69">
        <f t="shared" si="482"/>
        <v>0</v>
      </c>
      <c r="CF29" s="69" t="str">
        <f t="shared" si="482"/>
        <v/>
      </c>
      <c r="CG29" s="69" t="str">
        <f t="shared" si="482"/>
        <v/>
      </c>
      <c r="CH29" s="69" t="str">
        <f t="shared" si="482"/>
        <v/>
      </c>
      <c r="CI29" s="69" t="str">
        <f t="shared" si="482"/>
        <v/>
      </c>
      <c r="CJ29" s="69" t="str">
        <f t="shared" si="482"/>
        <v/>
      </c>
      <c r="CK29" s="69" t="str">
        <f t="shared" si="482"/>
        <v/>
      </c>
      <c r="CL29" s="69" t="str">
        <f t="shared" si="482"/>
        <v/>
      </c>
      <c r="CM29" s="69">
        <f t="shared" si="482"/>
        <v>0</v>
      </c>
      <c r="CN29" s="69" t="str">
        <f t="shared" si="482"/>
        <v/>
      </c>
      <c r="CO29" s="69" t="str">
        <f t="shared" si="482"/>
        <v/>
      </c>
      <c r="CP29" s="69" t="str">
        <f t="shared" si="482"/>
        <v/>
      </c>
      <c r="CQ29" s="69" t="str">
        <f t="shared" si="482"/>
        <v/>
      </c>
      <c r="CR29" s="69" t="str">
        <f t="shared" si="482"/>
        <v/>
      </c>
      <c r="CS29" s="69" t="str">
        <f t="shared" si="482"/>
        <v/>
      </c>
      <c r="CT29" s="69" t="str">
        <f t="shared" si="482"/>
        <v/>
      </c>
      <c r="CU29" s="69">
        <f t="shared" si="482"/>
        <v>0</v>
      </c>
      <c r="CV29" s="69" t="str">
        <f t="shared" si="482"/>
        <v/>
      </c>
      <c r="CW29" s="69" t="str">
        <f t="shared" si="482"/>
        <v/>
      </c>
      <c r="CX29" s="69" t="str">
        <f t="shared" si="482"/>
        <v/>
      </c>
      <c r="CY29" s="69" t="str">
        <f t="shared" si="482"/>
        <v/>
      </c>
      <c r="CZ29" s="69" t="str">
        <f t="shared" si="482"/>
        <v/>
      </c>
      <c r="DA29" s="69" t="str">
        <f t="shared" si="482"/>
        <v/>
      </c>
      <c r="DB29" s="69" t="str">
        <f t="shared" si="482"/>
        <v/>
      </c>
      <c r="DC29" s="69">
        <f t="shared" si="482"/>
        <v>0</v>
      </c>
      <c r="DD29" s="69" t="str">
        <f t="shared" si="482"/>
        <v/>
      </c>
      <c r="DE29" s="69" t="str">
        <f t="shared" si="482"/>
        <v/>
      </c>
      <c r="DF29" s="69" t="str">
        <f t="shared" si="482"/>
        <v/>
      </c>
      <c r="DG29" s="69" t="str">
        <f t="shared" si="482"/>
        <v/>
      </c>
      <c r="DH29" s="69" t="str">
        <f t="shared" si="482"/>
        <v/>
      </c>
      <c r="DI29" s="69" t="str">
        <f t="shared" si="482"/>
        <v/>
      </c>
      <c r="DJ29" s="69" t="str">
        <f t="shared" si="482"/>
        <v/>
      </c>
      <c r="DK29" s="69">
        <f t="shared" si="482"/>
        <v>0</v>
      </c>
      <c r="DL29" s="69" t="str">
        <f t="shared" si="482"/>
        <v/>
      </c>
      <c r="DM29" s="69" t="str">
        <f t="shared" si="482"/>
        <v/>
      </c>
      <c r="DN29" s="69" t="str">
        <f t="shared" si="482"/>
        <v/>
      </c>
      <c r="DO29" s="69" t="str">
        <f t="shared" si="482"/>
        <v/>
      </c>
      <c r="DP29" s="69" t="str">
        <f t="shared" si="482"/>
        <v/>
      </c>
      <c r="DQ29" s="69" t="str">
        <f t="shared" si="482"/>
        <v/>
      </c>
      <c r="DR29" s="69" t="str">
        <f t="shared" si="482"/>
        <v/>
      </c>
      <c r="DS29" s="69">
        <f t="shared" si="482"/>
        <v>0</v>
      </c>
      <c r="DT29" s="69" t="str">
        <f t="shared" si="482"/>
        <v/>
      </c>
      <c r="DU29" s="69" t="str">
        <f t="shared" si="482"/>
        <v/>
      </c>
      <c r="DV29" s="69" t="str">
        <f t="shared" si="482"/>
        <v/>
      </c>
      <c r="DW29" s="69" t="str">
        <f t="shared" si="482"/>
        <v/>
      </c>
      <c r="DX29" s="69" t="str">
        <f t="shared" si="482"/>
        <v/>
      </c>
      <c r="DY29" s="69" t="str">
        <f t="shared" si="482"/>
        <v/>
      </c>
      <c r="DZ29" s="69" t="str">
        <f t="shared" si="482"/>
        <v/>
      </c>
      <c r="EA29" s="69">
        <f t="shared" si="482"/>
        <v>0</v>
      </c>
      <c r="EB29" s="69" t="str">
        <f t="shared" si="482"/>
        <v/>
      </c>
      <c r="EC29" s="69" t="str">
        <f t="shared" si="482"/>
        <v/>
      </c>
      <c r="ED29" s="69" t="str">
        <f t="shared" si="482"/>
        <v/>
      </c>
      <c r="EE29" s="69" t="str">
        <f t="shared" ref="EE29:GP29" si="483">EE9</f>
        <v/>
      </c>
      <c r="EF29" s="69" t="str">
        <f t="shared" si="483"/>
        <v/>
      </c>
      <c r="EG29" s="69" t="str">
        <f t="shared" si="483"/>
        <v/>
      </c>
      <c r="EH29" s="69" t="str">
        <f t="shared" si="483"/>
        <v/>
      </c>
      <c r="EI29" s="69">
        <f t="shared" si="483"/>
        <v>0</v>
      </c>
      <c r="EJ29" s="69" t="str">
        <f t="shared" si="483"/>
        <v/>
      </c>
      <c r="EK29" s="69" t="str">
        <f t="shared" si="483"/>
        <v/>
      </c>
      <c r="EL29" s="69" t="str">
        <f t="shared" si="483"/>
        <v/>
      </c>
      <c r="EM29" s="69" t="str">
        <f t="shared" si="483"/>
        <v/>
      </c>
      <c r="EN29" s="69" t="str">
        <f t="shared" si="483"/>
        <v/>
      </c>
      <c r="EO29" s="69" t="str">
        <f t="shared" si="483"/>
        <v/>
      </c>
      <c r="EP29" s="69" t="str">
        <f t="shared" si="483"/>
        <v/>
      </c>
      <c r="EQ29" s="69">
        <f t="shared" si="483"/>
        <v>0</v>
      </c>
      <c r="ER29" s="69" t="str">
        <f t="shared" si="483"/>
        <v/>
      </c>
      <c r="ES29" s="69" t="str">
        <f t="shared" si="483"/>
        <v/>
      </c>
      <c r="ET29" s="69" t="str">
        <f t="shared" si="483"/>
        <v/>
      </c>
      <c r="EU29" s="69" t="str">
        <f t="shared" si="483"/>
        <v/>
      </c>
      <c r="EV29" s="69" t="str">
        <f t="shared" si="483"/>
        <v/>
      </c>
      <c r="EW29" s="69" t="str">
        <f t="shared" si="483"/>
        <v/>
      </c>
      <c r="EX29" s="69" t="str">
        <f t="shared" si="483"/>
        <v/>
      </c>
      <c r="EY29" s="69">
        <f t="shared" si="483"/>
        <v>0</v>
      </c>
      <c r="EZ29" s="69" t="str">
        <f t="shared" si="483"/>
        <v/>
      </c>
      <c r="FA29" s="69" t="str">
        <f t="shared" si="483"/>
        <v/>
      </c>
      <c r="FB29" s="69" t="str">
        <f t="shared" si="483"/>
        <v/>
      </c>
      <c r="FC29" s="69" t="str">
        <f t="shared" si="483"/>
        <v/>
      </c>
      <c r="FD29" s="69" t="str">
        <f t="shared" si="483"/>
        <v/>
      </c>
      <c r="FE29" s="69" t="str">
        <f t="shared" si="483"/>
        <v/>
      </c>
      <c r="FF29" s="69" t="str">
        <f t="shared" si="483"/>
        <v/>
      </c>
      <c r="FG29" s="69">
        <f t="shared" si="483"/>
        <v>0</v>
      </c>
      <c r="FH29" s="69" t="str">
        <f t="shared" si="483"/>
        <v/>
      </c>
      <c r="FI29" s="69" t="str">
        <f t="shared" si="483"/>
        <v/>
      </c>
      <c r="FJ29" s="69" t="str">
        <f t="shared" si="483"/>
        <v/>
      </c>
      <c r="FK29" s="69" t="str">
        <f t="shared" si="483"/>
        <v/>
      </c>
      <c r="FL29" s="69" t="str">
        <f t="shared" si="483"/>
        <v/>
      </c>
      <c r="FM29" s="69" t="str">
        <f t="shared" si="483"/>
        <v/>
      </c>
      <c r="FN29" s="69" t="str">
        <f t="shared" si="483"/>
        <v/>
      </c>
      <c r="FO29" s="69">
        <f t="shared" si="483"/>
        <v>0</v>
      </c>
      <c r="FP29" s="69" t="str">
        <f t="shared" si="483"/>
        <v/>
      </c>
      <c r="FQ29" s="69" t="str">
        <f t="shared" si="483"/>
        <v/>
      </c>
      <c r="FR29" s="69" t="str">
        <f t="shared" si="483"/>
        <v/>
      </c>
      <c r="FS29" s="69" t="str">
        <f t="shared" si="483"/>
        <v/>
      </c>
      <c r="FT29" s="69" t="str">
        <f t="shared" si="483"/>
        <v/>
      </c>
      <c r="FU29" s="69" t="str">
        <f t="shared" si="483"/>
        <v/>
      </c>
      <c r="FV29" s="69" t="str">
        <f t="shared" si="483"/>
        <v/>
      </c>
      <c r="FW29" s="69">
        <f t="shared" si="483"/>
        <v>0</v>
      </c>
      <c r="FX29" s="69" t="str">
        <f t="shared" si="483"/>
        <v/>
      </c>
      <c r="FY29" s="69" t="str">
        <f t="shared" si="483"/>
        <v/>
      </c>
      <c r="FZ29" s="69" t="str">
        <f t="shared" si="483"/>
        <v/>
      </c>
      <c r="GA29" s="69" t="str">
        <f t="shared" si="483"/>
        <v/>
      </c>
      <c r="GB29" s="69" t="str">
        <f t="shared" si="483"/>
        <v/>
      </c>
      <c r="GC29" s="69" t="str">
        <f t="shared" si="483"/>
        <v/>
      </c>
      <c r="GD29" s="69" t="str">
        <f t="shared" si="483"/>
        <v/>
      </c>
      <c r="GE29" s="69">
        <f t="shared" si="483"/>
        <v>0</v>
      </c>
      <c r="GF29" s="69" t="str">
        <f t="shared" si="483"/>
        <v/>
      </c>
      <c r="GG29" s="69" t="str">
        <f t="shared" si="483"/>
        <v/>
      </c>
      <c r="GH29" s="69" t="str">
        <f t="shared" si="483"/>
        <v/>
      </c>
      <c r="GI29" s="69" t="str">
        <f t="shared" si="483"/>
        <v/>
      </c>
      <c r="GJ29" s="69" t="str">
        <f t="shared" si="483"/>
        <v/>
      </c>
      <c r="GK29" s="69" t="str">
        <f t="shared" si="483"/>
        <v/>
      </c>
      <c r="GL29" s="69" t="str">
        <f t="shared" si="483"/>
        <v/>
      </c>
      <c r="GM29" s="69">
        <f t="shared" si="483"/>
        <v>0</v>
      </c>
      <c r="GN29" s="69" t="str">
        <f t="shared" si="483"/>
        <v/>
      </c>
      <c r="GO29" s="69" t="str">
        <f t="shared" si="483"/>
        <v/>
      </c>
      <c r="GP29" s="69" t="str">
        <f t="shared" si="483"/>
        <v/>
      </c>
      <c r="GQ29" s="69" t="str">
        <f t="shared" ref="GQ29:JB29" si="484">GQ9</f>
        <v/>
      </c>
      <c r="GR29" s="69" t="str">
        <f t="shared" si="484"/>
        <v/>
      </c>
      <c r="GS29" s="69" t="str">
        <f t="shared" si="484"/>
        <v/>
      </c>
      <c r="GT29" s="69" t="str">
        <f t="shared" si="484"/>
        <v/>
      </c>
      <c r="GU29" s="69">
        <f t="shared" si="484"/>
        <v>0</v>
      </c>
      <c r="GV29" s="69" t="str">
        <f t="shared" si="484"/>
        <v/>
      </c>
      <c r="GW29" s="69" t="str">
        <f t="shared" si="484"/>
        <v/>
      </c>
      <c r="GX29" s="69" t="str">
        <f t="shared" si="484"/>
        <v/>
      </c>
      <c r="GY29" s="69" t="str">
        <f t="shared" si="484"/>
        <v/>
      </c>
      <c r="GZ29" s="69" t="str">
        <f t="shared" si="484"/>
        <v/>
      </c>
      <c r="HA29" s="69" t="str">
        <f t="shared" si="484"/>
        <v/>
      </c>
      <c r="HB29" s="69" t="str">
        <f t="shared" si="484"/>
        <v/>
      </c>
      <c r="HC29" s="69">
        <f t="shared" si="484"/>
        <v>0</v>
      </c>
      <c r="HD29" s="69" t="str">
        <f t="shared" si="484"/>
        <v/>
      </c>
      <c r="HE29" s="69" t="str">
        <f t="shared" si="484"/>
        <v/>
      </c>
      <c r="HF29" s="69" t="str">
        <f t="shared" si="484"/>
        <v/>
      </c>
      <c r="HG29" s="69" t="str">
        <f t="shared" si="484"/>
        <v/>
      </c>
      <c r="HH29" s="69" t="str">
        <f t="shared" si="484"/>
        <v/>
      </c>
      <c r="HI29" s="69" t="str">
        <f t="shared" si="484"/>
        <v/>
      </c>
      <c r="HJ29" s="69" t="str">
        <f t="shared" si="484"/>
        <v/>
      </c>
      <c r="HK29" s="69">
        <f t="shared" si="484"/>
        <v>0</v>
      </c>
      <c r="HL29" s="69" t="str">
        <f t="shared" si="484"/>
        <v/>
      </c>
      <c r="HM29" s="69" t="str">
        <f t="shared" si="484"/>
        <v/>
      </c>
      <c r="HN29" s="69" t="str">
        <f t="shared" si="484"/>
        <v/>
      </c>
      <c r="HO29" s="69" t="str">
        <f t="shared" si="484"/>
        <v/>
      </c>
      <c r="HP29" s="69" t="str">
        <f t="shared" si="484"/>
        <v/>
      </c>
      <c r="HQ29" s="69" t="str">
        <f t="shared" si="484"/>
        <v/>
      </c>
      <c r="HR29" s="69" t="str">
        <f t="shared" si="484"/>
        <v/>
      </c>
      <c r="HS29" s="69">
        <f t="shared" si="484"/>
        <v>0</v>
      </c>
      <c r="HT29" s="69" t="str">
        <f t="shared" si="484"/>
        <v/>
      </c>
      <c r="HU29" s="69" t="str">
        <f t="shared" si="484"/>
        <v/>
      </c>
      <c r="HV29" s="69" t="str">
        <f t="shared" si="484"/>
        <v/>
      </c>
      <c r="HW29" s="69" t="str">
        <f t="shared" si="484"/>
        <v/>
      </c>
      <c r="HX29" s="69" t="str">
        <f t="shared" si="484"/>
        <v/>
      </c>
      <c r="HY29" s="69" t="str">
        <f t="shared" si="484"/>
        <v/>
      </c>
      <c r="HZ29" s="69" t="str">
        <f t="shared" si="484"/>
        <v/>
      </c>
      <c r="IA29" s="69">
        <f t="shared" si="484"/>
        <v>0</v>
      </c>
      <c r="IB29" s="69" t="str">
        <f t="shared" si="484"/>
        <v/>
      </c>
      <c r="IC29" s="69" t="str">
        <f t="shared" si="484"/>
        <v/>
      </c>
      <c r="ID29" s="69" t="str">
        <f t="shared" si="484"/>
        <v/>
      </c>
      <c r="IE29" s="69" t="str">
        <f t="shared" si="484"/>
        <v/>
      </c>
      <c r="IF29" s="69" t="str">
        <f t="shared" si="484"/>
        <v/>
      </c>
      <c r="IG29" s="69" t="str">
        <f t="shared" si="484"/>
        <v/>
      </c>
      <c r="IH29" s="69" t="str">
        <f t="shared" si="484"/>
        <v/>
      </c>
      <c r="II29" s="69">
        <f t="shared" si="484"/>
        <v>0</v>
      </c>
      <c r="IJ29" s="69" t="str">
        <f t="shared" si="484"/>
        <v/>
      </c>
      <c r="IK29" s="69" t="str">
        <f t="shared" si="484"/>
        <v/>
      </c>
      <c r="IL29" s="69" t="str">
        <f t="shared" si="484"/>
        <v/>
      </c>
      <c r="IM29" s="69" t="str">
        <f t="shared" si="484"/>
        <v/>
      </c>
      <c r="IN29" s="69" t="str">
        <f t="shared" si="484"/>
        <v/>
      </c>
      <c r="IO29" s="69" t="str">
        <f t="shared" si="484"/>
        <v/>
      </c>
      <c r="IP29" s="69" t="str">
        <f t="shared" si="484"/>
        <v/>
      </c>
      <c r="IQ29" s="69">
        <f t="shared" si="484"/>
        <v>0</v>
      </c>
      <c r="IR29" s="69" t="str">
        <f t="shared" si="484"/>
        <v/>
      </c>
      <c r="IS29" s="69" t="str">
        <f t="shared" si="484"/>
        <v/>
      </c>
      <c r="IT29" s="69" t="str">
        <f t="shared" si="484"/>
        <v/>
      </c>
      <c r="IU29" s="69" t="str">
        <f t="shared" si="484"/>
        <v/>
      </c>
      <c r="IV29" s="69" t="str">
        <f t="shared" si="484"/>
        <v/>
      </c>
      <c r="IW29" s="69" t="str">
        <f t="shared" si="484"/>
        <v/>
      </c>
      <c r="IX29" s="69" t="str">
        <f t="shared" si="484"/>
        <v/>
      </c>
      <c r="IY29" s="69">
        <f t="shared" si="484"/>
        <v>0</v>
      </c>
      <c r="IZ29" s="69" t="str">
        <f t="shared" si="484"/>
        <v/>
      </c>
      <c r="JA29" s="69" t="str">
        <f t="shared" si="484"/>
        <v/>
      </c>
      <c r="JB29" s="69" t="str">
        <f t="shared" si="484"/>
        <v/>
      </c>
      <c r="JC29" s="69" t="str">
        <f t="shared" ref="JC29:LN29" si="485">JC9</f>
        <v/>
      </c>
      <c r="JD29" s="69" t="str">
        <f t="shared" si="485"/>
        <v/>
      </c>
      <c r="JE29" s="69" t="str">
        <f t="shared" si="485"/>
        <v/>
      </c>
      <c r="JF29" s="69" t="str">
        <f t="shared" si="485"/>
        <v/>
      </c>
      <c r="JG29" s="69">
        <f t="shared" si="485"/>
        <v>0</v>
      </c>
      <c r="JH29" s="69" t="str">
        <f t="shared" si="485"/>
        <v/>
      </c>
      <c r="JI29" s="69" t="str">
        <f t="shared" si="485"/>
        <v/>
      </c>
      <c r="JJ29" s="69" t="str">
        <f t="shared" si="485"/>
        <v/>
      </c>
      <c r="JK29" s="69" t="str">
        <f t="shared" si="485"/>
        <v/>
      </c>
      <c r="JL29" s="69" t="str">
        <f t="shared" si="485"/>
        <v/>
      </c>
      <c r="JM29" s="69" t="str">
        <f t="shared" si="485"/>
        <v/>
      </c>
      <c r="JN29" s="69" t="str">
        <f t="shared" si="485"/>
        <v/>
      </c>
      <c r="JO29" s="69">
        <f t="shared" si="485"/>
        <v>0</v>
      </c>
      <c r="JP29" s="69" t="str">
        <f t="shared" si="485"/>
        <v/>
      </c>
      <c r="JQ29" s="69" t="str">
        <f t="shared" si="485"/>
        <v/>
      </c>
      <c r="JR29" s="69" t="str">
        <f t="shared" si="485"/>
        <v/>
      </c>
      <c r="JS29" s="69" t="str">
        <f t="shared" si="485"/>
        <v/>
      </c>
      <c r="JT29" s="69" t="str">
        <f t="shared" si="485"/>
        <v/>
      </c>
      <c r="JU29" s="69" t="str">
        <f t="shared" si="485"/>
        <v/>
      </c>
      <c r="JV29" s="69" t="str">
        <f t="shared" si="485"/>
        <v/>
      </c>
      <c r="JW29" s="69">
        <f t="shared" si="485"/>
        <v>0</v>
      </c>
      <c r="JX29" s="69" t="str">
        <f t="shared" si="485"/>
        <v/>
      </c>
      <c r="JY29" s="69" t="str">
        <f t="shared" si="485"/>
        <v/>
      </c>
      <c r="JZ29" s="69" t="str">
        <f t="shared" si="485"/>
        <v/>
      </c>
      <c r="KA29" s="69" t="str">
        <f t="shared" si="485"/>
        <v/>
      </c>
      <c r="KB29" s="69" t="str">
        <f t="shared" si="485"/>
        <v/>
      </c>
      <c r="KC29" s="69" t="str">
        <f t="shared" si="485"/>
        <v/>
      </c>
      <c r="KD29" s="69" t="str">
        <f t="shared" si="485"/>
        <v/>
      </c>
      <c r="KE29" s="69">
        <f t="shared" si="485"/>
        <v>0</v>
      </c>
      <c r="KF29" s="69" t="str">
        <f t="shared" si="485"/>
        <v/>
      </c>
      <c r="KG29" s="69" t="str">
        <f t="shared" si="485"/>
        <v/>
      </c>
      <c r="KH29" s="69" t="str">
        <f t="shared" si="485"/>
        <v/>
      </c>
      <c r="KI29" s="69" t="str">
        <f t="shared" si="485"/>
        <v/>
      </c>
      <c r="KJ29" s="69" t="str">
        <f t="shared" si="485"/>
        <v/>
      </c>
      <c r="KK29" s="69" t="str">
        <f t="shared" si="485"/>
        <v/>
      </c>
      <c r="KL29" s="69" t="str">
        <f t="shared" si="485"/>
        <v/>
      </c>
      <c r="KM29" s="69">
        <f t="shared" si="485"/>
        <v>0</v>
      </c>
      <c r="KN29" s="69" t="str">
        <f t="shared" si="485"/>
        <v/>
      </c>
      <c r="KO29" s="69" t="str">
        <f t="shared" si="485"/>
        <v/>
      </c>
      <c r="KP29" s="69" t="str">
        <f t="shared" si="485"/>
        <v/>
      </c>
      <c r="KQ29" s="69" t="str">
        <f t="shared" si="485"/>
        <v/>
      </c>
      <c r="KR29" s="69" t="str">
        <f t="shared" si="485"/>
        <v/>
      </c>
      <c r="KS29" s="69" t="str">
        <f t="shared" si="485"/>
        <v/>
      </c>
      <c r="KT29" s="69" t="str">
        <f t="shared" si="485"/>
        <v/>
      </c>
      <c r="KU29" s="69">
        <f t="shared" si="485"/>
        <v>0</v>
      </c>
      <c r="KV29" s="69" t="str">
        <f t="shared" si="485"/>
        <v/>
      </c>
      <c r="KW29" s="69" t="str">
        <f t="shared" si="485"/>
        <v/>
      </c>
      <c r="KX29" s="69" t="str">
        <f t="shared" si="485"/>
        <v/>
      </c>
      <c r="KY29" s="69" t="str">
        <f t="shared" si="485"/>
        <v/>
      </c>
      <c r="KZ29" s="69" t="str">
        <f t="shared" si="485"/>
        <v/>
      </c>
      <c r="LA29" s="69" t="str">
        <f t="shared" si="485"/>
        <v/>
      </c>
      <c r="LB29" s="69" t="str">
        <f t="shared" si="485"/>
        <v/>
      </c>
      <c r="LC29" s="69">
        <f t="shared" si="485"/>
        <v>0</v>
      </c>
      <c r="LD29" s="69" t="str">
        <f t="shared" si="485"/>
        <v/>
      </c>
      <c r="LE29" s="69" t="str">
        <f t="shared" si="485"/>
        <v/>
      </c>
      <c r="LF29" s="69" t="str">
        <f t="shared" si="485"/>
        <v/>
      </c>
      <c r="LG29" s="69" t="str">
        <f t="shared" si="485"/>
        <v/>
      </c>
      <c r="LH29" s="69" t="str">
        <f t="shared" si="485"/>
        <v/>
      </c>
      <c r="LI29" s="69" t="str">
        <f t="shared" si="485"/>
        <v/>
      </c>
      <c r="LJ29" s="69" t="str">
        <f t="shared" si="485"/>
        <v/>
      </c>
      <c r="LK29" s="69">
        <f t="shared" si="485"/>
        <v>0</v>
      </c>
      <c r="LL29" s="69" t="str">
        <f t="shared" si="485"/>
        <v/>
      </c>
      <c r="LM29" s="69" t="str">
        <f t="shared" si="485"/>
        <v/>
      </c>
      <c r="LN29" s="69" t="str">
        <f t="shared" si="485"/>
        <v/>
      </c>
      <c r="LO29" s="69" t="str">
        <f t="shared" ref="LO29:NW29" si="486">LO9</f>
        <v/>
      </c>
      <c r="LP29" s="69" t="str">
        <f t="shared" si="486"/>
        <v/>
      </c>
      <c r="LQ29" s="69" t="str">
        <f t="shared" si="486"/>
        <v/>
      </c>
      <c r="LR29" s="69" t="str">
        <f t="shared" si="486"/>
        <v/>
      </c>
      <c r="LS29" s="69">
        <f t="shared" si="486"/>
        <v>0</v>
      </c>
      <c r="LT29" s="69" t="str">
        <f t="shared" si="486"/>
        <v/>
      </c>
      <c r="LU29" s="69" t="str">
        <f t="shared" si="486"/>
        <v/>
      </c>
      <c r="LV29" s="69" t="str">
        <f t="shared" si="486"/>
        <v/>
      </c>
      <c r="LW29" s="69" t="str">
        <f t="shared" si="486"/>
        <v/>
      </c>
      <c r="LX29" s="69" t="str">
        <f t="shared" si="486"/>
        <v/>
      </c>
      <c r="LY29" s="69" t="str">
        <f t="shared" si="486"/>
        <v/>
      </c>
      <c r="LZ29" s="69" t="str">
        <f t="shared" si="486"/>
        <v/>
      </c>
      <c r="MA29" s="69">
        <f t="shared" si="486"/>
        <v>0</v>
      </c>
      <c r="MB29" s="69" t="str">
        <f t="shared" si="486"/>
        <v/>
      </c>
      <c r="MC29" s="69" t="str">
        <f t="shared" si="486"/>
        <v/>
      </c>
      <c r="MD29" s="69" t="str">
        <f t="shared" si="486"/>
        <v/>
      </c>
      <c r="ME29" s="69" t="str">
        <f t="shared" si="486"/>
        <v/>
      </c>
      <c r="MF29" s="69" t="str">
        <f t="shared" si="486"/>
        <v/>
      </c>
      <c r="MG29" s="69" t="str">
        <f t="shared" si="486"/>
        <v/>
      </c>
      <c r="MH29" s="69" t="str">
        <f t="shared" si="486"/>
        <v/>
      </c>
      <c r="MI29" s="69">
        <f t="shared" si="486"/>
        <v>0</v>
      </c>
      <c r="MJ29" s="69" t="str">
        <f t="shared" si="486"/>
        <v/>
      </c>
      <c r="MK29" s="69" t="str">
        <f t="shared" si="486"/>
        <v/>
      </c>
      <c r="ML29" s="69" t="str">
        <f t="shared" si="486"/>
        <v/>
      </c>
      <c r="MM29" s="69" t="str">
        <f t="shared" si="486"/>
        <v/>
      </c>
      <c r="MN29" s="69" t="str">
        <f t="shared" si="486"/>
        <v/>
      </c>
      <c r="MO29" s="69" t="str">
        <f t="shared" si="486"/>
        <v/>
      </c>
      <c r="MP29" s="69" t="str">
        <f t="shared" si="486"/>
        <v/>
      </c>
      <c r="MQ29" s="69">
        <f t="shared" si="486"/>
        <v>0</v>
      </c>
      <c r="MR29" s="69" t="str">
        <f t="shared" si="486"/>
        <v/>
      </c>
      <c r="MS29" s="69" t="str">
        <f t="shared" si="486"/>
        <v/>
      </c>
      <c r="MT29" s="69" t="str">
        <f t="shared" si="486"/>
        <v/>
      </c>
      <c r="MU29" s="69" t="str">
        <f t="shared" si="486"/>
        <v/>
      </c>
      <c r="MV29" s="69" t="str">
        <f t="shared" si="486"/>
        <v/>
      </c>
      <c r="MW29" s="69" t="str">
        <f t="shared" si="486"/>
        <v/>
      </c>
      <c r="MX29" s="69" t="str">
        <f t="shared" si="486"/>
        <v/>
      </c>
      <c r="MY29" s="69">
        <f t="shared" si="486"/>
        <v>0</v>
      </c>
      <c r="MZ29" s="69" t="str">
        <f t="shared" si="486"/>
        <v/>
      </c>
      <c r="NA29" s="69" t="str">
        <f t="shared" si="486"/>
        <v/>
      </c>
      <c r="NB29" s="69" t="str">
        <f t="shared" si="486"/>
        <v/>
      </c>
      <c r="NC29" s="69" t="str">
        <f t="shared" si="486"/>
        <v/>
      </c>
      <c r="ND29" s="69" t="str">
        <f t="shared" si="486"/>
        <v/>
      </c>
      <c r="NE29" s="69" t="str">
        <f t="shared" si="486"/>
        <v/>
      </c>
      <c r="NF29" s="69" t="str">
        <f t="shared" si="486"/>
        <v/>
      </c>
      <c r="NG29" s="69">
        <f t="shared" si="486"/>
        <v>0</v>
      </c>
      <c r="NH29" s="69" t="str">
        <f t="shared" si="486"/>
        <v/>
      </c>
      <c r="NI29" s="69" t="str">
        <f t="shared" si="486"/>
        <v/>
      </c>
      <c r="NJ29" s="69" t="str">
        <f t="shared" si="486"/>
        <v/>
      </c>
      <c r="NK29" s="69" t="str">
        <f t="shared" si="486"/>
        <v/>
      </c>
      <c r="NL29" s="69" t="str">
        <f t="shared" si="486"/>
        <v/>
      </c>
      <c r="NM29" s="69" t="str">
        <f t="shared" si="486"/>
        <v/>
      </c>
      <c r="NN29" s="69" t="str">
        <f t="shared" si="486"/>
        <v/>
      </c>
      <c r="NO29" s="69">
        <f t="shared" si="486"/>
        <v>0</v>
      </c>
      <c r="NP29" s="69" t="str">
        <f t="shared" si="486"/>
        <v/>
      </c>
      <c r="NQ29" s="69" t="str">
        <f t="shared" si="486"/>
        <v/>
      </c>
      <c r="NR29" s="69" t="str">
        <f t="shared" si="486"/>
        <v/>
      </c>
      <c r="NS29" s="69" t="str">
        <f t="shared" si="486"/>
        <v/>
      </c>
      <c r="NT29" s="69" t="str">
        <f t="shared" si="486"/>
        <v/>
      </c>
      <c r="NU29" s="69" t="str">
        <f t="shared" si="486"/>
        <v/>
      </c>
      <c r="NV29" s="69" t="str">
        <f t="shared" si="486"/>
        <v/>
      </c>
      <c r="NW29" s="69">
        <f t="shared" si="486"/>
        <v>0</v>
      </c>
    </row>
    <row r="30" spans="1:387" x14ac:dyDescent="0.25">
      <c r="B30" s="591" t="s">
        <v>435</v>
      </c>
      <c r="C30" s="591"/>
      <c r="D30" s="69" t="str">
        <f>D8</f>
        <v/>
      </c>
      <c r="E30" s="69" t="str">
        <f t="shared" ref="E30:BR30" si="487">E8</f>
        <v/>
      </c>
      <c r="F30" s="69" t="str">
        <f t="shared" si="487"/>
        <v/>
      </c>
      <c r="G30" s="69" t="str">
        <f t="shared" si="487"/>
        <v/>
      </c>
      <c r="H30" s="69" t="str">
        <f t="shared" si="487"/>
        <v/>
      </c>
      <c r="I30" s="69" t="str">
        <f t="shared" si="487"/>
        <v/>
      </c>
      <c r="J30" s="69" t="str">
        <f t="shared" si="487"/>
        <v/>
      </c>
      <c r="K30" s="100">
        <f t="shared" ref="K30:K35" si="488">SUM(D30:J30)</f>
        <v>0</v>
      </c>
      <c r="L30" s="69" t="str">
        <f t="shared" si="487"/>
        <v/>
      </c>
      <c r="M30" s="69" t="str">
        <f t="shared" si="487"/>
        <v/>
      </c>
      <c r="N30" s="69" t="str">
        <f t="shared" si="487"/>
        <v/>
      </c>
      <c r="O30" s="69" t="str">
        <f t="shared" si="487"/>
        <v/>
      </c>
      <c r="P30" s="69" t="str">
        <f t="shared" si="487"/>
        <v/>
      </c>
      <c r="Q30" s="69" t="str">
        <f t="shared" si="487"/>
        <v/>
      </c>
      <c r="R30" s="69" t="str">
        <f t="shared" si="487"/>
        <v/>
      </c>
      <c r="S30" s="69"/>
      <c r="T30" s="69" t="str">
        <f t="shared" si="487"/>
        <v/>
      </c>
      <c r="U30" s="69" t="str">
        <f t="shared" si="487"/>
        <v/>
      </c>
      <c r="V30" s="69" t="str">
        <f t="shared" si="487"/>
        <v/>
      </c>
      <c r="W30" s="69" t="str">
        <f t="shared" si="487"/>
        <v/>
      </c>
      <c r="X30" s="69" t="str">
        <f t="shared" si="487"/>
        <v/>
      </c>
      <c r="Y30" s="69" t="str">
        <f t="shared" si="487"/>
        <v/>
      </c>
      <c r="Z30" s="69" t="str">
        <f t="shared" si="487"/>
        <v/>
      </c>
      <c r="AA30" s="69">
        <f t="shared" si="487"/>
        <v>0</v>
      </c>
      <c r="AB30" s="69" t="str">
        <f t="shared" si="487"/>
        <v/>
      </c>
      <c r="AC30" s="69" t="str">
        <f t="shared" si="487"/>
        <v/>
      </c>
      <c r="AD30" s="69" t="str">
        <f t="shared" si="487"/>
        <v/>
      </c>
      <c r="AE30" s="69" t="str">
        <f t="shared" si="487"/>
        <v/>
      </c>
      <c r="AF30" s="69" t="str">
        <f t="shared" si="487"/>
        <v/>
      </c>
      <c r="AG30" s="69" t="str">
        <f t="shared" si="487"/>
        <v/>
      </c>
      <c r="AH30" s="69" t="str">
        <f t="shared" si="487"/>
        <v/>
      </c>
      <c r="AI30" s="69">
        <f t="shared" si="487"/>
        <v>0</v>
      </c>
      <c r="AJ30" s="69" t="str">
        <f t="shared" si="487"/>
        <v/>
      </c>
      <c r="AK30" s="69" t="str">
        <f t="shared" si="487"/>
        <v/>
      </c>
      <c r="AL30" s="69" t="str">
        <f t="shared" si="487"/>
        <v/>
      </c>
      <c r="AM30" s="69" t="str">
        <f t="shared" si="487"/>
        <v/>
      </c>
      <c r="AN30" s="69" t="str">
        <f t="shared" si="487"/>
        <v/>
      </c>
      <c r="AO30" s="69" t="str">
        <f t="shared" si="487"/>
        <v/>
      </c>
      <c r="AP30" s="69" t="str">
        <f t="shared" si="487"/>
        <v/>
      </c>
      <c r="AQ30" s="69">
        <f t="shared" si="487"/>
        <v>0</v>
      </c>
      <c r="AR30" s="69" t="str">
        <f t="shared" si="487"/>
        <v/>
      </c>
      <c r="AS30" s="69" t="str">
        <f t="shared" si="487"/>
        <v/>
      </c>
      <c r="AT30" s="69" t="str">
        <f t="shared" si="487"/>
        <v/>
      </c>
      <c r="AU30" s="69" t="str">
        <f t="shared" si="487"/>
        <v/>
      </c>
      <c r="AV30" s="69" t="str">
        <f t="shared" si="487"/>
        <v/>
      </c>
      <c r="AW30" s="69" t="str">
        <f t="shared" si="487"/>
        <v/>
      </c>
      <c r="AX30" s="69" t="str">
        <f t="shared" si="487"/>
        <v/>
      </c>
      <c r="AY30" s="69">
        <f t="shared" si="487"/>
        <v>0</v>
      </c>
      <c r="AZ30" s="69" t="str">
        <f t="shared" si="487"/>
        <v/>
      </c>
      <c r="BA30" s="69" t="str">
        <f t="shared" si="487"/>
        <v/>
      </c>
      <c r="BB30" s="69" t="str">
        <f t="shared" si="487"/>
        <v/>
      </c>
      <c r="BC30" s="69" t="str">
        <f t="shared" si="487"/>
        <v/>
      </c>
      <c r="BD30" s="69" t="str">
        <f t="shared" si="487"/>
        <v/>
      </c>
      <c r="BE30" s="69" t="str">
        <f t="shared" si="487"/>
        <v/>
      </c>
      <c r="BF30" s="69" t="str">
        <f t="shared" si="487"/>
        <v/>
      </c>
      <c r="BG30" s="69">
        <f t="shared" si="487"/>
        <v>0</v>
      </c>
      <c r="BH30" s="69" t="str">
        <f t="shared" si="487"/>
        <v/>
      </c>
      <c r="BI30" s="69" t="str">
        <f t="shared" si="487"/>
        <v/>
      </c>
      <c r="BJ30" s="69" t="str">
        <f t="shared" si="487"/>
        <v/>
      </c>
      <c r="BK30" s="69" t="str">
        <f t="shared" si="487"/>
        <v/>
      </c>
      <c r="BL30" s="69" t="str">
        <f t="shared" si="487"/>
        <v/>
      </c>
      <c r="BM30" s="69" t="str">
        <f t="shared" si="487"/>
        <v/>
      </c>
      <c r="BN30" s="69" t="str">
        <f t="shared" si="487"/>
        <v/>
      </c>
      <c r="BO30" s="69">
        <f t="shared" si="487"/>
        <v>0</v>
      </c>
      <c r="BP30" s="69" t="str">
        <f t="shared" si="487"/>
        <v/>
      </c>
      <c r="BQ30" s="69" t="str">
        <f t="shared" si="487"/>
        <v/>
      </c>
      <c r="BR30" s="69" t="str">
        <f t="shared" si="487"/>
        <v/>
      </c>
      <c r="BS30" s="69" t="str">
        <f t="shared" ref="BS30:ED30" si="489">BS8</f>
        <v/>
      </c>
      <c r="BT30" s="69" t="str">
        <f t="shared" si="489"/>
        <v/>
      </c>
      <c r="BU30" s="69" t="str">
        <f t="shared" si="489"/>
        <v/>
      </c>
      <c r="BV30" s="69" t="str">
        <f t="shared" si="489"/>
        <v/>
      </c>
      <c r="BW30" s="69">
        <f t="shared" si="489"/>
        <v>0</v>
      </c>
      <c r="BX30" s="69" t="str">
        <f t="shared" si="489"/>
        <v/>
      </c>
      <c r="BY30" s="69" t="str">
        <f t="shared" si="489"/>
        <v/>
      </c>
      <c r="BZ30" s="69" t="str">
        <f t="shared" si="489"/>
        <v/>
      </c>
      <c r="CA30" s="69" t="str">
        <f t="shared" si="489"/>
        <v/>
      </c>
      <c r="CB30" s="69" t="str">
        <f t="shared" si="489"/>
        <v/>
      </c>
      <c r="CC30" s="69" t="str">
        <f t="shared" si="489"/>
        <v/>
      </c>
      <c r="CD30" s="69" t="str">
        <f t="shared" si="489"/>
        <v/>
      </c>
      <c r="CE30" s="69">
        <f t="shared" si="489"/>
        <v>0</v>
      </c>
      <c r="CF30" s="69" t="str">
        <f t="shared" si="489"/>
        <v/>
      </c>
      <c r="CG30" s="69" t="str">
        <f t="shared" si="489"/>
        <v/>
      </c>
      <c r="CH30" s="69" t="str">
        <f t="shared" si="489"/>
        <v/>
      </c>
      <c r="CI30" s="69" t="str">
        <f t="shared" si="489"/>
        <v/>
      </c>
      <c r="CJ30" s="69" t="str">
        <f t="shared" si="489"/>
        <v/>
      </c>
      <c r="CK30" s="69" t="str">
        <f t="shared" si="489"/>
        <v/>
      </c>
      <c r="CL30" s="69" t="str">
        <f t="shared" si="489"/>
        <v/>
      </c>
      <c r="CM30" s="69">
        <f t="shared" si="489"/>
        <v>0</v>
      </c>
      <c r="CN30" s="69" t="str">
        <f t="shared" si="489"/>
        <v/>
      </c>
      <c r="CO30" s="69" t="str">
        <f t="shared" si="489"/>
        <v/>
      </c>
      <c r="CP30" s="69" t="str">
        <f t="shared" si="489"/>
        <v/>
      </c>
      <c r="CQ30" s="69" t="str">
        <f t="shared" si="489"/>
        <v/>
      </c>
      <c r="CR30" s="69" t="str">
        <f t="shared" si="489"/>
        <v/>
      </c>
      <c r="CS30" s="69" t="str">
        <f t="shared" si="489"/>
        <v/>
      </c>
      <c r="CT30" s="69" t="str">
        <f t="shared" si="489"/>
        <v/>
      </c>
      <c r="CU30" s="69">
        <f t="shared" si="489"/>
        <v>0</v>
      </c>
      <c r="CV30" s="69" t="str">
        <f t="shared" si="489"/>
        <v/>
      </c>
      <c r="CW30" s="69" t="str">
        <f t="shared" si="489"/>
        <v/>
      </c>
      <c r="CX30" s="69" t="str">
        <f t="shared" si="489"/>
        <v/>
      </c>
      <c r="CY30" s="69" t="str">
        <f t="shared" si="489"/>
        <v/>
      </c>
      <c r="CZ30" s="69" t="str">
        <f t="shared" si="489"/>
        <v/>
      </c>
      <c r="DA30" s="69" t="str">
        <f t="shared" si="489"/>
        <v/>
      </c>
      <c r="DB30" s="69" t="str">
        <f t="shared" si="489"/>
        <v/>
      </c>
      <c r="DC30" s="69">
        <f t="shared" si="489"/>
        <v>0</v>
      </c>
      <c r="DD30" s="69" t="str">
        <f t="shared" si="489"/>
        <v/>
      </c>
      <c r="DE30" s="69" t="str">
        <f t="shared" si="489"/>
        <v/>
      </c>
      <c r="DF30" s="69" t="str">
        <f t="shared" si="489"/>
        <v/>
      </c>
      <c r="DG30" s="69" t="str">
        <f t="shared" si="489"/>
        <v/>
      </c>
      <c r="DH30" s="69" t="str">
        <f t="shared" si="489"/>
        <v/>
      </c>
      <c r="DI30" s="69" t="str">
        <f t="shared" si="489"/>
        <v/>
      </c>
      <c r="DJ30" s="69" t="str">
        <f t="shared" si="489"/>
        <v/>
      </c>
      <c r="DK30" s="69">
        <f t="shared" si="489"/>
        <v>0</v>
      </c>
      <c r="DL30" s="69" t="str">
        <f t="shared" si="489"/>
        <v/>
      </c>
      <c r="DM30" s="69" t="str">
        <f t="shared" si="489"/>
        <v/>
      </c>
      <c r="DN30" s="69" t="str">
        <f t="shared" si="489"/>
        <v/>
      </c>
      <c r="DO30" s="69" t="str">
        <f t="shared" si="489"/>
        <v/>
      </c>
      <c r="DP30" s="69" t="str">
        <f t="shared" si="489"/>
        <v/>
      </c>
      <c r="DQ30" s="69" t="str">
        <f t="shared" si="489"/>
        <v/>
      </c>
      <c r="DR30" s="69" t="str">
        <f t="shared" si="489"/>
        <v/>
      </c>
      <c r="DS30" s="69">
        <f t="shared" si="489"/>
        <v>0</v>
      </c>
      <c r="DT30" s="69" t="str">
        <f t="shared" si="489"/>
        <v/>
      </c>
      <c r="DU30" s="69" t="str">
        <f t="shared" si="489"/>
        <v/>
      </c>
      <c r="DV30" s="69" t="str">
        <f t="shared" si="489"/>
        <v/>
      </c>
      <c r="DW30" s="69" t="str">
        <f t="shared" si="489"/>
        <v/>
      </c>
      <c r="DX30" s="69" t="str">
        <f t="shared" si="489"/>
        <v/>
      </c>
      <c r="DY30" s="69" t="str">
        <f t="shared" si="489"/>
        <v/>
      </c>
      <c r="DZ30" s="69" t="str">
        <f t="shared" si="489"/>
        <v/>
      </c>
      <c r="EA30" s="69">
        <f t="shared" si="489"/>
        <v>0</v>
      </c>
      <c r="EB30" s="69" t="str">
        <f t="shared" si="489"/>
        <v/>
      </c>
      <c r="EC30" s="69" t="str">
        <f t="shared" si="489"/>
        <v/>
      </c>
      <c r="ED30" s="69" t="str">
        <f t="shared" si="489"/>
        <v/>
      </c>
      <c r="EE30" s="69" t="str">
        <f t="shared" ref="EE30:GP30" si="490">EE8</f>
        <v/>
      </c>
      <c r="EF30" s="69" t="str">
        <f t="shared" si="490"/>
        <v/>
      </c>
      <c r="EG30" s="69" t="str">
        <f t="shared" si="490"/>
        <v/>
      </c>
      <c r="EH30" s="69" t="str">
        <f t="shared" si="490"/>
        <v/>
      </c>
      <c r="EI30" s="69">
        <f t="shared" si="490"/>
        <v>0</v>
      </c>
      <c r="EJ30" s="69" t="str">
        <f t="shared" si="490"/>
        <v/>
      </c>
      <c r="EK30" s="69" t="str">
        <f t="shared" si="490"/>
        <v/>
      </c>
      <c r="EL30" s="69" t="str">
        <f t="shared" si="490"/>
        <v/>
      </c>
      <c r="EM30" s="69" t="str">
        <f t="shared" si="490"/>
        <v/>
      </c>
      <c r="EN30" s="69" t="str">
        <f t="shared" si="490"/>
        <v/>
      </c>
      <c r="EO30" s="69" t="str">
        <f t="shared" si="490"/>
        <v/>
      </c>
      <c r="EP30" s="69" t="str">
        <f t="shared" si="490"/>
        <v/>
      </c>
      <c r="EQ30" s="69">
        <f t="shared" si="490"/>
        <v>0</v>
      </c>
      <c r="ER30" s="69" t="str">
        <f t="shared" si="490"/>
        <v/>
      </c>
      <c r="ES30" s="69" t="str">
        <f t="shared" si="490"/>
        <v/>
      </c>
      <c r="ET30" s="69" t="str">
        <f t="shared" si="490"/>
        <v/>
      </c>
      <c r="EU30" s="69" t="str">
        <f t="shared" si="490"/>
        <v/>
      </c>
      <c r="EV30" s="69" t="str">
        <f t="shared" si="490"/>
        <v/>
      </c>
      <c r="EW30" s="69" t="str">
        <f t="shared" si="490"/>
        <v/>
      </c>
      <c r="EX30" s="69" t="str">
        <f t="shared" si="490"/>
        <v/>
      </c>
      <c r="EY30" s="69">
        <f t="shared" si="490"/>
        <v>0</v>
      </c>
      <c r="EZ30" s="69" t="str">
        <f t="shared" si="490"/>
        <v/>
      </c>
      <c r="FA30" s="69" t="str">
        <f t="shared" si="490"/>
        <v/>
      </c>
      <c r="FB30" s="69" t="str">
        <f t="shared" si="490"/>
        <v/>
      </c>
      <c r="FC30" s="69" t="str">
        <f t="shared" si="490"/>
        <v/>
      </c>
      <c r="FD30" s="69" t="str">
        <f t="shared" si="490"/>
        <v/>
      </c>
      <c r="FE30" s="69" t="str">
        <f t="shared" si="490"/>
        <v/>
      </c>
      <c r="FF30" s="69" t="str">
        <f t="shared" si="490"/>
        <v/>
      </c>
      <c r="FG30" s="69">
        <f t="shared" si="490"/>
        <v>0</v>
      </c>
      <c r="FH30" s="69" t="str">
        <f t="shared" si="490"/>
        <v/>
      </c>
      <c r="FI30" s="69" t="str">
        <f t="shared" si="490"/>
        <v/>
      </c>
      <c r="FJ30" s="69" t="str">
        <f t="shared" si="490"/>
        <v/>
      </c>
      <c r="FK30" s="69" t="str">
        <f t="shared" si="490"/>
        <v/>
      </c>
      <c r="FL30" s="69" t="str">
        <f t="shared" si="490"/>
        <v/>
      </c>
      <c r="FM30" s="69" t="str">
        <f t="shared" si="490"/>
        <v/>
      </c>
      <c r="FN30" s="69" t="str">
        <f t="shared" si="490"/>
        <v/>
      </c>
      <c r="FO30" s="69">
        <f t="shared" si="490"/>
        <v>0</v>
      </c>
      <c r="FP30" s="69" t="str">
        <f t="shared" si="490"/>
        <v/>
      </c>
      <c r="FQ30" s="69" t="str">
        <f t="shared" si="490"/>
        <v/>
      </c>
      <c r="FR30" s="69" t="str">
        <f t="shared" si="490"/>
        <v/>
      </c>
      <c r="FS30" s="69" t="str">
        <f t="shared" si="490"/>
        <v/>
      </c>
      <c r="FT30" s="69" t="str">
        <f t="shared" si="490"/>
        <v/>
      </c>
      <c r="FU30" s="69" t="str">
        <f t="shared" si="490"/>
        <v/>
      </c>
      <c r="FV30" s="69" t="str">
        <f t="shared" si="490"/>
        <v/>
      </c>
      <c r="FW30" s="69">
        <f t="shared" si="490"/>
        <v>0</v>
      </c>
      <c r="FX30" s="69" t="str">
        <f t="shared" si="490"/>
        <v/>
      </c>
      <c r="FY30" s="69" t="str">
        <f t="shared" si="490"/>
        <v/>
      </c>
      <c r="FZ30" s="69" t="str">
        <f t="shared" si="490"/>
        <v/>
      </c>
      <c r="GA30" s="69" t="str">
        <f t="shared" si="490"/>
        <v/>
      </c>
      <c r="GB30" s="69" t="str">
        <f t="shared" si="490"/>
        <v/>
      </c>
      <c r="GC30" s="69" t="str">
        <f t="shared" si="490"/>
        <v/>
      </c>
      <c r="GD30" s="69" t="str">
        <f t="shared" si="490"/>
        <v/>
      </c>
      <c r="GE30" s="69">
        <f t="shared" si="490"/>
        <v>0</v>
      </c>
      <c r="GF30" s="69" t="str">
        <f t="shared" si="490"/>
        <v/>
      </c>
      <c r="GG30" s="69" t="str">
        <f t="shared" si="490"/>
        <v/>
      </c>
      <c r="GH30" s="69" t="str">
        <f t="shared" si="490"/>
        <v/>
      </c>
      <c r="GI30" s="69" t="str">
        <f t="shared" si="490"/>
        <v/>
      </c>
      <c r="GJ30" s="69" t="str">
        <f t="shared" si="490"/>
        <v/>
      </c>
      <c r="GK30" s="69" t="str">
        <f t="shared" si="490"/>
        <v/>
      </c>
      <c r="GL30" s="69" t="str">
        <f t="shared" si="490"/>
        <v/>
      </c>
      <c r="GM30" s="69">
        <f t="shared" si="490"/>
        <v>0</v>
      </c>
      <c r="GN30" s="69" t="str">
        <f t="shared" si="490"/>
        <v/>
      </c>
      <c r="GO30" s="69" t="str">
        <f t="shared" si="490"/>
        <v/>
      </c>
      <c r="GP30" s="69" t="str">
        <f t="shared" si="490"/>
        <v/>
      </c>
      <c r="GQ30" s="69" t="str">
        <f t="shared" ref="GQ30:JB30" si="491">GQ8</f>
        <v/>
      </c>
      <c r="GR30" s="69" t="str">
        <f t="shared" si="491"/>
        <v/>
      </c>
      <c r="GS30" s="69" t="str">
        <f t="shared" si="491"/>
        <v/>
      </c>
      <c r="GT30" s="69" t="str">
        <f t="shared" si="491"/>
        <v/>
      </c>
      <c r="GU30" s="69">
        <f t="shared" si="491"/>
        <v>0</v>
      </c>
      <c r="GV30" s="69" t="str">
        <f t="shared" si="491"/>
        <v/>
      </c>
      <c r="GW30" s="69" t="str">
        <f t="shared" si="491"/>
        <v/>
      </c>
      <c r="GX30" s="69" t="str">
        <f t="shared" si="491"/>
        <v/>
      </c>
      <c r="GY30" s="69" t="str">
        <f t="shared" si="491"/>
        <v/>
      </c>
      <c r="GZ30" s="69" t="str">
        <f t="shared" si="491"/>
        <v/>
      </c>
      <c r="HA30" s="69" t="str">
        <f t="shared" si="491"/>
        <v/>
      </c>
      <c r="HB30" s="69" t="str">
        <f t="shared" si="491"/>
        <v/>
      </c>
      <c r="HC30" s="69">
        <f t="shared" si="491"/>
        <v>0</v>
      </c>
      <c r="HD30" s="69" t="str">
        <f t="shared" si="491"/>
        <v/>
      </c>
      <c r="HE30" s="69" t="str">
        <f t="shared" si="491"/>
        <v/>
      </c>
      <c r="HF30" s="69" t="str">
        <f t="shared" si="491"/>
        <v/>
      </c>
      <c r="HG30" s="69" t="str">
        <f t="shared" si="491"/>
        <v/>
      </c>
      <c r="HH30" s="69" t="str">
        <f t="shared" si="491"/>
        <v/>
      </c>
      <c r="HI30" s="69" t="str">
        <f t="shared" si="491"/>
        <v/>
      </c>
      <c r="HJ30" s="69" t="str">
        <f t="shared" si="491"/>
        <v/>
      </c>
      <c r="HK30" s="69">
        <f t="shared" si="491"/>
        <v>0</v>
      </c>
      <c r="HL30" s="69" t="str">
        <f t="shared" si="491"/>
        <v/>
      </c>
      <c r="HM30" s="69" t="str">
        <f t="shared" si="491"/>
        <v/>
      </c>
      <c r="HN30" s="69" t="str">
        <f t="shared" si="491"/>
        <v/>
      </c>
      <c r="HO30" s="69" t="str">
        <f t="shared" si="491"/>
        <v/>
      </c>
      <c r="HP30" s="69" t="str">
        <f t="shared" si="491"/>
        <v/>
      </c>
      <c r="HQ30" s="69" t="str">
        <f t="shared" si="491"/>
        <v/>
      </c>
      <c r="HR30" s="69" t="str">
        <f t="shared" si="491"/>
        <v/>
      </c>
      <c r="HS30" s="69">
        <f t="shared" si="491"/>
        <v>0</v>
      </c>
      <c r="HT30" s="69" t="str">
        <f t="shared" si="491"/>
        <v/>
      </c>
      <c r="HU30" s="69" t="str">
        <f t="shared" si="491"/>
        <v/>
      </c>
      <c r="HV30" s="69" t="str">
        <f t="shared" si="491"/>
        <v/>
      </c>
      <c r="HW30" s="69" t="str">
        <f t="shared" si="491"/>
        <v/>
      </c>
      <c r="HX30" s="69" t="str">
        <f t="shared" si="491"/>
        <v/>
      </c>
      <c r="HY30" s="69" t="str">
        <f t="shared" si="491"/>
        <v/>
      </c>
      <c r="HZ30" s="69" t="str">
        <f t="shared" si="491"/>
        <v/>
      </c>
      <c r="IA30" s="69">
        <f t="shared" si="491"/>
        <v>0</v>
      </c>
      <c r="IB30" s="69" t="str">
        <f t="shared" si="491"/>
        <v/>
      </c>
      <c r="IC30" s="69" t="str">
        <f t="shared" si="491"/>
        <v/>
      </c>
      <c r="ID30" s="69" t="str">
        <f t="shared" si="491"/>
        <v/>
      </c>
      <c r="IE30" s="69" t="str">
        <f t="shared" si="491"/>
        <v/>
      </c>
      <c r="IF30" s="69" t="str">
        <f t="shared" si="491"/>
        <v/>
      </c>
      <c r="IG30" s="69" t="str">
        <f t="shared" si="491"/>
        <v/>
      </c>
      <c r="IH30" s="69" t="str">
        <f t="shared" si="491"/>
        <v/>
      </c>
      <c r="II30" s="69">
        <f t="shared" si="491"/>
        <v>0</v>
      </c>
      <c r="IJ30" s="69" t="str">
        <f t="shared" si="491"/>
        <v/>
      </c>
      <c r="IK30" s="69" t="str">
        <f t="shared" si="491"/>
        <v/>
      </c>
      <c r="IL30" s="69" t="str">
        <f t="shared" si="491"/>
        <v/>
      </c>
      <c r="IM30" s="69" t="str">
        <f t="shared" si="491"/>
        <v/>
      </c>
      <c r="IN30" s="69" t="str">
        <f t="shared" si="491"/>
        <v/>
      </c>
      <c r="IO30" s="69" t="str">
        <f t="shared" si="491"/>
        <v/>
      </c>
      <c r="IP30" s="69" t="str">
        <f t="shared" si="491"/>
        <v/>
      </c>
      <c r="IQ30" s="69">
        <f t="shared" si="491"/>
        <v>0</v>
      </c>
      <c r="IR30" s="69" t="str">
        <f t="shared" si="491"/>
        <v/>
      </c>
      <c r="IS30" s="69" t="str">
        <f t="shared" si="491"/>
        <v/>
      </c>
      <c r="IT30" s="69" t="str">
        <f t="shared" si="491"/>
        <v/>
      </c>
      <c r="IU30" s="69" t="str">
        <f t="shared" si="491"/>
        <v/>
      </c>
      <c r="IV30" s="69" t="str">
        <f t="shared" si="491"/>
        <v/>
      </c>
      <c r="IW30" s="69" t="str">
        <f t="shared" si="491"/>
        <v/>
      </c>
      <c r="IX30" s="69" t="str">
        <f t="shared" si="491"/>
        <v/>
      </c>
      <c r="IY30" s="69">
        <f t="shared" si="491"/>
        <v>0</v>
      </c>
      <c r="IZ30" s="69" t="str">
        <f t="shared" si="491"/>
        <v/>
      </c>
      <c r="JA30" s="69" t="str">
        <f t="shared" si="491"/>
        <v/>
      </c>
      <c r="JB30" s="69" t="str">
        <f t="shared" si="491"/>
        <v/>
      </c>
      <c r="JC30" s="69" t="str">
        <f t="shared" ref="JC30:LN30" si="492">JC8</f>
        <v/>
      </c>
      <c r="JD30" s="69" t="str">
        <f t="shared" si="492"/>
        <v/>
      </c>
      <c r="JE30" s="69" t="str">
        <f t="shared" si="492"/>
        <v/>
      </c>
      <c r="JF30" s="69" t="str">
        <f t="shared" si="492"/>
        <v/>
      </c>
      <c r="JG30" s="69">
        <f t="shared" si="492"/>
        <v>0</v>
      </c>
      <c r="JH30" s="69" t="str">
        <f t="shared" si="492"/>
        <v/>
      </c>
      <c r="JI30" s="69" t="str">
        <f t="shared" si="492"/>
        <v/>
      </c>
      <c r="JJ30" s="69" t="str">
        <f t="shared" si="492"/>
        <v/>
      </c>
      <c r="JK30" s="69" t="str">
        <f t="shared" si="492"/>
        <v/>
      </c>
      <c r="JL30" s="69" t="str">
        <f t="shared" si="492"/>
        <v/>
      </c>
      <c r="JM30" s="69" t="str">
        <f t="shared" si="492"/>
        <v/>
      </c>
      <c r="JN30" s="69" t="str">
        <f t="shared" si="492"/>
        <v/>
      </c>
      <c r="JO30" s="69">
        <f t="shared" si="492"/>
        <v>0</v>
      </c>
      <c r="JP30" s="69" t="str">
        <f t="shared" si="492"/>
        <v/>
      </c>
      <c r="JQ30" s="69" t="str">
        <f t="shared" si="492"/>
        <v/>
      </c>
      <c r="JR30" s="69" t="str">
        <f t="shared" si="492"/>
        <v/>
      </c>
      <c r="JS30" s="69" t="str">
        <f t="shared" si="492"/>
        <v/>
      </c>
      <c r="JT30" s="69" t="str">
        <f t="shared" si="492"/>
        <v/>
      </c>
      <c r="JU30" s="69" t="str">
        <f t="shared" si="492"/>
        <v/>
      </c>
      <c r="JV30" s="69" t="str">
        <f t="shared" si="492"/>
        <v/>
      </c>
      <c r="JW30" s="69">
        <f t="shared" si="492"/>
        <v>0</v>
      </c>
      <c r="JX30" s="69" t="str">
        <f t="shared" si="492"/>
        <v/>
      </c>
      <c r="JY30" s="69" t="str">
        <f t="shared" si="492"/>
        <v/>
      </c>
      <c r="JZ30" s="69" t="str">
        <f t="shared" si="492"/>
        <v/>
      </c>
      <c r="KA30" s="69" t="str">
        <f t="shared" si="492"/>
        <v/>
      </c>
      <c r="KB30" s="69" t="str">
        <f t="shared" si="492"/>
        <v/>
      </c>
      <c r="KC30" s="69" t="str">
        <f t="shared" si="492"/>
        <v/>
      </c>
      <c r="KD30" s="69" t="str">
        <f t="shared" si="492"/>
        <v/>
      </c>
      <c r="KE30" s="69">
        <f t="shared" si="492"/>
        <v>0</v>
      </c>
      <c r="KF30" s="69" t="str">
        <f t="shared" si="492"/>
        <v/>
      </c>
      <c r="KG30" s="69" t="str">
        <f t="shared" si="492"/>
        <v/>
      </c>
      <c r="KH30" s="69" t="str">
        <f t="shared" si="492"/>
        <v/>
      </c>
      <c r="KI30" s="69" t="str">
        <f t="shared" si="492"/>
        <v/>
      </c>
      <c r="KJ30" s="69" t="str">
        <f t="shared" si="492"/>
        <v/>
      </c>
      <c r="KK30" s="69" t="str">
        <f t="shared" si="492"/>
        <v/>
      </c>
      <c r="KL30" s="69" t="str">
        <f t="shared" si="492"/>
        <v/>
      </c>
      <c r="KM30" s="69">
        <f t="shared" si="492"/>
        <v>0</v>
      </c>
      <c r="KN30" s="69" t="str">
        <f t="shared" si="492"/>
        <v/>
      </c>
      <c r="KO30" s="69" t="str">
        <f t="shared" si="492"/>
        <v/>
      </c>
      <c r="KP30" s="69" t="str">
        <f t="shared" si="492"/>
        <v/>
      </c>
      <c r="KQ30" s="69" t="str">
        <f t="shared" si="492"/>
        <v/>
      </c>
      <c r="KR30" s="69" t="str">
        <f t="shared" si="492"/>
        <v/>
      </c>
      <c r="KS30" s="69" t="str">
        <f t="shared" si="492"/>
        <v/>
      </c>
      <c r="KT30" s="69" t="str">
        <f t="shared" si="492"/>
        <v/>
      </c>
      <c r="KU30" s="69">
        <f t="shared" si="492"/>
        <v>0</v>
      </c>
      <c r="KV30" s="69" t="str">
        <f t="shared" si="492"/>
        <v/>
      </c>
      <c r="KW30" s="69" t="str">
        <f t="shared" si="492"/>
        <v/>
      </c>
      <c r="KX30" s="69" t="str">
        <f t="shared" si="492"/>
        <v/>
      </c>
      <c r="KY30" s="69" t="str">
        <f t="shared" si="492"/>
        <v/>
      </c>
      <c r="KZ30" s="69" t="str">
        <f t="shared" si="492"/>
        <v/>
      </c>
      <c r="LA30" s="69" t="str">
        <f t="shared" si="492"/>
        <v/>
      </c>
      <c r="LB30" s="69" t="str">
        <f t="shared" si="492"/>
        <v/>
      </c>
      <c r="LC30" s="69">
        <f t="shared" si="492"/>
        <v>0</v>
      </c>
      <c r="LD30" s="69" t="str">
        <f t="shared" si="492"/>
        <v/>
      </c>
      <c r="LE30" s="69" t="str">
        <f t="shared" si="492"/>
        <v/>
      </c>
      <c r="LF30" s="69" t="str">
        <f t="shared" si="492"/>
        <v/>
      </c>
      <c r="LG30" s="69" t="str">
        <f t="shared" si="492"/>
        <v/>
      </c>
      <c r="LH30" s="69" t="str">
        <f t="shared" si="492"/>
        <v/>
      </c>
      <c r="LI30" s="69" t="str">
        <f t="shared" si="492"/>
        <v/>
      </c>
      <c r="LJ30" s="69" t="str">
        <f t="shared" si="492"/>
        <v/>
      </c>
      <c r="LK30" s="69">
        <f t="shared" si="492"/>
        <v>0</v>
      </c>
      <c r="LL30" s="69" t="str">
        <f t="shared" si="492"/>
        <v/>
      </c>
      <c r="LM30" s="69" t="str">
        <f t="shared" si="492"/>
        <v/>
      </c>
      <c r="LN30" s="69" t="str">
        <f t="shared" si="492"/>
        <v/>
      </c>
      <c r="LO30" s="69" t="str">
        <f t="shared" ref="LO30:NW30" si="493">LO8</f>
        <v/>
      </c>
      <c r="LP30" s="69" t="str">
        <f t="shared" si="493"/>
        <v/>
      </c>
      <c r="LQ30" s="69" t="str">
        <f t="shared" si="493"/>
        <v/>
      </c>
      <c r="LR30" s="69" t="str">
        <f t="shared" si="493"/>
        <v/>
      </c>
      <c r="LS30" s="69">
        <f t="shared" si="493"/>
        <v>0</v>
      </c>
      <c r="LT30" s="69" t="str">
        <f t="shared" si="493"/>
        <v/>
      </c>
      <c r="LU30" s="69" t="str">
        <f t="shared" si="493"/>
        <v/>
      </c>
      <c r="LV30" s="69" t="str">
        <f t="shared" si="493"/>
        <v/>
      </c>
      <c r="LW30" s="69" t="str">
        <f t="shared" si="493"/>
        <v/>
      </c>
      <c r="LX30" s="69" t="str">
        <f t="shared" si="493"/>
        <v/>
      </c>
      <c r="LY30" s="69" t="str">
        <f t="shared" si="493"/>
        <v/>
      </c>
      <c r="LZ30" s="69" t="str">
        <f t="shared" si="493"/>
        <v/>
      </c>
      <c r="MA30" s="69">
        <f t="shared" si="493"/>
        <v>0</v>
      </c>
      <c r="MB30" s="69" t="str">
        <f t="shared" si="493"/>
        <v/>
      </c>
      <c r="MC30" s="69" t="str">
        <f t="shared" si="493"/>
        <v/>
      </c>
      <c r="MD30" s="69" t="str">
        <f t="shared" si="493"/>
        <v/>
      </c>
      <c r="ME30" s="69" t="str">
        <f t="shared" si="493"/>
        <v/>
      </c>
      <c r="MF30" s="69" t="str">
        <f t="shared" si="493"/>
        <v/>
      </c>
      <c r="MG30" s="69" t="str">
        <f t="shared" si="493"/>
        <v/>
      </c>
      <c r="MH30" s="69" t="str">
        <f t="shared" si="493"/>
        <v/>
      </c>
      <c r="MI30" s="69">
        <f t="shared" si="493"/>
        <v>0</v>
      </c>
      <c r="MJ30" s="69" t="str">
        <f t="shared" si="493"/>
        <v/>
      </c>
      <c r="MK30" s="69" t="str">
        <f t="shared" si="493"/>
        <v/>
      </c>
      <c r="ML30" s="69" t="str">
        <f t="shared" si="493"/>
        <v/>
      </c>
      <c r="MM30" s="69" t="str">
        <f t="shared" si="493"/>
        <v/>
      </c>
      <c r="MN30" s="69" t="str">
        <f t="shared" si="493"/>
        <v/>
      </c>
      <c r="MO30" s="69" t="str">
        <f t="shared" si="493"/>
        <v/>
      </c>
      <c r="MP30" s="69" t="str">
        <f t="shared" si="493"/>
        <v/>
      </c>
      <c r="MQ30" s="69">
        <f t="shared" si="493"/>
        <v>0</v>
      </c>
      <c r="MR30" s="69" t="str">
        <f t="shared" si="493"/>
        <v/>
      </c>
      <c r="MS30" s="69" t="str">
        <f t="shared" si="493"/>
        <v/>
      </c>
      <c r="MT30" s="69" t="str">
        <f t="shared" si="493"/>
        <v/>
      </c>
      <c r="MU30" s="69" t="str">
        <f t="shared" si="493"/>
        <v/>
      </c>
      <c r="MV30" s="69" t="str">
        <f t="shared" si="493"/>
        <v/>
      </c>
      <c r="MW30" s="69" t="str">
        <f t="shared" si="493"/>
        <v/>
      </c>
      <c r="MX30" s="69" t="str">
        <f t="shared" si="493"/>
        <v/>
      </c>
      <c r="MY30" s="69">
        <f t="shared" si="493"/>
        <v>0</v>
      </c>
      <c r="MZ30" s="69" t="str">
        <f t="shared" si="493"/>
        <v/>
      </c>
      <c r="NA30" s="69" t="str">
        <f t="shared" si="493"/>
        <v/>
      </c>
      <c r="NB30" s="69" t="str">
        <f t="shared" si="493"/>
        <v/>
      </c>
      <c r="NC30" s="69" t="str">
        <f t="shared" si="493"/>
        <v/>
      </c>
      <c r="ND30" s="69" t="str">
        <f t="shared" si="493"/>
        <v/>
      </c>
      <c r="NE30" s="69" t="str">
        <f t="shared" si="493"/>
        <v/>
      </c>
      <c r="NF30" s="69" t="str">
        <f t="shared" si="493"/>
        <v/>
      </c>
      <c r="NG30" s="69">
        <f t="shared" si="493"/>
        <v>0</v>
      </c>
      <c r="NH30" s="69" t="str">
        <f t="shared" si="493"/>
        <v/>
      </c>
      <c r="NI30" s="69" t="str">
        <f t="shared" si="493"/>
        <v/>
      </c>
      <c r="NJ30" s="69" t="str">
        <f t="shared" si="493"/>
        <v/>
      </c>
      <c r="NK30" s="69" t="str">
        <f t="shared" si="493"/>
        <v/>
      </c>
      <c r="NL30" s="69" t="str">
        <f t="shared" si="493"/>
        <v/>
      </c>
      <c r="NM30" s="69" t="str">
        <f t="shared" si="493"/>
        <v/>
      </c>
      <c r="NN30" s="69" t="str">
        <f t="shared" si="493"/>
        <v/>
      </c>
      <c r="NO30" s="69">
        <f t="shared" si="493"/>
        <v>0</v>
      </c>
      <c r="NP30" s="69" t="str">
        <f t="shared" si="493"/>
        <v/>
      </c>
      <c r="NQ30" s="69" t="str">
        <f t="shared" si="493"/>
        <v/>
      </c>
      <c r="NR30" s="69" t="str">
        <f t="shared" si="493"/>
        <v/>
      </c>
      <c r="NS30" s="69" t="str">
        <f t="shared" si="493"/>
        <v/>
      </c>
      <c r="NT30" s="69" t="str">
        <f t="shared" si="493"/>
        <v/>
      </c>
      <c r="NU30" s="69" t="str">
        <f t="shared" si="493"/>
        <v/>
      </c>
      <c r="NV30" s="69" t="str">
        <f t="shared" si="493"/>
        <v/>
      </c>
      <c r="NW30" s="69">
        <f t="shared" si="493"/>
        <v>0</v>
      </c>
    </row>
    <row r="31" spans="1:387" x14ac:dyDescent="0.25">
      <c r="B31" s="591" t="s">
        <v>439</v>
      </c>
      <c r="C31" s="591"/>
      <c r="D31" s="69" t="str">
        <f>D5</f>
        <v/>
      </c>
      <c r="E31" s="69" t="str">
        <f t="shared" ref="E31:BR31" si="494">E5</f>
        <v/>
      </c>
      <c r="F31" s="69" t="str">
        <f t="shared" si="494"/>
        <v/>
      </c>
      <c r="G31" s="69" t="str">
        <f t="shared" si="494"/>
        <v/>
      </c>
      <c r="H31" s="69" t="str">
        <f t="shared" si="494"/>
        <v/>
      </c>
      <c r="I31" s="69" t="str">
        <f t="shared" si="494"/>
        <v/>
      </c>
      <c r="J31" s="69" t="str">
        <f t="shared" si="494"/>
        <v/>
      </c>
      <c r="K31" s="100">
        <f t="shared" si="488"/>
        <v>0</v>
      </c>
      <c r="L31" s="69" t="str">
        <f t="shared" si="494"/>
        <v/>
      </c>
      <c r="M31" s="69" t="str">
        <f t="shared" si="494"/>
        <v/>
      </c>
      <c r="N31" s="69" t="str">
        <f t="shared" si="494"/>
        <v/>
      </c>
      <c r="O31" s="69" t="str">
        <f t="shared" si="494"/>
        <v/>
      </c>
      <c r="P31" s="69" t="str">
        <f t="shared" si="494"/>
        <v/>
      </c>
      <c r="Q31" s="69" t="str">
        <f t="shared" si="494"/>
        <v/>
      </c>
      <c r="R31" s="69" t="str">
        <f t="shared" si="494"/>
        <v/>
      </c>
      <c r="S31" s="69"/>
      <c r="T31" s="69" t="str">
        <f t="shared" si="494"/>
        <v/>
      </c>
      <c r="U31" s="69" t="str">
        <f t="shared" si="494"/>
        <v/>
      </c>
      <c r="V31" s="69" t="str">
        <f t="shared" si="494"/>
        <v/>
      </c>
      <c r="W31" s="69" t="str">
        <f t="shared" si="494"/>
        <v/>
      </c>
      <c r="X31" s="69" t="str">
        <f t="shared" si="494"/>
        <v/>
      </c>
      <c r="Y31" s="69" t="str">
        <f t="shared" si="494"/>
        <v/>
      </c>
      <c r="Z31" s="69" t="str">
        <f t="shared" si="494"/>
        <v/>
      </c>
      <c r="AA31" s="69">
        <f t="shared" si="494"/>
        <v>0</v>
      </c>
      <c r="AB31" s="69" t="str">
        <f t="shared" si="494"/>
        <v/>
      </c>
      <c r="AC31" s="69" t="str">
        <f t="shared" si="494"/>
        <v/>
      </c>
      <c r="AD31" s="69" t="str">
        <f t="shared" si="494"/>
        <v/>
      </c>
      <c r="AE31" s="69" t="str">
        <f t="shared" si="494"/>
        <v/>
      </c>
      <c r="AF31" s="69" t="str">
        <f t="shared" si="494"/>
        <v/>
      </c>
      <c r="AG31" s="69" t="str">
        <f t="shared" si="494"/>
        <v/>
      </c>
      <c r="AH31" s="69" t="str">
        <f t="shared" si="494"/>
        <v/>
      </c>
      <c r="AI31" s="69">
        <f t="shared" si="494"/>
        <v>0</v>
      </c>
      <c r="AJ31" s="69" t="str">
        <f t="shared" si="494"/>
        <v/>
      </c>
      <c r="AK31" s="69" t="str">
        <f t="shared" si="494"/>
        <v/>
      </c>
      <c r="AL31" s="69" t="str">
        <f t="shared" si="494"/>
        <v/>
      </c>
      <c r="AM31" s="69" t="str">
        <f t="shared" si="494"/>
        <v/>
      </c>
      <c r="AN31" s="69" t="str">
        <f t="shared" si="494"/>
        <v/>
      </c>
      <c r="AO31" s="69" t="str">
        <f t="shared" si="494"/>
        <v/>
      </c>
      <c r="AP31" s="69" t="str">
        <f t="shared" si="494"/>
        <v/>
      </c>
      <c r="AQ31" s="69">
        <f t="shared" si="494"/>
        <v>0</v>
      </c>
      <c r="AR31" s="69" t="str">
        <f t="shared" si="494"/>
        <v/>
      </c>
      <c r="AS31" s="69" t="str">
        <f t="shared" si="494"/>
        <v/>
      </c>
      <c r="AT31" s="69" t="str">
        <f t="shared" si="494"/>
        <v/>
      </c>
      <c r="AU31" s="69" t="str">
        <f t="shared" si="494"/>
        <v/>
      </c>
      <c r="AV31" s="69" t="str">
        <f t="shared" si="494"/>
        <v/>
      </c>
      <c r="AW31" s="69" t="str">
        <f t="shared" si="494"/>
        <v/>
      </c>
      <c r="AX31" s="69" t="str">
        <f t="shared" si="494"/>
        <v/>
      </c>
      <c r="AY31" s="69">
        <f t="shared" si="494"/>
        <v>0</v>
      </c>
      <c r="AZ31" s="69" t="str">
        <f t="shared" si="494"/>
        <v/>
      </c>
      <c r="BA31" s="69" t="str">
        <f t="shared" si="494"/>
        <v/>
      </c>
      <c r="BB31" s="69" t="str">
        <f t="shared" si="494"/>
        <v/>
      </c>
      <c r="BC31" s="69" t="str">
        <f t="shared" si="494"/>
        <v/>
      </c>
      <c r="BD31" s="69" t="str">
        <f t="shared" si="494"/>
        <v/>
      </c>
      <c r="BE31" s="69" t="str">
        <f t="shared" si="494"/>
        <v/>
      </c>
      <c r="BF31" s="69" t="str">
        <f t="shared" si="494"/>
        <v/>
      </c>
      <c r="BG31" s="69">
        <f t="shared" si="494"/>
        <v>0</v>
      </c>
      <c r="BH31" s="69" t="str">
        <f t="shared" si="494"/>
        <v/>
      </c>
      <c r="BI31" s="69" t="str">
        <f t="shared" si="494"/>
        <v/>
      </c>
      <c r="BJ31" s="69" t="str">
        <f t="shared" si="494"/>
        <v/>
      </c>
      <c r="BK31" s="69" t="str">
        <f t="shared" si="494"/>
        <v/>
      </c>
      <c r="BL31" s="69" t="str">
        <f t="shared" si="494"/>
        <v/>
      </c>
      <c r="BM31" s="69" t="str">
        <f t="shared" si="494"/>
        <v/>
      </c>
      <c r="BN31" s="69" t="str">
        <f t="shared" si="494"/>
        <v/>
      </c>
      <c r="BO31" s="69">
        <f t="shared" si="494"/>
        <v>0</v>
      </c>
      <c r="BP31" s="69" t="str">
        <f t="shared" si="494"/>
        <v/>
      </c>
      <c r="BQ31" s="69" t="str">
        <f t="shared" si="494"/>
        <v/>
      </c>
      <c r="BR31" s="69" t="str">
        <f t="shared" si="494"/>
        <v/>
      </c>
      <c r="BS31" s="69" t="str">
        <f t="shared" ref="BS31:ED31" si="495">BS5</f>
        <v/>
      </c>
      <c r="BT31" s="69" t="str">
        <f t="shared" si="495"/>
        <v/>
      </c>
      <c r="BU31" s="69" t="str">
        <f t="shared" si="495"/>
        <v/>
      </c>
      <c r="BV31" s="69" t="str">
        <f t="shared" si="495"/>
        <v/>
      </c>
      <c r="BW31" s="69">
        <f t="shared" si="495"/>
        <v>0</v>
      </c>
      <c r="BX31" s="69" t="str">
        <f t="shared" si="495"/>
        <v/>
      </c>
      <c r="BY31" s="69" t="str">
        <f t="shared" si="495"/>
        <v/>
      </c>
      <c r="BZ31" s="69" t="str">
        <f t="shared" si="495"/>
        <v/>
      </c>
      <c r="CA31" s="69" t="str">
        <f t="shared" si="495"/>
        <v/>
      </c>
      <c r="CB31" s="69" t="str">
        <f t="shared" si="495"/>
        <v/>
      </c>
      <c r="CC31" s="69" t="str">
        <f t="shared" si="495"/>
        <v/>
      </c>
      <c r="CD31" s="69" t="str">
        <f t="shared" si="495"/>
        <v/>
      </c>
      <c r="CE31" s="69">
        <f t="shared" si="495"/>
        <v>0</v>
      </c>
      <c r="CF31" s="69" t="str">
        <f t="shared" si="495"/>
        <v/>
      </c>
      <c r="CG31" s="69" t="str">
        <f t="shared" si="495"/>
        <v/>
      </c>
      <c r="CH31" s="69" t="str">
        <f t="shared" si="495"/>
        <v/>
      </c>
      <c r="CI31" s="69" t="str">
        <f t="shared" si="495"/>
        <v/>
      </c>
      <c r="CJ31" s="69" t="str">
        <f t="shared" si="495"/>
        <v/>
      </c>
      <c r="CK31" s="69" t="str">
        <f t="shared" si="495"/>
        <v/>
      </c>
      <c r="CL31" s="69" t="str">
        <f t="shared" si="495"/>
        <v/>
      </c>
      <c r="CM31" s="69">
        <f t="shared" si="495"/>
        <v>0</v>
      </c>
      <c r="CN31" s="69" t="str">
        <f t="shared" si="495"/>
        <v/>
      </c>
      <c r="CO31" s="69" t="str">
        <f t="shared" si="495"/>
        <v/>
      </c>
      <c r="CP31" s="69" t="str">
        <f t="shared" si="495"/>
        <v/>
      </c>
      <c r="CQ31" s="69" t="str">
        <f t="shared" si="495"/>
        <v/>
      </c>
      <c r="CR31" s="69" t="str">
        <f t="shared" si="495"/>
        <v/>
      </c>
      <c r="CS31" s="69" t="str">
        <f t="shared" si="495"/>
        <v/>
      </c>
      <c r="CT31" s="69" t="str">
        <f t="shared" si="495"/>
        <v/>
      </c>
      <c r="CU31" s="69">
        <f t="shared" si="495"/>
        <v>0</v>
      </c>
      <c r="CV31" s="69" t="str">
        <f t="shared" si="495"/>
        <v/>
      </c>
      <c r="CW31" s="69" t="str">
        <f t="shared" si="495"/>
        <v/>
      </c>
      <c r="CX31" s="69" t="str">
        <f t="shared" si="495"/>
        <v/>
      </c>
      <c r="CY31" s="69" t="str">
        <f t="shared" si="495"/>
        <v/>
      </c>
      <c r="CZ31" s="69" t="str">
        <f t="shared" si="495"/>
        <v/>
      </c>
      <c r="DA31" s="69" t="str">
        <f t="shared" si="495"/>
        <v/>
      </c>
      <c r="DB31" s="69" t="str">
        <f t="shared" si="495"/>
        <v/>
      </c>
      <c r="DC31" s="69">
        <f t="shared" si="495"/>
        <v>0</v>
      </c>
      <c r="DD31" s="69" t="str">
        <f t="shared" si="495"/>
        <v/>
      </c>
      <c r="DE31" s="69" t="str">
        <f t="shared" si="495"/>
        <v/>
      </c>
      <c r="DF31" s="69" t="str">
        <f t="shared" si="495"/>
        <v/>
      </c>
      <c r="DG31" s="69" t="str">
        <f t="shared" si="495"/>
        <v/>
      </c>
      <c r="DH31" s="69" t="str">
        <f t="shared" si="495"/>
        <v/>
      </c>
      <c r="DI31" s="69" t="str">
        <f t="shared" si="495"/>
        <v/>
      </c>
      <c r="DJ31" s="69" t="str">
        <f t="shared" si="495"/>
        <v/>
      </c>
      <c r="DK31" s="69">
        <f t="shared" si="495"/>
        <v>0</v>
      </c>
      <c r="DL31" s="69" t="str">
        <f t="shared" si="495"/>
        <v/>
      </c>
      <c r="DM31" s="69" t="str">
        <f t="shared" si="495"/>
        <v/>
      </c>
      <c r="DN31" s="69" t="str">
        <f t="shared" si="495"/>
        <v/>
      </c>
      <c r="DO31" s="69" t="str">
        <f t="shared" si="495"/>
        <v/>
      </c>
      <c r="DP31" s="69" t="str">
        <f t="shared" si="495"/>
        <v/>
      </c>
      <c r="DQ31" s="69" t="str">
        <f t="shared" si="495"/>
        <v/>
      </c>
      <c r="DR31" s="69" t="str">
        <f t="shared" si="495"/>
        <v/>
      </c>
      <c r="DS31" s="69">
        <f t="shared" si="495"/>
        <v>0</v>
      </c>
      <c r="DT31" s="69" t="str">
        <f t="shared" si="495"/>
        <v/>
      </c>
      <c r="DU31" s="69" t="str">
        <f t="shared" si="495"/>
        <v/>
      </c>
      <c r="DV31" s="69" t="str">
        <f t="shared" si="495"/>
        <v/>
      </c>
      <c r="DW31" s="69" t="str">
        <f t="shared" si="495"/>
        <v/>
      </c>
      <c r="DX31" s="69" t="str">
        <f t="shared" si="495"/>
        <v/>
      </c>
      <c r="DY31" s="69" t="str">
        <f t="shared" si="495"/>
        <v/>
      </c>
      <c r="DZ31" s="69" t="str">
        <f t="shared" si="495"/>
        <v/>
      </c>
      <c r="EA31" s="69">
        <f t="shared" si="495"/>
        <v>0</v>
      </c>
      <c r="EB31" s="69" t="str">
        <f t="shared" si="495"/>
        <v/>
      </c>
      <c r="EC31" s="69" t="str">
        <f t="shared" si="495"/>
        <v/>
      </c>
      <c r="ED31" s="69" t="str">
        <f t="shared" si="495"/>
        <v/>
      </c>
      <c r="EE31" s="69" t="str">
        <f t="shared" ref="EE31:GP31" si="496">EE5</f>
        <v/>
      </c>
      <c r="EF31" s="69" t="str">
        <f t="shared" si="496"/>
        <v/>
      </c>
      <c r="EG31" s="69" t="str">
        <f t="shared" si="496"/>
        <v/>
      </c>
      <c r="EH31" s="69" t="str">
        <f t="shared" si="496"/>
        <v/>
      </c>
      <c r="EI31" s="69">
        <f t="shared" si="496"/>
        <v>0</v>
      </c>
      <c r="EJ31" s="69" t="str">
        <f t="shared" si="496"/>
        <v/>
      </c>
      <c r="EK31" s="69" t="str">
        <f t="shared" si="496"/>
        <v/>
      </c>
      <c r="EL31" s="69" t="str">
        <f t="shared" si="496"/>
        <v/>
      </c>
      <c r="EM31" s="69" t="str">
        <f t="shared" si="496"/>
        <v/>
      </c>
      <c r="EN31" s="69" t="str">
        <f t="shared" si="496"/>
        <v/>
      </c>
      <c r="EO31" s="69" t="str">
        <f t="shared" si="496"/>
        <v/>
      </c>
      <c r="EP31" s="69" t="str">
        <f t="shared" si="496"/>
        <v/>
      </c>
      <c r="EQ31" s="69">
        <f t="shared" si="496"/>
        <v>0</v>
      </c>
      <c r="ER31" s="69" t="str">
        <f t="shared" si="496"/>
        <v/>
      </c>
      <c r="ES31" s="69" t="str">
        <f t="shared" si="496"/>
        <v/>
      </c>
      <c r="ET31" s="69" t="str">
        <f t="shared" si="496"/>
        <v/>
      </c>
      <c r="EU31" s="69" t="str">
        <f t="shared" si="496"/>
        <v/>
      </c>
      <c r="EV31" s="69" t="str">
        <f t="shared" si="496"/>
        <v/>
      </c>
      <c r="EW31" s="69" t="str">
        <f t="shared" si="496"/>
        <v/>
      </c>
      <c r="EX31" s="69" t="str">
        <f t="shared" si="496"/>
        <v/>
      </c>
      <c r="EY31" s="69">
        <f t="shared" si="496"/>
        <v>0</v>
      </c>
      <c r="EZ31" s="69" t="str">
        <f t="shared" si="496"/>
        <v/>
      </c>
      <c r="FA31" s="69" t="str">
        <f t="shared" si="496"/>
        <v/>
      </c>
      <c r="FB31" s="69" t="str">
        <f t="shared" si="496"/>
        <v/>
      </c>
      <c r="FC31" s="69" t="str">
        <f t="shared" si="496"/>
        <v/>
      </c>
      <c r="FD31" s="69" t="str">
        <f t="shared" si="496"/>
        <v/>
      </c>
      <c r="FE31" s="69" t="str">
        <f t="shared" si="496"/>
        <v/>
      </c>
      <c r="FF31" s="69" t="str">
        <f t="shared" si="496"/>
        <v/>
      </c>
      <c r="FG31" s="69">
        <f t="shared" si="496"/>
        <v>0</v>
      </c>
      <c r="FH31" s="69" t="str">
        <f t="shared" si="496"/>
        <v/>
      </c>
      <c r="FI31" s="69" t="str">
        <f t="shared" si="496"/>
        <v/>
      </c>
      <c r="FJ31" s="69" t="str">
        <f t="shared" si="496"/>
        <v/>
      </c>
      <c r="FK31" s="69" t="str">
        <f t="shared" si="496"/>
        <v/>
      </c>
      <c r="FL31" s="69" t="str">
        <f t="shared" si="496"/>
        <v/>
      </c>
      <c r="FM31" s="69" t="str">
        <f t="shared" si="496"/>
        <v/>
      </c>
      <c r="FN31" s="69" t="str">
        <f t="shared" si="496"/>
        <v/>
      </c>
      <c r="FO31" s="69">
        <f t="shared" si="496"/>
        <v>0</v>
      </c>
      <c r="FP31" s="69" t="str">
        <f t="shared" si="496"/>
        <v/>
      </c>
      <c r="FQ31" s="69" t="str">
        <f t="shared" si="496"/>
        <v/>
      </c>
      <c r="FR31" s="69" t="str">
        <f t="shared" si="496"/>
        <v/>
      </c>
      <c r="FS31" s="69" t="str">
        <f t="shared" si="496"/>
        <v/>
      </c>
      <c r="FT31" s="69" t="str">
        <f t="shared" si="496"/>
        <v/>
      </c>
      <c r="FU31" s="69" t="str">
        <f t="shared" si="496"/>
        <v/>
      </c>
      <c r="FV31" s="69" t="str">
        <f t="shared" si="496"/>
        <v/>
      </c>
      <c r="FW31" s="69">
        <f t="shared" si="496"/>
        <v>0</v>
      </c>
      <c r="FX31" s="69" t="str">
        <f t="shared" si="496"/>
        <v/>
      </c>
      <c r="FY31" s="69" t="str">
        <f t="shared" si="496"/>
        <v/>
      </c>
      <c r="FZ31" s="69" t="str">
        <f t="shared" si="496"/>
        <v/>
      </c>
      <c r="GA31" s="69" t="str">
        <f t="shared" si="496"/>
        <v/>
      </c>
      <c r="GB31" s="69" t="str">
        <f t="shared" si="496"/>
        <v/>
      </c>
      <c r="GC31" s="69" t="str">
        <f t="shared" si="496"/>
        <v/>
      </c>
      <c r="GD31" s="69" t="str">
        <f t="shared" si="496"/>
        <v/>
      </c>
      <c r="GE31" s="69">
        <f t="shared" si="496"/>
        <v>0</v>
      </c>
      <c r="GF31" s="69" t="str">
        <f t="shared" si="496"/>
        <v/>
      </c>
      <c r="GG31" s="69" t="str">
        <f t="shared" si="496"/>
        <v/>
      </c>
      <c r="GH31" s="69" t="str">
        <f t="shared" si="496"/>
        <v/>
      </c>
      <c r="GI31" s="69" t="str">
        <f t="shared" si="496"/>
        <v/>
      </c>
      <c r="GJ31" s="69" t="str">
        <f t="shared" si="496"/>
        <v/>
      </c>
      <c r="GK31" s="69" t="str">
        <f t="shared" si="496"/>
        <v/>
      </c>
      <c r="GL31" s="69" t="str">
        <f t="shared" si="496"/>
        <v/>
      </c>
      <c r="GM31" s="69">
        <f t="shared" si="496"/>
        <v>0</v>
      </c>
      <c r="GN31" s="69" t="str">
        <f t="shared" si="496"/>
        <v/>
      </c>
      <c r="GO31" s="69" t="str">
        <f t="shared" si="496"/>
        <v/>
      </c>
      <c r="GP31" s="69" t="str">
        <f t="shared" si="496"/>
        <v/>
      </c>
      <c r="GQ31" s="69" t="str">
        <f t="shared" ref="GQ31:JB31" si="497">GQ5</f>
        <v/>
      </c>
      <c r="GR31" s="69" t="str">
        <f t="shared" si="497"/>
        <v/>
      </c>
      <c r="GS31" s="69" t="str">
        <f t="shared" si="497"/>
        <v/>
      </c>
      <c r="GT31" s="69" t="str">
        <f t="shared" si="497"/>
        <v/>
      </c>
      <c r="GU31" s="69">
        <f t="shared" si="497"/>
        <v>0</v>
      </c>
      <c r="GV31" s="69" t="str">
        <f t="shared" si="497"/>
        <v/>
      </c>
      <c r="GW31" s="69" t="str">
        <f t="shared" si="497"/>
        <v/>
      </c>
      <c r="GX31" s="69" t="str">
        <f t="shared" si="497"/>
        <v/>
      </c>
      <c r="GY31" s="69" t="str">
        <f t="shared" si="497"/>
        <v/>
      </c>
      <c r="GZ31" s="69" t="str">
        <f t="shared" si="497"/>
        <v/>
      </c>
      <c r="HA31" s="69" t="str">
        <f t="shared" si="497"/>
        <v/>
      </c>
      <c r="HB31" s="69" t="str">
        <f t="shared" si="497"/>
        <v/>
      </c>
      <c r="HC31" s="69">
        <f t="shared" si="497"/>
        <v>0</v>
      </c>
      <c r="HD31" s="69" t="str">
        <f t="shared" si="497"/>
        <v/>
      </c>
      <c r="HE31" s="69" t="str">
        <f t="shared" si="497"/>
        <v/>
      </c>
      <c r="HF31" s="69" t="str">
        <f t="shared" si="497"/>
        <v/>
      </c>
      <c r="HG31" s="69" t="str">
        <f t="shared" si="497"/>
        <v/>
      </c>
      <c r="HH31" s="69" t="str">
        <f t="shared" si="497"/>
        <v/>
      </c>
      <c r="HI31" s="69" t="str">
        <f t="shared" si="497"/>
        <v/>
      </c>
      <c r="HJ31" s="69" t="str">
        <f t="shared" si="497"/>
        <v/>
      </c>
      <c r="HK31" s="69">
        <f t="shared" si="497"/>
        <v>0</v>
      </c>
      <c r="HL31" s="69" t="str">
        <f t="shared" si="497"/>
        <v/>
      </c>
      <c r="HM31" s="69" t="str">
        <f t="shared" si="497"/>
        <v/>
      </c>
      <c r="HN31" s="69" t="str">
        <f t="shared" si="497"/>
        <v/>
      </c>
      <c r="HO31" s="69" t="str">
        <f t="shared" si="497"/>
        <v/>
      </c>
      <c r="HP31" s="69" t="str">
        <f t="shared" si="497"/>
        <v/>
      </c>
      <c r="HQ31" s="69" t="str">
        <f t="shared" si="497"/>
        <v/>
      </c>
      <c r="HR31" s="69" t="str">
        <f t="shared" si="497"/>
        <v/>
      </c>
      <c r="HS31" s="69">
        <f t="shared" si="497"/>
        <v>0</v>
      </c>
      <c r="HT31" s="69" t="str">
        <f t="shared" si="497"/>
        <v/>
      </c>
      <c r="HU31" s="69" t="str">
        <f t="shared" si="497"/>
        <v/>
      </c>
      <c r="HV31" s="69" t="str">
        <f t="shared" si="497"/>
        <v/>
      </c>
      <c r="HW31" s="69" t="str">
        <f t="shared" si="497"/>
        <v/>
      </c>
      <c r="HX31" s="69" t="str">
        <f t="shared" si="497"/>
        <v/>
      </c>
      <c r="HY31" s="69" t="str">
        <f t="shared" si="497"/>
        <v/>
      </c>
      <c r="HZ31" s="69" t="str">
        <f t="shared" si="497"/>
        <v/>
      </c>
      <c r="IA31" s="69">
        <f t="shared" si="497"/>
        <v>0</v>
      </c>
      <c r="IB31" s="69" t="str">
        <f t="shared" si="497"/>
        <v/>
      </c>
      <c r="IC31" s="69" t="str">
        <f t="shared" si="497"/>
        <v/>
      </c>
      <c r="ID31" s="69" t="str">
        <f t="shared" si="497"/>
        <v/>
      </c>
      <c r="IE31" s="69" t="str">
        <f t="shared" si="497"/>
        <v/>
      </c>
      <c r="IF31" s="69" t="str">
        <f t="shared" si="497"/>
        <v/>
      </c>
      <c r="IG31" s="69" t="str">
        <f t="shared" si="497"/>
        <v/>
      </c>
      <c r="IH31" s="69" t="str">
        <f t="shared" si="497"/>
        <v/>
      </c>
      <c r="II31" s="69">
        <f t="shared" si="497"/>
        <v>0</v>
      </c>
      <c r="IJ31" s="69" t="str">
        <f t="shared" si="497"/>
        <v/>
      </c>
      <c r="IK31" s="69" t="str">
        <f t="shared" si="497"/>
        <v/>
      </c>
      <c r="IL31" s="69" t="str">
        <f t="shared" si="497"/>
        <v/>
      </c>
      <c r="IM31" s="69" t="str">
        <f t="shared" si="497"/>
        <v/>
      </c>
      <c r="IN31" s="69" t="str">
        <f t="shared" si="497"/>
        <v/>
      </c>
      <c r="IO31" s="69" t="str">
        <f t="shared" si="497"/>
        <v/>
      </c>
      <c r="IP31" s="69" t="str">
        <f t="shared" si="497"/>
        <v/>
      </c>
      <c r="IQ31" s="69">
        <f t="shared" si="497"/>
        <v>0</v>
      </c>
      <c r="IR31" s="69" t="str">
        <f t="shared" si="497"/>
        <v/>
      </c>
      <c r="IS31" s="69" t="str">
        <f t="shared" si="497"/>
        <v/>
      </c>
      <c r="IT31" s="69" t="str">
        <f t="shared" si="497"/>
        <v/>
      </c>
      <c r="IU31" s="69" t="str">
        <f t="shared" si="497"/>
        <v/>
      </c>
      <c r="IV31" s="69" t="str">
        <f t="shared" si="497"/>
        <v/>
      </c>
      <c r="IW31" s="69" t="str">
        <f t="shared" si="497"/>
        <v/>
      </c>
      <c r="IX31" s="69" t="str">
        <f t="shared" si="497"/>
        <v/>
      </c>
      <c r="IY31" s="69">
        <f t="shared" si="497"/>
        <v>0</v>
      </c>
      <c r="IZ31" s="69" t="str">
        <f t="shared" si="497"/>
        <v/>
      </c>
      <c r="JA31" s="69" t="str">
        <f t="shared" si="497"/>
        <v/>
      </c>
      <c r="JB31" s="69" t="str">
        <f t="shared" si="497"/>
        <v/>
      </c>
      <c r="JC31" s="69" t="str">
        <f t="shared" ref="JC31:LN31" si="498">JC5</f>
        <v/>
      </c>
      <c r="JD31" s="69" t="str">
        <f t="shared" si="498"/>
        <v/>
      </c>
      <c r="JE31" s="69" t="str">
        <f t="shared" si="498"/>
        <v/>
      </c>
      <c r="JF31" s="69" t="str">
        <f t="shared" si="498"/>
        <v/>
      </c>
      <c r="JG31" s="69">
        <f t="shared" si="498"/>
        <v>0</v>
      </c>
      <c r="JH31" s="69" t="str">
        <f t="shared" si="498"/>
        <v/>
      </c>
      <c r="JI31" s="69" t="str">
        <f t="shared" si="498"/>
        <v/>
      </c>
      <c r="JJ31" s="69" t="str">
        <f t="shared" si="498"/>
        <v/>
      </c>
      <c r="JK31" s="69" t="str">
        <f t="shared" si="498"/>
        <v/>
      </c>
      <c r="JL31" s="69" t="str">
        <f t="shared" si="498"/>
        <v/>
      </c>
      <c r="JM31" s="69" t="str">
        <f t="shared" si="498"/>
        <v/>
      </c>
      <c r="JN31" s="69" t="str">
        <f t="shared" si="498"/>
        <v/>
      </c>
      <c r="JO31" s="69">
        <f t="shared" si="498"/>
        <v>0</v>
      </c>
      <c r="JP31" s="69" t="str">
        <f t="shared" si="498"/>
        <v/>
      </c>
      <c r="JQ31" s="69" t="str">
        <f t="shared" si="498"/>
        <v/>
      </c>
      <c r="JR31" s="69" t="str">
        <f t="shared" si="498"/>
        <v/>
      </c>
      <c r="JS31" s="69" t="str">
        <f t="shared" si="498"/>
        <v/>
      </c>
      <c r="JT31" s="69" t="str">
        <f t="shared" si="498"/>
        <v/>
      </c>
      <c r="JU31" s="69" t="str">
        <f t="shared" si="498"/>
        <v/>
      </c>
      <c r="JV31" s="69" t="str">
        <f t="shared" si="498"/>
        <v/>
      </c>
      <c r="JW31" s="69">
        <f t="shared" si="498"/>
        <v>0</v>
      </c>
      <c r="JX31" s="69" t="str">
        <f t="shared" si="498"/>
        <v/>
      </c>
      <c r="JY31" s="69" t="str">
        <f t="shared" si="498"/>
        <v/>
      </c>
      <c r="JZ31" s="69" t="str">
        <f t="shared" si="498"/>
        <v/>
      </c>
      <c r="KA31" s="69" t="str">
        <f t="shared" si="498"/>
        <v/>
      </c>
      <c r="KB31" s="69" t="str">
        <f t="shared" si="498"/>
        <v/>
      </c>
      <c r="KC31" s="69" t="str">
        <f t="shared" si="498"/>
        <v/>
      </c>
      <c r="KD31" s="69" t="str">
        <f t="shared" si="498"/>
        <v/>
      </c>
      <c r="KE31" s="69">
        <f t="shared" si="498"/>
        <v>0</v>
      </c>
      <c r="KF31" s="69" t="str">
        <f t="shared" si="498"/>
        <v/>
      </c>
      <c r="KG31" s="69" t="str">
        <f t="shared" si="498"/>
        <v/>
      </c>
      <c r="KH31" s="69" t="str">
        <f t="shared" si="498"/>
        <v/>
      </c>
      <c r="KI31" s="69" t="str">
        <f t="shared" si="498"/>
        <v/>
      </c>
      <c r="KJ31" s="69" t="str">
        <f t="shared" si="498"/>
        <v/>
      </c>
      <c r="KK31" s="69" t="str">
        <f t="shared" si="498"/>
        <v/>
      </c>
      <c r="KL31" s="69" t="str">
        <f t="shared" si="498"/>
        <v/>
      </c>
      <c r="KM31" s="69">
        <f t="shared" si="498"/>
        <v>0</v>
      </c>
      <c r="KN31" s="69" t="str">
        <f t="shared" si="498"/>
        <v/>
      </c>
      <c r="KO31" s="69" t="str">
        <f t="shared" si="498"/>
        <v/>
      </c>
      <c r="KP31" s="69" t="str">
        <f t="shared" si="498"/>
        <v/>
      </c>
      <c r="KQ31" s="69" t="str">
        <f t="shared" si="498"/>
        <v/>
      </c>
      <c r="KR31" s="69" t="str">
        <f t="shared" si="498"/>
        <v/>
      </c>
      <c r="KS31" s="69" t="str">
        <f t="shared" si="498"/>
        <v/>
      </c>
      <c r="KT31" s="69" t="str">
        <f t="shared" si="498"/>
        <v/>
      </c>
      <c r="KU31" s="69">
        <f t="shared" si="498"/>
        <v>0</v>
      </c>
      <c r="KV31" s="69" t="str">
        <f t="shared" si="498"/>
        <v/>
      </c>
      <c r="KW31" s="69" t="str">
        <f t="shared" si="498"/>
        <v/>
      </c>
      <c r="KX31" s="69" t="str">
        <f t="shared" si="498"/>
        <v/>
      </c>
      <c r="KY31" s="69" t="str">
        <f t="shared" si="498"/>
        <v/>
      </c>
      <c r="KZ31" s="69" t="str">
        <f t="shared" si="498"/>
        <v/>
      </c>
      <c r="LA31" s="69" t="str">
        <f t="shared" si="498"/>
        <v/>
      </c>
      <c r="LB31" s="69" t="str">
        <f t="shared" si="498"/>
        <v/>
      </c>
      <c r="LC31" s="69">
        <f t="shared" si="498"/>
        <v>0</v>
      </c>
      <c r="LD31" s="69" t="str">
        <f t="shared" si="498"/>
        <v/>
      </c>
      <c r="LE31" s="69" t="str">
        <f t="shared" si="498"/>
        <v/>
      </c>
      <c r="LF31" s="69" t="str">
        <f t="shared" si="498"/>
        <v/>
      </c>
      <c r="LG31" s="69" t="str">
        <f t="shared" si="498"/>
        <v/>
      </c>
      <c r="LH31" s="69" t="str">
        <f t="shared" si="498"/>
        <v/>
      </c>
      <c r="LI31" s="69" t="str">
        <f t="shared" si="498"/>
        <v/>
      </c>
      <c r="LJ31" s="69" t="str">
        <f t="shared" si="498"/>
        <v/>
      </c>
      <c r="LK31" s="69">
        <f t="shared" si="498"/>
        <v>0</v>
      </c>
      <c r="LL31" s="69" t="str">
        <f t="shared" si="498"/>
        <v/>
      </c>
      <c r="LM31" s="69" t="str">
        <f t="shared" si="498"/>
        <v/>
      </c>
      <c r="LN31" s="69" t="str">
        <f t="shared" si="498"/>
        <v/>
      </c>
      <c r="LO31" s="69" t="str">
        <f t="shared" ref="LO31:NW31" si="499">LO5</f>
        <v/>
      </c>
      <c r="LP31" s="69" t="str">
        <f t="shared" si="499"/>
        <v/>
      </c>
      <c r="LQ31" s="69" t="str">
        <f t="shared" si="499"/>
        <v/>
      </c>
      <c r="LR31" s="69" t="str">
        <f t="shared" si="499"/>
        <v/>
      </c>
      <c r="LS31" s="69">
        <f t="shared" si="499"/>
        <v>0</v>
      </c>
      <c r="LT31" s="69" t="str">
        <f t="shared" si="499"/>
        <v/>
      </c>
      <c r="LU31" s="69" t="str">
        <f t="shared" si="499"/>
        <v/>
      </c>
      <c r="LV31" s="69" t="str">
        <f t="shared" si="499"/>
        <v/>
      </c>
      <c r="LW31" s="69" t="str">
        <f t="shared" si="499"/>
        <v/>
      </c>
      <c r="LX31" s="69" t="str">
        <f t="shared" si="499"/>
        <v/>
      </c>
      <c r="LY31" s="69" t="str">
        <f t="shared" si="499"/>
        <v/>
      </c>
      <c r="LZ31" s="69" t="str">
        <f t="shared" si="499"/>
        <v/>
      </c>
      <c r="MA31" s="69">
        <f t="shared" si="499"/>
        <v>0</v>
      </c>
      <c r="MB31" s="69" t="str">
        <f t="shared" si="499"/>
        <v/>
      </c>
      <c r="MC31" s="69" t="str">
        <f t="shared" si="499"/>
        <v/>
      </c>
      <c r="MD31" s="69" t="str">
        <f t="shared" si="499"/>
        <v/>
      </c>
      <c r="ME31" s="69" t="str">
        <f t="shared" si="499"/>
        <v/>
      </c>
      <c r="MF31" s="69" t="str">
        <f t="shared" si="499"/>
        <v/>
      </c>
      <c r="MG31" s="69" t="str">
        <f t="shared" si="499"/>
        <v/>
      </c>
      <c r="MH31" s="69" t="str">
        <f t="shared" si="499"/>
        <v/>
      </c>
      <c r="MI31" s="69">
        <f t="shared" si="499"/>
        <v>0</v>
      </c>
      <c r="MJ31" s="69" t="str">
        <f t="shared" si="499"/>
        <v/>
      </c>
      <c r="MK31" s="69" t="str">
        <f t="shared" si="499"/>
        <v/>
      </c>
      <c r="ML31" s="69" t="str">
        <f t="shared" si="499"/>
        <v/>
      </c>
      <c r="MM31" s="69" t="str">
        <f t="shared" si="499"/>
        <v/>
      </c>
      <c r="MN31" s="69" t="str">
        <f t="shared" si="499"/>
        <v/>
      </c>
      <c r="MO31" s="69" t="str">
        <f t="shared" si="499"/>
        <v/>
      </c>
      <c r="MP31" s="69" t="str">
        <f t="shared" si="499"/>
        <v/>
      </c>
      <c r="MQ31" s="69">
        <f t="shared" si="499"/>
        <v>0</v>
      </c>
      <c r="MR31" s="69" t="str">
        <f t="shared" si="499"/>
        <v/>
      </c>
      <c r="MS31" s="69" t="str">
        <f t="shared" si="499"/>
        <v/>
      </c>
      <c r="MT31" s="69" t="str">
        <f t="shared" si="499"/>
        <v/>
      </c>
      <c r="MU31" s="69" t="str">
        <f t="shared" si="499"/>
        <v/>
      </c>
      <c r="MV31" s="69" t="str">
        <f t="shared" si="499"/>
        <v/>
      </c>
      <c r="MW31" s="69" t="str">
        <f t="shared" si="499"/>
        <v/>
      </c>
      <c r="MX31" s="69" t="str">
        <f t="shared" si="499"/>
        <v/>
      </c>
      <c r="MY31" s="69">
        <f t="shared" si="499"/>
        <v>0</v>
      </c>
      <c r="MZ31" s="69" t="str">
        <f t="shared" si="499"/>
        <v/>
      </c>
      <c r="NA31" s="69" t="str">
        <f t="shared" si="499"/>
        <v/>
      </c>
      <c r="NB31" s="69" t="str">
        <f t="shared" si="499"/>
        <v/>
      </c>
      <c r="NC31" s="69" t="str">
        <f t="shared" si="499"/>
        <v/>
      </c>
      <c r="ND31" s="69" t="str">
        <f t="shared" si="499"/>
        <v/>
      </c>
      <c r="NE31" s="69" t="str">
        <f t="shared" si="499"/>
        <v/>
      </c>
      <c r="NF31" s="69" t="str">
        <f t="shared" si="499"/>
        <v/>
      </c>
      <c r="NG31" s="69">
        <f t="shared" si="499"/>
        <v>0</v>
      </c>
      <c r="NH31" s="69" t="str">
        <f t="shared" si="499"/>
        <v/>
      </c>
      <c r="NI31" s="69" t="str">
        <f t="shared" si="499"/>
        <v/>
      </c>
      <c r="NJ31" s="69" t="str">
        <f t="shared" si="499"/>
        <v/>
      </c>
      <c r="NK31" s="69" t="str">
        <f t="shared" si="499"/>
        <v/>
      </c>
      <c r="NL31" s="69" t="str">
        <f t="shared" si="499"/>
        <v/>
      </c>
      <c r="NM31" s="69" t="str">
        <f t="shared" si="499"/>
        <v/>
      </c>
      <c r="NN31" s="69" t="str">
        <f t="shared" si="499"/>
        <v/>
      </c>
      <c r="NO31" s="69">
        <f t="shared" si="499"/>
        <v>0</v>
      </c>
      <c r="NP31" s="69" t="str">
        <f t="shared" si="499"/>
        <v/>
      </c>
      <c r="NQ31" s="69" t="str">
        <f t="shared" si="499"/>
        <v/>
      </c>
      <c r="NR31" s="69" t="str">
        <f t="shared" si="499"/>
        <v/>
      </c>
      <c r="NS31" s="69" t="str">
        <f t="shared" si="499"/>
        <v/>
      </c>
      <c r="NT31" s="69" t="str">
        <f t="shared" si="499"/>
        <v/>
      </c>
      <c r="NU31" s="69" t="str">
        <f t="shared" si="499"/>
        <v/>
      </c>
      <c r="NV31" s="69" t="str">
        <f t="shared" si="499"/>
        <v/>
      </c>
      <c r="NW31" s="69">
        <f t="shared" si="499"/>
        <v>0</v>
      </c>
    </row>
    <row r="32" spans="1:387" x14ac:dyDescent="0.25">
      <c r="B32" s="591" t="s">
        <v>436</v>
      </c>
      <c r="C32" s="591"/>
      <c r="D32" s="69" t="str">
        <f>IFERROR((24-D14)/D34,"")</f>
        <v/>
      </c>
      <c r="E32" s="69" t="str">
        <f t="shared" ref="E32:BR32" si="500">IFERROR((24-E14)/E34,"")</f>
        <v/>
      </c>
      <c r="F32" s="69" t="str">
        <f t="shared" si="500"/>
        <v/>
      </c>
      <c r="G32" s="69" t="str">
        <f t="shared" si="500"/>
        <v/>
      </c>
      <c r="H32" s="69" t="str">
        <f t="shared" si="500"/>
        <v/>
      </c>
      <c r="I32" s="69" t="str">
        <f t="shared" si="500"/>
        <v/>
      </c>
      <c r="J32" s="69" t="str">
        <f t="shared" si="500"/>
        <v/>
      </c>
      <c r="K32" s="69" t="e">
        <f>((24*7)-K14)/K34</f>
        <v>#REF!</v>
      </c>
      <c r="L32" s="69" t="str">
        <f t="shared" si="500"/>
        <v/>
      </c>
      <c r="M32" s="69" t="str">
        <f t="shared" si="500"/>
        <v/>
      </c>
      <c r="N32" s="69" t="str">
        <f t="shared" si="500"/>
        <v/>
      </c>
      <c r="O32" s="69" t="str">
        <f t="shared" si="500"/>
        <v/>
      </c>
      <c r="P32" s="69" t="str">
        <f t="shared" si="500"/>
        <v/>
      </c>
      <c r="Q32" s="69" t="str">
        <f t="shared" si="500"/>
        <v/>
      </c>
      <c r="R32" s="69" t="str">
        <f t="shared" si="500"/>
        <v/>
      </c>
      <c r="S32" s="69"/>
      <c r="T32" s="69" t="str">
        <f t="shared" si="500"/>
        <v/>
      </c>
      <c r="U32" s="69" t="str">
        <f t="shared" si="500"/>
        <v/>
      </c>
      <c r="V32" s="69" t="str">
        <f t="shared" si="500"/>
        <v/>
      </c>
      <c r="W32" s="69" t="str">
        <f t="shared" si="500"/>
        <v/>
      </c>
      <c r="X32" s="69" t="str">
        <f t="shared" si="500"/>
        <v/>
      </c>
      <c r="Y32" s="69" t="str">
        <f t="shared" si="500"/>
        <v/>
      </c>
      <c r="Z32" s="69" t="str">
        <f t="shared" si="500"/>
        <v/>
      </c>
      <c r="AA32" s="69" t="str">
        <f t="shared" si="500"/>
        <v/>
      </c>
      <c r="AB32" s="69" t="str">
        <f t="shared" si="500"/>
        <v/>
      </c>
      <c r="AC32" s="69" t="str">
        <f t="shared" si="500"/>
        <v/>
      </c>
      <c r="AD32" s="69" t="str">
        <f t="shared" si="500"/>
        <v/>
      </c>
      <c r="AE32" s="69" t="str">
        <f t="shared" si="500"/>
        <v/>
      </c>
      <c r="AF32" s="69" t="str">
        <f t="shared" si="500"/>
        <v/>
      </c>
      <c r="AG32" s="69" t="str">
        <f t="shared" si="500"/>
        <v/>
      </c>
      <c r="AH32" s="69" t="str">
        <f t="shared" si="500"/>
        <v/>
      </c>
      <c r="AI32" s="69" t="str">
        <f t="shared" si="500"/>
        <v/>
      </c>
      <c r="AJ32" s="69" t="str">
        <f t="shared" si="500"/>
        <v/>
      </c>
      <c r="AK32" s="69" t="str">
        <f t="shared" si="500"/>
        <v/>
      </c>
      <c r="AL32" s="69" t="str">
        <f t="shared" si="500"/>
        <v/>
      </c>
      <c r="AM32" s="69" t="str">
        <f t="shared" si="500"/>
        <v/>
      </c>
      <c r="AN32" s="69" t="str">
        <f t="shared" si="500"/>
        <v/>
      </c>
      <c r="AO32" s="69" t="str">
        <f t="shared" si="500"/>
        <v/>
      </c>
      <c r="AP32" s="69" t="str">
        <f t="shared" si="500"/>
        <v/>
      </c>
      <c r="AQ32" s="69" t="str">
        <f t="shared" si="500"/>
        <v/>
      </c>
      <c r="AR32" s="69" t="str">
        <f t="shared" si="500"/>
        <v/>
      </c>
      <c r="AS32" s="69" t="str">
        <f t="shared" si="500"/>
        <v/>
      </c>
      <c r="AT32" s="69" t="str">
        <f t="shared" si="500"/>
        <v/>
      </c>
      <c r="AU32" s="69" t="str">
        <f t="shared" si="500"/>
        <v/>
      </c>
      <c r="AV32" s="69" t="str">
        <f t="shared" si="500"/>
        <v/>
      </c>
      <c r="AW32" s="69" t="str">
        <f t="shared" si="500"/>
        <v/>
      </c>
      <c r="AX32" s="69" t="str">
        <f t="shared" si="500"/>
        <v/>
      </c>
      <c r="AY32" s="69" t="str">
        <f t="shared" si="500"/>
        <v/>
      </c>
      <c r="AZ32" s="69" t="str">
        <f t="shared" si="500"/>
        <v/>
      </c>
      <c r="BA32" s="69" t="str">
        <f t="shared" si="500"/>
        <v/>
      </c>
      <c r="BB32" s="69" t="str">
        <f t="shared" si="500"/>
        <v/>
      </c>
      <c r="BC32" s="69" t="str">
        <f t="shared" si="500"/>
        <v/>
      </c>
      <c r="BD32" s="69" t="str">
        <f t="shared" si="500"/>
        <v/>
      </c>
      <c r="BE32" s="69" t="str">
        <f t="shared" si="500"/>
        <v/>
      </c>
      <c r="BF32" s="69" t="str">
        <f t="shared" si="500"/>
        <v/>
      </c>
      <c r="BG32" s="69" t="str">
        <f t="shared" si="500"/>
        <v/>
      </c>
      <c r="BH32" s="69" t="str">
        <f t="shared" si="500"/>
        <v/>
      </c>
      <c r="BI32" s="69" t="str">
        <f t="shared" si="500"/>
        <v/>
      </c>
      <c r="BJ32" s="69" t="str">
        <f t="shared" si="500"/>
        <v/>
      </c>
      <c r="BK32" s="69" t="str">
        <f t="shared" si="500"/>
        <v/>
      </c>
      <c r="BL32" s="69" t="str">
        <f t="shared" si="500"/>
        <v/>
      </c>
      <c r="BM32" s="69" t="str">
        <f t="shared" si="500"/>
        <v/>
      </c>
      <c r="BN32" s="69" t="str">
        <f t="shared" si="500"/>
        <v/>
      </c>
      <c r="BO32" s="69" t="str">
        <f t="shared" si="500"/>
        <v/>
      </c>
      <c r="BP32" s="69" t="str">
        <f t="shared" si="500"/>
        <v/>
      </c>
      <c r="BQ32" s="69" t="str">
        <f t="shared" si="500"/>
        <v/>
      </c>
      <c r="BR32" s="69" t="str">
        <f t="shared" si="500"/>
        <v/>
      </c>
      <c r="BS32" s="69" t="str">
        <f t="shared" ref="BS32:ED32" si="501">IFERROR((24-BS14)/BS34,"")</f>
        <v/>
      </c>
      <c r="BT32" s="69" t="str">
        <f t="shared" si="501"/>
        <v/>
      </c>
      <c r="BU32" s="69" t="str">
        <f t="shared" si="501"/>
        <v/>
      </c>
      <c r="BV32" s="69" t="str">
        <f t="shared" si="501"/>
        <v/>
      </c>
      <c r="BW32" s="69" t="str">
        <f t="shared" si="501"/>
        <v/>
      </c>
      <c r="BX32" s="69" t="str">
        <f t="shared" si="501"/>
        <v/>
      </c>
      <c r="BY32" s="69" t="str">
        <f t="shared" si="501"/>
        <v/>
      </c>
      <c r="BZ32" s="69" t="str">
        <f t="shared" si="501"/>
        <v/>
      </c>
      <c r="CA32" s="69" t="str">
        <f t="shared" si="501"/>
        <v/>
      </c>
      <c r="CB32" s="69" t="str">
        <f t="shared" si="501"/>
        <v/>
      </c>
      <c r="CC32" s="69" t="str">
        <f t="shared" si="501"/>
        <v/>
      </c>
      <c r="CD32" s="69" t="str">
        <f t="shared" si="501"/>
        <v/>
      </c>
      <c r="CE32" s="69" t="str">
        <f t="shared" si="501"/>
        <v/>
      </c>
      <c r="CF32" s="69" t="str">
        <f t="shared" si="501"/>
        <v/>
      </c>
      <c r="CG32" s="69" t="str">
        <f t="shared" si="501"/>
        <v/>
      </c>
      <c r="CH32" s="69" t="str">
        <f t="shared" si="501"/>
        <v/>
      </c>
      <c r="CI32" s="69" t="str">
        <f t="shared" si="501"/>
        <v/>
      </c>
      <c r="CJ32" s="69" t="str">
        <f t="shared" si="501"/>
        <v/>
      </c>
      <c r="CK32" s="69" t="str">
        <f t="shared" si="501"/>
        <v/>
      </c>
      <c r="CL32" s="69" t="str">
        <f t="shared" si="501"/>
        <v/>
      </c>
      <c r="CM32" s="69" t="str">
        <f t="shared" si="501"/>
        <v/>
      </c>
      <c r="CN32" s="69" t="str">
        <f t="shared" si="501"/>
        <v/>
      </c>
      <c r="CO32" s="69" t="str">
        <f t="shared" si="501"/>
        <v/>
      </c>
      <c r="CP32" s="69" t="str">
        <f t="shared" si="501"/>
        <v/>
      </c>
      <c r="CQ32" s="69" t="str">
        <f t="shared" si="501"/>
        <v/>
      </c>
      <c r="CR32" s="69" t="str">
        <f t="shared" si="501"/>
        <v/>
      </c>
      <c r="CS32" s="69" t="str">
        <f t="shared" si="501"/>
        <v/>
      </c>
      <c r="CT32" s="69" t="str">
        <f t="shared" si="501"/>
        <v/>
      </c>
      <c r="CU32" s="69" t="str">
        <f t="shared" si="501"/>
        <v/>
      </c>
      <c r="CV32" s="69" t="str">
        <f t="shared" si="501"/>
        <v/>
      </c>
      <c r="CW32" s="69" t="str">
        <f t="shared" si="501"/>
        <v/>
      </c>
      <c r="CX32" s="69" t="str">
        <f t="shared" si="501"/>
        <v/>
      </c>
      <c r="CY32" s="69" t="str">
        <f t="shared" si="501"/>
        <v/>
      </c>
      <c r="CZ32" s="69" t="str">
        <f t="shared" si="501"/>
        <v/>
      </c>
      <c r="DA32" s="69" t="str">
        <f t="shared" si="501"/>
        <v/>
      </c>
      <c r="DB32" s="69" t="str">
        <f t="shared" si="501"/>
        <v/>
      </c>
      <c r="DC32" s="69" t="str">
        <f t="shared" si="501"/>
        <v/>
      </c>
      <c r="DD32" s="69" t="str">
        <f t="shared" si="501"/>
        <v/>
      </c>
      <c r="DE32" s="69" t="str">
        <f t="shared" si="501"/>
        <v/>
      </c>
      <c r="DF32" s="69" t="str">
        <f t="shared" si="501"/>
        <v/>
      </c>
      <c r="DG32" s="69" t="str">
        <f t="shared" si="501"/>
        <v/>
      </c>
      <c r="DH32" s="69" t="str">
        <f t="shared" si="501"/>
        <v/>
      </c>
      <c r="DI32" s="69" t="str">
        <f t="shared" si="501"/>
        <v/>
      </c>
      <c r="DJ32" s="69" t="str">
        <f t="shared" si="501"/>
        <v/>
      </c>
      <c r="DK32" s="69" t="str">
        <f t="shared" si="501"/>
        <v/>
      </c>
      <c r="DL32" s="69" t="str">
        <f t="shared" si="501"/>
        <v/>
      </c>
      <c r="DM32" s="69" t="str">
        <f t="shared" si="501"/>
        <v/>
      </c>
      <c r="DN32" s="69" t="str">
        <f t="shared" si="501"/>
        <v/>
      </c>
      <c r="DO32" s="69" t="str">
        <f t="shared" si="501"/>
        <v/>
      </c>
      <c r="DP32" s="69" t="str">
        <f t="shared" si="501"/>
        <v/>
      </c>
      <c r="DQ32" s="69" t="str">
        <f t="shared" si="501"/>
        <v/>
      </c>
      <c r="DR32" s="69" t="str">
        <f t="shared" si="501"/>
        <v/>
      </c>
      <c r="DS32" s="69" t="str">
        <f t="shared" si="501"/>
        <v/>
      </c>
      <c r="DT32" s="69" t="str">
        <f t="shared" si="501"/>
        <v/>
      </c>
      <c r="DU32" s="69" t="str">
        <f t="shared" si="501"/>
        <v/>
      </c>
      <c r="DV32" s="69" t="str">
        <f t="shared" si="501"/>
        <v/>
      </c>
      <c r="DW32" s="69" t="str">
        <f t="shared" si="501"/>
        <v/>
      </c>
      <c r="DX32" s="69" t="str">
        <f t="shared" si="501"/>
        <v/>
      </c>
      <c r="DY32" s="69" t="str">
        <f t="shared" si="501"/>
        <v/>
      </c>
      <c r="DZ32" s="69" t="str">
        <f t="shared" si="501"/>
        <v/>
      </c>
      <c r="EA32" s="69" t="str">
        <f t="shared" si="501"/>
        <v/>
      </c>
      <c r="EB32" s="69" t="str">
        <f t="shared" si="501"/>
        <v/>
      </c>
      <c r="EC32" s="69" t="str">
        <f t="shared" si="501"/>
        <v/>
      </c>
      <c r="ED32" s="69" t="str">
        <f t="shared" si="501"/>
        <v/>
      </c>
      <c r="EE32" s="69" t="str">
        <f t="shared" ref="EE32:GP32" si="502">IFERROR((24-EE14)/EE34,"")</f>
        <v/>
      </c>
      <c r="EF32" s="69" t="str">
        <f t="shared" si="502"/>
        <v/>
      </c>
      <c r="EG32" s="69" t="str">
        <f t="shared" si="502"/>
        <v/>
      </c>
      <c r="EH32" s="69" t="str">
        <f t="shared" si="502"/>
        <v/>
      </c>
      <c r="EI32" s="69" t="str">
        <f t="shared" si="502"/>
        <v/>
      </c>
      <c r="EJ32" s="69" t="str">
        <f t="shared" si="502"/>
        <v/>
      </c>
      <c r="EK32" s="69" t="str">
        <f t="shared" si="502"/>
        <v/>
      </c>
      <c r="EL32" s="69" t="str">
        <f t="shared" si="502"/>
        <v/>
      </c>
      <c r="EM32" s="69" t="str">
        <f t="shared" si="502"/>
        <v/>
      </c>
      <c r="EN32" s="69" t="str">
        <f t="shared" si="502"/>
        <v/>
      </c>
      <c r="EO32" s="69" t="str">
        <f t="shared" si="502"/>
        <v/>
      </c>
      <c r="EP32" s="69" t="str">
        <f t="shared" si="502"/>
        <v/>
      </c>
      <c r="EQ32" s="69" t="str">
        <f t="shared" si="502"/>
        <v/>
      </c>
      <c r="ER32" s="69" t="str">
        <f t="shared" si="502"/>
        <v/>
      </c>
      <c r="ES32" s="69" t="str">
        <f t="shared" si="502"/>
        <v/>
      </c>
      <c r="ET32" s="69" t="str">
        <f t="shared" si="502"/>
        <v/>
      </c>
      <c r="EU32" s="69" t="str">
        <f t="shared" si="502"/>
        <v/>
      </c>
      <c r="EV32" s="69" t="str">
        <f t="shared" si="502"/>
        <v/>
      </c>
      <c r="EW32" s="69" t="str">
        <f t="shared" si="502"/>
        <v/>
      </c>
      <c r="EX32" s="69" t="str">
        <f t="shared" si="502"/>
        <v/>
      </c>
      <c r="EY32" s="69" t="str">
        <f t="shared" si="502"/>
        <v/>
      </c>
      <c r="EZ32" s="69" t="str">
        <f t="shared" si="502"/>
        <v/>
      </c>
      <c r="FA32" s="69" t="str">
        <f t="shared" si="502"/>
        <v/>
      </c>
      <c r="FB32" s="69" t="str">
        <f t="shared" si="502"/>
        <v/>
      </c>
      <c r="FC32" s="69" t="str">
        <f t="shared" si="502"/>
        <v/>
      </c>
      <c r="FD32" s="69" t="str">
        <f t="shared" si="502"/>
        <v/>
      </c>
      <c r="FE32" s="69" t="str">
        <f t="shared" si="502"/>
        <v/>
      </c>
      <c r="FF32" s="69" t="str">
        <f t="shared" si="502"/>
        <v/>
      </c>
      <c r="FG32" s="69" t="str">
        <f t="shared" si="502"/>
        <v/>
      </c>
      <c r="FH32" s="69" t="str">
        <f t="shared" si="502"/>
        <v/>
      </c>
      <c r="FI32" s="69" t="str">
        <f t="shared" si="502"/>
        <v/>
      </c>
      <c r="FJ32" s="69" t="str">
        <f t="shared" si="502"/>
        <v/>
      </c>
      <c r="FK32" s="69" t="str">
        <f t="shared" si="502"/>
        <v/>
      </c>
      <c r="FL32" s="69" t="str">
        <f t="shared" si="502"/>
        <v/>
      </c>
      <c r="FM32" s="69" t="str">
        <f t="shared" si="502"/>
        <v/>
      </c>
      <c r="FN32" s="69" t="str">
        <f t="shared" si="502"/>
        <v/>
      </c>
      <c r="FO32" s="69" t="str">
        <f t="shared" si="502"/>
        <v/>
      </c>
      <c r="FP32" s="69" t="str">
        <f t="shared" si="502"/>
        <v/>
      </c>
      <c r="FQ32" s="69" t="str">
        <f t="shared" si="502"/>
        <v/>
      </c>
      <c r="FR32" s="69" t="str">
        <f t="shared" si="502"/>
        <v/>
      </c>
      <c r="FS32" s="69" t="str">
        <f t="shared" si="502"/>
        <v/>
      </c>
      <c r="FT32" s="69" t="str">
        <f t="shared" si="502"/>
        <v/>
      </c>
      <c r="FU32" s="69" t="str">
        <f t="shared" si="502"/>
        <v/>
      </c>
      <c r="FV32" s="69" t="str">
        <f t="shared" si="502"/>
        <v/>
      </c>
      <c r="FW32" s="69" t="str">
        <f t="shared" si="502"/>
        <v/>
      </c>
      <c r="FX32" s="69" t="str">
        <f t="shared" si="502"/>
        <v/>
      </c>
      <c r="FY32" s="69" t="str">
        <f t="shared" si="502"/>
        <v/>
      </c>
      <c r="FZ32" s="69" t="str">
        <f t="shared" si="502"/>
        <v/>
      </c>
      <c r="GA32" s="69" t="str">
        <f t="shared" si="502"/>
        <v/>
      </c>
      <c r="GB32" s="69" t="str">
        <f t="shared" si="502"/>
        <v/>
      </c>
      <c r="GC32" s="69" t="str">
        <f t="shared" si="502"/>
        <v/>
      </c>
      <c r="GD32" s="69" t="str">
        <f t="shared" si="502"/>
        <v/>
      </c>
      <c r="GE32" s="69" t="str">
        <f t="shared" si="502"/>
        <v/>
      </c>
      <c r="GF32" s="69" t="str">
        <f t="shared" si="502"/>
        <v/>
      </c>
      <c r="GG32" s="69" t="str">
        <f t="shared" si="502"/>
        <v/>
      </c>
      <c r="GH32" s="69" t="str">
        <f t="shared" si="502"/>
        <v/>
      </c>
      <c r="GI32" s="69" t="str">
        <f t="shared" si="502"/>
        <v/>
      </c>
      <c r="GJ32" s="69" t="str">
        <f t="shared" si="502"/>
        <v/>
      </c>
      <c r="GK32" s="69" t="str">
        <f t="shared" si="502"/>
        <v/>
      </c>
      <c r="GL32" s="69" t="str">
        <f t="shared" si="502"/>
        <v/>
      </c>
      <c r="GM32" s="69" t="str">
        <f t="shared" si="502"/>
        <v/>
      </c>
      <c r="GN32" s="69" t="str">
        <f t="shared" si="502"/>
        <v/>
      </c>
      <c r="GO32" s="69" t="str">
        <f t="shared" si="502"/>
        <v/>
      </c>
      <c r="GP32" s="69" t="str">
        <f t="shared" si="502"/>
        <v/>
      </c>
      <c r="GQ32" s="69" t="str">
        <f t="shared" ref="GQ32:JB32" si="503">IFERROR((24-GQ14)/GQ34,"")</f>
        <v/>
      </c>
      <c r="GR32" s="69" t="str">
        <f t="shared" si="503"/>
        <v/>
      </c>
      <c r="GS32" s="69" t="str">
        <f t="shared" si="503"/>
        <v/>
      </c>
      <c r="GT32" s="69" t="str">
        <f t="shared" si="503"/>
        <v/>
      </c>
      <c r="GU32" s="69" t="str">
        <f t="shared" si="503"/>
        <v/>
      </c>
      <c r="GV32" s="69" t="str">
        <f t="shared" si="503"/>
        <v/>
      </c>
      <c r="GW32" s="69" t="str">
        <f t="shared" si="503"/>
        <v/>
      </c>
      <c r="GX32" s="69" t="str">
        <f t="shared" si="503"/>
        <v/>
      </c>
      <c r="GY32" s="69" t="str">
        <f t="shared" si="503"/>
        <v/>
      </c>
      <c r="GZ32" s="69" t="str">
        <f t="shared" si="503"/>
        <v/>
      </c>
      <c r="HA32" s="69" t="str">
        <f t="shared" si="503"/>
        <v/>
      </c>
      <c r="HB32" s="69" t="str">
        <f t="shared" si="503"/>
        <v/>
      </c>
      <c r="HC32" s="69" t="str">
        <f t="shared" si="503"/>
        <v/>
      </c>
      <c r="HD32" s="69" t="str">
        <f t="shared" si="503"/>
        <v/>
      </c>
      <c r="HE32" s="69" t="str">
        <f t="shared" si="503"/>
        <v/>
      </c>
      <c r="HF32" s="69" t="str">
        <f t="shared" si="503"/>
        <v/>
      </c>
      <c r="HG32" s="69" t="str">
        <f t="shared" si="503"/>
        <v/>
      </c>
      <c r="HH32" s="69" t="str">
        <f t="shared" si="503"/>
        <v/>
      </c>
      <c r="HI32" s="69" t="str">
        <f t="shared" si="503"/>
        <v/>
      </c>
      <c r="HJ32" s="69" t="str">
        <f t="shared" si="503"/>
        <v/>
      </c>
      <c r="HK32" s="69" t="str">
        <f t="shared" si="503"/>
        <v/>
      </c>
      <c r="HL32" s="69" t="str">
        <f t="shared" si="503"/>
        <v/>
      </c>
      <c r="HM32" s="69" t="str">
        <f t="shared" si="503"/>
        <v/>
      </c>
      <c r="HN32" s="69" t="str">
        <f t="shared" si="503"/>
        <v/>
      </c>
      <c r="HO32" s="69" t="str">
        <f t="shared" si="503"/>
        <v/>
      </c>
      <c r="HP32" s="69" t="str">
        <f t="shared" si="503"/>
        <v/>
      </c>
      <c r="HQ32" s="69" t="str">
        <f t="shared" si="503"/>
        <v/>
      </c>
      <c r="HR32" s="69" t="str">
        <f t="shared" si="503"/>
        <v/>
      </c>
      <c r="HS32" s="69" t="str">
        <f t="shared" si="503"/>
        <v/>
      </c>
      <c r="HT32" s="69" t="str">
        <f t="shared" si="503"/>
        <v/>
      </c>
      <c r="HU32" s="69" t="str">
        <f t="shared" si="503"/>
        <v/>
      </c>
      <c r="HV32" s="69" t="str">
        <f t="shared" si="503"/>
        <v/>
      </c>
      <c r="HW32" s="69" t="str">
        <f t="shared" si="503"/>
        <v/>
      </c>
      <c r="HX32" s="69" t="str">
        <f t="shared" si="503"/>
        <v/>
      </c>
      <c r="HY32" s="69" t="str">
        <f t="shared" si="503"/>
        <v/>
      </c>
      <c r="HZ32" s="69" t="str">
        <f t="shared" si="503"/>
        <v/>
      </c>
      <c r="IA32" s="69" t="str">
        <f t="shared" si="503"/>
        <v/>
      </c>
      <c r="IB32" s="69" t="str">
        <f t="shared" si="503"/>
        <v/>
      </c>
      <c r="IC32" s="69" t="str">
        <f t="shared" si="503"/>
        <v/>
      </c>
      <c r="ID32" s="69" t="str">
        <f t="shared" si="503"/>
        <v/>
      </c>
      <c r="IE32" s="69" t="str">
        <f t="shared" si="503"/>
        <v/>
      </c>
      <c r="IF32" s="69" t="str">
        <f t="shared" si="503"/>
        <v/>
      </c>
      <c r="IG32" s="69" t="str">
        <f t="shared" si="503"/>
        <v/>
      </c>
      <c r="IH32" s="69" t="str">
        <f t="shared" si="503"/>
        <v/>
      </c>
      <c r="II32" s="69" t="str">
        <f t="shared" si="503"/>
        <v/>
      </c>
      <c r="IJ32" s="69" t="str">
        <f t="shared" si="503"/>
        <v/>
      </c>
      <c r="IK32" s="69" t="str">
        <f t="shared" si="503"/>
        <v/>
      </c>
      <c r="IL32" s="69" t="str">
        <f t="shared" si="503"/>
        <v/>
      </c>
      <c r="IM32" s="69" t="str">
        <f t="shared" si="503"/>
        <v/>
      </c>
      <c r="IN32" s="69" t="str">
        <f t="shared" si="503"/>
        <v/>
      </c>
      <c r="IO32" s="69" t="str">
        <f t="shared" si="503"/>
        <v/>
      </c>
      <c r="IP32" s="69" t="str">
        <f t="shared" si="503"/>
        <v/>
      </c>
      <c r="IQ32" s="69" t="str">
        <f t="shared" si="503"/>
        <v/>
      </c>
      <c r="IR32" s="69" t="str">
        <f t="shared" si="503"/>
        <v/>
      </c>
      <c r="IS32" s="69" t="str">
        <f t="shared" si="503"/>
        <v/>
      </c>
      <c r="IT32" s="69" t="str">
        <f t="shared" si="503"/>
        <v/>
      </c>
      <c r="IU32" s="69" t="str">
        <f t="shared" si="503"/>
        <v/>
      </c>
      <c r="IV32" s="69" t="str">
        <f t="shared" si="503"/>
        <v/>
      </c>
      <c r="IW32" s="69" t="str">
        <f t="shared" si="503"/>
        <v/>
      </c>
      <c r="IX32" s="69" t="str">
        <f t="shared" si="503"/>
        <v/>
      </c>
      <c r="IY32" s="69" t="str">
        <f t="shared" si="503"/>
        <v/>
      </c>
      <c r="IZ32" s="69" t="str">
        <f t="shared" si="503"/>
        <v/>
      </c>
      <c r="JA32" s="69" t="str">
        <f t="shared" si="503"/>
        <v/>
      </c>
      <c r="JB32" s="69" t="str">
        <f t="shared" si="503"/>
        <v/>
      </c>
      <c r="JC32" s="69" t="str">
        <f t="shared" ref="JC32:LN32" si="504">IFERROR((24-JC14)/JC34,"")</f>
        <v/>
      </c>
      <c r="JD32" s="69" t="str">
        <f t="shared" si="504"/>
        <v/>
      </c>
      <c r="JE32" s="69" t="str">
        <f t="shared" si="504"/>
        <v/>
      </c>
      <c r="JF32" s="69" t="str">
        <f t="shared" si="504"/>
        <v/>
      </c>
      <c r="JG32" s="69" t="str">
        <f t="shared" si="504"/>
        <v/>
      </c>
      <c r="JH32" s="69" t="str">
        <f t="shared" si="504"/>
        <v/>
      </c>
      <c r="JI32" s="69" t="str">
        <f t="shared" si="504"/>
        <v/>
      </c>
      <c r="JJ32" s="69" t="str">
        <f t="shared" si="504"/>
        <v/>
      </c>
      <c r="JK32" s="69" t="str">
        <f t="shared" si="504"/>
        <v/>
      </c>
      <c r="JL32" s="69" t="str">
        <f t="shared" si="504"/>
        <v/>
      </c>
      <c r="JM32" s="69" t="str">
        <f t="shared" si="504"/>
        <v/>
      </c>
      <c r="JN32" s="69" t="str">
        <f t="shared" si="504"/>
        <v/>
      </c>
      <c r="JO32" s="69" t="str">
        <f t="shared" si="504"/>
        <v/>
      </c>
      <c r="JP32" s="69" t="str">
        <f t="shared" si="504"/>
        <v/>
      </c>
      <c r="JQ32" s="69" t="str">
        <f t="shared" si="504"/>
        <v/>
      </c>
      <c r="JR32" s="69" t="str">
        <f t="shared" si="504"/>
        <v/>
      </c>
      <c r="JS32" s="69" t="str">
        <f t="shared" si="504"/>
        <v/>
      </c>
      <c r="JT32" s="69" t="str">
        <f t="shared" si="504"/>
        <v/>
      </c>
      <c r="JU32" s="69" t="str">
        <f t="shared" si="504"/>
        <v/>
      </c>
      <c r="JV32" s="69" t="str">
        <f t="shared" si="504"/>
        <v/>
      </c>
      <c r="JW32" s="69" t="str">
        <f t="shared" si="504"/>
        <v/>
      </c>
      <c r="JX32" s="69" t="str">
        <f t="shared" si="504"/>
        <v/>
      </c>
      <c r="JY32" s="69" t="str">
        <f t="shared" si="504"/>
        <v/>
      </c>
      <c r="JZ32" s="69" t="str">
        <f t="shared" si="504"/>
        <v/>
      </c>
      <c r="KA32" s="69" t="str">
        <f t="shared" si="504"/>
        <v/>
      </c>
      <c r="KB32" s="69" t="str">
        <f t="shared" si="504"/>
        <v/>
      </c>
      <c r="KC32" s="69" t="str">
        <f t="shared" si="504"/>
        <v/>
      </c>
      <c r="KD32" s="69" t="str">
        <f t="shared" si="504"/>
        <v/>
      </c>
      <c r="KE32" s="69" t="str">
        <f t="shared" si="504"/>
        <v/>
      </c>
      <c r="KF32" s="69" t="str">
        <f t="shared" si="504"/>
        <v/>
      </c>
      <c r="KG32" s="69" t="str">
        <f t="shared" si="504"/>
        <v/>
      </c>
      <c r="KH32" s="69" t="str">
        <f t="shared" si="504"/>
        <v/>
      </c>
      <c r="KI32" s="69" t="str">
        <f t="shared" si="504"/>
        <v/>
      </c>
      <c r="KJ32" s="69" t="str">
        <f t="shared" si="504"/>
        <v/>
      </c>
      <c r="KK32" s="69" t="str">
        <f t="shared" si="504"/>
        <v/>
      </c>
      <c r="KL32" s="69" t="str">
        <f t="shared" si="504"/>
        <v/>
      </c>
      <c r="KM32" s="69" t="str">
        <f t="shared" si="504"/>
        <v/>
      </c>
      <c r="KN32" s="69" t="str">
        <f t="shared" si="504"/>
        <v/>
      </c>
      <c r="KO32" s="69" t="str">
        <f t="shared" si="504"/>
        <v/>
      </c>
      <c r="KP32" s="69" t="str">
        <f t="shared" si="504"/>
        <v/>
      </c>
      <c r="KQ32" s="69" t="str">
        <f t="shared" si="504"/>
        <v/>
      </c>
      <c r="KR32" s="69" t="str">
        <f t="shared" si="504"/>
        <v/>
      </c>
      <c r="KS32" s="69" t="str">
        <f t="shared" si="504"/>
        <v/>
      </c>
      <c r="KT32" s="69" t="str">
        <f t="shared" si="504"/>
        <v/>
      </c>
      <c r="KU32" s="69" t="str">
        <f t="shared" si="504"/>
        <v/>
      </c>
      <c r="KV32" s="69" t="str">
        <f t="shared" si="504"/>
        <v/>
      </c>
      <c r="KW32" s="69" t="str">
        <f t="shared" si="504"/>
        <v/>
      </c>
      <c r="KX32" s="69" t="str">
        <f t="shared" si="504"/>
        <v/>
      </c>
      <c r="KY32" s="69" t="str">
        <f t="shared" si="504"/>
        <v/>
      </c>
      <c r="KZ32" s="69" t="str">
        <f t="shared" si="504"/>
        <v/>
      </c>
      <c r="LA32" s="69" t="str">
        <f t="shared" si="504"/>
        <v/>
      </c>
      <c r="LB32" s="69" t="str">
        <f t="shared" si="504"/>
        <v/>
      </c>
      <c r="LC32" s="69" t="str">
        <f t="shared" si="504"/>
        <v/>
      </c>
      <c r="LD32" s="69" t="str">
        <f t="shared" si="504"/>
        <v/>
      </c>
      <c r="LE32" s="69" t="str">
        <f t="shared" si="504"/>
        <v/>
      </c>
      <c r="LF32" s="69" t="str">
        <f t="shared" si="504"/>
        <v/>
      </c>
      <c r="LG32" s="69" t="str">
        <f t="shared" si="504"/>
        <v/>
      </c>
      <c r="LH32" s="69" t="str">
        <f t="shared" si="504"/>
        <v/>
      </c>
      <c r="LI32" s="69" t="str">
        <f t="shared" si="504"/>
        <v/>
      </c>
      <c r="LJ32" s="69" t="str">
        <f t="shared" si="504"/>
        <v/>
      </c>
      <c r="LK32" s="69" t="str">
        <f t="shared" si="504"/>
        <v/>
      </c>
      <c r="LL32" s="69" t="str">
        <f t="shared" si="504"/>
        <v/>
      </c>
      <c r="LM32" s="69" t="str">
        <f t="shared" si="504"/>
        <v/>
      </c>
      <c r="LN32" s="69" t="str">
        <f t="shared" si="504"/>
        <v/>
      </c>
      <c r="LO32" s="69" t="str">
        <f t="shared" ref="LO32:NW32" si="505">IFERROR((24-LO14)/LO34,"")</f>
        <v/>
      </c>
      <c r="LP32" s="69" t="str">
        <f t="shared" si="505"/>
        <v/>
      </c>
      <c r="LQ32" s="69" t="str">
        <f t="shared" si="505"/>
        <v/>
      </c>
      <c r="LR32" s="69" t="str">
        <f t="shared" si="505"/>
        <v/>
      </c>
      <c r="LS32" s="69" t="str">
        <f t="shared" si="505"/>
        <v/>
      </c>
      <c r="LT32" s="69" t="str">
        <f t="shared" si="505"/>
        <v/>
      </c>
      <c r="LU32" s="69" t="str">
        <f t="shared" si="505"/>
        <v/>
      </c>
      <c r="LV32" s="69" t="str">
        <f t="shared" si="505"/>
        <v/>
      </c>
      <c r="LW32" s="69" t="str">
        <f t="shared" si="505"/>
        <v/>
      </c>
      <c r="LX32" s="69" t="str">
        <f t="shared" si="505"/>
        <v/>
      </c>
      <c r="LY32" s="69" t="str">
        <f t="shared" si="505"/>
        <v/>
      </c>
      <c r="LZ32" s="69" t="str">
        <f t="shared" si="505"/>
        <v/>
      </c>
      <c r="MA32" s="69" t="str">
        <f t="shared" si="505"/>
        <v/>
      </c>
      <c r="MB32" s="69" t="str">
        <f t="shared" si="505"/>
        <v/>
      </c>
      <c r="MC32" s="69" t="str">
        <f t="shared" si="505"/>
        <v/>
      </c>
      <c r="MD32" s="69" t="str">
        <f t="shared" si="505"/>
        <v/>
      </c>
      <c r="ME32" s="69" t="str">
        <f t="shared" si="505"/>
        <v/>
      </c>
      <c r="MF32" s="69" t="str">
        <f t="shared" si="505"/>
        <v/>
      </c>
      <c r="MG32" s="69" t="str">
        <f t="shared" si="505"/>
        <v/>
      </c>
      <c r="MH32" s="69" t="str">
        <f t="shared" si="505"/>
        <v/>
      </c>
      <c r="MI32" s="69" t="str">
        <f t="shared" si="505"/>
        <v/>
      </c>
      <c r="MJ32" s="69" t="str">
        <f t="shared" si="505"/>
        <v/>
      </c>
      <c r="MK32" s="69" t="str">
        <f t="shared" si="505"/>
        <v/>
      </c>
      <c r="ML32" s="69" t="str">
        <f t="shared" si="505"/>
        <v/>
      </c>
      <c r="MM32" s="69" t="str">
        <f t="shared" si="505"/>
        <v/>
      </c>
      <c r="MN32" s="69" t="str">
        <f t="shared" si="505"/>
        <v/>
      </c>
      <c r="MO32" s="69" t="str">
        <f t="shared" si="505"/>
        <v/>
      </c>
      <c r="MP32" s="69" t="str">
        <f t="shared" si="505"/>
        <v/>
      </c>
      <c r="MQ32" s="69" t="str">
        <f t="shared" si="505"/>
        <v/>
      </c>
      <c r="MR32" s="69" t="str">
        <f t="shared" si="505"/>
        <v/>
      </c>
      <c r="MS32" s="69" t="str">
        <f t="shared" si="505"/>
        <v/>
      </c>
      <c r="MT32" s="69" t="str">
        <f t="shared" si="505"/>
        <v/>
      </c>
      <c r="MU32" s="69" t="str">
        <f t="shared" si="505"/>
        <v/>
      </c>
      <c r="MV32" s="69" t="str">
        <f t="shared" si="505"/>
        <v/>
      </c>
      <c r="MW32" s="69" t="str">
        <f t="shared" si="505"/>
        <v/>
      </c>
      <c r="MX32" s="69" t="str">
        <f t="shared" si="505"/>
        <v/>
      </c>
      <c r="MY32" s="69" t="str">
        <f t="shared" si="505"/>
        <v/>
      </c>
      <c r="MZ32" s="69" t="str">
        <f t="shared" si="505"/>
        <v/>
      </c>
      <c r="NA32" s="69" t="str">
        <f t="shared" si="505"/>
        <v/>
      </c>
      <c r="NB32" s="69" t="str">
        <f t="shared" si="505"/>
        <v/>
      </c>
      <c r="NC32" s="69" t="str">
        <f t="shared" si="505"/>
        <v/>
      </c>
      <c r="ND32" s="69" t="str">
        <f t="shared" si="505"/>
        <v/>
      </c>
      <c r="NE32" s="69" t="str">
        <f t="shared" si="505"/>
        <v/>
      </c>
      <c r="NF32" s="69" t="str">
        <f t="shared" si="505"/>
        <v/>
      </c>
      <c r="NG32" s="69" t="str">
        <f t="shared" si="505"/>
        <v/>
      </c>
      <c r="NH32" s="69" t="str">
        <f t="shared" si="505"/>
        <v/>
      </c>
      <c r="NI32" s="69" t="str">
        <f t="shared" si="505"/>
        <v/>
      </c>
      <c r="NJ32" s="69" t="str">
        <f t="shared" si="505"/>
        <v/>
      </c>
      <c r="NK32" s="69" t="str">
        <f t="shared" si="505"/>
        <v/>
      </c>
      <c r="NL32" s="69" t="str">
        <f t="shared" si="505"/>
        <v/>
      </c>
      <c r="NM32" s="69" t="str">
        <f t="shared" si="505"/>
        <v/>
      </c>
      <c r="NN32" s="69" t="str">
        <f t="shared" si="505"/>
        <v/>
      </c>
      <c r="NO32" s="69" t="str">
        <f t="shared" si="505"/>
        <v/>
      </c>
      <c r="NP32" s="69" t="str">
        <f t="shared" si="505"/>
        <v/>
      </c>
      <c r="NQ32" s="69" t="str">
        <f t="shared" si="505"/>
        <v/>
      </c>
      <c r="NR32" s="69" t="str">
        <f t="shared" si="505"/>
        <v/>
      </c>
      <c r="NS32" s="69" t="str">
        <f t="shared" si="505"/>
        <v/>
      </c>
      <c r="NT32" s="69" t="str">
        <f t="shared" si="505"/>
        <v/>
      </c>
      <c r="NU32" s="69" t="str">
        <f t="shared" si="505"/>
        <v/>
      </c>
      <c r="NV32" s="69" t="str">
        <f t="shared" si="505"/>
        <v/>
      </c>
      <c r="NW32" s="69" t="str">
        <f t="shared" si="505"/>
        <v/>
      </c>
    </row>
    <row r="33" spans="2:387" x14ac:dyDescent="0.25">
      <c r="B33" s="591" t="s">
        <v>303</v>
      </c>
      <c r="C33" s="591"/>
      <c r="D33" s="69" t="str">
        <f>IFERROR(D30/D31,"")</f>
        <v/>
      </c>
      <c r="E33" s="69" t="str">
        <f t="shared" ref="E33:BR33" si="506">IFERROR(E30/E31,"")</f>
        <v/>
      </c>
      <c r="F33" s="69" t="str">
        <f t="shared" si="506"/>
        <v/>
      </c>
      <c r="G33" s="69" t="str">
        <f t="shared" si="506"/>
        <v/>
      </c>
      <c r="H33" s="69" t="str">
        <f t="shared" si="506"/>
        <v/>
      </c>
      <c r="I33" s="69" t="str">
        <f t="shared" si="506"/>
        <v/>
      </c>
      <c r="J33" s="69" t="str">
        <f t="shared" si="506"/>
        <v/>
      </c>
      <c r="K33" s="100">
        <f t="shared" si="488"/>
        <v>0</v>
      </c>
      <c r="L33" s="69" t="str">
        <f>IFERROR(L30/L31,"")</f>
        <v/>
      </c>
      <c r="M33" s="69" t="str">
        <f t="shared" si="506"/>
        <v/>
      </c>
      <c r="N33" s="69" t="str">
        <f t="shared" si="506"/>
        <v/>
      </c>
      <c r="O33" s="69" t="str">
        <f t="shared" si="506"/>
        <v/>
      </c>
      <c r="P33" s="69" t="str">
        <f t="shared" si="506"/>
        <v/>
      </c>
      <c r="Q33" s="69" t="str">
        <f t="shared" si="506"/>
        <v/>
      </c>
      <c r="R33" s="69" t="str">
        <f t="shared" si="506"/>
        <v/>
      </c>
      <c r="S33" s="100">
        <f>SUM(L33:R33)</f>
        <v>0</v>
      </c>
      <c r="T33" s="69" t="str">
        <f>IFERROR(T30/T31,"")</f>
        <v/>
      </c>
      <c r="U33" s="69" t="str">
        <f t="shared" si="506"/>
        <v/>
      </c>
      <c r="V33" s="69" t="str">
        <f t="shared" si="506"/>
        <v/>
      </c>
      <c r="W33" s="69" t="str">
        <f t="shared" si="506"/>
        <v/>
      </c>
      <c r="X33" s="69" t="str">
        <f t="shared" si="506"/>
        <v/>
      </c>
      <c r="Y33" s="69" t="str">
        <f t="shared" si="506"/>
        <v/>
      </c>
      <c r="Z33" s="69" t="str">
        <f t="shared" si="506"/>
        <v/>
      </c>
      <c r="AA33" s="100">
        <f>SUM(T33:Z33)</f>
        <v>0</v>
      </c>
      <c r="AB33" s="69" t="str">
        <f>IFERROR(AB30/AB31,"")</f>
        <v/>
      </c>
      <c r="AC33" s="69" t="str">
        <f t="shared" si="506"/>
        <v/>
      </c>
      <c r="AD33" s="69" t="str">
        <f t="shared" si="506"/>
        <v/>
      </c>
      <c r="AE33" s="69" t="str">
        <f t="shared" si="506"/>
        <v/>
      </c>
      <c r="AF33" s="69" t="str">
        <f t="shared" si="506"/>
        <v/>
      </c>
      <c r="AG33" s="69" t="str">
        <f t="shared" si="506"/>
        <v/>
      </c>
      <c r="AH33" s="69" t="str">
        <f t="shared" si="506"/>
        <v/>
      </c>
      <c r="AI33" s="100">
        <f>SUM(AB33:AH33)</f>
        <v>0</v>
      </c>
      <c r="AJ33" s="69" t="str">
        <f>IFERROR(AJ30/AJ31,"")</f>
        <v/>
      </c>
      <c r="AK33" s="69" t="str">
        <f t="shared" si="506"/>
        <v/>
      </c>
      <c r="AL33" s="69" t="str">
        <f t="shared" si="506"/>
        <v/>
      </c>
      <c r="AM33" s="69" t="str">
        <f t="shared" si="506"/>
        <v/>
      </c>
      <c r="AN33" s="69" t="str">
        <f t="shared" si="506"/>
        <v/>
      </c>
      <c r="AO33" s="69" t="str">
        <f t="shared" si="506"/>
        <v/>
      </c>
      <c r="AP33" s="69" t="str">
        <f t="shared" si="506"/>
        <v/>
      </c>
      <c r="AQ33" s="100">
        <f>SUM(AJ33:AP33)</f>
        <v>0</v>
      </c>
      <c r="AR33" s="69" t="str">
        <f>IFERROR(AR30/AR31,"")</f>
        <v/>
      </c>
      <c r="AS33" s="69" t="str">
        <f t="shared" si="506"/>
        <v/>
      </c>
      <c r="AT33" s="69" t="str">
        <f t="shared" si="506"/>
        <v/>
      </c>
      <c r="AU33" s="69" t="str">
        <f t="shared" si="506"/>
        <v/>
      </c>
      <c r="AV33" s="69" t="str">
        <f t="shared" si="506"/>
        <v/>
      </c>
      <c r="AW33" s="69" t="str">
        <f t="shared" si="506"/>
        <v/>
      </c>
      <c r="AX33" s="69" t="str">
        <f t="shared" si="506"/>
        <v/>
      </c>
      <c r="AY33" s="100">
        <f>SUM(AR33:AX33)</f>
        <v>0</v>
      </c>
      <c r="AZ33" s="69" t="str">
        <f>IFERROR(AZ30/AZ31,"")</f>
        <v/>
      </c>
      <c r="BA33" s="69" t="str">
        <f t="shared" si="506"/>
        <v/>
      </c>
      <c r="BB33" s="69" t="str">
        <f t="shared" si="506"/>
        <v/>
      </c>
      <c r="BC33" s="69" t="str">
        <f t="shared" si="506"/>
        <v/>
      </c>
      <c r="BD33" s="69" t="str">
        <f t="shared" si="506"/>
        <v/>
      </c>
      <c r="BE33" s="69" t="str">
        <f t="shared" si="506"/>
        <v/>
      </c>
      <c r="BF33" s="69" t="str">
        <f t="shared" si="506"/>
        <v/>
      </c>
      <c r="BG33" s="100">
        <f>SUM(AZ33:BF33)</f>
        <v>0</v>
      </c>
      <c r="BH33" s="69" t="str">
        <f>IFERROR(BH30/BH31,"")</f>
        <v/>
      </c>
      <c r="BI33" s="69" t="str">
        <f t="shared" si="506"/>
        <v/>
      </c>
      <c r="BJ33" s="69" t="str">
        <f t="shared" si="506"/>
        <v/>
      </c>
      <c r="BK33" s="69" t="str">
        <f t="shared" si="506"/>
        <v/>
      </c>
      <c r="BL33" s="69" t="str">
        <f t="shared" si="506"/>
        <v/>
      </c>
      <c r="BM33" s="69" t="str">
        <f t="shared" si="506"/>
        <v/>
      </c>
      <c r="BN33" s="69" t="str">
        <f t="shared" si="506"/>
        <v/>
      </c>
      <c r="BO33" s="100">
        <f>SUM(BH33:BN33)</f>
        <v>0</v>
      </c>
      <c r="BP33" s="69" t="str">
        <f>IFERROR(BP30/BP31,"")</f>
        <v/>
      </c>
      <c r="BQ33" s="69" t="str">
        <f t="shared" si="506"/>
        <v/>
      </c>
      <c r="BR33" s="69" t="str">
        <f t="shared" si="506"/>
        <v/>
      </c>
      <c r="BS33" s="69" t="str">
        <f t="shared" ref="BS33:ED33" si="507">IFERROR(BS30/BS31,"")</f>
        <v/>
      </c>
      <c r="BT33" s="69" t="str">
        <f t="shared" si="507"/>
        <v/>
      </c>
      <c r="BU33" s="69" t="str">
        <f t="shared" si="507"/>
        <v/>
      </c>
      <c r="BV33" s="69" t="str">
        <f t="shared" si="507"/>
        <v/>
      </c>
      <c r="BW33" s="100">
        <f>SUM(BP33:BV33)</f>
        <v>0</v>
      </c>
      <c r="BX33" s="69" t="str">
        <f>IFERROR(BX30/BX31,"")</f>
        <v/>
      </c>
      <c r="BY33" s="69" t="str">
        <f t="shared" si="507"/>
        <v/>
      </c>
      <c r="BZ33" s="69" t="str">
        <f t="shared" si="507"/>
        <v/>
      </c>
      <c r="CA33" s="69" t="str">
        <f t="shared" si="507"/>
        <v/>
      </c>
      <c r="CB33" s="69" t="str">
        <f t="shared" si="507"/>
        <v/>
      </c>
      <c r="CC33" s="69" t="str">
        <f t="shared" si="507"/>
        <v/>
      </c>
      <c r="CD33" s="69" t="str">
        <f t="shared" si="507"/>
        <v/>
      </c>
      <c r="CE33" s="100">
        <f>SUM(BX33:CD33)</f>
        <v>0</v>
      </c>
      <c r="CF33" s="69" t="str">
        <f>IFERROR(CF30/CF31,"")</f>
        <v/>
      </c>
      <c r="CG33" s="69" t="str">
        <f t="shared" si="507"/>
        <v/>
      </c>
      <c r="CH33" s="69" t="str">
        <f t="shared" si="507"/>
        <v/>
      </c>
      <c r="CI33" s="69" t="str">
        <f t="shared" si="507"/>
        <v/>
      </c>
      <c r="CJ33" s="69" t="str">
        <f t="shared" si="507"/>
        <v/>
      </c>
      <c r="CK33" s="69" t="str">
        <f t="shared" si="507"/>
        <v/>
      </c>
      <c r="CL33" s="69" t="str">
        <f t="shared" si="507"/>
        <v/>
      </c>
      <c r="CM33" s="100">
        <f>SUM(CF33:CL33)</f>
        <v>0</v>
      </c>
      <c r="CN33" s="69" t="str">
        <f>IFERROR(CN30/CN31,"")</f>
        <v/>
      </c>
      <c r="CO33" s="69" t="str">
        <f t="shared" si="507"/>
        <v/>
      </c>
      <c r="CP33" s="69" t="str">
        <f t="shared" si="507"/>
        <v/>
      </c>
      <c r="CQ33" s="69" t="str">
        <f t="shared" si="507"/>
        <v/>
      </c>
      <c r="CR33" s="69" t="str">
        <f t="shared" si="507"/>
        <v/>
      </c>
      <c r="CS33" s="69" t="str">
        <f t="shared" si="507"/>
        <v/>
      </c>
      <c r="CT33" s="69" t="str">
        <f t="shared" si="507"/>
        <v/>
      </c>
      <c r="CU33" s="100">
        <f>SUM(CN33:CT33)</f>
        <v>0</v>
      </c>
      <c r="CV33" s="69" t="str">
        <f>IFERROR(CV30/CV31,"")</f>
        <v/>
      </c>
      <c r="CW33" s="69" t="str">
        <f t="shared" si="507"/>
        <v/>
      </c>
      <c r="CX33" s="69" t="str">
        <f t="shared" si="507"/>
        <v/>
      </c>
      <c r="CY33" s="69" t="str">
        <f t="shared" si="507"/>
        <v/>
      </c>
      <c r="CZ33" s="69" t="str">
        <f t="shared" si="507"/>
        <v/>
      </c>
      <c r="DA33" s="69" t="str">
        <f t="shared" si="507"/>
        <v/>
      </c>
      <c r="DB33" s="69" t="str">
        <f t="shared" si="507"/>
        <v/>
      </c>
      <c r="DC33" s="100">
        <f>SUM(CV33:DB33)</f>
        <v>0</v>
      </c>
      <c r="DD33" s="69" t="str">
        <f>IFERROR(DD30/DD31,"")</f>
        <v/>
      </c>
      <c r="DE33" s="69" t="str">
        <f t="shared" si="507"/>
        <v/>
      </c>
      <c r="DF33" s="69" t="str">
        <f t="shared" si="507"/>
        <v/>
      </c>
      <c r="DG33" s="69" t="str">
        <f t="shared" si="507"/>
        <v/>
      </c>
      <c r="DH33" s="69" t="str">
        <f t="shared" si="507"/>
        <v/>
      </c>
      <c r="DI33" s="69" t="str">
        <f t="shared" si="507"/>
        <v/>
      </c>
      <c r="DJ33" s="69" t="str">
        <f t="shared" si="507"/>
        <v/>
      </c>
      <c r="DK33" s="100">
        <f>SUM(DD33:DJ33)</f>
        <v>0</v>
      </c>
      <c r="DL33" s="69" t="str">
        <f>IFERROR(DL30/DL31,"")</f>
        <v/>
      </c>
      <c r="DM33" s="69" t="str">
        <f t="shared" si="507"/>
        <v/>
      </c>
      <c r="DN33" s="69" t="str">
        <f t="shared" si="507"/>
        <v/>
      </c>
      <c r="DO33" s="69" t="str">
        <f t="shared" si="507"/>
        <v/>
      </c>
      <c r="DP33" s="69" t="str">
        <f t="shared" si="507"/>
        <v/>
      </c>
      <c r="DQ33" s="69" t="str">
        <f t="shared" si="507"/>
        <v/>
      </c>
      <c r="DR33" s="69" t="str">
        <f t="shared" si="507"/>
        <v/>
      </c>
      <c r="DS33" s="100">
        <f>SUM(DL33:DR33)</f>
        <v>0</v>
      </c>
      <c r="DT33" s="69" t="str">
        <f>IFERROR(DT30/DT31,"")</f>
        <v/>
      </c>
      <c r="DU33" s="69" t="str">
        <f t="shared" si="507"/>
        <v/>
      </c>
      <c r="DV33" s="69" t="str">
        <f t="shared" si="507"/>
        <v/>
      </c>
      <c r="DW33" s="69" t="str">
        <f t="shared" si="507"/>
        <v/>
      </c>
      <c r="DX33" s="69" t="str">
        <f t="shared" si="507"/>
        <v/>
      </c>
      <c r="DY33" s="69" t="str">
        <f t="shared" si="507"/>
        <v/>
      </c>
      <c r="DZ33" s="69" t="str">
        <f t="shared" si="507"/>
        <v/>
      </c>
      <c r="EA33" s="100">
        <f>SUM(DT33:DZ33)</f>
        <v>0</v>
      </c>
      <c r="EB33" s="69" t="str">
        <f>IFERROR(EB30/EB31,"")</f>
        <v/>
      </c>
      <c r="EC33" s="69" t="str">
        <f t="shared" si="507"/>
        <v/>
      </c>
      <c r="ED33" s="69" t="str">
        <f t="shared" si="507"/>
        <v/>
      </c>
      <c r="EE33" s="69" t="str">
        <f t="shared" ref="EE33:GP33" si="508">IFERROR(EE30/EE31,"")</f>
        <v/>
      </c>
      <c r="EF33" s="69" t="str">
        <f t="shared" si="508"/>
        <v/>
      </c>
      <c r="EG33" s="69" t="str">
        <f t="shared" si="508"/>
        <v/>
      </c>
      <c r="EH33" s="69" t="str">
        <f t="shared" si="508"/>
        <v/>
      </c>
      <c r="EI33" s="100">
        <f>SUM(EB33:EH33)</f>
        <v>0</v>
      </c>
      <c r="EJ33" s="69" t="str">
        <f>IFERROR(EJ30/EJ31,"")</f>
        <v/>
      </c>
      <c r="EK33" s="69" t="str">
        <f t="shared" si="508"/>
        <v/>
      </c>
      <c r="EL33" s="69" t="str">
        <f t="shared" si="508"/>
        <v/>
      </c>
      <c r="EM33" s="69" t="str">
        <f t="shared" si="508"/>
        <v/>
      </c>
      <c r="EN33" s="69" t="str">
        <f t="shared" si="508"/>
        <v/>
      </c>
      <c r="EO33" s="69" t="str">
        <f t="shared" si="508"/>
        <v/>
      </c>
      <c r="EP33" s="69" t="str">
        <f t="shared" si="508"/>
        <v/>
      </c>
      <c r="EQ33" s="100">
        <f>SUM(EJ33:EP33)</f>
        <v>0</v>
      </c>
      <c r="ER33" s="69" t="str">
        <f>IFERROR(ER30/ER31,"")</f>
        <v/>
      </c>
      <c r="ES33" s="69" t="str">
        <f t="shared" si="508"/>
        <v/>
      </c>
      <c r="ET33" s="69" t="str">
        <f t="shared" si="508"/>
        <v/>
      </c>
      <c r="EU33" s="69" t="str">
        <f t="shared" si="508"/>
        <v/>
      </c>
      <c r="EV33" s="69" t="str">
        <f t="shared" si="508"/>
        <v/>
      </c>
      <c r="EW33" s="69" t="str">
        <f t="shared" si="508"/>
        <v/>
      </c>
      <c r="EX33" s="69" t="str">
        <f t="shared" si="508"/>
        <v/>
      </c>
      <c r="EY33" s="100">
        <f>SUM(ER33:EX33)</f>
        <v>0</v>
      </c>
      <c r="EZ33" s="69" t="str">
        <f>IFERROR(EZ30/EZ31,"")</f>
        <v/>
      </c>
      <c r="FA33" s="69" t="str">
        <f t="shared" si="508"/>
        <v/>
      </c>
      <c r="FB33" s="69" t="str">
        <f t="shared" si="508"/>
        <v/>
      </c>
      <c r="FC33" s="69" t="str">
        <f t="shared" si="508"/>
        <v/>
      </c>
      <c r="FD33" s="69" t="str">
        <f t="shared" si="508"/>
        <v/>
      </c>
      <c r="FE33" s="69" t="str">
        <f t="shared" si="508"/>
        <v/>
      </c>
      <c r="FF33" s="69" t="str">
        <f t="shared" si="508"/>
        <v/>
      </c>
      <c r="FG33" s="100">
        <f>SUM(EZ33:FF33)</f>
        <v>0</v>
      </c>
      <c r="FH33" s="69" t="str">
        <f>IFERROR(FH30/FH31,"")</f>
        <v/>
      </c>
      <c r="FI33" s="69" t="str">
        <f t="shared" si="508"/>
        <v/>
      </c>
      <c r="FJ33" s="69" t="str">
        <f t="shared" si="508"/>
        <v/>
      </c>
      <c r="FK33" s="69" t="str">
        <f t="shared" si="508"/>
        <v/>
      </c>
      <c r="FL33" s="69" t="str">
        <f t="shared" si="508"/>
        <v/>
      </c>
      <c r="FM33" s="69" t="str">
        <f t="shared" si="508"/>
        <v/>
      </c>
      <c r="FN33" s="69" t="str">
        <f t="shared" si="508"/>
        <v/>
      </c>
      <c r="FO33" s="100">
        <f>SUM(FH33:FN33)</f>
        <v>0</v>
      </c>
      <c r="FP33" s="69" t="str">
        <f>IFERROR(FP30/FP31,"")</f>
        <v/>
      </c>
      <c r="FQ33" s="69" t="str">
        <f t="shared" si="508"/>
        <v/>
      </c>
      <c r="FR33" s="69" t="str">
        <f t="shared" si="508"/>
        <v/>
      </c>
      <c r="FS33" s="69" t="str">
        <f t="shared" si="508"/>
        <v/>
      </c>
      <c r="FT33" s="69" t="str">
        <f t="shared" si="508"/>
        <v/>
      </c>
      <c r="FU33" s="69" t="str">
        <f t="shared" si="508"/>
        <v/>
      </c>
      <c r="FV33" s="69" t="str">
        <f t="shared" si="508"/>
        <v/>
      </c>
      <c r="FW33" s="100">
        <f>SUM(FP33:FV33)</f>
        <v>0</v>
      </c>
      <c r="FX33" s="69" t="str">
        <f>IFERROR(FX30/FX31,"")</f>
        <v/>
      </c>
      <c r="FY33" s="69" t="str">
        <f t="shared" si="508"/>
        <v/>
      </c>
      <c r="FZ33" s="69" t="str">
        <f t="shared" si="508"/>
        <v/>
      </c>
      <c r="GA33" s="69" t="str">
        <f t="shared" si="508"/>
        <v/>
      </c>
      <c r="GB33" s="69" t="str">
        <f t="shared" si="508"/>
        <v/>
      </c>
      <c r="GC33" s="69" t="str">
        <f t="shared" si="508"/>
        <v/>
      </c>
      <c r="GD33" s="69" t="str">
        <f t="shared" si="508"/>
        <v/>
      </c>
      <c r="GE33" s="100">
        <f>SUM(FX33:GD33)</f>
        <v>0</v>
      </c>
      <c r="GF33" s="69" t="str">
        <f>IFERROR(GF30/GF31,"")</f>
        <v/>
      </c>
      <c r="GG33" s="69" t="str">
        <f t="shared" si="508"/>
        <v/>
      </c>
      <c r="GH33" s="69" t="str">
        <f t="shared" si="508"/>
        <v/>
      </c>
      <c r="GI33" s="69" t="str">
        <f t="shared" si="508"/>
        <v/>
      </c>
      <c r="GJ33" s="69" t="str">
        <f t="shared" si="508"/>
        <v/>
      </c>
      <c r="GK33" s="69" t="str">
        <f t="shared" si="508"/>
        <v/>
      </c>
      <c r="GL33" s="69" t="str">
        <f t="shared" si="508"/>
        <v/>
      </c>
      <c r="GM33" s="100">
        <f>SUM(GF33:GL33)</f>
        <v>0</v>
      </c>
      <c r="GN33" s="69" t="str">
        <f>IFERROR(GN30/GN31,"")</f>
        <v/>
      </c>
      <c r="GO33" s="69" t="str">
        <f t="shared" si="508"/>
        <v/>
      </c>
      <c r="GP33" s="69" t="str">
        <f t="shared" si="508"/>
        <v/>
      </c>
      <c r="GQ33" s="69" t="str">
        <f t="shared" ref="GQ33:JB33" si="509">IFERROR(GQ30/GQ31,"")</f>
        <v/>
      </c>
      <c r="GR33" s="69" t="str">
        <f t="shared" si="509"/>
        <v/>
      </c>
      <c r="GS33" s="69" t="str">
        <f t="shared" si="509"/>
        <v/>
      </c>
      <c r="GT33" s="69" t="str">
        <f t="shared" si="509"/>
        <v/>
      </c>
      <c r="GU33" s="100">
        <f>SUM(GN33:GT33)</f>
        <v>0</v>
      </c>
      <c r="GV33" s="69" t="str">
        <f>IFERROR(GV30/GV31,"")</f>
        <v/>
      </c>
      <c r="GW33" s="69" t="str">
        <f t="shared" si="509"/>
        <v/>
      </c>
      <c r="GX33" s="69" t="str">
        <f t="shared" si="509"/>
        <v/>
      </c>
      <c r="GY33" s="69" t="str">
        <f t="shared" si="509"/>
        <v/>
      </c>
      <c r="GZ33" s="69" t="str">
        <f t="shared" si="509"/>
        <v/>
      </c>
      <c r="HA33" s="69" t="str">
        <f t="shared" si="509"/>
        <v/>
      </c>
      <c r="HB33" s="69" t="str">
        <f t="shared" si="509"/>
        <v/>
      </c>
      <c r="HC33" s="100">
        <f>SUM(GV33:HB33)</f>
        <v>0</v>
      </c>
      <c r="HD33" s="69" t="str">
        <f>IFERROR(HD30/HD31,"")</f>
        <v/>
      </c>
      <c r="HE33" s="69" t="str">
        <f t="shared" si="509"/>
        <v/>
      </c>
      <c r="HF33" s="69" t="str">
        <f t="shared" si="509"/>
        <v/>
      </c>
      <c r="HG33" s="69" t="str">
        <f t="shared" si="509"/>
        <v/>
      </c>
      <c r="HH33" s="69" t="str">
        <f t="shared" si="509"/>
        <v/>
      </c>
      <c r="HI33" s="69" t="str">
        <f t="shared" si="509"/>
        <v/>
      </c>
      <c r="HJ33" s="69" t="str">
        <f t="shared" si="509"/>
        <v/>
      </c>
      <c r="HK33" s="100">
        <f>SUM(HD33:HJ33)</f>
        <v>0</v>
      </c>
      <c r="HL33" s="69" t="str">
        <f>IFERROR(HL30/HL31,"")</f>
        <v/>
      </c>
      <c r="HM33" s="69" t="str">
        <f t="shared" si="509"/>
        <v/>
      </c>
      <c r="HN33" s="69" t="str">
        <f t="shared" si="509"/>
        <v/>
      </c>
      <c r="HO33" s="69" t="str">
        <f t="shared" si="509"/>
        <v/>
      </c>
      <c r="HP33" s="69" t="str">
        <f t="shared" si="509"/>
        <v/>
      </c>
      <c r="HQ33" s="69" t="str">
        <f t="shared" si="509"/>
        <v/>
      </c>
      <c r="HR33" s="69" t="str">
        <f t="shared" si="509"/>
        <v/>
      </c>
      <c r="HS33" s="100">
        <f>SUM(HL33:HR33)</f>
        <v>0</v>
      </c>
      <c r="HT33" s="69" t="str">
        <f>IFERROR(HT30/HT31,"")</f>
        <v/>
      </c>
      <c r="HU33" s="69" t="str">
        <f t="shared" si="509"/>
        <v/>
      </c>
      <c r="HV33" s="69" t="str">
        <f t="shared" si="509"/>
        <v/>
      </c>
      <c r="HW33" s="69" t="str">
        <f t="shared" si="509"/>
        <v/>
      </c>
      <c r="HX33" s="69" t="str">
        <f t="shared" si="509"/>
        <v/>
      </c>
      <c r="HY33" s="69" t="str">
        <f t="shared" si="509"/>
        <v/>
      </c>
      <c r="HZ33" s="69" t="str">
        <f t="shared" si="509"/>
        <v/>
      </c>
      <c r="IA33" s="100">
        <f>SUM(HT33:HZ33)</f>
        <v>0</v>
      </c>
      <c r="IB33" s="69" t="str">
        <f>IFERROR(IB30/IB31,"")</f>
        <v/>
      </c>
      <c r="IC33" s="69" t="str">
        <f t="shared" si="509"/>
        <v/>
      </c>
      <c r="ID33" s="69" t="str">
        <f t="shared" si="509"/>
        <v/>
      </c>
      <c r="IE33" s="69" t="str">
        <f t="shared" si="509"/>
        <v/>
      </c>
      <c r="IF33" s="69" t="str">
        <f t="shared" si="509"/>
        <v/>
      </c>
      <c r="IG33" s="69" t="str">
        <f t="shared" si="509"/>
        <v/>
      </c>
      <c r="IH33" s="69" t="str">
        <f t="shared" si="509"/>
        <v/>
      </c>
      <c r="II33" s="100">
        <f>SUM(IB33:IH33)</f>
        <v>0</v>
      </c>
      <c r="IJ33" s="69" t="str">
        <f>IFERROR(IJ30/IJ31,"")</f>
        <v/>
      </c>
      <c r="IK33" s="69" t="str">
        <f t="shared" si="509"/>
        <v/>
      </c>
      <c r="IL33" s="69" t="str">
        <f t="shared" si="509"/>
        <v/>
      </c>
      <c r="IM33" s="69" t="str">
        <f t="shared" si="509"/>
        <v/>
      </c>
      <c r="IN33" s="69" t="str">
        <f t="shared" si="509"/>
        <v/>
      </c>
      <c r="IO33" s="69" t="str">
        <f t="shared" si="509"/>
        <v/>
      </c>
      <c r="IP33" s="69" t="str">
        <f t="shared" si="509"/>
        <v/>
      </c>
      <c r="IQ33" s="100">
        <f>SUM(IJ33:IP33)</f>
        <v>0</v>
      </c>
      <c r="IR33" s="69" t="str">
        <f>IFERROR(IR30/IR31,"")</f>
        <v/>
      </c>
      <c r="IS33" s="69" t="str">
        <f t="shared" si="509"/>
        <v/>
      </c>
      <c r="IT33" s="69" t="str">
        <f t="shared" si="509"/>
        <v/>
      </c>
      <c r="IU33" s="69" t="str">
        <f t="shared" si="509"/>
        <v/>
      </c>
      <c r="IV33" s="69" t="str">
        <f t="shared" si="509"/>
        <v/>
      </c>
      <c r="IW33" s="69" t="str">
        <f t="shared" si="509"/>
        <v/>
      </c>
      <c r="IX33" s="69" t="str">
        <f t="shared" si="509"/>
        <v/>
      </c>
      <c r="IY33" s="100">
        <f>SUM(IR33:IX33)</f>
        <v>0</v>
      </c>
      <c r="IZ33" s="69" t="str">
        <f>IFERROR(IZ30/IZ31,"")</f>
        <v/>
      </c>
      <c r="JA33" s="69" t="str">
        <f t="shared" si="509"/>
        <v/>
      </c>
      <c r="JB33" s="69" t="str">
        <f t="shared" si="509"/>
        <v/>
      </c>
      <c r="JC33" s="69" t="str">
        <f t="shared" ref="JC33:LN33" si="510">IFERROR(JC30/JC31,"")</f>
        <v/>
      </c>
      <c r="JD33" s="69" t="str">
        <f t="shared" si="510"/>
        <v/>
      </c>
      <c r="JE33" s="69" t="str">
        <f t="shared" si="510"/>
        <v/>
      </c>
      <c r="JF33" s="69" t="str">
        <f t="shared" si="510"/>
        <v/>
      </c>
      <c r="JG33" s="100">
        <f>SUM(IZ33:JF33)</f>
        <v>0</v>
      </c>
      <c r="JH33" s="69" t="str">
        <f>IFERROR(JH30/JH31,"")</f>
        <v/>
      </c>
      <c r="JI33" s="69" t="str">
        <f t="shared" si="510"/>
        <v/>
      </c>
      <c r="JJ33" s="69" t="str">
        <f t="shared" si="510"/>
        <v/>
      </c>
      <c r="JK33" s="69" t="str">
        <f t="shared" si="510"/>
        <v/>
      </c>
      <c r="JL33" s="69" t="str">
        <f t="shared" si="510"/>
        <v/>
      </c>
      <c r="JM33" s="69" t="str">
        <f t="shared" si="510"/>
        <v/>
      </c>
      <c r="JN33" s="69" t="str">
        <f t="shared" si="510"/>
        <v/>
      </c>
      <c r="JO33" s="100">
        <f>SUM(JH33:JN33)</f>
        <v>0</v>
      </c>
      <c r="JP33" s="69" t="str">
        <f>IFERROR(JP30/JP31,"")</f>
        <v/>
      </c>
      <c r="JQ33" s="69" t="str">
        <f t="shared" si="510"/>
        <v/>
      </c>
      <c r="JR33" s="69" t="str">
        <f t="shared" si="510"/>
        <v/>
      </c>
      <c r="JS33" s="69" t="str">
        <f t="shared" si="510"/>
        <v/>
      </c>
      <c r="JT33" s="69" t="str">
        <f t="shared" si="510"/>
        <v/>
      </c>
      <c r="JU33" s="69" t="str">
        <f t="shared" si="510"/>
        <v/>
      </c>
      <c r="JV33" s="69" t="str">
        <f t="shared" si="510"/>
        <v/>
      </c>
      <c r="JW33" s="100">
        <f>SUM(JP33:JV33)</f>
        <v>0</v>
      </c>
      <c r="JX33" s="69" t="str">
        <f>IFERROR(JX30/JX31,"")</f>
        <v/>
      </c>
      <c r="JY33" s="69" t="str">
        <f t="shared" si="510"/>
        <v/>
      </c>
      <c r="JZ33" s="69" t="str">
        <f t="shared" si="510"/>
        <v/>
      </c>
      <c r="KA33" s="69" t="str">
        <f t="shared" si="510"/>
        <v/>
      </c>
      <c r="KB33" s="69" t="str">
        <f t="shared" si="510"/>
        <v/>
      </c>
      <c r="KC33" s="69" t="str">
        <f t="shared" si="510"/>
        <v/>
      </c>
      <c r="KD33" s="69" t="str">
        <f t="shared" si="510"/>
        <v/>
      </c>
      <c r="KE33" s="100">
        <f>SUM(JX33:KD33)</f>
        <v>0</v>
      </c>
      <c r="KF33" s="69" t="str">
        <f>IFERROR(KF30/KF31,"")</f>
        <v/>
      </c>
      <c r="KG33" s="69" t="str">
        <f t="shared" si="510"/>
        <v/>
      </c>
      <c r="KH33" s="69" t="str">
        <f t="shared" si="510"/>
        <v/>
      </c>
      <c r="KI33" s="69" t="str">
        <f t="shared" si="510"/>
        <v/>
      </c>
      <c r="KJ33" s="69" t="str">
        <f t="shared" si="510"/>
        <v/>
      </c>
      <c r="KK33" s="69" t="str">
        <f t="shared" si="510"/>
        <v/>
      </c>
      <c r="KL33" s="69" t="str">
        <f t="shared" si="510"/>
        <v/>
      </c>
      <c r="KM33" s="100">
        <f>SUM(KF33:KL33)</f>
        <v>0</v>
      </c>
      <c r="KN33" s="69" t="str">
        <f>IFERROR(KN30/KN31,"")</f>
        <v/>
      </c>
      <c r="KO33" s="69" t="str">
        <f t="shared" si="510"/>
        <v/>
      </c>
      <c r="KP33" s="69" t="str">
        <f t="shared" si="510"/>
        <v/>
      </c>
      <c r="KQ33" s="69" t="str">
        <f t="shared" si="510"/>
        <v/>
      </c>
      <c r="KR33" s="69" t="str">
        <f t="shared" si="510"/>
        <v/>
      </c>
      <c r="KS33" s="69" t="str">
        <f t="shared" si="510"/>
        <v/>
      </c>
      <c r="KT33" s="69" t="str">
        <f t="shared" si="510"/>
        <v/>
      </c>
      <c r="KU33" s="100">
        <f>SUM(KN33:KT33)</f>
        <v>0</v>
      </c>
      <c r="KV33" s="69" t="str">
        <f>IFERROR(KV30/KV31,"")</f>
        <v/>
      </c>
      <c r="KW33" s="69" t="str">
        <f t="shared" si="510"/>
        <v/>
      </c>
      <c r="KX33" s="69" t="str">
        <f t="shared" si="510"/>
        <v/>
      </c>
      <c r="KY33" s="69" t="str">
        <f t="shared" si="510"/>
        <v/>
      </c>
      <c r="KZ33" s="69" t="str">
        <f t="shared" si="510"/>
        <v/>
      </c>
      <c r="LA33" s="69" t="str">
        <f t="shared" si="510"/>
        <v/>
      </c>
      <c r="LB33" s="69" t="str">
        <f t="shared" si="510"/>
        <v/>
      </c>
      <c r="LC33" s="100">
        <f>SUM(KV33:LB33)</f>
        <v>0</v>
      </c>
      <c r="LD33" s="69" t="str">
        <f>IFERROR(LD30/LD31,"")</f>
        <v/>
      </c>
      <c r="LE33" s="69" t="str">
        <f t="shared" si="510"/>
        <v/>
      </c>
      <c r="LF33" s="69" t="str">
        <f t="shared" si="510"/>
        <v/>
      </c>
      <c r="LG33" s="69" t="str">
        <f t="shared" si="510"/>
        <v/>
      </c>
      <c r="LH33" s="69" t="str">
        <f t="shared" si="510"/>
        <v/>
      </c>
      <c r="LI33" s="69" t="str">
        <f t="shared" si="510"/>
        <v/>
      </c>
      <c r="LJ33" s="69" t="str">
        <f t="shared" si="510"/>
        <v/>
      </c>
      <c r="LK33" s="100">
        <f>SUM(LD33:LJ33)</f>
        <v>0</v>
      </c>
      <c r="LL33" s="69" t="str">
        <f>IFERROR(LL30/LL31,"")</f>
        <v/>
      </c>
      <c r="LM33" s="69" t="str">
        <f t="shared" si="510"/>
        <v/>
      </c>
      <c r="LN33" s="69" t="str">
        <f t="shared" si="510"/>
        <v/>
      </c>
      <c r="LO33" s="69" t="str">
        <f t="shared" ref="LO33:NV33" si="511">IFERROR(LO30/LO31,"")</f>
        <v/>
      </c>
      <c r="LP33" s="69" t="str">
        <f t="shared" si="511"/>
        <v/>
      </c>
      <c r="LQ33" s="69" t="str">
        <f t="shared" si="511"/>
        <v/>
      </c>
      <c r="LR33" s="69" t="str">
        <f t="shared" si="511"/>
        <v/>
      </c>
      <c r="LS33" s="100">
        <f>SUM(LL33:LR33)</f>
        <v>0</v>
      </c>
      <c r="LT33" s="69" t="str">
        <f>IFERROR(LT30/LT31,"")</f>
        <v/>
      </c>
      <c r="LU33" s="69" t="str">
        <f t="shared" si="511"/>
        <v/>
      </c>
      <c r="LV33" s="69" t="str">
        <f t="shared" si="511"/>
        <v/>
      </c>
      <c r="LW33" s="69" t="str">
        <f t="shared" si="511"/>
        <v/>
      </c>
      <c r="LX33" s="69" t="str">
        <f t="shared" si="511"/>
        <v/>
      </c>
      <c r="LY33" s="69" t="str">
        <f t="shared" si="511"/>
        <v/>
      </c>
      <c r="LZ33" s="69" t="str">
        <f t="shared" si="511"/>
        <v/>
      </c>
      <c r="MA33" s="100">
        <f>SUM(LT33:LZ33)</f>
        <v>0</v>
      </c>
      <c r="MB33" s="69" t="str">
        <f>IFERROR(MB30/MB31,"")</f>
        <v/>
      </c>
      <c r="MC33" s="69" t="str">
        <f t="shared" si="511"/>
        <v/>
      </c>
      <c r="MD33" s="69" t="str">
        <f t="shared" si="511"/>
        <v/>
      </c>
      <c r="ME33" s="69" t="str">
        <f t="shared" si="511"/>
        <v/>
      </c>
      <c r="MF33" s="69" t="str">
        <f t="shared" si="511"/>
        <v/>
      </c>
      <c r="MG33" s="69" t="str">
        <f t="shared" si="511"/>
        <v/>
      </c>
      <c r="MH33" s="69" t="str">
        <f t="shared" si="511"/>
        <v/>
      </c>
      <c r="MI33" s="100">
        <f>SUM(MB33:MH33)</f>
        <v>0</v>
      </c>
      <c r="MJ33" s="69" t="str">
        <f>IFERROR(MJ30/MJ31,"")</f>
        <v/>
      </c>
      <c r="MK33" s="69" t="str">
        <f t="shared" si="511"/>
        <v/>
      </c>
      <c r="ML33" s="69" t="str">
        <f t="shared" si="511"/>
        <v/>
      </c>
      <c r="MM33" s="69" t="str">
        <f t="shared" si="511"/>
        <v/>
      </c>
      <c r="MN33" s="69" t="str">
        <f t="shared" si="511"/>
        <v/>
      </c>
      <c r="MO33" s="69" t="str">
        <f t="shared" si="511"/>
        <v/>
      </c>
      <c r="MP33" s="69" t="str">
        <f t="shared" si="511"/>
        <v/>
      </c>
      <c r="MQ33" s="100">
        <f>SUM(MJ33:MP33)</f>
        <v>0</v>
      </c>
      <c r="MR33" s="69" t="str">
        <f>IFERROR(MR30/MR31,"")</f>
        <v/>
      </c>
      <c r="MS33" s="69" t="str">
        <f t="shared" si="511"/>
        <v/>
      </c>
      <c r="MT33" s="69" t="str">
        <f t="shared" si="511"/>
        <v/>
      </c>
      <c r="MU33" s="69" t="str">
        <f t="shared" si="511"/>
        <v/>
      </c>
      <c r="MV33" s="69" t="str">
        <f t="shared" si="511"/>
        <v/>
      </c>
      <c r="MW33" s="69" t="str">
        <f t="shared" si="511"/>
        <v/>
      </c>
      <c r="MX33" s="69" t="str">
        <f t="shared" si="511"/>
        <v/>
      </c>
      <c r="MY33" s="100">
        <f>SUM(MR33:MX33)</f>
        <v>0</v>
      </c>
      <c r="MZ33" s="69" t="str">
        <f>IFERROR(MZ30/MZ31,"")</f>
        <v/>
      </c>
      <c r="NA33" s="69" t="str">
        <f t="shared" si="511"/>
        <v/>
      </c>
      <c r="NB33" s="69" t="str">
        <f t="shared" si="511"/>
        <v/>
      </c>
      <c r="NC33" s="69" t="str">
        <f t="shared" si="511"/>
        <v/>
      </c>
      <c r="ND33" s="69" t="str">
        <f t="shared" si="511"/>
        <v/>
      </c>
      <c r="NE33" s="69" t="str">
        <f t="shared" si="511"/>
        <v/>
      </c>
      <c r="NF33" s="69" t="str">
        <f t="shared" si="511"/>
        <v/>
      </c>
      <c r="NG33" s="100">
        <f>SUM(MZ33:NF33)</f>
        <v>0</v>
      </c>
      <c r="NH33" s="69" t="str">
        <f>IFERROR(NH30/NH31,"")</f>
        <v/>
      </c>
      <c r="NI33" s="69" t="str">
        <f t="shared" si="511"/>
        <v/>
      </c>
      <c r="NJ33" s="69" t="str">
        <f t="shared" si="511"/>
        <v/>
      </c>
      <c r="NK33" s="69" t="str">
        <f t="shared" si="511"/>
        <v/>
      </c>
      <c r="NL33" s="69" t="str">
        <f t="shared" si="511"/>
        <v/>
      </c>
      <c r="NM33" s="69" t="str">
        <f t="shared" si="511"/>
        <v/>
      </c>
      <c r="NN33" s="69" t="str">
        <f t="shared" si="511"/>
        <v/>
      </c>
      <c r="NO33" s="100">
        <f>SUM(NH33:NN33)</f>
        <v>0</v>
      </c>
      <c r="NP33" s="69" t="str">
        <f>IFERROR(NP30/NP31,"")</f>
        <v/>
      </c>
      <c r="NQ33" s="69" t="str">
        <f t="shared" si="511"/>
        <v/>
      </c>
      <c r="NR33" s="69" t="str">
        <f t="shared" si="511"/>
        <v/>
      </c>
      <c r="NS33" s="69" t="str">
        <f t="shared" si="511"/>
        <v/>
      </c>
      <c r="NT33" s="69" t="str">
        <f t="shared" si="511"/>
        <v/>
      </c>
      <c r="NU33" s="69" t="str">
        <f t="shared" si="511"/>
        <v/>
      </c>
      <c r="NV33" s="69" t="str">
        <f t="shared" si="511"/>
        <v/>
      </c>
      <c r="NW33" s="100">
        <f>SUM(NP33:NV33)</f>
        <v>0</v>
      </c>
    </row>
    <row r="34" spans="2:387" x14ac:dyDescent="0.25">
      <c r="B34" s="591" t="s">
        <v>437</v>
      </c>
      <c r="C34" s="591"/>
      <c r="D34" s="69">
        <f>COUNTIF('les arrets'!$B:$B,KPI!D4)</f>
        <v>0</v>
      </c>
      <c r="E34" s="69">
        <f>COUNTIF('les arrets'!$B:$B,KPI!E4)</f>
        <v>3</v>
      </c>
      <c r="F34" s="69">
        <f>COUNTIF('les arrets'!$B:$B,KPI!F4)</f>
        <v>8</v>
      </c>
      <c r="G34" s="69">
        <f>COUNTIF('les arrets'!$B:$B,KPI!G4)</f>
        <v>13</v>
      </c>
      <c r="H34" s="69">
        <f>COUNTIF('les arrets'!$B:$B,KPI!H4)</f>
        <v>18</v>
      </c>
      <c r="I34" s="69">
        <f>COUNTIF('les arrets'!$B:$B,KPI!I4)</f>
        <v>4</v>
      </c>
      <c r="J34" s="69">
        <f>COUNTIF('les arrets'!$B:$B,KPI!J4)</f>
        <v>3</v>
      </c>
      <c r="K34" s="100">
        <f t="shared" si="488"/>
        <v>49</v>
      </c>
      <c r="L34" s="69">
        <f>COUNTIF('les arrets'!$B:$B,KPI!L4)</f>
        <v>19</v>
      </c>
      <c r="M34" s="69">
        <f>COUNTIF('les arrets'!$B:$B,KPI!M4)</f>
        <v>20</v>
      </c>
      <c r="N34" s="69">
        <f>COUNTIF('les arrets'!$B:$B,KPI!N4)</f>
        <v>13</v>
      </c>
      <c r="O34" s="69">
        <f>COUNTIF('les arrets'!$B:$B,KPI!O4)</f>
        <v>22</v>
      </c>
      <c r="P34" s="69">
        <f>COUNTIF('les arrets'!$B:$B,KPI!P4)</f>
        <v>22</v>
      </c>
      <c r="Q34" s="69">
        <f>COUNTIF('les arrets'!$B:$B,KPI!Q4)</f>
        <v>16</v>
      </c>
      <c r="R34" s="69">
        <f>COUNTIF('les arrets'!$B:$B,KPI!R4)</f>
        <v>14</v>
      </c>
      <c r="S34" s="69"/>
      <c r="T34" s="69">
        <f>COUNTIF('les arrets'!$B:$B,KPI!T4)</f>
        <v>16</v>
      </c>
      <c r="U34" s="69">
        <f>COUNTIF('les arrets'!$B:$B,KPI!U4)</f>
        <v>12</v>
      </c>
      <c r="V34" s="69">
        <f>COUNTIF('les arrets'!$B:$B,KPI!V4)</f>
        <v>21</v>
      </c>
      <c r="W34" s="69">
        <f>COUNTIF('les arrets'!$B:$B,KPI!W4)</f>
        <v>22</v>
      </c>
      <c r="X34" s="69">
        <f>COUNTIF('les arrets'!$B:$B,KPI!X4)</f>
        <v>23</v>
      </c>
      <c r="Y34" s="69">
        <f>COUNTIF('les arrets'!$B:$B,KPI!Y4)</f>
        <v>13</v>
      </c>
      <c r="Z34" s="69">
        <f>COUNTIF('les arrets'!$B:$B,KPI!Z4)</f>
        <v>20</v>
      </c>
      <c r="AA34" s="69">
        <f>COUNTIF('les arrets'!$B:$B,KPI!AA4)</f>
        <v>0</v>
      </c>
      <c r="AB34" s="69">
        <f>COUNTIF('les arrets'!$B:$B,KPI!AB4)</f>
        <v>25</v>
      </c>
      <c r="AC34" s="69">
        <f>COUNTIF('les arrets'!$B:$B,KPI!AC4)</f>
        <v>17</v>
      </c>
      <c r="AD34" s="69">
        <f>COUNTIF('les arrets'!$B:$B,KPI!AD4)</f>
        <v>21</v>
      </c>
      <c r="AE34" s="69">
        <f>COUNTIF('les arrets'!$B:$B,KPI!AE4)</f>
        <v>13</v>
      </c>
      <c r="AF34" s="69">
        <f>COUNTIF('les arrets'!$B:$B,KPI!AF4)</f>
        <v>18</v>
      </c>
      <c r="AG34" s="69">
        <f>COUNTIF('les arrets'!$B:$B,KPI!AG4)</f>
        <v>18</v>
      </c>
      <c r="AH34" s="69">
        <f>COUNTIF('les arrets'!$B:$B,KPI!AH4)</f>
        <v>18</v>
      </c>
      <c r="AI34" s="69">
        <f>COUNTIF('les arrets'!$B:$B,KPI!AI4)</f>
        <v>0</v>
      </c>
      <c r="AJ34" s="69">
        <f>COUNTIF('les arrets'!$B:$B,KPI!AJ4)</f>
        <v>0</v>
      </c>
      <c r="AK34" s="69">
        <f>COUNTIF('les arrets'!$B:$B,KPI!AK4)</f>
        <v>0</v>
      </c>
      <c r="AL34" s="69">
        <f>COUNTIF('les arrets'!$B:$B,KPI!AL4)</f>
        <v>0</v>
      </c>
      <c r="AM34" s="69">
        <f>COUNTIF('les arrets'!$B:$B,KPI!AM4)</f>
        <v>0</v>
      </c>
      <c r="AN34" s="69">
        <f>COUNTIF('les arrets'!$B:$B,KPI!AN4)</f>
        <v>0</v>
      </c>
      <c r="AO34" s="69">
        <f>COUNTIF('les arrets'!$B:$B,KPI!AO4)</f>
        <v>0</v>
      </c>
      <c r="AP34" s="69">
        <f>COUNTIF('les arrets'!$B:$B,KPI!AP4)</f>
        <v>0</v>
      </c>
      <c r="AQ34" s="69">
        <f>COUNTIF('les arrets'!$B:$B,KPI!AQ4)</f>
        <v>0</v>
      </c>
      <c r="AR34" s="69">
        <f>COUNTIF('les arrets'!$B:$B,KPI!AR4)</f>
        <v>0</v>
      </c>
      <c r="AS34" s="69">
        <f>COUNTIF('les arrets'!$B:$B,KPI!AS4)</f>
        <v>0</v>
      </c>
      <c r="AT34" s="69">
        <f>COUNTIF('les arrets'!$B:$B,KPI!AT4)</f>
        <v>0</v>
      </c>
      <c r="AU34" s="69">
        <f>COUNTIF('les arrets'!$B:$B,KPI!AU4)</f>
        <v>0</v>
      </c>
      <c r="AV34" s="69">
        <f>COUNTIF('les arrets'!$B:$B,KPI!AV4)</f>
        <v>0</v>
      </c>
      <c r="AW34" s="69">
        <f>COUNTIF('les arrets'!$B:$B,KPI!AW4)</f>
        <v>0</v>
      </c>
      <c r="AX34" s="69">
        <f>COUNTIF('les arrets'!$B:$B,KPI!AX4)</f>
        <v>0</v>
      </c>
      <c r="AY34" s="69">
        <f>COUNTIF('les arrets'!$B:$B,KPI!AY4)</f>
        <v>0</v>
      </c>
      <c r="AZ34" s="69">
        <f>COUNTIF('les arrets'!$B:$B,KPI!AZ4)</f>
        <v>0</v>
      </c>
      <c r="BA34" s="69">
        <f>COUNTIF('les arrets'!$B:$B,KPI!BA4)</f>
        <v>0</v>
      </c>
      <c r="BB34" s="69">
        <f>COUNTIF('les arrets'!$B:$B,KPI!BB4)</f>
        <v>0</v>
      </c>
      <c r="BC34" s="69">
        <f>COUNTIF('les arrets'!$B:$B,KPI!BC4)</f>
        <v>0</v>
      </c>
      <c r="BD34" s="69">
        <f>COUNTIF('les arrets'!$B:$B,KPI!BD4)</f>
        <v>0</v>
      </c>
      <c r="BE34" s="69">
        <f>COUNTIF('les arrets'!$B:$B,KPI!BE4)</f>
        <v>0</v>
      </c>
      <c r="BF34" s="69">
        <f>COUNTIF('les arrets'!$B:$B,KPI!BF4)</f>
        <v>0</v>
      </c>
      <c r="BG34" s="69">
        <f>COUNTIF('les arrets'!$B:$B,KPI!BG4)</f>
        <v>0</v>
      </c>
      <c r="BH34" s="69">
        <f>COUNTIF('les arrets'!$B:$B,KPI!BH4)</f>
        <v>0</v>
      </c>
      <c r="BI34" s="69">
        <f>COUNTIF('les arrets'!$B:$B,KPI!BI4)</f>
        <v>0</v>
      </c>
      <c r="BJ34" s="69">
        <f>COUNTIF('les arrets'!$B:$B,KPI!BJ4)</f>
        <v>0</v>
      </c>
      <c r="BK34" s="69">
        <f>COUNTIF('les arrets'!$B:$B,KPI!BK4)</f>
        <v>0</v>
      </c>
      <c r="BL34" s="69">
        <f>COUNTIF('les arrets'!$B:$B,KPI!BL4)</f>
        <v>0</v>
      </c>
      <c r="BM34" s="69">
        <f>COUNTIF('les arrets'!$B:$B,KPI!BM4)</f>
        <v>0</v>
      </c>
      <c r="BN34" s="69">
        <f>COUNTIF('les arrets'!$B:$B,KPI!BN4)</f>
        <v>0</v>
      </c>
      <c r="BO34" s="69">
        <f>COUNTIF('les arrets'!$B:$B,KPI!BO4)</f>
        <v>0</v>
      </c>
      <c r="BP34" s="69">
        <f>COUNTIF('les arrets'!$B:$B,KPI!BP4)</f>
        <v>0</v>
      </c>
      <c r="BQ34" s="69">
        <f>COUNTIF('les arrets'!$B:$B,KPI!BQ4)</f>
        <v>0</v>
      </c>
      <c r="BR34" s="69">
        <f>COUNTIF('les arrets'!$B:$B,KPI!BR4)</f>
        <v>0</v>
      </c>
      <c r="BS34" s="69">
        <f>COUNTIF('les arrets'!$B:$B,KPI!BS4)</f>
        <v>0</v>
      </c>
      <c r="BT34" s="69">
        <f>COUNTIF('les arrets'!$B:$B,KPI!BT4)</f>
        <v>0</v>
      </c>
      <c r="BU34" s="69">
        <f>COUNTIF('les arrets'!$B:$B,KPI!BU4)</f>
        <v>0</v>
      </c>
      <c r="BV34" s="69">
        <f>COUNTIF('les arrets'!$B:$B,KPI!BV4)</f>
        <v>0</v>
      </c>
      <c r="BW34" s="69">
        <f>COUNTIF('les arrets'!$B:$B,KPI!BW4)</f>
        <v>0</v>
      </c>
      <c r="BX34" s="69">
        <f>COUNTIF('les arrets'!$B:$B,KPI!BX4)</f>
        <v>0</v>
      </c>
      <c r="BY34" s="69">
        <f>COUNTIF('les arrets'!$B:$B,KPI!BY4)</f>
        <v>0</v>
      </c>
      <c r="BZ34" s="69">
        <f>COUNTIF('les arrets'!$B:$B,KPI!BZ4)</f>
        <v>0</v>
      </c>
      <c r="CA34" s="69">
        <f>COUNTIF('les arrets'!$B:$B,KPI!CA4)</f>
        <v>0</v>
      </c>
      <c r="CB34" s="69">
        <f>COUNTIF('les arrets'!$B:$B,KPI!CB4)</f>
        <v>0</v>
      </c>
      <c r="CC34" s="69">
        <f>COUNTIF('les arrets'!$B:$B,KPI!CC4)</f>
        <v>0</v>
      </c>
      <c r="CD34" s="69">
        <f>COUNTIF('les arrets'!$B:$B,KPI!CD4)</f>
        <v>0</v>
      </c>
      <c r="CE34" s="69">
        <f>COUNTIF('les arrets'!$B:$B,KPI!CE4)</f>
        <v>0</v>
      </c>
      <c r="CF34" s="69">
        <f>COUNTIF('les arrets'!$B:$B,KPI!CF4)</f>
        <v>0</v>
      </c>
      <c r="CG34" s="69">
        <f>COUNTIF('les arrets'!$B:$B,KPI!CG4)</f>
        <v>0</v>
      </c>
      <c r="CH34" s="69">
        <f>COUNTIF('les arrets'!$B:$B,KPI!CH4)</f>
        <v>0</v>
      </c>
      <c r="CI34" s="69">
        <f>COUNTIF('les arrets'!$B:$B,KPI!CI4)</f>
        <v>0</v>
      </c>
      <c r="CJ34" s="69">
        <f>COUNTIF('les arrets'!$B:$B,KPI!CJ4)</f>
        <v>0</v>
      </c>
      <c r="CK34" s="69">
        <f>COUNTIF('les arrets'!$B:$B,KPI!CK4)</f>
        <v>0</v>
      </c>
      <c r="CL34" s="69">
        <f>COUNTIF('les arrets'!$B:$B,KPI!CL4)</f>
        <v>0</v>
      </c>
      <c r="CM34" s="69">
        <f>COUNTIF('les arrets'!$B:$B,KPI!CM4)</f>
        <v>0</v>
      </c>
      <c r="CN34" s="69">
        <f>COUNTIF('les arrets'!$B:$B,KPI!CN4)</f>
        <v>0</v>
      </c>
      <c r="CO34" s="69">
        <f>COUNTIF('les arrets'!$B:$B,KPI!CO4)</f>
        <v>0</v>
      </c>
      <c r="CP34" s="69">
        <f>COUNTIF('les arrets'!$B:$B,KPI!CP4)</f>
        <v>0</v>
      </c>
      <c r="CQ34" s="69">
        <f>COUNTIF('les arrets'!$B:$B,KPI!CQ4)</f>
        <v>0</v>
      </c>
      <c r="CR34" s="69">
        <f>COUNTIF('les arrets'!$B:$B,KPI!CR4)</f>
        <v>0</v>
      </c>
      <c r="CS34" s="69">
        <f>COUNTIF('les arrets'!$B:$B,KPI!CS4)</f>
        <v>0</v>
      </c>
      <c r="CT34" s="69">
        <f>COUNTIF('les arrets'!$B:$B,KPI!CT4)</f>
        <v>0</v>
      </c>
      <c r="CU34" s="69">
        <f>COUNTIF('les arrets'!$B:$B,KPI!CU4)</f>
        <v>0</v>
      </c>
      <c r="CV34" s="69">
        <f>COUNTIF('les arrets'!$B:$B,KPI!CV4)</f>
        <v>0</v>
      </c>
      <c r="CW34" s="69">
        <f>COUNTIF('les arrets'!$B:$B,KPI!CW4)</f>
        <v>0</v>
      </c>
      <c r="CX34" s="69">
        <f>COUNTIF('les arrets'!$B:$B,KPI!CX4)</f>
        <v>0</v>
      </c>
      <c r="CY34" s="69">
        <f>COUNTIF('les arrets'!$B:$B,KPI!CY4)</f>
        <v>0</v>
      </c>
      <c r="CZ34" s="69">
        <f>COUNTIF('les arrets'!$B:$B,KPI!CZ4)</f>
        <v>0</v>
      </c>
      <c r="DA34" s="69">
        <f>COUNTIF('les arrets'!$B:$B,KPI!DA4)</f>
        <v>0</v>
      </c>
      <c r="DB34" s="69">
        <f>COUNTIF('les arrets'!$B:$B,KPI!DB4)</f>
        <v>0</v>
      </c>
      <c r="DC34" s="69">
        <f>COUNTIF('les arrets'!$B:$B,KPI!DC4)</f>
        <v>0</v>
      </c>
      <c r="DD34" s="69">
        <f>COUNTIF('les arrets'!$B:$B,KPI!DD4)</f>
        <v>0</v>
      </c>
      <c r="DE34" s="69">
        <f>COUNTIF('les arrets'!$B:$B,KPI!DE4)</f>
        <v>0</v>
      </c>
      <c r="DF34" s="69">
        <f>COUNTIF('les arrets'!$B:$B,KPI!DF4)</f>
        <v>0</v>
      </c>
      <c r="DG34" s="69">
        <f>COUNTIF('les arrets'!$B:$B,KPI!DG4)</f>
        <v>0</v>
      </c>
      <c r="DH34" s="69">
        <f>COUNTIF('les arrets'!$B:$B,KPI!DH4)</f>
        <v>0</v>
      </c>
      <c r="DI34" s="69">
        <f>COUNTIF('les arrets'!$B:$B,KPI!DI4)</f>
        <v>0</v>
      </c>
      <c r="DJ34" s="69">
        <f>COUNTIF('les arrets'!$B:$B,KPI!DJ4)</f>
        <v>0</v>
      </c>
      <c r="DK34" s="69">
        <f>COUNTIF('les arrets'!$B:$B,KPI!DK4)</f>
        <v>0</v>
      </c>
      <c r="DL34" s="69">
        <f>COUNTIF('les arrets'!$B:$B,KPI!DL4)</f>
        <v>0</v>
      </c>
      <c r="DM34" s="69">
        <f>COUNTIF('les arrets'!$B:$B,KPI!DM4)</f>
        <v>0</v>
      </c>
      <c r="DN34" s="69">
        <f>COUNTIF('les arrets'!$B:$B,KPI!DN4)</f>
        <v>0</v>
      </c>
      <c r="DO34" s="69">
        <f>COUNTIF('les arrets'!$B:$B,KPI!DO4)</f>
        <v>0</v>
      </c>
      <c r="DP34" s="69">
        <f>COUNTIF('les arrets'!$B:$B,KPI!DP4)</f>
        <v>0</v>
      </c>
      <c r="DQ34" s="69">
        <f>COUNTIF('les arrets'!$B:$B,KPI!DQ4)</f>
        <v>0</v>
      </c>
      <c r="DR34" s="69">
        <f>COUNTIF('les arrets'!$B:$B,KPI!DR4)</f>
        <v>0</v>
      </c>
      <c r="DS34" s="69">
        <f>COUNTIF('les arrets'!$B:$B,KPI!DS4)</f>
        <v>0</v>
      </c>
      <c r="DT34" s="69">
        <f>COUNTIF('les arrets'!$B:$B,KPI!DT4)</f>
        <v>0</v>
      </c>
      <c r="DU34" s="69">
        <f>COUNTIF('les arrets'!$B:$B,KPI!DU4)</f>
        <v>0</v>
      </c>
      <c r="DV34" s="69">
        <f>COUNTIF('les arrets'!$B:$B,KPI!DV4)</f>
        <v>0</v>
      </c>
      <c r="DW34" s="69">
        <f>COUNTIF('les arrets'!$B:$B,KPI!DW4)</f>
        <v>0</v>
      </c>
      <c r="DX34" s="69">
        <f>COUNTIF('les arrets'!$B:$B,KPI!DX4)</f>
        <v>0</v>
      </c>
      <c r="DY34" s="69">
        <f>COUNTIF('les arrets'!$B:$B,KPI!DY4)</f>
        <v>0</v>
      </c>
      <c r="DZ34" s="69">
        <f>COUNTIF('les arrets'!$B:$B,KPI!DZ4)</f>
        <v>0</v>
      </c>
      <c r="EA34" s="69">
        <f>COUNTIF('les arrets'!$B:$B,KPI!EA4)</f>
        <v>0</v>
      </c>
      <c r="EB34" s="69">
        <f>COUNTIF('les arrets'!$B:$B,KPI!EB4)</f>
        <v>0</v>
      </c>
      <c r="EC34" s="69">
        <f>COUNTIF('les arrets'!$B:$B,KPI!EC4)</f>
        <v>0</v>
      </c>
      <c r="ED34" s="69">
        <f>COUNTIF('les arrets'!$B:$B,KPI!ED4)</f>
        <v>0</v>
      </c>
      <c r="EE34" s="69">
        <f>COUNTIF('les arrets'!$B:$B,KPI!EE4)</f>
        <v>0</v>
      </c>
      <c r="EF34" s="69">
        <f>COUNTIF('les arrets'!$B:$B,KPI!EF4)</f>
        <v>0</v>
      </c>
      <c r="EG34" s="69">
        <f>COUNTIF('les arrets'!$B:$B,KPI!EG4)</f>
        <v>0</v>
      </c>
      <c r="EH34" s="69">
        <f>COUNTIF('les arrets'!$B:$B,KPI!EH4)</f>
        <v>0</v>
      </c>
      <c r="EI34" s="69">
        <f>COUNTIF('les arrets'!$B:$B,KPI!EI4)</f>
        <v>0</v>
      </c>
      <c r="EJ34" s="69">
        <f>COUNTIF('les arrets'!$B:$B,KPI!EJ4)</f>
        <v>0</v>
      </c>
      <c r="EK34" s="69">
        <f>COUNTIF('les arrets'!$B:$B,KPI!EK4)</f>
        <v>0</v>
      </c>
      <c r="EL34" s="69">
        <f>COUNTIF('les arrets'!$B:$B,KPI!EL4)</f>
        <v>0</v>
      </c>
      <c r="EM34" s="69">
        <f>COUNTIF('les arrets'!$B:$B,KPI!EM4)</f>
        <v>0</v>
      </c>
      <c r="EN34" s="69">
        <f>COUNTIF('les arrets'!$B:$B,KPI!EN4)</f>
        <v>0</v>
      </c>
      <c r="EO34" s="69">
        <f>COUNTIF('les arrets'!$B:$B,KPI!EO4)</f>
        <v>0</v>
      </c>
      <c r="EP34" s="69">
        <f>COUNTIF('les arrets'!$B:$B,KPI!EP4)</f>
        <v>0</v>
      </c>
      <c r="EQ34" s="69">
        <f>COUNTIF('les arrets'!$B:$B,KPI!EQ4)</f>
        <v>0</v>
      </c>
      <c r="ER34" s="69">
        <f>COUNTIF('les arrets'!$B:$B,KPI!ER4)</f>
        <v>0</v>
      </c>
      <c r="ES34" s="69">
        <f>COUNTIF('les arrets'!$B:$B,KPI!ES4)</f>
        <v>0</v>
      </c>
      <c r="ET34" s="69">
        <f>COUNTIF('les arrets'!$B:$B,KPI!ET4)</f>
        <v>0</v>
      </c>
      <c r="EU34" s="69">
        <f>COUNTIF('les arrets'!$B:$B,KPI!EU4)</f>
        <v>0</v>
      </c>
      <c r="EV34" s="69">
        <f>COUNTIF('les arrets'!$B:$B,KPI!EV4)</f>
        <v>0</v>
      </c>
      <c r="EW34" s="69">
        <f>COUNTIF('les arrets'!$B:$B,KPI!EW4)</f>
        <v>0</v>
      </c>
      <c r="EX34" s="69">
        <f>COUNTIF('les arrets'!$B:$B,KPI!EX4)</f>
        <v>0</v>
      </c>
      <c r="EY34" s="69">
        <f>COUNTIF('les arrets'!$B:$B,KPI!EY4)</f>
        <v>0</v>
      </c>
      <c r="EZ34" s="69">
        <f>COUNTIF('les arrets'!$B:$B,KPI!EZ4)</f>
        <v>0</v>
      </c>
      <c r="FA34" s="69">
        <f>COUNTIF('les arrets'!$B:$B,KPI!FA4)</f>
        <v>0</v>
      </c>
      <c r="FB34" s="69">
        <f>COUNTIF('les arrets'!$B:$B,KPI!FB4)</f>
        <v>0</v>
      </c>
      <c r="FC34" s="69">
        <f>COUNTIF('les arrets'!$B:$B,KPI!FC4)</f>
        <v>0</v>
      </c>
      <c r="FD34" s="69">
        <f>COUNTIF('les arrets'!$B:$B,KPI!FD4)</f>
        <v>0</v>
      </c>
      <c r="FE34" s="69">
        <f>COUNTIF('les arrets'!$B:$B,KPI!FE4)</f>
        <v>0</v>
      </c>
      <c r="FF34" s="69">
        <f>COUNTIF('les arrets'!$B:$B,KPI!FF4)</f>
        <v>0</v>
      </c>
      <c r="FG34" s="69">
        <f>COUNTIF('les arrets'!$B:$B,KPI!FG4)</f>
        <v>0</v>
      </c>
      <c r="FH34" s="69">
        <f>COUNTIF('les arrets'!$B:$B,KPI!FH4)</f>
        <v>0</v>
      </c>
      <c r="FI34" s="69">
        <f>COUNTIF('les arrets'!$B:$B,KPI!FI4)</f>
        <v>0</v>
      </c>
      <c r="FJ34" s="69">
        <f>COUNTIF('les arrets'!$B:$B,KPI!FJ4)</f>
        <v>0</v>
      </c>
      <c r="FK34" s="69">
        <f>COUNTIF('les arrets'!$B:$B,KPI!FK4)</f>
        <v>0</v>
      </c>
      <c r="FL34" s="69">
        <f>COUNTIF('les arrets'!$B:$B,KPI!FL4)</f>
        <v>0</v>
      </c>
      <c r="FM34" s="69">
        <f>COUNTIF('les arrets'!$B:$B,KPI!FM4)</f>
        <v>0</v>
      </c>
      <c r="FN34" s="69">
        <f>COUNTIF('les arrets'!$B:$B,KPI!FN4)</f>
        <v>0</v>
      </c>
      <c r="FO34" s="69">
        <f>COUNTIF('les arrets'!$B:$B,KPI!FO4)</f>
        <v>0</v>
      </c>
      <c r="FP34" s="69">
        <f>COUNTIF('les arrets'!$B:$B,KPI!FP4)</f>
        <v>0</v>
      </c>
      <c r="FQ34" s="69">
        <f>COUNTIF('les arrets'!$B:$B,KPI!FQ4)</f>
        <v>0</v>
      </c>
      <c r="FR34" s="69">
        <f>COUNTIF('les arrets'!$B:$B,KPI!FR4)</f>
        <v>0</v>
      </c>
      <c r="FS34" s="69">
        <f>COUNTIF('les arrets'!$B:$B,KPI!FS4)</f>
        <v>0</v>
      </c>
      <c r="FT34" s="69">
        <f>COUNTIF('les arrets'!$B:$B,KPI!FT4)</f>
        <v>0</v>
      </c>
      <c r="FU34" s="69">
        <f>COUNTIF('les arrets'!$B:$B,KPI!FU4)</f>
        <v>0</v>
      </c>
      <c r="FV34" s="69">
        <f>COUNTIF('les arrets'!$B:$B,KPI!FV4)</f>
        <v>0</v>
      </c>
      <c r="FW34" s="69">
        <f>COUNTIF('les arrets'!$B:$B,KPI!FW4)</f>
        <v>0</v>
      </c>
      <c r="FX34" s="69">
        <f>COUNTIF('les arrets'!$B:$B,KPI!FX4)</f>
        <v>0</v>
      </c>
      <c r="FY34" s="69">
        <f>COUNTIF('les arrets'!$B:$B,KPI!FY4)</f>
        <v>0</v>
      </c>
      <c r="FZ34" s="69">
        <f>COUNTIF('les arrets'!$B:$B,KPI!FZ4)</f>
        <v>0</v>
      </c>
      <c r="GA34" s="69">
        <f>COUNTIF('les arrets'!$B:$B,KPI!GA4)</f>
        <v>0</v>
      </c>
      <c r="GB34" s="69">
        <f>COUNTIF('les arrets'!$B:$B,KPI!GB4)</f>
        <v>0</v>
      </c>
      <c r="GC34" s="69">
        <f>COUNTIF('les arrets'!$B:$B,KPI!GC4)</f>
        <v>0</v>
      </c>
      <c r="GD34" s="69">
        <f>COUNTIF('les arrets'!$B:$B,KPI!GD4)</f>
        <v>0</v>
      </c>
      <c r="GE34" s="69">
        <f>COUNTIF('les arrets'!$B:$B,KPI!GE4)</f>
        <v>0</v>
      </c>
      <c r="GF34" s="69">
        <f>COUNTIF('les arrets'!$B:$B,KPI!GF4)</f>
        <v>0</v>
      </c>
      <c r="GG34" s="69">
        <f>COUNTIF('les arrets'!$B:$B,KPI!GG4)</f>
        <v>0</v>
      </c>
      <c r="GH34" s="69">
        <f>COUNTIF('les arrets'!$B:$B,KPI!GH4)</f>
        <v>0</v>
      </c>
      <c r="GI34" s="69">
        <f>COUNTIF('les arrets'!$B:$B,KPI!GI4)</f>
        <v>0</v>
      </c>
      <c r="GJ34" s="69">
        <f>COUNTIF('les arrets'!$B:$B,KPI!GJ4)</f>
        <v>0</v>
      </c>
      <c r="GK34" s="69">
        <f>COUNTIF('les arrets'!$B:$B,KPI!GK4)</f>
        <v>0</v>
      </c>
      <c r="GL34" s="69">
        <f>COUNTIF('les arrets'!$B:$B,KPI!GL4)</f>
        <v>0</v>
      </c>
      <c r="GM34" s="69">
        <f>COUNTIF('les arrets'!$B:$B,KPI!GM4)</f>
        <v>0</v>
      </c>
      <c r="GN34" s="69">
        <f>COUNTIF('les arrets'!$B:$B,KPI!GN4)</f>
        <v>0</v>
      </c>
      <c r="GO34" s="69">
        <f>COUNTIF('les arrets'!$B:$B,KPI!GO4)</f>
        <v>0</v>
      </c>
      <c r="GP34" s="69">
        <f>COUNTIF('les arrets'!$B:$B,KPI!GP4)</f>
        <v>0</v>
      </c>
      <c r="GQ34" s="69">
        <f>COUNTIF('les arrets'!$B:$B,KPI!GQ4)</f>
        <v>0</v>
      </c>
      <c r="GR34" s="69">
        <f>COUNTIF('les arrets'!$B:$B,KPI!GR4)</f>
        <v>0</v>
      </c>
      <c r="GS34" s="69">
        <f>COUNTIF('les arrets'!$B:$B,KPI!GS4)</f>
        <v>0</v>
      </c>
      <c r="GT34" s="69">
        <f>COUNTIF('les arrets'!$B:$B,KPI!GT4)</f>
        <v>0</v>
      </c>
      <c r="GU34" s="69">
        <f>COUNTIF('les arrets'!$B:$B,KPI!GU4)</f>
        <v>0</v>
      </c>
      <c r="GV34" s="69">
        <f>COUNTIF('les arrets'!$B:$B,KPI!GV4)</f>
        <v>0</v>
      </c>
      <c r="GW34" s="69">
        <f>COUNTIF('les arrets'!$B:$B,KPI!GW4)</f>
        <v>0</v>
      </c>
      <c r="GX34" s="69">
        <f>COUNTIF('les arrets'!$B:$B,KPI!GX4)</f>
        <v>0</v>
      </c>
      <c r="GY34" s="69">
        <f>COUNTIF('les arrets'!$B:$B,KPI!GY4)</f>
        <v>0</v>
      </c>
      <c r="GZ34" s="69">
        <f>COUNTIF('les arrets'!$B:$B,KPI!GZ4)</f>
        <v>0</v>
      </c>
      <c r="HA34" s="69">
        <f>COUNTIF('les arrets'!$B:$B,KPI!HA4)</f>
        <v>0</v>
      </c>
      <c r="HB34" s="69">
        <f>COUNTIF('les arrets'!$B:$B,KPI!HB4)</f>
        <v>0</v>
      </c>
      <c r="HC34" s="69">
        <f>COUNTIF('les arrets'!$B:$B,KPI!HC4)</f>
        <v>0</v>
      </c>
      <c r="HD34" s="69">
        <f>COUNTIF('les arrets'!$B:$B,KPI!HD4)</f>
        <v>0</v>
      </c>
      <c r="HE34" s="69">
        <f>COUNTIF('les arrets'!$B:$B,KPI!HE4)</f>
        <v>0</v>
      </c>
      <c r="HF34" s="69">
        <f>COUNTIF('les arrets'!$B:$B,KPI!HF4)</f>
        <v>0</v>
      </c>
      <c r="HG34" s="69">
        <f>COUNTIF('les arrets'!$B:$B,KPI!HG4)</f>
        <v>0</v>
      </c>
      <c r="HH34" s="69">
        <f>COUNTIF('les arrets'!$B:$B,KPI!HH4)</f>
        <v>0</v>
      </c>
      <c r="HI34" s="69">
        <f>COUNTIF('les arrets'!$B:$B,KPI!HI4)</f>
        <v>0</v>
      </c>
      <c r="HJ34" s="69">
        <f>COUNTIF('les arrets'!$B:$B,KPI!HJ4)</f>
        <v>0</v>
      </c>
      <c r="HK34" s="69">
        <f>COUNTIF('les arrets'!$B:$B,KPI!HK4)</f>
        <v>0</v>
      </c>
      <c r="HL34" s="69">
        <f>COUNTIF('les arrets'!$B:$B,KPI!HL4)</f>
        <v>0</v>
      </c>
      <c r="HM34" s="69">
        <f>COUNTIF('les arrets'!$B:$B,KPI!HM4)</f>
        <v>0</v>
      </c>
      <c r="HN34" s="69">
        <f>COUNTIF('les arrets'!$B:$B,KPI!HN4)</f>
        <v>0</v>
      </c>
      <c r="HO34" s="69">
        <f>COUNTIF('les arrets'!$B:$B,KPI!HO4)</f>
        <v>0</v>
      </c>
      <c r="HP34" s="69">
        <f>COUNTIF('les arrets'!$B:$B,KPI!HP4)</f>
        <v>0</v>
      </c>
      <c r="HQ34" s="69">
        <f>COUNTIF('les arrets'!$B:$B,KPI!HQ4)</f>
        <v>0</v>
      </c>
      <c r="HR34" s="69">
        <f>COUNTIF('les arrets'!$B:$B,KPI!HR4)</f>
        <v>0</v>
      </c>
      <c r="HS34" s="69">
        <f>COUNTIF('les arrets'!$B:$B,KPI!HS4)</f>
        <v>0</v>
      </c>
      <c r="HT34" s="69">
        <f>COUNTIF('les arrets'!$B:$B,KPI!HT4)</f>
        <v>0</v>
      </c>
      <c r="HU34" s="69">
        <f>COUNTIF('les arrets'!$B:$B,KPI!HU4)</f>
        <v>0</v>
      </c>
      <c r="HV34" s="69">
        <f>COUNTIF('les arrets'!$B:$B,KPI!HV4)</f>
        <v>0</v>
      </c>
      <c r="HW34" s="69">
        <f>COUNTIF('les arrets'!$B:$B,KPI!HW4)</f>
        <v>0</v>
      </c>
      <c r="HX34" s="69">
        <f>COUNTIF('les arrets'!$B:$B,KPI!HX4)</f>
        <v>0</v>
      </c>
      <c r="HY34" s="69">
        <f>COUNTIF('les arrets'!$B:$B,KPI!HY4)</f>
        <v>0</v>
      </c>
      <c r="HZ34" s="69">
        <f>COUNTIF('les arrets'!$B:$B,KPI!HZ4)</f>
        <v>0</v>
      </c>
      <c r="IA34" s="69">
        <f>COUNTIF('les arrets'!$B:$B,KPI!IA4)</f>
        <v>0</v>
      </c>
      <c r="IB34" s="69">
        <f>COUNTIF('les arrets'!$B:$B,KPI!IB4)</f>
        <v>0</v>
      </c>
      <c r="IC34" s="69">
        <f>COUNTIF('les arrets'!$B:$B,KPI!IC4)</f>
        <v>0</v>
      </c>
      <c r="ID34" s="69">
        <f>COUNTIF('les arrets'!$B:$B,KPI!ID4)</f>
        <v>0</v>
      </c>
      <c r="IE34" s="69">
        <f>COUNTIF('les arrets'!$B:$B,KPI!IE4)</f>
        <v>0</v>
      </c>
      <c r="IF34" s="69">
        <f>COUNTIF('les arrets'!$B:$B,KPI!IF4)</f>
        <v>0</v>
      </c>
      <c r="IG34" s="69">
        <f>COUNTIF('les arrets'!$B:$B,KPI!IG4)</f>
        <v>0</v>
      </c>
      <c r="IH34" s="69">
        <f>COUNTIF('les arrets'!$B:$B,KPI!IH4)</f>
        <v>0</v>
      </c>
      <c r="II34" s="69">
        <f>COUNTIF('les arrets'!$B:$B,KPI!II4)</f>
        <v>0</v>
      </c>
      <c r="IJ34" s="69">
        <f>COUNTIF('les arrets'!$B:$B,KPI!IJ4)</f>
        <v>0</v>
      </c>
      <c r="IK34" s="69">
        <f>COUNTIF('les arrets'!$B:$B,KPI!IK4)</f>
        <v>0</v>
      </c>
      <c r="IL34" s="69">
        <f>COUNTIF('les arrets'!$B:$B,KPI!IL4)</f>
        <v>0</v>
      </c>
      <c r="IM34" s="69">
        <f>COUNTIF('les arrets'!$B:$B,KPI!IM4)</f>
        <v>0</v>
      </c>
      <c r="IN34" s="69">
        <f>COUNTIF('les arrets'!$B:$B,KPI!IN4)</f>
        <v>0</v>
      </c>
      <c r="IO34" s="69">
        <f>COUNTIF('les arrets'!$B:$B,KPI!IO4)</f>
        <v>0</v>
      </c>
      <c r="IP34" s="69">
        <f>COUNTIF('les arrets'!$B:$B,KPI!IP4)</f>
        <v>0</v>
      </c>
      <c r="IQ34" s="69">
        <f>COUNTIF('les arrets'!$B:$B,KPI!IQ4)</f>
        <v>0</v>
      </c>
      <c r="IR34" s="69">
        <f>COUNTIF('les arrets'!$B:$B,KPI!IR4)</f>
        <v>0</v>
      </c>
      <c r="IS34" s="69">
        <f>COUNTIF('les arrets'!$B:$B,KPI!IS4)</f>
        <v>0</v>
      </c>
      <c r="IT34" s="69">
        <f>COUNTIF('les arrets'!$B:$B,KPI!IT4)</f>
        <v>0</v>
      </c>
      <c r="IU34" s="69">
        <f>COUNTIF('les arrets'!$B:$B,KPI!IU4)</f>
        <v>0</v>
      </c>
      <c r="IV34" s="69">
        <f>COUNTIF('les arrets'!$B:$B,KPI!IV4)</f>
        <v>0</v>
      </c>
      <c r="IW34" s="69">
        <f>COUNTIF('les arrets'!$B:$B,KPI!IW4)</f>
        <v>0</v>
      </c>
      <c r="IX34" s="69">
        <f>COUNTIF('les arrets'!$B:$B,KPI!IX4)</f>
        <v>0</v>
      </c>
      <c r="IY34" s="69">
        <f>COUNTIF('les arrets'!$B:$B,KPI!IY4)</f>
        <v>0</v>
      </c>
      <c r="IZ34" s="69">
        <f>COUNTIF('les arrets'!$B:$B,KPI!IZ4)</f>
        <v>0</v>
      </c>
      <c r="JA34" s="69">
        <f>COUNTIF('les arrets'!$B:$B,KPI!JA4)</f>
        <v>0</v>
      </c>
      <c r="JB34" s="69">
        <f>COUNTIF('les arrets'!$B:$B,KPI!JB4)</f>
        <v>0</v>
      </c>
      <c r="JC34" s="69">
        <f>COUNTIF('les arrets'!$B:$B,KPI!JC4)</f>
        <v>0</v>
      </c>
      <c r="JD34" s="69">
        <f>COUNTIF('les arrets'!$B:$B,KPI!JD4)</f>
        <v>0</v>
      </c>
      <c r="JE34" s="69">
        <f>COUNTIF('les arrets'!$B:$B,KPI!JE4)</f>
        <v>0</v>
      </c>
      <c r="JF34" s="69">
        <f>COUNTIF('les arrets'!$B:$B,KPI!JF4)</f>
        <v>0</v>
      </c>
      <c r="JG34" s="69">
        <f>COUNTIF('les arrets'!$B:$B,KPI!JG4)</f>
        <v>0</v>
      </c>
      <c r="JH34" s="69">
        <f>COUNTIF('les arrets'!$B:$B,KPI!JH4)</f>
        <v>0</v>
      </c>
      <c r="JI34" s="69">
        <f>COUNTIF('les arrets'!$B:$B,KPI!JI4)</f>
        <v>0</v>
      </c>
      <c r="JJ34" s="69">
        <f>COUNTIF('les arrets'!$B:$B,KPI!JJ4)</f>
        <v>0</v>
      </c>
      <c r="JK34" s="69">
        <f>COUNTIF('les arrets'!$B:$B,KPI!JK4)</f>
        <v>0</v>
      </c>
      <c r="JL34" s="69">
        <f>COUNTIF('les arrets'!$B:$B,KPI!JL4)</f>
        <v>0</v>
      </c>
      <c r="JM34" s="69">
        <f>COUNTIF('les arrets'!$B:$B,KPI!JM4)</f>
        <v>0</v>
      </c>
      <c r="JN34" s="69">
        <f>COUNTIF('les arrets'!$B:$B,KPI!JN4)</f>
        <v>0</v>
      </c>
      <c r="JO34" s="69">
        <f>COUNTIF('les arrets'!$B:$B,KPI!JO4)</f>
        <v>0</v>
      </c>
      <c r="JP34" s="69">
        <f>COUNTIF('les arrets'!$B:$B,KPI!JP4)</f>
        <v>0</v>
      </c>
      <c r="JQ34" s="69">
        <f>COUNTIF('les arrets'!$B:$B,KPI!JQ4)</f>
        <v>0</v>
      </c>
      <c r="JR34" s="69">
        <f>COUNTIF('les arrets'!$B:$B,KPI!JR4)</f>
        <v>0</v>
      </c>
      <c r="JS34" s="69">
        <f>COUNTIF('les arrets'!$B:$B,KPI!JS4)</f>
        <v>0</v>
      </c>
      <c r="JT34" s="69">
        <f>COUNTIF('les arrets'!$B:$B,KPI!JT4)</f>
        <v>0</v>
      </c>
      <c r="JU34" s="69">
        <f>COUNTIF('les arrets'!$B:$B,KPI!JU4)</f>
        <v>0</v>
      </c>
      <c r="JV34" s="69">
        <f>COUNTIF('les arrets'!$B:$B,KPI!JV4)</f>
        <v>0</v>
      </c>
      <c r="JW34" s="69">
        <f>COUNTIF('les arrets'!$B:$B,KPI!JW4)</f>
        <v>0</v>
      </c>
      <c r="JX34" s="69">
        <f>COUNTIF('les arrets'!$B:$B,KPI!JX4)</f>
        <v>0</v>
      </c>
      <c r="JY34" s="69">
        <f>COUNTIF('les arrets'!$B:$B,KPI!JY4)</f>
        <v>0</v>
      </c>
      <c r="JZ34" s="69">
        <f>COUNTIF('les arrets'!$B:$B,KPI!JZ4)</f>
        <v>0</v>
      </c>
      <c r="KA34" s="69">
        <f>COUNTIF('les arrets'!$B:$B,KPI!KA4)</f>
        <v>0</v>
      </c>
      <c r="KB34" s="69">
        <f>COUNTIF('les arrets'!$B:$B,KPI!KB4)</f>
        <v>0</v>
      </c>
      <c r="KC34" s="69">
        <f>COUNTIF('les arrets'!$B:$B,KPI!KC4)</f>
        <v>0</v>
      </c>
      <c r="KD34" s="69">
        <f>COUNTIF('les arrets'!$B:$B,KPI!KD4)</f>
        <v>0</v>
      </c>
      <c r="KE34" s="69">
        <f>COUNTIF('les arrets'!$B:$B,KPI!KE4)</f>
        <v>0</v>
      </c>
      <c r="KF34" s="69">
        <f>COUNTIF('les arrets'!$B:$B,KPI!KF4)</f>
        <v>0</v>
      </c>
      <c r="KG34" s="69">
        <f>COUNTIF('les arrets'!$B:$B,KPI!KG4)</f>
        <v>0</v>
      </c>
      <c r="KH34" s="69">
        <f>COUNTIF('les arrets'!$B:$B,KPI!KH4)</f>
        <v>0</v>
      </c>
      <c r="KI34" s="69">
        <f>COUNTIF('les arrets'!$B:$B,KPI!KI4)</f>
        <v>0</v>
      </c>
      <c r="KJ34" s="69">
        <f>COUNTIF('les arrets'!$B:$B,KPI!KJ4)</f>
        <v>0</v>
      </c>
      <c r="KK34" s="69">
        <f>COUNTIF('les arrets'!$B:$B,KPI!KK4)</f>
        <v>0</v>
      </c>
      <c r="KL34" s="69">
        <f>COUNTIF('les arrets'!$B:$B,KPI!KL4)</f>
        <v>0</v>
      </c>
      <c r="KM34" s="69">
        <f>COUNTIF('les arrets'!$B:$B,KPI!KM4)</f>
        <v>0</v>
      </c>
      <c r="KN34" s="69">
        <f>COUNTIF('les arrets'!$B:$B,KPI!KN4)</f>
        <v>0</v>
      </c>
      <c r="KO34" s="69">
        <f>COUNTIF('les arrets'!$B:$B,KPI!KO4)</f>
        <v>0</v>
      </c>
      <c r="KP34" s="69">
        <f>COUNTIF('les arrets'!$B:$B,KPI!KP4)</f>
        <v>0</v>
      </c>
      <c r="KQ34" s="69">
        <f>COUNTIF('les arrets'!$B:$B,KPI!KQ4)</f>
        <v>0</v>
      </c>
      <c r="KR34" s="69">
        <f>COUNTIF('les arrets'!$B:$B,KPI!KR4)</f>
        <v>0</v>
      </c>
      <c r="KS34" s="69">
        <f>COUNTIF('les arrets'!$B:$B,KPI!KS4)</f>
        <v>0</v>
      </c>
      <c r="KT34" s="69">
        <f>COUNTIF('les arrets'!$B:$B,KPI!KT4)</f>
        <v>0</v>
      </c>
      <c r="KU34" s="69">
        <f>COUNTIF('les arrets'!$B:$B,KPI!KU4)</f>
        <v>0</v>
      </c>
      <c r="KV34" s="69">
        <f>COUNTIF('les arrets'!$B:$B,KPI!KV4)</f>
        <v>0</v>
      </c>
      <c r="KW34" s="69">
        <f>COUNTIF('les arrets'!$B:$B,KPI!KW4)</f>
        <v>0</v>
      </c>
      <c r="KX34" s="69">
        <f>COUNTIF('les arrets'!$B:$B,KPI!KX4)</f>
        <v>0</v>
      </c>
      <c r="KY34" s="69">
        <f>COUNTIF('les arrets'!$B:$B,KPI!KY4)</f>
        <v>0</v>
      </c>
      <c r="KZ34" s="69">
        <f>COUNTIF('les arrets'!$B:$B,KPI!KZ4)</f>
        <v>0</v>
      </c>
      <c r="LA34" s="69">
        <f>COUNTIF('les arrets'!$B:$B,KPI!LA4)</f>
        <v>0</v>
      </c>
      <c r="LB34" s="69">
        <f>COUNTIF('les arrets'!$B:$B,KPI!LB4)</f>
        <v>0</v>
      </c>
      <c r="LC34" s="69">
        <f>COUNTIF('les arrets'!$B:$B,KPI!LC4)</f>
        <v>0</v>
      </c>
      <c r="LD34" s="69">
        <f>COUNTIF('les arrets'!$B:$B,KPI!LD4)</f>
        <v>0</v>
      </c>
      <c r="LE34" s="69">
        <f>COUNTIF('les arrets'!$B:$B,KPI!LE4)</f>
        <v>0</v>
      </c>
      <c r="LF34" s="69">
        <f>COUNTIF('les arrets'!$B:$B,KPI!LF4)</f>
        <v>0</v>
      </c>
      <c r="LG34" s="69">
        <f>COUNTIF('les arrets'!$B:$B,KPI!LG4)</f>
        <v>0</v>
      </c>
      <c r="LH34" s="69">
        <f>COUNTIF('les arrets'!$B:$B,KPI!LH4)</f>
        <v>0</v>
      </c>
      <c r="LI34" s="69">
        <f>COUNTIF('les arrets'!$B:$B,KPI!LI4)</f>
        <v>0</v>
      </c>
      <c r="LJ34" s="69">
        <f>COUNTIF('les arrets'!$B:$B,KPI!LJ4)</f>
        <v>0</v>
      </c>
      <c r="LK34" s="69">
        <f>COUNTIF('les arrets'!$B:$B,KPI!LK4)</f>
        <v>0</v>
      </c>
      <c r="LL34" s="69">
        <f>COUNTIF('les arrets'!$B:$B,KPI!LL4)</f>
        <v>0</v>
      </c>
      <c r="LM34" s="69">
        <f>COUNTIF('les arrets'!$B:$B,KPI!LM4)</f>
        <v>0</v>
      </c>
      <c r="LN34" s="69">
        <f>COUNTIF('les arrets'!$B:$B,KPI!LN4)</f>
        <v>0</v>
      </c>
      <c r="LO34" s="69">
        <f>COUNTIF('les arrets'!$B:$B,KPI!LO4)</f>
        <v>0</v>
      </c>
      <c r="LP34" s="69">
        <f>COUNTIF('les arrets'!$B:$B,KPI!LP4)</f>
        <v>0</v>
      </c>
      <c r="LQ34" s="69">
        <f>COUNTIF('les arrets'!$B:$B,KPI!LQ4)</f>
        <v>0</v>
      </c>
      <c r="LR34" s="69">
        <f>COUNTIF('les arrets'!$B:$B,KPI!LR4)</f>
        <v>0</v>
      </c>
      <c r="LS34" s="69">
        <f>COUNTIF('les arrets'!$B:$B,KPI!LS4)</f>
        <v>0</v>
      </c>
      <c r="LT34" s="69">
        <f>COUNTIF('les arrets'!$B:$B,KPI!LT4)</f>
        <v>0</v>
      </c>
      <c r="LU34" s="69">
        <f>COUNTIF('les arrets'!$B:$B,KPI!LU4)</f>
        <v>0</v>
      </c>
      <c r="LV34" s="69">
        <f>COUNTIF('les arrets'!$B:$B,KPI!LV4)</f>
        <v>0</v>
      </c>
      <c r="LW34" s="69">
        <f>COUNTIF('les arrets'!$B:$B,KPI!LW4)</f>
        <v>0</v>
      </c>
      <c r="LX34" s="69">
        <f>COUNTIF('les arrets'!$B:$B,KPI!LX4)</f>
        <v>0</v>
      </c>
      <c r="LY34" s="69">
        <f>COUNTIF('les arrets'!$B:$B,KPI!LY4)</f>
        <v>0</v>
      </c>
      <c r="LZ34" s="69">
        <f>COUNTIF('les arrets'!$B:$B,KPI!LZ4)</f>
        <v>0</v>
      </c>
      <c r="MA34" s="69">
        <f>COUNTIF('les arrets'!$B:$B,KPI!MA4)</f>
        <v>0</v>
      </c>
      <c r="MB34" s="69">
        <f>COUNTIF('les arrets'!$B:$B,KPI!MB4)</f>
        <v>0</v>
      </c>
      <c r="MC34" s="69">
        <f>COUNTIF('les arrets'!$B:$B,KPI!MC4)</f>
        <v>0</v>
      </c>
      <c r="MD34" s="69">
        <f>COUNTIF('les arrets'!$B:$B,KPI!MD4)</f>
        <v>0</v>
      </c>
      <c r="ME34" s="69">
        <f>COUNTIF('les arrets'!$B:$B,KPI!ME4)</f>
        <v>0</v>
      </c>
      <c r="MF34" s="69">
        <f>COUNTIF('les arrets'!$B:$B,KPI!MF4)</f>
        <v>0</v>
      </c>
      <c r="MG34" s="69">
        <f>COUNTIF('les arrets'!$B:$B,KPI!MG4)</f>
        <v>0</v>
      </c>
      <c r="MH34" s="69">
        <f>COUNTIF('les arrets'!$B:$B,KPI!MH4)</f>
        <v>0</v>
      </c>
      <c r="MI34" s="69">
        <f>COUNTIF('les arrets'!$B:$B,KPI!MI4)</f>
        <v>0</v>
      </c>
      <c r="MJ34" s="69">
        <f>COUNTIF('les arrets'!$B:$B,KPI!MJ4)</f>
        <v>0</v>
      </c>
      <c r="MK34" s="69">
        <f>COUNTIF('les arrets'!$B:$B,KPI!MK4)</f>
        <v>0</v>
      </c>
      <c r="ML34" s="69">
        <f>COUNTIF('les arrets'!$B:$B,KPI!ML4)</f>
        <v>0</v>
      </c>
      <c r="MM34" s="69">
        <f>COUNTIF('les arrets'!$B:$B,KPI!MM4)</f>
        <v>0</v>
      </c>
      <c r="MN34" s="69">
        <f>COUNTIF('les arrets'!$B:$B,KPI!MN4)</f>
        <v>0</v>
      </c>
      <c r="MO34" s="69">
        <f>COUNTIF('les arrets'!$B:$B,KPI!MO4)</f>
        <v>0</v>
      </c>
      <c r="MP34" s="69">
        <f>COUNTIF('les arrets'!$B:$B,KPI!MP4)</f>
        <v>0</v>
      </c>
      <c r="MQ34" s="69">
        <f>COUNTIF('les arrets'!$B:$B,KPI!MQ4)</f>
        <v>0</v>
      </c>
      <c r="MR34" s="69">
        <f>COUNTIF('les arrets'!$B:$B,KPI!MR4)</f>
        <v>0</v>
      </c>
      <c r="MS34" s="69">
        <f>COUNTIF('les arrets'!$B:$B,KPI!MS4)</f>
        <v>0</v>
      </c>
      <c r="MT34" s="69">
        <f>COUNTIF('les arrets'!$B:$B,KPI!MT4)</f>
        <v>0</v>
      </c>
      <c r="MU34" s="69">
        <f>COUNTIF('les arrets'!$B:$B,KPI!MU4)</f>
        <v>0</v>
      </c>
      <c r="MV34" s="69">
        <f>COUNTIF('les arrets'!$B:$B,KPI!MV4)</f>
        <v>0</v>
      </c>
      <c r="MW34" s="69">
        <f>COUNTIF('les arrets'!$B:$B,KPI!MW4)</f>
        <v>0</v>
      </c>
      <c r="MX34" s="69">
        <f>COUNTIF('les arrets'!$B:$B,KPI!MX4)</f>
        <v>0</v>
      </c>
      <c r="MY34" s="69">
        <f>COUNTIF('les arrets'!$B:$B,KPI!MY4)</f>
        <v>0</v>
      </c>
      <c r="MZ34" s="69">
        <f>COUNTIF('les arrets'!$B:$B,KPI!MZ4)</f>
        <v>0</v>
      </c>
      <c r="NA34" s="69">
        <f>COUNTIF('les arrets'!$B:$B,KPI!NA4)</f>
        <v>0</v>
      </c>
      <c r="NB34" s="69">
        <f>COUNTIF('les arrets'!$B:$B,KPI!NB4)</f>
        <v>0</v>
      </c>
      <c r="NC34" s="69">
        <f>COUNTIF('les arrets'!$B:$B,KPI!NC4)</f>
        <v>0</v>
      </c>
      <c r="ND34" s="69">
        <f>COUNTIF('les arrets'!$B:$B,KPI!ND4)</f>
        <v>0</v>
      </c>
      <c r="NE34" s="69">
        <f>COUNTIF('les arrets'!$B:$B,KPI!NE4)</f>
        <v>0</v>
      </c>
      <c r="NF34" s="69">
        <f>COUNTIF('les arrets'!$B:$B,KPI!NF4)</f>
        <v>0</v>
      </c>
      <c r="NG34" s="69">
        <f>COUNTIF('les arrets'!$B:$B,KPI!NG4)</f>
        <v>0</v>
      </c>
      <c r="NH34" s="69">
        <f>COUNTIF('les arrets'!$B:$B,KPI!NH4)</f>
        <v>0</v>
      </c>
      <c r="NI34" s="69">
        <f>COUNTIF('les arrets'!$B:$B,KPI!NI4)</f>
        <v>0</v>
      </c>
      <c r="NJ34" s="69">
        <f>COUNTIF('les arrets'!$B:$B,KPI!NJ4)</f>
        <v>0</v>
      </c>
      <c r="NK34" s="69">
        <f>COUNTIF('les arrets'!$B:$B,KPI!NK4)</f>
        <v>0</v>
      </c>
      <c r="NL34" s="69">
        <f>COUNTIF('les arrets'!$B:$B,KPI!NL4)</f>
        <v>0</v>
      </c>
      <c r="NM34" s="69">
        <f>COUNTIF('les arrets'!$B:$B,KPI!NM4)</f>
        <v>0</v>
      </c>
      <c r="NN34" s="69">
        <f>COUNTIF('les arrets'!$B:$B,KPI!NN4)</f>
        <v>0</v>
      </c>
      <c r="NO34" s="69">
        <f>COUNTIF('les arrets'!$B:$B,KPI!NO4)</f>
        <v>0</v>
      </c>
      <c r="NP34" s="69">
        <f>COUNTIF('les arrets'!$B:$B,KPI!NP4)</f>
        <v>0</v>
      </c>
      <c r="NQ34" s="69">
        <f>COUNTIF('les arrets'!$B:$B,KPI!NQ4)</f>
        <v>0</v>
      </c>
      <c r="NR34" s="69">
        <f>COUNTIF('les arrets'!$B:$B,KPI!NR4)</f>
        <v>0</v>
      </c>
      <c r="NS34" s="69">
        <f>COUNTIF('les arrets'!$B:$B,KPI!NS4)</f>
        <v>0</v>
      </c>
      <c r="NT34" s="69">
        <f>COUNTIF('les arrets'!$B:$B,KPI!NT4)</f>
        <v>0</v>
      </c>
      <c r="NU34" s="69">
        <f>COUNTIF('les arrets'!$B:$B,KPI!NU4)</f>
        <v>0</v>
      </c>
      <c r="NV34" s="69">
        <f>COUNTIF('les arrets'!$B:$B,KPI!NV4)</f>
        <v>0</v>
      </c>
      <c r="NW34" s="69">
        <f>COUNTIF('les arrets'!$B:$B,KPI!NW4)</f>
        <v>0</v>
      </c>
    </row>
    <row r="35" spans="2:387" x14ac:dyDescent="0.25">
      <c r="B35" s="591" t="s">
        <v>438</v>
      </c>
      <c r="C35" s="591"/>
      <c r="D35" s="101" t="e">
        <f>D5/24</f>
        <v>#VALUE!</v>
      </c>
      <c r="E35" s="101" t="e">
        <f>E5/24</f>
        <v>#VALUE!</v>
      </c>
      <c r="F35" s="101" t="e">
        <f>F5/24</f>
        <v>#VALUE!</v>
      </c>
      <c r="G35" s="101" t="e">
        <f t="shared" ref="G35:BT35" si="512">G5/24</f>
        <v>#VALUE!</v>
      </c>
      <c r="H35" s="101" t="e">
        <f t="shared" si="512"/>
        <v>#VALUE!</v>
      </c>
      <c r="I35" s="101" t="e">
        <f t="shared" si="512"/>
        <v>#VALUE!</v>
      </c>
      <c r="J35" s="101" t="e">
        <f t="shared" si="512"/>
        <v>#VALUE!</v>
      </c>
      <c r="K35" s="100" t="e">
        <f t="shared" si="488"/>
        <v>#VALUE!</v>
      </c>
      <c r="L35" s="101" t="e">
        <f t="shared" si="512"/>
        <v>#VALUE!</v>
      </c>
      <c r="M35" s="101" t="e">
        <f t="shared" si="512"/>
        <v>#VALUE!</v>
      </c>
      <c r="N35" s="101" t="e">
        <f t="shared" si="512"/>
        <v>#VALUE!</v>
      </c>
      <c r="O35" s="101" t="e">
        <f t="shared" si="512"/>
        <v>#VALUE!</v>
      </c>
      <c r="P35" s="101" t="e">
        <f t="shared" si="512"/>
        <v>#VALUE!</v>
      </c>
      <c r="Q35" s="101" t="e">
        <f t="shared" si="512"/>
        <v>#VALUE!</v>
      </c>
      <c r="R35" s="101" t="e">
        <f t="shared" si="512"/>
        <v>#VALUE!</v>
      </c>
      <c r="S35" s="101"/>
      <c r="T35" s="101" t="e">
        <f t="shared" si="512"/>
        <v>#VALUE!</v>
      </c>
      <c r="U35" s="101" t="e">
        <f t="shared" si="512"/>
        <v>#VALUE!</v>
      </c>
      <c r="V35" s="101" t="e">
        <f t="shared" si="512"/>
        <v>#VALUE!</v>
      </c>
      <c r="W35" s="101" t="e">
        <f t="shared" si="512"/>
        <v>#VALUE!</v>
      </c>
      <c r="X35" s="101" t="e">
        <f t="shared" si="512"/>
        <v>#VALUE!</v>
      </c>
      <c r="Y35" s="101" t="e">
        <f t="shared" si="512"/>
        <v>#VALUE!</v>
      </c>
      <c r="Z35" s="101" t="e">
        <f t="shared" si="512"/>
        <v>#VALUE!</v>
      </c>
      <c r="AA35" s="101">
        <f t="shared" si="512"/>
        <v>0</v>
      </c>
      <c r="AB35" s="101" t="e">
        <f t="shared" si="512"/>
        <v>#VALUE!</v>
      </c>
      <c r="AC35" s="101" t="e">
        <f t="shared" si="512"/>
        <v>#VALUE!</v>
      </c>
      <c r="AD35" s="101" t="e">
        <f t="shared" si="512"/>
        <v>#VALUE!</v>
      </c>
      <c r="AE35" s="101" t="e">
        <f t="shared" si="512"/>
        <v>#VALUE!</v>
      </c>
      <c r="AF35" s="101" t="e">
        <f t="shared" si="512"/>
        <v>#VALUE!</v>
      </c>
      <c r="AG35" s="101" t="e">
        <f t="shared" si="512"/>
        <v>#VALUE!</v>
      </c>
      <c r="AH35" s="101" t="e">
        <f t="shared" si="512"/>
        <v>#VALUE!</v>
      </c>
      <c r="AI35" s="101">
        <f t="shared" si="512"/>
        <v>0</v>
      </c>
      <c r="AJ35" s="101" t="e">
        <f t="shared" si="512"/>
        <v>#VALUE!</v>
      </c>
      <c r="AK35" s="101" t="e">
        <f t="shared" si="512"/>
        <v>#VALUE!</v>
      </c>
      <c r="AL35" s="101" t="e">
        <f t="shared" si="512"/>
        <v>#VALUE!</v>
      </c>
      <c r="AM35" s="101" t="e">
        <f t="shared" si="512"/>
        <v>#VALUE!</v>
      </c>
      <c r="AN35" s="101" t="e">
        <f t="shared" si="512"/>
        <v>#VALUE!</v>
      </c>
      <c r="AO35" s="101" t="e">
        <f t="shared" si="512"/>
        <v>#VALUE!</v>
      </c>
      <c r="AP35" s="101" t="e">
        <f t="shared" si="512"/>
        <v>#VALUE!</v>
      </c>
      <c r="AQ35" s="101">
        <f t="shared" si="512"/>
        <v>0</v>
      </c>
      <c r="AR35" s="101" t="e">
        <f t="shared" si="512"/>
        <v>#VALUE!</v>
      </c>
      <c r="AS35" s="101" t="e">
        <f t="shared" si="512"/>
        <v>#VALUE!</v>
      </c>
      <c r="AT35" s="101" t="e">
        <f t="shared" si="512"/>
        <v>#VALUE!</v>
      </c>
      <c r="AU35" s="101" t="e">
        <f t="shared" si="512"/>
        <v>#VALUE!</v>
      </c>
      <c r="AV35" s="101" t="e">
        <f t="shared" si="512"/>
        <v>#VALUE!</v>
      </c>
      <c r="AW35" s="101" t="e">
        <f t="shared" si="512"/>
        <v>#VALUE!</v>
      </c>
      <c r="AX35" s="101" t="e">
        <f t="shared" si="512"/>
        <v>#VALUE!</v>
      </c>
      <c r="AY35" s="101">
        <f t="shared" si="512"/>
        <v>0</v>
      </c>
      <c r="AZ35" s="101" t="e">
        <f t="shared" si="512"/>
        <v>#VALUE!</v>
      </c>
      <c r="BA35" s="101" t="e">
        <f t="shared" si="512"/>
        <v>#VALUE!</v>
      </c>
      <c r="BB35" s="101" t="e">
        <f t="shared" si="512"/>
        <v>#VALUE!</v>
      </c>
      <c r="BC35" s="101" t="e">
        <f t="shared" si="512"/>
        <v>#VALUE!</v>
      </c>
      <c r="BD35" s="101" t="e">
        <f t="shared" si="512"/>
        <v>#VALUE!</v>
      </c>
      <c r="BE35" s="101" t="e">
        <f t="shared" si="512"/>
        <v>#VALUE!</v>
      </c>
      <c r="BF35" s="101" t="e">
        <f t="shared" si="512"/>
        <v>#VALUE!</v>
      </c>
      <c r="BG35" s="101">
        <f t="shared" si="512"/>
        <v>0</v>
      </c>
      <c r="BH35" s="101" t="e">
        <f t="shared" si="512"/>
        <v>#VALUE!</v>
      </c>
      <c r="BI35" s="101" t="e">
        <f t="shared" si="512"/>
        <v>#VALUE!</v>
      </c>
      <c r="BJ35" s="101" t="e">
        <f t="shared" si="512"/>
        <v>#VALUE!</v>
      </c>
      <c r="BK35" s="101" t="e">
        <f t="shared" si="512"/>
        <v>#VALUE!</v>
      </c>
      <c r="BL35" s="101" t="e">
        <f t="shared" si="512"/>
        <v>#VALUE!</v>
      </c>
      <c r="BM35" s="101" t="e">
        <f t="shared" si="512"/>
        <v>#VALUE!</v>
      </c>
      <c r="BN35" s="101" t="e">
        <f t="shared" si="512"/>
        <v>#VALUE!</v>
      </c>
      <c r="BO35" s="101">
        <f t="shared" si="512"/>
        <v>0</v>
      </c>
      <c r="BP35" s="101" t="e">
        <f t="shared" si="512"/>
        <v>#VALUE!</v>
      </c>
      <c r="BQ35" s="101" t="e">
        <f t="shared" si="512"/>
        <v>#VALUE!</v>
      </c>
      <c r="BR35" s="101" t="e">
        <f t="shared" si="512"/>
        <v>#VALUE!</v>
      </c>
      <c r="BS35" s="101" t="e">
        <f t="shared" si="512"/>
        <v>#VALUE!</v>
      </c>
      <c r="BT35" s="101" t="e">
        <f t="shared" si="512"/>
        <v>#VALUE!</v>
      </c>
      <c r="BU35" s="101" t="e">
        <f t="shared" ref="BU35:EF35" si="513">BU5/24</f>
        <v>#VALUE!</v>
      </c>
      <c r="BV35" s="101" t="e">
        <f t="shared" si="513"/>
        <v>#VALUE!</v>
      </c>
      <c r="BW35" s="101">
        <f t="shared" si="513"/>
        <v>0</v>
      </c>
      <c r="BX35" s="101" t="e">
        <f t="shared" si="513"/>
        <v>#VALUE!</v>
      </c>
      <c r="BY35" s="101" t="e">
        <f t="shared" si="513"/>
        <v>#VALUE!</v>
      </c>
      <c r="BZ35" s="101" t="e">
        <f t="shared" si="513"/>
        <v>#VALUE!</v>
      </c>
      <c r="CA35" s="101" t="e">
        <f t="shared" si="513"/>
        <v>#VALUE!</v>
      </c>
      <c r="CB35" s="101" t="e">
        <f t="shared" si="513"/>
        <v>#VALUE!</v>
      </c>
      <c r="CC35" s="101" t="e">
        <f t="shared" si="513"/>
        <v>#VALUE!</v>
      </c>
      <c r="CD35" s="101" t="e">
        <f t="shared" si="513"/>
        <v>#VALUE!</v>
      </c>
      <c r="CE35" s="101">
        <f t="shared" si="513"/>
        <v>0</v>
      </c>
      <c r="CF35" s="101" t="e">
        <f t="shared" si="513"/>
        <v>#VALUE!</v>
      </c>
      <c r="CG35" s="101" t="e">
        <f t="shared" si="513"/>
        <v>#VALUE!</v>
      </c>
      <c r="CH35" s="101" t="e">
        <f t="shared" si="513"/>
        <v>#VALUE!</v>
      </c>
      <c r="CI35" s="101" t="e">
        <f t="shared" si="513"/>
        <v>#VALUE!</v>
      </c>
      <c r="CJ35" s="101" t="e">
        <f t="shared" si="513"/>
        <v>#VALUE!</v>
      </c>
      <c r="CK35" s="101" t="e">
        <f t="shared" si="513"/>
        <v>#VALUE!</v>
      </c>
      <c r="CL35" s="101" t="e">
        <f t="shared" si="513"/>
        <v>#VALUE!</v>
      </c>
      <c r="CM35" s="101">
        <f t="shared" si="513"/>
        <v>0</v>
      </c>
      <c r="CN35" s="101" t="e">
        <f t="shared" si="513"/>
        <v>#VALUE!</v>
      </c>
      <c r="CO35" s="101" t="e">
        <f t="shared" si="513"/>
        <v>#VALUE!</v>
      </c>
      <c r="CP35" s="101" t="e">
        <f t="shared" si="513"/>
        <v>#VALUE!</v>
      </c>
      <c r="CQ35" s="101" t="e">
        <f t="shared" si="513"/>
        <v>#VALUE!</v>
      </c>
      <c r="CR35" s="101" t="e">
        <f t="shared" si="513"/>
        <v>#VALUE!</v>
      </c>
      <c r="CS35" s="101" t="e">
        <f t="shared" si="513"/>
        <v>#VALUE!</v>
      </c>
      <c r="CT35" s="101" t="e">
        <f t="shared" si="513"/>
        <v>#VALUE!</v>
      </c>
      <c r="CU35" s="101">
        <f t="shared" si="513"/>
        <v>0</v>
      </c>
      <c r="CV35" s="101" t="e">
        <f t="shared" si="513"/>
        <v>#VALUE!</v>
      </c>
      <c r="CW35" s="101" t="e">
        <f t="shared" si="513"/>
        <v>#VALUE!</v>
      </c>
      <c r="CX35" s="101" t="e">
        <f t="shared" si="513"/>
        <v>#VALUE!</v>
      </c>
      <c r="CY35" s="101" t="e">
        <f t="shared" si="513"/>
        <v>#VALUE!</v>
      </c>
      <c r="CZ35" s="101" t="e">
        <f t="shared" si="513"/>
        <v>#VALUE!</v>
      </c>
      <c r="DA35" s="101" t="e">
        <f t="shared" si="513"/>
        <v>#VALUE!</v>
      </c>
      <c r="DB35" s="101" t="e">
        <f t="shared" si="513"/>
        <v>#VALUE!</v>
      </c>
      <c r="DC35" s="101">
        <f t="shared" si="513"/>
        <v>0</v>
      </c>
      <c r="DD35" s="101" t="e">
        <f t="shared" si="513"/>
        <v>#VALUE!</v>
      </c>
      <c r="DE35" s="101" t="e">
        <f t="shared" si="513"/>
        <v>#VALUE!</v>
      </c>
      <c r="DF35" s="101" t="e">
        <f t="shared" si="513"/>
        <v>#VALUE!</v>
      </c>
      <c r="DG35" s="101" t="e">
        <f t="shared" si="513"/>
        <v>#VALUE!</v>
      </c>
      <c r="DH35" s="101" t="e">
        <f t="shared" si="513"/>
        <v>#VALUE!</v>
      </c>
      <c r="DI35" s="101" t="e">
        <f t="shared" si="513"/>
        <v>#VALUE!</v>
      </c>
      <c r="DJ35" s="101" t="e">
        <f t="shared" si="513"/>
        <v>#VALUE!</v>
      </c>
      <c r="DK35" s="101">
        <f t="shared" si="513"/>
        <v>0</v>
      </c>
      <c r="DL35" s="101" t="e">
        <f t="shared" si="513"/>
        <v>#VALUE!</v>
      </c>
      <c r="DM35" s="101" t="e">
        <f t="shared" si="513"/>
        <v>#VALUE!</v>
      </c>
      <c r="DN35" s="101" t="e">
        <f t="shared" si="513"/>
        <v>#VALUE!</v>
      </c>
      <c r="DO35" s="101" t="e">
        <f t="shared" si="513"/>
        <v>#VALUE!</v>
      </c>
      <c r="DP35" s="101" t="e">
        <f t="shared" si="513"/>
        <v>#VALUE!</v>
      </c>
      <c r="DQ35" s="101" t="e">
        <f t="shared" si="513"/>
        <v>#VALUE!</v>
      </c>
      <c r="DR35" s="101" t="e">
        <f t="shared" si="513"/>
        <v>#VALUE!</v>
      </c>
      <c r="DS35" s="101">
        <f t="shared" si="513"/>
        <v>0</v>
      </c>
      <c r="DT35" s="101" t="e">
        <f t="shared" si="513"/>
        <v>#VALUE!</v>
      </c>
      <c r="DU35" s="101" t="e">
        <f t="shared" si="513"/>
        <v>#VALUE!</v>
      </c>
      <c r="DV35" s="101" t="e">
        <f t="shared" si="513"/>
        <v>#VALUE!</v>
      </c>
      <c r="DW35" s="101" t="e">
        <f t="shared" si="513"/>
        <v>#VALUE!</v>
      </c>
      <c r="DX35" s="101" t="e">
        <f t="shared" si="513"/>
        <v>#VALUE!</v>
      </c>
      <c r="DY35" s="101" t="e">
        <f t="shared" si="513"/>
        <v>#VALUE!</v>
      </c>
      <c r="DZ35" s="101" t="e">
        <f t="shared" si="513"/>
        <v>#VALUE!</v>
      </c>
      <c r="EA35" s="101">
        <f t="shared" si="513"/>
        <v>0</v>
      </c>
      <c r="EB35" s="101" t="e">
        <f t="shared" si="513"/>
        <v>#VALUE!</v>
      </c>
      <c r="EC35" s="101" t="e">
        <f t="shared" si="513"/>
        <v>#VALUE!</v>
      </c>
      <c r="ED35" s="101" t="e">
        <f t="shared" si="513"/>
        <v>#VALUE!</v>
      </c>
      <c r="EE35" s="101" t="e">
        <f t="shared" si="513"/>
        <v>#VALUE!</v>
      </c>
      <c r="EF35" s="101" t="e">
        <f t="shared" si="513"/>
        <v>#VALUE!</v>
      </c>
      <c r="EG35" s="101" t="e">
        <f t="shared" ref="EG35:GR35" si="514">EG5/24</f>
        <v>#VALUE!</v>
      </c>
      <c r="EH35" s="101" t="e">
        <f t="shared" si="514"/>
        <v>#VALUE!</v>
      </c>
      <c r="EI35" s="101">
        <f t="shared" si="514"/>
        <v>0</v>
      </c>
      <c r="EJ35" s="101" t="e">
        <f t="shared" si="514"/>
        <v>#VALUE!</v>
      </c>
      <c r="EK35" s="101" t="e">
        <f t="shared" si="514"/>
        <v>#VALUE!</v>
      </c>
      <c r="EL35" s="101" t="e">
        <f t="shared" si="514"/>
        <v>#VALUE!</v>
      </c>
      <c r="EM35" s="101" t="e">
        <f t="shared" si="514"/>
        <v>#VALUE!</v>
      </c>
      <c r="EN35" s="101" t="e">
        <f t="shared" si="514"/>
        <v>#VALUE!</v>
      </c>
      <c r="EO35" s="101" t="e">
        <f t="shared" si="514"/>
        <v>#VALUE!</v>
      </c>
      <c r="EP35" s="101" t="e">
        <f t="shared" si="514"/>
        <v>#VALUE!</v>
      </c>
      <c r="EQ35" s="101">
        <f t="shared" si="514"/>
        <v>0</v>
      </c>
      <c r="ER35" s="101" t="e">
        <f t="shared" si="514"/>
        <v>#VALUE!</v>
      </c>
      <c r="ES35" s="101" t="e">
        <f t="shared" si="514"/>
        <v>#VALUE!</v>
      </c>
      <c r="ET35" s="101" t="e">
        <f t="shared" si="514"/>
        <v>#VALUE!</v>
      </c>
      <c r="EU35" s="101" t="e">
        <f t="shared" si="514"/>
        <v>#VALUE!</v>
      </c>
      <c r="EV35" s="101" t="e">
        <f t="shared" si="514"/>
        <v>#VALUE!</v>
      </c>
      <c r="EW35" s="101" t="e">
        <f t="shared" si="514"/>
        <v>#VALUE!</v>
      </c>
      <c r="EX35" s="101" t="e">
        <f t="shared" si="514"/>
        <v>#VALUE!</v>
      </c>
      <c r="EY35" s="101">
        <f t="shared" si="514"/>
        <v>0</v>
      </c>
      <c r="EZ35" s="101" t="e">
        <f t="shared" si="514"/>
        <v>#VALUE!</v>
      </c>
      <c r="FA35" s="101" t="e">
        <f t="shared" si="514"/>
        <v>#VALUE!</v>
      </c>
      <c r="FB35" s="101" t="e">
        <f t="shared" si="514"/>
        <v>#VALUE!</v>
      </c>
      <c r="FC35" s="101" t="e">
        <f t="shared" si="514"/>
        <v>#VALUE!</v>
      </c>
      <c r="FD35" s="101" t="e">
        <f t="shared" si="514"/>
        <v>#VALUE!</v>
      </c>
      <c r="FE35" s="101" t="e">
        <f t="shared" si="514"/>
        <v>#VALUE!</v>
      </c>
      <c r="FF35" s="101" t="e">
        <f t="shared" si="514"/>
        <v>#VALUE!</v>
      </c>
      <c r="FG35" s="101">
        <f t="shared" si="514"/>
        <v>0</v>
      </c>
      <c r="FH35" s="101" t="e">
        <f t="shared" si="514"/>
        <v>#VALUE!</v>
      </c>
      <c r="FI35" s="101" t="e">
        <f t="shared" si="514"/>
        <v>#VALUE!</v>
      </c>
      <c r="FJ35" s="101" t="e">
        <f t="shared" si="514"/>
        <v>#VALUE!</v>
      </c>
      <c r="FK35" s="101" t="e">
        <f t="shared" si="514"/>
        <v>#VALUE!</v>
      </c>
      <c r="FL35" s="101" t="e">
        <f t="shared" si="514"/>
        <v>#VALUE!</v>
      </c>
      <c r="FM35" s="101" t="e">
        <f t="shared" si="514"/>
        <v>#VALUE!</v>
      </c>
      <c r="FN35" s="101" t="e">
        <f t="shared" si="514"/>
        <v>#VALUE!</v>
      </c>
      <c r="FO35" s="101">
        <f t="shared" si="514"/>
        <v>0</v>
      </c>
      <c r="FP35" s="101" t="e">
        <f t="shared" si="514"/>
        <v>#VALUE!</v>
      </c>
      <c r="FQ35" s="101" t="e">
        <f t="shared" si="514"/>
        <v>#VALUE!</v>
      </c>
      <c r="FR35" s="101" t="e">
        <f t="shared" si="514"/>
        <v>#VALUE!</v>
      </c>
      <c r="FS35" s="101" t="e">
        <f t="shared" si="514"/>
        <v>#VALUE!</v>
      </c>
      <c r="FT35" s="101" t="e">
        <f t="shared" si="514"/>
        <v>#VALUE!</v>
      </c>
      <c r="FU35" s="101" t="e">
        <f t="shared" si="514"/>
        <v>#VALUE!</v>
      </c>
      <c r="FV35" s="101" t="e">
        <f t="shared" si="514"/>
        <v>#VALUE!</v>
      </c>
      <c r="FW35" s="101">
        <f t="shared" si="514"/>
        <v>0</v>
      </c>
      <c r="FX35" s="101" t="e">
        <f t="shared" si="514"/>
        <v>#VALUE!</v>
      </c>
      <c r="FY35" s="101" t="e">
        <f t="shared" si="514"/>
        <v>#VALUE!</v>
      </c>
      <c r="FZ35" s="101" t="e">
        <f t="shared" si="514"/>
        <v>#VALUE!</v>
      </c>
      <c r="GA35" s="101" t="e">
        <f t="shared" si="514"/>
        <v>#VALUE!</v>
      </c>
      <c r="GB35" s="101" t="e">
        <f t="shared" si="514"/>
        <v>#VALUE!</v>
      </c>
      <c r="GC35" s="101" t="e">
        <f t="shared" si="514"/>
        <v>#VALUE!</v>
      </c>
      <c r="GD35" s="101" t="e">
        <f t="shared" si="514"/>
        <v>#VALUE!</v>
      </c>
      <c r="GE35" s="101">
        <f t="shared" si="514"/>
        <v>0</v>
      </c>
      <c r="GF35" s="101" t="e">
        <f t="shared" si="514"/>
        <v>#VALUE!</v>
      </c>
      <c r="GG35" s="101" t="e">
        <f t="shared" si="514"/>
        <v>#VALUE!</v>
      </c>
      <c r="GH35" s="101" t="e">
        <f t="shared" si="514"/>
        <v>#VALUE!</v>
      </c>
      <c r="GI35" s="101" t="e">
        <f t="shared" si="514"/>
        <v>#VALUE!</v>
      </c>
      <c r="GJ35" s="101" t="e">
        <f t="shared" si="514"/>
        <v>#VALUE!</v>
      </c>
      <c r="GK35" s="101" t="e">
        <f t="shared" si="514"/>
        <v>#VALUE!</v>
      </c>
      <c r="GL35" s="101" t="e">
        <f t="shared" si="514"/>
        <v>#VALUE!</v>
      </c>
      <c r="GM35" s="101">
        <f t="shared" si="514"/>
        <v>0</v>
      </c>
      <c r="GN35" s="101" t="e">
        <f t="shared" si="514"/>
        <v>#VALUE!</v>
      </c>
      <c r="GO35" s="101" t="e">
        <f t="shared" si="514"/>
        <v>#VALUE!</v>
      </c>
      <c r="GP35" s="101" t="e">
        <f t="shared" si="514"/>
        <v>#VALUE!</v>
      </c>
      <c r="GQ35" s="101" t="e">
        <f t="shared" si="514"/>
        <v>#VALUE!</v>
      </c>
      <c r="GR35" s="101" t="e">
        <f t="shared" si="514"/>
        <v>#VALUE!</v>
      </c>
      <c r="GS35" s="101" t="e">
        <f t="shared" ref="GS35:JD35" si="515">GS5/24</f>
        <v>#VALUE!</v>
      </c>
      <c r="GT35" s="101" t="e">
        <f t="shared" si="515"/>
        <v>#VALUE!</v>
      </c>
      <c r="GU35" s="101">
        <f t="shared" si="515"/>
        <v>0</v>
      </c>
      <c r="GV35" s="101" t="e">
        <f t="shared" si="515"/>
        <v>#VALUE!</v>
      </c>
      <c r="GW35" s="101" t="e">
        <f t="shared" si="515"/>
        <v>#VALUE!</v>
      </c>
      <c r="GX35" s="101" t="e">
        <f t="shared" si="515"/>
        <v>#VALUE!</v>
      </c>
      <c r="GY35" s="101" t="e">
        <f t="shared" si="515"/>
        <v>#VALUE!</v>
      </c>
      <c r="GZ35" s="101" t="e">
        <f t="shared" si="515"/>
        <v>#VALUE!</v>
      </c>
      <c r="HA35" s="101" t="e">
        <f t="shared" si="515"/>
        <v>#VALUE!</v>
      </c>
      <c r="HB35" s="101" t="e">
        <f t="shared" si="515"/>
        <v>#VALUE!</v>
      </c>
      <c r="HC35" s="101">
        <f t="shared" si="515"/>
        <v>0</v>
      </c>
      <c r="HD35" s="101" t="e">
        <f t="shared" si="515"/>
        <v>#VALUE!</v>
      </c>
      <c r="HE35" s="101" t="e">
        <f t="shared" si="515"/>
        <v>#VALUE!</v>
      </c>
      <c r="HF35" s="101" t="e">
        <f t="shared" si="515"/>
        <v>#VALUE!</v>
      </c>
      <c r="HG35" s="101" t="e">
        <f t="shared" si="515"/>
        <v>#VALUE!</v>
      </c>
      <c r="HH35" s="101" t="e">
        <f t="shared" si="515"/>
        <v>#VALUE!</v>
      </c>
      <c r="HI35" s="101" t="e">
        <f t="shared" si="515"/>
        <v>#VALUE!</v>
      </c>
      <c r="HJ35" s="101" t="e">
        <f t="shared" si="515"/>
        <v>#VALUE!</v>
      </c>
      <c r="HK35" s="101">
        <f t="shared" si="515"/>
        <v>0</v>
      </c>
      <c r="HL35" s="101" t="e">
        <f t="shared" si="515"/>
        <v>#VALUE!</v>
      </c>
      <c r="HM35" s="101" t="e">
        <f t="shared" si="515"/>
        <v>#VALUE!</v>
      </c>
      <c r="HN35" s="101" t="e">
        <f t="shared" si="515"/>
        <v>#VALUE!</v>
      </c>
      <c r="HO35" s="101" t="e">
        <f t="shared" si="515"/>
        <v>#VALUE!</v>
      </c>
      <c r="HP35" s="101" t="e">
        <f t="shared" si="515"/>
        <v>#VALUE!</v>
      </c>
      <c r="HQ35" s="101" t="e">
        <f t="shared" si="515"/>
        <v>#VALUE!</v>
      </c>
      <c r="HR35" s="101" t="e">
        <f t="shared" si="515"/>
        <v>#VALUE!</v>
      </c>
      <c r="HS35" s="101">
        <f t="shared" si="515"/>
        <v>0</v>
      </c>
      <c r="HT35" s="101" t="e">
        <f t="shared" si="515"/>
        <v>#VALUE!</v>
      </c>
      <c r="HU35" s="101" t="e">
        <f t="shared" si="515"/>
        <v>#VALUE!</v>
      </c>
      <c r="HV35" s="101" t="e">
        <f t="shared" si="515"/>
        <v>#VALUE!</v>
      </c>
      <c r="HW35" s="101" t="e">
        <f t="shared" si="515"/>
        <v>#VALUE!</v>
      </c>
      <c r="HX35" s="101" t="e">
        <f t="shared" si="515"/>
        <v>#VALUE!</v>
      </c>
      <c r="HY35" s="101" t="e">
        <f t="shared" si="515"/>
        <v>#VALUE!</v>
      </c>
      <c r="HZ35" s="101" t="e">
        <f t="shared" si="515"/>
        <v>#VALUE!</v>
      </c>
      <c r="IA35" s="101">
        <f t="shared" si="515"/>
        <v>0</v>
      </c>
      <c r="IB35" s="101" t="e">
        <f t="shared" si="515"/>
        <v>#VALUE!</v>
      </c>
      <c r="IC35" s="101" t="e">
        <f t="shared" si="515"/>
        <v>#VALUE!</v>
      </c>
      <c r="ID35" s="101" t="e">
        <f t="shared" si="515"/>
        <v>#VALUE!</v>
      </c>
      <c r="IE35" s="101" t="e">
        <f t="shared" si="515"/>
        <v>#VALUE!</v>
      </c>
      <c r="IF35" s="101" t="e">
        <f t="shared" si="515"/>
        <v>#VALUE!</v>
      </c>
      <c r="IG35" s="101" t="e">
        <f t="shared" si="515"/>
        <v>#VALUE!</v>
      </c>
      <c r="IH35" s="101" t="e">
        <f t="shared" si="515"/>
        <v>#VALUE!</v>
      </c>
      <c r="II35" s="101">
        <f t="shared" si="515"/>
        <v>0</v>
      </c>
      <c r="IJ35" s="101" t="e">
        <f t="shared" si="515"/>
        <v>#VALUE!</v>
      </c>
      <c r="IK35" s="101" t="e">
        <f t="shared" si="515"/>
        <v>#VALUE!</v>
      </c>
      <c r="IL35" s="101" t="e">
        <f t="shared" si="515"/>
        <v>#VALUE!</v>
      </c>
      <c r="IM35" s="101" t="e">
        <f t="shared" si="515"/>
        <v>#VALUE!</v>
      </c>
      <c r="IN35" s="101" t="e">
        <f t="shared" si="515"/>
        <v>#VALUE!</v>
      </c>
      <c r="IO35" s="101" t="e">
        <f t="shared" si="515"/>
        <v>#VALUE!</v>
      </c>
      <c r="IP35" s="101" t="e">
        <f t="shared" si="515"/>
        <v>#VALUE!</v>
      </c>
      <c r="IQ35" s="101">
        <f t="shared" si="515"/>
        <v>0</v>
      </c>
      <c r="IR35" s="101" t="e">
        <f t="shared" si="515"/>
        <v>#VALUE!</v>
      </c>
      <c r="IS35" s="101" t="e">
        <f t="shared" si="515"/>
        <v>#VALUE!</v>
      </c>
      <c r="IT35" s="101" t="e">
        <f t="shared" si="515"/>
        <v>#VALUE!</v>
      </c>
      <c r="IU35" s="101" t="e">
        <f t="shared" si="515"/>
        <v>#VALUE!</v>
      </c>
      <c r="IV35" s="101" t="e">
        <f t="shared" si="515"/>
        <v>#VALUE!</v>
      </c>
      <c r="IW35" s="101" t="e">
        <f t="shared" si="515"/>
        <v>#VALUE!</v>
      </c>
      <c r="IX35" s="101" t="e">
        <f t="shared" si="515"/>
        <v>#VALUE!</v>
      </c>
      <c r="IY35" s="101">
        <f t="shared" si="515"/>
        <v>0</v>
      </c>
      <c r="IZ35" s="101" t="e">
        <f t="shared" si="515"/>
        <v>#VALUE!</v>
      </c>
      <c r="JA35" s="101" t="e">
        <f t="shared" si="515"/>
        <v>#VALUE!</v>
      </c>
      <c r="JB35" s="101" t="e">
        <f t="shared" si="515"/>
        <v>#VALUE!</v>
      </c>
      <c r="JC35" s="101" t="e">
        <f t="shared" si="515"/>
        <v>#VALUE!</v>
      </c>
      <c r="JD35" s="101" t="e">
        <f t="shared" si="515"/>
        <v>#VALUE!</v>
      </c>
      <c r="JE35" s="101" t="e">
        <f t="shared" ref="JE35:LP35" si="516">JE5/24</f>
        <v>#VALUE!</v>
      </c>
      <c r="JF35" s="101" t="e">
        <f t="shared" si="516"/>
        <v>#VALUE!</v>
      </c>
      <c r="JG35" s="101">
        <f t="shared" si="516"/>
        <v>0</v>
      </c>
      <c r="JH35" s="101" t="e">
        <f t="shared" si="516"/>
        <v>#VALUE!</v>
      </c>
      <c r="JI35" s="101" t="e">
        <f t="shared" si="516"/>
        <v>#VALUE!</v>
      </c>
      <c r="JJ35" s="101" t="e">
        <f t="shared" si="516"/>
        <v>#VALUE!</v>
      </c>
      <c r="JK35" s="101" t="e">
        <f t="shared" si="516"/>
        <v>#VALUE!</v>
      </c>
      <c r="JL35" s="101" t="e">
        <f t="shared" si="516"/>
        <v>#VALUE!</v>
      </c>
      <c r="JM35" s="101" t="e">
        <f t="shared" si="516"/>
        <v>#VALUE!</v>
      </c>
      <c r="JN35" s="101" t="e">
        <f t="shared" si="516"/>
        <v>#VALUE!</v>
      </c>
      <c r="JO35" s="101">
        <f t="shared" si="516"/>
        <v>0</v>
      </c>
      <c r="JP35" s="101" t="e">
        <f t="shared" si="516"/>
        <v>#VALUE!</v>
      </c>
      <c r="JQ35" s="101" t="e">
        <f t="shared" si="516"/>
        <v>#VALUE!</v>
      </c>
      <c r="JR35" s="101" t="e">
        <f t="shared" si="516"/>
        <v>#VALUE!</v>
      </c>
      <c r="JS35" s="101" t="e">
        <f t="shared" si="516"/>
        <v>#VALUE!</v>
      </c>
      <c r="JT35" s="101" t="e">
        <f t="shared" si="516"/>
        <v>#VALUE!</v>
      </c>
      <c r="JU35" s="101" t="e">
        <f t="shared" si="516"/>
        <v>#VALUE!</v>
      </c>
      <c r="JV35" s="101" t="e">
        <f t="shared" si="516"/>
        <v>#VALUE!</v>
      </c>
      <c r="JW35" s="101">
        <f t="shared" si="516"/>
        <v>0</v>
      </c>
      <c r="JX35" s="101" t="e">
        <f t="shared" si="516"/>
        <v>#VALUE!</v>
      </c>
      <c r="JY35" s="101" t="e">
        <f t="shared" si="516"/>
        <v>#VALUE!</v>
      </c>
      <c r="JZ35" s="101" t="e">
        <f t="shared" si="516"/>
        <v>#VALUE!</v>
      </c>
      <c r="KA35" s="101" t="e">
        <f t="shared" si="516"/>
        <v>#VALUE!</v>
      </c>
      <c r="KB35" s="101" t="e">
        <f t="shared" si="516"/>
        <v>#VALUE!</v>
      </c>
      <c r="KC35" s="101" t="e">
        <f t="shared" si="516"/>
        <v>#VALUE!</v>
      </c>
      <c r="KD35" s="101" t="e">
        <f t="shared" si="516"/>
        <v>#VALUE!</v>
      </c>
      <c r="KE35" s="101">
        <f t="shared" si="516"/>
        <v>0</v>
      </c>
      <c r="KF35" s="101" t="e">
        <f t="shared" si="516"/>
        <v>#VALUE!</v>
      </c>
      <c r="KG35" s="101" t="e">
        <f t="shared" si="516"/>
        <v>#VALUE!</v>
      </c>
      <c r="KH35" s="101" t="e">
        <f t="shared" si="516"/>
        <v>#VALUE!</v>
      </c>
      <c r="KI35" s="101" t="e">
        <f t="shared" si="516"/>
        <v>#VALUE!</v>
      </c>
      <c r="KJ35" s="101" t="e">
        <f t="shared" si="516"/>
        <v>#VALUE!</v>
      </c>
      <c r="KK35" s="101" t="e">
        <f t="shared" si="516"/>
        <v>#VALUE!</v>
      </c>
      <c r="KL35" s="101" t="e">
        <f t="shared" si="516"/>
        <v>#VALUE!</v>
      </c>
      <c r="KM35" s="101">
        <f t="shared" si="516"/>
        <v>0</v>
      </c>
      <c r="KN35" s="101" t="e">
        <f t="shared" si="516"/>
        <v>#VALUE!</v>
      </c>
      <c r="KO35" s="101" t="e">
        <f t="shared" si="516"/>
        <v>#VALUE!</v>
      </c>
      <c r="KP35" s="101" t="e">
        <f t="shared" si="516"/>
        <v>#VALUE!</v>
      </c>
      <c r="KQ35" s="101" t="e">
        <f t="shared" si="516"/>
        <v>#VALUE!</v>
      </c>
      <c r="KR35" s="101" t="e">
        <f t="shared" si="516"/>
        <v>#VALUE!</v>
      </c>
      <c r="KS35" s="101" t="e">
        <f t="shared" si="516"/>
        <v>#VALUE!</v>
      </c>
      <c r="KT35" s="101" t="e">
        <f t="shared" si="516"/>
        <v>#VALUE!</v>
      </c>
      <c r="KU35" s="101">
        <f t="shared" si="516"/>
        <v>0</v>
      </c>
      <c r="KV35" s="101" t="e">
        <f t="shared" si="516"/>
        <v>#VALUE!</v>
      </c>
      <c r="KW35" s="101" t="e">
        <f t="shared" si="516"/>
        <v>#VALUE!</v>
      </c>
      <c r="KX35" s="101" t="e">
        <f t="shared" si="516"/>
        <v>#VALUE!</v>
      </c>
      <c r="KY35" s="101" t="e">
        <f t="shared" si="516"/>
        <v>#VALUE!</v>
      </c>
      <c r="KZ35" s="101" t="e">
        <f t="shared" si="516"/>
        <v>#VALUE!</v>
      </c>
      <c r="LA35" s="101" t="e">
        <f t="shared" si="516"/>
        <v>#VALUE!</v>
      </c>
      <c r="LB35" s="101" t="e">
        <f t="shared" si="516"/>
        <v>#VALUE!</v>
      </c>
      <c r="LC35" s="101">
        <f t="shared" si="516"/>
        <v>0</v>
      </c>
      <c r="LD35" s="101" t="e">
        <f t="shared" si="516"/>
        <v>#VALUE!</v>
      </c>
      <c r="LE35" s="101" t="e">
        <f t="shared" si="516"/>
        <v>#VALUE!</v>
      </c>
      <c r="LF35" s="101" t="e">
        <f t="shared" si="516"/>
        <v>#VALUE!</v>
      </c>
      <c r="LG35" s="101" t="e">
        <f t="shared" si="516"/>
        <v>#VALUE!</v>
      </c>
      <c r="LH35" s="101" t="e">
        <f t="shared" si="516"/>
        <v>#VALUE!</v>
      </c>
      <c r="LI35" s="101" t="e">
        <f t="shared" si="516"/>
        <v>#VALUE!</v>
      </c>
      <c r="LJ35" s="101" t="e">
        <f t="shared" si="516"/>
        <v>#VALUE!</v>
      </c>
      <c r="LK35" s="101">
        <f t="shared" si="516"/>
        <v>0</v>
      </c>
      <c r="LL35" s="101" t="e">
        <f t="shared" si="516"/>
        <v>#VALUE!</v>
      </c>
      <c r="LM35" s="101" t="e">
        <f t="shared" si="516"/>
        <v>#VALUE!</v>
      </c>
      <c r="LN35" s="101" t="e">
        <f t="shared" si="516"/>
        <v>#VALUE!</v>
      </c>
      <c r="LO35" s="101" t="e">
        <f t="shared" si="516"/>
        <v>#VALUE!</v>
      </c>
      <c r="LP35" s="101" t="e">
        <f t="shared" si="516"/>
        <v>#VALUE!</v>
      </c>
      <c r="LQ35" s="101" t="e">
        <f t="shared" ref="LQ35:NW35" si="517">LQ5/24</f>
        <v>#VALUE!</v>
      </c>
      <c r="LR35" s="101" t="e">
        <f t="shared" si="517"/>
        <v>#VALUE!</v>
      </c>
      <c r="LS35" s="101">
        <f t="shared" si="517"/>
        <v>0</v>
      </c>
      <c r="LT35" s="101" t="e">
        <f t="shared" si="517"/>
        <v>#VALUE!</v>
      </c>
      <c r="LU35" s="101" t="e">
        <f t="shared" si="517"/>
        <v>#VALUE!</v>
      </c>
      <c r="LV35" s="101" t="e">
        <f t="shared" si="517"/>
        <v>#VALUE!</v>
      </c>
      <c r="LW35" s="101" t="e">
        <f t="shared" si="517"/>
        <v>#VALUE!</v>
      </c>
      <c r="LX35" s="101" t="e">
        <f t="shared" si="517"/>
        <v>#VALUE!</v>
      </c>
      <c r="LY35" s="101" t="e">
        <f t="shared" si="517"/>
        <v>#VALUE!</v>
      </c>
      <c r="LZ35" s="101" t="e">
        <f t="shared" si="517"/>
        <v>#VALUE!</v>
      </c>
      <c r="MA35" s="101">
        <f t="shared" si="517"/>
        <v>0</v>
      </c>
      <c r="MB35" s="101" t="e">
        <f t="shared" si="517"/>
        <v>#VALUE!</v>
      </c>
      <c r="MC35" s="101" t="e">
        <f t="shared" si="517"/>
        <v>#VALUE!</v>
      </c>
      <c r="MD35" s="101" t="e">
        <f t="shared" si="517"/>
        <v>#VALUE!</v>
      </c>
      <c r="ME35" s="101" t="e">
        <f t="shared" si="517"/>
        <v>#VALUE!</v>
      </c>
      <c r="MF35" s="101" t="e">
        <f t="shared" si="517"/>
        <v>#VALUE!</v>
      </c>
      <c r="MG35" s="101" t="e">
        <f t="shared" si="517"/>
        <v>#VALUE!</v>
      </c>
      <c r="MH35" s="101" t="e">
        <f t="shared" si="517"/>
        <v>#VALUE!</v>
      </c>
      <c r="MI35" s="101">
        <f t="shared" si="517"/>
        <v>0</v>
      </c>
      <c r="MJ35" s="101" t="e">
        <f t="shared" si="517"/>
        <v>#VALUE!</v>
      </c>
      <c r="MK35" s="101" t="e">
        <f t="shared" si="517"/>
        <v>#VALUE!</v>
      </c>
      <c r="ML35" s="101" t="e">
        <f t="shared" si="517"/>
        <v>#VALUE!</v>
      </c>
      <c r="MM35" s="101" t="e">
        <f t="shared" si="517"/>
        <v>#VALUE!</v>
      </c>
      <c r="MN35" s="101" t="e">
        <f t="shared" si="517"/>
        <v>#VALUE!</v>
      </c>
      <c r="MO35" s="101" t="e">
        <f t="shared" si="517"/>
        <v>#VALUE!</v>
      </c>
      <c r="MP35" s="101" t="e">
        <f t="shared" si="517"/>
        <v>#VALUE!</v>
      </c>
      <c r="MQ35" s="101">
        <f t="shared" si="517"/>
        <v>0</v>
      </c>
      <c r="MR35" s="101" t="e">
        <f t="shared" si="517"/>
        <v>#VALUE!</v>
      </c>
      <c r="MS35" s="101" t="e">
        <f t="shared" si="517"/>
        <v>#VALUE!</v>
      </c>
      <c r="MT35" s="101" t="e">
        <f t="shared" si="517"/>
        <v>#VALUE!</v>
      </c>
      <c r="MU35" s="101" t="e">
        <f t="shared" si="517"/>
        <v>#VALUE!</v>
      </c>
      <c r="MV35" s="101" t="e">
        <f t="shared" si="517"/>
        <v>#VALUE!</v>
      </c>
      <c r="MW35" s="101" t="e">
        <f t="shared" si="517"/>
        <v>#VALUE!</v>
      </c>
      <c r="MX35" s="101" t="e">
        <f t="shared" si="517"/>
        <v>#VALUE!</v>
      </c>
      <c r="MY35" s="101">
        <f t="shared" si="517"/>
        <v>0</v>
      </c>
      <c r="MZ35" s="101" t="e">
        <f t="shared" si="517"/>
        <v>#VALUE!</v>
      </c>
      <c r="NA35" s="101" t="e">
        <f t="shared" si="517"/>
        <v>#VALUE!</v>
      </c>
      <c r="NB35" s="101" t="e">
        <f t="shared" si="517"/>
        <v>#VALUE!</v>
      </c>
      <c r="NC35" s="101" t="e">
        <f t="shared" si="517"/>
        <v>#VALUE!</v>
      </c>
      <c r="ND35" s="101" t="e">
        <f t="shared" si="517"/>
        <v>#VALUE!</v>
      </c>
      <c r="NE35" s="101" t="e">
        <f t="shared" si="517"/>
        <v>#VALUE!</v>
      </c>
      <c r="NF35" s="101" t="e">
        <f t="shared" si="517"/>
        <v>#VALUE!</v>
      </c>
      <c r="NG35" s="101">
        <f t="shared" si="517"/>
        <v>0</v>
      </c>
      <c r="NH35" s="101" t="e">
        <f t="shared" si="517"/>
        <v>#VALUE!</v>
      </c>
      <c r="NI35" s="101" t="e">
        <f t="shared" si="517"/>
        <v>#VALUE!</v>
      </c>
      <c r="NJ35" s="101" t="e">
        <f t="shared" si="517"/>
        <v>#VALUE!</v>
      </c>
      <c r="NK35" s="101" t="e">
        <f t="shared" si="517"/>
        <v>#VALUE!</v>
      </c>
      <c r="NL35" s="101" t="e">
        <f t="shared" si="517"/>
        <v>#VALUE!</v>
      </c>
      <c r="NM35" s="101" t="e">
        <f t="shared" si="517"/>
        <v>#VALUE!</v>
      </c>
      <c r="NN35" s="101" t="e">
        <f t="shared" si="517"/>
        <v>#VALUE!</v>
      </c>
      <c r="NO35" s="101">
        <f t="shared" si="517"/>
        <v>0</v>
      </c>
      <c r="NP35" s="101" t="e">
        <f t="shared" si="517"/>
        <v>#VALUE!</v>
      </c>
      <c r="NQ35" s="101" t="e">
        <f t="shared" si="517"/>
        <v>#VALUE!</v>
      </c>
      <c r="NR35" s="101" t="e">
        <f t="shared" si="517"/>
        <v>#VALUE!</v>
      </c>
      <c r="NS35" s="101" t="e">
        <f t="shared" si="517"/>
        <v>#VALUE!</v>
      </c>
      <c r="NT35" s="101" t="e">
        <f t="shared" si="517"/>
        <v>#VALUE!</v>
      </c>
      <c r="NU35" s="101" t="e">
        <f t="shared" si="517"/>
        <v>#VALUE!</v>
      </c>
      <c r="NV35" s="101" t="e">
        <f t="shared" si="517"/>
        <v>#VALUE!</v>
      </c>
      <c r="NW35" s="101">
        <f t="shared" si="517"/>
        <v>0</v>
      </c>
    </row>
  </sheetData>
  <customSheetViews>
    <customSheetView guid="{4F232D79-B707-4527-B1C5-2E1BF2995FFF}">
      <pane xSplit="3" ySplit="4" topLeftCell="D5" activePane="bottomRight" state="frozen"/>
      <selection pane="bottomRight" activeCell="H9" sqref="H9"/>
      <pageMargins left="0.7" right="0.7" top="0.75" bottom="0.75" header="0.3" footer="0.3"/>
      <pageSetup paperSize="9" orientation="portrait" r:id="rId1"/>
    </customSheetView>
  </customSheetViews>
  <mergeCells count="56">
    <mergeCell ref="MZ3:NG3"/>
    <mergeCell ref="NH3:NO3"/>
    <mergeCell ref="NP3:NW3"/>
    <mergeCell ref="LD3:LK3"/>
    <mergeCell ref="LL3:LS3"/>
    <mergeCell ref="LT3:MA3"/>
    <mergeCell ref="MB3:MI3"/>
    <mergeCell ref="MJ3:MQ3"/>
    <mergeCell ref="MR3:MY3"/>
    <mergeCell ref="KV3:LC3"/>
    <mergeCell ref="HL3:HS3"/>
    <mergeCell ref="HT3:IA3"/>
    <mergeCell ref="IB3:II3"/>
    <mergeCell ref="IJ3:IQ3"/>
    <mergeCell ref="IR3:IY3"/>
    <mergeCell ref="IZ3:JG3"/>
    <mergeCell ref="JH3:JO3"/>
    <mergeCell ref="JP3:JW3"/>
    <mergeCell ref="JX3:KE3"/>
    <mergeCell ref="KF3:KM3"/>
    <mergeCell ref="KN3:KU3"/>
    <mergeCell ref="HD3:HK3"/>
    <mergeCell ref="DT3:EA3"/>
    <mergeCell ref="EB3:EI3"/>
    <mergeCell ref="EJ3:EQ3"/>
    <mergeCell ref="ER3:EY3"/>
    <mergeCell ref="EZ3:FG3"/>
    <mergeCell ref="FH3:FO3"/>
    <mergeCell ref="FP3:FW3"/>
    <mergeCell ref="FX3:GE3"/>
    <mergeCell ref="GF3:GM3"/>
    <mergeCell ref="GN3:GU3"/>
    <mergeCell ref="GV3:HC3"/>
    <mergeCell ref="DL3:DS3"/>
    <mergeCell ref="AB3:AI3"/>
    <mergeCell ref="AJ3:AQ3"/>
    <mergeCell ref="AR3:AY3"/>
    <mergeCell ref="AZ3:BG3"/>
    <mergeCell ref="BH3:BO3"/>
    <mergeCell ref="BP3:BW3"/>
    <mergeCell ref="BX3:CE3"/>
    <mergeCell ref="CF3:CM3"/>
    <mergeCell ref="CN3:CU3"/>
    <mergeCell ref="CV3:DC3"/>
    <mergeCell ref="DD3:DK3"/>
    <mergeCell ref="A5:A18"/>
    <mergeCell ref="D3:J3"/>
    <mergeCell ref="L3:R3"/>
    <mergeCell ref="T3:AA3"/>
    <mergeCell ref="B29:C29"/>
    <mergeCell ref="B35:C35"/>
    <mergeCell ref="B30:C30"/>
    <mergeCell ref="B31:C31"/>
    <mergeCell ref="B32:C32"/>
    <mergeCell ref="B33:C33"/>
    <mergeCell ref="B34:C34"/>
  </mergeCells>
  <pageMargins left="0.7" right="0.7" top="0.75" bottom="0.75" header="0.3" footer="0.3"/>
  <pageSetup paperSize="9"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4:O29"/>
  <sheetViews>
    <sheetView topLeftCell="A38" workbookViewId="0">
      <selection activeCell="N14" sqref="N14"/>
    </sheetView>
  </sheetViews>
  <sheetFormatPr defaultColWidth="11.42578125" defaultRowHeight="15" x14ac:dyDescent="0.25"/>
  <sheetData>
    <row r="4" spans="7:15" x14ac:dyDescent="0.25">
      <c r="G4" s="233" t="s">
        <v>21</v>
      </c>
      <c r="H4" s="277">
        <v>0.29166666666666669</v>
      </c>
      <c r="I4" s="277">
        <v>0.625</v>
      </c>
      <c r="J4" s="196">
        <v>4125</v>
      </c>
    </row>
    <row r="5" spans="7:15" x14ac:dyDescent="0.25">
      <c r="G5" s="233" t="s">
        <v>21</v>
      </c>
      <c r="H5" s="277">
        <v>0.625</v>
      </c>
      <c r="I5" s="277">
        <v>0.68055555555555547</v>
      </c>
      <c r="J5" s="196">
        <v>638</v>
      </c>
    </row>
    <row r="6" spans="7:15" x14ac:dyDescent="0.25">
      <c r="G6" s="233" t="s">
        <v>21</v>
      </c>
      <c r="H6" s="277">
        <v>0.84375</v>
      </c>
      <c r="I6" s="277">
        <v>0.95833333333333337</v>
      </c>
      <c r="J6" s="196">
        <v>1729</v>
      </c>
    </row>
    <row r="7" spans="7:15" x14ac:dyDescent="0.25">
      <c r="G7" s="233" t="s">
        <v>21</v>
      </c>
      <c r="H7" s="277">
        <v>0.95833333333333337</v>
      </c>
      <c r="I7" s="277">
        <v>0.10208333333333335</v>
      </c>
      <c r="J7" s="196">
        <v>2700</v>
      </c>
    </row>
    <row r="8" spans="7:15" x14ac:dyDescent="0.25">
      <c r="G8" s="233" t="s">
        <v>21</v>
      </c>
      <c r="H8" s="277">
        <v>0.13680555555555554</v>
      </c>
      <c r="I8" s="277">
        <v>0.21388888888888891</v>
      </c>
      <c r="J8" s="196">
        <v>589</v>
      </c>
    </row>
    <row r="9" spans="7:15" x14ac:dyDescent="0.25">
      <c r="G9" s="233" t="s">
        <v>21</v>
      </c>
      <c r="H9" s="277">
        <v>0.21388888888888891</v>
      </c>
      <c r="I9" s="277">
        <v>0.29166666666666669</v>
      </c>
      <c r="J9" s="196">
        <f>4583-589-500-2700</f>
        <v>794</v>
      </c>
    </row>
    <row r="10" spans="7:15" x14ac:dyDescent="0.25">
      <c r="G10" s="233" t="s">
        <v>21</v>
      </c>
      <c r="H10" s="277">
        <v>0.29166666666666669</v>
      </c>
      <c r="I10" s="277">
        <v>0.59375</v>
      </c>
      <c r="J10" s="196">
        <v>4050</v>
      </c>
    </row>
    <row r="11" spans="7:15" x14ac:dyDescent="0.25">
      <c r="G11" s="233" t="s">
        <v>21</v>
      </c>
      <c r="H11" s="277">
        <v>0.59375</v>
      </c>
      <c r="I11" s="277">
        <v>0.625</v>
      </c>
      <c r="J11" s="196">
        <v>388</v>
      </c>
    </row>
    <row r="12" spans="7:15" x14ac:dyDescent="0.25">
      <c r="G12" s="233" t="s">
        <v>21</v>
      </c>
      <c r="H12" s="277">
        <v>0.95833333333333337</v>
      </c>
      <c r="I12" s="277">
        <v>0.29166666666666669</v>
      </c>
      <c r="J12" s="196">
        <v>6033</v>
      </c>
    </row>
    <row r="13" spans="7:15" x14ac:dyDescent="0.25">
      <c r="G13" s="233" t="s">
        <v>21</v>
      </c>
      <c r="H13" s="277">
        <v>0.29166666666666669</v>
      </c>
      <c r="I13" s="277">
        <v>0.625</v>
      </c>
      <c r="J13" s="196">
        <v>3610</v>
      </c>
    </row>
    <row r="14" spans="7:15" x14ac:dyDescent="0.25">
      <c r="G14" s="233" t="s">
        <v>21</v>
      </c>
      <c r="H14" s="277">
        <v>0.625</v>
      </c>
      <c r="I14" s="277">
        <v>0.95833333333333337</v>
      </c>
      <c r="J14" s="196">
        <v>1449</v>
      </c>
      <c r="O14">
        <v>46351</v>
      </c>
    </row>
    <row r="15" spans="7:15" x14ac:dyDescent="0.25">
      <c r="G15" s="233" t="s">
        <v>21</v>
      </c>
      <c r="H15" s="277">
        <v>0.95833333333333337</v>
      </c>
      <c r="I15" s="277">
        <v>2.0833333333333332E-2</v>
      </c>
      <c r="J15" s="196">
        <v>780</v>
      </c>
    </row>
    <row r="16" spans="7:15" x14ac:dyDescent="0.25">
      <c r="G16" s="233" t="s">
        <v>21</v>
      </c>
      <c r="H16" s="277">
        <v>2.0833333333333332E-2</v>
      </c>
      <c r="I16" s="277">
        <v>0.17916666666666667</v>
      </c>
      <c r="J16" s="196">
        <v>2000</v>
      </c>
    </row>
    <row r="17" spans="7:10" x14ac:dyDescent="0.25">
      <c r="G17" s="233" t="s">
        <v>21</v>
      </c>
      <c r="H17" s="277">
        <v>0.17916666666666667</v>
      </c>
      <c r="I17" s="277">
        <v>0.29166666666666669</v>
      </c>
      <c r="J17" s="196">
        <f>3627-2000-780</f>
        <v>847</v>
      </c>
    </row>
    <row r="18" spans="7:10" x14ac:dyDescent="0.25">
      <c r="G18" s="233" t="s">
        <v>21</v>
      </c>
      <c r="H18" s="277">
        <v>0.29166666666666669</v>
      </c>
      <c r="I18" s="277">
        <v>0.625</v>
      </c>
      <c r="J18" s="196">
        <v>1477</v>
      </c>
    </row>
    <row r="19" spans="7:10" x14ac:dyDescent="0.25">
      <c r="G19" s="233" t="s">
        <v>21</v>
      </c>
      <c r="H19" s="277">
        <v>0.625</v>
      </c>
      <c r="I19" s="277">
        <v>0.95833333333333337</v>
      </c>
      <c r="J19" s="196">
        <v>0</v>
      </c>
    </row>
    <row r="20" spans="7:10" x14ac:dyDescent="0.25">
      <c r="G20" s="233" t="s">
        <v>21</v>
      </c>
      <c r="H20" s="277">
        <v>0.95833333333333337</v>
      </c>
      <c r="I20" s="277">
        <v>0.29166666666666669</v>
      </c>
      <c r="J20" s="196">
        <v>0</v>
      </c>
    </row>
    <row r="21" spans="7:10" x14ac:dyDescent="0.25">
      <c r="G21" s="233" t="s">
        <v>21</v>
      </c>
      <c r="H21" s="277">
        <v>0.29166666666666669</v>
      </c>
      <c r="I21" s="277">
        <v>0.625</v>
      </c>
      <c r="J21" s="196">
        <v>0</v>
      </c>
    </row>
    <row r="22" spans="7:10" x14ac:dyDescent="0.25">
      <c r="G22" s="233" t="s">
        <v>21</v>
      </c>
      <c r="H22" s="277">
        <v>0.625</v>
      </c>
      <c r="I22" s="277">
        <v>0.95833333333333337</v>
      </c>
      <c r="J22" s="196">
        <v>0</v>
      </c>
    </row>
    <row r="23" spans="7:10" x14ac:dyDescent="0.25">
      <c r="G23" s="233" t="s">
        <v>21</v>
      </c>
      <c r="H23" s="277">
        <v>0.95833333333333337</v>
      </c>
      <c r="I23" s="277">
        <v>0.29166666666666669</v>
      </c>
      <c r="J23" s="196">
        <v>0</v>
      </c>
    </row>
    <row r="24" spans="7:10" x14ac:dyDescent="0.25">
      <c r="G24" s="233" t="s">
        <v>21</v>
      </c>
      <c r="H24" s="277">
        <v>0.29166666666666669</v>
      </c>
      <c r="I24" s="277">
        <v>0.625</v>
      </c>
      <c r="J24" s="196">
        <v>3019</v>
      </c>
    </row>
    <row r="25" spans="7:10" x14ac:dyDescent="0.25">
      <c r="H25" s="277">
        <v>0.625</v>
      </c>
      <c r="I25" s="277">
        <v>0.92569444444444438</v>
      </c>
      <c r="J25" s="196">
        <v>3050</v>
      </c>
    </row>
    <row r="26" spans="7:10" x14ac:dyDescent="0.25">
      <c r="H26" s="277">
        <v>0.92569444444444438</v>
      </c>
      <c r="I26" s="277">
        <v>0.95833333333333337</v>
      </c>
      <c r="J26" s="196">
        <f>3544-3050</f>
        <v>494</v>
      </c>
    </row>
    <row r="27" spans="7:10" x14ac:dyDescent="0.25">
      <c r="H27" s="277">
        <v>0.95833333333333337</v>
      </c>
      <c r="I27" s="277">
        <v>0.29166666666666669</v>
      </c>
      <c r="J27" s="196">
        <v>4437</v>
      </c>
    </row>
    <row r="28" spans="7:10" x14ac:dyDescent="0.25">
      <c r="H28" s="277">
        <v>0.29166666666666669</v>
      </c>
      <c r="I28" s="277">
        <v>0.60069444444444442</v>
      </c>
      <c r="J28" s="196">
        <v>3850</v>
      </c>
    </row>
    <row r="29" spans="7:10" x14ac:dyDescent="0.25">
      <c r="H29" s="277">
        <v>0.60069444444444442</v>
      </c>
      <c r="I29" s="277">
        <v>0.625</v>
      </c>
      <c r="J29" s="196">
        <v>292</v>
      </c>
    </row>
  </sheetData>
  <conditionalFormatting sqref="G4:J18 H19:J29 G19:G24">
    <cfRule type="cellIs" dxfId="17" priority="1" operator="equal">
      <formula>1</formula>
    </cfRule>
  </conditionalFormatting>
  <dataValidations count="1">
    <dataValidation type="list" allowBlank="1" showInputMessage="1" showErrorMessage="1" sqref="G4:G24">
      <formula1>stockage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19" sqref="L19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C67"/>
  <sheetViews>
    <sheetView topLeftCell="M1" workbookViewId="0">
      <selection activeCell="X9" sqref="X9"/>
    </sheetView>
  </sheetViews>
  <sheetFormatPr defaultColWidth="11.42578125" defaultRowHeight="15" x14ac:dyDescent="0.25"/>
  <cols>
    <col min="1" max="1" width="22.5703125" style="8" bestFit="1" customWidth="1"/>
    <col min="2" max="2" width="22.5703125" style="8" customWidth="1"/>
    <col min="3" max="3" width="2.7109375" style="8" customWidth="1"/>
    <col min="4" max="4" width="11.42578125" style="8"/>
    <col min="5" max="5" width="2.28515625" style="8" customWidth="1"/>
    <col min="6" max="6" width="13.28515625" style="8" bestFit="1" customWidth="1"/>
    <col min="7" max="7" width="2.85546875" style="8" customWidth="1"/>
    <col min="8" max="8" width="11.42578125" style="8"/>
    <col min="9" max="9" width="3.5703125" style="8" customWidth="1"/>
    <col min="10" max="10" width="33.5703125" style="8" bestFit="1" customWidth="1"/>
    <col min="11" max="11" width="15" style="8" bestFit="1" customWidth="1"/>
    <col min="12" max="12" width="12.28515625" style="8" bestFit="1" customWidth="1"/>
    <col min="13" max="14" width="11.42578125" style="8"/>
    <col min="15" max="15" width="2.7109375" style="8" customWidth="1"/>
    <col min="16" max="16" width="16.85546875" style="8" customWidth="1"/>
    <col min="17" max="20" width="11.42578125" style="8"/>
    <col min="21" max="21" width="2" style="8" customWidth="1"/>
    <col min="22" max="22" width="37.5703125" style="6" bestFit="1" customWidth="1"/>
    <col min="23" max="27" width="11.42578125" style="8"/>
    <col min="28" max="28" width="14.42578125" style="8" bestFit="1" customWidth="1"/>
    <col min="29" max="16384" width="11.42578125" style="8"/>
  </cols>
  <sheetData>
    <row r="1" spans="1:29" ht="15.75" thickBot="1" x14ac:dyDescent="0.3"/>
    <row r="2" spans="1:29" ht="15.75" thickBot="1" x14ac:dyDescent="0.3">
      <c r="D2" s="600" t="s">
        <v>266</v>
      </c>
      <c r="F2" s="603" t="s">
        <v>9</v>
      </c>
      <c r="H2" s="605" t="s">
        <v>10</v>
      </c>
    </row>
    <row r="3" spans="1:29" ht="15.75" thickBot="1" x14ac:dyDescent="0.3">
      <c r="A3" s="600" t="s">
        <v>0</v>
      </c>
      <c r="B3" s="170"/>
      <c r="D3" s="602"/>
      <c r="F3" s="604"/>
      <c r="H3" s="606"/>
    </row>
    <row r="4" spans="1:29" ht="21.75" thickBot="1" x14ac:dyDescent="0.4">
      <c r="A4" s="601"/>
      <c r="B4" s="170"/>
      <c r="D4" s="9" t="s">
        <v>11</v>
      </c>
      <c r="F4" s="10" t="s">
        <v>12</v>
      </c>
      <c r="H4" s="9" t="s">
        <v>13</v>
      </c>
      <c r="J4" s="11" t="s">
        <v>54</v>
      </c>
      <c r="K4" s="7" t="s">
        <v>55</v>
      </c>
      <c r="L4" s="12" t="s">
        <v>56</v>
      </c>
      <c r="M4" s="7" t="s">
        <v>57</v>
      </c>
      <c r="N4" s="209" t="s">
        <v>506</v>
      </c>
      <c r="P4" s="7">
        <v>7601</v>
      </c>
      <c r="Q4" s="7" t="s">
        <v>58</v>
      </c>
      <c r="R4" s="12">
        <v>62</v>
      </c>
      <c r="S4" s="7" t="s">
        <v>59</v>
      </c>
      <c r="T4" s="7" t="s">
        <v>60</v>
      </c>
      <c r="V4" s="13" t="s">
        <v>139</v>
      </c>
      <c r="W4" s="14" t="s">
        <v>55</v>
      </c>
      <c r="X4" s="14" t="s">
        <v>56</v>
      </c>
      <c r="Y4" s="15" t="s">
        <v>140</v>
      </c>
      <c r="Z4" s="16" t="s">
        <v>14</v>
      </c>
    </row>
    <row r="5" spans="1:29" ht="21" x14ac:dyDescent="0.35">
      <c r="A5" s="18" t="s">
        <v>1</v>
      </c>
      <c r="B5" s="171" t="s">
        <v>223</v>
      </c>
      <c r="D5" s="9" t="s">
        <v>14</v>
      </c>
      <c r="F5" s="9" t="s">
        <v>15</v>
      </c>
      <c r="H5" s="9" t="s">
        <v>16</v>
      </c>
      <c r="J5" s="11" t="s">
        <v>61</v>
      </c>
      <c r="K5" s="7" t="s">
        <v>62</v>
      </c>
      <c r="L5" s="12" t="s">
        <v>63</v>
      </c>
      <c r="M5" s="7" t="s">
        <v>64</v>
      </c>
      <c r="N5" s="209" t="s">
        <v>507</v>
      </c>
      <c r="P5" s="8">
        <v>7603</v>
      </c>
      <c r="Q5" s="7" t="s">
        <v>66</v>
      </c>
      <c r="R5" s="12">
        <v>62</v>
      </c>
      <c r="S5" s="7" t="s">
        <v>67</v>
      </c>
      <c r="T5" s="7" t="s">
        <v>68</v>
      </c>
      <c r="V5" s="13" t="s">
        <v>141</v>
      </c>
      <c r="W5" s="19" t="s">
        <v>142</v>
      </c>
      <c r="X5" s="19" t="s">
        <v>143</v>
      </c>
      <c r="Z5" s="16" t="s">
        <v>145</v>
      </c>
      <c r="AC5" s="17" t="s">
        <v>144</v>
      </c>
    </row>
    <row r="6" spans="1:29" ht="21.75" thickBot="1" x14ac:dyDescent="0.4">
      <c r="A6" s="20" t="s">
        <v>2</v>
      </c>
      <c r="B6" s="172" t="s">
        <v>464</v>
      </c>
      <c r="D6" s="9" t="s">
        <v>17</v>
      </c>
      <c r="F6" s="9" t="s">
        <v>18</v>
      </c>
      <c r="H6" s="9" t="s">
        <v>19</v>
      </c>
      <c r="J6" s="11" t="s">
        <v>69</v>
      </c>
      <c r="K6" s="7" t="s">
        <v>70</v>
      </c>
      <c r="L6" s="12" t="s">
        <v>71</v>
      </c>
      <c r="M6" s="7" t="s">
        <v>72</v>
      </c>
      <c r="N6" s="210" t="s">
        <v>508</v>
      </c>
      <c r="P6" s="8">
        <v>7605</v>
      </c>
      <c r="S6" s="7" t="s">
        <v>73</v>
      </c>
      <c r="T6" s="7" t="s">
        <v>74</v>
      </c>
      <c r="V6" s="13" t="s">
        <v>146</v>
      </c>
      <c r="W6" s="19" t="s">
        <v>147</v>
      </c>
      <c r="X6" s="19" t="s">
        <v>76</v>
      </c>
      <c r="Y6" s="21" t="s">
        <v>148</v>
      </c>
      <c r="Z6" s="16" t="s">
        <v>20</v>
      </c>
      <c r="AC6" s="271" t="s">
        <v>634</v>
      </c>
    </row>
    <row r="7" spans="1:29" ht="21.75" thickBot="1" x14ac:dyDescent="0.4">
      <c r="A7" s="20" t="s">
        <v>3</v>
      </c>
      <c r="B7" s="172" t="s">
        <v>465</v>
      </c>
      <c r="D7" s="9" t="s">
        <v>20</v>
      </c>
      <c r="F7" s="9" t="s">
        <v>21</v>
      </c>
      <c r="H7" s="9" t="s">
        <v>22</v>
      </c>
      <c r="J7" s="7" t="s">
        <v>356</v>
      </c>
      <c r="K7" s="7" t="s">
        <v>75</v>
      </c>
      <c r="L7" s="12" t="s">
        <v>76</v>
      </c>
      <c r="M7" s="7" t="s">
        <v>635</v>
      </c>
      <c r="N7" s="8" t="s">
        <v>65</v>
      </c>
      <c r="P7" s="7">
        <v>7607</v>
      </c>
      <c r="S7" s="7" t="s">
        <v>77</v>
      </c>
      <c r="V7" s="13" t="s">
        <v>149</v>
      </c>
      <c r="W7" s="19" t="s">
        <v>150</v>
      </c>
      <c r="X7" s="19" t="s">
        <v>80</v>
      </c>
      <c r="Y7" s="21" t="s">
        <v>151</v>
      </c>
      <c r="Z7" s="16" t="s">
        <v>26</v>
      </c>
      <c r="AB7" s="272"/>
      <c r="AC7" s="17" t="s">
        <v>159</v>
      </c>
    </row>
    <row r="8" spans="1:29" ht="21" x14ac:dyDescent="0.35">
      <c r="A8" s="20" t="s">
        <v>4</v>
      </c>
      <c r="B8" s="172" t="s">
        <v>1</v>
      </c>
      <c r="D8" s="9" t="s">
        <v>23</v>
      </c>
      <c r="F8" s="9" t="s">
        <v>24</v>
      </c>
      <c r="H8" s="9" t="s">
        <v>25</v>
      </c>
      <c r="J8" s="11" t="s">
        <v>78</v>
      </c>
      <c r="K8" s="7" t="s">
        <v>79</v>
      </c>
      <c r="L8" s="12" t="s">
        <v>80</v>
      </c>
      <c r="M8" s="7" t="s">
        <v>22</v>
      </c>
      <c r="N8" s="8" t="s">
        <v>65</v>
      </c>
      <c r="P8" s="7">
        <v>7609</v>
      </c>
      <c r="V8" s="13" t="s">
        <v>69</v>
      </c>
      <c r="W8" s="19" t="s">
        <v>152</v>
      </c>
      <c r="X8" s="19" t="s">
        <v>153</v>
      </c>
      <c r="Z8" s="16" t="s">
        <v>31</v>
      </c>
      <c r="AC8" s="17" t="s">
        <v>173</v>
      </c>
    </row>
    <row r="9" spans="1:29" ht="21.75" thickBot="1" x14ac:dyDescent="0.4">
      <c r="A9" s="20" t="s">
        <v>5</v>
      </c>
      <c r="B9" s="172" t="s">
        <v>4</v>
      </c>
      <c r="D9" s="9" t="s">
        <v>26</v>
      </c>
      <c r="F9" s="9" t="s">
        <v>27</v>
      </c>
      <c r="H9" s="9" t="s">
        <v>28</v>
      </c>
      <c r="J9" s="11" t="s">
        <v>82</v>
      </c>
      <c r="K9" s="7" t="s">
        <v>83</v>
      </c>
      <c r="L9" s="12" t="s">
        <v>84</v>
      </c>
      <c r="M9" s="7" t="s">
        <v>463</v>
      </c>
      <c r="P9" s="7">
        <v>7611</v>
      </c>
      <c r="R9" s="8">
        <v>1</v>
      </c>
      <c r="V9" s="13" t="s">
        <v>154</v>
      </c>
      <c r="W9" s="19" t="s">
        <v>155</v>
      </c>
      <c r="X9" s="22" t="s">
        <v>156</v>
      </c>
      <c r="Y9" s="21" t="s">
        <v>157</v>
      </c>
      <c r="Z9" s="16" t="s">
        <v>33</v>
      </c>
      <c r="AC9" s="17" t="s">
        <v>177</v>
      </c>
    </row>
    <row r="10" spans="1:29" ht="21" x14ac:dyDescent="0.35">
      <c r="A10" s="20" t="s">
        <v>220</v>
      </c>
      <c r="B10" s="172" t="s">
        <v>466</v>
      </c>
      <c r="D10" s="9" t="s">
        <v>29</v>
      </c>
      <c r="F10" s="9" t="s">
        <v>30</v>
      </c>
      <c r="H10" s="9"/>
      <c r="J10" s="11" t="s">
        <v>86</v>
      </c>
      <c r="K10" s="7" t="s">
        <v>87</v>
      </c>
      <c r="M10" s="7" t="s">
        <v>81</v>
      </c>
      <c r="P10" s="7">
        <v>7613</v>
      </c>
      <c r="R10" s="8">
        <v>2</v>
      </c>
      <c r="V10" s="13" t="s">
        <v>78</v>
      </c>
      <c r="W10" s="19" t="s">
        <v>158</v>
      </c>
      <c r="Z10" s="16" t="s">
        <v>35</v>
      </c>
      <c r="AC10" s="17" t="s">
        <v>182</v>
      </c>
    </row>
    <row r="11" spans="1:29" ht="21.75" thickBot="1" x14ac:dyDescent="0.4">
      <c r="A11" s="20" t="s">
        <v>6</v>
      </c>
      <c r="B11" s="172" t="s">
        <v>7</v>
      </c>
      <c r="D11" s="9" t="s">
        <v>31</v>
      </c>
      <c r="F11" s="9" t="s">
        <v>32</v>
      </c>
      <c r="H11" s="9"/>
      <c r="J11" s="11" t="s">
        <v>88</v>
      </c>
      <c r="K11" s="7" t="s">
        <v>89</v>
      </c>
      <c r="M11" s="7" t="s">
        <v>85</v>
      </c>
      <c r="P11" s="7">
        <v>7619</v>
      </c>
      <c r="R11" s="8">
        <v>3</v>
      </c>
      <c r="V11" s="13" t="s">
        <v>160</v>
      </c>
      <c r="W11" s="19" t="s">
        <v>161</v>
      </c>
      <c r="Y11" s="21" t="s">
        <v>162</v>
      </c>
      <c r="Z11" s="16" t="s">
        <v>37</v>
      </c>
      <c r="AC11" s="17" t="s">
        <v>185</v>
      </c>
    </row>
    <row r="12" spans="1:29" ht="26.25" thickBot="1" x14ac:dyDescent="0.4">
      <c r="A12" s="20" t="s">
        <v>223</v>
      </c>
      <c r="B12" s="172" t="s">
        <v>173</v>
      </c>
      <c r="D12" s="9" t="s">
        <v>33</v>
      </c>
      <c r="F12" s="9" t="s">
        <v>34</v>
      </c>
      <c r="H12" s="9"/>
      <c r="J12" s="11" t="s">
        <v>90</v>
      </c>
      <c r="K12" s="7" t="s">
        <v>91</v>
      </c>
      <c r="M12" s="7" t="s">
        <v>19</v>
      </c>
      <c r="P12" s="8">
        <v>7615</v>
      </c>
      <c r="V12" s="13" t="s">
        <v>163</v>
      </c>
      <c r="W12" s="19" t="s">
        <v>164</v>
      </c>
      <c r="Y12" s="21" t="s">
        <v>165</v>
      </c>
      <c r="Z12" s="16" t="s">
        <v>39</v>
      </c>
      <c r="AB12" s="23" t="s">
        <v>59</v>
      </c>
      <c r="AC12" s="17" t="s">
        <v>188</v>
      </c>
    </row>
    <row r="13" spans="1:29" ht="21.75" thickBot="1" x14ac:dyDescent="0.4">
      <c r="A13" s="20" t="s">
        <v>7</v>
      </c>
      <c r="B13" s="172" t="s">
        <v>220</v>
      </c>
      <c r="D13" s="9" t="s">
        <v>35</v>
      </c>
      <c r="F13" s="9" t="s">
        <v>36</v>
      </c>
      <c r="H13" s="9"/>
      <c r="J13" s="11" t="s">
        <v>92</v>
      </c>
      <c r="K13" s="7" t="s">
        <v>93</v>
      </c>
      <c r="M13" s="8" t="s">
        <v>487</v>
      </c>
      <c r="P13" s="8">
        <v>7617</v>
      </c>
      <c r="V13" s="13" t="s">
        <v>166</v>
      </c>
      <c r="W13" s="19" t="s">
        <v>167</v>
      </c>
      <c r="Y13" s="21" t="s">
        <v>179</v>
      </c>
      <c r="Z13" s="16" t="s">
        <v>43</v>
      </c>
      <c r="AB13" s="23" t="s">
        <v>168</v>
      </c>
      <c r="AC13" s="17" t="s">
        <v>190</v>
      </c>
    </row>
    <row r="14" spans="1:29" ht="21.75" thickBot="1" x14ac:dyDescent="0.4">
      <c r="A14" s="20" t="s">
        <v>8</v>
      </c>
      <c r="B14" s="172" t="s">
        <v>3</v>
      </c>
      <c r="D14" s="9" t="s">
        <v>37</v>
      </c>
      <c r="F14" s="9" t="s">
        <v>38</v>
      </c>
      <c r="H14" s="9"/>
      <c r="J14" s="11" t="s">
        <v>94</v>
      </c>
      <c r="K14" s="7" t="s">
        <v>95</v>
      </c>
      <c r="P14" s="8">
        <v>7625</v>
      </c>
      <c r="V14" s="13" t="s">
        <v>169</v>
      </c>
      <c r="W14" s="19" t="s">
        <v>170</v>
      </c>
      <c r="Y14" s="21" t="s">
        <v>193</v>
      </c>
      <c r="Z14" s="16" t="s">
        <v>41</v>
      </c>
      <c r="AB14" s="23" t="s">
        <v>443</v>
      </c>
      <c r="AC14" s="17" t="s">
        <v>3</v>
      </c>
    </row>
    <row r="15" spans="1:29" ht="21.75" thickBot="1" x14ac:dyDescent="0.4">
      <c r="A15" s="20" t="s">
        <v>185</v>
      </c>
      <c r="B15" s="173" t="s">
        <v>5</v>
      </c>
      <c r="D15" s="9" t="s">
        <v>39</v>
      </c>
      <c r="F15" s="9" t="s">
        <v>40</v>
      </c>
      <c r="H15" s="9"/>
      <c r="J15" s="11" t="s">
        <v>96</v>
      </c>
      <c r="K15" s="7" t="s">
        <v>48</v>
      </c>
      <c r="V15" s="13" t="s">
        <v>171</v>
      </c>
      <c r="W15" s="19" t="s">
        <v>172</v>
      </c>
      <c r="Y15" s="21" t="s">
        <v>196</v>
      </c>
      <c r="Z15" s="16" t="s">
        <v>45</v>
      </c>
      <c r="AB15" s="23" t="s">
        <v>77</v>
      </c>
      <c r="AC15" s="7" t="s">
        <v>360</v>
      </c>
    </row>
    <row r="16" spans="1:29" ht="21.75" thickBot="1" x14ac:dyDescent="0.4">
      <c r="A16" s="20" t="s">
        <v>182</v>
      </c>
      <c r="B16" s="174" t="s">
        <v>461</v>
      </c>
      <c r="D16" s="9" t="s">
        <v>41</v>
      </c>
      <c r="F16" s="9" t="s">
        <v>42</v>
      </c>
      <c r="H16" s="9"/>
      <c r="J16" s="11" t="s">
        <v>97</v>
      </c>
      <c r="K16" s="7" t="s">
        <v>98</v>
      </c>
      <c r="P16" s="8" t="s">
        <v>733</v>
      </c>
      <c r="V16" s="13" t="s">
        <v>82</v>
      </c>
      <c r="W16" s="19" t="s">
        <v>174</v>
      </c>
      <c r="Y16" s="21" t="s">
        <v>199</v>
      </c>
      <c r="Z16" s="16" t="s">
        <v>47</v>
      </c>
      <c r="AB16" s="23" t="s">
        <v>357</v>
      </c>
      <c r="AC16" s="7" t="s">
        <v>2</v>
      </c>
    </row>
    <row r="17" spans="1:29" ht="21.75" thickBot="1" x14ac:dyDescent="0.4">
      <c r="A17" s="20" t="s">
        <v>199</v>
      </c>
      <c r="B17" s="172" t="s">
        <v>140</v>
      </c>
      <c r="D17" s="9"/>
      <c r="F17" s="9" t="s">
        <v>473</v>
      </c>
      <c r="H17" s="9"/>
      <c r="J17" s="11" t="s">
        <v>462</v>
      </c>
      <c r="K17" s="70"/>
      <c r="P17" s="8" t="s">
        <v>734</v>
      </c>
      <c r="V17" s="13"/>
      <c r="W17" s="19"/>
      <c r="Y17" s="21"/>
      <c r="Z17" s="16" t="s">
        <v>475</v>
      </c>
      <c r="AB17" s="23"/>
      <c r="AC17" s="7" t="s">
        <v>361</v>
      </c>
    </row>
    <row r="18" spans="1:29" ht="21.75" thickBot="1" x14ac:dyDescent="0.4">
      <c r="B18" s="172" t="s">
        <v>467</v>
      </c>
      <c r="D18" s="9" t="s">
        <v>43</v>
      </c>
      <c r="F18" s="9" t="s">
        <v>473</v>
      </c>
      <c r="H18" s="9"/>
      <c r="J18" s="11" t="s">
        <v>99</v>
      </c>
      <c r="P18" s="8" t="s">
        <v>735</v>
      </c>
      <c r="V18" s="13" t="s">
        <v>175</v>
      </c>
      <c r="W18" s="19" t="s">
        <v>176</v>
      </c>
      <c r="Y18" s="21" t="s">
        <v>202</v>
      </c>
      <c r="Z18" s="16" t="s">
        <v>49</v>
      </c>
      <c r="AB18" s="23" t="s">
        <v>21</v>
      </c>
      <c r="AC18" s="7" t="s">
        <v>643</v>
      </c>
    </row>
    <row r="19" spans="1:29" ht="21.75" thickBot="1" x14ac:dyDescent="0.4">
      <c r="B19" s="172" t="s">
        <v>144</v>
      </c>
      <c r="D19" s="9" t="s">
        <v>45</v>
      </c>
      <c r="F19" s="9" t="s">
        <v>44</v>
      </c>
      <c r="H19" s="9"/>
      <c r="J19" s="11" t="s">
        <v>100</v>
      </c>
      <c r="P19" s="8" t="s">
        <v>736</v>
      </c>
      <c r="V19" s="13" t="s">
        <v>86</v>
      </c>
      <c r="W19" s="19" t="s">
        <v>178</v>
      </c>
      <c r="Y19" s="21" t="s">
        <v>205</v>
      </c>
      <c r="Z19" s="16" t="s">
        <v>51</v>
      </c>
      <c r="AB19" s="23" t="s">
        <v>24</v>
      </c>
      <c r="AC19" s="7" t="s">
        <v>362</v>
      </c>
    </row>
    <row r="20" spans="1:29" ht="21.75" thickBot="1" x14ac:dyDescent="0.4">
      <c r="B20" s="172" t="s">
        <v>221</v>
      </c>
      <c r="D20" s="9" t="s">
        <v>47</v>
      </c>
      <c r="F20" s="9" t="s">
        <v>46</v>
      </c>
      <c r="H20" s="9"/>
      <c r="J20" s="11" t="s">
        <v>101</v>
      </c>
      <c r="P20" s="8" t="s">
        <v>737</v>
      </c>
      <c r="V20" s="13" t="s">
        <v>180</v>
      </c>
      <c r="W20" s="19" t="s">
        <v>181</v>
      </c>
      <c r="Y20" s="21" t="s">
        <v>208</v>
      </c>
      <c r="Z20" s="16" t="s">
        <v>52</v>
      </c>
      <c r="AB20" s="23" t="s">
        <v>444</v>
      </c>
      <c r="AC20" s="7" t="s">
        <v>221</v>
      </c>
    </row>
    <row r="21" spans="1:29" ht="21.75" thickBot="1" x14ac:dyDescent="0.4">
      <c r="B21" s="172" t="s">
        <v>148</v>
      </c>
      <c r="D21" s="9" t="s">
        <v>49</v>
      </c>
      <c r="F21" s="9" t="s">
        <v>48</v>
      </c>
      <c r="H21" s="9"/>
      <c r="J21" s="11" t="s">
        <v>102</v>
      </c>
      <c r="P21" s="8" t="s">
        <v>738</v>
      </c>
      <c r="V21" s="13" t="s">
        <v>183</v>
      </c>
      <c r="W21" s="19" t="s">
        <v>184</v>
      </c>
      <c r="Y21" s="21" t="s">
        <v>209</v>
      </c>
      <c r="Z21" s="16" t="s">
        <v>53</v>
      </c>
      <c r="AB21" s="23" t="s">
        <v>359</v>
      </c>
    </row>
    <row r="22" spans="1:29" ht="21.75" thickBot="1" x14ac:dyDescent="0.4">
      <c r="B22" s="172" t="s">
        <v>151</v>
      </c>
      <c r="D22" s="9" t="s">
        <v>51</v>
      </c>
      <c r="F22" s="9" t="s">
        <v>50</v>
      </c>
      <c r="H22" s="9"/>
      <c r="J22" s="11" t="s">
        <v>103</v>
      </c>
      <c r="P22" s="8" t="s">
        <v>739</v>
      </c>
      <c r="V22" s="13" t="s">
        <v>186</v>
      </c>
      <c r="W22" s="19" t="s">
        <v>187</v>
      </c>
      <c r="Y22" s="21" t="s">
        <v>212</v>
      </c>
      <c r="Z22" s="16" t="s">
        <v>23</v>
      </c>
      <c r="AB22" s="23" t="s">
        <v>32</v>
      </c>
    </row>
    <row r="23" spans="1:29" ht="21" x14ac:dyDescent="0.35">
      <c r="B23" s="172" t="s">
        <v>468</v>
      </c>
      <c r="D23" s="9" t="s">
        <v>52</v>
      </c>
      <c r="F23" s="9" t="s">
        <v>473</v>
      </c>
      <c r="H23" s="9"/>
      <c r="J23" s="11" t="s">
        <v>104</v>
      </c>
      <c r="V23" s="13" t="s">
        <v>97</v>
      </c>
      <c r="W23" s="19" t="s">
        <v>189</v>
      </c>
      <c r="Y23" s="24"/>
      <c r="Z23" s="25"/>
      <c r="AA23" s="25"/>
      <c r="AB23" s="23" t="s">
        <v>34</v>
      </c>
    </row>
    <row r="24" spans="1:29" ht="21.75" thickBot="1" x14ac:dyDescent="0.4">
      <c r="B24" s="172" t="s">
        <v>451</v>
      </c>
      <c r="D24" s="9" t="s">
        <v>53</v>
      </c>
      <c r="F24" s="9"/>
      <c r="H24" s="9"/>
      <c r="J24" s="11" t="s">
        <v>105</v>
      </c>
      <c r="V24" s="13" t="s">
        <v>191</v>
      </c>
      <c r="W24" s="19" t="s">
        <v>192</v>
      </c>
      <c r="Y24" s="24" t="s">
        <v>214</v>
      </c>
      <c r="AB24" s="23" t="s">
        <v>445</v>
      </c>
    </row>
    <row r="25" spans="1:29" ht="21.75" thickBot="1" x14ac:dyDescent="0.4">
      <c r="B25" s="172" t="s">
        <v>159</v>
      </c>
      <c r="D25" s="9"/>
      <c r="F25" s="9"/>
      <c r="H25" s="9"/>
      <c r="J25" s="11" t="s">
        <v>106</v>
      </c>
      <c r="V25" s="13" t="s">
        <v>194</v>
      </c>
      <c r="W25" s="19" t="s">
        <v>195</v>
      </c>
      <c r="Y25" s="15"/>
      <c r="AB25" s="23" t="s">
        <v>358</v>
      </c>
    </row>
    <row r="26" spans="1:29" ht="21.75" thickBot="1" x14ac:dyDescent="0.4">
      <c r="B26" s="172" t="s">
        <v>459</v>
      </c>
      <c r="D26" s="9"/>
      <c r="F26" s="9"/>
      <c r="H26" s="9"/>
      <c r="J26" s="11" t="s">
        <v>107</v>
      </c>
      <c r="V26" s="13" t="s">
        <v>197</v>
      </c>
      <c r="W26" s="19" t="s">
        <v>198</v>
      </c>
      <c r="Y26" s="21" t="s">
        <v>7</v>
      </c>
    </row>
    <row r="27" spans="1:29" ht="21" x14ac:dyDescent="0.35">
      <c r="B27" s="172" t="s">
        <v>362</v>
      </c>
      <c r="D27" s="9"/>
      <c r="F27" s="9"/>
      <c r="H27" s="9"/>
      <c r="J27" s="11" t="s">
        <v>108</v>
      </c>
      <c r="V27" s="13" t="s">
        <v>200</v>
      </c>
      <c r="W27" s="19" t="s">
        <v>201</v>
      </c>
    </row>
    <row r="28" spans="1:29" ht="22.5" customHeight="1" thickBot="1" x14ac:dyDescent="0.55000000000000004">
      <c r="B28" s="172" t="s">
        <v>214</v>
      </c>
      <c r="F28" s="9"/>
      <c r="J28" s="11" t="s">
        <v>109</v>
      </c>
      <c r="V28" s="13" t="s">
        <v>203</v>
      </c>
      <c r="W28" s="19" t="s">
        <v>204</v>
      </c>
      <c r="Y28" s="21" t="s">
        <v>220</v>
      </c>
      <c r="Z28" s="26"/>
    </row>
    <row r="29" spans="1:29" ht="26.25" thickBot="1" x14ac:dyDescent="0.4">
      <c r="B29" s="172" t="s">
        <v>177</v>
      </c>
      <c r="J29" s="11" t="s">
        <v>110</v>
      </c>
      <c r="V29" s="13" t="s">
        <v>206</v>
      </c>
      <c r="W29" s="19" t="s">
        <v>207</v>
      </c>
      <c r="Y29" s="21" t="s">
        <v>5</v>
      </c>
    </row>
    <row r="30" spans="1:29" ht="21.75" thickBot="1" x14ac:dyDescent="0.4">
      <c r="B30" s="172" t="s">
        <v>179</v>
      </c>
      <c r="J30" s="11" t="s">
        <v>111</v>
      </c>
      <c r="V30" s="13" t="s">
        <v>106</v>
      </c>
      <c r="W30" s="27"/>
      <c r="Y30" s="21" t="s">
        <v>221</v>
      </c>
    </row>
    <row r="31" spans="1:29" ht="21.75" thickBot="1" x14ac:dyDescent="0.4">
      <c r="B31" s="172" t="s">
        <v>182</v>
      </c>
      <c r="J31" s="11" t="s">
        <v>112</v>
      </c>
      <c r="V31" s="13" t="s">
        <v>210</v>
      </c>
      <c r="W31" s="27"/>
      <c r="Y31" s="21" t="s">
        <v>223</v>
      </c>
    </row>
    <row r="32" spans="1:29" ht="21" x14ac:dyDescent="0.35">
      <c r="B32" s="172" t="s">
        <v>185</v>
      </c>
      <c r="J32" s="11" t="s">
        <v>113</v>
      </c>
      <c r="V32" s="13" t="s">
        <v>211</v>
      </c>
      <c r="W32" s="27"/>
    </row>
    <row r="33" spans="2:23" ht="21" x14ac:dyDescent="0.35">
      <c r="B33" s="172"/>
      <c r="J33" s="11" t="s">
        <v>114</v>
      </c>
      <c r="V33" s="13" t="s">
        <v>213</v>
      </c>
      <c r="W33" s="27"/>
    </row>
    <row r="34" spans="2:23" ht="21" x14ac:dyDescent="0.35">
      <c r="B34" s="172" t="s">
        <v>188</v>
      </c>
      <c r="J34" s="11" t="s">
        <v>115</v>
      </c>
      <c r="V34" s="13" t="s">
        <v>110</v>
      </c>
      <c r="W34" s="27"/>
    </row>
    <row r="35" spans="2:23" ht="21" x14ac:dyDescent="0.35">
      <c r="B35" s="172" t="s">
        <v>190</v>
      </c>
      <c r="J35" s="11" t="s">
        <v>116</v>
      </c>
      <c r="V35" s="13" t="s">
        <v>215</v>
      </c>
      <c r="W35" s="27"/>
    </row>
    <row r="36" spans="2:23" ht="21" x14ac:dyDescent="0.35">
      <c r="B36" s="175" t="s">
        <v>193</v>
      </c>
      <c r="J36" s="11" t="s">
        <v>117</v>
      </c>
      <c r="V36" s="13" t="s">
        <v>216</v>
      </c>
      <c r="W36" s="27"/>
    </row>
    <row r="37" spans="2:23" ht="21" x14ac:dyDescent="0.35">
      <c r="B37" s="172" t="s">
        <v>196</v>
      </c>
      <c r="J37" s="11" t="s">
        <v>118</v>
      </c>
      <c r="V37" s="13" t="s">
        <v>217</v>
      </c>
    </row>
    <row r="38" spans="2:23" ht="21" x14ac:dyDescent="0.35">
      <c r="B38" s="172" t="s">
        <v>199</v>
      </c>
      <c r="J38" s="11" t="s">
        <v>119</v>
      </c>
      <c r="V38" s="13" t="s">
        <v>218</v>
      </c>
    </row>
    <row r="39" spans="2:23" ht="21" x14ac:dyDescent="0.35">
      <c r="B39" s="172" t="s">
        <v>202</v>
      </c>
      <c r="J39" s="11" t="s">
        <v>120</v>
      </c>
      <c r="V39" s="13" t="s">
        <v>219</v>
      </c>
    </row>
    <row r="40" spans="2:23" ht="21" x14ac:dyDescent="0.35">
      <c r="B40" s="172" t="s">
        <v>205</v>
      </c>
      <c r="J40" s="11" t="s">
        <v>121</v>
      </c>
      <c r="V40" s="13" t="s">
        <v>111</v>
      </c>
    </row>
    <row r="41" spans="2:23" ht="21" x14ac:dyDescent="0.35">
      <c r="B41" s="172" t="s">
        <v>208</v>
      </c>
      <c r="J41" s="11" t="s">
        <v>122</v>
      </c>
      <c r="V41" s="13" t="s">
        <v>113</v>
      </c>
    </row>
    <row r="42" spans="2:23" ht="21" x14ac:dyDescent="0.35">
      <c r="J42" s="11" t="s">
        <v>123</v>
      </c>
      <c r="V42" s="28" t="s">
        <v>222</v>
      </c>
    </row>
    <row r="43" spans="2:23" ht="21" x14ac:dyDescent="0.35">
      <c r="J43" s="11" t="s">
        <v>124</v>
      </c>
      <c r="V43" s="28" t="s">
        <v>224</v>
      </c>
    </row>
    <row r="44" spans="2:23" ht="21" x14ac:dyDescent="0.35">
      <c r="J44" s="11" t="s">
        <v>125</v>
      </c>
      <c r="V44" s="13" t="s">
        <v>225</v>
      </c>
    </row>
    <row r="45" spans="2:23" ht="21" x14ac:dyDescent="0.35">
      <c r="J45" s="11" t="s">
        <v>126</v>
      </c>
      <c r="V45" s="13" t="s">
        <v>114</v>
      </c>
    </row>
    <row r="46" spans="2:23" ht="21" x14ac:dyDescent="0.35">
      <c r="J46" s="11" t="s">
        <v>127</v>
      </c>
      <c r="V46" s="13" t="s">
        <v>115</v>
      </c>
    </row>
    <row r="47" spans="2:23" ht="21" x14ac:dyDescent="0.35">
      <c r="B47" s="172"/>
      <c r="J47" s="11" t="s">
        <v>128</v>
      </c>
      <c r="V47" s="13" t="s">
        <v>226</v>
      </c>
    </row>
    <row r="48" spans="2:23" ht="21.75" thickBot="1" x14ac:dyDescent="0.4">
      <c r="B48" s="173"/>
      <c r="J48" s="11" t="s">
        <v>129</v>
      </c>
      <c r="V48" s="13" t="s">
        <v>227</v>
      </c>
    </row>
    <row r="49" spans="10:22" ht="21" x14ac:dyDescent="0.35">
      <c r="J49" s="11" t="s">
        <v>130</v>
      </c>
      <c r="V49" s="13" t="s">
        <v>228</v>
      </c>
    </row>
    <row r="50" spans="10:22" ht="21" x14ac:dyDescent="0.35">
      <c r="J50" s="11" t="s">
        <v>131</v>
      </c>
      <c r="V50" s="13" t="s">
        <v>229</v>
      </c>
    </row>
    <row r="51" spans="10:22" ht="21" x14ac:dyDescent="0.35">
      <c r="J51" s="11" t="s">
        <v>132</v>
      </c>
      <c r="V51" s="13" t="s">
        <v>118</v>
      </c>
    </row>
    <row r="52" spans="10:22" ht="21" x14ac:dyDescent="0.35">
      <c r="J52" s="11" t="s">
        <v>133</v>
      </c>
      <c r="V52" s="13" t="s">
        <v>230</v>
      </c>
    </row>
    <row r="53" spans="10:22" ht="21" x14ac:dyDescent="0.35">
      <c r="J53" s="11" t="s">
        <v>134</v>
      </c>
      <c r="V53" s="13" t="s">
        <v>120</v>
      </c>
    </row>
    <row r="54" spans="10:22" ht="21" x14ac:dyDescent="0.35">
      <c r="J54" s="11" t="s">
        <v>135</v>
      </c>
      <c r="V54" s="13" t="s">
        <v>121</v>
      </c>
    </row>
    <row r="55" spans="10:22" ht="21" x14ac:dyDescent="0.35">
      <c r="J55" s="7" t="s">
        <v>136</v>
      </c>
      <c r="V55" s="13" t="s">
        <v>231</v>
      </c>
    </row>
    <row r="56" spans="10:22" ht="21" x14ac:dyDescent="0.35">
      <c r="J56" s="11" t="s">
        <v>137</v>
      </c>
      <c r="V56" s="13" t="s">
        <v>232</v>
      </c>
    </row>
    <row r="57" spans="10:22" ht="21" x14ac:dyDescent="0.35">
      <c r="J57" s="11" t="s">
        <v>138</v>
      </c>
      <c r="V57" s="13" t="s">
        <v>233</v>
      </c>
    </row>
    <row r="58" spans="10:22" ht="21" x14ac:dyDescent="0.35">
      <c r="J58" s="11" t="s">
        <v>462</v>
      </c>
      <c r="V58" s="13" t="s">
        <v>234</v>
      </c>
    </row>
    <row r="59" spans="10:22" ht="21" x14ac:dyDescent="0.35">
      <c r="J59" s="8" t="s">
        <v>633</v>
      </c>
      <c r="V59" s="13" t="s">
        <v>123</v>
      </c>
    </row>
    <row r="60" spans="10:22" ht="21" x14ac:dyDescent="0.35">
      <c r="V60" s="13" t="s">
        <v>235</v>
      </c>
    </row>
    <row r="61" spans="10:22" ht="21" x14ac:dyDescent="0.35">
      <c r="V61" s="13" t="s">
        <v>124</v>
      </c>
    </row>
    <row r="62" spans="10:22" ht="21" x14ac:dyDescent="0.35">
      <c r="V62" s="13" t="s">
        <v>236</v>
      </c>
    </row>
    <row r="63" spans="10:22" ht="21" x14ac:dyDescent="0.35">
      <c r="V63" s="13" t="s">
        <v>237</v>
      </c>
    </row>
    <row r="64" spans="10:22" ht="21" x14ac:dyDescent="0.35">
      <c r="V64" s="13" t="s">
        <v>238</v>
      </c>
    </row>
    <row r="65" spans="22:22" ht="21" x14ac:dyDescent="0.35">
      <c r="V65" s="13" t="s">
        <v>126</v>
      </c>
    </row>
    <row r="66" spans="22:22" ht="21" x14ac:dyDescent="0.35">
      <c r="V66" s="28" t="s">
        <v>239</v>
      </c>
    </row>
    <row r="67" spans="22:22" ht="21" x14ac:dyDescent="0.35">
      <c r="V67" s="13" t="s">
        <v>240</v>
      </c>
    </row>
  </sheetData>
  <customSheetViews>
    <customSheetView guid="{3E6EB34F-E2F7-456F-8B3B-5F84BD050AA2}" topLeftCell="L1">
      <selection activeCell="AA12" sqref="AA12:AA21"/>
      <pageMargins left="0.7" right="0.7" top="0.75" bottom="0.75" header="0.3" footer="0.3"/>
    </customSheetView>
    <customSheetView guid="{4F232D79-B707-4527-B1C5-2E1BF2995FFF}" topLeftCell="N1">
      <selection activeCell="AC4" sqref="AC4:AC13"/>
      <pageMargins left="0.7" right="0.7" top="0.75" bottom="0.75" header="0.3" footer="0.3"/>
      <pageSetup paperSize="0" orientation="portrait" horizontalDpi="203" verticalDpi="203" r:id="rId1"/>
    </customSheetView>
  </customSheetViews>
  <mergeCells count="4">
    <mergeCell ref="A3:A4"/>
    <mergeCell ref="D2:D3"/>
    <mergeCell ref="F2:F3"/>
    <mergeCell ref="H2:H3"/>
  </mergeCells>
  <pageMargins left="0.7" right="0.7" top="0.75" bottom="0.75" header="0.3" footer="0.3"/>
  <pageSetup paperSize="0" orientation="portrait" horizontalDpi="203" verticalDpi="203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/>
  <dimension ref="A1:C34"/>
  <sheetViews>
    <sheetView workbookViewId="0">
      <selection activeCell="G11" sqref="G11"/>
    </sheetView>
  </sheetViews>
  <sheetFormatPr defaultColWidth="10.7109375" defaultRowHeight="15" x14ac:dyDescent="0.25"/>
  <cols>
    <col min="1" max="1" width="25.5703125" customWidth="1"/>
    <col min="2" max="2" width="36.42578125" customWidth="1"/>
    <col min="3" max="3" width="30.28515625" customWidth="1"/>
  </cols>
  <sheetData>
    <row r="1" spans="1:3" s="194" customFormat="1" ht="18.75" x14ac:dyDescent="0.25">
      <c r="A1" s="34" t="s">
        <v>270</v>
      </c>
      <c r="B1" s="34" t="s">
        <v>61</v>
      </c>
      <c r="C1" s="34" t="s">
        <v>272</v>
      </c>
    </row>
    <row r="2" spans="1:3" x14ac:dyDescent="0.25">
      <c r="A2" s="176" t="s">
        <v>176</v>
      </c>
      <c r="B2" s="176" t="s">
        <v>200</v>
      </c>
      <c r="C2" s="176" t="s">
        <v>56</v>
      </c>
    </row>
    <row r="3" spans="1:3" x14ac:dyDescent="0.25">
      <c r="A3" s="176" t="s">
        <v>176</v>
      </c>
      <c r="B3" s="176" t="s">
        <v>231</v>
      </c>
      <c r="C3" s="176" t="s">
        <v>56</v>
      </c>
    </row>
    <row r="4" spans="1:3" x14ac:dyDescent="0.25">
      <c r="A4" s="176" t="s">
        <v>176</v>
      </c>
      <c r="B4" s="176" t="s">
        <v>200</v>
      </c>
      <c r="C4" s="176" t="s">
        <v>76</v>
      </c>
    </row>
    <row r="5" spans="1:3" x14ac:dyDescent="0.25">
      <c r="A5" s="176" t="s">
        <v>176</v>
      </c>
      <c r="B5" s="176" t="s">
        <v>110</v>
      </c>
      <c r="C5" s="176" t="s">
        <v>56</v>
      </c>
    </row>
    <row r="6" spans="1:3" x14ac:dyDescent="0.25">
      <c r="A6" s="176" t="s">
        <v>176</v>
      </c>
      <c r="B6" s="176" t="s">
        <v>110</v>
      </c>
      <c r="C6" s="176" t="s">
        <v>56</v>
      </c>
    </row>
    <row r="7" spans="1:3" x14ac:dyDescent="0.25">
      <c r="A7" s="176" t="s">
        <v>176</v>
      </c>
      <c r="B7" s="176" t="s">
        <v>231</v>
      </c>
      <c r="C7" s="176" t="s">
        <v>56</v>
      </c>
    </row>
    <row r="8" spans="1:3" x14ac:dyDescent="0.25">
      <c r="A8" s="176" t="s">
        <v>176</v>
      </c>
      <c r="B8" s="176" t="s">
        <v>200</v>
      </c>
      <c r="C8" s="176" t="s">
        <v>76</v>
      </c>
    </row>
    <row r="9" spans="1:3" x14ac:dyDescent="0.25">
      <c r="A9" s="176" t="s">
        <v>176</v>
      </c>
      <c r="B9" s="176" t="s">
        <v>171</v>
      </c>
      <c r="C9" s="176" t="s">
        <v>143</v>
      </c>
    </row>
    <row r="10" spans="1:3" x14ac:dyDescent="0.25">
      <c r="A10" s="176" t="s">
        <v>176</v>
      </c>
      <c r="B10" s="176" t="s">
        <v>171</v>
      </c>
      <c r="C10" s="176" t="s">
        <v>143</v>
      </c>
    </row>
    <row r="11" spans="1:3" x14ac:dyDescent="0.25">
      <c r="A11" s="176" t="s">
        <v>176</v>
      </c>
      <c r="B11" s="176" t="s">
        <v>200</v>
      </c>
      <c r="C11" s="176" t="s">
        <v>76</v>
      </c>
    </row>
    <row r="12" spans="1:3" x14ac:dyDescent="0.25">
      <c r="A12" s="176" t="s">
        <v>176</v>
      </c>
      <c r="B12" s="176" t="s">
        <v>231</v>
      </c>
      <c r="C12" s="176" t="s">
        <v>56</v>
      </c>
    </row>
    <row r="13" spans="1:3" x14ac:dyDescent="0.25">
      <c r="A13" s="176" t="s">
        <v>176</v>
      </c>
      <c r="B13" s="176" t="s">
        <v>231</v>
      </c>
      <c r="C13" s="176" t="s">
        <v>56</v>
      </c>
    </row>
    <row r="14" spans="1:3" x14ac:dyDescent="0.25">
      <c r="A14" s="176" t="s">
        <v>176</v>
      </c>
      <c r="B14" s="176" t="s">
        <v>479</v>
      </c>
      <c r="C14" s="176" t="s">
        <v>143</v>
      </c>
    </row>
    <row r="15" spans="1:3" x14ac:dyDescent="0.25">
      <c r="A15" s="176" t="s">
        <v>176</v>
      </c>
      <c r="B15" s="176" t="s">
        <v>200</v>
      </c>
      <c r="C15" s="176" t="s">
        <v>76</v>
      </c>
    </row>
    <row r="16" spans="1:3" x14ac:dyDescent="0.25">
      <c r="A16" s="176" t="s">
        <v>176</v>
      </c>
      <c r="B16" s="176" t="s">
        <v>110</v>
      </c>
      <c r="C16" s="187" t="s">
        <v>143</v>
      </c>
    </row>
    <row r="17" spans="1:3" x14ac:dyDescent="0.25">
      <c r="A17" s="176" t="s">
        <v>176</v>
      </c>
      <c r="B17" s="176" t="s">
        <v>481</v>
      </c>
      <c r="C17" s="187" t="s">
        <v>143</v>
      </c>
    </row>
    <row r="18" spans="1:3" x14ac:dyDescent="0.25">
      <c r="A18" s="176" t="s">
        <v>176</v>
      </c>
      <c r="B18" s="176" t="s">
        <v>478</v>
      </c>
      <c r="C18" s="187" t="s">
        <v>143</v>
      </c>
    </row>
    <row r="19" spans="1:3" x14ac:dyDescent="0.25">
      <c r="A19" s="176" t="s">
        <v>176</v>
      </c>
      <c r="B19" s="176" t="s">
        <v>222</v>
      </c>
      <c r="C19" s="187" t="s">
        <v>143</v>
      </c>
    </row>
    <row r="20" spans="1:3" x14ac:dyDescent="0.25">
      <c r="A20" s="176" t="s">
        <v>176</v>
      </c>
      <c r="B20" s="176" t="s">
        <v>171</v>
      </c>
      <c r="C20" s="187" t="s">
        <v>143</v>
      </c>
    </row>
    <row r="21" spans="1:3" x14ac:dyDescent="0.25">
      <c r="A21" s="176" t="s">
        <v>176</v>
      </c>
      <c r="B21" s="176" t="s">
        <v>69</v>
      </c>
      <c r="C21" s="187" t="s">
        <v>76</v>
      </c>
    </row>
    <row r="22" spans="1:3" x14ac:dyDescent="0.25">
      <c r="A22" s="192" t="s">
        <v>176</v>
      </c>
      <c r="B22" s="192" t="s">
        <v>69</v>
      </c>
      <c r="C22" s="192" t="s">
        <v>56</v>
      </c>
    </row>
    <row r="23" spans="1:3" x14ac:dyDescent="0.25">
      <c r="A23" s="176" t="s">
        <v>176</v>
      </c>
      <c r="B23" s="176" t="s">
        <v>482</v>
      </c>
      <c r="C23" s="187" t="s">
        <v>76</v>
      </c>
    </row>
    <row r="24" spans="1:3" x14ac:dyDescent="0.25">
      <c r="A24" s="176" t="s">
        <v>176</v>
      </c>
      <c r="B24" s="176" t="s">
        <v>200</v>
      </c>
      <c r="C24" s="187" t="s">
        <v>56</v>
      </c>
    </row>
    <row r="25" spans="1:3" x14ac:dyDescent="0.25">
      <c r="A25" s="176" t="s">
        <v>176</v>
      </c>
      <c r="B25" s="176" t="s">
        <v>483</v>
      </c>
      <c r="C25" s="176" t="s">
        <v>76</v>
      </c>
    </row>
    <row r="26" spans="1:3" x14ac:dyDescent="0.25">
      <c r="A26" s="176" t="s">
        <v>176</v>
      </c>
      <c r="B26" s="176" t="s">
        <v>200</v>
      </c>
      <c r="C26" s="176" t="s">
        <v>76</v>
      </c>
    </row>
    <row r="27" spans="1:3" x14ac:dyDescent="0.25">
      <c r="A27" s="176" t="s">
        <v>176</v>
      </c>
      <c r="B27" s="176" t="s">
        <v>200</v>
      </c>
      <c r="C27" s="176" t="s">
        <v>56</v>
      </c>
    </row>
    <row r="28" spans="1:3" x14ac:dyDescent="0.25">
      <c r="A28" s="176" t="s">
        <v>176</v>
      </c>
      <c r="B28" s="176" t="s">
        <v>200</v>
      </c>
      <c r="C28" s="176" t="s">
        <v>76</v>
      </c>
    </row>
    <row r="29" spans="1:3" x14ac:dyDescent="0.25">
      <c r="A29" s="176" t="s">
        <v>176</v>
      </c>
      <c r="B29" s="176" t="s">
        <v>200</v>
      </c>
      <c r="C29" s="176" t="s">
        <v>76</v>
      </c>
    </row>
    <row r="30" spans="1:3" x14ac:dyDescent="0.25">
      <c r="A30" s="176" t="s">
        <v>176</v>
      </c>
      <c r="B30" s="176" t="s">
        <v>200</v>
      </c>
      <c r="C30" s="176" t="s">
        <v>56</v>
      </c>
    </row>
    <row r="31" spans="1:3" x14ac:dyDescent="0.25">
      <c r="A31" s="176" t="s">
        <v>176</v>
      </c>
      <c r="B31" s="176" t="s">
        <v>110</v>
      </c>
      <c r="C31" s="176" t="s">
        <v>56</v>
      </c>
    </row>
    <row r="32" spans="1:3" x14ac:dyDescent="0.25">
      <c r="A32" s="176" t="s">
        <v>176</v>
      </c>
      <c r="B32" s="176" t="s">
        <v>480</v>
      </c>
      <c r="C32" s="176" t="s">
        <v>76</v>
      </c>
    </row>
    <row r="33" spans="1:3" x14ac:dyDescent="0.25">
      <c r="A33" s="176" t="s">
        <v>176</v>
      </c>
      <c r="B33" s="176" t="s">
        <v>480</v>
      </c>
      <c r="C33" s="176" t="s">
        <v>76</v>
      </c>
    </row>
    <row r="34" spans="1:3" x14ac:dyDescent="0.25">
      <c r="A34" s="176" t="s">
        <v>176</v>
      </c>
      <c r="B34" s="176" t="s">
        <v>485</v>
      </c>
      <c r="C34" s="176" t="s">
        <v>143</v>
      </c>
    </row>
  </sheetData>
  <customSheetViews>
    <customSheetView guid="{4F232D79-B707-4527-B1C5-2E1BF2995FFF}">
      <selection activeCell="C6" sqref="C6"/>
      <pageMargins left="0.7" right="0.7" top="0.75" bottom="0.75" header="0.3" footer="0.3"/>
    </customSheetView>
  </customSheetViews>
  <dataValidations count="3">
    <dataValidation type="list" allowBlank="1" showInputMessage="1" showErrorMessage="1" sqref="C16:C34 C2:C14">
      <formula1>nature</formula1>
    </dataValidation>
    <dataValidation type="list" allowBlank="1" showInputMessage="1" showErrorMessage="1" sqref="C15 B18:B22 B24:B34 B2:B16">
      <formula1>arret</formula1>
    </dataValidation>
    <dataValidation type="list" allowBlank="1" showInputMessage="1" showErrorMessage="1" sqref="A2:A34">
      <formula1>equipement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0:K86"/>
  <sheetViews>
    <sheetView topLeftCell="D16" workbookViewId="0">
      <selection activeCell="D29" sqref="D29"/>
    </sheetView>
  </sheetViews>
  <sheetFormatPr defaultColWidth="11.42578125" defaultRowHeight="15" x14ac:dyDescent="0.25"/>
  <cols>
    <col min="1" max="3" width="11.42578125" style="194"/>
    <col min="4" max="4" width="22.85546875" style="194" customWidth="1"/>
    <col min="5" max="5" width="31.85546875" style="194" bestFit="1" customWidth="1"/>
    <col min="6" max="6" width="30.85546875" style="194" bestFit="1" customWidth="1"/>
    <col min="7" max="7" width="27.42578125" style="194" bestFit="1" customWidth="1"/>
    <col min="8" max="8" width="23.85546875" style="194" bestFit="1" customWidth="1"/>
    <col min="9" max="9" width="31.85546875" style="194" bestFit="1" customWidth="1"/>
    <col min="10" max="16384" width="11.42578125" style="194"/>
  </cols>
  <sheetData>
    <row r="10" spans="4:11" ht="15.75" thickBot="1" x14ac:dyDescent="0.3"/>
    <row r="11" spans="4:11" ht="19.5" thickBot="1" x14ac:dyDescent="0.35">
      <c r="D11" s="211" t="s">
        <v>270</v>
      </c>
      <c r="E11" s="212" t="s">
        <v>509</v>
      </c>
      <c r="F11" s="213" t="s">
        <v>510</v>
      </c>
      <c r="G11" s="213" t="s">
        <v>511</v>
      </c>
      <c r="H11" s="213" t="s">
        <v>512</v>
      </c>
      <c r="I11" s="240" t="s">
        <v>513</v>
      </c>
      <c r="J11" s="241" t="s">
        <v>626</v>
      </c>
      <c r="K11" s="242"/>
    </row>
    <row r="12" spans="4:11" x14ac:dyDescent="0.25">
      <c r="D12" s="214" t="s">
        <v>55</v>
      </c>
      <c r="E12" s="215" t="s">
        <v>514</v>
      </c>
      <c r="F12" s="265" t="s">
        <v>515</v>
      </c>
      <c r="G12" s="263" t="s">
        <v>516</v>
      </c>
      <c r="H12" s="216" t="s">
        <v>517</v>
      </c>
      <c r="I12" s="215" t="s">
        <v>515</v>
      </c>
      <c r="J12" s="607" t="s">
        <v>149</v>
      </c>
      <c r="K12" s="607"/>
    </row>
    <row r="13" spans="4:11" x14ac:dyDescent="0.25">
      <c r="D13" s="217" t="s">
        <v>142</v>
      </c>
      <c r="E13" s="219" t="s">
        <v>154</v>
      </c>
      <c r="F13" s="265" t="s">
        <v>518</v>
      </c>
      <c r="G13" s="225" t="s">
        <v>69</v>
      </c>
      <c r="H13" s="220" t="s">
        <v>200</v>
      </c>
      <c r="I13" s="221" t="s">
        <v>519</v>
      </c>
    </row>
    <row r="14" spans="4:11" x14ac:dyDescent="0.25">
      <c r="D14" s="217" t="s">
        <v>147</v>
      </c>
      <c r="E14" s="219" t="s">
        <v>141</v>
      </c>
      <c r="F14" s="265" t="s">
        <v>520</v>
      </c>
      <c r="G14" s="225" t="s">
        <v>521</v>
      </c>
      <c r="H14" s="220" t="s">
        <v>522</v>
      </c>
      <c r="I14" s="218" t="s">
        <v>154</v>
      </c>
    </row>
    <row r="15" spans="4:11" x14ac:dyDescent="0.25">
      <c r="D15" s="217" t="s">
        <v>150</v>
      </c>
      <c r="E15" s="219" t="s">
        <v>146</v>
      </c>
      <c r="F15" s="265" t="s">
        <v>523</v>
      </c>
      <c r="G15" s="264" t="s">
        <v>524</v>
      </c>
      <c r="H15" s="220" t="s">
        <v>525</v>
      </c>
      <c r="I15" s="218" t="s">
        <v>69</v>
      </c>
    </row>
    <row r="16" spans="4:11" x14ac:dyDescent="0.25">
      <c r="D16" s="217" t="s">
        <v>152</v>
      </c>
      <c r="E16" s="219" t="s">
        <v>149</v>
      </c>
      <c r="F16" s="265" t="s">
        <v>154</v>
      </c>
      <c r="G16" s="225" t="s">
        <v>503</v>
      </c>
      <c r="H16" s="220" t="s">
        <v>106</v>
      </c>
      <c r="I16" s="218" t="s">
        <v>521</v>
      </c>
    </row>
    <row r="17" spans="4:9" x14ac:dyDescent="0.25">
      <c r="D17" s="217" t="s">
        <v>155</v>
      </c>
      <c r="E17" s="219" t="s">
        <v>494</v>
      </c>
      <c r="F17" s="265" t="s">
        <v>526</v>
      </c>
      <c r="G17" s="225" t="s">
        <v>527</v>
      </c>
      <c r="H17" s="220" t="s">
        <v>528</v>
      </c>
      <c r="I17" s="218" t="s">
        <v>529</v>
      </c>
    </row>
    <row r="18" spans="4:9" x14ac:dyDescent="0.25">
      <c r="D18" s="217" t="s">
        <v>158</v>
      </c>
      <c r="E18" s="219" t="s">
        <v>530</v>
      </c>
      <c r="F18" s="265" t="s">
        <v>149</v>
      </c>
      <c r="G18" s="225" t="s">
        <v>82</v>
      </c>
      <c r="H18" s="220" t="s">
        <v>118</v>
      </c>
      <c r="I18" s="218" t="s">
        <v>78</v>
      </c>
    </row>
    <row r="19" spans="4:9" x14ac:dyDescent="0.25">
      <c r="D19" s="217" t="s">
        <v>161</v>
      </c>
      <c r="E19" s="223" t="s">
        <v>531</v>
      </c>
      <c r="F19" s="265" t="s">
        <v>532</v>
      </c>
      <c r="G19" s="225" t="s">
        <v>90</v>
      </c>
      <c r="H19" s="220" t="s">
        <v>533</v>
      </c>
      <c r="I19" s="218" t="s">
        <v>534</v>
      </c>
    </row>
    <row r="20" spans="4:9" ht="15.75" thickBot="1" x14ac:dyDescent="0.3">
      <c r="D20" s="217" t="s">
        <v>164</v>
      </c>
      <c r="E20" s="219" t="s">
        <v>78</v>
      </c>
      <c r="F20" s="265" t="s">
        <v>78</v>
      </c>
      <c r="G20" s="264" t="s">
        <v>535</v>
      </c>
      <c r="H20" s="222" t="s">
        <v>536</v>
      </c>
      <c r="I20" s="218" t="s">
        <v>517</v>
      </c>
    </row>
    <row r="21" spans="4:9" x14ac:dyDescent="0.25">
      <c r="D21" s="217" t="s">
        <v>167</v>
      </c>
      <c r="E21" s="223" t="s">
        <v>537</v>
      </c>
      <c r="F21" s="265" t="s">
        <v>538</v>
      </c>
      <c r="G21" s="225" t="s">
        <v>97</v>
      </c>
      <c r="I21" s="218" t="s">
        <v>197</v>
      </c>
    </row>
    <row r="22" spans="4:9" x14ac:dyDescent="0.25">
      <c r="D22" s="217" t="s">
        <v>170</v>
      </c>
      <c r="E22" s="219" t="s">
        <v>160</v>
      </c>
      <c r="F22" s="265" t="s">
        <v>163</v>
      </c>
      <c r="G22" s="225" t="s">
        <v>517</v>
      </c>
      <c r="I22" s="218" t="s">
        <v>200</v>
      </c>
    </row>
    <row r="23" spans="4:9" x14ac:dyDescent="0.25">
      <c r="D23" s="217" t="s">
        <v>172</v>
      </c>
      <c r="E23" s="223" t="s">
        <v>539</v>
      </c>
      <c r="F23" s="266" t="s">
        <v>540</v>
      </c>
      <c r="G23" s="225" t="s">
        <v>197</v>
      </c>
      <c r="I23" s="221" t="s">
        <v>541</v>
      </c>
    </row>
    <row r="24" spans="4:9" x14ac:dyDescent="0.25">
      <c r="D24" s="217" t="s">
        <v>542</v>
      </c>
      <c r="E24" s="223" t="s">
        <v>543</v>
      </c>
      <c r="F24" s="266" t="s">
        <v>636</v>
      </c>
      <c r="G24" s="225" t="s">
        <v>200</v>
      </c>
      <c r="I24" s="221" t="s">
        <v>544</v>
      </c>
    </row>
    <row r="25" spans="4:9" x14ac:dyDescent="0.25">
      <c r="D25" s="217" t="s">
        <v>545</v>
      </c>
      <c r="E25" s="219" t="s">
        <v>86</v>
      </c>
      <c r="F25" s="265" t="s">
        <v>169</v>
      </c>
      <c r="G25" s="264" t="s">
        <v>546</v>
      </c>
      <c r="I25" s="218" t="s">
        <v>211</v>
      </c>
    </row>
    <row r="26" spans="4:9" x14ac:dyDescent="0.25">
      <c r="D26" s="217" t="s">
        <v>547</v>
      </c>
      <c r="E26" s="219" t="s">
        <v>548</v>
      </c>
      <c r="F26" s="265" t="s">
        <v>166</v>
      </c>
      <c r="G26" s="264" t="s">
        <v>549</v>
      </c>
      <c r="I26" s="218" t="s">
        <v>550</v>
      </c>
    </row>
    <row r="27" spans="4:9" x14ac:dyDescent="0.25">
      <c r="D27" s="217" t="s">
        <v>551</v>
      </c>
      <c r="E27" s="219" t="s">
        <v>552</v>
      </c>
      <c r="F27" s="266" t="s">
        <v>553</v>
      </c>
      <c r="G27" s="264" t="s">
        <v>554</v>
      </c>
      <c r="I27" s="218" t="s">
        <v>555</v>
      </c>
    </row>
    <row r="28" spans="4:9" x14ac:dyDescent="0.25">
      <c r="D28" s="217" t="s">
        <v>556</v>
      </c>
      <c r="E28" s="219" t="s">
        <v>90</v>
      </c>
      <c r="F28" s="266" t="s">
        <v>557</v>
      </c>
      <c r="G28" s="264" t="s">
        <v>558</v>
      </c>
      <c r="I28" s="218" t="s">
        <v>219</v>
      </c>
    </row>
    <row r="29" spans="4:9" x14ac:dyDescent="0.25">
      <c r="D29" s="217" t="s">
        <v>645</v>
      </c>
      <c r="E29" s="223" t="s">
        <v>559</v>
      </c>
      <c r="F29" s="265" t="s">
        <v>560</v>
      </c>
      <c r="G29" s="264" t="s">
        <v>561</v>
      </c>
      <c r="I29" s="221" t="s">
        <v>562</v>
      </c>
    </row>
    <row r="30" spans="4:9" x14ac:dyDescent="0.25">
      <c r="D30" s="217" t="s">
        <v>644</v>
      </c>
      <c r="E30" s="223" t="s">
        <v>563</v>
      </c>
      <c r="F30" s="266" t="s">
        <v>564</v>
      </c>
      <c r="G30" s="264" t="s">
        <v>565</v>
      </c>
      <c r="I30" s="221" t="s">
        <v>566</v>
      </c>
    </row>
    <row r="31" spans="4:9" x14ac:dyDescent="0.25">
      <c r="D31" s="217" t="s">
        <v>174</v>
      </c>
      <c r="E31" s="219" t="s">
        <v>191</v>
      </c>
      <c r="F31" s="265" t="s">
        <v>171</v>
      </c>
      <c r="G31" s="225" t="s">
        <v>525</v>
      </c>
      <c r="I31" s="221" t="s">
        <v>567</v>
      </c>
    </row>
    <row r="32" spans="4:9" x14ac:dyDescent="0.25">
      <c r="D32" s="217" t="s">
        <v>176</v>
      </c>
      <c r="E32" s="219" t="s">
        <v>194</v>
      </c>
      <c r="F32" s="266" t="s">
        <v>568</v>
      </c>
      <c r="G32" s="225" t="s">
        <v>106</v>
      </c>
      <c r="I32" s="218" t="s">
        <v>115</v>
      </c>
    </row>
    <row r="33" spans="4:9" x14ac:dyDescent="0.25">
      <c r="D33" s="217" t="s">
        <v>178</v>
      </c>
      <c r="E33" s="219" t="s">
        <v>517</v>
      </c>
      <c r="F33" s="266" t="s">
        <v>569</v>
      </c>
      <c r="G33" s="225" t="s">
        <v>210</v>
      </c>
      <c r="I33" s="221" t="s">
        <v>570</v>
      </c>
    </row>
    <row r="34" spans="4:9" x14ac:dyDescent="0.25">
      <c r="D34" s="217" t="s">
        <v>181</v>
      </c>
      <c r="E34" s="219" t="s">
        <v>571</v>
      </c>
      <c r="F34" s="265" t="s">
        <v>180</v>
      </c>
      <c r="G34" s="225" t="s">
        <v>213</v>
      </c>
      <c r="I34" s="218" t="s">
        <v>229</v>
      </c>
    </row>
    <row r="35" spans="4:9" x14ac:dyDescent="0.25">
      <c r="D35" s="217" t="s">
        <v>184</v>
      </c>
      <c r="E35" s="219" t="s">
        <v>200</v>
      </c>
      <c r="F35" s="265" t="s">
        <v>183</v>
      </c>
      <c r="G35" s="225" t="s">
        <v>572</v>
      </c>
      <c r="I35" s="218" t="s">
        <v>573</v>
      </c>
    </row>
    <row r="36" spans="4:9" x14ac:dyDescent="0.25">
      <c r="D36" s="217" t="s">
        <v>187</v>
      </c>
      <c r="E36" s="219" t="s">
        <v>203</v>
      </c>
      <c r="F36" s="266" t="s">
        <v>574</v>
      </c>
      <c r="G36" s="225" t="s">
        <v>111</v>
      </c>
      <c r="I36" s="218" t="s">
        <v>575</v>
      </c>
    </row>
    <row r="37" spans="4:9" x14ac:dyDescent="0.25">
      <c r="D37" s="217" t="s">
        <v>189</v>
      </c>
      <c r="E37" s="219" t="s">
        <v>206</v>
      </c>
      <c r="F37" s="266" t="s">
        <v>576</v>
      </c>
      <c r="G37" s="225" t="s">
        <v>115</v>
      </c>
      <c r="I37" s="218" t="s">
        <v>577</v>
      </c>
    </row>
    <row r="38" spans="4:9" x14ac:dyDescent="0.25">
      <c r="D38" s="217" t="s">
        <v>192</v>
      </c>
      <c r="E38" s="219" t="s">
        <v>522</v>
      </c>
      <c r="F38" s="265" t="s">
        <v>578</v>
      </c>
      <c r="G38" s="225" t="s">
        <v>226</v>
      </c>
      <c r="I38" s="221" t="s">
        <v>579</v>
      </c>
    </row>
    <row r="39" spans="4:9" x14ac:dyDescent="0.25">
      <c r="D39" s="217" t="s">
        <v>195</v>
      </c>
      <c r="E39" s="223" t="s">
        <v>580</v>
      </c>
      <c r="F39" s="265" t="s">
        <v>581</v>
      </c>
      <c r="G39" s="225" t="s">
        <v>227</v>
      </c>
      <c r="I39" s="218" t="s">
        <v>238</v>
      </c>
    </row>
    <row r="40" spans="4:9" x14ac:dyDescent="0.25">
      <c r="D40" s="217" t="s">
        <v>198</v>
      </c>
      <c r="E40" s="219" t="s">
        <v>211</v>
      </c>
      <c r="F40" s="265" t="s">
        <v>90</v>
      </c>
      <c r="G40" s="225" t="s">
        <v>228</v>
      </c>
      <c r="I40" s="218" t="s">
        <v>582</v>
      </c>
    </row>
    <row r="41" spans="4:9" x14ac:dyDescent="0.25">
      <c r="D41" s="217" t="s">
        <v>201</v>
      </c>
      <c r="E41" s="219" t="s">
        <v>213</v>
      </c>
      <c r="F41" s="266" t="s">
        <v>583</v>
      </c>
      <c r="G41" s="225" t="s">
        <v>118</v>
      </c>
      <c r="I41" s="218" t="s">
        <v>126</v>
      </c>
    </row>
    <row r="42" spans="4:9" x14ac:dyDescent="0.25">
      <c r="D42" s="217" t="s">
        <v>204</v>
      </c>
      <c r="E42" s="220" t="s">
        <v>584</v>
      </c>
      <c r="F42" s="266" t="s">
        <v>585</v>
      </c>
      <c r="G42" s="225" t="s">
        <v>586</v>
      </c>
      <c r="I42" s="221" t="s">
        <v>587</v>
      </c>
    </row>
    <row r="43" spans="4:9" ht="15.75" thickBot="1" x14ac:dyDescent="0.3">
      <c r="D43" s="226" t="s">
        <v>207</v>
      </c>
      <c r="E43" s="219" t="s">
        <v>110</v>
      </c>
      <c r="F43" s="266" t="s">
        <v>588</v>
      </c>
      <c r="G43" s="225" t="s">
        <v>499</v>
      </c>
      <c r="I43" s="224" t="s">
        <v>240</v>
      </c>
    </row>
    <row r="44" spans="4:9" x14ac:dyDescent="0.25">
      <c r="D44" s="227" t="s">
        <v>625</v>
      </c>
      <c r="E44" s="219" t="s">
        <v>589</v>
      </c>
      <c r="F44" s="266" t="s">
        <v>590</v>
      </c>
      <c r="G44" s="225" t="s">
        <v>499</v>
      </c>
    </row>
    <row r="45" spans="4:9" x14ac:dyDescent="0.25">
      <c r="E45" s="219" t="s">
        <v>572</v>
      </c>
      <c r="F45" s="265" t="s">
        <v>517</v>
      </c>
      <c r="G45" s="225" t="s">
        <v>591</v>
      </c>
    </row>
    <row r="46" spans="4:9" x14ac:dyDescent="0.25">
      <c r="E46" s="219" t="s">
        <v>555</v>
      </c>
      <c r="F46" s="265" t="s">
        <v>592</v>
      </c>
      <c r="G46" s="225" t="s">
        <v>593</v>
      </c>
    </row>
    <row r="47" spans="4:9" x14ac:dyDescent="0.25">
      <c r="E47" s="219" t="s">
        <v>219</v>
      </c>
      <c r="F47" s="265" t="s">
        <v>200</v>
      </c>
      <c r="G47" s="225" t="s">
        <v>594</v>
      </c>
    </row>
    <row r="48" spans="4:9" x14ac:dyDescent="0.25">
      <c r="E48" s="219" t="s">
        <v>113</v>
      </c>
      <c r="F48" s="266" t="s">
        <v>558</v>
      </c>
      <c r="G48" s="225" t="s">
        <v>595</v>
      </c>
    </row>
    <row r="49" spans="5:7" x14ac:dyDescent="0.25">
      <c r="E49" s="219" t="s">
        <v>114</v>
      </c>
      <c r="F49" s="265" t="s">
        <v>522</v>
      </c>
      <c r="G49" s="225" t="s">
        <v>596</v>
      </c>
    </row>
    <row r="50" spans="5:7" x14ac:dyDescent="0.25">
      <c r="E50" s="223" t="s">
        <v>570</v>
      </c>
      <c r="F50" s="266" t="s">
        <v>597</v>
      </c>
      <c r="G50" s="225" t="s">
        <v>504</v>
      </c>
    </row>
    <row r="51" spans="5:7" x14ac:dyDescent="0.25">
      <c r="E51" s="223" t="s">
        <v>501</v>
      </c>
      <c r="F51" s="265" t="s">
        <v>213</v>
      </c>
      <c r="G51" s="225" t="s">
        <v>493</v>
      </c>
    </row>
    <row r="52" spans="5:7" x14ac:dyDescent="0.25">
      <c r="E52" s="219" t="s">
        <v>598</v>
      </c>
      <c r="F52" s="266" t="s">
        <v>599</v>
      </c>
      <c r="G52" s="225" t="s">
        <v>491</v>
      </c>
    </row>
    <row r="53" spans="5:7" x14ac:dyDescent="0.25">
      <c r="E53" s="219" t="s">
        <v>600</v>
      </c>
      <c r="F53" s="266" t="s">
        <v>601</v>
      </c>
      <c r="G53" s="267" t="s">
        <v>240</v>
      </c>
    </row>
    <row r="54" spans="5:7" x14ac:dyDescent="0.25">
      <c r="E54" s="219" t="s">
        <v>495</v>
      </c>
      <c r="F54" s="265" t="s">
        <v>589</v>
      </c>
      <c r="G54" s="266" t="s">
        <v>628</v>
      </c>
    </row>
    <row r="55" spans="5:7" x14ac:dyDescent="0.25">
      <c r="E55" s="219" t="s">
        <v>499</v>
      </c>
      <c r="F55" s="265" t="s">
        <v>219</v>
      </c>
    </row>
    <row r="56" spans="5:7" x14ac:dyDescent="0.25">
      <c r="E56" s="219" t="s">
        <v>602</v>
      </c>
      <c r="F56" s="266" t="s">
        <v>603</v>
      </c>
    </row>
    <row r="57" spans="5:7" x14ac:dyDescent="0.25">
      <c r="E57" s="219" t="s">
        <v>573</v>
      </c>
      <c r="F57" s="265" t="s">
        <v>111</v>
      </c>
    </row>
    <row r="58" spans="5:7" x14ac:dyDescent="0.25">
      <c r="E58" s="219" t="s">
        <v>604</v>
      </c>
      <c r="F58" s="265" t="s">
        <v>113</v>
      </c>
    </row>
    <row r="59" spans="5:7" x14ac:dyDescent="0.25">
      <c r="E59" s="219" t="s">
        <v>605</v>
      </c>
      <c r="F59" s="265" t="s">
        <v>606</v>
      </c>
    </row>
    <row r="60" spans="5:7" x14ac:dyDescent="0.25">
      <c r="E60" s="219" t="s">
        <v>575</v>
      </c>
      <c r="F60" s="265" t="s">
        <v>222</v>
      </c>
    </row>
    <row r="61" spans="5:7" x14ac:dyDescent="0.25">
      <c r="E61" s="223" t="s">
        <v>607</v>
      </c>
      <c r="F61" s="265" t="s">
        <v>225</v>
      </c>
    </row>
    <row r="62" spans="5:7" x14ac:dyDescent="0.25">
      <c r="E62" s="223" t="s">
        <v>608</v>
      </c>
      <c r="F62" s="266" t="s">
        <v>609</v>
      </c>
    </row>
    <row r="63" spans="5:7" x14ac:dyDescent="0.25">
      <c r="E63" s="219" t="s">
        <v>123</v>
      </c>
      <c r="F63" s="266" t="s">
        <v>610</v>
      </c>
    </row>
    <row r="64" spans="5:7" x14ac:dyDescent="0.25">
      <c r="E64" s="219" t="s">
        <v>611</v>
      </c>
      <c r="F64" s="265" t="s">
        <v>117</v>
      </c>
    </row>
    <row r="65" spans="5:6" x14ac:dyDescent="0.25">
      <c r="E65" s="219" t="s">
        <v>125</v>
      </c>
      <c r="F65" s="265" t="s">
        <v>227</v>
      </c>
    </row>
    <row r="66" spans="5:6" x14ac:dyDescent="0.25">
      <c r="E66" s="219" t="s">
        <v>238</v>
      </c>
      <c r="F66" s="265" t="s">
        <v>228</v>
      </c>
    </row>
    <row r="67" spans="5:6" x14ac:dyDescent="0.25">
      <c r="E67" s="219" t="s">
        <v>126</v>
      </c>
      <c r="F67" s="265" t="s">
        <v>118</v>
      </c>
    </row>
    <row r="68" spans="5:6" x14ac:dyDescent="0.25">
      <c r="E68" s="219" t="s">
        <v>612</v>
      </c>
      <c r="F68" s="265" t="s">
        <v>613</v>
      </c>
    </row>
    <row r="69" spans="5:6" x14ac:dyDescent="0.25">
      <c r="E69" s="219" t="s">
        <v>614</v>
      </c>
      <c r="F69" s="265" t="s">
        <v>586</v>
      </c>
    </row>
    <row r="70" spans="5:6" ht="15.75" thickBot="1" x14ac:dyDescent="0.3">
      <c r="E70" s="262" t="s">
        <v>240</v>
      </c>
      <c r="F70" s="265" t="s">
        <v>615</v>
      </c>
    </row>
    <row r="71" spans="5:6" x14ac:dyDescent="0.25">
      <c r="F71" s="265" t="s">
        <v>616</v>
      </c>
    </row>
    <row r="72" spans="5:6" x14ac:dyDescent="0.25">
      <c r="F72" s="265" t="s">
        <v>617</v>
      </c>
    </row>
    <row r="73" spans="5:6" x14ac:dyDescent="0.25">
      <c r="F73" s="265" t="s">
        <v>496</v>
      </c>
    </row>
    <row r="74" spans="5:6" x14ac:dyDescent="0.25">
      <c r="F74" s="265" t="s">
        <v>618</v>
      </c>
    </row>
    <row r="75" spans="5:6" x14ac:dyDescent="0.25">
      <c r="F75" s="266" t="s">
        <v>619</v>
      </c>
    </row>
    <row r="76" spans="5:6" x14ac:dyDescent="0.25">
      <c r="F76" s="265" t="s">
        <v>620</v>
      </c>
    </row>
    <row r="77" spans="5:6" x14ac:dyDescent="0.25">
      <c r="F77" s="265" t="s">
        <v>621</v>
      </c>
    </row>
    <row r="78" spans="5:6" x14ac:dyDescent="0.25">
      <c r="F78" s="265" t="s">
        <v>596</v>
      </c>
    </row>
    <row r="79" spans="5:6" x14ac:dyDescent="0.25">
      <c r="F79" s="265" t="s">
        <v>238</v>
      </c>
    </row>
    <row r="80" spans="5:6" x14ac:dyDescent="0.25">
      <c r="F80" s="265" t="s">
        <v>622</v>
      </c>
    </row>
    <row r="81" spans="6:6" x14ac:dyDescent="0.25">
      <c r="F81" s="265" t="s">
        <v>504</v>
      </c>
    </row>
    <row r="82" spans="6:6" x14ac:dyDescent="0.25">
      <c r="F82" s="265" t="s">
        <v>623</v>
      </c>
    </row>
    <row r="83" spans="6:6" x14ac:dyDescent="0.25">
      <c r="F83" s="265" t="s">
        <v>624</v>
      </c>
    </row>
    <row r="84" spans="6:6" x14ac:dyDescent="0.25">
      <c r="F84" s="265" t="s">
        <v>491</v>
      </c>
    </row>
    <row r="85" spans="6:6" x14ac:dyDescent="0.25">
      <c r="F85" s="265" t="s">
        <v>240</v>
      </c>
    </row>
    <row r="86" spans="6:6" x14ac:dyDescent="0.25">
      <c r="F86" s="266" t="s">
        <v>627</v>
      </c>
    </row>
  </sheetData>
  <mergeCells count="1">
    <mergeCell ref="J12:K12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C14:D35"/>
  <sheetViews>
    <sheetView topLeftCell="A13" workbookViewId="0">
      <selection activeCell="F45" sqref="F45"/>
    </sheetView>
  </sheetViews>
  <sheetFormatPr defaultColWidth="11.42578125" defaultRowHeight="15" x14ac:dyDescent="0.25"/>
  <sheetData>
    <row r="14" spans="3:4" x14ac:dyDescent="0.25">
      <c r="C14" s="233" t="s">
        <v>767</v>
      </c>
      <c r="D14" s="196">
        <v>3370</v>
      </c>
    </row>
    <row r="15" spans="3:4" hidden="1" x14ac:dyDescent="0.25">
      <c r="C15" s="233" t="s">
        <v>767</v>
      </c>
      <c r="D15" s="196">
        <f>4979-D14-D13</f>
        <v>1609</v>
      </c>
    </row>
    <row r="16" spans="3:4" hidden="1" x14ac:dyDescent="0.25">
      <c r="C16" s="233" t="s">
        <v>767</v>
      </c>
      <c r="D16" s="196">
        <v>4818</v>
      </c>
    </row>
    <row r="17" spans="3:4" hidden="1" x14ac:dyDescent="0.25">
      <c r="C17" s="233" t="s">
        <v>767</v>
      </c>
      <c r="D17" s="196">
        <v>370</v>
      </c>
    </row>
    <row r="18" spans="3:4" hidden="1" x14ac:dyDescent="0.25">
      <c r="C18" s="233" t="s">
        <v>767</v>
      </c>
      <c r="D18" s="196">
        <v>4263</v>
      </c>
    </row>
    <row r="19" spans="3:4" hidden="1" x14ac:dyDescent="0.25">
      <c r="C19" s="233" t="s">
        <v>767</v>
      </c>
      <c r="D19" s="196">
        <v>2393</v>
      </c>
    </row>
    <row r="20" spans="3:4" x14ac:dyDescent="0.25">
      <c r="C20" s="233" t="s">
        <v>34</v>
      </c>
      <c r="D20" s="196">
        <v>870</v>
      </c>
    </row>
    <row r="21" spans="3:4" hidden="1" x14ac:dyDescent="0.25">
      <c r="C21" s="233" t="s">
        <v>696</v>
      </c>
      <c r="D21" s="196">
        <v>817</v>
      </c>
    </row>
    <row r="22" spans="3:4" hidden="1" x14ac:dyDescent="0.25">
      <c r="C22" s="233" t="s">
        <v>40</v>
      </c>
      <c r="D22" s="196">
        <v>2691</v>
      </c>
    </row>
    <row r="23" spans="3:4" hidden="1" x14ac:dyDescent="0.25">
      <c r="C23" s="233" t="s">
        <v>40</v>
      </c>
      <c r="D23" s="196">
        <v>4030</v>
      </c>
    </row>
    <row r="24" spans="3:4" hidden="1" x14ac:dyDescent="0.25">
      <c r="C24" s="233" t="s">
        <v>40</v>
      </c>
      <c r="D24" s="196">
        <v>285</v>
      </c>
    </row>
    <row r="25" spans="3:4" hidden="1" x14ac:dyDescent="0.25">
      <c r="C25" s="233" t="s">
        <v>40</v>
      </c>
      <c r="D25" s="196">
        <v>710</v>
      </c>
    </row>
    <row r="26" spans="3:4" hidden="1" x14ac:dyDescent="0.25">
      <c r="C26" s="233" t="s">
        <v>696</v>
      </c>
      <c r="D26" s="196">
        <v>644</v>
      </c>
    </row>
    <row r="27" spans="3:4" hidden="1" x14ac:dyDescent="0.25">
      <c r="C27" s="233" t="s">
        <v>40</v>
      </c>
      <c r="D27" s="196">
        <v>1860</v>
      </c>
    </row>
    <row r="28" spans="3:4" hidden="1" x14ac:dyDescent="0.25">
      <c r="C28" s="233" t="s">
        <v>40</v>
      </c>
      <c r="D28" s="196">
        <v>1800</v>
      </c>
    </row>
    <row r="29" spans="3:4" hidden="1" x14ac:dyDescent="0.25">
      <c r="C29" s="233" t="s">
        <v>696</v>
      </c>
      <c r="D29" s="196">
        <v>500</v>
      </c>
    </row>
    <row r="30" spans="3:4" hidden="1" x14ac:dyDescent="0.25">
      <c r="C30" s="233" t="s">
        <v>40</v>
      </c>
      <c r="D30" s="196">
        <v>1739</v>
      </c>
    </row>
    <row r="31" spans="3:4" hidden="1" x14ac:dyDescent="0.25">
      <c r="C31" s="233" t="s">
        <v>40</v>
      </c>
      <c r="D31" s="196">
        <v>800</v>
      </c>
    </row>
    <row r="32" spans="3:4" hidden="1" x14ac:dyDescent="0.25">
      <c r="C32" s="233" t="s">
        <v>40</v>
      </c>
      <c r="D32" s="196">
        <v>1450</v>
      </c>
    </row>
    <row r="33" spans="3:4" hidden="1" x14ac:dyDescent="0.25">
      <c r="C33" s="233" t="s">
        <v>445</v>
      </c>
      <c r="D33" s="196">
        <v>1077</v>
      </c>
    </row>
    <row r="34" spans="3:4" hidden="1" x14ac:dyDescent="0.25">
      <c r="C34" s="233" t="s">
        <v>445</v>
      </c>
      <c r="D34" s="196">
        <v>1816</v>
      </c>
    </row>
    <row r="35" spans="3:4" hidden="1" x14ac:dyDescent="0.25">
      <c r="C35" s="233" t="s">
        <v>40</v>
      </c>
      <c r="D35" s="196">
        <v>1937</v>
      </c>
    </row>
  </sheetData>
  <autoFilter ref="C14:D35">
    <filterColumn colId="0">
      <filters>
        <filter val="HC3/B"/>
      </filters>
    </filterColumn>
  </autoFilter>
  <conditionalFormatting sqref="C20:C22 C26 C33:C34 D14:D35">
    <cfRule type="cellIs" dxfId="16" priority="17" operator="equal">
      <formula>1</formula>
    </cfRule>
  </conditionalFormatting>
  <conditionalFormatting sqref="C32">
    <cfRule type="cellIs" dxfId="15" priority="2" operator="equal">
      <formula>1</formula>
    </cfRule>
  </conditionalFormatting>
  <conditionalFormatting sqref="C31">
    <cfRule type="cellIs" dxfId="14" priority="3" operator="equal">
      <formula>1</formula>
    </cfRule>
  </conditionalFormatting>
  <conditionalFormatting sqref="C27">
    <cfRule type="cellIs" dxfId="13" priority="7" operator="equal">
      <formula>1</formula>
    </cfRule>
  </conditionalFormatting>
  <conditionalFormatting sqref="C14">
    <cfRule type="cellIs" dxfId="12" priority="16" operator="equal">
      <formula>1</formula>
    </cfRule>
  </conditionalFormatting>
  <conditionalFormatting sqref="C15">
    <cfRule type="cellIs" dxfId="11" priority="15" operator="equal">
      <formula>1</formula>
    </cfRule>
  </conditionalFormatting>
  <conditionalFormatting sqref="C16">
    <cfRule type="cellIs" dxfId="10" priority="14" operator="equal">
      <formula>1</formula>
    </cfRule>
  </conditionalFormatting>
  <conditionalFormatting sqref="C17">
    <cfRule type="cellIs" dxfId="9" priority="13" operator="equal">
      <formula>1</formula>
    </cfRule>
  </conditionalFormatting>
  <conditionalFormatting sqref="C18">
    <cfRule type="cellIs" dxfId="8" priority="12" operator="equal">
      <formula>1</formula>
    </cfRule>
  </conditionalFormatting>
  <conditionalFormatting sqref="C19">
    <cfRule type="cellIs" dxfId="7" priority="11" operator="equal">
      <formula>1</formula>
    </cfRule>
  </conditionalFormatting>
  <conditionalFormatting sqref="C23">
    <cfRule type="cellIs" dxfId="6" priority="10" operator="equal">
      <formula>1</formula>
    </cfRule>
  </conditionalFormatting>
  <conditionalFormatting sqref="C24">
    <cfRule type="cellIs" dxfId="5" priority="9" operator="equal">
      <formula>1</formula>
    </cfRule>
  </conditionalFormatting>
  <conditionalFormatting sqref="C25">
    <cfRule type="cellIs" dxfId="4" priority="8" operator="equal">
      <formula>1</formula>
    </cfRule>
  </conditionalFormatting>
  <conditionalFormatting sqref="C28">
    <cfRule type="cellIs" dxfId="3" priority="6" operator="equal">
      <formula>1</formula>
    </cfRule>
  </conditionalFormatting>
  <conditionalFormatting sqref="C29">
    <cfRule type="cellIs" dxfId="2" priority="5" operator="equal">
      <formula>1</formula>
    </cfRule>
  </conditionalFormatting>
  <conditionalFormatting sqref="C30">
    <cfRule type="cellIs" dxfId="1" priority="4" operator="equal">
      <formula>1</formula>
    </cfRule>
  </conditionalFormatting>
  <conditionalFormatting sqref="C35">
    <cfRule type="cellIs" dxfId="0" priority="1" operator="equal">
      <formula>1</formula>
    </cfRule>
  </conditionalFormatting>
  <dataValidations count="1">
    <dataValidation type="list" allowBlank="1" showInputMessage="1" showErrorMessage="1" sqref="C20:C35">
      <formula1>stockage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28</vt:i4>
      </vt:variant>
    </vt:vector>
  </HeadingPairs>
  <TitlesOfParts>
    <vt:vector size="63" baseType="lpstr">
      <vt:lpstr>criblage</vt:lpstr>
      <vt:lpstr>les arrets</vt:lpstr>
      <vt:lpstr>chargement</vt:lpstr>
      <vt:lpstr>arrets Chargement</vt:lpstr>
      <vt:lpstr>Etat parc</vt:lpstr>
      <vt:lpstr>Feuil10</vt:lpstr>
      <vt:lpstr>Feuil16</vt:lpstr>
      <vt:lpstr>Feuil9</vt:lpstr>
      <vt:lpstr>Feuil17</vt:lpstr>
      <vt:lpstr>Feuil11</vt:lpstr>
      <vt:lpstr>Feuil12</vt:lpstr>
      <vt:lpstr>Feuil13</vt:lpstr>
      <vt:lpstr>Feuil14</vt:lpstr>
      <vt:lpstr>Feuil20</vt:lpstr>
      <vt:lpstr>Feuil18</vt:lpstr>
      <vt:lpstr>Feuil19</vt:lpstr>
      <vt:lpstr>Feuil15</vt:lpstr>
      <vt:lpstr>Feuil8</vt:lpstr>
      <vt:lpstr>Feuil3</vt:lpstr>
      <vt:lpstr>Feuil5</vt:lpstr>
      <vt:lpstr>Feuil6</vt:lpstr>
      <vt:lpstr>Feuil4</vt:lpstr>
      <vt:lpstr>Feuil7</vt:lpstr>
      <vt:lpstr>Feuil2</vt:lpstr>
      <vt:lpstr>synthèse 312</vt:lpstr>
      <vt:lpstr>I FILM</vt:lpstr>
      <vt:lpstr>KPI</vt:lpstr>
      <vt:lpstr>Feuil27</vt:lpstr>
      <vt:lpstr>Feuil26</vt:lpstr>
      <vt:lpstr>Feuil24</vt:lpstr>
      <vt:lpstr>Feuil25</vt:lpstr>
      <vt:lpstr>Feuil1</vt:lpstr>
      <vt:lpstr>Feuil22</vt:lpstr>
      <vt:lpstr>Feuil21</vt:lpstr>
      <vt:lpstr>Feuil23</vt:lpstr>
      <vt:lpstr>arret</vt:lpstr>
      <vt:lpstr>Arrêts_Electrique</vt:lpstr>
      <vt:lpstr>Arrêts_Electronique</vt:lpstr>
      <vt:lpstr>Arrêts_Exploitation</vt:lpstr>
      <vt:lpstr>Arrêts_Extérieur</vt:lpstr>
      <vt:lpstr>Arrêts_Mécanique</vt:lpstr>
      <vt:lpstr>arrets1</vt:lpstr>
      <vt:lpstr>Chefdeposte</vt:lpstr>
      <vt:lpstr>couche</vt:lpstr>
      <vt:lpstr>equipement</vt:lpstr>
      <vt:lpstr>equipement1</vt:lpstr>
      <vt:lpstr>LISTE</vt:lpstr>
      <vt:lpstr>M_Planifiée</vt:lpstr>
      <vt:lpstr>materiel</vt:lpstr>
      <vt:lpstr>nature</vt:lpstr>
      <vt:lpstr>numero</vt:lpstr>
      <vt:lpstr>parc</vt:lpstr>
      <vt:lpstr>poste</vt:lpstr>
      <vt:lpstr>'I FILM'!Print_Area</vt:lpstr>
      <vt:lpstr>qualite</vt:lpstr>
      <vt:lpstr>rame</vt:lpstr>
      <vt:lpstr>rouepelle</vt:lpstr>
      <vt:lpstr>salledecontrole</vt:lpstr>
      <vt:lpstr>SDC</vt:lpstr>
      <vt:lpstr>stockage</vt:lpstr>
      <vt:lpstr>taux</vt:lpstr>
      <vt:lpstr>tout</vt:lpstr>
      <vt:lpstr>train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Salle de Contrôle Criblage Benguerir</dc:creator>
  <cp:lastModifiedBy>user</cp:lastModifiedBy>
  <cp:lastPrinted>2022-08-28T06:52:06Z</cp:lastPrinted>
  <dcterms:created xsi:type="dcterms:W3CDTF">2019-12-24T19:35:37Z</dcterms:created>
  <dcterms:modified xsi:type="dcterms:W3CDTF">2023-08-07T06:32:25Z</dcterms:modified>
</cp:coreProperties>
</file>